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DataAnalysis\Transfer Entropy\EyeHeadDirc\"/>
    </mc:Choice>
  </mc:AlternateContent>
  <xr:revisionPtr revIDLastSave="0" documentId="8_{AA9FBD34-3112-4E1C-B800-907F8AB18754}" xr6:coauthVersionLast="45" xr6:coauthVersionMax="45" xr10:uidLastSave="{00000000-0000-0000-0000-000000000000}"/>
  <bookViews>
    <workbookView xWindow="1305" yWindow="1305" windowWidth="17280" windowHeight="8970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</calcChain>
</file>

<file path=xl/sharedStrings.xml><?xml version="1.0" encoding="utf-8"?>
<sst xmlns="http://schemas.openxmlformats.org/spreadsheetml/2006/main" count="13309" uniqueCount="95">
  <si>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</si>
  <si>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</si>
  <si>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</si>
  <si>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</si>
  <si>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</si>
  <si>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</si>
  <si>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</si>
  <si>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</si>
  <si>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</si>
  <si>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</si>
  <si>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</si>
  <si>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</si>
  <si>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</si>
  <si>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</si>
  <si>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</si>
  <si>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</si>
  <si>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</si>
  <si>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</si>
  <si>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</si>
  <si>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</si>
  <si>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</si>
  <si>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</si>
  <si>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</si>
  <si>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</si>
  <si>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</si>
  <si>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</si>
  <si>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</si>
  <si>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</si>
  <si>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</si>
  <si>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</si>
  <si>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</si>
  <si>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</si>
  <si>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</si>
  <si>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</si>
  <si>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</si>
  <si>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</si>
  <si>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</si>
  <si>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Testhuanghun_off</t>
  </si>
  <si>
    <t>Kooper</t>
  </si>
  <si>
    <t>mcp_road_part_02</t>
  </si>
  <si>
    <t>Building 03</t>
  </si>
  <si>
    <t>Plane_01</t>
  </si>
  <si>
    <t>Building 07 (16)</t>
  </si>
  <si>
    <t>FAR</t>
  </si>
  <si>
    <t>mcp_roads_turn_01 (1)</t>
  </si>
  <si>
    <t>Building 18 (9)</t>
  </si>
  <si>
    <t>Building 15 (35)</t>
  </si>
  <si>
    <t>Tree 02 (6)</t>
  </si>
  <si>
    <t>Stand 03 (4)</t>
  </si>
  <si>
    <t>mcp_roads_T_cross_01</t>
  </si>
  <si>
    <t>mcp_road_part_01</t>
  </si>
  <si>
    <t>Building 18 (4)</t>
  </si>
  <si>
    <t>mcp_roads_cross_01</t>
  </si>
  <si>
    <t>Building 07 (4)</t>
  </si>
  <si>
    <t>Pilar 02 (11)</t>
  </si>
  <si>
    <t>Floor 02</t>
  </si>
  <si>
    <t>Building 02 (8)</t>
  </si>
  <si>
    <t>Box001</t>
  </si>
  <si>
    <t>Building 15 (32)</t>
  </si>
  <si>
    <t>Plane_01 (1)</t>
  </si>
  <si>
    <t>Building 15 (30)</t>
  </si>
  <si>
    <t>Building 09 (4)</t>
  </si>
  <si>
    <t>Building 07 (15)</t>
  </si>
  <si>
    <t>Tong (3)</t>
  </si>
  <si>
    <t>Stand 02 (19)</t>
  </si>
  <si>
    <t>mcp_building_24_fountain_marble</t>
  </si>
  <si>
    <t>Building 24</t>
  </si>
  <si>
    <t>Building 07 (18)</t>
  </si>
  <si>
    <t>Building 01</t>
  </si>
  <si>
    <t>Building 11 (3)</t>
  </si>
  <si>
    <t>Tree 02 (3)</t>
  </si>
  <si>
    <t>mcp_roads_cross_02</t>
  </si>
  <si>
    <t>Stand 03 (2)</t>
  </si>
  <si>
    <t>Tree 02 (2)</t>
  </si>
  <si>
    <t>Building 13 (1)</t>
  </si>
  <si>
    <t>mcp_roads_turn_01</t>
  </si>
  <si>
    <t>mcp_road_part_02 (2)</t>
  </si>
  <si>
    <t>mcp_road_part_02 (3)</t>
  </si>
  <si>
    <t>mcp_road_part_02 (1)</t>
  </si>
  <si>
    <t>Building 04 (3)</t>
  </si>
  <si>
    <t>Building 15 (34)</t>
  </si>
  <si>
    <t>Building 18 (11)</t>
  </si>
  <si>
    <t>Tree 04 (4)</t>
  </si>
  <si>
    <t>Shurbs (1)</t>
  </si>
  <si>
    <t>Building 30 (4)</t>
  </si>
  <si>
    <t>mcp_bus_stop_night_LOD_0</t>
  </si>
  <si>
    <t>Building 07 (14)</t>
  </si>
  <si>
    <t>mcp_road_part_02 (6)</t>
  </si>
  <si>
    <t>mcp_road_part_02 (9)</t>
  </si>
  <si>
    <t>mcp_road_part_02 (8)</t>
  </si>
  <si>
    <t>mcp_road_part_02 (10)</t>
  </si>
  <si>
    <t>mcp_road_part_02 (12)</t>
  </si>
  <si>
    <t>mcp_road_part_02 (11)</t>
  </si>
  <si>
    <t>Building 07 (17)</t>
  </si>
  <si>
    <t>Building 24 (1)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</si>
</sst>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637"/>
  <sheetViews>
    <sheetView tabSelected="1" workbookViewId="0"/>
  </sheetViews>
  <sheetFormatPr defaultRowHeight="14.25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tr">
        <f>"20200111155752772"</f>
        <v>20200111155752772</v>
      </c>
      <c r="B2" t="str">
        <f>"1578729472760803"</f>
        <v>1578729472760803</v>
      </c>
      <c r="C2" t="s">
        <v>37</v>
      </c>
      <c r="D2">
        <v>5.7103199999999896</v>
      </c>
      <c r="E2">
        <v>0.5391958</v>
      </c>
      <c r="F2" t="s">
        <v>38</v>
      </c>
      <c r="G2">
        <v>-476.41860000000003</v>
      </c>
      <c r="H2">
        <v>0.96901000000000004</v>
      </c>
      <c r="I2">
        <v>367.48950000000002</v>
      </c>
      <c r="J2">
        <v>-477.1028</v>
      </c>
      <c r="K2">
        <v>1.1040140000000001</v>
      </c>
      <c r="L2">
        <v>367.5231</v>
      </c>
      <c r="M2">
        <v>0.99995480000000003</v>
      </c>
      <c r="N2">
        <v>0</v>
      </c>
      <c r="O2" s="1">
        <v>-3.8625860000000001E-6</v>
      </c>
      <c r="P2">
        <v>0.99912420000000002</v>
      </c>
      <c r="Q2">
        <v>-5.9287250000000001E-3</v>
      </c>
      <c r="R2">
        <v>4.142357E-2</v>
      </c>
      <c r="S2">
        <v>3.0046390000000001</v>
      </c>
      <c r="T2">
        <v>-0.58635459999999995</v>
      </c>
      <c r="U2">
        <v>-0.14584349999999999</v>
      </c>
      <c r="V2">
        <v>-4.1427239999999997E-2</v>
      </c>
      <c r="W2">
        <v>3.5713279999999999E-3</v>
      </c>
      <c r="X2">
        <v>0.99913510000000005</v>
      </c>
      <c r="Y2">
        <v>4.7583069999999998E-2</v>
      </c>
      <c r="Z2">
        <v>-4.59615299999999E-3</v>
      </c>
      <c r="AA2">
        <v>0.99885669999999904</v>
      </c>
      <c r="AB2">
        <v>1</v>
      </c>
      <c r="AC2">
        <v>0.68419999999997505</v>
      </c>
      <c r="AD2">
        <v>-0.13500400000000001</v>
      </c>
      <c r="AE2">
        <v>-3.3599999999978501E-2</v>
      </c>
      <c r="AF2">
        <v>3.23412189187674E-2</v>
      </c>
      <c r="AG2">
        <v>-0.13500400000000001</v>
      </c>
      <c r="AH2">
        <v>0.65861925140200095</v>
      </c>
      <c r="AI2">
        <v>101.570480664287</v>
      </c>
      <c r="AJ2">
        <v>87.188773136237401</v>
      </c>
      <c r="AK2">
        <v>0.67309089488306395</v>
      </c>
    </row>
    <row r="3" spans="1:37" x14ac:dyDescent="0.2">
      <c r="A3" t="str">
        <f>"20200111155752794"</f>
        <v>20200111155752794</v>
      </c>
      <c r="B3" t="str">
        <f>"1578729472791060"</f>
        <v>1578729472791060</v>
      </c>
      <c r="C3" t="s">
        <v>37</v>
      </c>
      <c r="D3">
        <v>5.7211280000000002</v>
      </c>
      <c r="E3">
        <v>0.53955790000000003</v>
      </c>
      <c r="F3" t="s">
        <v>38</v>
      </c>
      <c r="G3">
        <v>-476.40929999999997</v>
      </c>
      <c r="H3">
        <v>0.96982060000000003</v>
      </c>
      <c r="I3">
        <v>367.48840000000001</v>
      </c>
      <c r="J3">
        <v>-477.09210000000002</v>
      </c>
      <c r="K3">
        <v>1.103855</v>
      </c>
      <c r="L3">
        <v>367.5231</v>
      </c>
      <c r="M3">
        <v>0.99996469999999904</v>
      </c>
      <c r="N3">
        <v>0</v>
      </c>
      <c r="O3" s="1">
        <v>-5.271995E-7</v>
      </c>
      <c r="P3">
        <v>0.99918649999999998</v>
      </c>
      <c r="Q3">
        <v>-4.4850929999999999E-3</v>
      </c>
      <c r="R3">
        <v>4.007865E-2</v>
      </c>
      <c r="S3">
        <v>3.00528</v>
      </c>
      <c r="T3">
        <v>-0.58166309999999999</v>
      </c>
      <c r="U3">
        <v>-0.14822389999999999</v>
      </c>
      <c r="V3">
        <v>-4.007935E-2</v>
      </c>
      <c r="W3">
        <v>3.9032049999999999E-3</v>
      </c>
      <c r="X3">
        <v>0.99918890000000005</v>
      </c>
      <c r="Y3">
        <v>4.8365360000000003E-2</v>
      </c>
      <c r="Z3">
        <v>-4.6346149999999999E-3</v>
      </c>
      <c r="AA3">
        <v>0.99881889999999995</v>
      </c>
      <c r="AB3">
        <v>1</v>
      </c>
      <c r="AC3">
        <v>0.68280000000004204</v>
      </c>
      <c r="AD3">
        <v>-0.1340344</v>
      </c>
      <c r="AE3">
        <v>-3.4699999999986603E-2</v>
      </c>
      <c r="AF3">
        <v>3.34153265592066E-2</v>
      </c>
      <c r="AG3">
        <v>-0.1340344</v>
      </c>
      <c r="AH3">
        <v>0.65752801976555397</v>
      </c>
      <c r="AI3">
        <v>101.507201361798</v>
      </c>
      <c r="AJ3">
        <v>87.090752828093002</v>
      </c>
      <c r="AK3">
        <v>0.67188161249525802</v>
      </c>
    </row>
    <row r="4" spans="1:37" x14ac:dyDescent="0.2">
      <c r="A4" t="str">
        <f>"20200111155752816"</f>
        <v>20200111155752816</v>
      </c>
      <c r="B4" t="str">
        <f>"1578729472810580"</f>
        <v>1578729472810580</v>
      </c>
      <c r="C4" t="s">
        <v>37</v>
      </c>
      <c r="D4">
        <v>5.7090480000000001</v>
      </c>
      <c r="E4">
        <v>0.53973319999999902</v>
      </c>
      <c r="F4" t="s">
        <v>38</v>
      </c>
      <c r="G4">
        <v>-476.39839999999998</v>
      </c>
      <c r="H4">
        <v>0.96999139999999995</v>
      </c>
      <c r="I4">
        <v>367.48750000000001</v>
      </c>
      <c r="J4">
        <v>-477.07850000000002</v>
      </c>
      <c r="K4">
        <v>1.1037139999999901</v>
      </c>
      <c r="L4">
        <v>367.5231</v>
      </c>
      <c r="M4">
        <v>0.99997349999999996</v>
      </c>
      <c r="N4">
        <v>0</v>
      </c>
      <c r="O4" s="1">
        <v>4.2448520000000002E-6</v>
      </c>
      <c r="P4">
        <v>0.99928189999999995</v>
      </c>
      <c r="Q4">
        <v>-2.4616939999999999E-3</v>
      </c>
      <c r="R4">
        <v>3.7805169999999999E-2</v>
      </c>
      <c r="S4">
        <v>3.0059809999999998</v>
      </c>
      <c r="T4">
        <v>-0.58021259999999997</v>
      </c>
      <c r="U4">
        <v>-0.1538696</v>
      </c>
      <c r="V4">
        <v>-3.7800710000000001E-2</v>
      </c>
      <c r="W4">
        <v>4.8058490000000001E-3</v>
      </c>
      <c r="X4">
        <v>0.99927369999999904</v>
      </c>
      <c r="Y4">
        <v>5.0200839999999997E-2</v>
      </c>
      <c r="Z4">
        <v>-4.7983189999999997E-3</v>
      </c>
      <c r="AA4">
        <v>0.99872759999999905</v>
      </c>
      <c r="AB4">
        <v>1</v>
      </c>
      <c r="AC4">
        <v>0.68010000000003801</v>
      </c>
      <c r="AD4">
        <v>-0.133722599999999</v>
      </c>
      <c r="AE4">
        <v>-3.5599999999988002E-2</v>
      </c>
      <c r="AF4">
        <v>3.4281190852191799E-2</v>
      </c>
      <c r="AG4">
        <v>-0.133722599999999</v>
      </c>
      <c r="AH4">
        <v>0.65485230784111104</v>
      </c>
      <c r="AI4">
        <v>101.525919778226</v>
      </c>
      <c r="AJ4">
        <v>87.003330024205297</v>
      </c>
      <c r="AK4">
        <v>0.66924470777275002</v>
      </c>
    </row>
    <row r="5" spans="1:37" x14ac:dyDescent="0.2">
      <c r="A5" t="str">
        <f>"20200111155752839"</f>
        <v>20200111155752839</v>
      </c>
      <c r="B5" t="str">
        <f>"1578729472831076"</f>
        <v>1578729472831076</v>
      </c>
      <c r="C5" t="s">
        <v>37</v>
      </c>
      <c r="D5">
        <v>5.7294099999999997</v>
      </c>
      <c r="E5">
        <v>0.53992289999999998</v>
      </c>
      <c r="F5" t="s">
        <v>38</v>
      </c>
      <c r="G5">
        <v>-476.38499999999999</v>
      </c>
      <c r="H5">
        <v>0.97099269999999904</v>
      </c>
      <c r="I5">
        <v>367.48570000000001</v>
      </c>
      <c r="J5">
        <v>-477.06180000000001</v>
      </c>
      <c r="K5">
        <v>1.1035900000000001</v>
      </c>
      <c r="L5">
        <v>367.5231</v>
      </c>
      <c r="M5">
        <v>0.99998120000000001</v>
      </c>
      <c r="N5">
        <v>0</v>
      </c>
      <c r="O5" s="1">
        <v>9.8715229999999998E-6</v>
      </c>
      <c r="P5">
        <v>0.99938749999999998</v>
      </c>
      <c r="Q5">
        <v>-7.3638190000000002E-4</v>
      </c>
      <c r="R5">
        <v>3.4988599999999898E-2</v>
      </c>
      <c r="S5">
        <v>3.0068049999999999</v>
      </c>
      <c r="T5">
        <v>-0.57557449999999999</v>
      </c>
      <c r="U5">
        <v>-0.161041299999999</v>
      </c>
      <c r="V5">
        <v>-3.4978200000000001E-2</v>
      </c>
      <c r="W5">
        <v>5.4114230000000003E-3</v>
      </c>
      <c r="X5">
        <v>0.99937339999999997</v>
      </c>
      <c r="Y5">
        <v>5.2540679999999999E-2</v>
      </c>
      <c r="Z5">
        <v>-4.9819269999999997E-3</v>
      </c>
      <c r="AA5">
        <v>0.99860640000000001</v>
      </c>
      <c r="AB5">
        <v>1</v>
      </c>
      <c r="AC5">
        <v>0.67680000000001395</v>
      </c>
      <c r="AD5">
        <v>-0.1325973</v>
      </c>
      <c r="AE5">
        <v>-3.7399999999990899E-2</v>
      </c>
      <c r="AF5">
        <v>3.6027997556844903E-2</v>
      </c>
      <c r="AG5">
        <v>-0.1325973</v>
      </c>
      <c r="AH5">
        <v>0.65185508793234004</v>
      </c>
      <c r="AI5">
        <v>101.480908420482</v>
      </c>
      <c r="AJ5">
        <v>86.836483829051005</v>
      </c>
      <c r="AK5">
        <v>0.66617949250823205</v>
      </c>
    </row>
    <row r="6" spans="1:37" x14ac:dyDescent="0.2">
      <c r="A6" t="str">
        <f>"20200111155752861"</f>
        <v>20200111155752861</v>
      </c>
      <c r="B6" t="str">
        <f>"1578729472850595"</f>
        <v>1578729472850595</v>
      </c>
      <c r="C6" t="s">
        <v>37</v>
      </c>
      <c r="D6">
        <v>5.7381570000000002</v>
      </c>
      <c r="E6">
        <v>0.54006119999999902</v>
      </c>
      <c r="F6" t="s">
        <v>38</v>
      </c>
      <c r="G6">
        <v>-476.36950000000002</v>
      </c>
      <c r="H6">
        <v>0.97185250000000001</v>
      </c>
      <c r="I6">
        <v>367.48410000000001</v>
      </c>
      <c r="J6">
        <v>-477.04379999999998</v>
      </c>
      <c r="K6">
        <v>1.1034919999999999</v>
      </c>
      <c r="L6">
        <v>367.5231</v>
      </c>
      <c r="M6">
        <v>0.99998659999999995</v>
      </c>
      <c r="N6">
        <v>0</v>
      </c>
      <c r="O6" s="1">
        <v>1.632761E-5</v>
      </c>
      <c r="P6">
        <v>0.99946869999999999</v>
      </c>
      <c r="Q6">
        <v>-5.0466140000000003E-4</v>
      </c>
      <c r="R6">
        <v>3.2594489999999997E-2</v>
      </c>
      <c r="S6">
        <v>3.0074160000000001</v>
      </c>
      <c r="T6">
        <v>-0.57227950000000005</v>
      </c>
      <c r="U6">
        <v>-0.17016600000000001</v>
      </c>
      <c r="V6">
        <v>-3.2578370000000002E-2</v>
      </c>
      <c r="W6">
        <v>4.675673E-3</v>
      </c>
      <c r="X6">
        <v>0.99945830000000002</v>
      </c>
      <c r="Y6">
        <v>5.5514790000000001E-2</v>
      </c>
      <c r="Z6">
        <v>-5.2339750000000001E-3</v>
      </c>
      <c r="AA6">
        <v>0.99844409999999895</v>
      </c>
      <c r="AB6">
        <v>2</v>
      </c>
      <c r="AC6">
        <v>0.67429999999995904</v>
      </c>
      <c r="AD6">
        <v>-0.13163949999999899</v>
      </c>
      <c r="AE6">
        <v>-3.8999999999987198E-2</v>
      </c>
      <c r="AF6">
        <v>3.75833927818532E-2</v>
      </c>
      <c r="AG6">
        <v>-0.13163949999999899</v>
      </c>
      <c r="AH6">
        <v>0.64962321955986402</v>
      </c>
      <c r="AI6">
        <v>101.436670153951</v>
      </c>
      <c r="AJ6">
        <v>86.688892855086493</v>
      </c>
      <c r="AK6">
        <v>0.66389140434604799</v>
      </c>
    </row>
    <row r="7" spans="1:37" x14ac:dyDescent="0.2">
      <c r="A7" t="str">
        <f>"20200111155752883"</f>
        <v>20200111155752883</v>
      </c>
      <c r="B7" t="str">
        <f>"1578729472880852"</f>
        <v>1578729472880852</v>
      </c>
      <c r="C7" t="s">
        <v>37</v>
      </c>
      <c r="D7">
        <v>5.7632149999999998</v>
      </c>
      <c r="E7">
        <v>0.5401686</v>
      </c>
      <c r="F7" t="s">
        <v>38</v>
      </c>
      <c r="G7">
        <v>-476.35239999999999</v>
      </c>
      <c r="H7">
        <v>0.97171649999999998</v>
      </c>
      <c r="I7">
        <v>367.4821</v>
      </c>
      <c r="J7">
        <v>-477.0224</v>
      </c>
      <c r="K7">
        <v>1.1034310000000001</v>
      </c>
      <c r="L7">
        <v>367.52300000000002</v>
      </c>
      <c r="M7">
        <v>0.99999079999999996</v>
      </c>
      <c r="N7">
        <v>0</v>
      </c>
      <c r="O7" s="1">
        <v>2.372441E-5</v>
      </c>
      <c r="P7">
        <v>0.99952700000000005</v>
      </c>
      <c r="Q7">
        <v>-3.4550949999999998E-4</v>
      </c>
      <c r="R7">
        <v>3.075661E-2</v>
      </c>
      <c r="S7">
        <v>3.0071110000000001</v>
      </c>
      <c r="T7">
        <v>-0.57317589999999996</v>
      </c>
      <c r="U7">
        <v>-0.17758180000000001</v>
      </c>
      <c r="V7">
        <v>-3.0733099999999899E-2</v>
      </c>
      <c r="W7">
        <v>3.9318139999999996E-3</v>
      </c>
      <c r="X7">
        <v>0.99951990000000002</v>
      </c>
      <c r="Y7">
        <v>5.793508E-2</v>
      </c>
      <c r="Z7">
        <v>-5.471994E-3</v>
      </c>
      <c r="AA7">
        <v>0.99830540000000001</v>
      </c>
      <c r="AB7">
        <v>2</v>
      </c>
      <c r="AC7">
        <v>0.67000000000001503</v>
      </c>
      <c r="AD7">
        <v>-0.13171449999999901</v>
      </c>
      <c r="AE7">
        <v>-4.0900000000021898E-2</v>
      </c>
      <c r="AF7">
        <v>3.9398893266634698E-2</v>
      </c>
      <c r="AG7">
        <v>-0.13171449999999901</v>
      </c>
      <c r="AH7">
        <v>0.64515807207031795</v>
      </c>
      <c r="AI7">
        <v>101.51796588243</v>
      </c>
      <c r="AJ7">
        <v>86.505367528759194</v>
      </c>
      <c r="AK7">
        <v>0.659643782854334</v>
      </c>
    </row>
    <row r="8" spans="1:37" x14ac:dyDescent="0.2">
      <c r="A8" t="str">
        <f>"20200111155752907"</f>
        <v>20200111155752907</v>
      </c>
      <c r="B8" t="str">
        <f>"1578729472901348"</f>
        <v>1578729472901348</v>
      </c>
      <c r="C8" t="s">
        <v>37</v>
      </c>
      <c r="D8">
        <v>5.7933760000000003</v>
      </c>
      <c r="E8">
        <v>0.54023679999999996</v>
      </c>
      <c r="F8" t="s">
        <v>38</v>
      </c>
      <c r="G8">
        <v>-476.33300000000003</v>
      </c>
      <c r="H8">
        <v>0.97164799999999996</v>
      </c>
      <c r="I8">
        <v>367.48070000000001</v>
      </c>
      <c r="J8">
        <v>-476.99720000000002</v>
      </c>
      <c r="K8">
        <v>1.10341</v>
      </c>
      <c r="L8">
        <v>367.52300000000002</v>
      </c>
      <c r="M8">
        <v>0.99999400000000005</v>
      </c>
      <c r="N8">
        <v>0</v>
      </c>
      <c r="O8" s="1">
        <v>3.1866170000000001E-5</v>
      </c>
      <c r="P8">
        <v>0.99955190000000005</v>
      </c>
      <c r="Q8">
        <v>5.9997659999999999E-4</v>
      </c>
      <c r="R8">
        <v>2.9927559999999999E-2</v>
      </c>
      <c r="S8">
        <v>3.0068969999999999</v>
      </c>
      <c r="T8">
        <v>-0.5748413</v>
      </c>
      <c r="U8">
        <v>-0.1843262</v>
      </c>
      <c r="V8">
        <v>-2.9895680000000001E-2</v>
      </c>
      <c r="W8">
        <v>4.0672360000000001E-3</v>
      </c>
      <c r="X8">
        <v>0.99954469999999995</v>
      </c>
      <c r="Y8">
        <v>6.013255E-2</v>
      </c>
      <c r="Z8">
        <v>-5.6971519999999996E-3</v>
      </c>
      <c r="AA8">
        <v>0.99817409999999995</v>
      </c>
      <c r="AB8">
        <v>2</v>
      </c>
      <c r="AC8">
        <v>0.66419999999999302</v>
      </c>
      <c r="AD8">
        <v>-0.13176199999999999</v>
      </c>
      <c r="AE8">
        <v>-4.2300000000011502E-2</v>
      </c>
      <c r="AF8">
        <v>4.07249721281552E-2</v>
      </c>
      <c r="AG8">
        <v>-0.13176199999999999</v>
      </c>
      <c r="AH8">
        <v>0.63914760345562205</v>
      </c>
      <c r="AI8">
        <v>101.62556076159299</v>
      </c>
      <c r="AJ8">
        <v>86.354177181797397</v>
      </c>
      <c r="AK8">
        <v>0.65385732924079398</v>
      </c>
    </row>
    <row r="9" spans="1:37" x14ac:dyDescent="0.2">
      <c r="A9" t="str">
        <f>"20200111155752929"</f>
        <v>20200111155752929</v>
      </c>
      <c r="B9" t="str">
        <f>"1578729472920868"</f>
        <v>1578729472920868</v>
      </c>
      <c r="C9" t="s">
        <v>37</v>
      </c>
      <c r="D9">
        <v>5.75718</v>
      </c>
      <c r="E9">
        <v>0.54026809999999903</v>
      </c>
      <c r="F9" t="s">
        <v>38</v>
      </c>
      <c r="G9">
        <v>-476.28969999999998</v>
      </c>
      <c r="H9">
        <v>0.96858909999999998</v>
      </c>
      <c r="I9">
        <v>367.47919999999999</v>
      </c>
      <c r="J9">
        <v>-476.97</v>
      </c>
      <c r="K9">
        <v>1.103402</v>
      </c>
      <c r="L9">
        <v>367.52300000000002</v>
      </c>
      <c r="M9">
        <v>0.99999609999999906</v>
      </c>
      <c r="N9">
        <v>0</v>
      </c>
      <c r="O9" s="1">
        <v>4.1340590000000001E-5</v>
      </c>
      <c r="P9">
        <v>0.99958210000000003</v>
      </c>
      <c r="Q9">
        <v>9.5892329999999997E-4</v>
      </c>
      <c r="R9">
        <v>2.889951E-2</v>
      </c>
      <c r="S9">
        <v>3.0072329999999998</v>
      </c>
      <c r="T9">
        <v>-0.57301550000000001</v>
      </c>
      <c r="U9">
        <v>-0.186615</v>
      </c>
      <c r="V9">
        <v>-2.8858089999999999E-2</v>
      </c>
      <c r="W9">
        <v>3.7496640000000002E-3</v>
      </c>
      <c r="X9">
        <v>0.99957649999999998</v>
      </c>
      <c r="Y9">
        <v>6.088549E-2</v>
      </c>
      <c r="Z9">
        <v>-5.7514389999999997E-3</v>
      </c>
      <c r="AA9">
        <v>0.99812819999999902</v>
      </c>
      <c r="AB9">
        <v>2</v>
      </c>
      <c r="AC9">
        <v>0.68030000000004498</v>
      </c>
      <c r="AD9">
        <v>-0.13481290000000001</v>
      </c>
      <c r="AE9">
        <v>-4.3800000000032903E-2</v>
      </c>
      <c r="AF9">
        <v>4.2178603882036099E-2</v>
      </c>
      <c r="AG9">
        <v>-0.13481290000000001</v>
      </c>
      <c r="AH9">
        <v>0.65469440975982895</v>
      </c>
      <c r="AI9">
        <v>101.612136730693</v>
      </c>
      <c r="AJ9">
        <v>86.313820984610501</v>
      </c>
      <c r="AK9">
        <v>0.66975989936888503</v>
      </c>
    </row>
    <row r="10" spans="1:37" x14ac:dyDescent="0.2">
      <c r="A10" t="str">
        <f>"20200111155752951"</f>
        <v>20200111155752951</v>
      </c>
      <c r="B10" t="str">
        <f>"1578729472941363"</f>
        <v>1578729472941363</v>
      </c>
      <c r="C10" t="s">
        <v>37</v>
      </c>
      <c r="D10">
        <v>5.7964359999999999</v>
      </c>
      <c r="E10">
        <v>0.54033140000000002</v>
      </c>
      <c r="F10" t="s">
        <v>38</v>
      </c>
      <c r="G10">
        <v>-476.26409999999998</v>
      </c>
      <c r="H10">
        <v>0.96883390000000003</v>
      </c>
      <c r="I10">
        <v>367.4785</v>
      </c>
      <c r="J10">
        <v>-476.94189999999998</v>
      </c>
      <c r="K10">
        <v>1.1033919999999999</v>
      </c>
      <c r="L10">
        <v>367.52300000000002</v>
      </c>
      <c r="M10">
        <v>0.99999760000000004</v>
      </c>
      <c r="N10">
        <v>0</v>
      </c>
      <c r="O10" s="1">
        <v>5.0710149999999998E-5</v>
      </c>
      <c r="P10">
        <v>0.99962119999999999</v>
      </c>
      <c r="Q10">
        <v>2.6894730000000001E-4</v>
      </c>
      <c r="R10">
        <v>2.7524880000000002E-2</v>
      </c>
      <c r="S10">
        <v>3.0072939999999999</v>
      </c>
      <c r="T10">
        <v>-0.57343140000000004</v>
      </c>
      <c r="U10">
        <v>-0.18865970000000001</v>
      </c>
      <c r="V10">
        <v>-2.747403E-2</v>
      </c>
      <c r="W10">
        <v>2.4874820000000001E-3</v>
      </c>
      <c r="X10">
        <v>0.99961939999999905</v>
      </c>
      <c r="Y10">
        <v>6.1555909999999998E-2</v>
      </c>
      <c r="Z10">
        <v>-5.8203639999999997E-3</v>
      </c>
      <c r="AA10">
        <v>0.99808669999999999</v>
      </c>
      <c r="AB10">
        <v>3</v>
      </c>
      <c r="AC10">
        <v>0.67779999999998997</v>
      </c>
      <c r="AD10">
        <v>-0.13455809999999899</v>
      </c>
      <c r="AE10">
        <v>-4.4500000000027698E-2</v>
      </c>
      <c r="AF10">
        <v>4.2852753401650998E-2</v>
      </c>
      <c r="AG10">
        <v>-0.13455809999999899</v>
      </c>
      <c r="AH10">
        <v>0.652204098233653</v>
      </c>
      <c r="AI10">
        <v>101.632898548339</v>
      </c>
      <c r="AJ10">
        <v>86.240812006369495</v>
      </c>
      <c r="AK10">
        <v>0.66731733568257101</v>
      </c>
    </row>
    <row r="11" spans="1:37" x14ac:dyDescent="0.2">
      <c r="A11" t="str">
        <f>"20200111155752973"</f>
        <v>20200111155752973</v>
      </c>
      <c r="B11" t="str">
        <f>"1578729472970644"</f>
        <v>1578729472970644</v>
      </c>
      <c r="C11" t="s">
        <v>37</v>
      </c>
      <c r="D11">
        <v>5.8190179999999998</v>
      </c>
      <c r="E11">
        <v>0.54060819999999998</v>
      </c>
      <c r="F11" t="s">
        <v>38</v>
      </c>
      <c r="G11">
        <v>-476.23680000000002</v>
      </c>
      <c r="H11">
        <v>0.96814159999999905</v>
      </c>
      <c r="I11">
        <v>367.4776</v>
      </c>
      <c r="J11">
        <v>-476.90969999999999</v>
      </c>
      <c r="K11">
        <v>1.103375</v>
      </c>
      <c r="L11">
        <v>367.52300000000002</v>
      </c>
      <c r="M11">
        <v>0.99999869999999902</v>
      </c>
      <c r="N11">
        <v>0</v>
      </c>
      <c r="O11" s="1">
        <v>6.1319149999999997E-5</v>
      </c>
      <c r="P11">
        <v>0.99968659999999998</v>
      </c>
      <c r="Q11">
        <v>5.1917510000000001E-4</v>
      </c>
      <c r="R11">
        <v>2.5030599999999899E-2</v>
      </c>
      <c r="S11">
        <v>3.006653</v>
      </c>
      <c r="T11">
        <v>-0.57663599999999904</v>
      </c>
      <c r="U11">
        <v>-0.19320680000000001</v>
      </c>
      <c r="V11">
        <v>-2.4969129999999999E-2</v>
      </c>
      <c r="W11">
        <v>2.1966120000000001E-3</v>
      </c>
      <c r="X11">
        <v>0.99968579999999996</v>
      </c>
      <c r="Y11">
        <v>6.3043299999999997E-2</v>
      </c>
      <c r="Z11">
        <v>-5.9964789999999999E-3</v>
      </c>
      <c r="AA11">
        <v>0.99799280000000001</v>
      </c>
      <c r="AB11">
        <v>3</v>
      </c>
      <c r="AC11">
        <v>0.67289999999996997</v>
      </c>
      <c r="AD11">
        <v>-0.1352334</v>
      </c>
      <c r="AE11">
        <v>-4.5400000000029202E-2</v>
      </c>
      <c r="AF11">
        <v>4.3684854031819202E-2</v>
      </c>
      <c r="AG11">
        <v>-0.1352334</v>
      </c>
      <c r="AH11">
        <v>0.64688821476476599</v>
      </c>
      <c r="AI11">
        <v>101.78167608373199</v>
      </c>
      <c r="AJ11">
        <v>86.136638058831906</v>
      </c>
      <c r="AK11">
        <v>0.66231472982932205</v>
      </c>
    </row>
    <row r="12" spans="1:37" x14ac:dyDescent="0.2">
      <c r="A12" t="str">
        <f>"20200111155752996"</f>
        <v>20200111155752996</v>
      </c>
      <c r="B12" t="str">
        <f>"1578729472991139"</f>
        <v>1578729472991139</v>
      </c>
      <c r="C12" t="s">
        <v>37</v>
      </c>
      <c r="D12">
        <v>5.7959050000000003</v>
      </c>
      <c r="E12">
        <v>0.54068459999999996</v>
      </c>
      <c r="F12" t="s">
        <v>38</v>
      </c>
      <c r="G12">
        <v>-476.20749999999998</v>
      </c>
      <c r="H12">
        <v>0.9674509</v>
      </c>
      <c r="I12">
        <v>367.47539999999998</v>
      </c>
      <c r="J12">
        <v>-476.87540000000001</v>
      </c>
      <c r="K12">
        <v>1.1033599999999999</v>
      </c>
      <c r="L12">
        <v>367.5231</v>
      </c>
      <c r="M12">
        <v>0.99999930000000004</v>
      </c>
      <c r="N12">
        <v>0</v>
      </c>
      <c r="O12" s="1">
        <v>7.2634769999999996E-5</v>
      </c>
      <c r="P12">
        <v>0.99973179999999995</v>
      </c>
      <c r="Q12">
        <v>1.881387E-3</v>
      </c>
      <c r="R12">
        <v>2.309197E-2</v>
      </c>
      <c r="S12">
        <v>3.0062869999999999</v>
      </c>
      <c r="T12">
        <v>-0.58207030000000004</v>
      </c>
      <c r="U12">
        <v>-0.203033399999999</v>
      </c>
      <c r="V12">
        <v>-2.3019379999999999E-2</v>
      </c>
      <c r="W12">
        <v>3.0849570000000002E-3</v>
      </c>
      <c r="X12">
        <v>0.99973029999999996</v>
      </c>
      <c r="Y12">
        <v>6.6229479999999993E-2</v>
      </c>
      <c r="Z12">
        <v>-6.3594979999999999E-3</v>
      </c>
      <c r="AA12">
        <v>0.99778409999999995</v>
      </c>
      <c r="AB12">
        <v>3</v>
      </c>
      <c r="AC12">
        <v>0.66790000000003102</v>
      </c>
      <c r="AD12">
        <v>-0.1359091</v>
      </c>
      <c r="AE12">
        <v>-4.7700000000020198E-2</v>
      </c>
      <c r="AF12">
        <v>4.5859252942746398E-2</v>
      </c>
      <c r="AG12">
        <v>-0.1359091</v>
      </c>
      <c r="AH12">
        <v>0.64146995076240998</v>
      </c>
      <c r="AI12">
        <v>101.93285281625199</v>
      </c>
      <c r="AJ12">
        <v>85.910831191174097</v>
      </c>
      <c r="AK12">
        <v>0.65731122938407605</v>
      </c>
    </row>
    <row r="13" spans="1:37" x14ac:dyDescent="0.2">
      <c r="A13" t="str">
        <f>"20200111155753018"</f>
        <v>20200111155753018</v>
      </c>
      <c r="B13" t="str">
        <f>"1578729473010660"</f>
        <v>1578729473010660</v>
      </c>
      <c r="C13" t="s">
        <v>37</v>
      </c>
      <c r="D13">
        <v>5.8406799999999999</v>
      </c>
      <c r="E13">
        <v>0.5438731</v>
      </c>
      <c r="F13" t="s">
        <v>38</v>
      </c>
      <c r="G13">
        <v>-476.17540000000002</v>
      </c>
      <c r="H13">
        <v>0.96833189999999902</v>
      </c>
      <c r="I13">
        <v>367.4742</v>
      </c>
      <c r="J13">
        <v>-476.83839999999998</v>
      </c>
      <c r="K13">
        <v>1.1033329999999999</v>
      </c>
      <c r="L13">
        <v>367.5231</v>
      </c>
      <c r="M13">
        <v>0.99999979999999999</v>
      </c>
      <c r="N13">
        <v>0</v>
      </c>
      <c r="O13" s="1">
        <v>8.5187779999999996E-5</v>
      </c>
      <c r="P13">
        <v>0.99975040000000004</v>
      </c>
      <c r="Q13">
        <v>1.9231889999999901E-3</v>
      </c>
      <c r="R13">
        <v>2.2256769999999999E-2</v>
      </c>
      <c r="S13">
        <v>3.0067439999999999</v>
      </c>
      <c r="T13">
        <v>-0.57999969999999901</v>
      </c>
      <c r="U13">
        <v>-0.20953369999999999</v>
      </c>
      <c r="V13">
        <v>-2.217181E-2</v>
      </c>
      <c r="W13">
        <v>2.7073029999999999E-3</v>
      </c>
      <c r="X13">
        <v>0.99975049999999899</v>
      </c>
      <c r="Y13">
        <v>6.8348729999999996E-2</v>
      </c>
      <c r="Z13">
        <v>-6.5405769999999997E-3</v>
      </c>
      <c r="AA13">
        <v>0.99764010000000003</v>
      </c>
      <c r="AB13">
        <v>3</v>
      </c>
      <c r="AC13">
        <v>0.66299999999995396</v>
      </c>
      <c r="AD13">
        <v>-0.13500109999999901</v>
      </c>
      <c r="AE13">
        <v>-4.8900000000003198E-2</v>
      </c>
      <c r="AF13">
        <v>4.70175952027247E-2</v>
      </c>
      <c r="AG13">
        <v>-0.13500109999999901</v>
      </c>
      <c r="AH13">
        <v>0.63673838624331802</v>
      </c>
      <c r="AI13">
        <v>101.938999896323</v>
      </c>
      <c r="AJ13">
        <v>85.7768691722802</v>
      </c>
      <c r="AK13">
        <v>0.65258847965283795</v>
      </c>
    </row>
    <row r="14" spans="1:37" x14ac:dyDescent="0.2">
      <c r="A14" t="str">
        <f>"20200111155753040"</f>
        <v>20200111155753040</v>
      </c>
      <c r="B14" t="str">
        <f>"1578729473031155"</f>
        <v>1578729473031155</v>
      </c>
      <c r="C14" t="s">
        <v>37</v>
      </c>
      <c r="D14">
        <v>5.8520560000000001</v>
      </c>
      <c r="E14">
        <v>0.54415669999999905</v>
      </c>
      <c r="F14" t="s">
        <v>38</v>
      </c>
      <c r="G14">
        <v>-476.15260000000001</v>
      </c>
      <c r="H14">
        <v>0.94518630000000003</v>
      </c>
      <c r="I14">
        <v>367.47089999999997</v>
      </c>
      <c r="J14">
        <v>-476.79809999999998</v>
      </c>
      <c r="K14">
        <v>1.1032979999999999</v>
      </c>
      <c r="L14">
        <v>367.52319999999997</v>
      </c>
      <c r="M14">
        <v>0.99999989999999905</v>
      </c>
      <c r="N14">
        <v>0</v>
      </c>
      <c r="O14" s="1">
        <v>9.8121030000000007E-5</v>
      </c>
      <c r="P14">
        <v>0.99974240000000003</v>
      </c>
      <c r="Q14">
        <v>2.1759420000000002E-3</v>
      </c>
      <c r="R14">
        <v>2.259297E-2</v>
      </c>
      <c r="S14">
        <v>3.0071720000000002</v>
      </c>
      <c r="T14">
        <v>-0.6934205</v>
      </c>
      <c r="U14">
        <v>-0.22872919999999999</v>
      </c>
      <c r="V14">
        <v>-2.2495029999999999E-2</v>
      </c>
      <c r="W14">
        <v>2.5823729999999998E-3</v>
      </c>
      <c r="X14">
        <v>0.99974359999999995</v>
      </c>
      <c r="Y14">
        <v>7.4006479999999999E-2</v>
      </c>
      <c r="Z14">
        <v>-8.432653E-3</v>
      </c>
      <c r="AA14">
        <v>0.9972221</v>
      </c>
      <c r="AB14">
        <v>4</v>
      </c>
      <c r="AC14">
        <v>0.64549999999996999</v>
      </c>
      <c r="AD14">
        <v>-0.15811169999999899</v>
      </c>
      <c r="AE14">
        <v>-5.23000000000024E-2</v>
      </c>
      <c r="AF14">
        <v>4.9417718091872898E-2</v>
      </c>
      <c r="AG14">
        <v>-0.15811169999999899</v>
      </c>
      <c r="AH14">
        <v>0.60918354668594799</v>
      </c>
      <c r="AI14">
        <v>104.504270002575</v>
      </c>
      <c r="AJ14">
        <v>85.362251288780897</v>
      </c>
      <c r="AK14">
        <v>0.63130500876451801</v>
      </c>
    </row>
    <row r="15" spans="1:37" x14ac:dyDescent="0.2">
      <c r="A15" t="str">
        <f>"20200111155753064"</f>
        <v>20200111155753064</v>
      </c>
      <c r="B15" t="str">
        <f>"1578729473061413"</f>
        <v>1578729473061413</v>
      </c>
      <c r="C15" t="s">
        <v>37</v>
      </c>
      <c r="D15">
        <v>5.8389790000000001</v>
      </c>
      <c r="E15">
        <v>0.54345489999999996</v>
      </c>
      <c r="F15" t="s">
        <v>38</v>
      </c>
      <c r="G15">
        <v>-476.11610000000002</v>
      </c>
      <c r="H15">
        <v>0.94638440000000001</v>
      </c>
      <c r="I15">
        <v>367.47089999999997</v>
      </c>
      <c r="J15">
        <v>-476.75510000000003</v>
      </c>
      <c r="K15">
        <v>1.1032629999999899</v>
      </c>
      <c r="L15">
        <v>367.52319999999997</v>
      </c>
      <c r="M15">
        <v>1</v>
      </c>
      <c r="N15">
        <v>0</v>
      </c>
      <c r="O15">
        <v>1.1199450000000001E-4</v>
      </c>
      <c r="P15">
        <v>0.99970939999999997</v>
      </c>
      <c r="Q15">
        <v>2.1503489999999902E-3</v>
      </c>
      <c r="R15">
        <v>2.4009429999999998E-2</v>
      </c>
      <c r="S15">
        <v>3.0075069999999999</v>
      </c>
      <c r="T15">
        <v>-0.69196329999999995</v>
      </c>
      <c r="U15">
        <v>-0.2307739</v>
      </c>
      <c r="V15">
        <v>-2.3897519999999998E-2</v>
      </c>
      <c r="W15">
        <v>2.2204539999999902E-3</v>
      </c>
      <c r="X15">
        <v>0.99971189999999999</v>
      </c>
      <c r="Y15">
        <v>7.4676690000000004E-2</v>
      </c>
      <c r="Z15">
        <v>-8.4934030000000001E-3</v>
      </c>
      <c r="AA15">
        <v>0.99717160000000005</v>
      </c>
      <c r="AB15">
        <v>4</v>
      </c>
      <c r="AC15">
        <v>0.63900000000001</v>
      </c>
      <c r="AD15">
        <v>-0.15687859999999901</v>
      </c>
      <c r="AE15">
        <v>-5.23000000000024E-2</v>
      </c>
      <c r="AF15">
        <v>4.9413087784156103E-2</v>
      </c>
      <c r="AG15">
        <v>-0.15687859999999901</v>
      </c>
      <c r="AH15">
        <v>0.60289727787160996</v>
      </c>
      <c r="AI15">
        <v>104.538696798484</v>
      </c>
      <c r="AJ15">
        <v>85.314545905204199</v>
      </c>
      <c r="AK15">
        <v>0.624930136933179</v>
      </c>
    </row>
    <row r="16" spans="1:37" x14ac:dyDescent="0.2">
      <c r="A16" t="str">
        <f>"20200111155753084"</f>
        <v>20200111155753084</v>
      </c>
      <c r="B16" t="str">
        <f>"1578729473080932"</f>
        <v>1578729473080932</v>
      </c>
      <c r="C16" t="s">
        <v>37</v>
      </c>
      <c r="D16">
        <v>5.8492809999999897</v>
      </c>
      <c r="E16">
        <v>0.54321299999999995</v>
      </c>
      <c r="F16" t="s">
        <v>38</v>
      </c>
      <c r="G16">
        <v>-476.07749999999999</v>
      </c>
      <c r="H16">
        <v>0.94743840000000001</v>
      </c>
      <c r="I16">
        <v>367.47300000000001</v>
      </c>
      <c r="J16">
        <v>-476.71319999999997</v>
      </c>
      <c r="K16">
        <v>1.1032379999999999</v>
      </c>
      <c r="L16">
        <v>367.52330000000001</v>
      </c>
      <c r="M16">
        <v>0.99999989999999905</v>
      </c>
      <c r="N16">
        <v>0</v>
      </c>
      <c r="O16">
        <v>1.2510249999999999E-4</v>
      </c>
      <c r="P16">
        <v>0.99967009999999901</v>
      </c>
      <c r="Q16">
        <v>1.9461329999999901E-3</v>
      </c>
      <c r="R16">
        <v>2.5615539999999999E-2</v>
      </c>
      <c r="S16">
        <v>3.00766</v>
      </c>
      <c r="T16">
        <v>-0.69169080000000005</v>
      </c>
      <c r="U16">
        <v>-0.22143550000000001</v>
      </c>
      <c r="V16">
        <v>-2.549065E-2</v>
      </c>
      <c r="W16">
        <v>1.7398029999999901E-3</v>
      </c>
      <c r="X16">
        <v>0.99967349999999999</v>
      </c>
      <c r="Y16">
        <v>7.168534E-2</v>
      </c>
      <c r="Z16">
        <v>-8.1545509999999995E-3</v>
      </c>
      <c r="AA16">
        <v>0.997394</v>
      </c>
      <c r="AB16">
        <v>4</v>
      </c>
      <c r="AC16">
        <v>0.63569999999998505</v>
      </c>
      <c r="AD16">
        <v>-0.15579959999999901</v>
      </c>
      <c r="AE16">
        <v>-5.0299999999992899E-2</v>
      </c>
      <c r="AF16">
        <v>4.7541660304120201E-2</v>
      </c>
      <c r="AG16">
        <v>-0.15579959999999901</v>
      </c>
      <c r="AH16">
        <v>0.59988522503904695</v>
      </c>
      <c r="AI16">
        <v>104.51537504692</v>
      </c>
      <c r="AJ16">
        <v>85.468708065112494</v>
      </c>
      <c r="AK16">
        <v>0.62160759973216195</v>
      </c>
    </row>
    <row r="17" spans="1:37" x14ac:dyDescent="0.2">
      <c r="A17" t="str">
        <f>"20200111155753108"</f>
        <v>20200111155753108</v>
      </c>
      <c r="B17" t="str">
        <f>"1578729473101429"</f>
        <v>1578729473101429</v>
      </c>
      <c r="C17" t="s">
        <v>37</v>
      </c>
      <c r="D17">
        <v>5.8604469999999997</v>
      </c>
      <c r="E17">
        <v>0.54319319999999904</v>
      </c>
      <c r="F17" t="s">
        <v>38</v>
      </c>
      <c r="G17">
        <v>-476.03730000000002</v>
      </c>
      <c r="H17">
        <v>0.94765540000000004</v>
      </c>
      <c r="I17">
        <v>367.47460000000001</v>
      </c>
      <c r="J17">
        <v>-476.66419999999999</v>
      </c>
      <c r="K17">
        <v>1.1032169999999999</v>
      </c>
      <c r="L17">
        <v>367.52330000000001</v>
      </c>
      <c r="M17">
        <v>0.99999989999999905</v>
      </c>
      <c r="N17">
        <v>0</v>
      </c>
      <c r="O17">
        <v>1.3990070000000001E-4</v>
      </c>
      <c r="P17">
        <v>0.99961270000000002</v>
      </c>
      <c r="Q17">
        <v>4.3795999999999999E-4</v>
      </c>
      <c r="R17">
        <v>2.7823190000000001E-2</v>
      </c>
      <c r="S17">
        <v>3.0079349999999998</v>
      </c>
      <c r="T17">
        <v>-0.69247219999999998</v>
      </c>
      <c r="U17">
        <v>-0.21560670000000001</v>
      </c>
      <c r="V17">
        <v>-2.7683360000000001E-2</v>
      </c>
      <c r="W17" s="1">
        <v>-4.5579859999999998E-5</v>
      </c>
      <c r="X17">
        <v>0.99961669999999903</v>
      </c>
      <c r="Y17">
        <v>6.981482E-2</v>
      </c>
      <c r="Z17">
        <v>-7.9544439999999998E-3</v>
      </c>
      <c r="AA17">
        <v>0.99752830000000003</v>
      </c>
      <c r="AB17">
        <v>4</v>
      </c>
      <c r="AC17">
        <v>0.62689999999997703</v>
      </c>
      <c r="AD17">
        <v>-0.15556159999999999</v>
      </c>
      <c r="AE17">
        <v>-4.86999999999966E-2</v>
      </c>
      <c r="AF17">
        <v>4.5973821340635802E-2</v>
      </c>
      <c r="AG17">
        <v>-0.15556159999999999</v>
      </c>
      <c r="AH17">
        <v>0.59073645921972295</v>
      </c>
      <c r="AI17">
        <v>104.710510288809</v>
      </c>
      <c r="AJ17">
        <v>85.549949279143902</v>
      </c>
      <c r="AK17">
        <v>0.61260310797014095</v>
      </c>
    </row>
    <row r="18" spans="1:37" x14ac:dyDescent="0.2">
      <c r="A18" t="str">
        <f>"20200111155753131"</f>
        <v>20200111155753131</v>
      </c>
      <c r="B18" t="str">
        <f>"1578729473120947"</f>
        <v>1578729473120947</v>
      </c>
      <c r="C18" t="s">
        <v>37</v>
      </c>
      <c r="D18">
        <v>5.8665779999999996</v>
      </c>
      <c r="E18">
        <v>0.54331079999999998</v>
      </c>
      <c r="F18" t="s">
        <v>38</v>
      </c>
      <c r="G18">
        <v>-475.9547</v>
      </c>
      <c r="H18">
        <v>0.939025</v>
      </c>
      <c r="I18">
        <v>367.47370000000001</v>
      </c>
      <c r="J18">
        <v>-476.61169999999998</v>
      </c>
      <c r="K18">
        <v>1.103191</v>
      </c>
      <c r="L18">
        <v>367.52330000000001</v>
      </c>
      <c r="M18">
        <v>0.99999979999999999</v>
      </c>
      <c r="N18">
        <v>0</v>
      </c>
      <c r="O18">
        <v>1.5502469999999999E-4</v>
      </c>
      <c r="P18">
        <v>0.99956979999999995</v>
      </c>
      <c r="Q18" s="1">
        <v>1.030415E-5</v>
      </c>
      <c r="R18">
        <v>2.932945E-2</v>
      </c>
      <c r="S18">
        <v>3.0073240000000001</v>
      </c>
      <c r="T18">
        <v>-0.69599160000000004</v>
      </c>
      <c r="U18">
        <v>-0.20956420000000001</v>
      </c>
      <c r="V18">
        <v>-2.9174769999999999E-2</v>
      </c>
      <c r="W18">
        <v>-7.3148539999999995E-4</v>
      </c>
      <c r="X18">
        <v>0.99957410000000002</v>
      </c>
      <c r="Y18">
        <v>6.7880990000000002E-2</v>
      </c>
      <c r="Z18">
        <v>-7.7788090000000002E-3</v>
      </c>
      <c r="AA18">
        <v>0.99766309999999903</v>
      </c>
      <c r="AB18">
        <v>5</v>
      </c>
      <c r="AC18">
        <v>0.65699999999998204</v>
      </c>
      <c r="AD18">
        <v>-0.16416600000000001</v>
      </c>
      <c r="AE18">
        <v>-4.9599999999998E-2</v>
      </c>
      <c r="AF18">
        <v>4.6796611485078202E-2</v>
      </c>
      <c r="AG18">
        <v>-0.16416600000000001</v>
      </c>
      <c r="AH18">
        <v>0.61858890853716897</v>
      </c>
      <c r="AI18">
        <v>104.822508779708</v>
      </c>
      <c r="AJ18">
        <v>85.673781325081904</v>
      </c>
      <c r="AK18">
        <v>0.64171071065371099</v>
      </c>
    </row>
    <row r="19" spans="1:37" x14ac:dyDescent="0.2">
      <c r="A19" t="str">
        <f>"20200111155753153"</f>
        <v>20200111155753153</v>
      </c>
      <c r="B19" t="str">
        <f>"1578729473141443"</f>
        <v>1578729473141443</v>
      </c>
      <c r="C19" t="s">
        <v>37</v>
      </c>
      <c r="D19">
        <v>5.8879169999999998</v>
      </c>
      <c r="E19">
        <v>0.53029749999999998</v>
      </c>
      <c r="F19" t="s">
        <v>38</v>
      </c>
      <c r="G19">
        <v>-475.9076</v>
      </c>
      <c r="H19">
        <v>0.9400463</v>
      </c>
      <c r="I19">
        <v>367.47460000000001</v>
      </c>
      <c r="J19">
        <v>-476.56150000000002</v>
      </c>
      <c r="K19">
        <v>1.103178</v>
      </c>
      <c r="L19">
        <v>367.52339999999998</v>
      </c>
      <c r="M19">
        <v>0.99999950000000004</v>
      </c>
      <c r="N19">
        <v>0</v>
      </c>
      <c r="O19">
        <v>1.6905959999999901E-4</v>
      </c>
      <c r="P19">
        <v>0.99953380000000003</v>
      </c>
      <c r="Q19">
        <v>-4.4509019999999902E-4</v>
      </c>
      <c r="R19">
        <v>3.0533660000000001E-2</v>
      </c>
      <c r="S19">
        <v>3.00738499999999</v>
      </c>
      <c r="T19">
        <v>-0.69686320000000002</v>
      </c>
      <c r="U19">
        <v>-0.207183799999999</v>
      </c>
      <c r="V19">
        <v>-3.0364889999999999E-2</v>
      </c>
      <c r="W19">
        <v>-1.408566E-3</v>
      </c>
      <c r="X19">
        <v>0.99953789999999998</v>
      </c>
      <c r="Y19">
        <v>6.712282E-2</v>
      </c>
      <c r="Z19">
        <v>-7.7049639999999999E-3</v>
      </c>
      <c r="AA19">
        <v>0.99771500000000002</v>
      </c>
      <c r="AB19">
        <v>5</v>
      </c>
      <c r="AC19">
        <v>0.65390000000002102</v>
      </c>
      <c r="AD19">
        <v>-0.16313169999999999</v>
      </c>
      <c r="AE19">
        <v>-4.8799999999971498E-2</v>
      </c>
      <c r="AF19">
        <v>4.6059767488966501E-2</v>
      </c>
      <c r="AG19">
        <v>-0.16313169999999999</v>
      </c>
      <c r="AH19">
        <v>0.61577927698012402</v>
      </c>
      <c r="AI19">
        <v>104.79837785674199</v>
      </c>
      <c r="AJ19">
        <v>85.722290239168501</v>
      </c>
      <c r="AK19">
        <v>0.63868425038057097</v>
      </c>
    </row>
    <row r="20" spans="1:37" x14ac:dyDescent="0.2">
      <c r="A20" t="str">
        <f>"20200111155753175"</f>
        <v>20200111155753175</v>
      </c>
      <c r="B20" t="str">
        <f>"1578729473170725"</f>
        <v>1578729473170725</v>
      </c>
      <c r="C20" t="s">
        <v>37</v>
      </c>
      <c r="D20">
        <v>5.9660900000000003</v>
      </c>
      <c r="E20">
        <v>0.51801980000000003</v>
      </c>
      <c r="F20" t="s">
        <v>38</v>
      </c>
      <c r="G20">
        <v>-475.84539999999998</v>
      </c>
      <c r="H20">
        <v>0.96778790000000003</v>
      </c>
      <c r="I20">
        <v>367.49709999999999</v>
      </c>
      <c r="J20">
        <v>-476.50560000000002</v>
      </c>
      <c r="K20">
        <v>1.1031549999999899</v>
      </c>
      <c r="L20">
        <v>367.52339999999998</v>
      </c>
      <c r="M20">
        <v>0.99999930000000004</v>
      </c>
      <c r="N20">
        <v>0</v>
      </c>
      <c r="O20">
        <v>1.84617599999999E-4</v>
      </c>
      <c r="P20">
        <v>0.9995096</v>
      </c>
      <c r="Q20">
        <v>7.1138519999999999E-4</v>
      </c>
      <c r="R20">
        <v>3.130894E-2</v>
      </c>
      <c r="S20">
        <v>3.004486</v>
      </c>
      <c r="T20">
        <v>-0.56806699999999999</v>
      </c>
      <c r="U20">
        <v>-0.1094666</v>
      </c>
      <c r="V20">
        <v>-3.112415E-2</v>
      </c>
      <c r="W20">
        <v>-4.7712019999999902E-4</v>
      </c>
      <c r="X20">
        <v>0.99951540000000005</v>
      </c>
      <c r="Y20">
        <v>3.5955239999999999E-2</v>
      </c>
      <c r="Z20">
        <v>-3.402735E-3</v>
      </c>
      <c r="AA20">
        <v>0.9993476</v>
      </c>
      <c r="AB20">
        <v>5</v>
      </c>
      <c r="AC20">
        <v>0.66020000000003098</v>
      </c>
      <c r="AD20">
        <v>-0.13536709999999899</v>
      </c>
      <c r="AE20">
        <v>-2.6299999999992E-2</v>
      </c>
      <c r="AF20">
        <v>2.5357512742388202E-2</v>
      </c>
      <c r="AG20">
        <v>-0.13536709999999899</v>
      </c>
      <c r="AH20">
        <v>0.63360002619765998</v>
      </c>
      <c r="AI20">
        <v>102.05042976052501</v>
      </c>
      <c r="AJ20">
        <v>87.708170062009003</v>
      </c>
      <c r="AK20">
        <v>0.64839513293405104</v>
      </c>
    </row>
    <row r="21" spans="1:37" x14ac:dyDescent="0.2">
      <c r="A21" t="str">
        <f>"20200111155753197"</f>
        <v>20200111155753197</v>
      </c>
      <c r="B21" t="str">
        <f>"1578729473191220"</f>
        <v>1578729473191220</v>
      </c>
      <c r="C21" t="s">
        <v>37</v>
      </c>
      <c r="D21">
        <v>5.8774030000000002</v>
      </c>
      <c r="E21">
        <v>0.51478619999999997</v>
      </c>
      <c r="F21" t="s">
        <v>38</v>
      </c>
      <c r="G21">
        <v>-475.77800000000002</v>
      </c>
      <c r="H21">
        <v>1.0019309999999999</v>
      </c>
      <c r="I21">
        <v>367.51819999999998</v>
      </c>
      <c r="J21">
        <v>-476.44830000000002</v>
      </c>
      <c r="K21">
        <v>1.103111</v>
      </c>
      <c r="L21">
        <v>367.52350000000001</v>
      </c>
      <c r="M21">
        <v>0.99999919999999998</v>
      </c>
      <c r="N21">
        <v>0</v>
      </c>
      <c r="O21">
        <v>2.0015669999999999E-4</v>
      </c>
      <c r="P21">
        <v>0.99947249999999999</v>
      </c>
      <c r="Q21">
        <v>3.0761849999999999E-3</v>
      </c>
      <c r="R21">
        <v>3.233813E-2</v>
      </c>
      <c r="S21">
        <v>3.00238</v>
      </c>
      <c r="T21">
        <v>-0.41797770000000001</v>
      </c>
      <c r="U21">
        <v>-2.0019530000000001E-2</v>
      </c>
      <c r="V21">
        <v>-3.2138319999999998E-2</v>
      </c>
      <c r="W21">
        <v>1.6720929999999999E-3</v>
      </c>
      <c r="X21">
        <v>0.99948199999999998</v>
      </c>
      <c r="Y21">
        <v>6.8003809999999899E-3</v>
      </c>
      <c r="Z21">
        <v>-4.9881320000000004E-4</v>
      </c>
      <c r="AA21">
        <v>0.9999768</v>
      </c>
      <c r="AB21">
        <v>5</v>
      </c>
      <c r="AC21">
        <v>0.67029999999999701</v>
      </c>
      <c r="AD21">
        <v>-0.10118000000000001</v>
      </c>
      <c r="AE21">
        <v>-5.3000000000338297E-3</v>
      </c>
      <c r="AF21">
        <v>5.3131128037603899E-3</v>
      </c>
      <c r="AG21">
        <v>-0.10118000000000001</v>
      </c>
      <c r="AH21">
        <v>0.655367251837219</v>
      </c>
      <c r="AI21">
        <v>98.776131897505294</v>
      </c>
      <c r="AJ21">
        <v>89.535508877105102</v>
      </c>
      <c r="AK21">
        <v>0.66315296602543605</v>
      </c>
    </row>
    <row r="22" spans="1:37" x14ac:dyDescent="0.2">
      <c r="A22" t="str">
        <f>"20200111155753219"</f>
        <v>20200111155753219</v>
      </c>
      <c r="B22" t="str">
        <f>"1578729473210740"</f>
        <v>1578729473210740</v>
      </c>
      <c r="C22" t="s">
        <v>37</v>
      </c>
      <c r="D22">
        <v>5.8707709999999897</v>
      </c>
      <c r="E22">
        <v>0.51345470000000004</v>
      </c>
      <c r="F22" t="s">
        <v>38</v>
      </c>
      <c r="G22">
        <v>-475.71530000000001</v>
      </c>
      <c r="H22">
        <v>1.0220370000000001</v>
      </c>
      <c r="I22">
        <v>367.52420000000001</v>
      </c>
      <c r="J22">
        <v>-476.38670000000002</v>
      </c>
      <c r="K22">
        <v>1.1030389999999901</v>
      </c>
      <c r="L22">
        <v>367.52350000000001</v>
      </c>
      <c r="M22">
        <v>0.99999869999999902</v>
      </c>
      <c r="N22">
        <v>0</v>
      </c>
      <c r="O22">
        <v>2.1620290000000001E-4</v>
      </c>
      <c r="P22">
        <v>0.9994305</v>
      </c>
      <c r="Q22">
        <v>4.6441590000000001E-3</v>
      </c>
      <c r="R22">
        <v>3.3422779999999999E-2</v>
      </c>
      <c r="S22">
        <v>3.0025019999999998</v>
      </c>
      <c r="T22">
        <v>-0.33197009999999899</v>
      </c>
      <c r="U22">
        <v>2.8076170000000001E-3</v>
      </c>
      <c r="V22">
        <v>-3.320671E-2</v>
      </c>
      <c r="W22">
        <v>3.0172459999999999E-3</v>
      </c>
      <c r="X22">
        <v>0.99944390000000005</v>
      </c>
      <c r="Y22">
        <v>-7.1584419999999897E-4</v>
      </c>
      <c r="Z22" s="1">
        <v>1.56214799999999E-5</v>
      </c>
      <c r="AA22">
        <v>0.99999979999999999</v>
      </c>
      <c r="AB22">
        <v>6</v>
      </c>
      <c r="AC22">
        <v>0.67140000000000499</v>
      </c>
      <c r="AD22">
        <v>-8.1001999999999796E-2</v>
      </c>
      <c r="AE22">
        <v>6.9999999999481501E-4</v>
      </c>
      <c r="AF22">
        <v>-5.4688102236845099E-4</v>
      </c>
      <c r="AG22">
        <v>-8.1001999999999796E-2</v>
      </c>
      <c r="AH22">
        <v>0.66176774836032204</v>
      </c>
      <c r="AI22">
        <v>96.978429000385404</v>
      </c>
      <c r="AJ22">
        <v>90.047348888521995</v>
      </c>
      <c r="AK22">
        <v>0.66670696400498397</v>
      </c>
    </row>
    <row r="23" spans="1:37" x14ac:dyDescent="0.2">
      <c r="A23" t="str">
        <f>"20200111155753240"</f>
        <v>20200111155753240</v>
      </c>
      <c r="B23" t="str">
        <f>"1578729473231235"</f>
        <v>1578729473231235</v>
      </c>
      <c r="C23" t="s">
        <v>37</v>
      </c>
      <c r="D23">
        <v>5.8821250000000003</v>
      </c>
      <c r="E23">
        <v>0.51285159999999996</v>
      </c>
      <c r="F23" t="s">
        <v>38</v>
      </c>
      <c r="G23">
        <v>-475.65469999999999</v>
      </c>
      <c r="H23">
        <v>1.0329839999999999</v>
      </c>
      <c r="I23">
        <v>367.52640000000002</v>
      </c>
      <c r="J23">
        <v>-476.32490000000001</v>
      </c>
      <c r="K23">
        <v>1.1029629999999999</v>
      </c>
      <c r="L23">
        <v>367.52359999999999</v>
      </c>
      <c r="M23">
        <v>0.99999850000000001</v>
      </c>
      <c r="N23">
        <v>0</v>
      </c>
      <c r="O23">
        <v>2.3151199999999999E-4</v>
      </c>
      <c r="P23">
        <v>0.99941069999999999</v>
      </c>
      <c r="Q23">
        <v>3.2300800000000002E-3</v>
      </c>
      <c r="R23">
        <v>3.4175869999999997E-2</v>
      </c>
      <c r="S23">
        <v>3.0025629999999999</v>
      </c>
      <c r="T23">
        <v>-0.28757179999999999</v>
      </c>
      <c r="U23">
        <v>1.358032E-2</v>
      </c>
      <c r="V23">
        <v>-3.3944549999999997E-2</v>
      </c>
      <c r="W23">
        <v>1.38313E-3</v>
      </c>
      <c r="X23">
        <v>0.99942279999999994</v>
      </c>
      <c r="Y23">
        <v>-4.2728599999999999E-3</v>
      </c>
      <c r="Z23">
        <v>1.8202689999999999E-4</v>
      </c>
      <c r="AA23">
        <v>0.99999090000000002</v>
      </c>
      <c r="AB23">
        <v>6</v>
      </c>
      <c r="AC23">
        <v>0.670200000000022</v>
      </c>
      <c r="AD23">
        <v>-6.9978999999999694E-2</v>
      </c>
      <c r="AE23">
        <v>2.8000000000361E-3</v>
      </c>
      <c r="AF23">
        <v>-2.6163164277563399E-3</v>
      </c>
      <c r="AG23">
        <v>-6.9978999999999694E-2</v>
      </c>
      <c r="AH23">
        <v>0.66297268801673703</v>
      </c>
      <c r="AI23">
        <v>96.025404468870093</v>
      </c>
      <c r="AJ23">
        <v>90.226107521043403</v>
      </c>
      <c r="AK23">
        <v>0.66666085126455998</v>
      </c>
    </row>
    <row r="24" spans="1:37" x14ac:dyDescent="0.2">
      <c r="A24" t="str">
        <f>"20200111155753287"</f>
        <v>20200111155753287</v>
      </c>
      <c r="B24" t="str">
        <f>"1578729473281012"</f>
        <v>1578729473281012</v>
      </c>
      <c r="C24" t="s">
        <v>37</v>
      </c>
      <c r="D24">
        <v>5.960699</v>
      </c>
      <c r="E24">
        <v>0.51356650000000004</v>
      </c>
      <c r="F24" t="s">
        <v>39</v>
      </c>
      <c r="G24">
        <v>-332.01280000000003</v>
      </c>
      <c r="H24" s="1">
        <v>-3.7626019999999998E-6</v>
      </c>
      <c r="I24">
        <v>367.62180000000001</v>
      </c>
      <c r="J24">
        <v>-476.1848</v>
      </c>
      <c r="K24">
        <v>1.1027899999999999</v>
      </c>
      <c r="L24">
        <v>367.52370000000002</v>
      </c>
      <c r="M24">
        <v>0.99999729999999998</v>
      </c>
      <c r="N24">
        <v>0</v>
      </c>
      <c r="O24">
        <v>2.6436180000000001E-4</v>
      </c>
      <c r="P24">
        <v>0.99929169999999901</v>
      </c>
      <c r="Q24">
        <v>-2.2430570000000001E-3</v>
      </c>
      <c r="R24">
        <v>3.7572990000000001E-2</v>
      </c>
      <c r="S24">
        <v>3.0018009999999999</v>
      </c>
      <c r="T24">
        <v>-2.2942540000000001E-2</v>
      </c>
      <c r="U24">
        <v>2.0446779999999999E-3</v>
      </c>
      <c r="V24">
        <v>-3.7309479999999999E-2</v>
      </c>
      <c r="W24">
        <v>-4.5993020000000004E-3</v>
      </c>
      <c r="X24">
        <v>0.99929310000000005</v>
      </c>
      <c r="Y24">
        <v>-4.16783399999999E-4</v>
      </c>
      <c r="Z24" s="1">
        <v>-4.2777389999999998E-7</v>
      </c>
      <c r="AA24">
        <v>0.99999989999999905</v>
      </c>
      <c r="AB24">
        <v>6</v>
      </c>
      <c r="AC24">
        <v>144.171999999999</v>
      </c>
      <c r="AD24">
        <v>-1.1027937626019999</v>
      </c>
      <c r="AE24">
        <v>9.8099999999988002E-2</v>
      </c>
      <c r="AF24">
        <v>-5.9982816001394601E-2</v>
      </c>
      <c r="AG24">
        <v>-1.1027937626019999</v>
      </c>
      <c r="AH24">
        <v>144.163585953455</v>
      </c>
      <c r="AI24">
        <v>90.438281206492206</v>
      </c>
      <c r="AJ24">
        <v>90.023839320998704</v>
      </c>
      <c r="AK24">
        <v>144.167816335617</v>
      </c>
    </row>
    <row r="25" spans="1:37" x14ac:dyDescent="0.2">
      <c r="A25" t="str">
        <f>"20200111155753309"</f>
        <v>20200111155753309</v>
      </c>
      <c r="B25" t="str">
        <f>"1578729473301508"</f>
        <v>1578729473301508</v>
      </c>
      <c r="C25" t="s">
        <v>37</v>
      </c>
      <c r="D25">
        <v>5.9625029999999999</v>
      </c>
      <c r="E25">
        <v>0.51377700000000004</v>
      </c>
      <c r="F25" t="s">
        <v>39</v>
      </c>
      <c r="G25">
        <v>-449.77940000000001</v>
      </c>
      <c r="H25" s="1">
        <v>-5.9829549999999898E-7</v>
      </c>
      <c r="I25">
        <v>367.62670000000003</v>
      </c>
      <c r="J25">
        <v>-476.11099999999999</v>
      </c>
      <c r="K25">
        <v>1.1027199999999999</v>
      </c>
      <c r="L25">
        <v>367.52370000000002</v>
      </c>
      <c r="M25">
        <v>0.99999660000000001</v>
      </c>
      <c r="N25">
        <v>0</v>
      </c>
      <c r="O25">
        <v>2.8018279999999899E-4</v>
      </c>
      <c r="P25">
        <v>0.99924279999999999</v>
      </c>
      <c r="Q25">
        <v>-3.4124590000000001E-3</v>
      </c>
      <c r="R25">
        <v>3.8761709999999998E-2</v>
      </c>
      <c r="S25">
        <v>3.0014340000000002</v>
      </c>
      <c r="T25">
        <v>-0.1253514</v>
      </c>
      <c r="U25">
        <v>1.171875E-2</v>
      </c>
      <c r="V25">
        <v>-3.8482299999999997E-2</v>
      </c>
      <c r="W25">
        <v>-6.038173E-3</v>
      </c>
      <c r="X25">
        <v>0.99924109999999999</v>
      </c>
      <c r="Y25">
        <v>-3.6212589999999999E-3</v>
      </c>
      <c r="Z25" s="1">
        <v>6.3889219999999999E-5</v>
      </c>
      <c r="AA25">
        <v>0.99999340000000003</v>
      </c>
      <c r="AB25">
        <v>7</v>
      </c>
      <c r="AC25">
        <v>26.331599999999899</v>
      </c>
      <c r="AD25">
        <v>-1.1027205982955</v>
      </c>
      <c r="AE25">
        <v>0.103000000000008</v>
      </c>
      <c r="AF25">
        <v>-9.5454904879178903E-2</v>
      </c>
      <c r="AG25">
        <v>-1.1027205982955</v>
      </c>
      <c r="AH25">
        <v>26.2855293504124</v>
      </c>
      <c r="AI25">
        <v>92.402226472774402</v>
      </c>
      <c r="AJ25">
        <v>90.208066539924602</v>
      </c>
      <c r="AK25">
        <v>26.308822808863201</v>
      </c>
    </row>
    <row r="26" spans="1:37" x14ac:dyDescent="0.2">
      <c r="A26" t="str">
        <f>"20200111155753330"</f>
        <v>20200111155753330</v>
      </c>
      <c r="B26" t="str">
        <f>"1578729473321027"</f>
        <v>1578729473321027</v>
      </c>
      <c r="C26" t="s">
        <v>37</v>
      </c>
      <c r="D26">
        <v>5.8926910000000001</v>
      </c>
      <c r="E26">
        <v>0.51491529999999996</v>
      </c>
      <c r="F26" t="s">
        <v>39</v>
      </c>
      <c r="G26">
        <v>-454.31740000000002</v>
      </c>
      <c r="H26" s="1">
        <v>-2.7719909999999999E-6</v>
      </c>
      <c r="I26">
        <v>367.6327</v>
      </c>
      <c r="J26">
        <v>-476.03750000000002</v>
      </c>
      <c r="K26">
        <v>1.102671</v>
      </c>
      <c r="L26">
        <v>367.52370000000002</v>
      </c>
      <c r="M26">
        <v>0.99999590000000005</v>
      </c>
      <c r="N26">
        <v>0</v>
      </c>
      <c r="O26">
        <v>2.945747E-4</v>
      </c>
      <c r="P26">
        <v>0.99920390000000003</v>
      </c>
      <c r="Q26">
        <v>-3.7575489999999998E-3</v>
      </c>
      <c r="R26">
        <v>3.9721380000000001E-2</v>
      </c>
      <c r="S26">
        <v>3.00116</v>
      </c>
      <c r="T26">
        <v>-0.15185379999999901</v>
      </c>
      <c r="U26">
        <v>1.5014649999999999E-2</v>
      </c>
      <c r="V26">
        <v>-3.9427950000000003E-2</v>
      </c>
      <c r="W26">
        <v>-6.5843259999999997E-3</v>
      </c>
      <c r="X26">
        <v>0.99920069999999905</v>
      </c>
      <c r="Y26">
        <v>-4.7026749999999999E-3</v>
      </c>
      <c r="Z26">
        <v>1.040016E-4</v>
      </c>
      <c r="AA26">
        <v>0.99998889999999996</v>
      </c>
      <c r="AB26">
        <v>7</v>
      </c>
      <c r="AC26">
        <v>21.720099999999999</v>
      </c>
      <c r="AD26">
        <v>-1.102673771991</v>
      </c>
      <c r="AE26">
        <v>0.10899999999998</v>
      </c>
      <c r="AF26">
        <v>-0.10233802490011699</v>
      </c>
      <c r="AG26">
        <v>-1.102673771991</v>
      </c>
      <c r="AH26">
        <v>21.6642964773763</v>
      </c>
      <c r="AI26">
        <v>92.913705395731597</v>
      </c>
      <c r="AJ26">
        <v>90.270652375139505</v>
      </c>
      <c r="AK26">
        <v>21.692581782223101</v>
      </c>
    </row>
    <row r="27" spans="1:37" x14ac:dyDescent="0.2">
      <c r="A27" t="str">
        <f>"20200111155753353"</f>
        <v>20200111155753353</v>
      </c>
      <c r="B27" t="str">
        <f>"1578729473340547"</f>
        <v>1578729473340547</v>
      </c>
      <c r="C27" t="s">
        <v>37</v>
      </c>
      <c r="D27">
        <v>5.9065099999999999</v>
      </c>
      <c r="E27">
        <v>0.51443939999999999</v>
      </c>
      <c r="F27" t="s">
        <v>39</v>
      </c>
      <c r="G27">
        <v>-453.28890000000001</v>
      </c>
      <c r="H27" s="1">
        <v>-3.2215239999999998E-6</v>
      </c>
      <c r="I27">
        <v>367.58589999999998</v>
      </c>
      <c r="J27">
        <v>-475.96199999999999</v>
      </c>
      <c r="K27">
        <v>1.1028450000000001</v>
      </c>
      <c r="L27">
        <v>367.52379999999999</v>
      </c>
      <c r="M27">
        <v>0.99999740000000004</v>
      </c>
      <c r="N27">
        <v>0</v>
      </c>
      <c r="O27">
        <v>3.0809309999999999E-4</v>
      </c>
      <c r="P27">
        <v>0.99915889999999996</v>
      </c>
      <c r="Q27">
        <v>-4.4328379999999997E-3</v>
      </c>
      <c r="R27">
        <v>4.0773579999999997E-2</v>
      </c>
      <c r="S27">
        <v>3.0015559999999999</v>
      </c>
      <c r="T27">
        <v>-0.14549129999999999</v>
      </c>
      <c r="U27">
        <v>8.2092290000000002E-3</v>
      </c>
      <c r="V27">
        <v>-4.0466090000000003E-2</v>
      </c>
      <c r="W27">
        <v>-6.7039179999999997E-3</v>
      </c>
      <c r="X27">
        <v>0.9991584</v>
      </c>
      <c r="Y27">
        <v>-2.4244029999999999E-3</v>
      </c>
      <c r="Z27" s="1">
        <v>4.37980699999999E-5</v>
      </c>
      <c r="AA27">
        <v>0.99999709999999997</v>
      </c>
      <c r="AB27">
        <v>8</v>
      </c>
      <c r="AC27">
        <v>22.673099999999899</v>
      </c>
      <c r="AD27">
        <v>-1.1028482215240001</v>
      </c>
      <c r="AE27">
        <v>6.2099999999986701E-2</v>
      </c>
      <c r="AF27">
        <v>-5.4984462806938701E-2</v>
      </c>
      <c r="AG27">
        <v>-1.1028482215240001</v>
      </c>
      <c r="AH27">
        <v>22.619601104467598</v>
      </c>
      <c r="AI27">
        <v>92.791311975941895</v>
      </c>
      <c r="AJ27">
        <v>90.139276171934497</v>
      </c>
      <c r="AK27">
        <v>22.6465372985828</v>
      </c>
    </row>
    <row r="28" spans="1:37" x14ac:dyDescent="0.2">
      <c r="A28" t="str">
        <f>"20200111155753367"</f>
        <v>20200111155753367</v>
      </c>
      <c r="B28" t="str">
        <f>"1578729473361044"</f>
        <v>1578729473361044</v>
      </c>
      <c r="C28" t="s">
        <v>37</v>
      </c>
      <c r="D28">
        <v>5.8904949999999996</v>
      </c>
      <c r="E28">
        <v>0.51417029999999997</v>
      </c>
      <c r="F28" t="s">
        <v>39</v>
      </c>
      <c r="G28">
        <v>-455.20080000000002</v>
      </c>
      <c r="H28" s="1">
        <v>-2.3928549999999998E-6</v>
      </c>
      <c r="I28">
        <v>367.63350000000003</v>
      </c>
      <c r="J28">
        <v>-475.91250000000002</v>
      </c>
      <c r="K28">
        <v>1.103189</v>
      </c>
      <c r="L28">
        <v>367.52379999999999</v>
      </c>
      <c r="M28">
        <v>0.99999950000000004</v>
      </c>
      <c r="N28">
        <v>0</v>
      </c>
      <c r="O28">
        <v>3.1638700000000001E-4</v>
      </c>
      <c r="P28">
        <v>0.99913739999999995</v>
      </c>
      <c r="Q28">
        <v>-5.1566700000000004E-3</v>
      </c>
      <c r="R28">
        <v>4.1204999999999999E-2</v>
      </c>
      <c r="S28">
        <v>3.00116</v>
      </c>
      <c r="T28">
        <v>-0.15942319999999999</v>
      </c>
      <c r="U28">
        <v>1.586914E-2</v>
      </c>
      <c r="V28">
        <v>-4.0889300000000003E-2</v>
      </c>
      <c r="W28">
        <v>-6.1554019999999999E-3</v>
      </c>
      <c r="X28">
        <v>0.9991447</v>
      </c>
      <c r="Y28">
        <v>-4.9646589999999997E-3</v>
      </c>
      <c r="Z28">
        <v>1.149742E-4</v>
      </c>
      <c r="AA28">
        <v>0.99998770000000003</v>
      </c>
      <c r="AB28">
        <v>8</v>
      </c>
      <c r="AC28">
        <v>20.7117</v>
      </c>
      <c r="AD28">
        <v>-1.1031913928549999</v>
      </c>
      <c r="AE28">
        <v>0.10970000000003199</v>
      </c>
      <c r="AF28">
        <v>-0.102855279367709</v>
      </c>
      <c r="AG28">
        <v>-1.1031913928549999</v>
      </c>
      <c r="AH28">
        <v>20.653140883473199</v>
      </c>
      <c r="AI28">
        <v>93.057521247026997</v>
      </c>
      <c r="AJ28">
        <v>90.285337940713106</v>
      </c>
      <c r="AK28">
        <v>20.682839234746101</v>
      </c>
    </row>
    <row r="29" spans="1:37" x14ac:dyDescent="0.2">
      <c r="A29" t="str">
        <f>"20200111155753387"</f>
        <v>20200111155753387</v>
      </c>
      <c r="B29" t="str">
        <f>"1578729473381540"</f>
        <v>1578729473381540</v>
      </c>
      <c r="C29" t="s">
        <v>37</v>
      </c>
      <c r="D29">
        <v>5.9050459999999996</v>
      </c>
      <c r="E29">
        <v>0.51417250000000003</v>
      </c>
      <c r="F29" t="s">
        <v>39</v>
      </c>
      <c r="G29">
        <v>-456.30880000000002</v>
      </c>
      <c r="H29" s="1">
        <v>-1.9141379999999998E-6</v>
      </c>
      <c r="I29">
        <v>367.65269999999998</v>
      </c>
      <c r="J29">
        <v>-475.85239999999999</v>
      </c>
      <c r="K29">
        <v>1.103731</v>
      </c>
      <c r="L29">
        <v>367.52379999999999</v>
      </c>
      <c r="M29">
        <v>0.99999930000000004</v>
      </c>
      <c r="N29">
        <v>0</v>
      </c>
      <c r="O29">
        <v>3.2463830000000003E-4</v>
      </c>
      <c r="P29">
        <v>0.99911039999999995</v>
      </c>
      <c r="Q29">
        <v>-5.7472529999999999E-3</v>
      </c>
      <c r="R29">
        <v>4.1780680000000001E-2</v>
      </c>
      <c r="S29">
        <v>3.0008849999999998</v>
      </c>
      <c r="T29">
        <v>-0.16887289999999999</v>
      </c>
      <c r="U29">
        <v>1.9744870000000001E-2</v>
      </c>
      <c r="V29">
        <v>-4.1456130000000001E-2</v>
      </c>
      <c r="W29">
        <v>-4.5431689999999997E-3</v>
      </c>
      <c r="X29">
        <v>0.99912999999999996</v>
      </c>
      <c r="Y29">
        <v>-6.2455419999999998E-3</v>
      </c>
      <c r="Z29">
        <v>1.5733699999999999E-4</v>
      </c>
      <c r="AA29">
        <v>0.99998050000000005</v>
      </c>
      <c r="AB29">
        <v>7</v>
      </c>
      <c r="AC29">
        <v>19.543599999999898</v>
      </c>
      <c r="AD29">
        <v>-1.1037329141379999</v>
      </c>
      <c r="AE29">
        <v>0.128899999999987</v>
      </c>
      <c r="AF29">
        <v>-0.12216576064052199</v>
      </c>
      <c r="AG29">
        <v>-1.1037329141379999</v>
      </c>
      <c r="AH29">
        <v>19.481507786280702</v>
      </c>
      <c r="AI29">
        <v>93.242586071006301</v>
      </c>
      <c r="AJ29">
        <v>90.359288963407593</v>
      </c>
      <c r="AK29">
        <v>19.5131313849351</v>
      </c>
    </row>
    <row r="30" spans="1:37" x14ac:dyDescent="0.2">
      <c r="A30" t="str">
        <f>"20200111155753409"</f>
        <v>20200111155753409</v>
      </c>
      <c r="B30" t="str">
        <f>"1578729473401059"</f>
        <v>1578729473401059</v>
      </c>
      <c r="C30" t="s">
        <v>37</v>
      </c>
      <c r="D30">
        <v>5.8923769999999998</v>
      </c>
      <c r="E30">
        <v>0.51415219999999995</v>
      </c>
      <c r="F30" t="s">
        <v>39</v>
      </c>
      <c r="G30">
        <v>-456.7953</v>
      </c>
      <c r="H30" s="1">
        <v>-1.704048E-6</v>
      </c>
      <c r="I30">
        <v>367.66059999999999</v>
      </c>
      <c r="J30">
        <v>-475.78469999999999</v>
      </c>
      <c r="K30">
        <v>1.1043459999999901</v>
      </c>
      <c r="L30">
        <v>367.52390000000003</v>
      </c>
      <c r="M30">
        <v>0.99999159999999998</v>
      </c>
      <c r="N30">
        <v>0</v>
      </c>
      <c r="O30">
        <v>3.31518099999999E-4</v>
      </c>
      <c r="P30">
        <v>0.99910279999999996</v>
      </c>
      <c r="Q30">
        <v>-6.15518199999999E-3</v>
      </c>
      <c r="R30">
        <v>4.1905699999999997E-2</v>
      </c>
      <c r="S30">
        <v>3.0007630000000001</v>
      </c>
      <c r="T30">
        <v>-0.17379500000000001</v>
      </c>
      <c r="U30">
        <v>2.1545410000000001E-2</v>
      </c>
      <c r="V30">
        <v>-4.1574630000000001E-2</v>
      </c>
      <c r="W30">
        <v>-2.0537929999999999E-3</v>
      </c>
      <c r="X30">
        <v>0.9991333</v>
      </c>
      <c r="Y30">
        <v>-6.8373790000000002E-3</v>
      </c>
      <c r="Z30">
        <v>1.7864740000000001E-4</v>
      </c>
      <c r="AA30">
        <v>0.99997659999999999</v>
      </c>
      <c r="AB30">
        <v>7</v>
      </c>
      <c r="AC30">
        <v>18.9893999999999</v>
      </c>
      <c r="AD30">
        <v>-1.1043477040479901</v>
      </c>
      <c r="AE30">
        <v>0.13669999999996199</v>
      </c>
      <c r="AF30">
        <v>-0.12996507527252801</v>
      </c>
      <c r="AG30">
        <v>-1.1043477040479901</v>
      </c>
      <c r="AH30">
        <v>18.925439460296399</v>
      </c>
      <c r="AI30">
        <v>93.339489434697299</v>
      </c>
      <c r="AJ30">
        <v>90.393456292589505</v>
      </c>
      <c r="AK30">
        <v>18.958078318689701</v>
      </c>
    </row>
    <row r="31" spans="1:37" x14ac:dyDescent="0.2">
      <c r="A31" t="str">
        <f>"20200111155753431"</f>
        <v>20200111155753431</v>
      </c>
      <c r="B31" t="str">
        <f>"1578729473420579"</f>
        <v>1578729473420579</v>
      </c>
      <c r="C31" t="s">
        <v>37</v>
      </c>
      <c r="D31">
        <v>5.925389</v>
      </c>
      <c r="E31">
        <v>0.51399919999999999</v>
      </c>
      <c r="F31" t="s">
        <v>39</v>
      </c>
      <c r="G31">
        <v>-457.23579999999998</v>
      </c>
      <c r="H31" s="1">
        <v>-1.5148859999999999E-6</v>
      </c>
      <c r="I31">
        <v>367.66149999999999</v>
      </c>
      <c r="J31">
        <v>-475.7242</v>
      </c>
      <c r="K31">
        <v>1.1048420000000001</v>
      </c>
      <c r="L31">
        <v>367.52390000000003</v>
      </c>
      <c r="M31">
        <v>0.99997619999999898</v>
      </c>
      <c r="N31">
        <v>0</v>
      </c>
      <c r="O31">
        <v>3.3627519999999999E-4</v>
      </c>
      <c r="P31">
        <v>0.99912109999999998</v>
      </c>
      <c r="Q31">
        <v>-6.7766459999999999E-3</v>
      </c>
      <c r="R31">
        <v>4.1364030000000003E-2</v>
      </c>
      <c r="S31">
        <v>3.000702</v>
      </c>
      <c r="T31">
        <v>-0.17865259999999999</v>
      </c>
      <c r="U31">
        <v>2.2277829999999998E-2</v>
      </c>
      <c r="V31">
        <v>-4.1027769999999998E-2</v>
      </c>
      <c r="W31">
        <v>1.195112E-4</v>
      </c>
      <c r="X31">
        <v>0.99915799999999999</v>
      </c>
      <c r="Y31">
        <v>-7.0757950000000002E-3</v>
      </c>
      <c r="Z31">
        <v>1.904431E-4</v>
      </c>
      <c r="AA31">
        <v>0.99997499999999995</v>
      </c>
      <c r="AB31">
        <v>7</v>
      </c>
      <c r="AC31">
        <v>18.488399999999999</v>
      </c>
      <c r="AD31">
        <v>-1.1048435148860001</v>
      </c>
      <c r="AE31">
        <v>0.137599999999963</v>
      </c>
      <c r="AF31">
        <v>-0.13091516798942199</v>
      </c>
      <c r="AG31">
        <v>-1.1048435148860001</v>
      </c>
      <c r="AH31">
        <v>18.422659579269101</v>
      </c>
      <c r="AI31">
        <v>93.431944688968301</v>
      </c>
      <c r="AJ31">
        <v>90.407148615613593</v>
      </c>
      <c r="AK31">
        <v>18.456223989408901</v>
      </c>
    </row>
    <row r="32" spans="1:37" x14ac:dyDescent="0.2">
      <c r="A32" t="str">
        <f>"20200111155753453"</f>
        <v>20200111155753453</v>
      </c>
      <c r="B32" t="str">
        <f>"1578729473450836"</f>
        <v>1578729473450836</v>
      </c>
      <c r="C32" t="s">
        <v>37</v>
      </c>
      <c r="D32">
        <v>6.0997709999999996</v>
      </c>
      <c r="E32">
        <v>0.51432370000000005</v>
      </c>
      <c r="F32" t="s">
        <v>39</v>
      </c>
      <c r="G32">
        <v>-457.67579999999998</v>
      </c>
      <c r="H32" s="1">
        <v>-1.3269960000000001E-6</v>
      </c>
      <c r="I32">
        <v>367.65660000000003</v>
      </c>
      <c r="J32">
        <v>-475.66550000000001</v>
      </c>
      <c r="K32">
        <v>1.105165</v>
      </c>
      <c r="L32">
        <v>367.52390000000003</v>
      </c>
      <c r="M32">
        <v>0.99995650000000003</v>
      </c>
      <c r="N32">
        <v>0</v>
      </c>
      <c r="O32">
        <v>3.3967470000000001E-4</v>
      </c>
      <c r="P32">
        <v>0.99915140000000002</v>
      </c>
      <c r="Q32">
        <v>-8.3335430000000005E-3</v>
      </c>
      <c r="R32">
        <v>4.033747E-2</v>
      </c>
      <c r="S32">
        <v>3.0004580000000001</v>
      </c>
      <c r="T32">
        <v>-0.1836739</v>
      </c>
      <c r="U32">
        <v>2.2064210000000001E-2</v>
      </c>
      <c r="V32">
        <v>-3.9998159999999998E-2</v>
      </c>
      <c r="W32">
        <v>9.844939E-4</v>
      </c>
      <c r="X32">
        <v>0.99919930000000001</v>
      </c>
      <c r="Y32">
        <v>-7.0012649999999996E-3</v>
      </c>
      <c r="Z32">
        <v>1.9331449999999999E-4</v>
      </c>
      <c r="AA32">
        <v>0.99997539999999996</v>
      </c>
      <c r="AB32">
        <v>6</v>
      </c>
      <c r="AC32">
        <v>17.989699999999999</v>
      </c>
      <c r="AD32">
        <v>-1.1051663269959999</v>
      </c>
      <c r="AE32">
        <v>0.13269999999999901</v>
      </c>
      <c r="AF32">
        <v>-0.12611314970795501</v>
      </c>
      <c r="AG32">
        <v>-1.1051663269959999</v>
      </c>
      <c r="AH32">
        <v>17.922108815964201</v>
      </c>
      <c r="AI32">
        <v>93.528587315547696</v>
      </c>
      <c r="AJ32">
        <v>90.403168624546694</v>
      </c>
      <c r="AK32">
        <v>17.9565943749955</v>
      </c>
    </row>
    <row r="33" spans="1:37" x14ac:dyDescent="0.2">
      <c r="A33" t="str">
        <f>"20200111155753477"</f>
        <v>20200111155753477</v>
      </c>
      <c r="B33" t="str">
        <f>"1578729473471332"</f>
        <v>1578729473471332</v>
      </c>
      <c r="C33" t="s">
        <v>37</v>
      </c>
      <c r="D33">
        <v>5.9345319999999999</v>
      </c>
      <c r="E33">
        <v>0.56457769999999996</v>
      </c>
      <c r="F33" t="s">
        <v>39</v>
      </c>
      <c r="G33">
        <v>-458.26330000000002</v>
      </c>
      <c r="H33" s="1">
        <v>-1.1087080000000001E-6</v>
      </c>
      <c r="I33">
        <v>367.6182</v>
      </c>
      <c r="J33">
        <v>-475.59890000000001</v>
      </c>
      <c r="K33">
        <v>1.1050340000000001</v>
      </c>
      <c r="L33">
        <v>367.524</v>
      </c>
      <c r="M33">
        <v>0.99994660000000002</v>
      </c>
      <c r="N33">
        <v>0</v>
      </c>
      <c r="O33">
        <v>3.4562470000000002E-4</v>
      </c>
      <c r="P33">
        <v>0.99919650000000004</v>
      </c>
      <c r="Q33">
        <v>-9.5967719999999999E-3</v>
      </c>
      <c r="R33">
        <v>3.8915569999999997E-2</v>
      </c>
      <c r="S33">
        <v>3.0002749999999998</v>
      </c>
      <c r="T33">
        <v>-0.19053909999999999</v>
      </c>
      <c r="U33">
        <v>1.6265870000000002E-2</v>
      </c>
      <c r="V33">
        <v>-3.857066E-2</v>
      </c>
      <c r="W33">
        <v>7.3796919999999995E-4</v>
      </c>
      <c r="X33">
        <v>0.99925560000000002</v>
      </c>
      <c r="Y33">
        <v>-5.0662329999999998E-3</v>
      </c>
      <c r="Z33">
        <v>1.387796E-4</v>
      </c>
      <c r="AA33">
        <v>0.99998719999999996</v>
      </c>
      <c r="AB33">
        <v>6</v>
      </c>
      <c r="AC33">
        <v>17.335599999999999</v>
      </c>
      <c r="AD33">
        <v>-1.1050351087079999</v>
      </c>
      <c r="AE33">
        <v>9.42000000000007E-2</v>
      </c>
      <c r="AF33">
        <v>-8.7851112019615096E-2</v>
      </c>
      <c r="AG33">
        <v>-1.1050351087079999</v>
      </c>
      <c r="AH33">
        <v>17.2654794979643</v>
      </c>
      <c r="AI33">
        <v>93.662035109145094</v>
      </c>
      <c r="AJ33">
        <v>90.291532853513701</v>
      </c>
      <c r="AK33">
        <v>17.301028949284699</v>
      </c>
    </row>
    <row r="34" spans="1:37" x14ac:dyDescent="0.2">
      <c r="A34" t="str">
        <f>"20200111155753499"</f>
        <v>20200111155753499</v>
      </c>
      <c r="B34" t="str">
        <f>"1578729473490852"</f>
        <v>1578729473490852</v>
      </c>
      <c r="C34" t="s">
        <v>37</v>
      </c>
      <c r="D34">
        <v>5.9476290000000001</v>
      </c>
      <c r="E34">
        <v>0.56678839999999997</v>
      </c>
      <c r="F34" t="s">
        <v>38</v>
      </c>
      <c r="G34">
        <v>-474.85660000000001</v>
      </c>
      <c r="H34">
        <v>1.0362</v>
      </c>
      <c r="I34">
        <v>367.42910000000001</v>
      </c>
      <c r="J34">
        <v>-475.5342</v>
      </c>
      <c r="K34">
        <v>1.1046419999999999</v>
      </c>
      <c r="L34">
        <v>367.524</v>
      </c>
      <c r="M34">
        <v>0.99994930000000004</v>
      </c>
      <c r="N34">
        <v>0</v>
      </c>
      <c r="O34">
        <v>3.5545189999999999E-4</v>
      </c>
      <c r="P34">
        <v>0.99922440000000001</v>
      </c>
      <c r="Q34">
        <v>-1.011342E-2</v>
      </c>
      <c r="R34">
        <v>3.805878E-2</v>
      </c>
      <c r="S34">
        <v>3.0147400000000002</v>
      </c>
      <c r="T34">
        <v>-0.27966960000000002</v>
      </c>
      <c r="U34">
        <v>-0.38442989999999999</v>
      </c>
      <c r="V34">
        <v>-3.7703460000000001E-2</v>
      </c>
      <c r="W34" s="1">
        <v>-5.3583059999999901E-5</v>
      </c>
      <c r="X34">
        <v>0.99928899999999998</v>
      </c>
      <c r="Y34">
        <v>0.1263099</v>
      </c>
      <c r="Z34">
        <v>-5.8555209999999998E-3</v>
      </c>
      <c r="AA34">
        <v>0.99197349999999995</v>
      </c>
      <c r="AB34">
        <v>6</v>
      </c>
      <c r="AC34">
        <v>0.67759999999998399</v>
      </c>
      <c r="AD34">
        <v>-6.8441999999999795E-2</v>
      </c>
      <c r="AE34">
        <v>-9.4899999999995502E-2</v>
      </c>
      <c r="AF34">
        <v>9.4198307958268501E-2</v>
      </c>
      <c r="AG34">
        <v>-6.8441999999999795E-2</v>
      </c>
      <c r="AH34">
        <v>0.67085363188160796</v>
      </c>
      <c r="AI34">
        <v>95.769081266178603</v>
      </c>
      <c r="AJ34">
        <v>82.007037168797893</v>
      </c>
      <c r="AK34">
        <v>0.68088341439261402</v>
      </c>
    </row>
    <row r="35" spans="1:37" x14ac:dyDescent="0.2">
      <c r="A35" t="str">
        <f>"20200111155753523"</f>
        <v>20200111155753523</v>
      </c>
      <c r="B35" t="str">
        <f>"1578729473511348"</f>
        <v>1578729473511348</v>
      </c>
      <c r="C35" t="s">
        <v>37</v>
      </c>
      <c r="D35">
        <v>5.9668039999999998</v>
      </c>
      <c r="E35">
        <v>0.56773409999999902</v>
      </c>
      <c r="F35" t="s">
        <v>38</v>
      </c>
      <c r="G35">
        <v>-474.79790000000003</v>
      </c>
      <c r="H35">
        <v>1.0355049999999999</v>
      </c>
      <c r="I35">
        <v>367.4246</v>
      </c>
      <c r="J35">
        <v>-475.46640000000002</v>
      </c>
      <c r="K35">
        <v>1.1044069999999999</v>
      </c>
      <c r="L35">
        <v>367.524</v>
      </c>
      <c r="M35">
        <v>0.99994950000000005</v>
      </c>
      <c r="N35">
        <v>0</v>
      </c>
      <c r="O35">
        <v>3.6772550000000002E-4</v>
      </c>
      <c r="P35">
        <v>0.99922929999999999</v>
      </c>
      <c r="Q35">
        <v>-1.065909E-2</v>
      </c>
      <c r="R35">
        <v>3.7777659999999998E-2</v>
      </c>
      <c r="S35">
        <v>3.0148619999999999</v>
      </c>
      <c r="T35">
        <v>-0.28350110000000001</v>
      </c>
      <c r="U35">
        <v>-0.4045105</v>
      </c>
      <c r="V35">
        <v>-3.7410400000000003E-2</v>
      </c>
      <c r="W35">
        <v>-6.1839449999999895E-4</v>
      </c>
      <c r="X35">
        <v>0.99929979999999996</v>
      </c>
      <c r="Y35">
        <v>0.132768</v>
      </c>
      <c r="Z35">
        <v>-6.2354009999999998E-3</v>
      </c>
      <c r="AA35">
        <v>0.9911276</v>
      </c>
      <c r="AB35">
        <v>6</v>
      </c>
      <c r="AC35">
        <v>0.66849999999999399</v>
      </c>
      <c r="AD35">
        <v>-6.8902000000000005E-2</v>
      </c>
      <c r="AE35">
        <v>-9.9400000000002806E-2</v>
      </c>
      <c r="AF35">
        <v>9.8620810572683001E-2</v>
      </c>
      <c r="AG35">
        <v>-6.8902000000000005E-2</v>
      </c>
      <c r="AH35">
        <v>0.66158716660557604</v>
      </c>
      <c r="AI35">
        <v>95.881200077535695</v>
      </c>
      <c r="AJ35">
        <v>81.521522484195003</v>
      </c>
      <c r="AK35">
        <v>0.67243670995805105</v>
      </c>
    </row>
    <row r="36" spans="1:37" x14ac:dyDescent="0.2">
      <c r="A36" t="str">
        <f>"20200111155753543"</f>
        <v>20200111155753543</v>
      </c>
      <c r="B36" t="str">
        <f>"1578729473540627"</f>
        <v>1578729473540627</v>
      </c>
      <c r="C36" t="s">
        <v>37</v>
      </c>
      <c r="D36">
        <v>5.937824</v>
      </c>
      <c r="E36">
        <v>0.56828719999999999</v>
      </c>
      <c r="F36" t="s">
        <v>38</v>
      </c>
      <c r="G36">
        <v>-474.73970000000003</v>
      </c>
      <c r="H36">
        <v>1.03596</v>
      </c>
      <c r="I36">
        <v>367.42430000000002</v>
      </c>
      <c r="J36">
        <v>-475.40750000000003</v>
      </c>
      <c r="K36">
        <v>1.1044339999999999</v>
      </c>
      <c r="L36">
        <v>367.52409999999998</v>
      </c>
      <c r="M36">
        <v>0.99994309999999997</v>
      </c>
      <c r="N36">
        <v>0</v>
      </c>
      <c r="O36">
        <v>3.7801760000000001E-4</v>
      </c>
      <c r="P36">
        <v>0.99918989999999996</v>
      </c>
      <c r="Q36">
        <v>-1.1677130000000001E-2</v>
      </c>
      <c r="R36">
        <v>3.8512629999999999E-2</v>
      </c>
      <c r="S36">
        <v>3.0149539999999999</v>
      </c>
      <c r="T36">
        <v>-0.28398449999999997</v>
      </c>
      <c r="U36">
        <v>-0.41333009999999898</v>
      </c>
      <c r="V36">
        <v>-3.8134670000000002E-2</v>
      </c>
      <c r="W36">
        <v>-1.0228869999999899E-3</v>
      </c>
      <c r="X36">
        <v>0.9992721</v>
      </c>
      <c r="Y36">
        <v>0.13560659999999999</v>
      </c>
      <c r="Z36">
        <v>-6.378323E-3</v>
      </c>
      <c r="AA36">
        <v>0.99074219999999902</v>
      </c>
      <c r="AB36">
        <v>7</v>
      </c>
      <c r="AC36">
        <v>0.66779999999999895</v>
      </c>
      <c r="AD36">
        <v>-6.8473999999999896E-2</v>
      </c>
      <c r="AE36">
        <v>-9.9799999999959199E-2</v>
      </c>
      <c r="AF36">
        <v>9.9033973409658194E-2</v>
      </c>
      <c r="AG36">
        <v>-6.8473999999999896E-2</v>
      </c>
      <c r="AH36">
        <v>0.66096480469011998</v>
      </c>
      <c r="AI36">
        <v>95.849736745259506</v>
      </c>
      <c r="AJ36">
        <v>81.478623507577495</v>
      </c>
      <c r="AK36">
        <v>0.67184141700579403</v>
      </c>
    </row>
    <row r="37" spans="1:37" x14ac:dyDescent="0.2">
      <c r="A37" t="str">
        <f>"20200111155753566"</f>
        <v>20200111155753566</v>
      </c>
      <c r="B37" t="str">
        <f>"1578729473561124"</f>
        <v>1578729473561124</v>
      </c>
      <c r="C37" t="s">
        <v>37</v>
      </c>
      <c r="D37">
        <v>5.9930669999999999</v>
      </c>
      <c r="E37">
        <v>0.56828519999999905</v>
      </c>
      <c r="F37" t="s">
        <v>38</v>
      </c>
      <c r="G37">
        <v>-474.68360000000001</v>
      </c>
      <c r="H37">
        <v>1.0355570000000001</v>
      </c>
      <c r="I37">
        <v>367.42360000000002</v>
      </c>
      <c r="J37">
        <v>-475.34449999999998</v>
      </c>
      <c r="K37">
        <v>1.1044780000000001</v>
      </c>
      <c r="L37">
        <v>367.52409999999998</v>
      </c>
      <c r="M37">
        <v>0.99993600000000005</v>
      </c>
      <c r="N37">
        <v>0</v>
      </c>
      <c r="O37">
        <v>3.8806689999999999E-4</v>
      </c>
      <c r="P37">
        <v>0.99914699999999901</v>
      </c>
      <c r="Q37">
        <v>-1.2074990000000001E-2</v>
      </c>
      <c r="R37">
        <v>3.9492720000000002E-2</v>
      </c>
      <c r="S37">
        <v>3.0151059999999998</v>
      </c>
      <c r="T37">
        <v>-0.28735539999999998</v>
      </c>
      <c r="U37">
        <v>-0.41571039999999998</v>
      </c>
      <c r="V37">
        <v>-3.910479E-2</v>
      </c>
      <c r="W37">
        <v>-7.6669330000000003E-4</v>
      </c>
      <c r="X37">
        <v>0.99923479999999998</v>
      </c>
      <c r="Y37">
        <v>0.13636010000000001</v>
      </c>
      <c r="Z37">
        <v>-6.489641E-3</v>
      </c>
      <c r="AA37">
        <v>0.99063809999999997</v>
      </c>
      <c r="AB37">
        <v>6</v>
      </c>
      <c r="AC37">
        <v>0.66089999999996896</v>
      </c>
      <c r="AD37">
        <v>-6.8920999999999996E-2</v>
      </c>
      <c r="AE37">
        <v>-0.100499999999954</v>
      </c>
      <c r="AF37">
        <v>9.96967783199397E-2</v>
      </c>
      <c r="AG37">
        <v>-6.8920999999999996E-2</v>
      </c>
      <c r="AH37">
        <v>0.653910357613533</v>
      </c>
      <c r="AI37">
        <v>95.948424149916093</v>
      </c>
      <c r="AJ37">
        <v>81.331300850083196</v>
      </c>
      <c r="AK37">
        <v>0.66504759802786595</v>
      </c>
    </row>
    <row r="38" spans="1:37" x14ac:dyDescent="0.2">
      <c r="A38" t="str">
        <f>"20200111155753590"</f>
        <v>20200111155753590</v>
      </c>
      <c r="B38" t="str">
        <f>"1578729473581622"</f>
        <v>1578729473581622</v>
      </c>
      <c r="C38" t="s">
        <v>37</v>
      </c>
      <c r="D38">
        <v>5.9909919999999897</v>
      </c>
      <c r="E38">
        <v>0.56810519999999998</v>
      </c>
      <c r="F38" t="s">
        <v>38</v>
      </c>
      <c r="G38">
        <v>-474.57429999999999</v>
      </c>
      <c r="H38">
        <v>1.030486</v>
      </c>
      <c r="I38">
        <v>367.41820000000001</v>
      </c>
      <c r="J38">
        <v>-475.27839999999998</v>
      </c>
      <c r="K38">
        <v>1.104406</v>
      </c>
      <c r="L38">
        <v>367.52420000000001</v>
      </c>
      <c r="M38">
        <v>0.99993399999999999</v>
      </c>
      <c r="N38">
        <v>0</v>
      </c>
      <c r="O38">
        <v>3.9755440000000002E-4</v>
      </c>
      <c r="P38">
        <v>0.99909619999999999</v>
      </c>
      <c r="Q38">
        <v>-1.242454E-2</v>
      </c>
      <c r="R38">
        <v>4.0651159999999999E-2</v>
      </c>
      <c r="S38">
        <v>3.0153500000000002</v>
      </c>
      <c r="T38">
        <v>-0.2900624</v>
      </c>
      <c r="U38">
        <v>-0.4126282</v>
      </c>
      <c r="V38">
        <v>-4.0254020000000001E-2</v>
      </c>
      <c r="W38">
        <v>-9.5078879999999999E-4</v>
      </c>
      <c r="X38">
        <v>0.99918899999999999</v>
      </c>
      <c r="Y38">
        <v>0.1353577</v>
      </c>
      <c r="Z38">
        <v>-6.503455E-3</v>
      </c>
      <c r="AA38">
        <v>0.99077549999999903</v>
      </c>
      <c r="AB38">
        <v>6</v>
      </c>
      <c r="AC38">
        <v>0.70409999999998196</v>
      </c>
      <c r="AD38">
        <v>-7.3919999999999902E-2</v>
      </c>
      <c r="AE38">
        <v>-0.105999999999994</v>
      </c>
      <c r="AF38">
        <v>0.105146698923378</v>
      </c>
      <c r="AG38">
        <v>-7.3919999999999902E-2</v>
      </c>
      <c r="AH38">
        <v>0.69655065551264095</v>
      </c>
      <c r="AI38">
        <v>95.990358654946107</v>
      </c>
      <c r="AJ38">
        <v>81.415817374920607</v>
      </c>
      <c r="AK38">
        <v>0.70830982655161101</v>
      </c>
    </row>
    <row r="39" spans="1:37" x14ac:dyDescent="0.2">
      <c r="A39" t="str">
        <f>"20200111155753610"</f>
        <v>20200111155753610</v>
      </c>
      <c r="B39" t="str">
        <f>"1578729473601139"</f>
        <v>1578729473601139</v>
      </c>
      <c r="C39" t="s">
        <v>37</v>
      </c>
      <c r="D39">
        <v>5.7867439999999997</v>
      </c>
      <c r="E39">
        <v>0.57750979999999996</v>
      </c>
      <c r="F39" t="s">
        <v>38</v>
      </c>
      <c r="G39">
        <v>-474.51769999999999</v>
      </c>
      <c r="H39">
        <v>1.0302879999999901</v>
      </c>
      <c r="I39">
        <v>367.42140000000001</v>
      </c>
      <c r="J39">
        <v>-475.21980000000002</v>
      </c>
      <c r="K39">
        <v>1.10432</v>
      </c>
      <c r="L39">
        <v>367.52420000000001</v>
      </c>
      <c r="M39">
        <v>0.99993460000000001</v>
      </c>
      <c r="N39">
        <v>0</v>
      </c>
      <c r="O39">
        <v>4.0714709999999999E-4</v>
      </c>
      <c r="P39">
        <v>0.99903259999999905</v>
      </c>
      <c r="Q39">
        <v>-1.279258E-2</v>
      </c>
      <c r="R39">
        <v>4.2076499999999899E-2</v>
      </c>
      <c r="S39">
        <v>3.0156559999999999</v>
      </c>
      <c r="T39">
        <v>-0.29369119999999999</v>
      </c>
      <c r="U39">
        <v>-0.40759279999999998</v>
      </c>
      <c r="V39">
        <v>-4.1669959999999999E-2</v>
      </c>
      <c r="W39">
        <v>-1.3713129999999899E-3</v>
      </c>
      <c r="X39">
        <v>0.99913050000000003</v>
      </c>
      <c r="Y39">
        <v>0.13372129999999999</v>
      </c>
      <c r="Z39">
        <v>-6.5063029999999997E-3</v>
      </c>
      <c r="AA39">
        <v>0.99099760000000003</v>
      </c>
      <c r="AB39">
        <v>6</v>
      </c>
      <c r="AC39">
        <v>0.70210000000002903</v>
      </c>
      <c r="AD39">
        <v>-7.4032000000000098E-2</v>
      </c>
      <c r="AE39">
        <v>-0.102800000000002</v>
      </c>
      <c r="AF39">
        <v>0.10197585964549299</v>
      </c>
      <c r="AG39">
        <v>-7.4032000000000098E-2</v>
      </c>
      <c r="AH39">
        <v>0.694498460077553</v>
      </c>
      <c r="AI39">
        <v>96.020551872948104</v>
      </c>
      <c r="AJ39">
        <v>81.646733318246703</v>
      </c>
      <c r="AK39">
        <v>0.70583845462296102</v>
      </c>
    </row>
    <row r="40" spans="1:37" x14ac:dyDescent="0.2">
      <c r="A40" t="str">
        <f>"20200111155753632"</f>
        <v>20200111155753632</v>
      </c>
      <c r="B40" t="str">
        <f>"1578729473620659"</f>
        <v>1578729473620659</v>
      </c>
      <c r="C40" t="s">
        <v>37</v>
      </c>
      <c r="D40">
        <v>5.8855459999999997</v>
      </c>
      <c r="E40">
        <v>0.57744039999999996</v>
      </c>
      <c r="F40" t="s">
        <v>39</v>
      </c>
      <c r="G40">
        <v>-454.9511</v>
      </c>
      <c r="H40" s="1">
        <v>-3.1272700000000001E-6</v>
      </c>
      <c r="I40">
        <v>364.26799999999997</v>
      </c>
      <c r="J40">
        <v>-475.15839999999997</v>
      </c>
      <c r="K40">
        <v>1.104279</v>
      </c>
      <c r="L40">
        <v>367.52420000000001</v>
      </c>
      <c r="M40">
        <v>0.99993430000000005</v>
      </c>
      <c r="N40">
        <v>0</v>
      </c>
      <c r="O40">
        <v>4.1723879999999898E-4</v>
      </c>
      <c r="P40">
        <v>0.99898209999999998</v>
      </c>
      <c r="Q40">
        <v>-1.3096770000000001E-2</v>
      </c>
      <c r="R40">
        <v>4.3168739999999997E-2</v>
      </c>
      <c r="S40">
        <v>3.0212400000000001</v>
      </c>
      <c r="T40">
        <v>-0.16460849999999999</v>
      </c>
      <c r="U40">
        <v>-0.48535159999999899</v>
      </c>
      <c r="V40">
        <v>-4.2751879999999999E-2</v>
      </c>
      <c r="W40">
        <v>-1.649569E-3</v>
      </c>
      <c r="X40">
        <v>0.99908439999999998</v>
      </c>
      <c r="Y40">
        <v>0.15879460000000001</v>
      </c>
      <c r="Z40">
        <v>-4.3177570000000002E-3</v>
      </c>
      <c r="AA40">
        <v>0.98730219999999902</v>
      </c>
      <c r="AB40">
        <v>6</v>
      </c>
      <c r="AC40">
        <v>20.207299999999901</v>
      </c>
      <c r="AD40">
        <v>-1.1042821272700001</v>
      </c>
      <c r="AE40">
        <v>-3.25619999999997</v>
      </c>
      <c r="AF40">
        <v>3.25515647005491</v>
      </c>
      <c r="AG40">
        <v>-1.1042821272700001</v>
      </c>
      <c r="AH40">
        <v>20.1472950407383</v>
      </c>
      <c r="AI40">
        <v>93.097183228387095</v>
      </c>
      <c r="AJ40">
        <v>80.822151976310593</v>
      </c>
      <c r="AK40">
        <v>20.438419217730701</v>
      </c>
    </row>
    <row r="41" spans="1:37" x14ac:dyDescent="0.2">
      <c r="A41" t="str">
        <f>"20200111155753654"</f>
        <v>20200111155753654</v>
      </c>
      <c r="B41" t="str">
        <f>"1578729473650917"</f>
        <v>1578729473650917</v>
      </c>
      <c r="C41" t="s">
        <v>37</v>
      </c>
      <c r="D41">
        <v>5.8997019999999996</v>
      </c>
      <c r="E41">
        <v>0.57739929999999995</v>
      </c>
      <c r="F41" t="s">
        <v>39</v>
      </c>
      <c r="G41">
        <v>-459.19650000000001</v>
      </c>
      <c r="H41" s="1">
        <v>-1.4898619999999999E-6</v>
      </c>
      <c r="I41">
        <v>364.99220000000003</v>
      </c>
      <c r="J41">
        <v>-475.09559999999999</v>
      </c>
      <c r="K41">
        <v>1.1042920000000001</v>
      </c>
      <c r="L41">
        <v>367.52429999999998</v>
      </c>
      <c r="M41">
        <v>0.99993259999999995</v>
      </c>
      <c r="N41">
        <v>0</v>
      </c>
      <c r="O41">
        <v>4.2772440000000001E-4</v>
      </c>
      <c r="P41">
        <v>0.99897919999999996</v>
      </c>
      <c r="Q41">
        <v>-1.317159E-2</v>
      </c>
      <c r="R41">
        <v>4.3212699999999903E-2</v>
      </c>
      <c r="S41">
        <v>3.0210270000000001</v>
      </c>
      <c r="T41">
        <v>-0.20900079999999999</v>
      </c>
      <c r="U41">
        <v>-0.47921750000000002</v>
      </c>
      <c r="V41">
        <v>-4.2785699999999899E-2</v>
      </c>
      <c r="W41">
        <v>-1.5808689999999999E-3</v>
      </c>
      <c r="X41">
        <v>0.99908299999999906</v>
      </c>
      <c r="Y41">
        <v>0.15672459999999999</v>
      </c>
      <c r="Z41">
        <v>-5.410644E-3</v>
      </c>
      <c r="AA41">
        <v>0.98762749999999999</v>
      </c>
      <c r="AB41">
        <v>6</v>
      </c>
      <c r="AC41">
        <v>15.899099999999899</v>
      </c>
      <c r="AD41">
        <v>-1.104293489862</v>
      </c>
      <c r="AE41">
        <v>-2.5320999999999501</v>
      </c>
      <c r="AF41">
        <v>2.5270114459636499</v>
      </c>
      <c r="AG41">
        <v>-1.104293489862</v>
      </c>
      <c r="AH41">
        <v>15.823567897207001</v>
      </c>
      <c r="AI41">
        <v>93.942284600752501</v>
      </c>
      <c r="AJ41">
        <v>80.926527145359998</v>
      </c>
      <c r="AK41">
        <v>16.0620842967936</v>
      </c>
    </row>
    <row r="42" spans="1:37" x14ac:dyDescent="0.2">
      <c r="A42" t="str">
        <f>"20200111155753677"</f>
        <v>20200111155753677</v>
      </c>
      <c r="B42" t="str">
        <f>"1578729473671412"</f>
        <v>1578729473671412</v>
      </c>
      <c r="C42" t="s">
        <v>37</v>
      </c>
      <c r="D42">
        <v>6.2367919999999897</v>
      </c>
      <c r="E42">
        <v>0.57739929999999995</v>
      </c>
      <c r="F42" t="s">
        <v>38</v>
      </c>
      <c r="G42">
        <v>-474.33659999999998</v>
      </c>
      <c r="H42">
        <v>1.0468519999999999</v>
      </c>
      <c r="I42">
        <v>367.40379999999999</v>
      </c>
      <c r="J42">
        <v>-475.03210000000001</v>
      </c>
      <c r="K42">
        <v>1.104301</v>
      </c>
      <c r="L42">
        <v>367.52429999999998</v>
      </c>
      <c r="M42">
        <v>0.99993120000000002</v>
      </c>
      <c r="N42">
        <v>0</v>
      </c>
      <c r="O42">
        <v>4.3756749999999999E-4</v>
      </c>
      <c r="P42">
        <v>0.9989749</v>
      </c>
      <c r="Q42">
        <v>-1.368343E-2</v>
      </c>
      <c r="R42">
        <v>4.3152339999999997E-2</v>
      </c>
      <c r="S42">
        <v>3.0207820000000001</v>
      </c>
      <c r="T42">
        <v>-0.2287998</v>
      </c>
      <c r="U42">
        <v>-0.4776917</v>
      </c>
      <c r="V42">
        <v>-4.2715169999999997E-2</v>
      </c>
      <c r="W42">
        <v>-1.9628029999999999E-3</v>
      </c>
      <c r="X42">
        <v>0.99908539999999901</v>
      </c>
      <c r="Y42">
        <v>0.15618870000000001</v>
      </c>
      <c r="Z42">
        <v>-5.9031300000000004E-3</v>
      </c>
      <c r="AA42">
        <v>0.98770959999999997</v>
      </c>
      <c r="AB42">
        <v>6</v>
      </c>
      <c r="AC42">
        <v>0.69550000000003798</v>
      </c>
      <c r="AD42">
        <v>-5.7448999999999799E-2</v>
      </c>
      <c r="AE42">
        <v>-0.120499999999992</v>
      </c>
      <c r="AF42">
        <v>0.12000938515786</v>
      </c>
      <c r="AG42">
        <v>-5.7448999999999799E-2</v>
      </c>
      <c r="AH42">
        <v>0.69087081564779895</v>
      </c>
      <c r="AI42">
        <v>94.683645796354597</v>
      </c>
      <c r="AJ42">
        <v>80.145629079896395</v>
      </c>
      <c r="AK42">
        <v>0.70356600546133696</v>
      </c>
    </row>
    <row r="43" spans="1:37" x14ac:dyDescent="0.2">
      <c r="A43" t="str">
        <f>"20200111155753699"</f>
        <v>20200111155753699</v>
      </c>
      <c r="B43" t="str">
        <f>"1578729473690932"</f>
        <v>1578729473690932</v>
      </c>
      <c r="C43" t="s">
        <v>37</v>
      </c>
      <c r="D43">
        <v>6.0346950000000001</v>
      </c>
      <c r="E43">
        <v>0.51756880000000005</v>
      </c>
      <c r="F43" t="s">
        <v>38</v>
      </c>
      <c r="G43">
        <v>-474.28050000000002</v>
      </c>
      <c r="H43">
        <v>1.046988</v>
      </c>
      <c r="I43">
        <v>367.40539999999999</v>
      </c>
      <c r="J43">
        <v>-474.96929999999998</v>
      </c>
      <c r="K43">
        <v>1.1043080000000001</v>
      </c>
      <c r="L43">
        <v>367.52440000000001</v>
      </c>
      <c r="M43">
        <v>0.9999306</v>
      </c>
      <c r="N43">
        <v>0</v>
      </c>
      <c r="O43">
        <v>4.465405E-4</v>
      </c>
      <c r="P43">
        <v>0.99900549999999999</v>
      </c>
      <c r="Q43">
        <v>-1.30752E-2</v>
      </c>
      <c r="R43">
        <v>4.2633820000000003E-2</v>
      </c>
      <c r="S43">
        <v>3.0205690000000001</v>
      </c>
      <c r="T43">
        <v>-0.23043559999999999</v>
      </c>
      <c r="U43">
        <v>-0.47790529999999998</v>
      </c>
      <c r="V43">
        <v>-4.2187839999999997E-2</v>
      </c>
      <c r="W43">
        <v>-1.299206E-3</v>
      </c>
      <c r="X43">
        <v>0.99910889999999997</v>
      </c>
      <c r="Y43">
        <v>0.15626989999999999</v>
      </c>
      <c r="Z43">
        <v>-5.9493509999999899E-3</v>
      </c>
      <c r="AA43">
        <v>0.98769649999999998</v>
      </c>
      <c r="AB43">
        <v>6</v>
      </c>
      <c r="AC43">
        <v>0.688799999999957</v>
      </c>
      <c r="AD43">
        <v>-5.7320000000000003E-2</v>
      </c>
      <c r="AE43">
        <v>-0.119000000000028</v>
      </c>
      <c r="AF43">
        <v>0.118510674036574</v>
      </c>
      <c r="AG43">
        <v>-5.7320000000000003E-2</v>
      </c>
      <c r="AH43">
        <v>0.68414631964726402</v>
      </c>
      <c r="AI43">
        <v>94.719284104029597</v>
      </c>
      <c r="AJ43">
        <v>80.172508663925896</v>
      </c>
      <c r="AK43">
        <v>0.696696884554179</v>
      </c>
    </row>
    <row r="44" spans="1:37" x14ac:dyDescent="0.2">
      <c r="A44" t="str">
        <f>"20200111155753722"</f>
        <v>20200111155753722</v>
      </c>
      <c r="B44" t="str">
        <f>"1578729473711427"</f>
        <v>1578729473711427</v>
      </c>
      <c r="C44" t="s">
        <v>37</v>
      </c>
      <c r="D44">
        <v>6.0036129999999996</v>
      </c>
      <c r="E44">
        <v>0.5153179</v>
      </c>
      <c r="F44" t="s">
        <v>39</v>
      </c>
      <c r="G44">
        <v>-446.75349999999997</v>
      </c>
      <c r="H44" s="1">
        <v>-1.8996109999999899E-6</v>
      </c>
      <c r="I44">
        <v>367.4486</v>
      </c>
      <c r="J44">
        <v>-474.9067</v>
      </c>
      <c r="K44">
        <v>1.1043160000000001</v>
      </c>
      <c r="L44">
        <v>367.52440000000001</v>
      </c>
      <c r="M44">
        <v>0.99993019999999999</v>
      </c>
      <c r="N44">
        <v>0</v>
      </c>
      <c r="O44">
        <v>4.5478180000000002E-4</v>
      </c>
      <c r="P44">
        <v>0.99901960000000001</v>
      </c>
      <c r="Q44">
        <v>-1.272442E-2</v>
      </c>
      <c r="R44">
        <v>4.2404419999999998E-2</v>
      </c>
      <c r="S44">
        <v>3.00177</v>
      </c>
      <c r="T44">
        <v>-0.117483399999999</v>
      </c>
      <c r="U44">
        <v>-8.0566409999999998E-3</v>
      </c>
      <c r="V44">
        <v>-4.1950130000000002E-2</v>
      </c>
      <c r="W44">
        <v>-9.2007380000000004E-4</v>
      </c>
      <c r="X44">
        <v>0.99911930000000004</v>
      </c>
      <c r="Y44">
        <v>3.1360159999999902E-3</v>
      </c>
      <c r="Z44" s="1">
        <v>-7.9138869999999993E-5</v>
      </c>
      <c r="AA44">
        <v>0.99999509999999903</v>
      </c>
      <c r="AB44">
        <v>6</v>
      </c>
      <c r="AC44">
        <v>28.153199999999998</v>
      </c>
      <c r="AD44">
        <v>-1.1043178996109999</v>
      </c>
      <c r="AE44">
        <v>-7.5800000000015105E-2</v>
      </c>
      <c r="AF44">
        <v>8.8468328991773093E-2</v>
      </c>
      <c r="AG44">
        <v>-1.1043178996109999</v>
      </c>
      <c r="AH44">
        <v>28.1099123222195</v>
      </c>
      <c r="AI44">
        <v>92.249737401132705</v>
      </c>
      <c r="AJ44">
        <v>89.819677661103199</v>
      </c>
      <c r="AK44">
        <v>28.131735023483799</v>
      </c>
    </row>
    <row r="45" spans="1:37" x14ac:dyDescent="0.2">
      <c r="A45" t="str">
        <f>"20200111155753743"</f>
        <v>20200111155753743</v>
      </c>
      <c r="B45" t="str">
        <f>"1578729473740707"</f>
        <v>1578729473740707</v>
      </c>
      <c r="C45" t="s">
        <v>37</v>
      </c>
      <c r="D45">
        <v>5.9478869999999997</v>
      </c>
      <c r="E45">
        <v>0.51294039999999996</v>
      </c>
      <c r="F45" t="s">
        <v>39</v>
      </c>
      <c r="G45">
        <v>-451.05180000000001</v>
      </c>
      <c r="H45" s="1">
        <v>-4.1774540000000002E-6</v>
      </c>
      <c r="I45">
        <v>367.6071</v>
      </c>
      <c r="J45">
        <v>-474.84589999999997</v>
      </c>
      <c r="K45">
        <v>1.104339</v>
      </c>
      <c r="L45">
        <v>367.52440000000001</v>
      </c>
      <c r="M45">
        <v>0.99992950000000003</v>
      </c>
      <c r="N45">
        <v>0</v>
      </c>
      <c r="O45">
        <v>4.6394680000000002E-4</v>
      </c>
      <c r="P45">
        <v>0.99905290000000002</v>
      </c>
      <c r="Q45">
        <v>-1.16867E-2</v>
      </c>
      <c r="R45">
        <v>4.1910089999999997E-2</v>
      </c>
      <c r="S45">
        <v>3.0007320000000002</v>
      </c>
      <c r="T45">
        <v>-0.13891329999999999</v>
      </c>
      <c r="U45">
        <v>1.0406489999999999E-2</v>
      </c>
      <c r="V45">
        <v>-4.144656E-2</v>
      </c>
      <c r="W45">
        <v>1.600424E-4</v>
      </c>
      <c r="X45">
        <v>0.99914069999999899</v>
      </c>
      <c r="Y45">
        <v>-3.0012699999999999E-3</v>
      </c>
      <c r="Z45" s="1">
        <v>4.7964189999999902E-5</v>
      </c>
      <c r="AA45">
        <v>0.99999550000000004</v>
      </c>
      <c r="AB45">
        <v>6</v>
      </c>
      <c r="AC45">
        <v>23.794099999999901</v>
      </c>
      <c r="AD45">
        <v>-1.104343177454</v>
      </c>
      <c r="AE45">
        <v>8.2699999999988394E-2</v>
      </c>
      <c r="AF45">
        <v>-7.1505986923844106E-2</v>
      </c>
      <c r="AG45">
        <v>-1.104343177454</v>
      </c>
      <c r="AH45">
        <v>23.742991217099799</v>
      </c>
      <c r="AI45">
        <v>92.663032060659404</v>
      </c>
      <c r="AJ45">
        <v>90.172555295855503</v>
      </c>
      <c r="AK45">
        <v>23.768767719320898</v>
      </c>
    </row>
    <row r="46" spans="1:37" x14ac:dyDescent="0.2">
      <c r="A46" t="str">
        <f>"20200111155753778"</f>
        <v>20200111155753778</v>
      </c>
      <c r="B46" t="str">
        <f>"1578729473770968"</f>
        <v>1578729473770968</v>
      </c>
      <c r="C46" t="s">
        <v>37</v>
      </c>
      <c r="D46">
        <v>5.9095079999999998</v>
      </c>
      <c r="E46">
        <v>0.51258280000000001</v>
      </c>
      <c r="F46" t="s">
        <v>39</v>
      </c>
      <c r="G46">
        <v>-450.08890000000002</v>
      </c>
      <c r="H46" s="1">
        <v>-4.5642420000000002E-6</v>
      </c>
      <c r="I46">
        <v>367.75529999999998</v>
      </c>
      <c r="J46">
        <v>-474.75040000000001</v>
      </c>
      <c r="K46">
        <v>1.104374</v>
      </c>
      <c r="L46">
        <v>367.52440000000001</v>
      </c>
      <c r="M46">
        <v>0.99992899999999996</v>
      </c>
      <c r="N46">
        <v>0</v>
      </c>
      <c r="O46">
        <v>4.7821559999999998E-4</v>
      </c>
      <c r="P46">
        <v>0.99909210000000004</v>
      </c>
      <c r="Q46">
        <v>-1.0265689999999999E-2</v>
      </c>
      <c r="R46">
        <v>4.1352159999999999E-2</v>
      </c>
      <c r="S46">
        <v>3.0000610000000001</v>
      </c>
      <c r="T46">
        <v>-0.1338242</v>
      </c>
      <c r="U46">
        <v>2.7984620000000002E-2</v>
      </c>
      <c r="V46">
        <v>-4.0874309999999997E-2</v>
      </c>
      <c r="W46">
        <v>1.64682E-3</v>
      </c>
      <c r="X46">
        <v>0.99916289999999996</v>
      </c>
      <c r="Y46">
        <v>-8.8410659999999999E-3</v>
      </c>
      <c r="Z46">
        <v>1.757629E-4</v>
      </c>
      <c r="AA46">
        <v>0.99996090000000004</v>
      </c>
      <c r="AB46">
        <v>6</v>
      </c>
      <c r="AC46">
        <v>24.661499999999901</v>
      </c>
      <c r="AD46">
        <v>-1.1043785642420001</v>
      </c>
      <c r="AE46">
        <v>0.230899999999962</v>
      </c>
      <c r="AF46">
        <v>-0.21866715094683301</v>
      </c>
      <c r="AG46">
        <v>-1.1043785642420001</v>
      </c>
      <c r="AH46">
        <v>24.612254978008799</v>
      </c>
      <c r="AI46">
        <v>92.569099123803397</v>
      </c>
      <c r="AJ46">
        <v>90.509029962802998</v>
      </c>
      <c r="AK46">
        <v>24.637990227260499</v>
      </c>
    </row>
    <row r="47" spans="1:37" x14ac:dyDescent="0.2">
      <c r="A47" t="str">
        <f>"20200111155753800"</f>
        <v>20200111155753800</v>
      </c>
      <c r="B47" t="str">
        <f>"1578729473791464"</f>
        <v>1578729473791464</v>
      </c>
      <c r="C47" t="s">
        <v>37</v>
      </c>
      <c r="D47">
        <v>5.898199</v>
      </c>
      <c r="E47">
        <v>0.51304139999999998</v>
      </c>
      <c r="F47" t="s">
        <v>39</v>
      </c>
      <c r="G47">
        <v>-444.79730000000001</v>
      </c>
      <c r="H47" s="1">
        <v>-2.7613499999999998E-6</v>
      </c>
      <c r="I47">
        <v>367.80380000000002</v>
      </c>
      <c r="J47">
        <v>-474.68650000000002</v>
      </c>
      <c r="K47">
        <v>1.1043940000000001</v>
      </c>
      <c r="L47">
        <v>367.52449999999999</v>
      </c>
      <c r="M47">
        <v>0.9999287</v>
      </c>
      <c r="N47">
        <v>0</v>
      </c>
      <c r="O47">
        <v>4.8887609999999999E-4</v>
      </c>
      <c r="P47">
        <v>0.99910940000000004</v>
      </c>
      <c r="Q47">
        <v>-9.7477659999999997E-3</v>
      </c>
      <c r="R47">
        <v>4.105752E-2</v>
      </c>
      <c r="S47">
        <v>3.000397</v>
      </c>
      <c r="T47">
        <v>-0.110625</v>
      </c>
      <c r="U47">
        <v>2.7984620000000002E-2</v>
      </c>
      <c r="V47">
        <v>-4.056887E-2</v>
      </c>
      <c r="W47">
        <v>2.1875520000000002E-3</v>
      </c>
      <c r="X47">
        <v>0.99917440000000002</v>
      </c>
      <c r="Y47">
        <v>-8.832009E-3</v>
      </c>
      <c r="Z47">
        <v>1.4474010000000001E-4</v>
      </c>
      <c r="AA47">
        <v>0.99996099999999999</v>
      </c>
      <c r="AB47">
        <v>6</v>
      </c>
      <c r="AC47">
        <v>29.889199999999999</v>
      </c>
      <c r="AD47">
        <v>-1.1043967613500001</v>
      </c>
      <c r="AE47">
        <v>0.27930000000003402</v>
      </c>
      <c r="AF47">
        <v>-0.26432596352812898</v>
      </c>
      <c r="AG47">
        <v>-1.1043967613500001</v>
      </c>
      <c r="AH47">
        <v>29.848584868505601</v>
      </c>
      <c r="AI47">
        <v>92.118892544796907</v>
      </c>
      <c r="AJ47">
        <v>90.507373006871305</v>
      </c>
      <c r="AK47">
        <v>29.8701787586526</v>
      </c>
    </row>
    <row r="48" spans="1:37" x14ac:dyDescent="0.2">
      <c r="A48" t="str">
        <f>"20200111155753822"</f>
        <v>20200111155753822</v>
      </c>
      <c r="B48" t="str">
        <f>"1578729473810984"</f>
        <v>1578729473810984</v>
      </c>
      <c r="C48" t="s">
        <v>37</v>
      </c>
      <c r="D48">
        <v>6.0232570000000001</v>
      </c>
      <c r="E48">
        <v>0.5136636</v>
      </c>
      <c r="F48" t="s">
        <v>39</v>
      </c>
      <c r="G48">
        <v>-447.5915</v>
      </c>
      <c r="H48" s="1">
        <v>-1.4510970000000001E-6</v>
      </c>
      <c r="I48">
        <v>367.7441</v>
      </c>
      <c r="J48">
        <v>-474.62740000000002</v>
      </c>
      <c r="K48">
        <v>1.1044119999999999</v>
      </c>
      <c r="L48">
        <v>367.52449999999999</v>
      </c>
      <c r="M48">
        <v>0.99992829999999999</v>
      </c>
      <c r="N48">
        <v>0</v>
      </c>
      <c r="O48">
        <v>4.9910000000000004E-4</v>
      </c>
      <c r="P48">
        <v>0.999135</v>
      </c>
      <c r="Q48">
        <v>-9.4802010000000006E-3</v>
      </c>
      <c r="R48">
        <v>4.048852E-2</v>
      </c>
      <c r="S48">
        <v>3.0004580000000001</v>
      </c>
      <c r="T48">
        <v>-0.1222988</v>
      </c>
      <c r="U48">
        <v>2.4322509999999999E-2</v>
      </c>
      <c r="V48">
        <v>-3.9989950000000003E-2</v>
      </c>
      <c r="W48">
        <v>2.4703160000000002E-3</v>
      </c>
      <c r="X48">
        <v>0.999196999999999</v>
      </c>
      <c r="Y48">
        <v>-7.6009839999999999E-3</v>
      </c>
      <c r="Z48">
        <v>1.3450539999999999E-4</v>
      </c>
      <c r="AA48">
        <v>0.999971099999999</v>
      </c>
      <c r="AB48">
        <v>6</v>
      </c>
      <c r="AC48">
        <v>27.035900000000002</v>
      </c>
      <c r="AD48">
        <v>-1.1044134510969901</v>
      </c>
      <c r="AE48">
        <v>0.21960000000001401</v>
      </c>
      <c r="AF48">
        <v>-0.20576205386197799</v>
      </c>
      <c r="AG48">
        <v>-1.1044134510969901</v>
      </c>
      <c r="AH48">
        <v>26.9909690263393</v>
      </c>
      <c r="AI48">
        <v>92.343047200654993</v>
      </c>
      <c r="AJ48">
        <v>90.436778275190093</v>
      </c>
      <c r="AK48">
        <v>27.014338342342899</v>
      </c>
    </row>
    <row r="49" spans="1:37" x14ac:dyDescent="0.2">
      <c r="A49" t="str">
        <f>"20200111155753845"</f>
        <v>20200111155753845</v>
      </c>
      <c r="B49" t="str">
        <f>"1578729473841240"</f>
        <v>1578729473841240</v>
      </c>
      <c r="C49" t="s">
        <v>37</v>
      </c>
      <c r="D49">
        <v>6.3478269999999997</v>
      </c>
      <c r="E49">
        <v>0.51437029999999995</v>
      </c>
      <c r="F49" t="s">
        <v>39</v>
      </c>
      <c r="G49">
        <v>-448.76260000000002</v>
      </c>
      <c r="H49" s="1">
        <v>-9.7447620000000001E-7</v>
      </c>
      <c r="I49">
        <v>367.68049999999999</v>
      </c>
      <c r="J49">
        <v>-474.56509999999997</v>
      </c>
      <c r="K49">
        <v>1.1044339999999999</v>
      </c>
      <c r="L49">
        <v>367.52449999999999</v>
      </c>
      <c r="M49">
        <v>0.99992809999999899</v>
      </c>
      <c r="N49">
        <v>0</v>
      </c>
      <c r="O49">
        <v>5.0893589999999995E-4</v>
      </c>
      <c r="P49">
        <v>0.999138999999999</v>
      </c>
      <c r="Q49">
        <v>-9.9184960000000006E-3</v>
      </c>
      <c r="R49">
        <v>4.028549E-2</v>
      </c>
      <c r="S49">
        <v>3.0006409999999999</v>
      </c>
      <c r="T49">
        <v>-0.12812570000000001</v>
      </c>
      <c r="U49">
        <v>1.8096919999999999E-2</v>
      </c>
      <c r="V49">
        <v>-3.9777020000000003E-2</v>
      </c>
      <c r="W49">
        <v>2.0511769999999999E-3</v>
      </c>
      <c r="X49">
        <v>0.9992065</v>
      </c>
      <c r="Y49">
        <v>-5.51738199999999E-3</v>
      </c>
      <c r="Z49" s="1">
        <v>9.6017099999999898E-5</v>
      </c>
      <c r="AA49">
        <v>0.99998480000000001</v>
      </c>
      <c r="AB49">
        <v>6</v>
      </c>
      <c r="AC49">
        <v>25.802499999999899</v>
      </c>
      <c r="AD49">
        <v>-1.1044349744761901</v>
      </c>
      <c r="AE49">
        <v>0.156000000000005</v>
      </c>
      <c r="AF49">
        <v>-0.14260595532427001</v>
      </c>
      <c r="AG49">
        <v>-1.1044349744761901</v>
      </c>
      <c r="AH49">
        <v>25.7553905106572</v>
      </c>
      <c r="AI49">
        <v>92.455398622473595</v>
      </c>
      <c r="AJ49">
        <v>90.3172398365802</v>
      </c>
      <c r="AK49">
        <v>25.779454094836598</v>
      </c>
    </row>
    <row r="50" spans="1:37" x14ac:dyDescent="0.2">
      <c r="A50" t="str">
        <f>"20200111155753867"</f>
        <v>20200111155753867</v>
      </c>
      <c r="B50" t="str">
        <f>"1578729473860759"</f>
        <v>1578729473860759</v>
      </c>
      <c r="C50" t="s">
        <v>37</v>
      </c>
      <c r="D50">
        <v>5.9467239999999997</v>
      </c>
      <c r="E50">
        <v>0.51429829999999999</v>
      </c>
      <c r="F50" t="s">
        <v>39</v>
      </c>
      <c r="G50">
        <v>-449.90039999999999</v>
      </c>
      <c r="H50" s="1">
        <v>-5.5302060000000002E-7</v>
      </c>
      <c r="I50">
        <v>367.6223</v>
      </c>
      <c r="J50">
        <v>-474.50119999999998</v>
      </c>
      <c r="K50">
        <v>1.1044499999999999</v>
      </c>
      <c r="L50">
        <v>367.52460000000002</v>
      </c>
      <c r="M50">
        <v>0.99992789999999998</v>
      </c>
      <c r="N50">
        <v>0</v>
      </c>
      <c r="O50">
        <v>5.182276E-4</v>
      </c>
      <c r="P50">
        <v>0.99912789999999996</v>
      </c>
      <c r="Q50">
        <v>-1.0286150000000001E-2</v>
      </c>
      <c r="R50">
        <v>4.0466490000000001E-2</v>
      </c>
      <c r="S50">
        <v>3.0007630000000001</v>
      </c>
      <c r="T50">
        <v>-0.13436779999999901</v>
      </c>
      <c r="U50">
        <v>1.190186E-2</v>
      </c>
      <c r="V50">
        <v>-3.9948560000000001E-2</v>
      </c>
      <c r="W50">
        <v>1.7035639999999901E-3</v>
      </c>
      <c r="X50">
        <v>0.99920030000000004</v>
      </c>
      <c r="Y50">
        <v>-3.4450520000000001E-3</v>
      </c>
      <c r="Z50" s="1">
        <v>5.389706E-5</v>
      </c>
      <c r="AA50">
        <v>0.99999400000000005</v>
      </c>
      <c r="AB50">
        <v>6</v>
      </c>
      <c r="AC50">
        <v>24.6007999999999</v>
      </c>
      <c r="AD50">
        <v>-1.1044505530205999</v>
      </c>
      <c r="AE50">
        <v>9.7699999999974793E-2</v>
      </c>
      <c r="AF50">
        <v>-8.4779381203170398E-2</v>
      </c>
      <c r="AG50">
        <v>-1.1044505530205999</v>
      </c>
      <c r="AH50">
        <v>24.551363551337001</v>
      </c>
      <c r="AI50">
        <v>92.575716176745303</v>
      </c>
      <c r="AJ50">
        <v>90.197849761598107</v>
      </c>
      <c r="AK50">
        <v>24.5763392472814</v>
      </c>
    </row>
    <row r="51" spans="1:37" x14ac:dyDescent="0.2">
      <c r="A51" t="str">
        <f>"20200111155753890"</f>
        <v>20200111155753890</v>
      </c>
      <c r="B51" t="str">
        <f>"1578729473881256"</f>
        <v>1578729473881256</v>
      </c>
      <c r="C51" t="s">
        <v>37</v>
      </c>
      <c r="D51">
        <v>6.2699680000000004</v>
      </c>
      <c r="E51">
        <v>0.51374809999999904</v>
      </c>
      <c r="F51" t="s">
        <v>39</v>
      </c>
      <c r="G51">
        <v>-449.56979999999999</v>
      </c>
      <c r="H51" s="1">
        <v>-6.7770240000000001E-7</v>
      </c>
      <c r="I51">
        <v>367.63080000000002</v>
      </c>
      <c r="J51">
        <v>-474.43830000000003</v>
      </c>
      <c r="K51">
        <v>1.1044609999999999</v>
      </c>
      <c r="L51">
        <v>367.52460000000002</v>
      </c>
      <c r="M51">
        <v>0.99992780000000003</v>
      </c>
      <c r="N51">
        <v>0</v>
      </c>
      <c r="O51">
        <v>5.2772870000000001E-4</v>
      </c>
      <c r="P51">
        <v>0.99910589999999999</v>
      </c>
      <c r="Q51">
        <v>-1.0606600000000001E-2</v>
      </c>
      <c r="R51">
        <v>4.0927899999999899E-2</v>
      </c>
      <c r="S51">
        <v>3.0006710000000001</v>
      </c>
      <c r="T51">
        <v>-0.13292899999999999</v>
      </c>
      <c r="U51">
        <v>1.2786870000000001E-2</v>
      </c>
      <c r="V51">
        <v>-4.040026E-2</v>
      </c>
      <c r="W51">
        <v>1.3979109999999999E-3</v>
      </c>
      <c r="X51">
        <v>0.99918259999999903</v>
      </c>
      <c r="Y51">
        <v>-3.7303929999999998E-3</v>
      </c>
      <c r="Z51" s="1">
        <v>5.9218500000000002E-5</v>
      </c>
      <c r="AA51">
        <v>0.99999300000000002</v>
      </c>
      <c r="AB51">
        <v>6</v>
      </c>
      <c r="AC51">
        <v>24.868500000000001</v>
      </c>
      <c r="AD51">
        <v>-1.1044616777023999</v>
      </c>
      <c r="AE51">
        <v>0.106200000000001</v>
      </c>
      <c r="AF51">
        <v>-9.28919984098424E-2</v>
      </c>
      <c r="AG51">
        <v>-1.1044616777023999</v>
      </c>
      <c r="AH51">
        <v>24.819598498645899</v>
      </c>
      <c r="AI51">
        <v>92.547939285140103</v>
      </c>
      <c r="AJ51">
        <v>90.214439190414396</v>
      </c>
      <c r="AK51">
        <v>24.844334045308401</v>
      </c>
    </row>
    <row r="52" spans="1:37" x14ac:dyDescent="0.2">
      <c r="A52" t="str">
        <f>"20200111155753911"</f>
        <v>20200111155753911</v>
      </c>
      <c r="B52" t="str">
        <f>"1578729473900775"</f>
        <v>1578729473900775</v>
      </c>
      <c r="C52" t="s">
        <v>37</v>
      </c>
      <c r="D52">
        <v>6.1845699999999999</v>
      </c>
      <c r="E52">
        <v>0.51397910000000002</v>
      </c>
      <c r="F52" t="s">
        <v>39</v>
      </c>
      <c r="G52">
        <v>-449.68029999999999</v>
      </c>
      <c r="H52" s="1">
        <v>-6.2265500000000001E-7</v>
      </c>
      <c r="I52">
        <v>367.6782</v>
      </c>
      <c r="J52">
        <v>-474.37819999999999</v>
      </c>
      <c r="K52">
        <v>1.1044780000000001</v>
      </c>
      <c r="L52">
        <v>367.52460000000002</v>
      </c>
      <c r="M52">
        <v>0.99992760000000003</v>
      </c>
      <c r="N52">
        <v>0</v>
      </c>
      <c r="O52">
        <v>5.366088E-4</v>
      </c>
      <c r="P52">
        <v>0.99907060000000003</v>
      </c>
      <c r="Q52">
        <v>-1.1038299999999999E-2</v>
      </c>
      <c r="R52">
        <v>4.1669280000000003E-2</v>
      </c>
      <c r="S52">
        <v>3.0005189999999899</v>
      </c>
      <c r="T52">
        <v>-0.133854</v>
      </c>
      <c r="U52">
        <v>1.8615719999999999E-2</v>
      </c>
      <c r="V52">
        <v>-4.1133049999999997E-2</v>
      </c>
      <c r="W52">
        <v>9.7591089999999995E-4</v>
      </c>
      <c r="X52">
        <v>0.99915319999999996</v>
      </c>
      <c r="Y52">
        <v>-5.6623130000000004E-3</v>
      </c>
      <c r="Z52">
        <v>1.023069E-4</v>
      </c>
      <c r="AA52">
        <v>0.99998399999999998</v>
      </c>
      <c r="AB52">
        <v>6</v>
      </c>
      <c r="AC52">
        <v>24.697900000000001</v>
      </c>
      <c r="AD52">
        <v>-1.1044786226550001</v>
      </c>
      <c r="AE52">
        <v>0.153599999999983</v>
      </c>
      <c r="AF52">
        <v>-0.14006581177220101</v>
      </c>
      <c r="AG52">
        <v>-1.1044786226550001</v>
      </c>
      <c r="AH52">
        <v>24.648687425015201</v>
      </c>
      <c r="AI52">
        <v>92.565598756364395</v>
      </c>
      <c r="AJ52">
        <v>90.325578938647396</v>
      </c>
      <c r="AK52">
        <v>24.673817767739799</v>
      </c>
    </row>
    <row r="53" spans="1:37" x14ac:dyDescent="0.2">
      <c r="A53" t="str">
        <f>"20200111155753933"</f>
        <v>20200111155753933</v>
      </c>
      <c r="B53" t="str">
        <f>"1578729473931033"</f>
        <v>1578729473931033</v>
      </c>
      <c r="C53" t="s">
        <v>37</v>
      </c>
      <c r="D53">
        <v>5.8566019999999996</v>
      </c>
      <c r="E53">
        <v>0.56424819999999998</v>
      </c>
      <c r="F53" t="s">
        <v>39</v>
      </c>
      <c r="G53">
        <v>-449.041</v>
      </c>
      <c r="H53" s="1">
        <v>-8.6630669999999897E-7</v>
      </c>
      <c r="I53">
        <v>367.68520000000001</v>
      </c>
      <c r="J53">
        <v>-474.31740000000002</v>
      </c>
      <c r="K53">
        <v>1.1044909999999999</v>
      </c>
      <c r="L53">
        <v>367.5247</v>
      </c>
      <c r="M53">
        <v>0.99992749999999997</v>
      </c>
      <c r="N53">
        <v>0</v>
      </c>
      <c r="O53">
        <v>5.4531999999999996E-4</v>
      </c>
      <c r="P53">
        <v>0.9990445</v>
      </c>
      <c r="Q53">
        <v>-1.1361319999999999E-2</v>
      </c>
      <c r="R53">
        <v>4.2206E-2</v>
      </c>
      <c r="S53">
        <v>3.0005189999999899</v>
      </c>
      <c r="T53">
        <v>-0.13079640000000001</v>
      </c>
      <c r="U53">
        <v>1.901245E-2</v>
      </c>
      <c r="V53">
        <v>-4.1660950000000002E-2</v>
      </c>
      <c r="W53">
        <v>6.6119839999999905E-4</v>
      </c>
      <c r="X53">
        <v>0.99913159999999901</v>
      </c>
      <c r="Y53">
        <v>-5.7859349999999999E-3</v>
      </c>
      <c r="Z53">
        <v>1.02285599999999E-4</v>
      </c>
      <c r="AA53">
        <v>0.99998330000000002</v>
      </c>
      <c r="AB53">
        <v>6</v>
      </c>
      <c r="AC53">
        <v>25.276399999999999</v>
      </c>
      <c r="AD53">
        <v>-1.1044918663066901</v>
      </c>
      <c r="AE53">
        <v>0.16050000000001299</v>
      </c>
      <c r="AF53">
        <v>-0.14643566085311699</v>
      </c>
      <c r="AG53">
        <v>-1.1044918663066901</v>
      </c>
      <c r="AH53">
        <v>25.228315025401798</v>
      </c>
      <c r="AI53">
        <v>92.506757745504203</v>
      </c>
      <c r="AJ53">
        <v>90.332564862365999</v>
      </c>
      <c r="AK53">
        <v>25.2529052725904</v>
      </c>
    </row>
    <row r="54" spans="1:37" x14ac:dyDescent="0.2">
      <c r="A54" t="str">
        <f>"20200111155753956"</f>
        <v>20200111155753956</v>
      </c>
      <c r="B54" t="str">
        <f>"1578729473950551"</f>
        <v>1578729473950551</v>
      </c>
      <c r="C54" t="s">
        <v>37</v>
      </c>
      <c r="D54">
        <v>5.9266639999999997</v>
      </c>
      <c r="E54">
        <v>0.57395339999999995</v>
      </c>
      <c r="F54" t="s">
        <v>38</v>
      </c>
      <c r="G54">
        <v>-473.56099999999998</v>
      </c>
      <c r="H54">
        <v>1.041488</v>
      </c>
      <c r="I54">
        <v>367.43040000000002</v>
      </c>
      <c r="J54">
        <v>-474.2534</v>
      </c>
      <c r="K54">
        <v>1.104503</v>
      </c>
      <c r="L54">
        <v>367.5247</v>
      </c>
      <c r="M54">
        <v>0.99992749999999997</v>
      </c>
      <c r="N54">
        <v>0</v>
      </c>
      <c r="O54">
        <v>5.5468080000000005E-4</v>
      </c>
      <c r="P54">
        <v>0.99903759999999997</v>
      </c>
      <c r="Q54">
        <v>-1.10031E-2</v>
      </c>
      <c r="R54">
        <v>4.2461100000000002E-2</v>
      </c>
      <c r="S54">
        <v>3.0158390000000002</v>
      </c>
      <c r="T54">
        <v>-0.25142809999999999</v>
      </c>
      <c r="U54">
        <v>-0.37457279999999998</v>
      </c>
      <c r="V54">
        <v>-4.1906760000000001E-2</v>
      </c>
      <c r="W54">
        <v>1.028363E-3</v>
      </c>
      <c r="X54">
        <v>0.99912099999999904</v>
      </c>
      <c r="Y54">
        <v>0.1233819</v>
      </c>
      <c r="Z54">
        <v>-5.16066099999999E-3</v>
      </c>
      <c r="AA54">
        <v>0.9923459</v>
      </c>
      <c r="AB54">
        <v>6</v>
      </c>
      <c r="AC54">
        <v>0.69240000000002</v>
      </c>
      <c r="AD54">
        <v>-6.3015000000000002E-2</v>
      </c>
      <c r="AE54">
        <v>-9.4299999999975598E-2</v>
      </c>
      <c r="AF54">
        <v>9.3920323565445496E-2</v>
      </c>
      <c r="AG54">
        <v>-6.3015000000000002E-2</v>
      </c>
      <c r="AH54">
        <v>0.68676289594664697</v>
      </c>
      <c r="AI54">
        <v>95.194501026021399</v>
      </c>
      <c r="AJ54">
        <v>82.2126519915345</v>
      </c>
      <c r="AK54">
        <v>0.69601378768862199</v>
      </c>
    </row>
    <row r="55" spans="1:37" x14ac:dyDescent="0.2">
      <c r="A55" t="str">
        <f>"20200111155753979"</f>
        <v>20200111155753979</v>
      </c>
      <c r="B55" t="str">
        <f>"1578729473971048"</f>
        <v>1578729473971048</v>
      </c>
      <c r="C55" t="s">
        <v>37</v>
      </c>
      <c r="D55">
        <v>5.8409760000000004</v>
      </c>
      <c r="E55">
        <v>0.57730700000000001</v>
      </c>
      <c r="F55" t="s">
        <v>38</v>
      </c>
      <c r="G55">
        <v>-473.49950000000001</v>
      </c>
      <c r="H55">
        <v>1.0472889999999999</v>
      </c>
      <c r="I55">
        <v>367.41180000000003</v>
      </c>
      <c r="J55">
        <v>-474.18740000000003</v>
      </c>
      <c r="K55">
        <v>1.1045160000000001</v>
      </c>
      <c r="L55">
        <v>367.5247</v>
      </c>
      <c r="M55">
        <v>0.99992729999999996</v>
      </c>
      <c r="N55">
        <v>0</v>
      </c>
      <c r="O55">
        <v>5.647521E-4</v>
      </c>
      <c r="P55">
        <v>0.99904809999999999</v>
      </c>
      <c r="Q55">
        <v>-1.0821010000000001E-2</v>
      </c>
      <c r="R55">
        <v>4.2263139999999998E-2</v>
      </c>
      <c r="S55">
        <v>3.0196230000000002</v>
      </c>
      <c r="T55">
        <v>-0.229094299999999</v>
      </c>
      <c r="U55">
        <v>-0.452179</v>
      </c>
      <c r="V55">
        <v>-4.169904E-2</v>
      </c>
      <c r="W55">
        <v>1.2210050000000001E-3</v>
      </c>
      <c r="X55">
        <v>0.9991295</v>
      </c>
      <c r="Y55">
        <v>0.1482359</v>
      </c>
      <c r="Z55">
        <v>-5.6267019999999999E-3</v>
      </c>
      <c r="AA55">
        <v>0.98893600000000004</v>
      </c>
      <c r="AB55">
        <v>6</v>
      </c>
      <c r="AC55">
        <v>0.68790000000001295</v>
      </c>
      <c r="AD55">
        <v>-5.7227000000000097E-2</v>
      </c>
      <c r="AE55">
        <v>-0.112899999999967</v>
      </c>
      <c r="AF55">
        <v>0.112530140880995</v>
      </c>
      <c r="AG55">
        <v>-5.7227000000000097E-2</v>
      </c>
      <c r="AH55">
        <v>0.68323169532809302</v>
      </c>
      <c r="AI55">
        <v>94.724519624543404</v>
      </c>
      <c r="AJ55">
        <v>80.647195335722799</v>
      </c>
      <c r="AK55">
        <v>0.69479746087374095</v>
      </c>
    </row>
    <row r="56" spans="1:37" x14ac:dyDescent="0.2">
      <c r="A56" t="str">
        <f>"20200111155754001"</f>
        <v>20200111155754001</v>
      </c>
      <c r="B56" t="str">
        <f>"1578729473990567"</f>
        <v>1578729473990567</v>
      </c>
      <c r="C56" t="s">
        <v>37</v>
      </c>
      <c r="D56">
        <v>5.8362069999999999</v>
      </c>
      <c r="E56">
        <v>0.57858900000000002</v>
      </c>
      <c r="F56" t="s">
        <v>39</v>
      </c>
      <c r="G56">
        <v>-459.30579999999998</v>
      </c>
      <c r="H56" s="1">
        <v>-1.407657E-6</v>
      </c>
      <c r="I56">
        <v>365.16140000000001</v>
      </c>
      <c r="J56">
        <v>-474.12880000000001</v>
      </c>
      <c r="K56">
        <v>1.1045229999999999</v>
      </c>
      <c r="L56">
        <v>367.52480000000003</v>
      </c>
      <c r="M56">
        <v>0.99992709999999996</v>
      </c>
      <c r="N56">
        <v>0</v>
      </c>
      <c r="O56">
        <v>5.7363450000000001E-4</v>
      </c>
      <c r="P56">
        <v>0.99905969999999999</v>
      </c>
      <c r="Q56">
        <v>-1.1072149999999999E-2</v>
      </c>
      <c r="R56">
        <v>4.1919730000000002E-2</v>
      </c>
      <c r="S56">
        <v>3.0207519999999999</v>
      </c>
      <c r="T56">
        <v>-0.22419939999999999</v>
      </c>
      <c r="U56">
        <v>-0.47970580000000002</v>
      </c>
      <c r="V56">
        <v>-4.134649E-2</v>
      </c>
      <c r="W56">
        <v>9.8020250000000007E-4</v>
      </c>
      <c r="X56">
        <v>0.99914439999999904</v>
      </c>
      <c r="Y56">
        <v>0.15698199999999901</v>
      </c>
      <c r="Z56">
        <v>-5.8237619999999997E-3</v>
      </c>
      <c r="AA56">
        <v>0.98758429999999997</v>
      </c>
      <c r="AB56">
        <v>6</v>
      </c>
      <c r="AC56">
        <v>14.823</v>
      </c>
      <c r="AD56">
        <v>-1.104524407657</v>
      </c>
      <c r="AE56">
        <v>-2.3634000000000102</v>
      </c>
      <c r="AF56">
        <v>2.3591291907348002</v>
      </c>
      <c r="AG56">
        <v>-1.104524407657</v>
      </c>
      <c r="AH56">
        <v>14.7418189186013</v>
      </c>
      <c r="AI56">
        <v>94.231217574269493</v>
      </c>
      <c r="AJ56">
        <v>80.908062620823898</v>
      </c>
      <c r="AK56">
        <v>14.9701933766574</v>
      </c>
    </row>
    <row r="57" spans="1:37" x14ac:dyDescent="0.2">
      <c r="A57" t="str">
        <f>"20200111155754022"</f>
        <v>20200111155754022</v>
      </c>
      <c r="B57" t="str">
        <f>"1578729474011063"</f>
        <v>1578729474011063</v>
      </c>
      <c r="C57" t="s">
        <v>37</v>
      </c>
      <c r="D57">
        <v>5.8391999999999999</v>
      </c>
      <c r="E57">
        <v>0.58032919999999999</v>
      </c>
      <c r="F57" t="s">
        <v>39</v>
      </c>
      <c r="G57">
        <v>-458.9151</v>
      </c>
      <c r="H57" s="1">
        <v>-1.5699629999999901E-6</v>
      </c>
      <c r="I57">
        <v>365.05099999999999</v>
      </c>
      <c r="J57">
        <v>-474.0702</v>
      </c>
      <c r="K57">
        <v>1.1045309999999999</v>
      </c>
      <c r="L57">
        <v>367.52480000000003</v>
      </c>
      <c r="M57">
        <v>0.99992700000000001</v>
      </c>
      <c r="N57">
        <v>0</v>
      </c>
      <c r="O57">
        <v>5.8267400000000004E-4</v>
      </c>
      <c r="P57">
        <v>0.99908090000000005</v>
      </c>
      <c r="Q57">
        <v>-1.06511E-2</v>
      </c>
      <c r="R57">
        <v>4.1523160000000003E-2</v>
      </c>
      <c r="S57">
        <v>3.0210569999999999</v>
      </c>
      <c r="T57">
        <v>-0.2193291</v>
      </c>
      <c r="U57">
        <v>-0.49121090000000001</v>
      </c>
      <c r="V57">
        <v>-4.0941030000000003E-2</v>
      </c>
      <c r="W57">
        <v>1.4146009999999999E-3</v>
      </c>
      <c r="X57">
        <v>0.99916059999999995</v>
      </c>
      <c r="Y57">
        <v>0.16064979999999901</v>
      </c>
      <c r="Z57">
        <v>-5.828064E-3</v>
      </c>
      <c r="AA57">
        <v>0.98699429999999999</v>
      </c>
      <c r="AB57">
        <v>6</v>
      </c>
      <c r="AC57">
        <v>15.155099999999999</v>
      </c>
      <c r="AD57">
        <v>-1.104532569963</v>
      </c>
      <c r="AE57">
        <v>-2.47380000000003</v>
      </c>
      <c r="AF57">
        <v>2.4698519031964601</v>
      </c>
      <c r="AG57">
        <v>-1.104532569963</v>
      </c>
      <c r="AH57">
        <v>15.0756557483276</v>
      </c>
      <c r="AI57">
        <v>94.135408400378196</v>
      </c>
      <c r="AJ57">
        <v>80.695859787604803</v>
      </c>
      <c r="AK57">
        <v>15.3165125555368</v>
      </c>
    </row>
    <row r="58" spans="1:37" x14ac:dyDescent="0.2">
      <c r="A58" t="str">
        <f>"20200111155754046"</f>
        <v>20200111155754046</v>
      </c>
      <c r="B58" t="str">
        <f>"1578729474041320"</f>
        <v>1578729474041320</v>
      </c>
      <c r="C58" t="s">
        <v>37</v>
      </c>
      <c r="D58">
        <v>5.8443149999999999</v>
      </c>
      <c r="E58">
        <v>0.58170829999999996</v>
      </c>
      <c r="F58" t="s">
        <v>39</v>
      </c>
      <c r="G58">
        <v>-458.1619</v>
      </c>
      <c r="H58" s="1">
        <v>-1.87828E-6</v>
      </c>
      <c r="I58">
        <v>364.85570000000001</v>
      </c>
      <c r="J58">
        <v>-474.005</v>
      </c>
      <c r="K58">
        <v>1.1045450000000001</v>
      </c>
      <c r="L58">
        <v>367.52480000000003</v>
      </c>
      <c r="M58">
        <v>0.9999266</v>
      </c>
      <c r="N58">
        <v>0</v>
      </c>
      <c r="O58">
        <v>5.9279210000000001E-4</v>
      </c>
      <c r="P58">
        <v>0.99909130000000002</v>
      </c>
      <c r="Q58">
        <v>-1.0513170000000001E-2</v>
      </c>
      <c r="R58">
        <v>4.1301730000000002E-2</v>
      </c>
      <c r="S58">
        <v>3.0216059999999998</v>
      </c>
      <c r="T58">
        <v>-0.2097926</v>
      </c>
      <c r="U58">
        <v>-0.50695800000000002</v>
      </c>
      <c r="V58">
        <v>-4.0709469999999998E-2</v>
      </c>
      <c r="W58">
        <v>1.5743409999999999E-3</v>
      </c>
      <c r="X58">
        <v>0.9991698</v>
      </c>
      <c r="Y58">
        <v>0.16566020000000001</v>
      </c>
      <c r="Z58">
        <v>-5.7451539999999997E-3</v>
      </c>
      <c r="AA58">
        <v>0.98616619999999999</v>
      </c>
      <c r="AB58">
        <v>6</v>
      </c>
      <c r="AC58">
        <v>15.8430999999999</v>
      </c>
      <c r="AD58">
        <v>-1.1045468782800001</v>
      </c>
      <c r="AE58">
        <v>-2.66910000000001</v>
      </c>
      <c r="AF58">
        <v>2.6658917295181501</v>
      </c>
      <c r="AG58">
        <v>-1.1045468782800001</v>
      </c>
      <c r="AH58">
        <v>15.7669932705218</v>
      </c>
      <c r="AI58">
        <v>93.951371358164906</v>
      </c>
      <c r="AJ58">
        <v>80.403163929388199</v>
      </c>
      <c r="AK58">
        <v>16.0288826595153</v>
      </c>
    </row>
    <row r="59" spans="1:37" x14ac:dyDescent="0.2">
      <c r="A59" t="str">
        <f>"20200111155754068"</f>
        <v>20200111155754068</v>
      </c>
      <c r="B59" t="str">
        <f>"1578729474061491"</f>
        <v>1578729474061491</v>
      </c>
      <c r="C59" t="s">
        <v>37</v>
      </c>
      <c r="D59">
        <v>5.8653430000000002</v>
      </c>
      <c r="E59">
        <v>0.58241960000000004</v>
      </c>
      <c r="F59" t="s">
        <v>39</v>
      </c>
      <c r="G59">
        <v>-457.26209999999998</v>
      </c>
      <c r="H59" s="1">
        <v>-2.23914199999999E-6</v>
      </c>
      <c r="I59">
        <v>364.65019999999998</v>
      </c>
      <c r="J59">
        <v>-473.9436</v>
      </c>
      <c r="K59">
        <v>1.1045559999999901</v>
      </c>
      <c r="L59">
        <v>367.5249</v>
      </c>
      <c r="M59">
        <v>0.99992639999999999</v>
      </c>
      <c r="N59">
        <v>0</v>
      </c>
      <c r="O59">
        <v>6.0222629999999997E-4</v>
      </c>
      <c r="P59">
        <v>0.99910969999999999</v>
      </c>
      <c r="Q59">
        <v>-1.064533E-2</v>
      </c>
      <c r="R59">
        <v>4.0826090000000002E-2</v>
      </c>
      <c r="S59">
        <v>3.0220950000000002</v>
      </c>
      <c r="T59">
        <v>-0.19937050000000001</v>
      </c>
      <c r="U59">
        <v>-0.51885990000000004</v>
      </c>
      <c r="V59">
        <v>-4.0223969999999998E-2</v>
      </c>
      <c r="W59">
        <v>1.4689600000000001E-3</v>
      </c>
      <c r="X59">
        <v>0.99918960000000001</v>
      </c>
      <c r="Y59">
        <v>0.1694475</v>
      </c>
      <c r="Z59">
        <v>-5.58222199999999E-3</v>
      </c>
      <c r="AA59">
        <v>0.98552340000000005</v>
      </c>
      <c r="AB59">
        <v>6</v>
      </c>
      <c r="AC59">
        <v>16.6815</v>
      </c>
      <c r="AD59">
        <v>-1.1045582391419999</v>
      </c>
      <c r="AE59">
        <v>-2.87470000000001</v>
      </c>
      <c r="AF59">
        <v>2.8725153130618502</v>
      </c>
      <c r="AG59">
        <v>-1.1045582391419999</v>
      </c>
      <c r="AH59">
        <v>16.609045635224199</v>
      </c>
      <c r="AI59">
        <v>93.749265170800498</v>
      </c>
      <c r="AJ59">
        <v>80.187824236404694</v>
      </c>
      <c r="AK59">
        <v>16.891766930679299</v>
      </c>
    </row>
    <row r="60" spans="1:37" x14ac:dyDescent="0.2">
      <c r="A60" t="str">
        <f>"20200111155754090"</f>
        <v>20200111155754090</v>
      </c>
      <c r="B60" t="str">
        <f>"1578729474081009"</f>
        <v>1578729474081009</v>
      </c>
      <c r="C60" t="s">
        <v>37</v>
      </c>
      <c r="D60">
        <v>5.8406279999999997</v>
      </c>
      <c r="E60">
        <v>0.58299809999999996</v>
      </c>
      <c r="F60" t="s">
        <v>39</v>
      </c>
      <c r="G60">
        <v>-457.02030000000002</v>
      </c>
      <c r="H60" s="1">
        <v>-2.3405459999999999E-6</v>
      </c>
      <c r="I60">
        <v>364.57839999999999</v>
      </c>
      <c r="J60">
        <v>-473.88209999999998</v>
      </c>
      <c r="K60">
        <v>1.104563</v>
      </c>
      <c r="L60">
        <v>367.52499999999998</v>
      </c>
      <c r="M60">
        <v>0.99992610000000004</v>
      </c>
      <c r="N60">
        <v>0</v>
      </c>
      <c r="O60">
        <v>6.1147139999999996E-4</v>
      </c>
      <c r="P60">
        <v>0.99911399999999995</v>
      </c>
      <c r="Q60">
        <v>-1.1080960000000001E-2</v>
      </c>
      <c r="R60">
        <v>4.0606089999999997E-2</v>
      </c>
      <c r="S60">
        <v>3.0220639999999999</v>
      </c>
      <c r="T60">
        <v>-0.197244</v>
      </c>
      <c r="U60">
        <v>-0.5261536</v>
      </c>
      <c r="V60">
        <v>-3.9995299999999998E-2</v>
      </c>
      <c r="W60">
        <v>1.0712779999999999E-3</v>
      </c>
      <c r="X60">
        <v>0.99919930000000001</v>
      </c>
      <c r="Y60">
        <v>0.17177020000000001</v>
      </c>
      <c r="Z60">
        <v>-5.5974930000000003E-3</v>
      </c>
      <c r="AA60">
        <v>0.98512109999999997</v>
      </c>
      <c r="AB60">
        <v>6</v>
      </c>
      <c r="AC60">
        <v>16.861799999999899</v>
      </c>
      <c r="AD60">
        <v>-1.1045653405460001</v>
      </c>
      <c r="AE60">
        <v>-2.9465999999999801</v>
      </c>
      <c r="AF60">
        <v>2.9446491869400901</v>
      </c>
      <c r="AG60">
        <v>-1.1045653405460001</v>
      </c>
      <c r="AH60">
        <v>16.790080990384201</v>
      </c>
      <c r="AI60">
        <v>93.707456940069605</v>
      </c>
      <c r="AJ60">
        <v>80.052614593067503</v>
      </c>
      <c r="AK60">
        <v>17.082091297301499</v>
      </c>
    </row>
    <row r="61" spans="1:37" x14ac:dyDescent="0.2">
      <c r="A61" t="str">
        <f>"20200111155754112"</f>
        <v>20200111155754112</v>
      </c>
      <c r="B61" t="str">
        <f>"1578729474101506"</f>
        <v>1578729474101506</v>
      </c>
      <c r="C61" t="s">
        <v>37</v>
      </c>
      <c r="D61">
        <v>5.8379859999999999</v>
      </c>
      <c r="E61">
        <v>0.59312719999999997</v>
      </c>
      <c r="F61" t="s">
        <v>39</v>
      </c>
      <c r="G61">
        <v>-456.73599999999999</v>
      </c>
      <c r="H61" s="1">
        <v>-2.455983E-6</v>
      </c>
      <c r="I61">
        <v>364.50810000000001</v>
      </c>
      <c r="J61">
        <v>-473.8211</v>
      </c>
      <c r="K61">
        <v>1.104581</v>
      </c>
      <c r="L61">
        <v>367.5249</v>
      </c>
      <c r="M61">
        <v>0.99992539999999996</v>
      </c>
      <c r="N61">
        <v>0</v>
      </c>
      <c r="O61">
        <v>6.2123250000000005E-4</v>
      </c>
      <c r="P61">
        <v>0.99912239999999997</v>
      </c>
      <c r="Q61">
        <v>-1.137495E-2</v>
      </c>
      <c r="R61">
        <v>4.0314509999999998E-2</v>
      </c>
      <c r="S61">
        <v>3.022125</v>
      </c>
      <c r="T61">
        <v>-0.19468750000000001</v>
      </c>
      <c r="U61">
        <v>-0.5317383</v>
      </c>
      <c r="V61">
        <v>-3.9693699999999998E-2</v>
      </c>
      <c r="W61">
        <v>8.2761450000000002E-4</v>
      </c>
      <c r="X61">
        <v>0.99921150000000003</v>
      </c>
      <c r="Y61">
        <v>0.17354829999999999</v>
      </c>
      <c r="Z61">
        <v>-5.5815099999999996E-3</v>
      </c>
      <c r="AA61">
        <v>0.98480959999999995</v>
      </c>
      <c r="AB61">
        <v>6</v>
      </c>
      <c r="AC61">
        <v>17.085100000000001</v>
      </c>
      <c r="AD61">
        <v>-1.1045834559829999</v>
      </c>
      <c r="AE61">
        <v>-3.0167999999999799</v>
      </c>
      <c r="AF61">
        <v>3.0151920050526799</v>
      </c>
      <c r="AG61">
        <v>-1.1045834559829999</v>
      </c>
      <c r="AH61">
        <v>17.014255476701699</v>
      </c>
      <c r="AI61">
        <v>93.657657175872899</v>
      </c>
      <c r="AJ61">
        <v>79.950626956552398</v>
      </c>
      <c r="AK61">
        <v>17.314628984331101</v>
      </c>
    </row>
    <row r="62" spans="1:37" x14ac:dyDescent="0.2">
      <c r="A62" t="str">
        <f>"20200111155754135"</f>
        <v>20200111155754135</v>
      </c>
      <c r="B62" t="str">
        <f>"1578729474130785"</f>
        <v>1578729474130785</v>
      </c>
      <c r="C62" t="s">
        <v>37</v>
      </c>
      <c r="D62">
        <v>5.8753279999999997</v>
      </c>
      <c r="E62">
        <v>0.58562049999999999</v>
      </c>
      <c r="F62" t="s">
        <v>40</v>
      </c>
      <c r="G62">
        <v>-265.9853</v>
      </c>
      <c r="H62">
        <v>8.9242949999999901</v>
      </c>
      <c r="I62">
        <v>324.25220000000002</v>
      </c>
      <c r="J62">
        <v>-473.75850000000003</v>
      </c>
      <c r="K62">
        <v>1.1045940000000001</v>
      </c>
      <c r="L62">
        <v>367.52499999999998</v>
      </c>
      <c r="M62">
        <v>0.99992479999999995</v>
      </c>
      <c r="N62">
        <v>0</v>
      </c>
      <c r="O62">
        <v>6.3107989999999997E-4</v>
      </c>
      <c r="P62">
        <v>0.9991196</v>
      </c>
      <c r="Q62">
        <v>-1.1355550000000001E-2</v>
      </c>
      <c r="R62">
        <v>4.0391469999999999E-2</v>
      </c>
      <c r="S62">
        <v>3.029388</v>
      </c>
      <c r="T62">
        <v>0.11397930000000001</v>
      </c>
      <c r="U62">
        <v>-0.63073729999999995</v>
      </c>
      <c r="V62">
        <v>-3.9760879999999998E-2</v>
      </c>
      <c r="W62">
        <v>8.9341799999999999E-4</v>
      </c>
      <c r="X62">
        <v>0.99920880000000001</v>
      </c>
      <c r="Y62">
        <v>0.20431379999999999</v>
      </c>
      <c r="Z62">
        <v>3.8250129999999999E-3</v>
      </c>
      <c r="AA62">
        <v>0.97889799999999905</v>
      </c>
      <c r="AB62">
        <v>6</v>
      </c>
      <c r="AC62">
        <v>207.7732</v>
      </c>
      <c r="AD62">
        <v>7.8197009999999896</v>
      </c>
      <c r="AE62">
        <v>-43.272799999999897</v>
      </c>
      <c r="AF62">
        <v>43.345078985170801</v>
      </c>
      <c r="AG62">
        <v>7.8197009999999896</v>
      </c>
      <c r="AH62">
        <v>207.46420203070201</v>
      </c>
      <c r="AI62">
        <v>87.887021697980103</v>
      </c>
      <c r="AJ62">
        <v>78.199060838756097</v>
      </c>
      <c r="AK62">
        <v>212.08804473660399</v>
      </c>
    </row>
    <row r="63" spans="1:37" x14ac:dyDescent="0.2">
      <c r="A63" t="str">
        <f>"20200111155754158"</f>
        <v>20200111155754158</v>
      </c>
      <c r="B63" t="str">
        <f>"1578729474150956"</f>
        <v>1578729474150956</v>
      </c>
      <c r="C63" t="s">
        <v>37</v>
      </c>
      <c r="D63">
        <v>5.8529900000000001</v>
      </c>
      <c r="E63">
        <v>0.58527340000000005</v>
      </c>
      <c r="F63" t="s">
        <v>39</v>
      </c>
      <c r="G63">
        <v>-455.54590000000002</v>
      </c>
      <c r="H63" s="1">
        <v>-2.9463340000000002E-6</v>
      </c>
      <c r="I63">
        <v>364.18729999999999</v>
      </c>
      <c r="J63">
        <v>-473.69080000000002</v>
      </c>
      <c r="K63">
        <v>1.1044339999999999</v>
      </c>
      <c r="L63">
        <v>367.52510000000001</v>
      </c>
      <c r="M63">
        <v>0.99993189999999998</v>
      </c>
      <c r="N63">
        <v>0</v>
      </c>
      <c r="O63">
        <v>6.4170619999999999E-4</v>
      </c>
      <c r="P63">
        <v>0.99909699999999901</v>
      </c>
      <c r="Q63">
        <v>-1.0832700000000001E-2</v>
      </c>
      <c r="R63">
        <v>4.1088239999999998E-2</v>
      </c>
      <c r="S63">
        <v>3.0229490000000001</v>
      </c>
      <c r="T63">
        <v>-0.18334129999999901</v>
      </c>
      <c r="U63">
        <v>-0.55398559999999997</v>
      </c>
      <c r="V63">
        <v>-4.044698E-2</v>
      </c>
      <c r="W63">
        <v>8.2809129999999998E-4</v>
      </c>
      <c r="X63">
        <v>0.99918130000000005</v>
      </c>
      <c r="Y63">
        <v>0.18056710000000001</v>
      </c>
      <c r="Z63">
        <v>-5.4641659999999899E-3</v>
      </c>
      <c r="AA63">
        <v>0.98354750000000002</v>
      </c>
      <c r="AB63">
        <v>6</v>
      </c>
      <c r="AC63">
        <v>18.1449</v>
      </c>
      <c r="AD63">
        <v>-1.104436946334</v>
      </c>
      <c r="AE63">
        <v>-3.3378000000000099</v>
      </c>
      <c r="AF63">
        <v>3.33748357943713</v>
      </c>
      <c r="AG63">
        <v>-1.104436946334</v>
      </c>
      <c r="AH63">
        <v>18.077969950351001</v>
      </c>
      <c r="AI63">
        <v>93.438068232150201</v>
      </c>
      <c r="AJ63">
        <v>79.540053502958699</v>
      </c>
      <c r="AK63">
        <v>18.416611391274799</v>
      </c>
    </row>
    <row r="64" spans="1:37" x14ac:dyDescent="0.2">
      <c r="A64" t="str">
        <f>"20200111155754180"</f>
        <v>20200111155754180</v>
      </c>
      <c r="B64" t="str">
        <f>"1578729474171454"</f>
        <v>1578729474171454</v>
      </c>
      <c r="C64" t="s">
        <v>37</v>
      </c>
      <c r="D64">
        <v>5.8603309999999897</v>
      </c>
      <c r="E64">
        <v>0.58489480000000005</v>
      </c>
      <c r="F64" t="s">
        <v>39</v>
      </c>
      <c r="G64">
        <v>-454.52589999999998</v>
      </c>
      <c r="H64" s="1">
        <v>-3.332191E-6</v>
      </c>
      <c r="I64">
        <v>364.04160000000002</v>
      </c>
      <c r="J64">
        <v>-473.62759999999997</v>
      </c>
      <c r="K64">
        <v>1.1041399999999999</v>
      </c>
      <c r="L64">
        <v>367.52510000000001</v>
      </c>
      <c r="M64">
        <v>0.99994499999999997</v>
      </c>
      <c r="N64">
        <v>0</v>
      </c>
      <c r="O64">
        <v>6.5250849999999995E-4</v>
      </c>
      <c r="P64">
        <v>0.99909740000000002</v>
      </c>
      <c r="Q64">
        <v>-1.0292010000000001E-2</v>
      </c>
      <c r="R64">
        <v>4.1215990000000001E-2</v>
      </c>
      <c r="S64">
        <v>3.0234380000000001</v>
      </c>
      <c r="T64">
        <v>-0.17423469999999999</v>
      </c>
      <c r="U64">
        <v>-0.54952999999999996</v>
      </c>
      <c r="V64">
        <v>-4.0564200000000002E-2</v>
      </c>
      <c r="W64">
        <v>1.7816229999999999E-4</v>
      </c>
      <c r="X64">
        <v>0.99917690000000003</v>
      </c>
      <c r="Y64">
        <v>0.17918010000000001</v>
      </c>
      <c r="Z64">
        <v>-5.1540739999999998E-3</v>
      </c>
      <c r="AA64">
        <v>0.98380279999999998</v>
      </c>
      <c r="AB64">
        <v>6</v>
      </c>
      <c r="AC64">
        <v>19.101699999999902</v>
      </c>
      <c r="AD64">
        <v>-1.1041433321909999</v>
      </c>
      <c r="AE64">
        <v>-3.48349999999999</v>
      </c>
      <c r="AF64">
        <v>3.4846955381841802</v>
      </c>
      <c r="AG64">
        <v>-1.1041433321909999</v>
      </c>
      <c r="AH64">
        <v>19.0378602592838</v>
      </c>
      <c r="AI64">
        <v>93.265152198094199</v>
      </c>
      <c r="AJ64">
        <v>79.627386970949402</v>
      </c>
      <c r="AK64">
        <v>19.385622475016898</v>
      </c>
    </row>
    <row r="65" spans="1:37" x14ac:dyDescent="0.2">
      <c r="A65" t="str">
        <f>"20200111155754202"</f>
        <v>20200111155754202</v>
      </c>
      <c r="B65" t="str">
        <f>"1578729474190971"</f>
        <v>1578729474190971</v>
      </c>
      <c r="C65" t="s">
        <v>37</v>
      </c>
      <c r="D65">
        <v>5.8323179999999999</v>
      </c>
      <c r="E65">
        <v>0.58490710000000001</v>
      </c>
      <c r="F65" t="s">
        <v>39</v>
      </c>
      <c r="G65">
        <v>-454.36329999999998</v>
      </c>
      <c r="H65" s="1">
        <v>-3.3883810000000001E-6</v>
      </c>
      <c r="I65">
        <v>364.04680000000002</v>
      </c>
      <c r="J65">
        <v>-473.55829999999997</v>
      </c>
      <c r="K65">
        <v>1.103845</v>
      </c>
      <c r="L65">
        <v>367.52519999999998</v>
      </c>
      <c r="M65">
        <v>0.99995829999999997</v>
      </c>
      <c r="N65">
        <v>0</v>
      </c>
      <c r="O65">
        <v>6.6512780000000001E-4</v>
      </c>
      <c r="P65">
        <v>0.99909599999999898</v>
      </c>
      <c r="Q65">
        <v>-1.0505219999999999E-2</v>
      </c>
      <c r="R65">
        <v>4.1190900000000003E-2</v>
      </c>
      <c r="S65">
        <v>3.0234679999999998</v>
      </c>
      <c r="T65">
        <v>-0.17329059999999999</v>
      </c>
      <c r="U65">
        <v>-0.54589840000000001</v>
      </c>
      <c r="V65">
        <v>-4.0526520000000003E-2</v>
      </c>
      <c r="W65">
        <v>-1.399151E-3</v>
      </c>
      <c r="X65">
        <v>0.99917749999999905</v>
      </c>
      <c r="Y65">
        <v>0.1780513</v>
      </c>
      <c r="Z65">
        <v>-5.0953350000000003E-3</v>
      </c>
      <c r="AA65">
        <v>0.98400799999999999</v>
      </c>
      <c r="AB65">
        <v>7</v>
      </c>
      <c r="AC65">
        <v>19.195</v>
      </c>
      <c r="AD65">
        <v>-1.103848388381</v>
      </c>
      <c r="AE65">
        <v>-3.4783999999999602</v>
      </c>
      <c r="AF65">
        <v>3.48002413592689</v>
      </c>
      <c r="AG65">
        <v>-1.103848388381</v>
      </c>
      <c r="AH65">
        <v>19.1314248216481</v>
      </c>
      <c r="AI65">
        <v>93.249004018029396</v>
      </c>
      <c r="AJ65">
        <v>79.690563703503898</v>
      </c>
      <c r="AK65">
        <v>19.476664626099002</v>
      </c>
    </row>
    <row r="66" spans="1:37" x14ac:dyDescent="0.2">
      <c r="A66" t="str">
        <f>"20200111155754224"</f>
        <v>20200111155754224</v>
      </c>
      <c r="B66" t="str">
        <f>"1578729474221228"</f>
        <v>1578729474221228</v>
      </c>
      <c r="C66" t="s">
        <v>37</v>
      </c>
      <c r="D66">
        <v>5.8379000000000003</v>
      </c>
      <c r="E66">
        <v>0.58517940000000002</v>
      </c>
      <c r="F66" t="s">
        <v>39</v>
      </c>
      <c r="G66">
        <v>-453.9298</v>
      </c>
      <c r="H66" s="1">
        <v>-3.5863179999999999E-6</v>
      </c>
      <c r="I66">
        <v>363.97930000000002</v>
      </c>
      <c r="J66">
        <v>-473.48660000000001</v>
      </c>
      <c r="K66">
        <v>1.103626</v>
      </c>
      <c r="L66">
        <v>367.52519999999998</v>
      </c>
      <c r="M66">
        <v>0.999969</v>
      </c>
      <c r="N66">
        <v>0</v>
      </c>
      <c r="O66">
        <v>6.7821149999999905E-4</v>
      </c>
      <c r="P66">
        <v>0.99907849999999998</v>
      </c>
      <c r="Q66">
        <v>-1.1222630000000001E-2</v>
      </c>
      <c r="R66">
        <v>4.14256E-2</v>
      </c>
      <c r="S66">
        <v>3.0234380000000001</v>
      </c>
      <c r="T66">
        <v>-0.1700284</v>
      </c>
      <c r="U66">
        <v>-0.54617309999999997</v>
      </c>
      <c r="V66">
        <v>-4.074788E-2</v>
      </c>
      <c r="W66">
        <v>-3.366188E-3</v>
      </c>
      <c r="X66">
        <v>0.99916380000000005</v>
      </c>
      <c r="Y66">
        <v>0.17816279999999901</v>
      </c>
      <c r="Z66">
        <v>-5.0034119999999996E-3</v>
      </c>
      <c r="AA66">
        <v>0.98398829999999904</v>
      </c>
      <c r="AB66">
        <v>7</v>
      </c>
      <c r="AC66">
        <v>19.556799999999999</v>
      </c>
      <c r="AD66">
        <v>-1.1036295863179999</v>
      </c>
      <c r="AE66">
        <v>-3.5458999999999601</v>
      </c>
      <c r="AF66">
        <v>3.5482233096727098</v>
      </c>
      <c r="AG66">
        <v>-1.1036295863179999</v>
      </c>
      <c r="AH66">
        <v>19.494285515924702</v>
      </c>
      <c r="AI66">
        <v>93.187960200101102</v>
      </c>
      <c r="AJ66">
        <v>79.684320613364605</v>
      </c>
      <c r="AK66">
        <v>19.845277894136299</v>
      </c>
    </row>
    <row r="67" spans="1:37" x14ac:dyDescent="0.2">
      <c r="A67" t="str">
        <f>"20200111155754247"</f>
        <v>20200111155754247</v>
      </c>
      <c r="B67" t="str">
        <f>"1578729474240748"</f>
        <v>1578729474240748</v>
      </c>
      <c r="C67" t="s">
        <v>37</v>
      </c>
      <c r="D67">
        <v>5.8116070000000004</v>
      </c>
      <c r="E67">
        <v>0.58554329999999999</v>
      </c>
      <c r="F67" t="s">
        <v>39</v>
      </c>
      <c r="G67">
        <v>-453.90170000000001</v>
      </c>
      <c r="H67" s="1">
        <v>-3.5989509999999999E-6</v>
      </c>
      <c r="I67">
        <v>363.97609999999997</v>
      </c>
      <c r="J67">
        <v>-473.40949999999998</v>
      </c>
      <c r="K67">
        <v>1.103475</v>
      </c>
      <c r="L67">
        <v>367.52530000000002</v>
      </c>
      <c r="M67">
        <v>0.99997739999999902</v>
      </c>
      <c r="N67">
        <v>0</v>
      </c>
      <c r="O67">
        <v>6.9225639999999995E-4</v>
      </c>
      <c r="P67">
        <v>0.99910180000000004</v>
      </c>
      <c r="Q67">
        <v>-1.04151E-2</v>
      </c>
      <c r="R67">
        <v>4.107831E-2</v>
      </c>
      <c r="S67">
        <v>3.0235599999999998</v>
      </c>
      <c r="T67">
        <v>-0.17038010000000001</v>
      </c>
      <c r="U67">
        <v>-0.54791259999999997</v>
      </c>
      <c r="V67">
        <v>-4.0386680000000001E-2</v>
      </c>
      <c r="W67">
        <v>-3.724223E-3</v>
      </c>
      <c r="X67">
        <v>0.99917719999999899</v>
      </c>
      <c r="Y67">
        <v>0.17871589999999901</v>
      </c>
      <c r="Z67">
        <v>-5.0295230000000002E-3</v>
      </c>
      <c r="AA67">
        <v>0.98388790000000004</v>
      </c>
      <c r="AB67">
        <v>7</v>
      </c>
      <c r="AC67">
        <v>19.5077999999999</v>
      </c>
      <c r="AD67">
        <v>-1.1034785989510001</v>
      </c>
      <c r="AE67">
        <v>-3.5492000000000399</v>
      </c>
      <c r="AF67">
        <v>3.5517035374003898</v>
      </c>
      <c r="AG67">
        <v>-1.1034785989510001</v>
      </c>
      <c r="AH67">
        <v>19.445113034296298</v>
      </c>
      <c r="AI67">
        <v>93.195209119079195</v>
      </c>
      <c r="AJ67">
        <v>79.648872778135001</v>
      </c>
      <c r="AK67">
        <v>19.797592882784699</v>
      </c>
    </row>
    <row r="68" spans="1:37" x14ac:dyDescent="0.2">
      <c r="A68" t="str">
        <f>"20200111155754291"</f>
        <v>20200111155754291</v>
      </c>
      <c r="B68" t="str">
        <f>"1578729474280710"</f>
        <v>1578729474280710</v>
      </c>
      <c r="C68" t="s">
        <v>37</v>
      </c>
      <c r="D68">
        <v>6.0670489999999999</v>
      </c>
      <c r="E68">
        <v>0.58558319999999997</v>
      </c>
      <c r="F68" t="s">
        <v>39</v>
      </c>
      <c r="G68">
        <v>-453.40030000000002</v>
      </c>
      <c r="H68" s="1">
        <v>-3.8320519999999996E-6</v>
      </c>
      <c r="I68">
        <v>363.87459999999999</v>
      </c>
      <c r="J68">
        <v>-473.2509</v>
      </c>
      <c r="K68">
        <v>1.103343</v>
      </c>
      <c r="L68">
        <v>367.52550000000002</v>
      </c>
      <c r="M68">
        <v>0.99998799999999899</v>
      </c>
      <c r="N68">
        <v>0</v>
      </c>
      <c r="O68">
        <v>7.1937259999999904E-4</v>
      </c>
      <c r="P68">
        <v>0.99916519999999998</v>
      </c>
      <c r="Q68">
        <v>-6.6128109999999997E-3</v>
      </c>
      <c r="R68">
        <v>4.0313359999999999E-2</v>
      </c>
      <c r="S68">
        <v>3.023682</v>
      </c>
      <c r="T68">
        <v>-0.16675129999999999</v>
      </c>
      <c r="U68">
        <v>-0.55166630000000005</v>
      </c>
      <c r="V68">
        <v>-3.9594549999999999E-2</v>
      </c>
      <c r="W68">
        <v>-1.7657149999999999E-3</v>
      </c>
      <c r="X68">
        <v>0.9992143</v>
      </c>
      <c r="Y68">
        <v>0.17992759999999999</v>
      </c>
      <c r="Z68">
        <v>-4.9564220000000003E-3</v>
      </c>
      <c r="AA68">
        <v>0.98366739999999997</v>
      </c>
      <c r="AB68">
        <v>8</v>
      </c>
      <c r="AC68">
        <v>19.850599999999901</v>
      </c>
      <c r="AD68">
        <v>-1.1033468320519999</v>
      </c>
      <c r="AE68">
        <v>-3.6509000000000298</v>
      </c>
      <c r="AF68">
        <v>3.6542590496687399</v>
      </c>
      <c r="AG68">
        <v>-1.1033468320519999</v>
      </c>
      <c r="AH68">
        <v>19.788832809131101</v>
      </c>
      <c r="AI68">
        <v>93.138329523404806</v>
      </c>
      <c r="AJ68">
        <v>79.537470000385696</v>
      </c>
      <c r="AK68">
        <v>20.153632113880398</v>
      </c>
    </row>
    <row r="69" spans="1:37" x14ac:dyDescent="0.2">
      <c r="A69" t="str">
        <f>"20200111155754313"</f>
        <v>20200111155754313</v>
      </c>
      <c r="B69" t="str">
        <f>"1578729474301206"</f>
        <v>1578729474301206</v>
      </c>
      <c r="C69" t="s">
        <v>37</v>
      </c>
      <c r="D69">
        <v>4.9313949999999904</v>
      </c>
      <c r="E69">
        <v>0.49618230000000002</v>
      </c>
      <c r="F69" t="s">
        <v>39</v>
      </c>
      <c r="G69">
        <v>-451.75970000000001</v>
      </c>
      <c r="H69" s="1">
        <v>-4.5871389999999997E-6</v>
      </c>
      <c r="I69">
        <v>363.58550000000002</v>
      </c>
      <c r="J69">
        <v>-473.17070000000001</v>
      </c>
      <c r="K69">
        <v>1.1033580000000001</v>
      </c>
      <c r="L69">
        <v>367.52550000000002</v>
      </c>
      <c r="M69">
        <v>0.99999059999999995</v>
      </c>
      <c r="N69">
        <v>0</v>
      </c>
      <c r="O69">
        <v>7.3267959999999996E-4</v>
      </c>
      <c r="P69">
        <v>0.99917789999999995</v>
      </c>
      <c r="Q69">
        <v>-5.0406720000000004E-3</v>
      </c>
      <c r="R69">
        <v>4.0225919999999998E-2</v>
      </c>
      <c r="S69">
        <v>3.0238649999999998</v>
      </c>
      <c r="T69">
        <v>-0.15524299999999999</v>
      </c>
      <c r="U69">
        <v>-0.55435179999999995</v>
      </c>
      <c r="V69">
        <v>-3.9494069999999999E-2</v>
      </c>
      <c r="W69">
        <v>-7.7097959999999997E-4</v>
      </c>
      <c r="X69">
        <v>0.99921949999999904</v>
      </c>
      <c r="Y69">
        <v>0.18080979999999999</v>
      </c>
      <c r="Z69">
        <v>-4.6372940000000001E-3</v>
      </c>
      <c r="AA69">
        <v>0.98350720000000003</v>
      </c>
      <c r="AB69">
        <v>8</v>
      </c>
      <c r="AC69">
        <v>21.411000000000001</v>
      </c>
      <c r="AD69">
        <v>-1.103362587139</v>
      </c>
      <c r="AE69">
        <v>-3.9399999999999902</v>
      </c>
      <c r="AF69">
        <v>3.9455518657055801</v>
      </c>
      <c r="AG69">
        <v>-1.103362587139</v>
      </c>
      <c r="AH69">
        <v>21.353259063533301</v>
      </c>
      <c r="AI69">
        <v>92.908796354204298</v>
      </c>
      <c r="AJ69">
        <v>79.531238415757201</v>
      </c>
      <c r="AK69">
        <v>21.7427335254342</v>
      </c>
    </row>
    <row r="70" spans="1:37" x14ac:dyDescent="0.2">
      <c r="A70" t="str">
        <f>"20200111155754337"</f>
        <v>20200111155754337</v>
      </c>
      <c r="B70" t="str">
        <f>"1578729474331462"</f>
        <v>1578729474331462</v>
      </c>
      <c r="C70" t="s">
        <v>37</v>
      </c>
      <c r="D70">
        <v>5.8965879999999897</v>
      </c>
      <c r="E70">
        <v>0.50311450000000002</v>
      </c>
      <c r="F70" t="s">
        <v>39</v>
      </c>
      <c r="G70">
        <v>-455.86779999999999</v>
      </c>
      <c r="H70" s="1">
        <v>-1.96028799999999E-6</v>
      </c>
      <c r="I70">
        <v>368.45920000000001</v>
      </c>
      <c r="J70">
        <v>-473.084</v>
      </c>
      <c r="K70">
        <v>1.103397</v>
      </c>
      <c r="L70">
        <v>367.52550000000002</v>
      </c>
      <c r="M70">
        <v>0.99999229999999995</v>
      </c>
      <c r="N70">
        <v>0</v>
      </c>
      <c r="O70">
        <v>7.4699279999999998E-4</v>
      </c>
      <c r="P70">
        <v>0.99921159999999998</v>
      </c>
      <c r="Q70">
        <v>-3.3995679999999999E-3</v>
      </c>
      <c r="R70">
        <v>3.9556540000000001E-2</v>
      </c>
      <c r="S70">
        <v>2.9949949999999999</v>
      </c>
      <c r="T70">
        <v>-0.19098109999999999</v>
      </c>
      <c r="U70">
        <v>0.16162109999999999</v>
      </c>
      <c r="V70">
        <v>-3.8810339999999999E-2</v>
      </c>
      <c r="W70">
        <v>4.5901919999999998E-4</v>
      </c>
      <c r="X70">
        <v>0.99924650000000004</v>
      </c>
      <c r="Y70">
        <v>-5.3033509999999999E-2</v>
      </c>
      <c r="Z70">
        <v>1.6403979999999999E-3</v>
      </c>
      <c r="AA70">
        <v>0.99859140000000002</v>
      </c>
      <c r="AB70">
        <v>8</v>
      </c>
      <c r="AC70">
        <v>17.216200000000001</v>
      </c>
      <c r="AD70">
        <v>-1.1033989602879899</v>
      </c>
      <c r="AE70">
        <v>0.93369999999998698</v>
      </c>
      <c r="AF70">
        <v>-0.91708328202906197</v>
      </c>
      <c r="AG70">
        <v>-1.1033989602879899</v>
      </c>
      <c r="AH70">
        <v>17.146667184677199</v>
      </c>
      <c r="AI70">
        <v>93.676702610949405</v>
      </c>
      <c r="AJ70">
        <v>93.061526957610496</v>
      </c>
      <c r="AK70">
        <v>17.206589625891201</v>
      </c>
    </row>
    <row r="71" spans="1:37" x14ac:dyDescent="0.2">
      <c r="A71" t="str">
        <f>"20200111155754358"</f>
        <v>20200111155754358</v>
      </c>
      <c r="B71" t="str">
        <f>"1578729474350982"</f>
        <v>1578729474350982</v>
      </c>
      <c r="C71" t="s">
        <v>37</v>
      </c>
      <c r="D71">
        <v>5.9198459999999997</v>
      </c>
      <c r="E71">
        <v>0.50459989999999999</v>
      </c>
      <c r="F71" t="s">
        <v>39</v>
      </c>
      <c r="G71">
        <v>-457.86619999999999</v>
      </c>
      <c r="H71" s="1">
        <v>-1.173236E-6</v>
      </c>
      <c r="I71">
        <v>368.06310000000002</v>
      </c>
      <c r="J71">
        <v>-472.99990000000003</v>
      </c>
      <c r="K71">
        <v>1.1034310000000001</v>
      </c>
      <c r="L71">
        <v>367.5256</v>
      </c>
      <c r="M71">
        <v>0.99999359999999904</v>
      </c>
      <c r="N71">
        <v>0</v>
      </c>
      <c r="O71">
        <v>7.6072939999999995E-4</v>
      </c>
      <c r="P71">
        <v>0.99925459999999999</v>
      </c>
      <c r="Q71">
        <v>-2.5638029999999999E-3</v>
      </c>
      <c r="R71">
        <v>3.8520949999999998E-2</v>
      </c>
      <c r="S71">
        <v>2.9974369999999899</v>
      </c>
      <c r="T71">
        <v>-0.2173331</v>
      </c>
      <c r="U71">
        <v>0.105896</v>
      </c>
      <c r="V71">
        <v>-3.7760630000000003E-2</v>
      </c>
      <c r="W71">
        <v>9.9355379999999994E-4</v>
      </c>
      <c r="X71">
        <v>0.99928629999999996</v>
      </c>
      <c r="Y71">
        <v>-3.4458210000000003E-2</v>
      </c>
      <c r="Z71">
        <v>1.1921259999999999E-3</v>
      </c>
      <c r="AA71">
        <v>0.9994054</v>
      </c>
      <c r="AB71">
        <v>8</v>
      </c>
      <c r="AC71">
        <v>15.133699999999999</v>
      </c>
      <c r="AD71">
        <v>-1.103432173236</v>
      </c>
      <c r="AE71">
        <v>0.53750000000002196</v>
      </c>
      <c r="AF71">
        <v>-0.52320914510466499</v>
      </c>
      <c r="AG71">
        <v>-1.103432173236</v>
      </c>
      <c r="AH71">
        <v>15.054174389847301</v>
      </c>
      <c r="AI71">
        <v>94.189615648658702</v>
      </c>
      <c r="AJ71">
        <v>91.990518616903799</v>
      </c>
      <c r="AK71">
        <v>15.103624628889101</v>
      </c>
    </row>
    <row r="72" spans="1:37" x14ac:dyDescent="0.2">
      <c r="A72" t="str">
        <f>"20200111155754380"</f>
        <v>20200111155754380</v>
      </c>
      <c r="B72" t="str">
        <f>"1578729474371478"</f>
        <v>1578729474371478</v>
      </c>
      <c r="C72" t="s">
        <v>37</v>
      </c>
      <c r="D72">
        <v>5.9028960000000001</v>
      </c>
      <c r="E72">
        <v>0.50571719999999998</v>
      </c>
      <c r="F72" t="s">
        <v>39</v>
      </c>
      <c r="G72">
        <v>-457.95780000000002</v>
      </c>
      <c r="H72" s="1">
        <v>-1.1477799999999999E-6</v>
      </c>
      <c r="I72">
        <v>367.98509999999999</v>
      </c>
      <c r="J72">
        <v>-472.91669999999999</v>
      </c>
      <c r="K72">
        <v>1.103443</v>
      </c>
      <c r="L72">
        <v>367.52569999999997</v>
      </c>
      <c r="M72">
        <v>0.99999450000000001</v>
      </c>
      <c r="N72">
        <v>0</v>
      </c>
      <c r="O72">
        <v>7.7366749999999997E-4</v>
      </c>
      <c r="P72">
        <v>0.99928649999999997</v>
      </c>
      <c r="Q72">
        <v>-2.2232829999999999E-3</v>
      </c>
      <c r="R72">
        <v>3.7705799999999998E-2</v>
      </c>
      <c r="S72">
        <v>2.998138</v>
      </c>
      <c r="T72">
        <v>-0.2199306</v>
      </c>
      <c r="U72">
        <v>9.1613769999999997E-2</v>
      </c>
      <c r="V72">
        <v>-3.6932930000000003E-2</v>
      </c>
      <c r="W72">
        <v>1.0564960000000001E-3</v>
      </c>
      <c r="X72">
        <v>0.99931719999999902</v>
      </c>
      <c r="Y72">
        <v>-2.9691680000000002E-2</v>
      </c>
      <c r="Z72">
        <v>1.0306499999999999E-3</v>
      </c>
      <c r="AA72">
        <v>0.99955859999999996</v>
      </c>
      <c r="AB72">
        <v>8</v>
      </c>
      <c r="AC72">
        <v>14.9588999999999</v>
      </c>
      <c r="AD72">
        <v>-1.1034441477799899</v>
      </c>
      <c r="AE72">
        <v>0.45940000000001602</v>
      </c>
      <c r="AF72">
        <v>-0.445405294505966</v>
      </c>
      <c r="AG72">
        <v>-1.1034441477799899</v>
      </c>
      <c r="AH72">
        <v>14.878369795685099</v>
      </c>
      <c r="AI72">
        <v>94.239644732888706</v>
      </c>
      <c r="AJ72">
        <v>91.714719048714997</v>
      </c>
      <c r="AK72">
        <v>14.9258789570597</v>
      </c>
    </row>
    <row r="73" spans="1:37" x14ac:dyDescent="0.2">
      <c r="A73" t="str">
        <f>"20200111155754402"</f>
        <v>20200111155754402</v>
      </c>
      <c r="B73" t="str">
        <f>"1578729474390997"</f>
        <v>1578729474390997</v>
      </c>
      <c r="C73" t="s">
        <v>37</v>
      </c>
      <c r="D73">
        <v>5.9389769999999897</v>
      </c>
      <c r="E73">
        <v>0.50653700000000002</v>
      </c>
      <c r="F73" t="s">
        <v>39</v>
      </c>
      <c r="G73">
        <v>-458.14859999999999</v>
      </c>
      <c r="H73" s="1">
        <v>-1.077024E-6</v>
      </c>
      <c r="I73">
        <v>367.92239999999998</v>
      </c>
      <c r="J73">
        <v>-472.82830000000001</v>
      </c>
      <c r="K73">
        <v>1.103434</v>
      </c>
      <c r="L73">
        <v>367.5258</v>
      </c>
      <c r="M73">
        <v>0.99999519999999997</v>
      </c>
      <c r="N73">
        <v>0</v>
      </c>
      <c r="O73">
        <v>7.8826699999999896E-4</v>
      </c>
      <c r="P73">
        <v>0.99930439999999998</v>
      </c>
      <c r="Q73">
        <v>-2.0583200000000002E-3</v>
      </c>
      <c r="R73">
        <v>3.7236140000000001E-2</v>
      </c>
      <c r="S73">
        <v>2.998535</v>
      </c>
      <c r="T73">
        <v>-0.2240441</v>
      </c>
      <c r="U73">
        <v>8.0566410000000005E-2</v>
      </c>
      <c r="V73">
        <v>-3.6448319999999999E-2</v>
      </c>
      <c r="W73">
        <v>9.2250489999999997E-4</v>
      </c>
      <c r="X73">
        <v>0.99933510000000003</v>
      </c>
      <c r="Y73">
        <v>-2.6000680000000002E-2</v>
      </c>
      <c r="Z73">
        <v>9.110263E-4</v>
      </c>
      <c r="AA73">
        <v>0.99966149999999998</v>
      </c>
      <c r="AB73">
        <v>9</v>
      </c>
      <c r="AC73">
        <v>14.6797</v>
      </c>
      <c r="AD73">
        <v>-1.103435077024</v>
      </c>
      <c r="AE73">
        <v>0.39659999999997803</v>
      </c>
      <c r="AF73">
        <v>-0.382866629519729</v>
      </c>
      <c r="AG73">
        <v>-1.103435077024</v>
      </c>
      <c r="AH73">
        <v>14.5975897991365</v>
      </c>
      <c r="AI73">
        <v>94.321299559107899</v>
      </c>
      <c r="AJ73">
        <v>91.502413357752502</v>
      </c>
      <c r="AK73">
        <v>14.6442406347704</v>
      </c>
    </row>
    <row r="74" spans="1:37" x14ac:dyDescent="0.2">
      <c r="A74" t="str">
        <f>"20200111155754427"</f>
        <v>20200111155754427</v>
      </c>
      <c r="B74" t="str">
        <f>"1578729474421255"</f>
        <v>1578729474421255</v>
      </c>
      <c r="C74" t="s">
        <v>37</v>
      </c>
      <c r="D74">
        <v>6.6518829999999998</v>
      </c>
      <c r="E74">
        <v>0.506384099999999</v>
      </c>
      <c r="F74" t="s">
        <v>39</v>
      </c>
      <c r="G74">
        <v>-458.31490000000002</v>
      </c>
      <c r="H74" s="1">
        <v>-1.021879E-6</v>
      </c>
      <c r="I74">
        <v>367.87849999999997</v>
      </c>
      <c r="J74">
        <v>-472.73020000000002</v>
      </c>
      <c r="K74">
        <v>1.1034090000000001</v>
      </c>
      <c r="L74">
        <v>367.52589999999998</v>
      </c>
      <c r="M74">
        <v>0.99999629999999995</v>
      </c>
      <c r="N74">
        <v>0</v>
      </c>
      <c r="O74">
        <v>8.0459909999999995E-4</v>
      </c>
      <c r="P74">
        <v>0.99930790000000003</v>
      </c>
      <c r="Q74">
        <v>-2.1482649999999999E-3</v>
      </c>
      <c r="R74">
        <v>3.7135660000000001E-2</v>
      </c>
      <c r="S74">
        <v>2.9988709999999998</v>
      </c>
      <c r="T74">
        <v>-0.2279989</v>
      </c>
      <c r="U74">
        <v>7.2906490000000004E-2</v>
      </c>
      <c r="V74">
        <v>-3.6331580000000002E-2</v>
      </c>
      <c r="W74">
        <v>4.9764320000000005E-4</v>
      </c>
      <c r="X74">
        <v>0.99933959999999999</v>
      </c>
      <c r="Y74">
        <v>-2.3434489999999999E-2</v>
      </c>
      <c r="Z74">
        <v>8.2835190000000005E-4</v>
      </c>
      <c r="AA74">
        <v>0.99972499999999997</v>
      </c>
      <c r="AB74">
        <v>9</v>
      </c>
      <c r="AC74">
        <v>14.4153</v>
      </c>
      <c r="AD74">
        <v>-1.1034100218789999</v>
      </c>
      <c r="AE74">
        <v>0.35259999999999497</v>
      </c>
      <c r="AF74">
        <v>-0.33901618751954399</v>
      </c>
      <c r="AG74">
        <v>-1.1034100218789999</v>
      </c>
      <c r="AH74">
        <v>14.3316594762445</v>
      </c>
      <c r="AI74">
        <v>94.401352623436907</v>
      </c>
      <c r="AJ74">
        <v>91.355082080200106</v>
      </c>
      <c r="AK74">
        <v>14.378070419733399</v>
      </c>
    </row>
    <row r="75" spans="1:37" x14ac:dyDescent="0.2">
      <c r="A75" t="str">
        <f>"20200111155754449"</f>
        <v>20200111155754449</v>
      </c>
      <c r="B75" t="str">
        <f>"1578729474440774"</f>
        <v>1578729474440774</v>
      </c>
      <c r="C75" t="s">
        <v>37</v>
      </c>
      <c r="D75">
        <v>5.9588179999999999</v>
      </c>
      <c r="E75">
        <v>0.50662689999999999</v>
      </c>
      <c r="F75" t="s">
        <v>39</v>
      </c>
      <c r="G75">
        <v>-457.63060000000002</v>
      </c>
      <c r="H75" s="1">
        <v>-1.3040430000000001E-6</v>
      </c>
      <c r="I75">
        <v>367.89530000000002</v>
      </c>
      <c r="J75">
        <v>-472.63119999999998</v>
      </c>
      <c r="K75">
        <v>1.1033759999999999</v>
      </c>
      <c r="L75">
        <v>367.52600000000001</v>
      </c>
      <c r="M75">
        <v>0.99999699999999903</v>
      </c>
      <c r="N75">
        <v>0</v>
      </c>
      <c r="O75">
        <v>8.2105239999999999E-4</v>
      </c>
      <c r="P75">
        <v>0.99929849999999998</v>
      </c>
      <c r="Q75">
        <v>-2.5241650000000001E-3</v>
      </c>
      <c r="R75">
        <v>3.736457E-2</v>
      </c>
      <c r="S75">
        <v>2.99884</v>
      </c>
      <c r="T75">
        <v>-0.21914120000000001</v>
      </c>
      <c r="U75">
        <v>7.3394780000000007E-2</v>
      </c>
      <c r="V75">
        <v>-3.6544119999999999E-2</v>
      </c>
      <c r="W75">
        <v>-2.120631E-4</v>
      </c>
      <c r="X75">
        <v>0.999332</v>
      </c>
      <c r="Y75">
        <v>-2.358559E-2</v>
      </c>
      <c r="Z75">
        <v>8.0057649999999995E-4</v>
      </c>
      <c r="AA75">
        <v>0.99972150000000004</v>
      </c>
      <c r="AB75">
        <v>9</v>
      </c>
      <c r="AC75">
        <v>15.000599999999899</v>
      </c>
      <c r="AD75">
        <v>-1.1033773040429999</v>
      </c>
      <c r="AE75">
        <v>0.36930000000000901</v>
      </c>
      <c r="AF75">
        <v>-0.35506368471670302</v>
      </c>
      <c r="AG75">
        <v>-1.1033773040429999</v>
      </c>
      <c r="AH75">
        <v>14.920222414240101</v>
      </c>
      <c r="AI75">
        <v>94.2282344249993</v>
      </c>
      <c r="AJ75">
        <v>91.3632378253768</v>
      </c>
      <c r="AK75">
        <v>14.9651778668239</v>
      </c>
    </row>
    <row r="76" spans="1:37" x14ac:dyDescent="0.2">
      <c r="A76" t="str">
        <f>"20200111155754471"</f>
        <v>20200111155754471</v>
      </c>
      <c r="B76" t="str">
        <f>"1578729474461269"</f>
        <v>1578729474461269</v>
      </c>
      <c r="C76" t="s">
        <v>37</v>
      </c>
      <c r="D76">
        <v>5.9867559999999997</v>
      </c>
      <c r="E76">
        <v>0.50712060000000003</v>
      </c>
      <c r="F76" t="s">
        <v>39</v>
      </c>
      <c r="G76">
        <v>-456.55630000000002</v>
      </c>
      <c r="H76" s="1">
        <v>-1.7626549999999999E-6</v>
      </c>
      <c r="I76">
        <v>367.90820000000002</v>
      </c>
      <c r="J76">
        <v>-472.54329999999999</v>
      </c>
      <c r="K76">
        <v>1.1033379999999999</v>
      </c>
      <c r="L76">
        <v>367.52609999999999</v>
      </c>
      <c r="M76">
        <v>0.99999760000000004</v>
      </c>
      <c r="N76">
        <v>0</v>
      </c>
      <c r="O76">
        <v>8.3484539999999902E-4</v>
      </c>
      <c r="P76">
        <v>0.99927579999999905</v>
      </c>
      <c r="Q76">
        <v>-3.31453E-3</v>
      </c>
      <c r="R76">
        <v>3.7907199999999898E-2</v>
      </c>
      <c r="S76">
        <v>2.9989319999999999</v>
      </c>
      <c r="T76">
        <v>-0.20584520000000001</v>
      </c>
      <c r="U76">
        <v>7.1319579999999994E-2</v>
      </c>
      <c r="V76">
        <v>-3.7073019999999998E-2</v>
      </c>
      <c r="W76">
        <v>-1.2946239999999901E-3</v>
      </c>
      <c r="X76">
        <v>0.99931170000000002</v>
      </c>
      <c r="Y76">
        <v>-2.2888459999999999E-2</v>
      </c>
      <c r="Z76">
        <v>7.2726479999999998E-4</v>
      </c>
      <c r="AA76">
        <v>0.99973769999999995</v>
      </c>
      <c r="AB76">
        <v>9</v>
      </c>
      <c r="AC76">
        <v>15.986999999999901</v>
      </c>
      <c r="AD76">
        <v>-1.1033397626549999</v>
      </c>
      <c r="AE76">
        <v>0.38210000000003602</v>
      </c>
      <c r="AF76">
        <v>-0.36700609787494598</v>
      </c>
      <c r="AG76">
        <v>-1.1033397626549999</v>
      </c>
      <c r="AH76">
        <v>15.911569188658699</v>
      </c>
      <c r="AI76">
        <v>93.965602110225703</v>
      </c>
      <c r="AJ76">
        <v>91.321313591403595</v>
      </c>
      <c r="AK76">
        <v>15.9539990645983</v>
      </c>
    </row>
    <row r="77" spans="1:37" x14ac:dyDescent="0.2">
      <c r="A77" t="str">
        <f>"20200111155754492"</f>
        <v>20200111155754492</v>
      </c>
      <c r="B77" t="str">
        <f>"1578729474480790"</f>
        <v>1578729474480790</v>
      </c>
      <c r="C77" t="s">
        <v>37</v>
      </c>
      <c r="D77">
        <v>5.9796389999999997</v>
      </c>
      <c r="E77">
        <v>0.50741930000000002</v>
      </c>
      <c r="F77" t="s">
        <v>39</v>
      </c>
      <c r="G77">
        <v>-456.97359999999998</v>
      </c>
      <c r="H77" s="1">
        <v>-1.587597E-6</v>
      </c>
      <c r="I77">
        <v>367.88580000000002</v>
      </c>
      <c r="J77">
        <v>-472.44510000000002</v>
      </c>
      <c r="K77">
        <v>1.103294</v>
      </c>
      <c r="L77">
        <v>367.52620000000002</v>
      </c>
      <c r="M77">
        <v>0.99999830000000001</v>
      </c>
      <c r="N77">
        <v>0</v>
      </c>
      <c r="O77">
        <v>8.5082399999999905E-4</v>
      </c>
      <c r="P77">
        <v>0.99927069999999996</v>
      </c>
      <c r="Q77">
        <v>-3.865182E-3</v>
      </c>
      <c r="R77">
        <v>3.7989639999999998E-2</v>
      </c>
      <c r="S77">
        <v>2.9988709999999998</v>
      </c>
      <c r="T77">
        <v>-0.21251229999999999</v>
      </c>
      <c r="U77">
        <v>6.9305420000000006E-2</v>
      </c>
      <c r="V77">
        <v>-3.7139199999999997E-2</v>
      </c>
      <c r="W77">
        <v>-2.1645309999999999E-3</v>
      </c>
      <c r="X77">
        <v>0.99930779999999997</v>
      </c>
      <c r="Y77">
        <v>-2.220022E-2</v>
      </c>
      <c r="Z77">
        <v>7.253006E-4</v>
      </c>
      <c r="AA77">
        <v>0.99975329999999996</v>
      </c>
      <c r="AB77">
        <v>10</v>
      </c>
      <c r="AC77">
        <v>15.471500000000001</v>
      </c>
      <c r="AD77">
        <v>-1.1032955875970001</v>
      </c>
      <c r="AE77">
        <v>0.35959999999999998</v>
      </c>
      <c r="AF77">
        <v>-0.34468444188590402</v>
      </c>
      <c r="AG77">
        <v>-1.1032955875970001</v>
      </c>
      <c r="AH77">
        <v>15.393561324137799</v>
      </c>
      <c r="AI77">
        <v>94.098499941118604</v>
      </c>
      <c r="AJ77">
        <v>91.282722288641907</v>
      </c>
      <c r="AK77">
        <v>15.4368973164325</v>
      </c>
    </row>
    <row r="78" spans="1:37" x14ac:dyDescent="0.2">
      <c r="A78" t="str">
        <f>"20200111155754515"</f>
        <v>20200111155754515</v>
      </c>
      <c r="B78" t="str">
        <f>"1578729474511046"</f>
        <v>1578729474511046</v>
      </c>
      <c r="C78" t="s">
        <v>37</v>
      </c>
      <c r="D78">
        <v>5.9425150000000002</v>
      </c>
      <c r="E78">
        <v>0.50744769999999995</v>
      </c>
      <c r="F78" t="s">
        <v>39</v>
      </c>
      <c r="G78">
        <v>-457.25229999999999</v>
      </c>
      <c r="H78" s="1">
        <v>-1.471347E-6</v>
      </c>
      <c r="I78">
        <v>367.86709999999999</v>
      </c>
      <c r="J78">
        <v>-472.33980000000003</v>
      </c>
      <c r="K78">
        <v>1.1032489999999999</v>
      </c>
      <c r="L78">
        <v>367.52620000000002</v>
      </c>
      <c r="M78">
        <v>0.99999879999999997</v>
      </c>
      <c r="N78">
        <v>0</v>
      </c>
      <c r="O78">
        <v>8.6824829999999995E-4</v>
      </c>
      <c r="P78">
        <v>0.99927299999999997</v>
      </c>
      <c r="Q78">
        <v>-4.6260320000000004E-3</v>
      </c>
      <c r="R78">
        <v>3.784672E-2</v>
      </c>
      <c r="S78">
        <v>2.9987789999999999</v>
      </c>
      <c r="T78">
        <v>-0.217769299999999</v>
      </c>
      <c r="U78">
        <v>6.7321779999999998E-2</v>
      </c>
      <c r="V78">
        <v>-3.6978980000000002E-2</v>
      </c>
      <c r="W78">
        <v>-3.2544609999999902E-3</v>
      </c>
      <c r="X78">
        <v>0.9993107</v>
      </c>
      <c r="Y78">
        <v>-2.1521680000000001E-2</v>
      </c>
      <c r="Z78">
        <v>7.1735859999999996E-4</v>
      </c>
      <c r="AA78">
        <v>0.99976810000000005</v>
      </c>
      <c r="AB78">
        <v>10</v>
      </c>
      <c r="AC78">
        <v>15.0875</v>
      </c>
      <c r="AD78">
        <v>-1.1032504713469999</v>
      </c>
      <c r="AE78">
        <v>0.340899999999976</v>
      </c>
      <c r="AF78">
        <v>-0.32605761005606398</v>
      </c>
      <c r="AG78">
        <v>-1.1032504713469999</v>
      </c>
      <c r="AH78">
        <v>15.007585043557301</v>
      </c>
      <c r="AI78">
        <v>94.203425260024005</v>
      </c>
      <c r="AJ78">
        <v>91.244623054588104</v>
      </c>
      <c r="AK78">
        <v>15.051614000073499</v>
      </c>
    </row>
    <row r="79" spans="1:37" x14ac:dyDescent="0.2">
      <c r="A79" t="str">
        <f>"20200111155754539"</f>
        <v>20200111155754539</v>
      </c>
      <c r="B79" t="str">
        <f>"1578729474531544"</f>
        <v>1578729474531544</v>
      </c>
      <c r="C79" t="s">
        <v>37</v>
      </c>
      <c r="D79">
        <v>6.0367379999999997</v>
      </c>
      <c r="E79">
        <v>0.50784580000000001</v>
      </c>
      <c r="F79" t="s">
        <v>39</v>
      </c>
      <c r="G79">
        <v>-457.63139999999999</v>
      </c>
      <c r="H79" s="1">
        <v>-1.310816E-6</v>
      </c>
      <c r="I79">
        <v>367.85520000000002</v>
      </c>
      <c r="J79">
        <v>-472.23349999999999</v>
      </c>
      <c r="K79">
        <v>1.103199</v>
      </c>
      <c r="L79">
        <v>367.52629999999999</v>
      </c>
      <c r="M79">
        <v>0.99999910000000003</v>
      </c>
      <c r="N79">
        <v>0</v>
      </c>
      <c r="O79">
        <v>8.8561100000000002E-4</v>
      </c>
      <c r="P79">
        <v>0.99929140000000005</v>
      </c>
      <c r="Q79">
        <v>-4.3059179999999997E-3</v>
      </c>
      <c r="R79">
        <v>3.739352E-2</v>
      </c>
      <c r="S79">
        <v>2.998596</v>
      </c>
      <c r="T79">
        <v>-0.2249178</v>
      </c>
      <c r="U79">
        <v>6.7077639999999994E-2</v>
      </c>
      <c r="V79">
        <v>-3.6508659999999998E-2</v>
      </c>
      <c r="W79">
        <v>-3.2503689999999999E-3</v>
      </c>
      <c r="X79">
        <v>0.99932809999999905</v>
      </c>
      <c r="Y79">
        <v>-2.1421030000000001E-2</v>
      </c>
      <c r="Z79">
        <v>7.3581839999999998E-4</v>
      </c>
      <c r="AA79">
        <v>0.9997703</v>
      </c>
      <c r="AB79">
        <v>10</v>
      </c>
      <c r="AC79">
        <v>14.6021</v>
      </c>
      <c r="AD79">
        <v>-1.103200310816</v>
      </c>
      <c r="AE79">
        <v>0.328900000000032</v>
      </c>
      <c r="AF79">
        <v>-0.31417570265801997</v>
      </c>
      <c r="AG79">
        <v>-1.103200310816</v>
      </c>
      <c r="AH79">
        <v>14.519551095089399</v>
      </c>
      <c r="AI79">
        <v>94.343990990615794</v>
      </c>
      <c r="AJ79">
        <v>91.239579175973901</v>
      </c>
      <c r="AK79">
        <v>14.5647904653941</v>
      </c>
    </row>
    <row r="80" spans="1:37" x14ac:dyDescent="0.2">
      <c r="A80" t="str">
        <f>"20200111155754560"</f>
        <v>20200111155754560</v>
      </c>
      <c r="B80" t="str">
        <f>"1578729474551062"</f>
        <v>1578729474551062</v>
      </c>
      <c r="C80" t="s">
        <v>37</v>
      </c>
      <c r="D80">
        <v>5.9980650000000004</v>
      </c>
      <c r="E80">
        <v>0.50803480000000001</v>
      </c>
      <c r="F80" t="s">
        <v>39</v>
      </c>
      <c r="G80">
        <v>-457.63459999999998</v>
      </c>
      <c r="H80" s="1">
        <v>-1.3136649999999999E-6</v>
      </c>
      <c r="I80">
        <v>367.83139999999997</v>
      </c>
      <c r="J80">
        <v>-472.1309</v>
      </c>
      <c r="K80">
        <v>1.103167</v>
      </c>
      <c r="L80">
        <v>367.52640000000002</v>
      </c>
      <c r="M80">
        <v>0.99999950000000004</v>
      </c>
      <c r="N80">
        <v>0</v>
      </c>
      <c r="O80">
        <v>9.0213770000000003E-4</v>
      </c>
      <c r="P80">
        <v>0.99930509999999995</v>
      </c>
      <c r="Q80">
        <v>-2.884068E-3</v>
      </c>
      <c r="R80">
        <v>3.7167110000000003E-2</v>
      </c>
      <c r="S80">
        <v>2.99884</v>
      </c>
      <c r="T80">
        <v>-0.22661429999999999</v>
      </c>
      <c r="U80">
        <v>6.268311E-2</v>
      </c>
      <c r="V80">
        <v>-3.6265749999999999E-2</v>
      </c>
      <c r="W80">
        <v>-2.1159820000000002E-3</v>
      </c>
      <c r="X80">
        <v>0.99933989999999995</v>
      </c>
      <c r="Y80">
        <v>-1.9941670000000002E-2</v>
      </c>
      <c r="Z80">
        <v>6.8424740000000005E-4</v>
      </c>
      <c r="AA80">
        <v>0.99980089999999999</v>
      </c>
      <c r="AB80">
        <v>10</v>
      </c>
      <c r="AC80">
        <v>14.4963</v>
      </c>
      <c r="AD80">
        <v>-1.1031683136649999</v>
      </c>
      <c r="AE80">
        <v>0.30499999999994998</v>
      </c>
      <c r="AF80">
        <v>-0.29024210703434</v>
      </c>
      <c r="AG80">
        <v>-1.1031683136649999</v>
      </c>
      <c r="AH80">
        <v>14.4131367028308</v>
      </c>
      <c r="AI80">
        <v>94.375949375141502</v>
      </c>
      <c r="AJ80">
        <v>91.153628167030107</v>
      </c>
      <c r="AK80">
        <v>14.458206334931599</v>
      </c>
    </row>
    <row r="81" spans="1:37" x14ac:dyDescent="0.2">
      <c r="A81" t="str">
        <f>"20200111155754582"</f>
        <v>20200111155754582</v>
      </c>
      <c r="B81" t="str">
        <f>"1578729474570581"</f>
        <v>1578729474570581</v>
      </c>
      <c r="C81" t="s">
        <v>37</v>
      </c>
      <c r="D81">
        <v>6.0784390000000004</v>
      </c>
      <c r="E81">
        <v>0.50818839999999998</v>
      </c>
      <c r="F81" t="s">
        <v>39</v>
      </c>
      <c r="G81">
        <v>-457.39920000000001</v>
      </c>
      <c r="H81" s="1">
        <v>-1.4160629999999999E-6</v>
      </c>
      <c r="I81">
        <v>367.82350000000002</v>
      </c>
      <c r="J81">
        <v>-472.02640000000002</v>
      </c>
      <c r="K81">
        <v>1.1031299999999999</v>
      </c>
      <c r="L81">
        <v>367.52659999999997</v>
      </c>
      <c r="M81">
        <v>0.99999950000000004</v>
      </c>
      <c r="N81">
        <v>0</v>
      </c>
      <c r="O81">
        <v>9.1957300000000003E-4</v>
      </c>
      <c r="P81">
        <v>0.99932459999999901</v>
      </c>
      <c r="Q81">
        <v>-1.694014E-3</v>
      </c>
      <c r="R81">
        <v>3.6708989999999997E-2</v>
      </c>
      <c r="S81">
        <v>2.9991150000000002</v>
      </c>
      <c r="T81">
        <v>-0.22458529999999999</v>
      </c>
      <c r="U81">
        <v>6.0485839999999999E-2</v>
      </c>
      <c r="V81">
        <v>-3.5790229999999999E-2</v>
      </c>
      <c r="W81">
        <v>-1.200937E-3</v>
      </c>
      <c r="X81">
        <v>0.99935859999999999</v>
      </c>
      <c r="Y81">
        <v>-1.919326E-2</v>
      </c>
      <c r="Z81">
        <v>6.4879749999999996E-4</v>
      </c>
      <c r="AA81">
        <v>0.99981559999999903</v>
      </c>
      <c r="AB81">
        <v>10</v>
      </c>
      <c r="AC81">
        <v>14.6272</v>
      </c>
      <c r="AD81">
        <v>-1.1031314160629999</v>
      </c>
      <c r="AE81">
        <v>0.29690000000005001</v>
      </c>
      <c r="AF81">
        <v>-0.28184671276423401</v>
      </c>
      <c r="AG81">
        <v>-1.1031314160629999</v>
      </c>
      <c r="AH81">
        <v>14.544775457651401</v>
      </c>
      <c r="AI81">
        <v>94.336416531183602</v>
      </c>
      <c r="AJ81">
        <v>91.110131011258503</v>
      </c>
      <c r="AK81">
        <v>14.5892710443017</v>
      </c>
    </row>
    <row r="82" spans="1:37" x14ac:dyDescent="0.2">
      <c r="A82" t="str">
        <f>"20200111155754603"</f>
        <v>20200111155754603</v>
      </c>
      <c r="B82" t="str">
        <f>"1578729474600838"</f>
        <v>1578729474600838</v>
      </c>
      <c r="C82" t="s">
        <v>37</v>
      </c>
      <c r="D82">
        <v>6.0313689999999998</v>
      </c>
      <c r="E82">
        <v>0.50828269999999998</v>
      </c>
      <c r="F82" t="s">
        <v>39</v>
      </c>
      <c r="G82">
        <v>-457.17880000000002</v>
      </c>
      <c r="H82" s="1">
        <v>-1.5119990000000001E-6</v>
      </c>
      <c r="I82">
        <v>367.81560000000002</v>
      </c>
      <c r="J82">
        <v>-471.91899999999998</v>
      </c>
      <c r="K82">
        <v>1.1031</v>
      </c>
      <c r="L82">
        <v>367.52670000000001</v>
      </c>
      <c r="M82">
        <v>0.99999959999999899</v>
      </c>
      <c r="N82">
        <v>0</v>
      </c>
      <c r="O82">
        <v>9.3762469999999999E-4</v>
      </c>
      <c r="P82">
        <v>0.99933059999999996</v>
      </c>
      <c r="Q82">
        <v>-6.0211309999999997E-4</v>
      </c>
      <c r="R82">
        <v>3.6579239999999999E-2</v>
      </c>
      <c r="S82">
        <v>2.9994809999999998</v>
      </c>
      <c r="T82">
        <v>-0.2228522</v>
      </c>
      <c r="U82">
        <v>5.841064E-2</v>
      </c>
      <c r="V82">
        <v>-3.5642050000000002E-2</v>
      </c>
      <c r="W82">
        <v>-3.7441019999999903E-4</v>
      </c>
      <c r="X82">
        <v>0.99936460000000005</v>
      </c>
      <c r="Y82">
        <v>-1.8484090000000002E-2</v>
      </c>
      <c r="Z82">
        <v>6.1608589999999895E-4</v>
      </c>
      <c r="AA82">
        <v>0.99982899999999997</v>
      </c>
      <c r="AB82">
        <v>11</v>
      </c>
      <c r="AC82">
        <v>14.7402</v>
      </c>
      <c r="AD82">
        <v>-1.103101511999</v>
      </c>
      <c r="AE82">
        <v>0.28890000000001198</v>
      </c>
      <c r="AF82">
        <v>-0.27354769153001002</v>
      </c>
      <c r="AG82">
        <v>-1.103101511999</v>
      </c>
      <c r="AH82">
        <v>14.658402033566301</v>
      </c>
      <c r="AI82">
        <v>94.302871131944897</v>
      </c>
      <c r="AJ82">
        <v>91.069100790673104</v>
      </c>
      <c r="AK82">
        <v>14.7023947526577</v>
      </c>
    </row>
    <row r="83" spans="1:37" x14ac:dyDescent="0.2">
      <c r="A83" t="str">
        <f>"20200111155754628"</f>
        <v>20200111155754628</v>
      </c>
      <c r="B83" t="str">
        <f>"1578729474621334"</f>
        <v>1578729474621334</v>
      </c>
      <c r="C83" t="s">
        <v>37</v>
      </c>
      <c r="D83">
        <v>6.2862200000000001</v>
      </c>
      <c r="E83">
        <v>0.50860539999999999</v>
      </c>
      <c r="F83" t="s">
        <v>39</v>
      </c>
      <c r="G83">
        <v>-456.9776</v>
      </c>
      <c r="H83" s="1">
        <v>-1.5989019999999999E-6</v>
      </c>
      <c r="I83">
        <v>367.81240000000003</v>
      </c>
      <c r="J83">
        <v>-471.80009999999999</v>
      </c>
      <c r="K83">
        <v>1.1030739999999899</v>
      </c>
      <c r="L83">
        <v>367.52679999999998</v>
      </c>
      <c r="M83">
        <v>0.99999959999999899</v>
      </c>
      <c r="N83">
        <v>0</v>
      </c>
      <c r="O83">
        <v>9.5707170000000001E-4</v>
      </c>
      <c r="P83">
        <v>0.9993457</v>
      </c>
      <c r="Q83">
        <v>-1.634862E-4</v>
      </c>
      <c r="R83">
        <v>3.616954E-2</v>
      </c>
      <c r="S83">
        <v>2.9997859999999998</v>
      </c>
      <c r="T83">
        <v>-0.22146859999999999</v>
      </c>
      <c r="U83">
        <v>5.7373050000000002E-2</v>
      </c>
      <c r="V83">
        <v>-3.521316E-2</v>
      </c>
      <c r="W83">
        <v>-2.1001559999999999E-4</v>
      </c>
      <c r="X83">
        <v>0.99937980000000004</v>
      </c>
      <c r="Y83">
        <v>-1.8118619999999998E-2</v>
      </c>
      <c r="Z83">
        <v>5.9730579999999996E-4</v>
      </c>
      <c r="AA83">
        <v>0.99983569999999999</v>
      </c>
      <c r="AB83">
        <v>11</v>
      </c>
      <c r="AC83">
        <v>14.8224999999999</v>
      </c>
      <c r="AD83">
        <v>-1.10307559890199</v>
      </c>
      <c r="AE83">
        <v>0.28560000000004399</v>
      </c>
      <c r="AF83">
        <v>-0.26991936552282098</v>
      </c>
      <c r="AG83">
        <v>-1.10307559890199</v>
      </c>
      <c r="AH83">
        <v>14.741157557699101</v>
      </c>
      <c r="AI83">
        <v>94.278732667854101</v>
      </c>
      <c r="AJ83">
        <v>91.0490025872122</v>
      </c>
      <c r="AK83">
        <v>14.784835419499499</v>
      </c>
    </row>
    <row r="84" spans="1:37" x14ac:dyDescent="0.2">
      <c r="A84" t="str">
        <f>"20200111155754649"</f>
        <v>20200111155754649</v>
      </c>
      <c r="B84" t="str">
        <f>"1578729474640854"</f>
        <v>1578729474640854</v>
      </c>
      <c r="C84" t="s">
        <v>37</v>
      </c>
      <c r="D84">
        <v>6.101858</v>
      </c>
      <c r="E84">
        <v>0.50882910000000003</v>
      </c>
      <c r="F84" t="s">
        <v>38</v>
      </c>
      <c r="G84">
        <v>-470.98050000000001</v>
      </c>
      <c r="H84">
        <v>1.0425739999999999</v>
      </c>
      <c r="I84">
        <v>367.54169999999999</v>
      </c>
      <c r="J84">
        <v>-471.68119999999999</v>
      </c>
      <c r="K84">
        <v>1.1030469999999899</v>
      </c>
      <c r="L84">
        <v>367.52699999999999</v>
      </c>
      <c r="M84">
        <v>0.99999959999999899</v>
      </c>
      <c r="N84">
        <v>0</v>
      </c>
      <c r="O84">
        <v>9.7624530000000004E-4</v>
      </c>
      <c r="P84">
        <v>0.99933369999999999</v>
      </c>
      <c r="Q84">
        <v>4.9306449999999896E-4</v>
      </c>
      <c r="R84">
        <v>3.6501659999999998E-2</v>
      </c>
      <c r="S84">
        <v>3</v>
      </c>
      <c r="T84">
        <v>-0.22131799999999999</v>
      </c>
      <c r="U84">
        <v>5.3405759999999997E-2</v>
      </c>
      <c r="V84">
        <v>-3.5526250000000002E-2</v>
      </c>
      <c r="W84">
        <v>1.9294430000000001E-4</v>
      </c>
      <c r="X84">
        <v>0.9993687</v>
      </c>
      <c r="Y84">
        <v>-1.6780070000000001E-2</v>
      </c>
      <c r="Z84">
        <v>5.4614989999999999E-4</v>
      </c>
      <c r="AA84">
        <v>0.99985900000000005</v>
      </c>
      <c r="AB84">
        <v>11</v>
      </c>
      <c r="AC84">
        <v>0.700699999999983</v>
      </c>
      <c r="AD84">
        <v>-6.0472999999999999E-2</v>
      </c>
      <c r="AE84">
        <v>1.47000000000048E-2</v>
      </c>
      <c r="AF84">
        <v>-1.3912359733978299E-2</v>
      </c>
      <c r="AG84">
        <v>-6.0472999999999999E-2</v>
      </c>
      <c r="AH84">
        <v>0.69553571781248902</v>
      </c>
      <c r="AI84">
        <v>94.968067900844503</v>
      </c>
      <c r="AJ84">
        <v>91.145898324388796</v>
      </c>
      <c r="AK84">
        <v>0.69829826881877799</v>
      </c>
    </row>
    <row r="85" spans="1:37" x14ac:dyDescent="0.2">
      <c r="A85" t="str">
        <f>"20200111155754663"</f>
        <v>20200111155754663</v>
      </c>
      <c r="B85" t="str">
        <f>"1578729474650615"</f>
        <v>1578729474650615</v>
      </c>
      <c r="C85" t="s">
        <v>37</v>
      </c>
      <c r="D85">
        <v>6.0735029999999997</v>
      </c>
      <c r="E85">
        <v>0.50892579999999998</v>
      </c>
      <c r="F85" t="s">
        <v>38</v>
      </c>
      <c r="G85">
        <v>-470.8741</v>
      </c>
      <c r="H85">
        <v>1.0437419999999999</v>
      </c>
      <c r="I85">
        <v>367.54090000000002</v>
      </c>
      <c r="J85">
        <v>-471.60820000000001</v>
      </c>
      <c r="K85">
        <v>1.103027</v>
      </c>
      <c r="L85">
        <v>367.52699999999999</v>
      </c>
      <c r="M85">
        <v>0.99999959999999899</v>
      </c>
      <c r="N85">
        <v>0</v>
      </c>
      <c r="O85">
        <v>9.880208000000001E-4</v>
      </c>
      <c r="P85">
        <v>0.99932919999999903</v>
      </c>
      <c r="Q85">
        <v>5.4094009999999999E-4</v>
      </c>
      <c r="R85">
        <v>3.6624450000000003E-2</v>
      </c>
      <c r="S85">
        <v>3.0002140000000002</v>
      </c>
      <c r="T85">
        <v>-0.22073289999999901</v>
      </c>
      <c r="U85">
        <v>5.2978520000000001E-2</v>
      </c>
      <c r="V85">
        <v>-3.5637290000000002E-2</v>
      </c>
      <c r="W85" s="1">
        <v>9.2278349999999997E-5</v>
      </c>
      <c r="X85">
        <v>0.99936480000000005</v>
      </c>
      <c r="Y85">
        <v>-1.662537E-2</v>
      </c>
      <c r="Z85">
        <v>5.3812420000000003E-4</v>
      </c>
      <c r="AA85">
        <v>0.99986169999999996</v>
      </c>
      <c r="AB85">
        <v>12</v>
      </c>
      <c r="AC85">
        <v>0.73410000000001197</v>
      </c>
      <c r="AD85">
        <v>-5.9284999999999997E-2</v>
      </c>
      <c r="AE85">
        <v>1.39000000000351E-2</v>
      </c>
      <c r="AF85">
        <v>-1.30893493825839E-2</v>
      </c>
      <c r="AG85">
        <v>-5.9284999999999997E-2</v>
      </c>
      <c r="AH85">
        <v>0.729358223149008</v>
      </c>
      <c r="AI85">
        <v>94.646256817346497</v>
      </c>
      <c r="AJ85">
        <v>91.0281422125733</v>
      </c>
      <c r="AK85">
        <v>0.73188076895580301</v>
      </c>
    </row>
    <row r="86" spans="1:37" x14ac:dyDescent="0.2">
      <c r="A86" t="str">
        <f>"20200111155754681"</f>
        <v>20200111155754681</v>
      </c>
      <c r="B86" t="str">
        <f>"1578729474671110"</f>
        <v>1578729474671110</v>
      </c>
      <c r="C86" t="s">
        <v>37</v>
      </c>
      <c r="D86">
        <v>6.1254419999999996</v>
      </c>
      <c r="E86">
        <v>0.50901279999999904</v>
      </c>
      <c r="F86" t="s">
        <v>39</v>
      </c>
      <c r="G86">
        <v>-456.67399999999998</v>
      </c>
      <c r="H86" s="1">
        <v>-1.73317E-6</v>
      </c>
      <c r="I86">
        <v>367.78969999999998</v>
      </c>
      <c r="J86">
        <v>-471.5086</v>
      </c>
      <c r="K86">
        <v>1.103003</v>
      </c>
      <c r="L86">
        <v>367.52719999999999</v>
      </c>
      <c r="M86">
        <v>0.99999930000000004</v>
      </c>
      <c r="N86">
        <v>0</v>
      </c>
      <c r="O86">
        <v>1.0041239999999999E-3</v>
      </c>
      <c r="P86">
        <v>0.99928950000000005</v>
      </c>
      <c r="Q86">
        <v>2.346262E-4</v>
      </c>
      <c r="R86">
        <v>3.7691250000000003E-2</v>
      </c>
      <c r="S86">
        <v>3.0001530000000001</v>
      </c>
      <c r="T86">
        <v>-0.22158809999999901</v>
      </c>
      <c r="U86">
        <v>5.2795410000000001E-2</v>
      </c>
      <c r="V86">
        <v>-3.6688030000000003E-2</v>
      </c>
      <c r="W86">
        <v>-4.0267360000000003E-4</v>
      </c>
      <c r="X86">
        <v>0.99932670000000001</v>
      </c>
      <c r="Y86">
        <v>-1.6548549999999999E-2</v>
      </c>
      <c r="Z86">
        <v>5.3619400000000004E-4</v>
      </c>
      <c r="AA86">
        <v>0.9998629</v>
      </c>
      <c r="AB86">
        <v>12</v>
      </c>
      <c r="AC86">
        <v>14.834599999999901</v>
      </c>
      <c r="AD86">
        <v>-1.1030047331699999</v>
      </c>
      <c r="AE86">
        <v>0.26249999999998802</v>
      </c>
      <c r="AF86">
        <v>-0.24624317091245401</v>
      </c>
      <c r="AG86">
        <v>-1.1030047331699999</v>
      </c>
      <c r="AH86">
        <v>14.753318709093101</v>
      </c>
      <c r="AI86">
        <v>94.275065862182203</v>
      </c>
      <c r="AJ86">
        <v>90.956217702196</v>
      </c>
      <c r="AK86">
        <v>14.7965424364172</v>
      </c>
    </row>
    <row r="87" spans="1:37" x14ac:dyDescent="0.2">
      <c r="A87" t="str">
        <f>"20200111155754704"</f>
        <v>20200111155754704</v>
      </c>
      <c r="B87" t="str">
        <f>"1578729474701366"</f>
        <v>1578729474701366</v>
      </c>
      <c r="C87" t="s">
        <v>37</v>
      </c>
      <c r="D87">
        <v>6.0203689999999996</v>
      </c>
      <c r="E87">
        <v>0.50906850000000003</v>
      </c>
      <c r="F87" t="s">
        <v>39</v>
      </c>
      <c r="G87">
        <v>-456.76889999999997</v>
      </c>
      <c r="H87" s="1">
        <v>-1.6908439999999999E-6</v>
      </c>
      <c r="I87">
        <v>367.7989</v>
      </c>
      <c r="J87">
        <v>-471.38560000000001</v>
      </c>
      <c r="K87">
        <v>1.1029739999999999</v>
      </c>
      <c r="L87">
        <v>367.52730000000003</v>
      </c>
      <c r="M87">
        <v>0.99999919999999998</v>
      </c>
      <c r="N87">
        <v>0</v>
      </c>
      <c r="O87">
        <v>1.023239E-3</v>
      </c>
      <c r="P87">
        <v>0.99925229999999998</v>
      </c>
      <c r="Q87">
        <v>-1.68398E-4</v>
      </c>
      <c r="R87">
        <v>3.8665119999999997E-2</v>
      </c>
      <c r="S87">
        <v>3.0001220000000002</v>
      </c>
      <c r="T87">
        <v>-0.2245038</v>
      </c>
      <c r="U87">
        <v>5.5328370000000002E-2</v>
      </c>
      <c r="V87">
        <v>-3.7642929999999998E-2</v>
      </c>
      <c r="W87">
        <v>-1.0201769999999999E-3</v>
      </c>
      <c r="X87">
        <v>0.99929069999999998</v>
      </c>
      <c r="Y87">
        <v>-1.7370139999999999E-2</v>
      </c>
      <c r="Z87">
        <v>5.7249820000000002E-4</v>
      </c>
      <c r="AA87">
        <v>0.99984899999999999</v>
      </c>
      <c r="AB87">
        <v>12</v>
      </c>
      <c r="AC87">
        <v>14.6167</v>
      </c>
      <c r="AD87">
        <v>-1.1029756908439901</v>
      </c>
      <c r="AE87">
        <v>0.27159999999997803</v>
      </c>
      <c r="AF87">
        <v>-0.25519086822457798</v>
      </c>
      <c r="AG87">
        <v>-1.1029756908439901</v>
      </c>
      <c r="AH87">
        <v>14.5342378727675</v>
      </c>
      <c r="AI87">
        <v>94.339083477328302</v>
      </c>
      <c r="AJ87">
        <v>91.005890892466297</v>
      </c>
      <c r="AK87">
        <v>14.5782628696291</v>
      </c>
    </row>
    <row r="88" spans="1:37" x14ac:dyDescent="0.2">
      <c r="A88" t="str">
        <f>"20200111155754728"</f>
        <v>20200111155754728</v>
      </c>
      <c r="B88" t="str">
        <f>"1578729474720886"</f>
        <v>1578729474720886</v>
      </c>
      <c r="C88" t="s">
        <v>37</v>
      </c>
      <c r="D88">
        <v>6.0306309999999996</v>
      </c>
      <c r="E88">
        <v>0.50905389999999995</v>
      </c>
      <c r="F88" t="s">
        <v>39</v>
      </c>
      <c r="G88">
        <v>-456.95150000000001</v>
      </c>
      <c r="H88" s="1">
        <v>-1.6109689999999999E-6</v>
      </c>
      <c r="I88">
        <v>367.8073</v>
      </c>
      <c r="J88">
        <v>-471.25290000000001</v>
      </c>
      <c r="K88">
        <v>1.10292099999999</v>
      </c>
      <c r="L88">
        <v>367.52749999999997</v>
      </c>
      <c r="M88">
        <v>0.99999879999999997</v>
      </c>
      <c r="N88">
        <v>0</v>
      </c>
      <c r="O88">
        <v>1.0446869999999899E-3</v>
      </c>
      <c r="P88">
        <v>0.99919760000000002</v>
      </c>
      <c r="Q88">
        <v>-5.6062270000000001E-4</v>
      </c>
      <c r="R88">
        <v>4.004721E-2</v>
      </c>
      <c r="S88">
        <v>2.9999689999999899</v>
      </c>
      <c r="T88">
        <v>-0.22924139999999901</v>
      </c>
      <c r="U88">
        <v>5.8227540000000001E-2</v>
      </c>
      <c r="V88">
        <v>-3.9003259999999998E-2</v>
      </c>
      <c r="W88">
        <v>-1.6774959999999999E-3</v>
      </c>
      <c r="X88">
        <v>0.99923770000000001</v>
      </c>
      <c r="Y88">
        <v>-1.8310900000000001E-2</v>
      </c>
      <c r="Z88">
        <v>6.1882080000000002E-4</v>
      </c>
      <c r="AA88">
        <v>0.99983219999999995</v>
      </c>
      <c r="AB88">
        <v>12</v>
      </c>
      <c r="AC88">
        <v>14.301399999999999</v>
      </c>
      <c r="AD88">
        <v>-1.10292261096899</v>
      </c>
      <c r="AE88">
        <v>0.27980000000002198</v>
      </c>
      <c r="AF88">
        <v>-0.263294014222207</v>
      </c>
      <c r="AG88">
        <v>-1.10292261096899</v>
      </c>
      <c r="AH88">
        <v>14.2171605779424</v>
      </c>
      <c r="AI88">
        <v>94.435184425034805</v>
      </c>
      <c r="AJ88">
        <v>91.060965121519104</v>
      </c>
      <c r="AK88">
        <v>14.262307559532999</v>
      </c>
    </row>
    <row r="89" spans="1:37" x14ac:dyDescent="0.2">
      <c r="A89" t="str">
        <f>"20200111155754751"</f>
        <v>20200111155754751</v>
      </c>
      <c r="B89" t="str">
        <f>"1578729474741383"</f>
        <v>1578729474741383</v>
      </c>
      <c r="C89" t="s">
        <v>37</v>
      </c>
      <c r="D89">
        <v>6.0767610000000003</v>
      </c>
      <c r="E89">
        <v>0.50916209999999995</v>
      </c>
      <c r="F89" t="s">
        <v>38</v>
      </c>
      <c r="G89">
        <v>-470.43220000000002</v>
      </c>
      <c r="H89">
        <v>1.0394159999999999</v>
      </c>
      <c r="I89">
        <v>367.54430000000002</v>
      </c>
      <c r="J89">
        <v>-471.12270000000001</v>
      </c>
      <c r="K89">
        <v>1.102833</v>
      </c>
      <c r="L89">
        <v>367.52760000000001</v>
      </c>
      <c r="M89">
        <v>0.99999879999999997</v>
      </c>
      <c r="N89">
        <v>0</v>
      </c>
      <c r="O89">
        <v>1.065884E-3</v>
      </c>
      <c r="P89">
        <v>0.99914599999999898</v>
      </c>
      <c r="Q89">
        <v>-2.9780159999999998E-4</v>
      </c>
      <c r="R89">
        <v>4.1318639999999997E-2</v>
      </c>
      <c r="S89">
        <v>2.99981699999999</v>
      </c>
      <c r="T89">
        <v>-0.23231099999999999</v>
      </c>
      <c r="U89">
        <v>6.2377929999999998E-2</v>
      </c>
      <c r="V89">
        <v>-4.0253509999999999E-2</v>
      </c>
      <c r="W89">
        <v>-1.454934E-3</v>
      </c>
      <c r="X89">
        <v>0.99918839999999998</v>
      </c>
      <c r="Y89">
        <v>-1.9668080000000001E-2</v>
      </c>
      <c r="Z89">
        <v>6.7793330000000002E-4</v>
      </c>
      <c r="AA89">
        <v>0.99980630000000004</v>
      </c>
      <c r="AB89">
        <v>13</v>
      </c>
      <c r="AC89">
        <v>0.69049999999998501</v>
      </c>
      <c r="AD89">
        <v>-6.3417000000000001E-2</v>
      </c>
      <c r="AE89">
        <v>1.6700000000014301E-2</v>
      </c>
      <c r="AF89">
        <v>-1.58305448884801E-2</v>
      </c>
      <c r="AG89">
        <v>-6.3417000000000001E-2</v>
      </c>
      <c r="AH89">
        <v>0.68474497482615504</v>
      </c>
      <c r="AI89">
        <v>95.289894259665104</v>
      </c>
      <c r="AJ89">
        <v>91.324379000067196</v>
      </c>
      <c r="AK89">
        <v>0.68785754527382903</v>
      </c>
    </row>
    <row r="90" spans="1:37" x14ac:dyDescent="0.2">
      <c r="A90" t="str">
        <f>"20200111155754772"</f>
        <v>20200111155754772</v>
      </c>
      <c r="B90" t="str">
        <f>"1578729474760902"</f>
        <v>1578729474760902</v>
      </c>
      <c r="C90" t="s">
        <v>37</v>
      </c>
      <c r="D90">
        <v>6.0784849999999997</v>
      </c>
      <c r="E90">
        <v>0.50920339999999997</v>
      </c>
      <c r="F90" t="s">
        <v>38</v>
      </c>
      <c r="G90">
        <v>-470.315</v>
      </c>
      <c r="H90">
        <v>1.040143</v>
      </c>
      <c r="I90">
        <v>367.54509999999999</v>
      </c>
      <c r="J90">
        <v>-470.99639999999999</v>
      </c>
      <c r="K90">
        <v>1.1027499999999999</v>
      </c>
      <c r="L90">
        <v>367.52780000000001</v>
      </c>
      <c r="M90">
        <v>0.99999859999999896</v>
      </c>
      <c r="N90">
        <v>0</v>
      </c>
      <c r="O90">
        <v>1.086449E-3</v>
      </c>
      <c r="P90">
        <v>0.99907889999999999</v>
      </c>
      <c r="Q90">
        <v>5.2748809999999895E-4</v>
      </c>
      <c r="R90">
        <v>4.2907920000000002E-2</v>
      </c>
      <c r="S90">
        <v>2.9997560000000001</v>
      </c>
      <c r="T90">
        <v>-0.23292679999999999</v>
      </c>
      <c r="U90">
        <v>6.5460210000000005E-2</v>
      </c>
      <c r="V90">
        <v>-4.1822440000000002E-2</v>
      </c>
      <c r="W90">
        <v>-6.2739580000000005E-4</v>
      </c>
      <c r="X90">
        <v>0.99912489999999998</v>
      </c>
      <c r="Y90">
        <v>-2.0671519999999999E-2</v>
      </c>
      <c r="Z90">
        <v>7.1703209999999997E-4</v>
      </c>
      <c r="AA90">
        <v>0.99978609999999901</v>
      </c>
      <c r="AB90">
        <v>13</v>
      </c>
      <c r="AC90">
        <v>0.68139999999999601</v>
      </c>
      <c r="AD90">
        <v>-6.2606999999999802E-2</v>
      </c>
      <c r="AE90">
        <v>1.7299999999977399E-2</v>
      </c>
      <c r="AF90">
        <v>-1.64211460459864E-2</v>
      </c>
      <c r="AG90">
        <v>-6.2606999999999802E-2</v>
      </c>
      <c r="AH90">
        <v>0.67571770932688702</v>
      </c>
      <c r="AI90">
        <v>95.291936367863102</v>
      </c>
      <c r="AJ90">
        <v>91.392115670028105</v>
      </c>
      <c r="AK90">
        <v>0.67881051346044896</v>
      </c>
    </row>
    <row r="91" spans="1:37" x14ac:dyDescent="0.2">
      <c r="A91" t="str">
        <f>"20200111155754804"</f>
        <v>20200111155754804</v>
      </c>
      <c r="B91" t="str">
        <f>"1578729474800918"</f>
        <v>1578729474800918</v>
      </c>
      <c r="C91" t="s">
        <v>37</v>
      </c>
      <c r="D91">
        <v>6.082268</v>
      </c>
      <c r="E91">
        <v>0.50934919999999995</v>
      </c>
      <c r="F91" t="s">
        <v>38</v>
      </c>
      <c r="G91">
        <v>-470.19560000000001</v>
      </c>
      <c r="H91">
        <v>1.04095</v>
      </c>
      <c r="I91">
        <v>367.54590000000002</v>
      </c>
      <c r="J91">
        <v>-470.80250000000001</v>
      </c>
      <c r="K91">
        <v>1.102624</v>
      </c>
      <c r="L91">
        <v>367.52800000000002</v>
      </c>
      <c r="M91">
        <v>0.99999859999999896</v>
      </c>
      <c r="N91">
        <v>0</v>
      </c>
      <c r="O91">
        <v>1.1169369999999999E-3</v>
      </c>
      <c r="P91">
        <v>0.99906059999999997</v>
      </c>
      <c r="Q91">
        <v>-2.7394289999999998E-4</v>
      </c>
      <c r="R91">
        <v>4.3332170000000003E-2</v>
      </c>
      <c r="S91">
        <v>2.9998779999999998</v>
      </c>
      <c r="T91">
        <v>-0.2318385</v>
      </c>
      <c r="U91">
        <v>6.9824220000000006E-2</v>
      </c>
      <c r="V91">
        <v>-4.2215929999999999E-2</v>
      </c>
      <c r="W91">
        <v>-1.4784539999999999E-3</v>
      </c>
      <c r="X91">
        <v>0.99910739999999998</v>
      </c>
      <c r="Y91">
        <v>-2.2090229999999999E-2</v>
      </c>
      <c r="Z91">
        <v>7.6603049999999996E-4</v>
      </c>
      <c r="AA91">
        <v>0.99975569999999903</v>
      </c>
      <c r="AB91">
        <v>13</v>
      </c>
      <c r="AC91">
        <v>0.606899999999996</v>
      </c>
      <c r="AD91">
        <v>-6.1674E-2</v>
      </c>
      <c r="AE91">
        <v>1.78999999999973E-2</v>
      </c>
      <c r="AF91">
        <v>-1.7046237459290799E-2</v>
      </c>
      <c r="AG91">
        <v>-6.1674E-2</v>
      </c>
      <c r="AH91">
        <v>0.60072141665902901</v>
      </c>
      <c r="AI91">
        <v>95.859480494587103</v>
      </c>
      <c r="AJ91">
        <v>91.625404751678502</v>
      </c>
      <c r="AK91">
        <v>0.60411958826075995</v>
      </c>
    </row>
    <row r="92" spans="1:37" x14ac:dyDescent="0.2">
      <c r="A92" t="str">
        <f>"20200111155754829"</f>
        <v>20200111155754829</v>
      </c>
      <c r="B92" t="str">
        <f>"1578729474821415"</f>
        <v>1578729474821415</v>
      </c>
      <c r="C92" t="s">
        <v>37</v>
      </c>
      <c r="D92">
        <v>6.1087369999999996</v>
      </c>
      <c r="E92">
        <v>0.50956679999999999</v>
      </c>
      <c r="F92" t="s">
        <v>39</v>
      </c>
      <c r="G92">
        <v>-456.85070000000002</v>
      </c>
      <c r="H92" s="1">
        <v>-1.6458029999999899E-6</v>
      </c>
      <c r="I92">
        <v>367.85489999999999</v>
      </c>
      <c r="J92">
        <v>-470.65660000000003</v>
      </c>
      <c r="K92">
        <v>1.1025689999999999</v>
      </c>
      <c r="L92">
        <v>367.52820000000003</v>
      </c>
      <c r="M92">
        <v>0.99999859999999896</v>
      </c>
      <c r="N92">
        <v>0</v>
      </c>
      <c r="O92">
        <v>1.140138E-3</v>
      </c>
      <c r="P92">
        <v>0.99906059999999997</v>
      </c>
      <c r="Q92">
        <v>-1.199767E-4</v>
      </c>
      <c r="R92">
        <v>4.3338179999999997E-2</v>
      </c>
      <c r="S92">
        <v>2.9997250000000002</v>
      </c>
      <c r="T92">
        <v>-0.23707020000000001</v>
      </c>
      <c r="U92">
        <v>7.03125E-2</v>
      </c>
      <c r="V92">
        <v>-4.2199269999999997E-2</v>
      </c>
      <c r="W92">
        <v>-1.3964100000000001E-3</v>
      </c>
      <c r="X92">
        <v>0.99910829999999995</v>
      </c>
      <c r="Y92">
        <v>-2.222766E-2</v>
      </c>
      <c r="Z92">
        <v>7.8689280000000003E-4</v>
      </c>
      <c r="AA92">
        <v>0.99975259999999999</v>
      </c>
      <c r="AB92">
        <v>13</v>
      </c>
      <c r="AC92">
        <v>13.805899999999999</v>
      </c>
      <c r="AD92">
        <v>-1.102570645803</v>
      </c>
      <c r="AE92">
        <v>0.32669999999995902</v>
      </c>
      <c r="AF92">
        <v>-0.30898951747424003</v>
      </c>
      <c r="AG92">
        <v>-1.102570645803</v>
      </c>
      <c r="AH92">
        <v>13.7188141068255</v>
      </c>
      <c r="AI92">
        <v>94.593781877049494</v>
      </c>
      <c r="AJ92">
        <v>91.290257481351006</v>
      </c>
      <c r="AK92">
        <v>13.766517244696701</v>
      </c>
    </row>
    <row r="93" spans="1:37" x14ac:dyDescent="0.2">
      <c r="A93" t="str">
        <f>"20200111155754850"</f>
        <v>20200111155754850</v>
      </c>
      <c r="B93" t="str">
        <f>"1578729474840933"</f>
        <v>1578729474840933</v>
      </c>
      <c r="C93" t="s">
        <v>37</v>
      </c>
      <c r="D93">
        <v>6.1071799999999996</v>
      </c>
      <c r="E93">
        <v>0.51005389999999995</v>
      </c>
      <c r="F93" t="s">
        <v>38</v>
      </c>
      <c r="G93">
        <v>-469.8304</v>
      </c>
      <c r="H93">
        <v>1.037204</v>
      </c>
      <c r="I93">
        <v>367.5471</v>
      </c>
      <c r="J93">
        <v>-470.51920000000001</v>
      </c>
      <c r="K93">
        <v>1.1025419999999999</v>
      </c>
      <c r="L93">
        <v>367.52839999999998</v>
      </c>
      <c r="M93">
        <v>0.99999850000000001</v>
      </c>
      <c r="N93">
        <v>0</v>
      </c>
      <c r="O93">
        <v>1.1616759999999999E-3</v>
      </c>
      <c r="P93">
        <v>0.999067499999999</v>
      </c>
      <c r="Q93">
        <v>1.182977E-3</v>
      </c>
      <c r="R93">
        <v>4.3162480000000003E-2</v>
      </c>
      <c r="S93">
        <v>2.9997560000000001</v>
      </c>
      <c r="T93">
        <v>-0.23737049999999901</v>
      </c>
      <c r="U93">
        <v>6.8969730000000007E-2</v>
      </c>
      <c r="V93">
        <v>-4.2001589999999998E-2</v>
      </c>
      <c r="W93">
        <v>-1.51712E-4</v>
      </c>
      <c r="X93">
        <v>0.99911759999999905</v>
      </c>
      <c r="Y93">
        <v>-2.175997E-2</v>
      </c>
      <c r="Z93">
        <v>7.6770829999999997E-4</v>
      </c>
      <c r="AA93">
        <v>0.99976299999999996</v>
      </c>
      <c r="AB93">
        <v>14</v>
      </c>
      <c r="AC93">
        <v>0.68880000000001396</v>
      </c>
      <c r="AD93">
        <v>-6.5337999999999896E-2</v>
      </c>
      <c r="AE93">
        <v>1.8700000000023899E-2</v>
      </c>
      <c r="AF93">
        <v>-1.7740314725552601E-2</v>
      </c>
      <c r="AG93">
        <v>-6.5337999999999896E-2</v>
      </c>
      <c r="AH93">
        <v>0.68268300945260596</v>
      </c>
      <c r="AI93">
        <v>95.465159872963994</v>
      </c>
      <c r="AJ93">
        <v>91.488562692005203</v>
      </c>
      <c r="AK93">
        <v>0.68603197039629904</v>
      </c>
    </row>
    <row r="94" spans="1:37" x14ac:dyDescent="0.2">
      <c r="A94" t="str">
        <f>"20200111155754872"</f>
        <v>20200111155754872</v>
      </c>
      <c r="B94" t="str">
        <f>"1578729474861429"</f>
        <v>1578729474861429</v>
      </c>
      <c r="C94" t="s">
        <v>37</v>
      </c>
      <c r="D94">
        <v>6.275919</v>
      </c>
      <c r="E94">
        <v>0.5102835</v>
      </c>
      <c r="F94" t="s">
        <v>38</v>
      </c>
      <c r="G94">
        <v>-469.70229999999998</v>
      </c>
      <c r="H94">
        <v>1.0392250000000001</v>
      </c>
      <c r="I94">
        <v>367.54570000000001</v>
      </c>
      <c r="J94">
        <v>-470.38170000000002</v>
      </c>
      <c r="K94">
        <v>1.1025320000000001</v>
      </c>
      <c r="L94">
        <v>367.52859999999998</v>
      </c>
      <c r="M94">
        <v>0.99999850000000001</v>
      </c>
      <c r="N94">
        <v>0</v>
      </c>
      <c r="O94">
        <v>1.1838829999999999E-3</v>
      </c>
      <c r="P94">
        <v>0.99908750000000002</v>
      </c>
      <c r="Q94">
        <v>2.6587939999999999E-3</v>
      </c>
      <c r="R94">
        <v>4.2632139999999999E-2</v>
      </c>
      <c r="S94">
        <v>3.0002439999999999</v>
      </c>
      <c r="T94">
        <v>-0.23266889999999901</v>
      </c>
      <c r="U94">
        <v>6.4544679999999993E-2</v>
      </c>
      <c r="V94">
        <v>-4.1449380000000001E-2</v>
      </c>
      <c r="W94">
        <v>1.2863320000000001E-3</v>
      </c>
      <c r="X94">
        <v>0.99913980000000002</v>
      </c>
      <c r="Y94">
        <v>-2.026727E-2</v>
      </c>
      <c r="Z94">
        <v>6.9293320000000003E-4</v>
      </c>
      <c r="AA94">
        <v>0.99979439999999997</v>
      </c>
      <c r="AB94">
        <v>14</v>
      </c>
      <c r="AC94">
        <v>0.67940000000004297</v>
      </c>
      <c r="AD94">
        <v>-6.3307000000000002E-2</v>
      </c>
      <c r="AE94">
        <v>1.71000000000276E-2</v>
      </c>
      <c r="AF94">
        <v>-1.61554737165681E-2</v>
      </c>
      <c r="AG94">
        <v>-6.3307000000000002E-2</v>
      </c>
      <c r="AH94">
        <v>0.67357505326654898</v>
      </c>
      <c r="AI94">
        <v>95.367725678867998</v>
      </c>
      <c r="AJ94">
        <v>91.373956800777407</v>
      </c>
      <c r="AK94">
        <v>0.67673637996123803</v>
      </c>
    </row>
    <row r="95" spans="1:37" x14ac:dyDescent="0.2">
      <c r="A95" t="str">
        <f>"20200111155754894"</f>
        <v>20200111155754894</v>
      </c>
      <c r="B95" t="str">
        <f>"1578729474890710"</f>
        <v>1578729474890710</v>
      </c>
      <c r="C95" t="s">
        <v>37</v>
      </c>
      <c r="D95">
        <v>6.1228870000000004</v>
      </c>
      <c r="E95">
        <v>0.52414759999999905</v>
      </c>
      <c r="F95" t="s">
        <v>38</v>
      </c>
      <c r="G95">
        <v>-469.57240000000002</v>
      </c>
      <c r="H95">
        <v>1.041048</v>
      </c>
      <c r="I95">
        <v>367.54489999999998</v>
      </c>
      <c r="J95">
        <v>-470.23849999999999</v>
      </c>
      <c r="K95">
        <v>1.102522</v>
      </c>
      <c r="L95">
        <v>367.52879999999999</v>
      </c>
      <c r="M95">
        <v>0.99999839999999995</v>
      </c>
      <c r="N95">
        <v>0</v>
      </c>
      <c r="O95">
        <v>1.2066430000000001E-3</v>
      </c>
      <c r="P95">
        <v>0.99910560000000004</v>
      </c>
      <c r="Q95">
        <v>3.7917699999999999E-3</v>
      </c>
      <c r="R95">
        <v>4.211927E-2</v>
      </c>
      <c r="S95">
        <v>3.0007320000000002</v>
      </c>
      <c r="T95">
        <v>-0.22805629999999999</v>
      </c>
      <c r="U95">
        <v>6.1004639999999999E-2</v>
      </c>
      <c r="V95">
        <v>-4.0913789999999998E-2</v>
      </c>
      <c r="W95">
        <v>2.4059429999999998E-3</v>
      </c>
      <c r="X95">
        <v>0.99915980000000004</v>
      </c>
      <c r="Y95">
        <v>-1.9067819999999999E-2</v>
      </c>
      <c r="Z95">
        <v>6.3189829999999998E-4</v>
      </c>
      <c r="AA95">
        <v>0.99981799999999998</v>
      </c>
      <c r="AB95">
        <v>14</v>
      </c>
      <c r="AC95">
        <v>0.66609999999997105</v>
      </c>
      <c r="AD95">
        <v>-6.1474000000000001E-2</v>
      </c>
      <c r="AE95">
        <v>1.60999999999944E-2</v>
      </c>
      <c r="AF95">
        <v>-1.51671344342674E-2</v>
      </c>
      <c r="AG95">
        <v>-6.1474000000000001E-2</v>
      </c>
      <c r="AH95">
        <v>0.66049655181620803</v>
      </c>
      <c r="AI95">
        <v>95.315943959308996</v>
      </c>
      <c r="AJ95">
        <v>91.315464993644497</v>
      </c>
      <c r="AK95">
        <v>0.66352452072553203</v>
      </c>
    </row>
    <row r="96" spans="1:37" x14ac:dyDescent="0.2">
      <c r="A96" t="str">
        <f>"20200111155754917"</f>
        <v>20200111155754917</v>
      </c>
      <c r="B96" t="str">
        <f>"1578729474911206"</f>
        <v>1578729474911206</v>
      </c>
      <c r="C96" t="s">
        <v>37</v>
      </c>
      <c r="D96">
        <v>6.3907679999999996</v>
      </c>
      <c r="E96">
        <v>0.52388109999999999</v>
      </c>
      <c r="F96" t="s">
        <v>38</v>
      </c>
      <c r="G96">
        <v>-469.44499999999999</v>
      </c>
      <c r="H96">
        <v>1.0416969999999901</v>
      </c>
      <c r="I96">
        <v>367.51499999999999</v>
      </c>
      <c r="J96">
        <v>-470.08550000000002</v>
      </c>
      <c r="K96">
        <v>1.102522</v>
      </c>
      <c r="L96">
        <v>367.529</v>
      </c>
      <c r="M96">
        <v>0.99999830000000001</v>
      </c>
      <c r="N96">
        <v>0</v>
      </c>
      <c r="O96">
        <v>1.230561E-3</v>
      </c>
      <c r="P96">
        <v>0.999112</v>
      </c>
      <c r="Q96">
        <v>3.9123730000000002E-3</v>
      </c>
      <c r="R96">
        <v>4.1955109999999997E-2</v>
      </c>
      <c r="S96">
        <v>3.0056759999999998</v>
      </c>
      <c r="T96">
        <v>-0.23070109999999999</v>
      </c>
      <c r="U96">
        <v>-5.0537110000000003E-2</v>
      </c>
      <c r="V96">
        <v>-4.072605E-2</v>
      </c>
      <c r="W96">
        <v>2.551855E-3</v>
      </c>
      <c r="X96">
        <v>0.99916709999999997</v>
      </c>
      <c r="Y96">
        <v>1.798539E-2</v>
      </c>
      <c r="Z96">
        <v>-7.8348049999999998E-4</v>
      </c>
      <c r="AA96">
        <v>0.99983789999999995</v>
      </c>
      <c r="AB96">
        <v>14</v>
      </c>
      <c r="AC96">
        <v>0.64050000000003104</v>
      </c>
      <c r="AD96">
        <v>-6.0825000000000101E-2</v>
      </c>
      <c r="AE96">
        <v>-1.4000000000009999E-2</v>
      </c>
      <c r="AF96">
        <v>1.46560544932393E-2</v>
      </c>
      <c r="AG96">
        <v>-6.0825000000000101E-2</v>
      </c>
      <c r="AH96">
        <v>0.63476054286094197</v>
      </c>
      <c r="AI96">
        <v>95.472122424125899</v>
      </c>
      <c r="AJ96">
        <v>88.677326588790294</v>
      </c>
      <c r="AK96">
        <v>0.63783652085109299</v>
      </c>
    </row>
    <row r="97" spans="1:37" x14ac:dyDescent="0.2">
      <c r="A97" t="str">
        <f>"20200111155754940"</f>
        <v>20200111155754940</v>
      </c>
      <c r="B97" t="str">
        <f>"1578729474930726"</f>
        <v>1578729474930726</v>
      </c>
      <c r="C97" t="s">
        <v>37</v>
      </c>
      <c r="D97">
        <v>6.0852430000000002</v>
      </c>
      <c r="E97">
        <v>0.52345129999999995</v>
      </c>
      <c r="F97" t="s">
        <v>38</v>
      </c>
      <c r="G97">
        <v>-469.31169999999997</v>
      </c>
      <c r="H97">
        <v>1.043431</v>
      </c>
      <c r="I97">
        <v>367.51609999999999</v>
      </c>
      <c r="J97">
        <v>-469.9341</v>
      </c>
      <c r="K97">
        <v>1.1025450000000001</v>
      </c>
      <c r="L97">
        <v>367.5292</v>
      </c>
      <c r="M97">
        <v>0.99999859999999896</v>
      </c>
      <c r="N97">
        <v>0</v>
      </c>
      <c r="O97">
        <v>1.254036E-3</v>
      </c>
      <c r="P97">
        <v>0.99910379999999999</v>
      </c>
      <c r="Q97">
        <v>3.245192E-3</v>
      </c>
      <c r="R97">
        <v>4.2211159999999998E-2</v>
      </c>
      <c r="S97">
        <v>3.005646</v>
      </c>
      <c r="T97">
        <v>-0.229786299999999</v>
      </c>
      <c r="U97">
        <v>-4.9011230000000003E-2</v>
      </c>
      <c r="V97">
        <v>-4.0958609999999999E-2</v>
      </c>
      <c r="W97">
        <v>1.9624859999999998E-3</v>
      </c>
      <c r="X97">
        <v>0.99915889999999996</v>
      </c>
      <c r="Y97">
        <v>1.7503350000000001E-2</v>
      </c>
      <c r="Z97">
        <v>-7.6378769999999995E-4</v>
      </c>
      <c r="AA97">
        <v>0.99984649999999997</v>
      </c>
      <c r="AB97">
        <v>15</v>
      </c>
      <c r="AC97">
        <v>0.62240000000002704</v>
      </c>
      <c r="AD97">
        <v>-5.9114000000000097E-2</v>
      </c>
      <c r="AE97">
        <v>-1.3100000000008501E-2</v>
      </c>
      <c r="AF97">
        <v>1.37564638328036E-2</v>
      </c>
      <c r="AG97">
        <v>-5.9114000000000097E-2</v>
      </c>
      <c r="AH97">
        <v>0.61682136954562505</v>
      </c>
      <c r="AI97">
        <v>95.472955223101195</v>
      </c>
      <c r="AJ97">
        <v>88.722390762731806</v>
      </c>
      <c r="AK97">
        <v>0.61980021557056897</v>
      </c>
    </row>
    <row r="98" spans="1:37" x14ac:dyDescent="0.2">
      <c r="A98" t="str">
        <f>"20200111155754961"</f>
        <v>20200111155754961</v>
      </c>
      <c r="B98" t="str">
        <f>"1578729474951222"</f>
        <v>1578729474951222</v>
      </c>
      <c r="C98" t="s">
        <v>37</v>
      </c>
      <c r="D98">
        <v>6.1372939999999998</v>
      </c>
      <c r="E98">
        <v>0.52326329999999999</v>
      </c>
      <c r="F98" t="s">
        <v>38</v>
      </c>
      <c r="G98">
        <v>-469.17680000000001</v>
      </c>
      <c r="H98">
        <v>1.0445549999999999</v>
      </c>
      <c r="I98">
        <v>367.51729999999998</v>
      </c>
      <c r="J98">
        <v>-469.7885</v>
      </c>
      <c r="K98">
        <v>1.1025739999999999</v>
      </c>
      <c r="L98">
        <v>367.52940000000001</v>
      </c>
      <c r="M98">
        <v>0.99999850000000001</v>
      </c>
      <c r="N98">
        <v>0</v>
      </c>
      <c r="O98">
        <v>1.276349E-3</v>
      </c>
      <c r="P98">
        <v>0.99911949999999905</v>
      </c>
      <c r="Q98">
        <v>2.0253699999999999E-3</v>
      </c>
      <c r="R98">
        <v>4.1908790000000001E-2</v>
      </c>
      <c r="S98">
        <v>3.005341</v>
      </c>
      <c r="T98">
        <v>-0.23056119999999999</v>
      </c>
      <c r="U98">
        <v>-4.4769290000000003E-2</v>
      </c>
      <c r="V98">
        <v>-4.0633259999999997E-2</v>
      </c>
      <c r="W98">
        <v>8.7768239999999999E-4</v>
      </c>
      <c r="X98">
        <v>0.9991738</v>
      </c>
      <c r="Y98">
        <v>1.6120019999999999E-2</v>
      </c>
      <c r="Z98">
        <v>-7.1516880000000002E-4</v>
      </c>
      <c r="AA98">
        <v>0.99986980000000003</v>
      </c>
      <c r="AB98">
        <v>15</v>
      </c>
      <c r="AC98">
        <v>0.61169999999998403</v>
      </c>
      <c r="AD98">
        <v>-5.8019000000000001E-2</v>
      </c>
      <c r="AE98">
        <v>-1.2100000000032101E-2</v>
      </c>
      <c r="AF98">
        <v>1.27659322354706E-2</v>
      </c>
      <c r="AG98">
        <v>-5.8019000000000001E-2</v>
      </c>
      <c r="AH98">
        <v>0.60623234819225003</v>
      </c>
      <c r="AI98">
        <v>95.465594008268994</v>
      </c>
      <c r="AJ98">
        <v>88.793654024122702</v>
      </c>
      <c r="AK98">
        <v>0.60913613698542801</v>
      </c>
    </row>
    <row r="99" spans="1:37" x14ac:dyDescent="0.2">
      <c r="A99" t="str">
        <f>"20200111155754983"</f>
        <v>20200111155754983</v>
      </c>
      <c r="B99" t="str">
        <f>"1578729474970742"</f>
        <v>1578729474970742</v>
      </c>
      <c r="C99" t="s">
        <v>37</v>
      </c>
      <c r="D99">
        <v>6.1176320000000004</v>
      </c>
      <c r="E99">
        <v>0.52316579999999901</v>
      </c>
      <c r="F99" t="s">
        <v>38</v>
      </c>
      <c r="G99">
        <v>-469.04129999999998</v>
      </c>
      <c r="H99">
        <v>1.0441400000000001</v>
      </c>
      <c r="I99">
        <v>367.51830000000001</v>
      </c>
      <c r="J99">
        <v>-469.642</v>
      </c>
      <c r="K99">
        <v>1.102635</v>
      </c>
      <c r="L99">
        <v>367.52960000000002</v>
      </c>
      <c r="M99">
        <v>0.99999869999999902</v>
      </c>
      <c r="N99">
        <v>0</v>
      </c>
      <c r="O99">
        <v>1.2993410000000001E-3</v>
      </c>
      <c r="P99">
        <v>0.99914760000000002</v>
      </c>
      <c r="Q99">
        <v>-8.5202229999999904E-4</v>
      </c>
      <c r="R99">
        <v>4.1275720000000002E-2</v>
      </c>
      <c r="S99">
        <v>3.0049739999999998</v>
      </c>
      <c r="T99">
        <v>-0.2351259</v>
      </c>
      <c r="U99">
        <v>-4.449463E-2</v>
      </c>
      <c r="V99">
        <v>-3.997763E-2</v>
      </c>
      <c r="W99">
        <v>-1.7991229999999999E-3</v>
      </c>
      <c r="X99">
        <v>0.99919899999999995</v>
      </c>
      <c r="Y99">
        <v>1.6051530000000001E-2</v>
      </c>
      <c r="Z99">
        <v>-7.2849539999999895E-4</v>
      </c>
      <c r="AA99">
        <v>0.99987090000000001</v>
      </c>
      <c r="AB99">
        <v>15</v>
      </c>
      <c r="AC99">
        <v>0.600700000000017</v>
      </c>
      <c r="AD99">
        <v>-5.8494999999999901E-2</v>
      </c>
      <c r="AE99">
        <v>-1.1300000000005601E-2</v>
      </c>
      <c r="AF99">
        <v>1.19670675428157E-2</v>
      </c>
      <c r="AG99">
        <v>-5.8494999999999901E-2</v>
      </c>
      <c r="AH99">
        <v>0.59504430683369303</v>
      </c>
      <c r="AI99">
        <v>95.613215281842599</v>
      </c>
      <c r="AJ99">
        <v>88.847867231708193</v>
      </c>
      <c r="AK99">
        <v>0.59803227573916495</v>
      </c>
    </row>
    <row r="100" spans="1:37" x14ac:dyDescent="0.2">
      <c r="A100" t="str">
        <f>"20200111155755006"</f>
        <v>20200111155755006</v>
      </c>
      <c r="B100" t="str">
        <f>"1578729475001000"</f>
        <v>1578729475001000</v>
      </c>
      <c r="C100" t="s">
        <v>37</v>
      </c>
      <c r="D100">
        <v>6.0874699999999997</v>
      </c>
      <c r="E100">
        <v>0.52328560000000002</v>
      </c>
      <c r="F100" t="s">
        <v>38</v>
      </c>
      <c r="G100">
        <v>-468.90469999999999</v>
      </c>
      <c r="H100">
        <v>1.042667</v>
      </c>
      <c r="I100">
        <v>367.51799999999997</v>
      </c>
      <c r="J100">
        <v>-469.47620000000001</v>
      </c>
      <c r="K100">
        <v>1.102727</v>
      </c>
      <c r="L100">
        <v>367.52980000000002</v>
      </c>
      <c r="M100">
        <v>0.99999899999999997</v>
      </c>
      <c r="N100">
        <v>0</v>
      </c>
      <c r="O100">
        <v>1.3252679999999899E-3</v>
      </c>
      <c r="P100">
        <v>0.99913989999999997</v>
      </c>
      <c r="Q100">
        <v>-2.6728400000000001E-3</v>
      </c>
      <c r="R100">
        <v>4.1383879999999998E-2</v>
      </c>
      <c r="S100">
        <v>3.0042419999999899</v>
      </c>
      <c r="T100">
        <v>-0.24461250000000001</v>
      </c>
      <c r="U100">
        <v>-4.5440670000000002E-2</v>
      </c>
      <c r="V100">
        <v>-4.0059890000000001E-2</v>
      </c>
      <c r="W100">
        <v>-3.320904E-3</v>
      </c>
      <c r="X100">
        <v>0.99919179999999996</v>
      </c>
      <c r="Y100">
        <v>1.6390269999999998E-2</v>
      </c>
      <c r="Z100">
        <v>-7.7384939999999998E-4</v>
      </c>
      <c r="AA100">
        <v>0.99986540000000002</v>
      </c>
      <c r="AB100">
        <v>15</v>
      </c>
      <c r="AC100">
        <v>0.571500000000014</v>
      </c>
      <c r="AD100">
        <v>-6.0060000000000002E-2</v>
      </c>
      <c r="AE100">
        <v>-1.17999999999938E-2</v>
      </c>
      <c r="AF100">
        <v>1.2420265708256601E-2</v>
      </c>
      <c r="AG100">
        <v>-6.0060000000000002E-2</v>
      </c>
      <c r="AH100">
        <v>0.56524379824499504</v>
      </c>
      <c r="AI100">
        <v>96.063754970551599</v>
      </c>
      <c r="AJ100">
        <v>88.741225803704197</v>
      </c>
      <c r="AK100">
        <v>0.56856135821447895</v>
      </c>
    </row>
    <row r="101" spans="1:37" x14ac:dyDescent="0.2">
      <c r="A101" t="str">
        <f>"20200111155755030"</f>
        <v>20200111155755030</v>
      </c>
      <c r="B101" t="str">
        <f>"1578729475021494"</f>
        <v>1578729475021494</v>
      </c>
      <c r="C101" t="s">
        <v>37</v>
      </c>
      <c r="D101">
        <v>6.0857749999999999</v>
      </c>
      <c r="E101">
        <v>0.52327970000000001</v>
      </c>
      <c r="F101" t="s">
        <v>38</v>
      </c>
      <c r="G101">
        <v>-468.63080000000002</v>
      </c>
      <c r="H101">
        <v>1.0326660000000001</v>
      </c>
      <c r="I101">
        <v>367.51670000000001</v>
      </c>
      <c r="J101">
        <v>-469.31470000000002</v>
      </c>
      <c r="K101">
        <v>1.102835</v>
      </c>
      <c r="L101">
        <v>367.5301</v>
      </c>
      <c r="M101">
        <v>0.99999930000000004</v>
      </c>
      <c r="N101">
        <v>0</v>
      </c>
      <c r="O101">
        <v>1.3499650000000001E-3</v>
      </c>
      <c r="P101">
        <v>0.99912809999999896</v>
      </c>
      <c r="Q101">
        <v>-3.897682E-3</v>
      </c>
      <c r="R101">
        <v>4.1571740000000003E-2</v>
      </c>
      <c r="S101">
        <v>3.0038450000000001</v>
      </c>
      <c r="T101">
        <v>-0.2491062</v>
      </c>
      <c r="U101">
        <v>-4.6081539999999997E-2</v>
      </c>
      <c r="V101">
        <v>-4.0223179999999997E-2</v>
      </c>
      <c r="W101">
        <v>-4.1938599999999998E-3</v>
      </c>
      <c r="X101">
        <v>0.99918189999999996</v>
      </c>
      <c r="Y101">
        <v>1.6627139999999999E-2</v>
      </c>
      <c r="Z101">
        <v>-7.9996880000000002E-4</v>
      </c>
      <c r="AA101">
        <v>0.99986140000000001</v>
      </c>
      <c r="AB101">
        <v>16</v>
      </c>
      <c r="AC101">
        <v>0.68389999999999396</v>
      </c>
      <c r="AD101">
        <v>-7.0168999999999898E-2</v>
      </c>
      <c r="AE101">
        <v>-1.339999999999E-2</v>
      </c>
      <c r="AF101">
        <v>1.4174075174182701E-2</v>
      </c>
      <c r="AG101">
        <v>-7.0168999999999898E-2</v>
      </c>
      <c r="AH101">
        <v>0.67675975910306896</v>
      </c>
      <c r="AI101">
        <v>95.918201818883801</v>
      </c>
      <c r="AJ101">
        <v>88.800171019363702</v>
      </c>
      <c r="AK101">
        <v>0.68053535140306098</v>
      </c>
    </row>
    <row r="102" spans="1:37" x14ac:dyDescent="0.2">
      <c r="A102" t="str">
        <f>"20200111155755050"</f>
        <v>20200111155755050</v>
      </c>
      <c r="B102" t="str">
        <f>"1578729475041014"</f>
        <v>1578729475041014</v>
      </c>
      <c r="C102" t="s">
        <v>37</v>
      </c>
      <c r="D102">
        <v>6.1198930000000002</v>
      </c>
      <c r="E102">
        <v>0.52322729999999995</v>
      </c>
      <c r="F102" t="s">
        <v>38</v>
      </c>
      <c r="G102">
        <v>-468.48899999999998</v>
      </c>
      <c r="H102">
        <v>1.0337080000000001</v>
      </c>
      <c r="I102">
        <v>367.51749999999998</v>
      </c>
      <c r="J102">
        <v>-469.16460000000001</v>
      </c>
      <c r="K102">
        <v>1.1029329999999999</v>
      </c>
      <c r="L102">
        <v>367.53030000000001</v>
      </c>
      <c r="M102">
        <v>0.99999899999999997</v>
      </c>
      <c r="N102">
        <v>0</v>
      </c>
      <c r="O102">
        <v>1.37323E-3</v>
      </c>
      <c r="P102">
        <v>0.99912710000000005</v>
      </c>
      <c r="Q102">
        <v>-4.473042E-3</v>
      </c>
      <c r="R102">
        <v>4.1533540000000001E-2</v>
      </c>
      <c r="S102">
        <v>3.0035400000000001</v>
      </c>
      <c r="T102">
        <v>-0.251411</v>
      </c>
      <c r="U102">
        <v>-4.5776369999999997E-2</v>
      </c>
      <c r="V102">
        <v>-4.0161679999999998E-2</v>
      </c>
      <c r="W102">
        <v>-4.4142469999999996E-3</v>
      </c>
      <c r="X102">
        <v>0.99918340000000005</v>
      </c>
      <c r="Y102">
        <v>1.654943E-2</v>
      </c>
      <c r="Z102">
        <v>-8.0612390000000004E-4</v>
      </c>
      <c r="AA102">
        <v>0.99986269999999999</v>
      </c>
      <c r="AB102">
        <v>16</v>
      </c>
      <c r="AC102">
        <v>0.675599999999974</v>
      </c>
      <c r="AD102">
        <v>-6.9224999999999801E-2</v>
      </c>
      <c r="AE102">
        <v>-1.2800000000027E-2</v>
      </c>
      <c r="AF102">
        <v>1.3585163147022201E-2</v>
      </c>
      <c r="AG102">
        <v>-6.9224999999999801E-2</v>
      </c>
      <c r="AH102">
        <v>0.66856506059404996</v>
      </c>
      <c r="AI102">
        <v>95.910279807033902</v>
      </c>
      <c r="AJ102">
        <v>88.835916718741203</v>
      </c>
      <c r="AK102">
        <v>0.67227665252473001</v>
      </c>
    </row>
    <row r="103" spans="1:37" x14ac:dyDescent="0.2">
      <c r="A103" t="str">
        <f>"20200111155755073"</f>
        <v>20200111155755073</v>
      </c>
      <c r="B103" t="str">
        <f>"1578729475071270"</f>
        <v>1578729475071270</v>
      </c>
      <c r="C103" t="s">
        <v>37</v>
      </c>
      <c r="D103">
        <v>6.0847119999999997</v>
      </c>
      <c r="E103">
        <v>0.52308829999999995</v>
      </c>
      <c r="F103" t="s">
        <v>38</v>
      </c>
      <c r="G103">
        <v>-468.34629999999999</v>
      </c>
      <c r="H103">
        <v>1.034378</v>
      </c>
      <c r="I103">
        <v>367.51760000000002</v>
      </c>
      <c r="J103">
        <v>-469.00670000000002</v>
      </c>
      <c r="K103">
        <v>1.10303</v>
      </c>
      <c r="L103">
        <v>367.53059999999999</v>
      </c>
      <c r="M103">
        <v>0.99999899999999997</v>
      </c>
      <c r="N103">
        <v>0</v>
      </c>
      <c r="O103">
        <v>1.3970789999999901E-3</v>
      </c>
      <c r="P103">
        <v>0.99912489999999998</v>
      </c>
      <c r="Q103">
        <v>-2.9068100000000001E-3</v>
      </c>
      <c r="R103">
        <v>4.172447E-2</v>
      </c>
      <c r="S103">
        <v>3.0034179999999999</v>
      </c>
      <c r="T103">
        <v>-0.25179049999999997</v>
      </c>
      <c r="U103">
        <v>-4.5227049999999998E-2</v>
      </c>
      <c r="V103">
        <v>-4.032823E-2</v>
      </c>
      <c r="W103">
        <v>-2.4549649999999999E-3</v>
      </c>
      <c r="X103">
        <v>0.999183499999999</v>
      </c>
      <c r="Y103">
        <v>1.6391340000000001E-2</v>
      </c>
      <c r="Z103">
        <v>-8.0275149999999896E-4</v>
      </c>
      <c r="AA103">
        <v>0.99986540000000002</v>
      </c>
      <c r="AB103">
        <v>16</v>
      </c>
      <c r="AC103">
        <v>0.66040000000003796</v>
      </c>
      <c r="AD103">
        <v>-6.8651999999999894E-2</v>
      </c>
      <c r="AE103">
        <v>-1.2999999999976799E-2</v>
      </c>
      <c r="AF103">
        <v>1.3773826638302299E-2</v>
      </c>
      <c r="AG103">
        <v>-6.8651999999999894E-2</v>
      </c>
      <c r="AH103">
        <v>0.65332366898657002</v>
      </c>
      <c r="AI103">
        <v>95.997368555962197</v>
      </c>
      <c r="AJ103">
        <v>88.792229215829494</v>
      </c>
      <c r="AK103">
        <v>0.65706516561322603</v>
      </c>
    </row>
    <row r="104" spans="1:37" x14ac:dyDescent="0.2">
      <c r="A104" t="str">
        <f>"20200111155755095"</f>
        <v>20200111155755095</v>
      </c>
      <c r="B104" t="str">
        <f>"1578729475090790"</f>
        <v>1578729475090790</v>
      </c>
      <c r="C104" t="s">
        <v>37</v>
      </c>
      <c r="D104">
        <v>6.12887</v>
      </c>
      <c r="E104">
        <v>0.52290990000000004</v>
      </c>
      <c r="F104" t="s">
        <v>38</v>
      </c>
      <c r="G104">
        <v>-468.2013</v>
      </c>
      <c r="H104">
        <v>1.0374219999999901</v>
      </c>
      <c r="I104">
        <v>367.51859999999999</v>
      </c>
      <c r="J104">
        <v>-468.84280000000001</v>
      </c>
      <c r="K104">
        <v>1.1031200000000001</v>
      </c>
      <c r="L104">
        <v>367.5308</v>
      </c>
      <c r="M104">
        <v>0.99999869999999902</v>
      </c>
      <c r="N104">
        <v>0</v>
      </c>
      <c r="O104">
        <v>1.4222060000000001E-3</v>
      </c>
      <c r="P104">
        <v>0.99914219999999898</v>
      </c>
      <c r="Q104">
        <v>-1.2503010000000001E-3</v>
      </c>
      <c r="R104">
        <v>4.139487E-2</v>
      </c>
      <c r="S104">
        <v>3.003784</v>
      </c>
      <c r="T104">
        <v>-0.244769299999999</v>
      </c>
      <c r="U104">
        <v>-4.4036869999999999E-2</v>
      </c>
      <c r="V104">
        <v>-3.9973870000000002E-2</v>
      </c>
      <c r="W104">
        <v>-3.7007699999999898E-4</v>
      </c>
      <c r="X104">
        <v>0.99920059999999999</v>
      </c>
      <c r="Y104">
        <v>1.6023119999999998E-2</v>
      </c>
      <c r="Z104">
        <v>-7.6741639999999996E-4</v>
      </c>
      <c r="AA104">
        <v>0.99987130000000002</v>
      </c>
      <c r="AB104">
        <v>16</v>
      </c>
      <c r="AC104">
        <v>0.64150000000000695</v>
      </c>
      <c r="AD104">
        <v>-6.5698000000000201E-2</v>
      </c>
      <c r="AE104">
        <v>-1.2200000000007E-2</v>
      </c>
      <c r="AF104">
        <v>1.29762813090712E-2</v>
      </c>
      <c r="AG104">
        <v>-6.5698000000000201E-2</v>
      </c>
      <c r="AH104">
        <v>0.63482607127990798</v>
      </c>
      <c r="AI104">
        <v>95.907267768410193</v>
      </c>
      <c r="AJ104">
        <v>88.828997950541606</v>
      </c>
      <c r="AK104">
        <v>0.63834845645407101</v>
      </c>
    </row>
    <row r="105" spans="1:37" x14ac:dyDescent="0.2">
      <c r="A105" t="str">
        <f>"20200111155755118"</f>
        <v>20200111155755118</v>
      </c>
      <c r="B105" t="str">
        <f>"1578729475111286"</f>
        <v>1578729475111286</v>
      </c>
      <c r="C105" t="s">
        <v>37</v>
      </c>
      <c r="D105">
        <v>6.1278160000000002</v>
      </c>
      <c r="E105">
        <v>0.52289279999999905</v>
      </c>
      <c r="F105" t="s">
        <v>38</v>
      </c>
      <c r="G105">
        <v>-468.05529999999999</v>
      </c>
      <c r="H105">
        <v>1.0404879999999901</v>
      </c>
      <c r="I105">
        <v>367.5188</v>
      </c>
      <c r="J105">
        <v>-468.68090000000001</v>
      </c>
      <c r="K105">
        <v>1.103199</v>
      </c>
      <c r="L105">
        <v>367.53109999999998</v>
      </c>
      <c r="M105">
        <v>0.9999981</v>
      </c>
      <c r="N105">
        <v>0</v>
      </c>
      <c r="O105">
        <v>1.447229E-3</v>
      </c>
      <c r="P105">
        <v>0.99916870000000002</v>
      </c>
      <c r="Q105">
        <v>3.1751769999999998E-4</v>
      </c>
      <c r="R105">
        <v>4.0770889999999997E-2</v>
      </c>
      <c r="S105">
        <v>3.004089</v>
      </c>
      <c r="T105">
        <v>-0.23930319999999999</v>
      </c>
      <c r="U105">
        <v>-4.379272E-2</v>
      </c>
      <c r="V105">
        <v>-3.9325359999999997E-2</v>
      </c>
      <c r="W105">
        <v>1.64491299999999E-3</v>
      </c>
      <c r="X105">
        <v>0.99922509999999998</v>
      </c>
      <c r="Y105">
        <v>1.5968059999999999E-2</v>
      </c>
      <c r="Z105">
        <v>-7.5005890000000004E-4</v>
      </c>
      <c r="AA105">
        <v>0.99987219999999999</v>
      </c>
      <c r="AB105">
        <v>16</v>
      </c>
      <c r="AC105">
        <v>0.62560000000001903</v>
      </c>
      <c r="AD105">
        <v>-6.27110000000001E-2</v>
      </c>
      <c r="AE105">
        <v>-1.22999999999819E-2</v>
      </c>
      <c r="AF105">
        <v>1.3074052696135E-2</v>
      </c>
      <c r="AG105">
        <v>-6.27110000000001E-2</v>
      </c>
      <c r="AH105">
        <v>0.61936040978348095</v>
      </c>
      <c r="AI105">
        <v>95.780285453108306</v>
      </c>
      <c r="AJ105">
        <v>88.790725404861604</v>
      </c>
      <c r="AK105">
        <v>0.62266436993139596</v>
      </c>
    </row>
    <row r="106" spans="1:37" x14ac:dyDescent="0.2">
      <c r="A106" t="str">
        <f>"20200111155755140"</f>
        <v>20200111155755140</v>
      </c>
      <c r="B106" t="str">
        <f>"1578729475130806"</f>
        <v>1578729475130806</v>
      </c>
      <c r="C106" t="s">
        <v>37</v>
      </c>
      <c r="D106">
        <v>6.0968010000000001</v>
      </c>
      <c r="E106">
        <v>0.52286069999999996</v>
      </c>
      <c r="F106" t="s">
        <v>38</v>
      </c>
      <c r="G106">
        <v>-467.90870000000001</v>
      </c>
      <c r="H106">
        <v>1.042861</v>
      </c>
      <c r="I106">
        <v>367.51929999999999</v>
      </c>
      <c r="J106">
        <v>-468.52080000000001</v>
      </c>
      <c r="K106">
        <v>1.1032789999999999</v>
      </c>
      <c r="L106">
        <v>367.53140000000002</v>
      </c>
      <c r="M106">
        <v>0.99999740000000004</v>
      </c>
      <c r="N106">
        <v>0</v>
      </c>
      <c r="O106">
        <v>1.4714769999999999E-3</v>
      </c>
      <c r="P106">
        <v>0.99919899999999995</v>
      </c>
      <c r="Q106">
        <v>-1.5302370000000001E-4</v>
      </c>
      <c r="R106">
        <v>4.0020479999999997E-2</v>
      </c>
      <c r="S106">
        <v>3.004486</v>
      </c>
      <c r="T106">
        <v>-0.23483219999999999</v>
      </c>
      <c r="U106">
        <v>-4.5440670000000002E-2</v>
      </c>
      <c r="V106">
        <v>-3.8550130000000002E-2</v>
      </c>
      <c r="W106">
        <v>1.642052E-3</v>
      </c>
      <c r="X106">
        <v>0.99925529999999996</v>
      </c>
      <c r="Y106">
        <v>1.6538919999999999E-2</v>
      </c>
      <c r="Z106">
        <v>-7.6015469999999999E-4</v>
      </c>
      <c r="AA106">
        <v>0.9998629</v>
      </c>
      <c r="AB106">
        <v>16</v>
      </c>
      <c r="AC106">
        <v>0.61209999999999798</v>
      </c>
      <c r="AD106">
        <v>-6.0417999999999999E-2</v>
      </c>
      <c r="AE106">
        <v>-1.2100000000032101E-2</v>
      </c>
      <c r="AF106">
        <v>1.2875285807905401E-2</v>
      </c>
      <c r="AG106">
        <v>-6.0417999999999999E-2</v>
      </c>
      <c r="AH106">
        <v>0.60617791289549805</v>
      </c>
      <c r="AI106">
        <v>95.690620211363793</v>
      </c>
      <c r="AJ106">
        <v>88.783214275337301</v>
      </c>
      <c r="AK106">
        <v>0.60931746224031502</v>
      </c>
    </row>
    <row r="107" spans="1:37" x14ac:dyDescent="0.2">
      <c r="A107" t="str">
        <f>"20200111155755162"</f>
        <v>20200111155755162</v>
      </c>
      <c r="B107" t="str">
        <f>"1578729475151302"</f>
        <v>1578729475151302</v>
      </c>
      <c r="C107" t="s">
        <v>37</v>
      </c>
      <c r="D107">
        <v>6.1178059999999999</v>
      </c>
      <c r="E107">
        <v>0.52274509999999996</v>
      </c>
      <c r="F107" t="s">
        <v>38</v>
      </c>
      <c r="G107">
        <v>-467.76190000000003</v>
      </c>
      <c r="H107">
        <v>1.043579</v>
      </c>
      <c r="I107">
        <v>367.51900000000001</v>
      </c>
      <c r="J107">
        <v>-468.35939999999999</v>
      </c>
      <c r="K107">
        <v>1.1033500000000001</v>
      </c>
      <c r="L107">
        <v>367.53160000000003</v>
      </c>
      <c r="M107">
        <v>0.99999640000000001</v>
      </c>
      <c r="N107">
        <v>0</v>
      </c>
      <c r="O107">
        <v>1.496065E-3</v>
      </c>
      <c r="P107">
        <v>0.99924080000000004</v>
      </c>
      <c r="Q107">
        <v>-1.580456E-3</v>
      </c>
      <c r="R107">
        <v>3.8936949999999998E-2</v>
      </c>
      <c r="S107">
        <v>3.00430299999999</v>
      </c>
      <c r="T107">
        <v>-0.23654059999999999</v>
      </c>
      <c r="U107">
        <v>-4.7760009999999999E-2</v>
      </c>
      <c r="V107">
        <v>-3.7442330000000003E-2</v>
      </c>
      <c r="W107">
        <v>7.0697449999999895E-4</v>
      </c>
      <c r="X107">
        <v>0.99929849999999998</v>
      </c>
      <c r="Y107">
        <v>1.7332799999999999E-2</v>
      </c>
      <c r="Z107">
        <v>-7.9884499999999996E-4</v>
      </c>
      <c r="AA107">
        <v>0.9998494</v>
      </c>
      <c r="AB107">
        <v>16</v>
      </c>
      <c r="AC107">
        <v>0.59749999999996795</v>
      </c>
      <c r="AD107">
        <v>-5.9770999999999998E-2</v>
      </c>
      <c r="AE107">
        <v>-1.26000000000203E-2</v>
      </c>
      <c r="AF107">
        <v>1.3360249953416E-2</v>
      </c>
      <c r="AG107">
        <v>-5.9770999999999998E-2</v>
      </c>
      <c r="AH107">
        <v>0.59156332001504197</v>
      </c>
      <c r="AI107">
        <v>95.768070251537793</v>
      </c>
      <c r="AJ107">
        <v>88.706214871768694</v>
      </c>
      <c r="AK107">
        <v>0.59472534022608903</v>
      </c>
    </row>
    <row r="108" spans="1:37" x14ac:dyDescent="0.2">
      <c r="A108" t="str">
        <f>"20200111155755184"</f>
        <v>20200111155755184</v>
      </c>
      <c r="B108" t="str">
        <f>"1578729475170822"</f>
        <v>1578729475170822</v>
      </c>
      <c r="C108" t="s">
        <v>37</v>
      </c>
      <c r="D108">
        <v>6.122763</v>
      </c>
      <c r="E108">
        <v>0.52276629999999902</v>
      </c>
      <c r="F108" t="s">
        <v>38</v>
      </c>
      <c r="G108">
        <v>-467.61470000000003</v>
      </c>
      <c r="H108">
        <v>1.043703</v>
      </c>
      <c r="I108">
        <v>367.51909999999998</v>
      </c>
      <c r="J108">
        <v>-468.19839999999999</v>
      </c>
      <c r="K108">
        <v>1.1034250000000001</v>
      </c>
      <c r="L108">
        <v>367.53190000000001</v>
      </c>
      <c r="M108">
        <v>0.99999499999999997</v>
      </c>
      <c r="N108">
        <v>0</v>
      </c>
      <c r="O108">
        <v>1.520345E-3</v>
      </c>
      <c r="P108">
        <v>0.99924939999999995</v>
      </c>
      <c r="Q108">
        <v>-3.5051700000000002E-3</v>
      </c>
      <c r="R108">
        <v>3.8579750000000003E-2</v>
      </c>
      <c r="S108">
        <v>3.0038149999999999</v>
      </c>
      <c r="T108">
        <v>-0.24081859999999999</v>
      </c>
      <c r="U108">
        <v>-4.977417E-2</v>
      </c>
      <c r="V108">
        <v>-3.7060639999999999E-2</v>
      </c>
      <c r="W108">
        <v>-7.1960509999999896E-4</v>
      </c>
      <c r="X108">
        <v>0.9993128</v>
      </c>
      <c r="Y108">
        <v>1.8025469999999998E-2</v>
      </c>
      <c r="Z108">
        <v>-8.4303739999999996E-4</v>
      </c>
      <c r="AA108">
        <v>0.99983719999999998</v>
      </c>
      <c r="AB108">
        <v>16</v>
      </c>
      <c r="AC108">
        <v>0.58369999999996403</v>
      </c>
      <c r="AD108">
        <v>-5.9721999999999997E-2</v>
      </c>
      <c r="AE108">
        <v>-1.2800000000027E-2</v>
      </c>
      <c r="AF108">
        <v>1.3545677645895499E-2</v>
      </c>
      <c r="AG108">
        <v>-5.9721999999999997E-2</v>
      </c>
      <c r="AH108">
        <v>0.57763572443446998</v>
      </c>
      <c r="AI108">
        <v>95.901250373271793</v>
      </c>
      <c r="AJ108">
        <v>88.656648282483204</v>
      </c>
      <c r="AK108">
        <v>0.58087281982360095</v>
      </c>
    </row>
    <row r="109" spans="1:37" x14ac:dyDescent="0.2">
      <c r="A109" t="str">
        <f>"20200111155755207"</f>
        <v>20200111155755207</v>
      </c>
      <c r="B109" t="str">
        <f>"1578729475201078"</f>
        <v>1578729475201078</v>
      </c>
      <c r="C109" t="s">
        <v>37</v>
      </c>
      <c r="D109">
        <v>6.1039539999999999</v>
      </c>
      <c r="E109">
        <v>0.52278429999999998</v>
      </c>
      <c r="F109" t="s">
        <v>38</v>
      </c>
      <c r="G109">
        <v>-467.46719999999999</v>
      </c>
      <c r="H109">
        <v>1.0433950000000001</v>
      </c>
      <c r="I109">
        <v>367.51900000000001</v>
      </c>
      <c r="J109">
        <v>-468.02429999999998</v>
      </c>
      <c r="K109">
        <v>1.103504</v>
      </c>
      <c r="L109">
        <v>367.53219999999999</v>
      </c>
      <c r="M109">
        <v>0.99999340000000003</v>
      </c>
      <c r="N109">
        <v>0</v>
      </c>
      <c r="O109">
        <v>1.5464879999999999E-3</v>
      </c>
      <c r="P109">
        <v>0.99923700000000004</v>
      </c>
      <c r="Q109">
        <v>-5.5259929999999999E-3</v>
      </c>
      <c r="R109">
        <v>3.8671320000000002E-2</v>
      </c>
      <c r="S109">
        <v>3.003387</v>
      </c>
      <c r="T109">
        <v>-0.2466757</v>
      </c>
      <c r="U109">
        <v>-5.1086430000000002E-2</v>
      </c>
      <c r="V109">
        <v>-3.7125850000000002E-2</v>
      </c>
      <c r="W109">
        <v>-2.2191680000000001E-3</v>
      </c>
      <c r="X109">
        <v>0.99930810000000003</v>
      </c>
      <c r="Y109">
        <v>1.8485970000000001E-2</v>
      </c>
      <c r="Z109">
        <v>-8.846142E-4</v>
      </c>
      <c r="AA109">
        <v>0.99982879999999996</v>
      </c>
      <c r="AB109">
        <v>16</v>
      </c>
      <c r="AC109">
        <v>0.55709999999999105</v>
      </c>
      <c r="AD109">
        <v>-6.0108999999999899E-2</v>
      </c>
      <c r="AE109">
        <v>-1.31999999999834E-2</v>
      </c>
      <c r="AF109">
        <v>1.3899812072209999E-2</v>
      </c>
      <c r="AG109">
        <v>-6.0108999999999899E-2</v>
      </c>
      <c r="AH109">
        <v>0.55067181583198099</v>
      </c>
      <c r="AI109">
        <v>96.227532980026098</v>
      </c>
      <c r="AJ109">
        <v>88.554072551011799</v>
      </c>
      <c r="AK109">
        <v>0.55411708637104296</v>
      </c>
    </row>
    <row r="110" spans="1:37" x14ac:dyDescent="0.2">
      <c r="A110" t="str">
        <f>"20200111155755230"</f>
        <v>20200111155755230</v>
      </c>
      <c r="B110" t="str">
        <f>"1578729475221574"</f>
        <v>1578729475221574</v>
      </c>
      <c r="C110" t="s">
        <v>37</v>
      </c>
      <c r="D110">
        <v>6.0992470000000001</v>
      </c>
      <c r="E110">
        <v>0.52271290000000004</v>
      </c>
      <c r="F110" t="s">
        <v>38</v>
      </c>
      <c r="G110">
        <v>-467.17570000000001</v>
      </c>
      <c r="H110">
        <v>1.032097</v>
      </c>
      <c r="I110">
        <v>367.5172</v>
      </c>
      <c r="J110">
        <v>-467.85599999999999</v>
      </c>
      <c r="K110">
        <v>1.1035779999999999</v>
      </c>
      <c r="L110">
        <v>367.53250000000003</v>
      </c>
      <c r="M110">
        <v>0.99999169999999904</v>
      </c>
      <c r="N110">
        <v>0</v>
      </c>
      <c r="O110">
        <v>1.571762E-3</v>
      </c>
      <c r="P110">
        <v>0.99919249999999904</v>
      </c>
      <c r="Q110">
        <v>-7.588526E-3</v>
      </c>
      <c r="R110">
        <v>3.9458739999999999E-2</v>
      </c>
      <c r="S110">
        <v>3.0028990000000002</v>
      </c>
      <c r="T110">
        <v>-0.25301430000000003</v>
      </c>
      <c r="U110">
        <v>-5.1147459999999999E-2</v>
      </c>
      <c r="V110">
        <v>-3.7888539999999998E-2</v>
      </c>
      <c r="W110">
        <v>-3.8138099999999999E-3</v>
      </c>
      <c r="X110">
        <v>0.99927469999999996</v>
      </c>
      <c r="Y110">
        <v>1.8530540000000002E-2</v>
      </c>
      <c r="Z110">
        <v>-9.1141319999999998E-4</v>
      </c>
      <c r="AA110">
        <v>0.99982789999999999</v>
      </c>
      <c r="AB110">
        <v>17</v>
      </c>
      <c r="AC110">
        <v>0.68029999999998803</v>
      </c>
      <c r="AD110">
        <v>-7.14810000000001E-2</v>
      </c>
      <c r="AE110">
        <v>-1.53000000000247E-2</v>
      </c>
      <c r="AF110">
        <v>1.61905998678064E-2</v>
      </c>
      <c r="AG110">
        <v>-7.14810000000001E-2</v>
      </c>
      <c r="AH110">
        <v>0.67285040651874395</v>
      </c>
      <c r="AI110">
        <v>96.062392888302099</v>
      </c>
      <c r="AJ110">
        <v>88.621574644043093</v>
      </c>
      <c r="AK110">
        <v>0.676830361639841</v>
      </c>
    </row>
    <row r="111" spans="1:37" x14ac:dyDescent="0.2">
      <c r="A111" t="str">
        <f>"20200111155755253"</f>
        <v>20200111155755253</v>
      </c>
      <c r="B111" t="str">
        <f>"1578729475241094"</f>
        <v>1578729475241094</v>
      </c>
      <c r="C111" t="s">
        <v>37</v>
      </c>
      <c r="D111">
        <v>6.0956000000000001</v>
      </c>
      <c r="E111">
        <v>0.52264940000000004</v>
      </c>
      <c r="F111" t="s">
        <v>38</v>
      </c>
      <c r="G111">
        <v>-467.02620000000002</v>
      </c>
      <c r="H111">
        <v>1.031917</v>
      </c>
      <c r="I111">
        <v>367.51909999999998</v>
      </c>
      <c r="J111">
        <v>-467.6859</v>
      </c>
      <c r="K111">
        <v>1.1036549999999901</v>
      </c>
      <c r="L111">
        <v>367.53280000000001</v>
      </c>
      <c r="M111">
        <v>0.99998999999999905</v>
      </c>
      <c r="N111">
        <v>0</v>
      </c>
      <c r="O111">
        <v>1.597719E-3</v>
      </c>
      <c r="P111">
        <v>0.99917289999999903</v>
      </c>
      <c r="Q111">
        <v>-9.1680140000000004E-3</v>
      </c>
      <c r="R111">
        <v>3.9624819999999998E-2</v>
      </c>
      <c r="S111">
        <v>3.0023499999999999</v>
      </c>
      <c r="T111">
        <v>-0.2592739</v>
      </c>
      <c r="U111">
        <v>-4.8187260000000003E-2</v>
      </c>
      <c r="V111">
        <v>-3.8028909999999999E-2</v>
      </c>
      <c r="W111">
        <v>-4.9620949999999997E-3</v>
      </c>
      <c r="X111">
        <v>0.99926429999999999</v>
      </c>
      <c r="Y111">
        <v>1.7573950000000001E-2</v>
      </c>
      <c r="Z111">
        <v>-8.9506959999999995E-4</v>
      </c>
      <c r="AA111">
        <v>0.99984509999999904</v>
      </c>
      <c r="AB111">
        <v>17</v>
      </c>
      <c r="AC111">
        <v>0.65969999999998596</v>
      </c>
      <c r="AD111">
        <v>-7.1737999999999802E-2</v>
      </c>
      <c r="AE111">
        <v>-1.37000000000284E-2</v>
      </c>
      <c r="AF111">
        <v>1.45816514840016E-2</v>
      </c>
      <c r="AG111">
        <v>-7.1737999999999802E-2</v>
      </c>
      <c r="AH111">
        <v>0.65197095763275903</v>
      </c>
      <c r="AI111">
        <v>96.277581483758297</v>
      </c>
      <c r="AJ111">
        <v>88.718765282533298</v>
      </c>
      <c r="AK111">
        <v>0.65606790410793403</v>
      </c>
    </row>
    <row r="112" spans="1:37" x14ac:dyDescent="0.2">
      <c r="A112" t="str">
        <f>"20200111155755274"</f>
        <v>20200111155755274</v>
      </c>
      <c r="B112" t="str">
        <f>"1578729475271350"</f>
        <v>1578729475271350</v>
      </c>
      <c r="C112" t="s">
        <v>37</v>
      </c>
      <c r="D112">
        <v>6.1187670000000001</v>
      </c>
      <c r="E112">
        <v>0.5229703</v>
      </c>
      <c r="F112" t="s">
        <v>38</v>
      </c>
      <c r="G112">
        <v>-466.87560000000002</v>
      </c>
      <c r="H112">
        <v>1.0324120000000001</v>
      </c>
      <c r="I112">
        <v>367.51979999999998</v>
      </c>
      <c r="J112">
        <v>-467.52539999999999</v>
      </c>
      <c r="K112">
        <v>1.103747</v>
      </c>
      <c r="L112">
        <v>367.53309999999999</v>
      </c>
      <c r="M112">
        <v>0.99998829999999905</v>
      </c>
      <c r="N112">
        <v>0</v>
      </c>
      <c r="O112">
        <v>1.6226610000000001E-3</v>
      </c>
      <c r="P112">
        <v>0.99915259999999995</v>
      </c>
      <c r="Q112">
        <v>-1.027584E-2</v>
      </c>
      <c r="R112">
        <v>3.9859730000000003E-2</v>
      </c>
      <c r="S112">
        <v>3.0019529999999999</v>
      </c>
      <c r="T112">
        <v>-0.26416319999999999</v>
      </c>
      <c r="U112">
        <v>-4.6997070000000002E-2</v>
      </c>
      <c r="V112">
        <v>-3.8238420000000002E-2</v>
      </c>
      <c r="W112">
        <v>-5.7042009999999999E-3</v>
      </c>
      <c r="X112">
        <v>0.99925239999999904</v>
      </c>
      <c r="Y112">
        <v>1.7203309999999999E-2</v>
      </c>
      <c r="Z112">
        <v>-8.9792229999999999E-4</v>
      </c>
      <c r="AA112">
        <v>0.99985159999999995</v>
      </c>
      <c r="AB112">
        <v>17</v>
      </c>
      <c r="AC112">
        <v>0.64979999999996996</v>
      </c>
      <c r="AD112">
        <v>-7.1334999999999898E-2</v>
      </c>
      <c r="AE112">
        <v>-1.33000000000151E-2</v>
      </c>
      <c r="AF112">
        <v>1.41835353659788E-2</v>
      </c>
      <c r="AG112">
        <v>-7.1334999999999898E-2</v>
      </c>
      <c r="AH112">
        <v>0.64204313452759998</v>
      </c>
      <c r="AI112">
        <v>96.338382319249703</v>
      </c>
      <c r="AJ112">
        <v>88.7344704560048</v>
      </c>
      <c r="AK112">
        <v>0.646149550409581</v>
      </c>
    </row>
    <row r="113" spans="1:37" x14ac:dyDescent="0.2">
      <c r="A113" t="str">
        <f>"20200111155755296"</f>
        <v>20200111155755296</v>
      </c>
      <c r="B113" t="str">
        <f>"1578729475290871"</f>
        <v>1578729475290871</v>
      </c>
      <c r="C113" t="s">
        <v>37</v>
      </c>
      <c r="D113">
        <v>6.1388379999999998</v>
      </c>
      <c r="E113">
        <v>0.52146239999999999</v>
      </c>
      <c r="F113" t="s">
        <v>38</v>
      </c>
      <c r="G113">
        <v>-466.7242</v>
      </c>
      <c r="H113">
        <v>1.0333760000000001</v>
      </c>
      <c r="I113">
        <v>367.51960000000003</v>
      </c>
      <c r="J113">
        <v>-467.35250000000002</v>
      </c>
      <c r="K113">
        <v>1.103818</v>
      </c>
      <c r="L113">
        <v>367.53339999999997</v>
      </c>
      <c r="M113">
        <v>0.99998659999999995</v>
      </c>
      <c r="N113">
        <v>0</v>
      </c>
      <c r="O113">
        <v>1.649303E-3</v>
      </c>
      <c r="P113">
        <v>0.99914099999999995</v>
      </c>
      <c r="Q113">
        <v>-9.9155440000000001E-3</v>
      </c>
      <c r="R113">
        <v>4.0241470000000001E-2</v>
      </c>
      <c r="S113">
        <v>3.0018009999999999</v>
      </c>
      <c r="T113">
        <v>-0.26387240000000001</v>
      </c>
      <c r="U113">
        <v>-4.9194340000000003E-2</v>
      </c>
      <c r="V113">
        <v>-3.8593549999999997E-2</v>
      </c>
      <c r="W113">
        <v>-4.9937280000000002E-3</v>
      </c>
      <c r="X113">
        <v>0.99924249999999903</v>
      </c>
      <c r="Y113">
        <v>1.7959559999999999E-2</v>
      </c>
      <c r="Z113">
        <v>-9.3248850000000004E-4</v>
      </c>
      <c r="AA113">
        <v>0.99983829999999996</v>
      </c>
      <c r="AB113">
        <v>17</v>
      </c>
      <c r="AC113">
        <v>0.62830000000002395</v>
      </c>
      <c r="AD113">
        <v>-7.0441999999999894E-2</v>
      </c>
      <c r="AE113">
        <v>-1.3799999999946499E-2</v>
      </c>
      <c r="AF113">
        <v>1.46521644430958E-2</v>
      </c>
      <c r="AG113">
        <v>-7.0441999999999894E-2</v>
      </c>
      <c r="AH113">
        <v>0.62048081020846801</v>
      </c>
      <c r="AI113">
        <v>96.475159182437096</v>
      </c>
      <c r="AJ113">
        <v>88.647256810136</v>
      </c>
      <c r="AK113">
        <v>0.62463845312614596</v>
      </c>
    </row>
    <row r="114" spans="1:37" x14ac:dyDescent="0.2">
      <c r="A114" t="str">
        <f>"20200111155755319"</f>
        <v>20200111155755319</v>
      </c>
      <c r="B114" t="str">
        <f>"1578729475311367"</f>
        <v>1578729475311367</v>
      </c>
      <c r="C114" t="s">
        <v>37</v>
      </c>
      <c r="D114">
        <v>6.1353400000000002</v>
      </c>
      <c r="E114">
        <v>0.52188789999999996</v>
      </c>
      <c r="F114" t="s">
        <v>38</v>
      </c>
      <c r="G114">
        <v>-466.57199999999898</v>
      </c>
      <c r="H114">
        <v>1.0347200000000001</v>
      </c>
      <c r="I114">
        <v>367.524</v>
      </c>
      <c r="J114">
        <v>-467.18419999999998</v>
      </c>
      <c r="K114">
        <v>1.103899</v>
      </c>
      <c r="L114">
        <v>367.53370000000001</v>
      </c>
      <c r="M114">
        <v>0.99998489999999995</v>
      </c>
      <c r="N114">
        <v>0</v>
      </c>
      <c r="O114">
        <v>1.6753009999999999E-3</v>
      </c>
      <c r="P114">
        <v>0.99912069999999997</v>
      </c>
      <c r="Q114">
        <v>-8.7757369999999901E-3</v>
      </c>
      <c r="R114">
        <v>4.0997840000000001E-2</v>
      </c>
      <c r="S114">
        <v>3.0013429999999999</v>
      </c>
      <c r="T114">
        <v>-0.26582299999999998</v>
      </c>
      <c r="U114">
        <v>-3.5766600000000003E-2</v>
      </c>
      <c r="V114">
        <v>-3.9324209999999998E-2</v>
      </c>
      <c r="W114">
        <v>-3.5539719999999999E-3</v>
      </c>
      <c r="X114">
        <v>0.999220199999999</v>
      </c>
      <c r="Y114">
        <v>1.3531690000000001E-2</v>
      </c>
      <c r="Z114">
        <v>-7.4613119999999999E-4</v>
      </c>
      <c r="AA114">
        <v>0.99990809999999997</v>
      </c>
      <c r="AB114">
        <v>17</v>
      </c>
      <c r="AC114">
        <v>0.61220000000002905</v>
      </c>
      <c r="AD114">
        <v>-6.9178999999999796E-2</v>
      </c>
      <c r="AE114">
        <v>-9.7000000000093695E-3</v>
      </c>
      <c r="AF114">
        <v>1.05904229735034E-2</v>
      </c>
      <c r="AG114">
        <v>-6.9178999999999796E-2</v>
      </c>
      <c r="AH114">
        <v>0.60446630791191003</v>
      </c>
      <c r="AI114">
        <v>96.527896991632801</v>
      </c>
      <c r="AJ114">
        <v>88.996264214162807</v>
      </c>
      <c r="AK114">
        <v>0.60850423868730197</v>
      </c>
    </row>
    <row r="115" spans="1:37" x14ac:dyDescent="0.2">
      <c r="A115" t="str">
        <f>"20200111155755333"</f>
        <v>20200111155755333</v>
      </c>
      <c r="B115" t="str">
        <f>"1578729475330886"</f>
        <v>1578729475330886</v>
      </c>
      <c r="C115" t="s">
        <v>37</v>
      </c>
      <c r="D115">
        <v>6.1274660000000001</v>
      </c>
      <c r="E115">
        <v>0.52195219999999998</v>
      </c>
      <c r="F115" t="s">
        <v>38</v>
      </c>
      <c r="G115">
        <v>-466.41789999999997</v>
      </c>
      <c r="H115">
        <v>1.038624</v>
      </c>
      <c r="I115">
        <v>367.52420000000001</v>
      </c>
      <c r="J115">
        <v>-467.07380000000001</v>
      </c>
      <c r="K115">
        <v>1.103944</v>
      </c>
      <c r="L115">
        <v>367.53399999999999</v>
      </c>
      <c r="M115">
        <v>0.99998399999999998</v>
      </c>
      <c r="N115">
        <v>0</v>
      </c>
      <c r="O115">
        <v>1.691821E-3</v>
      </c>
      <c r="P115">
        <v>0.9990945</v>
      </c>
      <c r="Q115">
        <v>-8.2947779999999992E-3</v>
      </c>
      <c r="R115">
        <v>4.1733920000000001E-2</v>
      </c>
      <c r="S115">
        <v>3.0019529999999999</v>
      </c>
      <c r="T115">
        <v>-0.25576339999999997</v>
      </c>
      <c r="U115">
        <v>-3.7139890000000002E-2</v>
      </c>
      <c r="V115">
        <v>-4.0043750000000003E-2</v>
      </c>
      <c r="W115">
        <v>-2.8972770000000002E-3</v>
      </c>
      <c r="X115">
        <v>0.99919369999999996</v>
      </c>
      <c r="Y115">
        <v>1.40057999999999E-2</v>
      </c>
      <c r="Z115">
        <v>-7.3941619999999997E-4</v>
      </c>
      <c r="AA115">
        <v>0.9999017</v>
      </c>
      <c r="AB115">
        <v>17</v>
      </c>
      <c r="AC115">
        <v>0.65590000000003101</v>
      </c>
      <c r="AD115">
        <v>-6.5320000000000003E-2</v>
      </c>
      <c r="AE115">
        <v>-9.7999999999842605E-3</v>
      </c>
      <c r="AF115">
        <v>1.08025534526923E-2</v>
      </c>
      <c r="AG115">
        <v>-6.5320000000000003E-2</v>
      </c>
      <c r="AH115">
        <v>0.64944284865457302</v>
      </c>
      <c r="AI115">
        <v>95.742620719069393</v>
      </c>
      <c r="AJ115">
        <v>89.047054487375206</v>
      </c>
      <c r="AK115">
        <v>0.65280886270765703</v>
      </c>
    </row>
    <row r="116" spans="1:37" x14ac:dyDescent="0.2">
      <c r="A116" t="str">
        <f>"20200111155755354"</f>
        <v>20200111155755354</v>
      </c>
      <c r="B116" t="str">
        <f>"1578729475351382"</f>
        <v>1578729475351382</v>
      </c>
      <c r="C116" t="s">
        <v>37</v>
      </c>
      <c r="D116">
        <v>6.1050040000000001</v>
      </c>
      <c r="E116">
        <v>0.52165059999999996</v>
      </c>
      <c r="F116" t="s">
        <v>38</v>
      </c>
      <c r="G116">
        <v>-466.26659999999998</v>
      </c>
      <c r="H116">
        <v>1.0352859999999999</v>
      </c>
      <c r="I116">
        <v>367.52420000000001</v>
      </c>
      <c r="J116">
        <v>-466.92070000000001</v>
      </c>
      <c r="K116">
        <v>1.103999</v>
      </c>
      <c r="L116">
        <v>367.5342</v>
      </c>
      <c r="M116">
        <v>0.999982699999999</v>
      </c>
      <c r="N116">
        <v>0</v>
      </c>
      <c r="O116">
        <v>1.715168E-3</v>
      </c>
      <c r="P116">
        <v>0.99903120000000001</v>
      </c>
      <c r="Q116">
        <v>-6.5850149999999996E-3</v>
      </c>
      <c r="R116">
        <v>4.3512250000000002E-2</v>
      </c>
      <c r="S116">
        <v>3.002075</v>
      </c>
      <c r="T116">
        <v>-0.25559979999999999</v>
      </c>
      <c r="U116">
        <v>-3.5186769999999999E-2</v>
      </c>
      <c r="V116">
        <v>-4.1799089999999997E-2</v>
      </c>
      <c r="W116">
        <v>-9.6584030000000003E-4</v>
      </c>
      <c r="X116">
        <v>0.999125499999999</v>
      </c>
      <c r="Y116">
        <v>1.338046E-2</v>
      </c>
      <c r="Z116">
        <v>-7.1433039999999905E-4</v>
      </c>
      <c r="AA116">
        <v>0.99991019999999897</v>
      </c>
      <c r="AB116">
        <v>17</v>
      </c>
      <c r="AC116">
        <v>0.65410000000002799</v>
      </c>
      <c r="AD116">
        <v>-6.8712999999999802E-2</v>
      </c>
      <c r="AE116">
        <v>-9.9999999999908998E-3</v>
      </c>
      <c r="AF116">
        <v>1.10005271841881E-2</v>
      </c>
      <c r="AG116">
        <v>-6.8712999999999802E-2</v>
      </c>
      <c r="AH116">
        <v>0.64694424197179201</v>
      </c>
      <c r="AI116">
        <v>96.061878576996193</v>
      </c>
      <c r="AJ116">
        <v>89.025846425313503</v>
      </c>
      <c r="AK116">
        <v>0.65067606394256305</v>
      </c>
    </row>
    <row r="117" spans="1:37" x14ac:dyDescent="0.2">
      <c r="A117" t="str">
        <f>"20200111155755374"</f>
        <v>20200111155755374</v>
      </c>
      <c r="B117" t="str">
        <f>"1578729475370902"</f>
        <v>1578729475370902</v>
      </c>
      <c r="C117" t="s">
        <v>37</v>
      </c>
      <c r="D117">
        <v>6.084327</v>
      </c>
      <c r="E117">
        <v>0.52165059999999996</v>
      </c>
      <c r="F117" t="s">
        <v>38</v>
      </c>
      <c r="G117">
        <v>-466.11180000000002</v>
      </c>
      <c r="H117">
        <v>1.037955</v>
      </c>
      <c r="I117">
        <v>367.5265</v>
      </c>
      <c r="J117">
        <v>-466.75810000000001</v>
      </c>
      <c r="K117">
        <v>1.1040369999999999</v>
      </c>
      <c r="L117">
        <v>367.53460000000001</v>
      </c>
      <c r="M117">
        <v>0.99998149999999997</v>
      </c>
      <c r="N117">
        <v>0</v>
      </c>
      <c r="O117">
        <v>1.740124E-3</v>
      </c>
      <c r="P117">
        <v>0.99897409999999998</v>
      </c>
      <c r="Q117">
        <v>-4.6116209999999998E-3</v>
      </c>
      <c r="R117">
        <v>4.505311E-2</v>
      </c>
      <c r="S117">
        <v>3.0025019999999998</v>
      </c>
      <c r="T117">
        <v>-0.24516199999999999</v>
      </c>
      <c r="U117">
        <v>-2.7984620000000002E-2</v>
      </c>
      <c r="V117">
        <v>-4.3314520000000002E-2</v>
      </c>
      <c r="W117">
        <v>1.220528E-3</v>
      </c>
      <c r="X117">
        <v>0.99906079999999997</v>
      </c>
      <c r="Y117">
        <v>1.101764E-2</v>
      </c>
      <c r="Z117">
        <v>-5.9090110000000005E-4</v>
      </c>
      <c r="AA117">
        <v>0.99993909999999997</v>
      </c>
      <c r="AB117">
        <v>17</v>
      </c>
      <c r="AC117">
        <v>0.64629999999999599</v>
      </c>
      <c r="AD117">
        <v>-6.6082000000000196E-2</v>
      </c>
      <c r="AE117">
        <v>-8.1000000000130898E-3</v>
      </c>
      <c r="AF117">
        <v>9.1292236483200093E-3</v>
      </c>
      <c r="AG117">
        <v>-6.6082000000000196E-2</v>
      </c>
      <c r="AH117">
        <v>0.639599365166448</v>
      </c>
      <c r="AI117">
        <v>95.898147972713801</v>
      </c>
      <c r="AJ117">
        <v>89.182252989967907</v>
      </c>
      <c r="AK117">
        <v>0.64306883097359402</v>
      </c>
    </row>
    <row r="118" spans="1:37" x14ac:dyDescent="0.2">
      <c r="A118" t="str">
        <f>"20200111155755398"</f>
        <v>20200111155755398</v>
      </c>
      <c r="B118" t="str">
        <f>"1578729475391397"</f>
        <v>1578729475391397</v>
      </c>
      <c r="C118" t="s">
        <v>37</v>
      </c>
      <c r="D118">
        <v>6.0980879999999997</v>
      </c>
      <c r="E118">
        <v>0.49220159999999902</v>
      </c>
      <c r="F118" t="s">
        <v>38</v>
      </c>
      <c r="G118">
        <v>-465.95599999999899</v>
      </c>
      <c r="H118">
        <v>1.0401899999999999</v>
      </c>
      <c r="I118">
        <v>367.52800000000002</v>
      </c>
      <c r="J118">
        <v>-466.58019999999999</v>
      </c>
      <c r="K118">
        <v>1.104061</v>
      </c>
      <c r="L118">
        <v>367.53500000000003</v>
      </c>
      <c r="M118">
        <v>0.99998029999999904</v>
      </c>
      <c r="N118">
        <v>0</v>
      </c>
      <c r="O118">
        <v>1.7673319999999999E-3</v>
      </c>
      <c r="P118">
        <v>0.99894069999999902</v>
      </c>
      <c r="Q118">
        <v>-2.377536E-3</v>
      </c>
      <c r="R118">
        <v>4.5958300000000001E-2</v>
      </c>
      <c r="S118">
        <v>3.0030209999999999</v>
      </c>
      <c r="T118">
        <v>-0.2391904</v>
      </c>
      <c r="U118">
        <v>-2.3132320000000001E-2</v>
      </c>
      <c r="V118">
        <v>-4.4192710000000003E-2</v>
      </c>
      <c r="W118">
        <v>3.6647870000000001E-3</v>
      </c>
      <c r="X118">
        <v>0.99901629999999997</v>
      </c>
      <c r="Y118">
        <v>9.4346120000000002E-3</v>
      </c>
      <c r="Z118">
        <v>-5.1567940000000004E-4</v>
      </c>
      <c r="AA118">
        <v>0.99995540000000005</v>
      </c>
      <c r="AB118">
        <v>17</v>
      </c>
      <c r="AC118">
        <v>0.62420000000002995</v>
      </c>
      <c r="AD118">
        <v>-6.3870999999999997E-2</v>
      </c>
      <c r="AE118">
        <v>-7.0000000000049996E-3</v>
      </c>
      <c r="AF118">
        <v>8.0192244340011494E-3</v>
      </c>
      <c r="AG118">
        <v>-6.3870999999999997E-2</v>
      </c>
      <c r="AH118">
        <v>0.61771974425686205</v>
      </c>
      <c r="AI118">
        <v>95.9027984077524</v>
      </c>
      <c r="AJ118">
        <v>89.256229203805304</v>
      </c>
      <c r="AK118">
        <v>0.62106480744467096</v>
      </c>
    </row>
    <row r="119" spans="1:37" x14ac:dyDescent="0.2">
      <c r="A119" t="str">
        <f>"20200111155755420"</f>
        <v>20200111155755420</v>
      </c>
      <c r="B119" t="str">
        <f>"1578729475410918"</f>
        <v>1578729475410918</v>
      </c>
      <c r="C119" t="s">
        <v>37</v>
      </c>
      <c r="D119">
        <v>6.0910120000000001</v>
      </c>
      <c r="E119">
        <v>0.49274459999999998</v>
      </c>
      <c r="F119" t="s">
        <v>41</v>
      </c>
      <c r="G119">
        <v>-425.0145</v>
      </c>
      <c r="H119">
        <v>-0.05</v>
      </c>
      <c r="I119">
        <v>370.38170000000002</v>
      </c>
      <c r="J119">
        <v>-466.40530000000001</v>
      </c>
      <c r="K119">
        <v>1.1040620000000001</v>
      </c>
      <c r="L119">
        <v>367.53530000000001</v>
      </c>
      <c r="M119">
        <v>0.99997899999999995</v>
      </c>
      <c r="N119">
        <v>0</v>
      </c>
      <c r="O119">
        <v>1.794005E-3</v>
      </c>
      <c r="P119">
        <v>0.99896779999999996</v>
      </c>
      <c r="Q119">
        <v>-1.2207050000000001E-3</v>
      </c>
      <c r="R119">
        <v>4.5407219999999998E-2</v>
      </c>
      <c r="S119">
        <v>2.9935610000000001</v>
      </c>
      <c r="T119">
        <v>-8.3115460000000002E-2</v>
      </c>
      <c r="U119">
        <v>0.20501710000000001</v>
      </c>
      <c r="V119">
        <v>-4.3615090000000002E-2</v>
      </c>
      <c r="W119">
        <v>5.0051640000000003E-3</v>
      </c>
      <c r="X119">
        <v>0.99903589999999998</v>
      </c>
      <c r="Y119">
        <v>-6.6511199999999895E-2</v>
      </c>
      <c r="Z119">
        <v>8.7233380000000004E-4</v>
      </c>
      <c r="AA119">
        <v>0.99778529999999999</v>
      </c>
      <c r="AB119">
        <v>17</v>
      </c>
      <c r="AC119">
        <v>41.390799999999999</v>
      </c>
      <c r="AD119">
        <v>-1.1540619999999999</v>
      </c>
      <c r="AE119">
        <v>2.8464000000000098</v>
      </c>
      <c r="AF119">
        <v>-2.76999538854183</v>
      </c>
      <c r="AG119">
        <v>-1.1540619999999999</v>
      </c>
      <c r="AH119">
        <v>41.363834606407202</v>
      </c>
      <c r="AI119">
        <v>91.594583285634499</v>
      </c>
      <c r="AJ119">
        <v>93.831183398214705</v>
      </c>
      <c r="AK119">
        <v>41.472539672638703</v>
      </c>
    </row>
    <row r="120" spans="1:37" x14ac:dyDescent="0.2">
      <c r="A120" t="str">
        <f>"20200111155755510"</f>
        <v>20200111155755510</v>
      </c>
      <c r="B120" t="str">
        <f>"1578729475500710"</f>
        <v>1578729475500710</v>
      </c>
      <c r="C120" t="s">
        <v>37</v>
      </c>
      <c r="D120">
        <v>6.1117189999999999</v>
      </c>
      <c r="E120">
        <v>0.49241869999999999</v>
      </c>
      <c r="F120" t="s">
        <v>41</v>
      </c>
      <c r="G120">
        <v>-425.94889999999998</v>
      </c>
      <c r="H120">
        <v>-0.05</v>
      </c>
      <c r="I120">
        <v>370.2269</v>
      </c>
      <c r="J120">
        <v>-465.69889999999998</v>
      </c>
      <c r="K120">
        <v>1.1039829999999999</v>
      </c>
      <c r="L120">
        <v>367.53680000000003</v>
      </c>
      <c r="M120">
        <v>0.99997499999999995</v>
      </c>
      <c r="N120">
        <v>0</v>
      </c>
      <c r="O120">
        <v>1.9007429999999899E-3</v>
      </c>
      <c r="P120">
        <v>0.99927779999999999</v>
      </c>
      <c r="Q120">
        <v>-1.1483699999999999E-2</v>
      </c>
      <c r="R120">
        <v>3.622032E-2</v>
      </c>
      <c r="S120">
        <v>2.9939580000000001</v>
      </c>
      <c r="T120">
        <v>-8.5405709999999996E-2</v>
      </c>
      <c r="U120">
        <v>0.19918820000000001</v>
      </c>
      <c r="V120">
        <v>-3.4321169999999998E-2</v>
      </c>
      <c r="W120">
        <v>-4.6677999999999997E-3</v>
      </c>
      <c r="X120">
        <v>0.99939999999999996</v>
      </c>
      <c r="Y120">
        <v>-6.4461279999999996E-2</v>
      </c>
      <c r="Z120">
        <v>8.6406069999999996E-4</v>
      </c>
      <c r="AA120">
        <v>0.99791989999999997</v>
      </c>
      <c r="AB120">
        <v>18</v>
      </c>
      <c r="AC120">
        <v>39.75</v>
      </c>
      <c r="AD120">
        <v>-1.153983</v>
      </c>
      <c r="AE120">
        <v>2.69009999999997</v>
      </c>
      <c r="AF120">
        <v>-2.6123472049853</v>
      </c>
      <c r="AG120">
        <v>-1.153983</v>
      </c>
      <c r="AH120">
        <v>39.721716660763803</v>
      </c>
      <c r="AI120">
        <v>91.660486098276493</v>
      </c>
      <c r="AJ120">
        <v>93.762708336131197</v>
      </c>
      <c r="AK120">
        <v>39.824249009387302</v>
      </c>
    </row>
    <row r="121" spans="1:37" x14ac:dyDescent="0.2">
      <c r="A121" t="str">
        <f>"20200111155755532"</f>
        <v>20200111155755532</v>
      </c>
      <c r="B121" t="str">
        <f>"1578729475521206"</f>
        <v>1578729475521206</v>
      </c>
      <c r="C121" t="s">
        <v>37</v>
      </c>
      <c r="D121">
        <v>6.1244610000000002</v>
      </c>
      <c r="E121">
        <v>0.49329869999999998</v>
      </c>
      <c r="F121" t="s">
        <v>41</v>
      </c>
      <c r="G121">
        <v>-436.37599999999998</v>
      </c>
      <c r="H121">
        <v>-0.05</v>
      </c>
      <c r="I121">
        <v>369.23989999999998</v>
      </c>
      <c r="J121">
        <v>-465.52609999999999</v>
      </c>
      <c r="K121">
        <v>1.1039669999999999</v>
      </c>
      <c r="L121">
        <v>367.53730000000002</v>
      </c>
      <c r="M121">
        <v>0.99997420000000004</v>
      </c>
      <c r="N121">
        <v>0</v>
      </c>
      <c r="O121">
        <v>1.9271029999999899E-3</v>
      </c>
      <c r="P121">
        <v>0.99927069999999996</v>
      </c>
      <c r="Q121">
        <v>-1.436463E-2</v>
      </c>
      <c r="R121">
        <v>3.5385489999999999E-2</v>
      </c>
      <c r="S121">
        <v>2.994507</v>
      </c>
      <c r="T121">
        <v>-0.1178468</v>
      </c>
      <c r="U121">
        <v>0.17391970000000001</v>
      </c>
      <c r="V121">
        <v>-3.3459950000000002E-2</v>
      </c>
      <c r="W121">
        <v>-7.4324769999999998E-3</v>
      </c>
      <c r="X121">
        <v>0.99941239999999998</v>
      </c>
      <c r="Y121">
        <v>-5.6016120000000003E-2</v>
      </c>
      <c r="Z121">
        <v>1.0251380000000001E-3</v>
      </c>
      <c r="AA121">
        <v>0.99842940000000002</v>
      </c>
      <c r="AB121">
        <v>18</v>
      </c>
      <c r="AC121">
        <v>29.150099999999998</v>
      </c>
      <c r="AD121">
        <v>-1.153967</v>
      </c>
      <c r="AE121">
        <v>1.7025999999999599</v>
      </c>
      <c r="AF121">
        <v>-1.64385286580196</v>
      </c>
      <c r="AG121">
        <v>-1.153967</v>
      </c>
      <c r="AH121">
        <v>29.107866139253499</v>
      </c>
      <c r="AI121">
        <v>92.266666070950393</v>
      </c>
      <c r="AJ121">
        <v>93.232318400383605</v>
      </c>
      <c r="AK121">
        <v>29.177075988902502</v>
      </c>
    </row>
    <row r="122" spans="1:37" x14ac:dyDescent="0.2">
      <c r="A122" t="str">
        <f>"20200111155755554"</f>
        <v>20200111155755554</v>
      </c>
      <c r="B122" t="str">
        <f>"1578729475551462"</f>
        <v>1578729475551462</v>
      </c>
      <c r="C122" t="s">
        <v>37</v>
      </c>
      <c r="D122">
        <v>6.1015249999999996</v>
      </c>
      <c r="E122">
        <v>0.4939209</v>
      </c>
      <c r="F122" t="s">
        <v>39</v>
      </c>
      <c r="G122">
        <v>-441.66640000000001</v>
      </c>
      <c r="H122" s="1">
        <v>-4.0554089999999998E-6</v>
      </c>
      <c r="I122">
        <v>368.85210000000001</v>
      </c>
      <c r="J122">
        <v>-465.35019999999997</v>
      </c>
      <c r="K122">
        <v>1.103958</v>
      </c>
      <c r="L122">
        <v>367.53769999999997</v>
      </c>
      <c r="M122">
        <v>0.99997340000000001</v>
      </c>
      <c r="N122">
        <v>0</v>
      </c>
      <c r="O122">
        <v>1.954028E-3</v>
      </c>
      <c r="P122">
        <v>0.99921340000000003</v>
      </c>
      <c r="Q122">
        <v>-1.6594020000000001E-2</v>
      </c>
      <c r="R122">
        <v>3.602176E-2</v>
      </c>
      <c r="S122">
        <v>2.994354</v>
      </c>
      <c r="T122">
        <v>-0.13854659999999999</v>
      </c>
      <c r="U122">
        <v>0.1650085</v>
      </c>
      <c r="V122">
        <v>-3.406932E-2</v>
      </c>
      <c r="W122">
        <v>-9.554926E-3</v>
      </c>
      <c r="X122">
        <v>0.99937379999999998</v>
      </c>
      <c r="Y122">
        <v>-5.3017399999999999E-2</v>
      </c>
      <c r="Z122">
        <v>1.1346589999999899E-3</v>
      </c>
      <c r="AA122">
        <v>0.99859299999999995</v>
      </c>
      <c r="AB122">
        <v>18</v>
      </c>
      <c r="AC122">
        <v>23.683799999999898</v>
      </c>
      <c r="AD122">
        <v>-1.1039620554089999</v>
      </c>
      <c r="AE122">
        <v>1.31440000000003</v>
      </c>
      <c r="AF122">
        <v>-1.26537666111012</v>
      </c>
      <c r="AG122">
        <v>-1.1039620554089999</v>
      </c>
      <c r="AH122">
        <v>23.635128177927601</v>
      </c>
      <c r="AI122">
        <v>92.670439005017997</v>
      </c>
      <c r="AJ122">
        <v>93.064573653278501</v>
      </c>
      <c r="AK122">
        <v>23.694708149739501</v>
      </c>
    </row>
    <row r="123" spans="1:37" x14ac:dyDescent="0.2">
      <c r="A123" t="str">
        <f>"20200111155755576"</f>
        <v>20200111155755576</v>
      </c>
      <c r="B123" t="str">
        <f>"1578729475570982"</f>
        <v>1578729475570982</v>
      </c>
      <c r="C123" t="s">
        <v>37</v>
      </c>
      <c r="D123">
        <v>6.072819</v>
      </c>
      <c r="E123">
        <v>0.49441239999999997</v>
      </c>
      <c r="F123" t="s">
        <v>39</v>
      </c>
      <c r="G123">
        <v>-443.36399999999998</v>
      </c>
      <c r="H123" s="1">
        <v>-3.2751260000000001E-6</v>
      </c>
      <c r="I123">
        <v>368.72699999999998</v>
      </c>
      <c r="J123">
        <v>-465.17469999999997</v>
      </c>
      <c r="K123">
        <v>1.1039570000000001</v>
      </c>
      <c r="L123">
        <v>367.53809999999999</v>
      </c>
      <c r="M123">
        <v>0.99997259999999999</v>
      </c>
      <c r="N123">
        <v>0</v>
      </c>
      <c r="O123">
        <v>1.9807940000000001E-3</v>
      </c>
      <c r="P123">
        <v>0.99915949999999998</v>
      </c>
      <c r="Q123">
        <v>-1.753089E-2</v>
      </c>
      <c r="R123">
        <v>3.7057319999999998E-2</v>
      </c>
      <c r="S123">
        <v>2.99401899999999</v>
      </c>
      <c r="T123">
        <v>-0.15033389999999999</v>
      </c>
      <c r="U123">
        <v>0.16195680000000001</v>
      </c>
      <c r="V123">
        <v>-3.5078320000000003E-2</v>
      </c>
      <c r="W123">
        <v>-1.0392210000000001E-2</v>
      </c>
      <c r="X123">
        <v>0.99933050000000001</v>
      </c>
      <c r="Y123">
        <v>-5.197363E-2</v>
      </c>
      <c r="Z123">
        <v>1.203738E-3</v>
      </c>
      <c r="AA123">
        <v>0.99864769999999903</v>
      </c>
      <c r="AB123">
        <v>18</v>
      </c>
      <c r="AC123">
        <v>21.810699999999901</v>
      </c>
      <c r="AD123">
        <v>-1.103960275126</v>
      </c>
      <c r="AE123">
        <v>1.1888999999999801</v>
      </c>
      <c r="AF123">
        <v>-1.1427750257678</v>
      </c>
      <c r="AG123">
        <v>-1.103960275126</v>
      </c>
      <c r="AH123">
        <v>21.757436287521301</v>
      </c>
      <c r="AI123">
        <v>92.900673710779401</v>
      </c>
      <c r="AJ123">
        <v>93.006607698397104</v>
      </c>
      <c r="AK123">
        <v>21.815377531780801</v>
      </c>
    </row>
    <row r="124" spans="1:37" x14ac:dyDescent="0.2">
      <c r="A124" t="str">
        <f>"20200111155755599"</f>
        <v>20200111155755599</v>
      </c>
      <c r="B124" t="str">
        <f>"1578729475591477"</f>
        <v>1578729475591477</v>
      </c>
      <c r="C124" t="s">
        <v>37</v>
      </c>
      <c r="D124">
        <v>6.0985440000000004</v>
      </c>
      <c r="E124">
        <v>0.4949827</v>
      </c>
      <c r="F124" t="s">
        <v>39</v>
      </c>
      <c r="G124">
        <v>-444.58099999999899</v>
      </c>
      <c r="H124" s="1">
        <v>-2.7140210000000001E-6</v>
      </c>
      <c r="I124">
        <v>368.64690000000002</v>
      </c>
      <c r="J124">
        <v>-464.98860000000002</v>
      </c>
      <c r="K124">
        <v>1.103969</v>
      </c>
      <c r="L124">
        <v>367.5385</v>
      </c>
      <c r="M124">
        <v>0.99997169999999902</v>
      </c>
      <c r="N124">
        <v>0</v>
      </c>
      <c r="O124">
        <v>2.008742E-3</v>
      </c>
      <c r="P124">
        <v>0.99912699999999999</v>
      </c>
      <c r="Q124">
        <v>-1.7338119999999999E-2</v>
      </c>
      <c r="R124">
        <v>3.8008409999999999E-2</v>
      </c>
      <c r="S124">
        <v>2.9937130000000001</v>
      </c>
      <c r="T124">
        <v>-0.16048289999999901</v>
      </c>
      <c r="U124">
        <v>0.1611938</v>
      </c>
      <c r="V124">
        <v>-3.6001909999999998E-2</v>
      </c>
      <c r="W124">
        <v>-1.0098009999999999E-2</v>
      </c>
      <c r="X124">
        <v>0.99930069999999904</v>
      </c>
      <c r="Y124">
        <v>-5.1689119999999998E-2</v>
      </c>
      <c r="Z124">
        <v>1.275918E-3</v>
      </c>
      <c r="AA124">
        <v>0.99866239999999995</v>
      </c>
      <c r="AB124">
        <v>18</v>
      </c>
      <c r="AC124">
        <v>20.407599999999999</v>
      </c>
      <c r="AD124">
        <v>-1.1039717140209999</v>
      </c>
      <c r="AE124">
        <v>1.10840000000001</v>
      </c>
      <c r="AF124">
        <v>-1.06429769475368</v>
      </c>
      <c r="AG124">
        <v>-1.1039717140209999</v>
      </c>
      <c r="AH124">
        <v>20.350407329188201</v>
      </c>
      <c r="AI124">
        <v>93.100916220550602</v>
      </c>
      <c r="AJ124">
        <v>92.993761255176196</v>
      </c>
      <c r="AK124">
        <v>20.408100391567402</v>
      </c>
    </row>
    <row r="125" spans="1:37" x14ac:dyDescent="0.2">
      <c r="A125" t="str">
        <f>"20200111155755620"</f>
        <v>20200111155755620</v>
      </c>
      <c r="B125" t="str">
        <f>"1578729475610997"</f>
        <v>1578729475610997</v>
      </c>
      <c r="C125" t="s">
        <v>37</v>
      </c>
      <c r="D125">
        <v>6.1462389999999996</v>
      </c>
      <c r="E125">
        <v>0.49552069999999998</v>
      </c>
      <c r="F125" t="s">
        <v>39</v>
      </c>
      <c r="G125">
        <v>-444.9633</v>
      </c>
      <c r="H125" s="1">
        <v>-2.5406389999999999E-6</v>
      </c>
      <c r="I125">
        <v>368.60570000000001</v>
      </c>
      <c r="J125">
        <v>-464.82010000000002</v>
      </c>
      <c r="K125">
        <v>1.1039889999999899</v>
      </c>
      <c r="L125">
        <v>367.53890000000001</v>
      </c>
      <c r="M125">
        <v>0.99997099999999906</v>
      </c>
      <c r="N125">
        <v>0</v>
      </c>
      <c r="O125">
        <v>2.0343430000000001E-3</v>
      </c>
      <c r="P125">
        <v>0.99910359999999998</v>
      </c>
      <c r="Q125">
        <v>-1.6240250000000001E-2</v>
      </c>
      <c r="R125">
        <v>3.9093839999999998E-2</v>
      </c>
      <c r="S125">
        <v>2.9937130000000001</v>
      </c>
      <c r="T125">
        <v>-0.165039299999999</v>
      </c>
      <c r="U125">
        <v>0.15954589999999999</v>
      </c>
      <c r="V125">
        <v>-3.7061089999999998E-2</v>
      </c>
      <c r="W125">
        <v>-8.9108090000000004E-3</v>
      </c>
      <c r="X125">
        <v>0.99927330000000003</v>
      </c>
      <c r="Y125">
        <v>-5.1112190000000002E-2</v>
      </c>
      <c r="Z125">
        <v>1.2948199999999999E-3</v>
      </c>
      <c r="AA125">
        <v>0.99869209999999997</v>
      </c>
      <c r="AB125">
        <v>18</v>
      </c>
      <c r="AC125">
        <v>19.8568</v>
      </c>
      <c r="AD125">
        <v>-1.103991540639</v>
      </c>
      <c r="AE125">
        <v>1.0668</v>
      </c>
      <c r="AF125">
        <v>-1.02324730637084</v>
      </c>
      <c r="AG125">
        <v>-1.103991540639</v>
      </c>
      <c r="AH125">
        <v>19.7979080307144</v>
      </c>
      <c r="AI125">
        <v>93.187435728612598</v>
      </c>
      <c r="AJ125">
        <v>92.958677824740406</v>
      </c>
      <c r="AK125">
        <v>19.855049603675798</v>
      </c>
    </row>
    <row r="126" spans="1:37" x14ac:dyDescent="0.2">
      <c r="A126" t="str">
        <f>"20200111155755642"</f>
        <v>20200111155755642</v>
      </c>
      <c r="B126" t="str">
        <f>"1578729475631493"</f>
        <v>1578729475631493</v>
      </c>
      <c r="C126" t="s">
        <v>37</v>
      </c>
      <c r="D126">
        <v>6.1292089999999897</v>
      </c>
      <c r="E126">
        <v>0.49579649999999997</v>
      </c>
      <c r="F126" t="s">
        <v>39</v>
      </c>
      <c r="G126">
        <v>-444.82089999999999</v>
      </c>
      <c r="H126" s="1">
        <v>-2.6094829999999999E-6</v>
      </c>
      <c r="I126">
        <v>368.59699999999998</v>
      </c>
      <c r="J126">
        <v>-464.64260000000002</v>
      </c>
      <c r="K126">
        <v>1.1040299999999901</v>
      </c>
      <c r="L126">
        <v>367.53930000000003</v>
      </c>
      <c r="M126">
        <v>0.99997039999999904</v>
      </c>
      <c r="N126">
        <v>0</v>
      </c>
      <c r="O126">
        <v>2.061429E-3</v>
      </c>
      <c r="P126">
        <v>0.99908109999999895</v>
      </c>
      <c r="Q126">
        <v>-1.4109899999999899E-2</v>
      </c>
      <c r="R126">
        <v>4.0475749999999998E-2</v>
      </c>
      <c r="S126">
        <v>2.993805</v>
      </c>
      <c r="T126">
        <v>-0.1652632</v>
      </c>
      <c r="U126">
        <v>0.1583862</v>
      </c>
      <c r="V126">
        <v>-3.8415909999999998E-2</v>
      </c>
      <c r="W126">
        <v>-6.6910229999999999E-3</v>
      </c>
      <c r="X126">
        <v>0.9992394</v>
      </c>
      <c r="Y126">
        <v>-5.0698229999999997E-2</v>
      </c>
      <c r="Z126">
        <v>1.2836449999999999E-3</v>
      </c>
      <c r="AA126">
        <v>0.99871319999999997</v>
      </c>
      <c r="AB126">
        <v>18</v>
      </c>
      <c r="AC126">
        <v>19.8217</v>
      </c>
      <c r="AD126">
        <v>-1.10403260948299</v>
      </c>
      <c r="AE126">
        <v>1.0576999999999499</v>
      </c>
      <c r="AF126">
        <v>-1.01369974379553</v>
      </c>
      <c r="AG126">
        <v>-1.10403260948299</v>
      </c>
      <c r="AH126">
        <v>19.7627028095757</v>
      </c>
      <c r="AI126">
        <v>93.193284607881907</v>
      </c>
      <c r="AJ126">
        <v>92.936332162644106</v>
      </c>
      <c r="AK126">
        <v>19.8194575484039</v>
      </c>
    </row>
    <row r="127" spans="1:37" x14ac:dyDescent="0.2">
      <c r="A127" t="str">
        <f>"20200111155755658"</f>
        <v>20200111155755658</v>
      </c>
      <c r="B127" t="str">
        <f>"1578729475651014"</f>
        <v>1578729475651014</v>
      </c>
      <c r="C127" t="s">
        <v>37</v>
      </c>
      <c r="D127">
        <v>6.1734999999999998</v>
      </c>
      <c r="E127">
        <v>0.49611359999999899</v>
      </c>
      <c r="F127" t="s">
        <v>39</v>
      </c>
      <c r="G127">
        <v>-444.02249999999998</v>
      </c>
      <c r="H127" s="1">
        <v>-2.978672E-6</v>
      </c>
      <c r="I127">
        <v>368.64339999999999</v>
      </c>
      <c r="J127">
        <v>-464.51369999999997</v>
      </c>
      <c r="K127">
        <v>1.1040479999999999</v>
      </c>
      <c r="L127">
        <v>367.53960000000001</v>
      </c>
      <c r="M127">
        <v>0.99996980000000002</v>
      </c>
      <c r="N127">
        <v>0</v>
      </c>
      <c r="O127">
        <v>2.081112E-3</v>
      </c>
      <c r="P127">
        <v>0.99906550000000005</v>
      </c>
      <c r="Q127">
        <v>-1.2848409999999999E-2</v>
      </c>
      <c r="R127">
        <v>4.1267860000000003E-2</v>
      </c>
      <c r="S127">
        <v>2.9939269999999998</v>
      </c>
      <c r="T127">
        <v>-0.16029939999999901</v>
      </c>
      <c r="U127">
        <v>0.1603088</v>
      </c>
      <c r="V127">
        <v>-3.9188569999999999E-2</v>
      </c>
      <c r="W127">
        <v>-5.3695669999999996E-3</v>
      </c>
      <c r="X127">
        <v>0.99921740000000003</v>
      </c>
      <c r="Y127">
        <v>-5.1319450000000003E-2</v>
      </c>
      <c r="Z127">
        <v>1.260628E-3</v>
      </c>
      <c r="AA127">
        <v>0.9986815</v>
      </c>
      <c r="AB127">
        <v>18</v>
      </c>
      <c r="AC127">
        <v>20.4911999999999</v>
      </c>
      <c r="AD127">
        <v>-1.1040509786720001</v>
      </c>
      <c r="AE127">
        <v>1.1037999999999699</v>
      </c>
      <c r="AF127">
        <v>-1.05808921101381</v>
      </c>
      <c r="AG127">
        <v>-1.1040509786720001</v>
      </c>
      <c r="AH127">
        <v>20.434304150579099</v>
      </c>
      <c r="AI127">
        <v>93.088513787384997</v>
      </c>
      <c r="AJ127">
        <v>92.964130880075402</v>
      </c>
      <c r="AK127">
        <v>20.4914437622229</v>
      </c>
    </row>
    <row r="128" spans="1:37" x14ac:dyDescent="0.2">
      <c r="A128" t="str">
        <f>"20200111155755676"</f>
        <v>20200111155755676</v>
      </c>
      <c r="B128" t="str">
        <f>"1578729475671042"</f>
        <v>1578729475671042</v>
      </c>
      <c r="C128" t="s">
        <v>37</v>
      </c>
      <c r="D128">
        <v>6.1035550000000001</v>
      </c>
      <c r="E128">
        <v>0.4963669</v>
      </c>
      <c r="F128" t="s">
        <v>39</v>
      </c>
      <c r="G128">
        <v>-443.67910000000001</v>
      </c>
      <c r="H128" s="1">
        <v>-3.1390150000000001E-6</v>
      </c>
      <c r="I128">
        <v>368.65449999999998</v>
      </c>
      <c r="J128">
        <v>-464.36250000000001</v>
      </c>
      <c r="K128">
        <v>1.10408</v>
      </c>
      <c r="L128">
        <v>367.54</v>
      </c>
      <c r="M128">
        <v>0.99996939999999901</v>
      </c>
      <c r="N128">
        <v>0</v>
      </c>
      <c r="O128">
        <v>2.1041110000000001E-3</v>
      </c>
      <c r="P128">
        <v>0.99900339999999999</v>
      </c>
      <c r="Q128">
        <v>-9.9768859999999904E-3</v>
      </c>
      <c r="R128">
        <v>4.350706E-2</v>
      </c>
      <c r="S128">
        <v>2.9941709999999899</v>
      </c>
      <c r="T128">
        <v>-0.15866449999999899</v>
      </c>
      <c r="U128">
        <v>0.16021729999999901</v>
      </c>
      <c r="V128">
        <v>-4.1404990000000003E-2</v>
      </c>
      <c r="W128">
        <v>-2.433213E-3</v>
      </c>
      <c r="X128">
        <v>0.99913949999999996</v>
      </c>
      <c r="Y128">
        <v>-5.1263240000000002E-2</v>
      </c>
      <c r="Z128">
        <v>1.2449850000000001E-3</v>
      </c>
      <c r="AA128">
        <v>0.99868440000000003</v>
      </c>
      <c r="AB128">
        <v>18</v>
      </c>
      <c r="AC128">
        <v>20.683399999999999</v>
      </c>
      <c r="AD128">
        <v>-1.1040831390150001</v>
      </c>
      <c r="AE128">
        <v>1.1144999999999601</v>
      </c>
      <c r="AF128">
        <v>-1.06794190004653</v>
      </c>
      <c r="AG128">
        <v>-1.1040831390150001</v>
      </c>
      <c r="AH128">
        <v>20.627093778957502</v>
      </c>
      <c r="AI128">
        <v>93.059792277016896</v>
      </c>
      <c r="AJ128">
        <v>92.963770837101904</v>
      </c>
      <c r="AK128">
        <v>20.684208886143999</v>
      </c>
    </row>
    <row r="129" spans="1:37" x14ac:dyDescent="0.2">
      <c r="A129" t="str">
        <f>"20200111155755700"</f>
        <v>20200111155755700</v>
      </c>
      <c r="B129" t="str">
        <f>"1578729475691537"</f>
        <v>1578729475691537</v>
      </c>
      <c r="C129" t="s">
        <v>37</v>
      </c>
      <c r="D129">
        <v>6.1337919999999997</v>
      </c>
      <c r="E129">
        <v>0.49621599999999999</v>
      </c>
      <c r="F129" t="s">
        <v>39</v>
      </c>
      <c r="G129">
        <v>-442.60980000000001</v>
      </c>
      <c r="H129" s="1">
        <v>-3.6296489999999998E-6</v>
      </c>
      <c r="I129">
        <v>368.73809999999997</v>
      </c>
      <c r="J129">
        <v>-464.17270000000002</v>
      </c>
      <c r="K129">
        <v>1.1041099999999999</v>
      </c>
      <c r="L129">
        <v>367.54050000000001</v>
      </c>
      <c r="M129">
        <v>0.99996870000000004</v>
      </c>
      <c r="N129">
        <v>0</v>
      </c>
      <c r="O129">
        <v>2.1327989999999999E-3</v>
      </c>
      <c r="P129">
        <v>0.99889359999999905</v>
      </c>
      <c r="Q129">
        <v>-6.7192989999999998E-3</v>
      </c>
      <c r="R129">
        <v>4.654759E-2</v>
      </c>
      <c r="S129">
        <v>2.9942630000000001</v>
      </c>
      <c r="T129">
        <v>-0.15197720000000001</v>
      </c>
      <c r="U129">
        <v>0.16491700000000001</v>
      </c>
      <c r="V129">
        <v>-4.4416879999999999E-2</v>
      </c>
      <c r="W129">
        <v>8.9770949999999996E-4</v>
      </c>
      <c r="X129">
        <v>0.99901269999999998</v>
      </c>
      <c r="Y129">
        <v>-5.2799529999999997E-2</v>
      </c>
      <c r="Z129">
        <v>1.2299730000000001E-3</v>
      </c>
      <c r="AA129">
        <v>0.99860439999999995</v>
      </c>
      <c r="AB129">
        <v>18</v>
      </c>
      <c r="AC129">
        <v>21.562899999999999</v>
      </c>
      <c r="AD129">
        <v>-1.104113629649</v>
      </c>
      <c r="AE129">
        <v>1.19759999999996</v>
      </c>
      <c r="AF129">
        <v>-1.1486043649412201</v>
      </c>
      <c r="AG129">
        <v>-1.104113629649</v>
      </c>
      <c r="AH129">
        <v>21.509184141314801</v>
      </c>
      <c r="AI129">
        <v>92.934365353439802</v>
      </c>
      <c r="AJ129">
        <v>93.056728391497202</v>
      </c>
      <c r="AK129">
        <v>21.5681098225905</v>
      </c>
    </row>
    <row r="130" spans="1:37" x14ac:dyDescent="0.2">
      <c r="A130" t="str">
        <f>"20200111155755720"</f>
        <v>20200111155755720</v>
      </c>
      <c r="B130" t="str">
        <f>"1578729475711056"</f>
        <v>1578729475711056</v>
      </c>
      <c r="C130" t="s">
        <v>37</v>
      </c>
      <c r="D130">
        <v>6.2078709999999999</v>
      </c>
      <c r="E130">
        <v>0.49665870000000001</v>
      </c>
      <c r="F130" t="s">
        <v>39</v>
      </c>
      <c r="G130">
        <v>-440.6592</v>
      </c>
      <c r="H130" s="1">
        <v>-4.5206730000000001E-6</v>
      </c>
      <c r="I130">
        <v>368.91320000000002</v>
      </c>
      <c r="J130">
        <v>-464.00110000000001</v>
      </c>
      <c r="K130">
        <v>1.1041239999999899</v>
      </c>
      <c r="L130">
        <v>367.54090000000002</v>
      </c>
      <c r="M130">
        <v>0.99996819999999897</v>
      </c>
      <c r="N130">
        <v>0</v>
      </c>
      <c r="O130">
        <v>2.1589740000000001E-3</v>
      </c>
      <c r="P130">
        <v>0.99877280000000002</v>
      </c>
      <c r="Q130">
        <v>-4.0780790000000001E-3</v>
      </c>
      <c r="R130">
        <v>4.9363270000000001E-2</v>
      </c>
      <c r="S130">
        <v>2.9942319999999998</v>
      </c>
      <c r="T130">
        <v>-0.14059869999999999</v>
      </c>
      <c r="U130">
        <v>0.17480470000000001</v>
      </c>
      <c r="V130">
        <v>-4.7206970000000001E-2</v>
      </c>
      <c r="W130">
        <v>3.5975540000000002E-3</v>
      </c>
      <c r="X130">
        <v>0.99887870000000001</v>
      </c>
      <c r="Y130">
        <v>-5.606655E-2</v>
      </c>
      <c r="Z130">
        <v>1.213265E-3</v>
      </c>
      <c r="AA130">
        <v>0.99842629999999999</v>
      </c>
      <c r="AB130">
        <v>18</v>
      </c>
      <c r="AC130">
        <v>23.341899999999999</v>
      </c>
      <c r="AD130">
        <v>-1.1041285206729901</v>
      </c>
      <c r="AE130">
        <v>1.3722999999999901</v>
      </c>
      <c r="AF130">
        <v>-1.3189597283807499</v>
      </c>
      <c r="AG130">
        <v>-1.1041285206729901</v>
      </c>
      <c r="AH130">
        <v>23.292869713022998</v>
      </c>
      <c r="AI130">
        <v>92.709568855712604</v>
      </c>
      <c r="AJ130">
        <v>93.240914999514203</v>
      </c>
      <c r="AK130">
        <v>23.356295383110702</v>
      </c>
    </row>
    <row r="131" spans="1:37" x14ac:dyDescent="0.2">
      <c r="A131" t="str">
        <f>"20200111155755743"</f>
        <v>20200111155755743</v>
      </c>
      <c r="B131" t="str">
        <f>"1578729475731553"</f>
        <v>1578729475731553</v>
      </c>
      <c r="C131" t="s">
        <v>37</v>
      </c>
      <c r="D131">
        <v>6.1407749999999997</v>
      </c>
      <c r="E131">
        <v>0.49663559999999901</v>
      </c>
      <c r="F131" t="s">
        <v>41</v>
      </c>
      <c r="G131">
        <v>-438.39940000000001</v>
      </c>
      <c r="H131">
        <v>-0.05</v>
      </c>
      <c r="I131">
        <v>369.0788</v>
      </c>
      <c r="J131">
        <v>-463.82229999999998</v>
      </c>
      <c r="K131">
        <v>1.1041219999999901</v>
      </c>
      <c r="L131">
        <v>367.54129999999998</v>
      </c>
      <c r="M131">
        <v>0.99996779999999996</v>
      </c>
      <c r="N131">
        <v>0</v>
      </c>
      <c r="O131">
        <v>2.186056E-3</v>
      </c>
      <c r="P131">
        <v>0.99863979999999997</v>
      </c>
      <c r="Q131">
        <v>-3.5077799999999998E-3</v>
      </c>
      <c r="R131">
        <v>5.2023140000000002E-2</v>
      </c>
      <c r="S131">
        <v>2.9942929999999999</v>
      </c>
      <c r="T131">
        <v>-0.13498250000000001</v>
      </c>
      <c r="U131">
        <v>0.17987059999999999</v>
      </c>
      <c r="V131">
        <v>-4.9839679999999997E-2</v>
      </c>
      <c r="W131">
        <v>4.2226829999999996E-3</v>
      </c>
      <c r="X131">
        <v>0.99874830000000003</v>
      </c>
      <c r="Y131">
        <v>-5.7724520000000001E-2</v>
      </c>
      <c r="Z131">
        <v>1.200869E-3</v>
      </c>
      <c r="AA131">
        <v>0.99833179999999999</v>
      </c>
      <c r="AB131">
        <v>18</v>
      </c>
      <c r="AC131">
        <v>25.422899999999899</v>
      </c>
      <c r="AD131">
        <v>-1.1541219999999901</v>
      </c>
      <c r="AE131">
        <v>1.5375000000000201</v>
      </c>
      <c r="AF131">
        <v>-1.4788820903447699</v>
      </c>
      <c r="AG131">
        <v>-1.1541219999999901</v>
      </c>
      <c r="AH131">
        <v>25.374097936590299</v>
      </c>
      <c r="AI131">
        <v>92.599855112242196</v>
      </c>
      <c r="AJ131">
        <v>93.335604394834604</v>
      </c>
      <c r="AK131">
        <v>25.443347576993599</v>
      </c>
    </row>
    <row r="132" spans="1:37" x14ac:dyDescent="0.2">
      <c r="A132" t="str">
        <f>"20200111155755766"</f>
        <v>20200111155755766</v>
      </c>
      <c r="B132" t="str">
        <f>"1578729475760834"</f>
        <v>1578729475760834</v>
      </c>
      <c r="C132" t="s">
        <v>37</v>
      </c>
      <c r="D132">
        <v>6.2138309999999999</v>
      </c>
      <c r="E132">
        <v>0.51924939999999997</v>
      </c>
      <c r="F132" t="s">
        <v>41</v>
      </c>
      <c r="G132">
        <v>-437.94709999999998</v>
      </c>
      <c r="H132">
        <v>-0.05</v>
      </c>
      <c r="I132">
        <v>369.16399999999999</v>
      </c>
      <c r="J132">
        <v>-463.63240000000002</v>
      </c>
      <c r="K132">
        <v>1.1041239999999899</v>
      </c>
      <c r="L132">
        <v>367.54169999999999</v>
      </c>
      <c r="M132">
        <v>0.99996719999999895</v>
      </c>
      <c r="N132">
        <v>0</v>
      </c>
      <c r="O132">
        <v>2.2152920000000002E-3</v>
      </c>
      <c r="P132">
        <v>0.99855969999999905</v>
      </c>
      <c r="Q132">
        <v>-3.733639E-3</v>
      </c>
      <c r="R132">
        <v>5.3522689999999998E-2</v>
      </c>
      <c r="S132">
        <v>2.993805</v>
      </c>
      <c r="T132">
        <v>-0.13353399999999899</v>
      </c>
      <c r="U132">
        <v>0.1877441</v>
      </c>
      <c r="V132">
        <v>-5.1310769999999999E-2</v>
      </c>
      <c r="W132">
        <v>4.0491160000000002E-3</v>
      </c>
      <c r="X132">
        <v>0.99867450000000002</v>
      </c>
      <c r="Y132">
        <v>-6.031922E-2</v>
      </c>
      <c r="Z132">
        <v>1.244572E-3</v>
      </c>
      <c r="AA132">
        <v>0.99817839999999902</v>
      </c>
      <c r="AB132">
        <v>18</v>
      </c>
      <c r="AC132">
        <v>25.685300000000002</v>
      </c>
      <c r="AD132">
        <v>-1.1541239999999999</v>
      </c>
      <c r="AE132">
        <v>1.6222999999999901</v>
      </c>
      <c r="AF132">
        <v>-1.56225220311909</v>
      </c>
      <c r="AG132">
        <v>-1.1541239999999999</v>
      </c>
      <c r="AH132">
        <v>25.637275038397899</v>
      </c>
      <c r="AI132">
        <v>92.572802033722098</v>
      </c>
      <c r="AJ132">
        <v>93.487106611151404</v>
      </c>
      <c r="AK132">
        <v>25.710746888178601</v>
      </c>
    </row>
    <row r="133" spans="1:37" x14ac:dyDescent="0.2">
      <c r="A133" t="str">
        <f>"20200111155755779"</f>
        <v>20200111155755779</v>
      </c>
      <c r="B133" t="str">
        <f>"1578729475771569"</f>
        <v>1578729475771569</v>
      </c>
      <c r="C133" t="s">
        <v>37</v>
      </c>
      <c r="D133">
        <v>6.1193179999999998</v>
      </c>
      <c r="E133">
        <v>0.52435559999999903</v>
      </c>
      <c r="F133" t="s">
        <v>38</v>
      </c>
      <c r="G133">
        <v>-462.74489999999997</v>
      </c>
      <c r="H133">
        <v>1.0427949999999999</v>
      </c>
      <c r="I133">
        <v>367.54579999999999</v>
      </c>
      <c r="J133">
        <v>-463.51369999999997</v>
      </c>
      <c r="K133">
        <v>1.1041259999999999</v>
      </c>
      <c r="L133">
        <v>367.54199999999997</v>
      </c>
      <c r="M133">
        <v>0.99996700000000005</v>
      </c>
      <c r="N133">
        <v>0</v>
      </c>
      <c r="O133">
        <v>2.2332369999999999E-3</v>
      </c>
      <c r="P133">
        <v>0.99853700000000001</v>
      </c>
      <c r="Q133">
        <v>-3.870329E-3</v>
      </c>
      <c r="R133">
        <v>5.393647E-2</v>
      </c>
      <c r="S133">
        <v>3.0027469999999998</v>
      </c>
      <c r="T133">
        <v>-0.20766209999999999</v>
      </c>
      <c r="U133">
        <v>1.473999E-2</v>
      </c>
      <c r="V133">
        <v>-5.1706519999999999E-2</v>
      </c>
      <c r="W133">
        <v>3.9418279999999997E-3</v>
      </c>
      <c r="X133">
        <v>0.9986545</v>
      </c>
      <c r="Y133">
        <v>-2.6744329999999999E-3</v>
      </c>
      <c r="Z133" s="1">
        <v>-6.1896550000000003E-5</v>
      </c>
      <c r="AA133">
        <v>0.99999640000000001</v>
      </c>
      <c r="AB133">
        <v>18</v>
      </c>
      <c r="AC133">
        <v>0.76879999999999804</v>
      </c>
      <c r="AD133">
        <v>-6.1330999999999802E-2</v>
      </c>
      <c r="AE133">
        <v>3.8000000000124601E-3</v>
      </c>
      <c r="AF133">
        <v>-2.06985321943297E-3</v>
      </c>
      <c r="AG133">
        <v>-6.1330999999999802E-2</v>
      </c>
      <c r="AH133">
        <v>0.76394490718560404</v>
      </c>
      <c r="AI133">
        <v>94.589956918315593</v>
      </c>
      <c r="AJ133">
        <v>90.155238371735706</v>
      </c>
      <c r="AK133">
        <v>0.76640563480977297</v>
      </c>
    </row>
    <row r="134" spans="1:37" x14ac:dyDescent="0.2">
      <c r="A134" t="str">
        <f>"20200111155755821"</f>
        <v>20200111155755821</v>
      </c>
      <c r="B134" t="str">
        <f>"1578729475811584"</f>
        <v>1578729475811584</v>
      </c>
      <c r="C134" t="s">
        <v>37</v>
      </c>
      <c r="D134">
        <v>6.0987929999999997</v>
      </c>
      <c r="E134">
        <v>0.52777149999999995</v>
      </c>
      <c r="F134" t="s">
        <v>39</v>
      </c>
      <c r="G134">
        <v>-446.31699999999898</v>
      </c>
      <c r="H134" s="1">
        <v>-2.115265E-6</v>
      </c>
      <c r="I134">
        <v>367.39599999999899</v>
      </c>
      <c r="J134">
        <v>-463.17009999999999</v>
      </c>
      <c r="K134">
        <v>1.1041449999999999</v>
      </c>
      <c r="L134">
        <v>367.5428</v>
      </c>
      <c r="M134">
        <v>0.99996629999999997</v>
      </c>
      <c r="N134">
        <v>0</v>
      </c>
      <c r="O134">
        <v>2.2849810000000002E-3</v>
      </c>
      <c r="P134">
        <v>0.99843859999999995</v>
      </c>
      <c r="Q134">
        <v>-3.5918409999999902E-3</v>
      </c>
      <c r="R134">
        <v>5.5747129999999999E-2</v>
      </c>
      <c r="S134">
        <v>3.0050659999999998</v>
      </c>
      <c r="T134">
        <v>-0.19294330000000001</v>
      </c>
      <c r="U134">
        <v>-2.5512699999999999E-2</v>
      </c>
      <c r="V134">
        <v>-5.3465899999999997E-2</v>
      </c>
      <c r="W134">
        <v>4.2946850000000003E-3</v>
      </c>
      <c r="X134">
        <v>0.99856039999999902</v>
      </c>
      <c r="Y134">
        <v>1.0747710000000001E-2</v>
      </c>
      <c r="Z134">
        <v>-4.9123329999999998E-4</v>
      </c>
      <c r="AA134">
        <v>0.99994209999999994</v>
      </c>
      <c r="AB134">
        <v>19</v>
      </c>
      <c r="AC134">
        <v>16.853100000000001</v>
      </c>
      <c r="AD134">
        <v>-1.104147115265</v>
      </c>
      <c r="AE134">
        <v>-0.14680000000004101</v>
      </c>
      <c r="AF134">
        <v>0.18451787361548999</v>
      </c>
      <c r="AG134">
        <v>-1.104147115265</v>
      </c>
      <c r="AH134">
        <v>16.780697532067201</v>
      </c>
      <c r="AI134">
        <v>93.764331017790695</v>
      </c>
      <c r="AJ134">
        <v>89.370010136457495</v>
      </c>
      <c r="AK134">
        <v>16.8179962350025</v>
      </c>
    </row>
    <row r="135" spans="1:37" x14ac:dyDescent="0.2">
      <c r="A135" t="str">
        <f>"20200111155755843"</f>
        <v>20200111155755843</v>
      </c>
      <c r="B135" t="str">
        <f>"1578729475840865"</f>
        <v>1578729475840865</v>
      </c>
      <c r="C135" t="s">
        <v>37</v>
      </c>
      <c r="D135">
        <v>6.1143729999999996</v>
      </c>
      <c r="E135">
        <v>0.53279309999999902</v>
      </c>
      <c r="F135" t="s">
        <v>39</v>
      </c>
      <c r="G135">
        <v>-441.78809999999999</v>
      </c>
      <c r="H135" s="1">
        <v>-4.2916660000000003E-6</v>
      </c>
      <c r="I135">
        <v>367.19589999999999</v>
      </c>
      <c r="J135">
        <v>-462.98829999999998</v>
      </c>
      <c r="K135">
        <v>1.1041449999999999</v>
      </c>
      <c r="L135">
        <v>367.54329999999999</v>
      </c>
      <c r="M135">
        <v>0.99996580000000002</v>
      </c>
      <c r="N135">
        <v>0</v>
      </c>
      <c r="O135">
        <v>2.3122659999999999E-3</v>
      </c>
      <c r="P135">
        <v>0.99843510000000002</v>
      </c>
      <c r="Q135">
        <v>-3.02783E-3</v>
      </c>
      <c r="R135">
        <v>5.5839809999999997E-2</v>
      </c>
      <c r="S135">
        <v>3.0068969999999999</v>
      </c>
      <c r="T135">
        <v>-0.1552733</v>
      </c>
      <c r="U135">
        <v>-4.8797609999999998E-2</v>
      </c>
      <c r="V135">
        <v>-5.3530979999999999E-2</v>
      </c>
      <c r="W135">
        <v>4.8921540000000001E-3</v>
      </c>
      <c r="X135">
        <v>0.99855419999999995</v>
      </c>
      <c r="Y135">
        <v>1.8510680000000002E-2</v>
      </c>
      <c r="Z135">
        <v>-5.9690749999999999E-4</v>
      </c>
      <c r="AA135">
        <v>0.99982850000000001</v>
      </c>
      <c r="AB135">
        <v>19</v>
      </c>
      <c r="AC135">
        <v>21.200199999999899</v>
      </c>
      <c r="AD135">
        <v>-1.1041492916660001</v>
      </c>
      <c r="AE135">
        <v>-0.34739999999999299</v>
      </c>
      <c r="AF135">
        <v>0.395349007444459</v>
      </c>
      <c r="AG135">
        <v>-1.1041492916660001</v>
      </c>
      <c r="AH135">
        <v>21.142006933473301</v>
      </c>
      <c r="AI135">
        <v>92.989056058950794</v>
      </c>
      <c r="AJ135">
        <v>88.928711455790705</v>
      </c>
      <c r="AK135">
        <v>21.1745107067674</v>
      </c>
    </row>
    <row r="136" spans="1:37" x14ac:dyDescent="0.2">
      <c r="A136" t="str">
        <f>"20200111155755867"</f>
        <v>20200111155755867</v>
      </c>
      <c r="B136" t="str">
        <f>"1578729475861341"</f>
        <v>1578729475861341</v>
      </c>
      <c r="C136" t="s">
        <v>37</v>
      </c>
      <c r="D136">
        <v>6.1324509999999997</v>
      </c>
      <c r="E136">
        <v>0.53391259999999996</v>
      </c>
      <c r="F136" t="s">
        <v>39</v>
      </c>
      <c r="G136">
        <v>-441.7355</v>
      </c>
      <c r="H136" s="1">
        <v>-4.3652530000000001E-6</v>
      </c>
      <c r="I136">
        <v>366.92110000000002</v>
      </c>
      <c r="J136">
        <v>-462.7953</v>
      </c>
      <c r="K136">
        <v>1.1041239999999899</v>
      </c>
      <c r="L136">
        <v>367.54379999999998</v>
      </c>
      <c r="M136">
        <v>0.99996549999999995</v>
      </c>
      <c r="N136">
        <v>0</v>
      </c>
      <c r="O136">
        <v>2.3417569999999999E-3</v>
      </c>
      <c r="P136">
        <v>0.99846599999999996</v>
      </c>
      <c r="Q136">
        <v>-2.9991050000000002E-3</v>
      </c>
      <c r="R136">
        <v>5.528744E-2</v>
      </c>
      <c r="S136">
        <v>3.009125</v>
      </c>
      <c r="T136">
        <v>-0.15633379999999999</v>
      </c>
      <c r="U136">
        <v>-8.8104249999999995E-2</v>
      </c>
      <c r="V136">
        <v>-5.2949110000000001E-2</v>
      </c>
      <c r="W136">
        <v>4.9541430000000003E-3</v>
      </c>
      <c r="X136">
        <v>0.9985849</v>
      </c>
      <c r="Y136">
        <v>3.1561550000000001E-2</v>
      </c>
      <c r="Z136">
        <v>-9.4069369999999995E-4</v>
      </c>
      <c r="AA136">
        <v>0.99950130000000004</v>
      </c>
      <c r="AB136">
        <v>19</v>
      </c>
      <c r="AC136">
        <v>21.059799999999999</v>
      </c>
      <c r="AD136">
        <v>-1.1041283652529901</v>
      </c>
      <c r="AE136">
        <v>-0.62269999999995196</v>
      </c>
      <c r="AF136">
        <v>0.67017627439704897</v>
      </c>
      <c r="AG136">
        <v>-1.1041283652529901</v>
      </c>
      <c r="AH136">
        <v>21.000609601990099</v>
      </c>
      <c r="AI136">
        <v>93.008084211369393</v>
      </c>
      <c r="AJ136">
        <v>88.172184239948905</v>
      </c>
      <c r="AK136">
        <v>21.040290856851701</v>
      </c>
    </row>
    <row r="137" spans="1:37" x14ac:dyDescent="0.2">
      <c r="A137" t="str">
        <f>"20200111155755888"</f>
        <v>20200111155755888</v>
      </c>
      <c r="B137" t="str">
        <f>"1578729475880862"</f>
        <v>1578729475880862</v>
      </c>
      <c r="C137" t="s">
        <v>37</v>
      </c>
      <c r="D137">
        <v>6.1193780000000002</v>
      </c>
      <c r="E137">
        <v>0.53488709999999995</v>
      </c>
      <c r="F137" t="s">
        <v>39</v>
      </c>
      <c r="G137">
        <v>-441.48989999999998</v>
      </c>
      <c r="H137" s="1">
        <v>-4.4947210000000003E-6</v>
      </c>
      <c r="I137">
        <v>366.84559999999999</v>
      </c>
      <c r="J137">
        <v>-462.60629999999998</v>
      </c>
      <c r="K137">
        <v>1.1040969999999899</v>
      </c>
      <c r="L137">
        <v>367.54419999999999</v>
      </c>
      <c r="M137">
        <v>0.99996529999999995</v>
      </c>
      <c r="N137">
        <v>0</v>
      </c>
      <c r="O137">
        <v>2.3707699999999999E-3</v>
      </c>
      <c r="P137">
        <v>0.99850399999999995</v>
      </c>
      <c r="Q137">
        <v>-3.6957079999999998E-3</v>
      </c>
      <c r="R137">
        <v>5.4555689999999997E-2</v>
      </c>
      <c r="S137">
        <v>3.00964399999999</v>
      </c>
      <c r="T137">
        <v>-0.15597139999999901</v>
      </c>
      <c r="U137">
        <v>-9.8632810000000001E-2</v>
      </c>
      <c r="V137">
        <v>-5.218834E-2</v>
      </c>
      <c r="W137">
        <v>4.290393E-3</v>
      </c>
      <c r="X137">
        <v>0.99862799999999996</v>
      </c>
      <c r="Y137">
        <v>3.5073960000000001E-2</v>
      </c>
      <c r="Z137">
        <v>-1.0307339999999999E-3</v>
      </c>
      <c r="AA137">
        <v>0.99938419999999895</v>
      </c>
      <c r="AB137">
        <v>19</v>
      </c>
      <c r="AC137">
        <v>21.116399999999999</v>
      </c>
      <c r="AD137">
        <v>-1.1041014947209999</v>
      </c>
      <c r="AE137">
        <v>-0.698599999999999</v>
      </c>
      <c r="AF137">
        <v>0.74662282088423704</v>
      </c>
      <c r="AG137">
        <v>-1.1041014947209999</v>
      </c>
      <c r="AH137">
        <v>21.057179677961098</v>
      </c>
      <c r="AI137">
        <v>92.999587787894896</v>
      </c>
      <c r="AJ137">
        <v>87.969318597861403</v>
      </c>
      <c r="AK137">
        <v>21.099319935420802</v>
      </c>
    </row>
    <row r="138" spans="1:37" x14ac:dyDescent="0.2">
      <c r="A138" t="str">
        <f>"20200111155755911"</f>
        <v>20200111155755911</v>
      </c>
      <c r="B138" t="str">
        <f>"1578729475901357"</f>
        <v>1578729475901357</v>
      </c>
      <c r="C138" t="s">
        <v>37</v>
      </c>
      <c r="D138">
        <v>6.1648350000000001</v>
      </c>
      <c r="E138">
        <v>0.53570459999999998</v>
      </c>
      <c r="F138" t="s">
        <v>39</v>
      </c>
      <c r="G138">
        <v>-441.54570000000001</v>
      </c>
      <c r="H138" s="1">
        <v>-4.4793029999999902E-6</v>
      </c>
      <c r="I138">
        <v>366.78399999999999</v>
      </c>
      <c r="J138">
        <v>-462.41969999999998</v>
      </c>
      <c r="K138">
        <v>1.104069</v>
      </c>
      <c r="L138">
        <v>367.54469999999998</v>
      </c>
      <c r="M138">
        <v>0.99996499999999999</v>
      </c>
      <c r="N138">
        <v>0</v>
      </c>
      <c r="O138">
        <v>2.398762E-3</v>
      </c>
      <c r="P138">
        <v>0.99855699999999903</v>
      </c>
      <c r="Q138">
        <v>-3.6810670000000001E-3</v>
      </c>
      <c r="R138">
        <v>5.3578439999999998E-2</v>
      </c>
      <c r="S138">
        <v>3.0098880000000001</v>
      </c>
      <c r="T138">
        <v>-0.15779270000000001</v>
      </c>
      <c r="U138">
        <v>-0.10864260000000001</v>
      </c>
      <c r="V138">
        <v>-5.1183079999999999E-2</v>
      </c>
      <c r="W138">
        <v>4.341414E-3</v>
      </c>
      <c r="X138">
        <v>0.99867989999999995</v>
      </c>
      <c r="Y138">
        <v>3.841294E-2</v>
      </c>
      <c r="Z138">
        <v>-1.1315100000000001E-3</v>
      </c>
      <c r="AA138">
        <v>0.99926130000000002</v>
      </c>
      <c r="AB138">
        <v>19</v>
      </c>
      <c r="AC138">
        <v>20.873999999999899</v>
      </c>
      <c r="AD138">
        <v>-1.104073479303</v>
      </c>
      <c r="AE138">
        <v>-0.76069999999998505</v>
      </c>
      <c r="AF138">
        <v>0.80851228905420702</v>
      </c>
      <c r="AG138">
        <v>-1.104073479303</v>
      </c>
      <c r="AH138">
        <v>20.813963365803001</v>
      </c>
      <c r="AI138">
        <v>93.0341160701105</v>
      </c>
      <c r="AJ138">
        <v>87.775480703381206</v>
      </c>
      <c r="AK138">
        <v>20.858900770708001</v>
      </c>
    </row>
    <row r="139" spans="1:37" x14ac:dyDescent="0.2">
      <c r="A139" t="str">
        <f>"20200111155755932"</f>
        <v>20200111155755932</v>
      </c>
      <c r="B139" t="str">
        <f>"1578729475920877"</f>
        <v>1578729475920877</v>
      </c>
      <c r="C139" t="s">
        <v>37</v>
      </c>
      <c r="D139">
        <v>6.1432289999999998</v>
      </c>
      <c r="E139">
        <v>0.53610269999999904</v>
      </c>
      <c r="F139" t="s">
        <v>39</v>
      </c>
      <c r="G139">
        <v>-441.3723</v>
      </c>
      <c r="H139" s="1">
        <v>-4.5729340000000004E-6</v>
      </c>
      <c r="I139">
        <v>366.71820000000002</v>
      </c>
      <c r="J139">
        <v>-462.23630000000003</v>
      </c>
      <c r="K139">
        <v>1.1040559999999999</v>
      </c>
      <c r="L139">
        <v>367.54509999999999</v>
      </c>
      <c r="M139">
        <v>0.99996450000000003</v>
      </c>
      <c r="N139">
        <v>0</v>
      </c>
      <c r="O139">
        <v>2.4263639999999999E-3</v>
      </c>
      <c r="P139">
        <v>0.99865669999999995</v>
      </c>
      <c r="Q139">
        <v>-2.220348E-3</v>
      </c>
      <c r="R139">
        <v>5.1770049999999998E-2</v>
      </c>
      <c r="S139">
        <v>3.0101009999999899</v>
      </c>
      <c r="T139">
        <v>-0.15789900000000001</v>
      </c>
      <c r="U139">
        <v>-0.1181946</v>
      </c>
      <c r="V139">
        <v>-4.9346840000000003E-2</v>
      </c>
      <c r="W139">
        <v>5.8462929999999998E-3</v>
      </c>
      <c r="X139">
        <v>0.9987646</v>
      </c>
      <c r="Y139">
        <v>4.1599770000000001E-2</v>
      </c>
      <c r="Z139">
        <v>-1.217065E-3</v>
      </c>
      <c r="AA139">
        <v>0.99913359999999996</v>
      </c>
      <c r="AB139">
        <v>19</v>
      </c>
      <c r="AC139">
        <v>20.864000000000001</v>
      </c>
      <c r="AD139">
        <v>-1.1040605729339901</v>
      </c>
      <c r="AE139">
        <v>-0.826899999999966</v>
      </c>
      <c r="AF139">
        <v>0.87507631763645</v>
      </c>
      <c r="AG139">
        <v>-1.1040605729339901</v>
      </c>
      <c r="AH139">
        <v>20.803768587907399</v>
      </c>
      <c r="AI139">
        <v>93.035170880959598</v>
      </c>
      <c r="AJ139">
        <v>87.591367129812994</v>
      </c>
      <c r="AK139">
        <v>20.851414718661101</v>
      </c>
    </row>
    <row r="140" spans="1:37" x14ac:dyDescent="0.2">
      <c r="A140" t="str">
        <f>"20200111155755955"</f>
        <v>20200111155755955</v>
      </c>
      <c r="B140" t="str">
        <f>"1578729475951134"</f>
        <v>1578729475951134</v>
      </c>
      <c r="C140" t="s">
        <v>37</v>
      </c>
      <c r="D140">
        <v>6.1226570000000002</v>
      </c>
      <c r="E140">
        <v>0.53649060000000004</v>
      </c>
      <c r="F140" t="s">
        <v>39</v>
      </c>
      <c r="G140">
        <v>-440.81450000000001</v>
      </c>
      <c r="H140" s="1">
        <v>-4.8503150000000002E-6</v>
      </c>
      <c r="I140">
        <v>366.64080000000001</v>
      </c>
      <c r="J140">
        <v>-462.04259999999999</v>
      </c>
      <c r="K140">
        <v>1.1040559999999999</v>
      </c>
      <c r="L140">
        <v>367.54559999999998</v>
      </c>
      <c r="M140">
        <v>0.99996390000000002</v>
      </c>
      <c r="N140">
        <v>0</v>
      </c>
      <c r="O140">
        <v>2.4552340000000001E-3</v>
      </c>
      <c r="P140">
        <v>0.99878389999999995</v>
      </c>
      <c r="Q140">
        <v>3.0297599999999999E-4</v>
      </c>
      <c r="R140">
        <v>4.9302260000000001E-2</v>
      </c>
      <c r="S140">
        <v>3.010284</v>
      </c>
      <c r="T140">
        <v>-0.1551477</v>
      </c>
      <c r="U140">
        <v>-0.1270752</v>
      </c>
      <c r="V140">
        <v>-4.6849809999999999E-2</v>
      </c>
      <c r="W140">
        <v>8.4383129999999994E-3</v>
      </c>
      <c r="X140">
        <v>0.99886629999999998</v>
      </c>
      <c r="Y140">
        <v>4.456682E-2</v>
      </c>
      <c r="Z140">
        <v>-1.2736049999999999E-3</v>
      </c>
      <c r="AA140">
        <v>0.99900560000000005</v>
      </c>
      <c r="AB140">
        <v>19</v>
      </c>
      <c r="AC140">
        <v>21.228099999999898</v>
      </c>
      <c r="AD140">
        <v>-1.104060850315</v>
      </c>
      <c r="AE140">
        <v>-0.90479999999996497</v>
      </c>
      <c r="AF140">
        <v>0.95434215655334698</v>
      </c>
      <c r="AG140">
        <v>-1.104060850315</v>
      </c>
      <c r="AH140">
        <v>21.168657522708699</v>
      </c>
      <c r="AI140">
        <v>92.982558037918807</v>
      </c>
      <c r="AJ140">
        <v>87.418694215787994</v>
      </c>
      <c r="AK140">
        <v>21.218901494344799</v>
      </c>
    </row>
    <row r="141" spans="1:37" x14ac:dyDescent="0.2">
      <c r="A141" t="str">
        <f>"20200111155755979"</f>
        <v>20200111155755979</v>
      </c>
      <c r="B141" t="str">
        <f>"1578729475971630"</f>
        <v>1578729475971630</v>
      </c>
      <c r="C141" t="s">
        <v>37</v>
      </c>
      <c r="D141">
        <v>6.3237160000000001</v>
      </c>
      <c r="E141">
        <v>0.54901940000000005</v>
      </c>
      <c r="F141" t="s">
        <v>41</v>
      </c>
      <c r="G141">
        <v>-438.5197</v>
      </c>
      <c r="H141">
        <v>-0.05</v>
      </c>
      <c r="I141">
        <v>366.47089999999997</v>
      </c>
      <c r="J141">
        <v>-461.8408</v>
      </c>
      <c r="K141">
        <v>1.104061</v>
      </c>
      <c r="L141">
        <v>367.54610000000002</v>
      </c>
      <c r="M141">
        <v>0.99996299999999905</v>
      </c>
      <c r="N141">
        <v>0</v>
      </c>
      <c r="O141">
        <v>2.4856229999999902E-3</v>
      </c>
      <c r="P141">
        <v>0.99889089999999903</v>
      </c>
      <c r="Q141">
        <v>1.8059129999999999E-3</v>
      </c>
      <c r="R141">
        <v>4.7053339999999999E-2</v>
      </c>
      <c r="S141">
        <v>3.0104980000000001</v>
      </c>
      <c r="T141">
        <v>-0.1476982</v>
      </c>
      <c r="U141">
        <v>-0.13754269999999999</v>
      </c>
      <c r="V141">
        <v>-4.4570419999999999E-2</v>
      </c>
      <c r="W141">
        <v>1.004566E-2</v>
      </c>
      <c r="X141">
        <v>0.998955699999999</v>
      </c>
      <c r="Y141">
        <v>4.8062390000000003E-2</v>
      </c>
      <c r="Z141">
        <v>-1.2994899999999999E-3</v>
      </c>
      <c r="AA141">
        <v>0.9988435</v>
      </c>
      <c r="AB141">
        <v>19</v>
      </c>
      <c r="AC141">
        <v>23.321100000000001</v>
      </c>
      <c r="AD141">
        <v>-1.154061</v>
      </c>
      <c r="AE141">
        <v>-1.0752000000000499</v>
      </c>
      <c r="AF141">
        <v>1.1304038061213799</v>
      </c>
      <c r="AG141">
        <v>-1.154061</v>
      </c>
      <c r="AH141">
        <v>23.261512545920599</v>
      </c>
      <c r="AI141">
        <v>92.836913849231294</v>
      </c>
      <c r="AJ141">
        <v>87.2178741121363</v>
      </c>
      <c r="AK141">
        <v>23.317539224383001</v>
      </c>
    </row>
    <row r="142" spans="1:37" x14ac:dyDescent="0.2">
      <c r="A142" t="str">
        <f>"20200111155756001"</f>
        <v>20200111155756001</v>
      </c>
      <c r="B142" t="str">
        <f>"1578729475991149"</f>
        <v>1578729475991149</v>
      </c>
      <c r="C142" t="s">
        <v>37</v>
      </c>
      <c r="D142">
        <v>6.1570819999999999</v>
      </c>
      <c r="E142">
        <v>0.54877039999999999</v>
      </c>
      <c r="F142" t="s">
        <v>41</v>
      </c>
      <c r="G142">
        <v>-407.25220000000002</v>
      </c>
      <c r="H142">
        <v>-0.05</v>
      </c>
      <c r="I142">
        <v>363.07339999999999</v>
      </c>
      <c r="J142">
        <v>-461.65159999999997</v>
      </c>
      <c r="K142">
        <v>1.1040559999999999</v>
      </c>
      <c r="L142">
        <v>367.54660000000001</v>
      </c>
      <c r="M142">
        <v>0.99996169999999995</v>
      </c>
      <c r="N142">
        <v>0</v>
      </c>
      <c r="O142">
        <v>2.514044E-3</v>
      </c>
      <c r="P142">
        <v>0.99898480000000001</v>
      </c>
      <c r="Q142">
        <v>2.1113529999999998E-3</v>
      </c>
      <c r="R142">
        <v>4.5003429999999997E-2</v>
      </c>
      <c r="S142">
        <v>3.0150759999999899</v>
      </c>
      <c r="T142">
        <v>-6.3741919999999994E-2</v>
      </c>
      <c r="U142">
        <v>-0.247039799999999</v>
      </c>
      <c r="V142">
        <v>-4.2491870000000001E-2</v>
      </c>
      <c r="W142">
        <v>1.04829E-2</v>
      </c>
      <c r="X142">
        <v>0.99904179999999998</v>
      </c>
      <c r="Y142">
        <v>8.4147449999999999E-2</v>
      </c>
      <c r="Z142">
        <v>-9.4095490000000001E-4</v>
      </c>
      <c r="AA142">
        <v>0.99645289999999997</v>
      </c>
      <c r="AB142">
        <v>19</v>
      </c>
      <c r="AC142">
        <v>54.399399999999901</v>
      </c>
      <c r="AD142">
        <v>-1.154056</v>
      </c>
      <c r="AE142">
        <v>-4.4732000000000198</v>
      </c>
      <c r="AF142">
        <v>4.6078932767025202</v>
      </c>
      <c r="AG142">
        <v>-1.154056</v>
      </c>
      <c r="AH142">
        <v>54.363679536228901</v>
      </c>
      <c r="AI142">
        <v>91.211773438795703</v>
      </c>
      <c r="AJ142">
        <v>85.155160616514195</v>
      </c>
      <c r="AK142">
        <v>54.570818011263199</v>
      </c>
    </row>
    <row r="143" spans="1:37" x14ac:dyDescent="0.2">
      <c r="A143" t="str">
        <f>"20200111155756023"</f>
        <v>20200111155756023</v>
      </c>
      <c r="B143" t="str">
        <f>"1578729476011646"</f>
        <v>1578729476011646</v>
      </c>
      <c r="C143" t="s">
        <v>37</v>
      </c>
      <c r="D143">
        <v>6.2046710000000003</v>
      </c>
      <c r="E143">
        <v>0.534861699999999</v>
      </c>
      <c r="F143" t="s">
        <v>41</v>
      </c>
      <c r="G143">
        <v>-410.05160000000001</v>
      </c>
      <c r="H143">
        <v>-0.05</v>
      </c>
      <c r="I143">
        <v>363.25110000000001</v>
      </c>
      <c r="J143">
        <v>-461.46499999999997</v>
      </c>
      <c r="K143">
        <v>1.1041920000000001</v>
      </c>
      <c r="L143">
        <v>367.5471</v>
      </c>
      <c r="M143">
        <v>0.99995619999999996</v>
      </c>
      <c r="N143">
        <v>0</v>
      </c>
      <c r="O143">
        <v>2.5410469999999998E-3</v>
      </c>
      <c r="P143">
        <v>0.99904459999999995</v>
      </c>
      <c r="Q143">
        <v>3.947504E-4</v>
      </c>
      <c r="R143">
        <v>4.3703270000000002E-2</v>
      </c>
      <c r="S143">
        <v>3.0144959999999998</v>
      </c>
      <c r="T143">
        <v>-6.7420480000000005E-2</v>
      </c>
      <c r="U143">
        <v>-0.250946</v>
      </c>
      <c r="V143">
        <v>-4.1164599999999898E-2</v>
      </c>
      <c r="W143">
        <v>9.407683E-3</v>
      </c>
      <c r="X143">
        <v>0.99910810000000005</v>
      </c>
      <c r="Y143">
        <v>8.5469749999999997E-2</v>
      </c>
      <c r="Z143">
        <v>-1.010745E-3</v>
      </c>
      <c r="AA143">
        <v>0.99634029999999996</v>
      </c>
      <c r="AB143">
        <v>19</v>
      </c>
      <c r="AC143">
        <v>51.413399999999903</v>
      </c>
      <c r="AD143">
        <v>-1.1541920000000001</v>
      </c>
      <c r="AE143">
        <v>-4.2959999999999896</v>
      </c>
      <c r="AF143">
        <v>4.4244209867978199</v>
      </c>
      <c r="AG143">
        <v>-1.1541920000000001</v>
      </c>
      <c r="AH143">
        <v>51.376604548630098</v>
      </c>
      <c r="AI143">
        <v>91.282207515499806</v>
      </c>
      <c r="AJ143">
        <v>85.077978509263204</v>
      </c>
      <c r="AK143">
        <v>51.579677734429502</v>
      </c>
    </row>
    <row r="144" spans="1:37" x14ac:dyDescent="0.2">
      <c r="A144" t="str">
        <f>"20200111155756045"</f>
        <v>20200111155756045</v>
      </c>
      <c r="B144" t="str">
        <f>"1578729476040926"</f>
        <v>1578729476040926</v>
      </c>
      <c r="C144" t="s">
        <v>37</v>
      </c>
      <c r="D144">
        <v>6.3540150000000004</v>
      </c>
      <c r="E144">
        <v>0.53566729999999996</v>
      </c>
      <c r="F144" t="s">
        <v>39</v>
      </c>
      <c r="G144">
        <v>-443.33730000000003</v>
      </c>
      <c r="H144" s="1">
        <v>-3.646579E-6</v>
      </c>
      <c r="I144">
        <v>366.70389999999998</v>
      </c>
      <c r="J144">
        <v>-461.27760000000001</v>
      </c>
      <c r="K144">
        <v>1.1043909999999999</v>
      </c>
      <c r="L144">
        <v>367.54750000000001</v>
      </c>
      <c r="M144">
        <v>0.99994709999999998</v>
      </c>
      <c r="N144">
        <v>0</v>
      </c>
      <c r="O144">
        <v>2.5676560000000002E-3</v>
      </c>
      <c r="P144">
        <v>0.99907549999999901</v>
      </c>
      <c r="Q144">
        <v>-2.1263979999999998E-3</v>
      </c>
      <c r="R144">
        <v>4.2940649999999997E-2</v>
      </c>
      <c r="S144">
        <v>3.009064</v>
      </c>
      <c r="T144">
        <v>-0.18328849999999999</v>
      </c>
      <c r="U144">
        <v>-0.13995360000000001</v>
      </c>
      <c r="V144">
        <v>-4.037524E-2</v>
      </c>
      <c r="W144">
        <v>7.8322730000000007E-3</v>
      </c>
      <c r="X144">
        <v>0.99915390000000004</v>
      </c>
      <c r="Y144">
        <v>4.8930080000000001E-2</v>
      </c>
      <c r="Z144">
        <v>-1.6442179999999901E-3</v>
      </c>
      <c r="AA144">
        <v>0.99880089999999999</v>
      </c>
      <c r="AB144">
        <v>19</v>
      </c>
      <c r="AC144">
        <v>17.940299999999901</v>
      </c>
      <c r="AD144">
        <v>-1.104394646579</v>
      </c>
      <c r="AE144">
        <v>-0.84360000000003699</v>
      </c>
      <c r="AF144">
        <v>0.88631269487546105</v>
      </c>
      <c r="AG144">
        <v>-1.104394646579</v>
      </c>
      <c r="AH144">
        <v>17.8705026794979</v>
      </c>
      <c r="AI144">
        <v>93.532043539337707</v>
      </c>
      <c r="AJ144">
        <v>87.160661839979397</v>
      </c>
      <c r="AK144">
        <v>17.926519565895401</v>
      </c>
    </row>
    <row r="145" spans="1:37" x14ac:dyDescent="0.2">
      <c r="A145" t="str">
        <f>"20200111155756068"</f>
        <v>20200111155756068</v>
      </c>
      <c r="B145" t="str">
        <f>"1578729476061422"</f>
        <v>1578729476061422</v>
      </c>
      <c r="C145" t="s">
        <v>37</v>
      </c>
      <c r="D145">
        <v>6.1526550000000002</v>
      </c>
      <c r="E145">
        <v>0.53343469999999904</v>
      </c>
      <c r="F145" t="s">
        <v>38</v>
      </c>
      <c r="G145">
        <v>-460.3811</v>
      </c>
      <c r="H145">
        <v>1.050119</v>
      </c>
      <c r="I145">
        <v>367.5027</v>
      </c>
      <c r="J145">
        <v>-461.08429999999998</v>
      </c>
      <c r="K145">
        <v>1.104436</v>
      </c>
      <c r="L145">
        <v>367.548</v>
      </c>
      <c r="M145">
        <v>0.99994159999999899</v>
      </c>
      <c r="N145">
        <v>0</v>
      </c>
      <c r="O145">
        <v>2.5959139999999999E-3</v>
      </c>
      <c r="P145">
        <v>0.99909340000000002</v>
      </c>
      <c r="Q145">
        <v>-6.1668729999999998E-3</v>
      </c>
      <c r="R145">
        <v>4.2129180000000002E-2</v>
      </c>
      <c r="S145">
        <v>3.0087890000000002</v>
      </c>
      <c r="T145">
        <v>-0.18239849999999999</v>
      </c>
      <c r="U145">
        <v>-0.1490784</v>
      </c>
      <c r="V145">
        <v>-3.953516E-2</v>
      </c>
      <c r="W145">
        <v>4.3252009999999999E-3</v>
      </c>
      <c r="X145">
        <v>0.99920880000000001</v>
      </c>
      <c r="Y145">
        <v>5.1979690000000002E-2</v>
      </c>
      <c r="Z145">
        <v>-1.7302859999999999E-3</v>
      </c>
      <c r="AA145">
        <v>0.99864660000000005</v>
      </c>
      <c r="AB145">
        <v>19</v>
      </c>
      <c r="AC145">
        <v>0.70319999999998095</v>
      </c>
      <c r="AD145">
        <v>-5.43169999999999E-2</v>
      </c>
      <c r="AE145">
        <v>-4.5299999999997398E-2</v>
      </c>
      <c r="AF145">
        <v>4.6847040556532299E-2</v>
      </c>
      <c r="AG145">
        <v>-5.43169999999999E-2</v>
      </c>
      <c r="AH145">
        <v>0.69892716991027304</v>
      </c>
      <c r="AI145">
        <v>94.433890428630804</v>
      </c>
      <c r="AJ145">
        <v>86.165367420819905</v>
      </c>
      <c r="AK145">
        <v>0.702598157225515</v>
      </c>
    </row>
    <row r="146" spans="1:37" x14ac:dyDescent="0.2">
      <c r="A146" t="str">
        <f>"20200111155756089"</f>
        <v>20200111155756089</v>
      </c>
      <c r="B146" t="str">
        <f>"1578729476080941"</f>
        <v>1578729476080941</v>
      </c>
      <c r="C146" t="s">
        <v>37</v>
      </c>
      <c r="D146">
        <v>6.1969050000000001</v>
      </c>
      <c r="E146">
        <v>0.5316419</v>
      </c>
      <c r="F146" t="s">
        <v>38</v>
      </c>
      <c r="G146">
        <v>-460.21600000000001</v>
      </c>
      <c r="H146">
        <v>1.0452589999999999</v>
      </c>
      <c r="I146">
        <v>367.50959999999998</v>
      </c>
      <c r="J146">
        <v>-460.9042</v>
      </c>
      <c r="K146">
        <v>1.10436</v>
      </c>
      <c r="L146">
        <v>367.54849999999999</v>
      </c>
      <c r="M146">
        <v>0.9999403</v>
      </c>
      <c r="N146">
        <v>0</v>
      </c>
      <c r="O146">
        <v>2.6222950000000002E-3</v>
      </c>
      <c r="P146">
        <v>0.99905080000000002</v>
      </c>
      <c r="Q146">
        <v>-1.0715000000000001E-2</v>
      </c>
      <c r="R146">
        <v>4.222799E-2</v>
      </c>
      <c r="S146">
        <v>3.00707999999999</v>
      </c>
      <c r="T146">
        <v>-0.20488429999999999</v>
      </c>
      <c r="U146">
        <v>-0.1332092</v>
      </c>
      <c r="V146">
        <v>-3.9607959999999998E-2</v>
      </c>
      <c r="W146">
        <v>-1.160945E-4</v>
      </c>
      <c r="X146">
        <v>0.99921530000000003</v>
      </c>
      <c r="Y146">
        <v>4.6760589999999998E-2</v>
      </c>
      <c r="Z146">
        <v>-1.768756E-3</v>
      </c>
      <c r="AA146">
        <v>0.99890460000000003</v>
      </c>
      <c r="AB146">
        <v>19</v>
      </c>
      <c r="AC146">
        <v>0.68819999999999404</v>
      </c>
      <c r="AD146">
        <v>-5.9101000000000001E-2</v>
      </c>
      <c r="AE146">
        <v>-3.89000000000123E-2</v>
      </c>
      <c r="AF146">
        <v>4.0407575584970601E-2</v>
      </c>
      <c r="AG146">
        <v>-5.9101000000000001E-2</v>
      </c>
      <c r="AH146">
        <v>0.68307401343368801</v>
      </c>
      <c r="AI146">
        <v>94.936449286980505</v>
      </c>
      <c r="AJ146">
        <v>86.614585550868597</v>
      </c>
      <c r="AK146">
        <v>0.68681570176726603</v>
      </c>
    </row>
    <row r="147" spans="1:37" x14ac:dyDescent="0.2">
      <c r="A147" t="str">
        <f>"20200111155756112"</f>
        <v>20200111155756112</v>
      </c>
      <c r="B147" t="str">
        <f>"1578729476101438"</f>
        <v>1578729476101438</v>
      </c>
      <c r="C147" t="s">
        <v>37</v>
      </c>
      <c r="D147">
        <v>6.2164619999999999</v>
      </c>
      <c r="E147">
        <v>0.53183340000000001</v>
      </c>
      <c r="F147" t="s">
        <v>38</v>
      </c>
      <c r="G147">
        <v>-460.0489</v>
      </c>
      <c r="H147">
        <v>1.0414559999999999</v>
      </c>
      <c r="I147">
        <v>367.51440000000002</v>
      </c>
      <c r="J147">
        <v>-460.71980000000002</v>
      </c>
      <c r="K147">
        <v>1.104304</v>
      </c>
      <c r="L147">
        <v>367.54899999999998</v>
      </c>
      <c r="M147">
        <v>0.99993929999999998</v>
      </c>
      <c r="N147">
        <v>0</v>
      </c>
      <c r="O147">
        <v>2.6498749999999999E-3</v>
      </c>
      <c r="P147">
        <v>0.99898889999999996</v>
      </c>
      <c r="Q147">
        <v>-1.4652129999999999E-2</v>
      </c>
      <c r="R147">
        <v>4.2512059999999997E-2</v>
      </c>
      <c r="S147">
        <v>3.0054630000000002</v>
      </c>
      <c r="T147">
        <v>-0.22134879999999901</v>
      </c>
      <c r="U147">
        <v>-0.1181335</v>
      </c>
      <c r="V147">
        <v>-3.9864459999999997E-2</v>
      </c>
      <c r="W147">
        <v>-3.9501349999999996E-3</v>
      </c>
      <c r="X147">
        <v>0.99919729999999995</v>
      </c>
      <c r="Y147">
        <v>4.180358E-2</v>
      </c>
      <c r="Z147">
        <v>-1.7315550000000001E-3</v>
      </c>
      <c r="AA147">
        <v>0.99912429999999997</v>
      </c>
      <c r="AB147">
        <v>19</v>
      </c>
      <c r="AC147">
        <v>0.67090000000001704</v>
      </c>
      <c r="AD147">
        <v>-6.2848000000000195E-2</v>
      </c>
      <c r="AE147">
        <v>-3.4600000000011698E-2</v>
      </c>
      <c r="AF147">
        <v>3.6062160597132201E-2</v>
      </c>
      <c r="AG147">
        <v>-6.2848000000000195E-2</v>
      </c>
      <c r="AH147">
        <v>0.66498591006806096</v>
      </c>
      <c r="AI147">
        <v>95.391128147381096</v>
      </c>
      <c r="AJ147">
        <v>86.895892619508103</v>
      </c>
      <c r="AK147">
        <v>0.66892197685528398</v>
      </c>
    </row>
    <row r="148" spans="1:37" x14ac:dyDescent="0.2">
      <c r="A148" t="str">
        <f>"20200111155756134"</f>
        <v>20200111155756134</v>
      </c>
      <c r="B148" t="str">
        <f>"1578729476130718"</f>
        <v>1578729476130718</v>
      </c>
      <c r="C148" t="s">
        <v>37</v>
      </c>
      <c r="D148">
        <v>6.1494549999999997</v>
      </c>
      <c r="E148">
        <v>0.53144950000000002</v>
      </c>
      <c r="F148" t="s">
        <v>38</v>
      </c>
      <c r="G148">
        <v>-459.88060000000002</v>
      </c>
      <c r="H148">
        <v>1.0401279999999999</v>
      </c>
      <c r="I148">
        <v>367.51589999999999</v>
      </c>
      <c r="J148">
        <v>-460.52839999999998</v>
      </c>
      <c r="K148">
        <v>1.104312</v>
      </c>
      <c r="L148">
        <v>367.54950000000002</v>
      </c>
      <c r="M148">
        <v>0.9999363</v>
      </c>
      <c r="N148">
        <v>0</v>
      </c>
      <c r="O148">
        <v>2.6792559999999901E-3</v>
      </c>
      <c r="P148">
        <v>0.99893159999999903</v>
      </c>
      <c r="Q148">
        <v>-1.6398050000000001E-2</v>
      </c>
      <c r="R148">
        <v>4.3209770000000002E-2</v>
      </c>
      <c r="S148">
        <v>3.0046689999999998</v>
      </c>
      <c r="T148">
        <v>-0.22973339999999901</v>
      </c>
      <c r="U148">
        <v>-0.1186218</v>
      </c>
      <c r="V148">
        <v>-4.053358E-2</v>
      </c>
      <c r="W148">
        <v>-5.4334880000000002E-3</v>
      </c>
      <c r="X148">
        <v>0.99916340000000003</v>
      </c>
      <c r="Y148">
        <v>4.1995440000000002E-2</v>
      </c>
      <c r="Z148">
        <v>-1.8069889999999999E-3</v>
      </c>
      <c r="AA148">
        <v>0.99911620000000001</v>
      </c>
      <c r="AB148">
        <v>19</v>
      </c>
      <c r="AC148">
        <v>0.64779999999996096</v>
      </c>
      <c r="AD148">
        <v>-6.4184000000000005E-2</v>
      </c>
      <c r="AE148">
        <v>-3.3600000000035303E-2</v>
      </c>
      <c r="AF148">
        <v>3.4993006730629397E-2</v>
      </c>
      <c r="AG148">
        <v>-6.4184000000000005E-2</v>
      </c>
      <c r="AH148">
        <v>0.64142774789944201</v>
      </c>
      <c r="AI148">
        <v>95.7058106158822</v>
      </c>
      <c r="AJ148">
        <v>86.877331732320798</v>
      </c>
      <c r="AK148">
        <v>0.64558008964914704</v>
      </c>
    </row>
    <row r="149" spans="1:37" x14ac:dyDescent="0.2">
      <c r="A149" t="str">
        <f>"20200111155756156"</f>
        <v>20200111155756156</v>
      </c>
      <c r="B149" t="str">
        <f>"1578729476151214"</f>
        <v>1578729476151214</v>
      </c>
      <c r="C149" t="s">
        <v>37</v>
      </c>
      <c r="D149">
        <v>6.2073299999999998</v>
      </c>
      <c r="E149">
        <v>0.53051539999999997</v>
      </c>
      <c r="F149" t="s">
        <v>38</v>
      </c>
      <c r="G149">
        <v>-459.71129999999999</v>
      </c>
      <c r="H149">
        <v>1.042011</v>
      </c>
      <c r="I149">
        <v>367.51850000000002</v>
      </c>
      <c r="J149">
        <v>-460.33940000000001</v>
      </c>
      <c r="K149">
        <v>1.1043369999999999</v>
      </c>
      <c r="L149">
        <v>367.55</v>
      </c>
      <c r="M149">
        <v>0.99993310000000002</v>
      </c>
      <c r="N149">
        <v>0</v>
      </c>
      <c r="O149">
        <v>2.7069949999999998E-3</v>
      </c>
      <c r="P149">
        <v>0.99892009999999898</v>
      </c>
      <c r="Q149">
        <v>-1.6235980000000001E-2</v>
      </c>
      <c r="R149">
        <v>4.3535490000000003E-2</v>
      </c>
      <c r="S149">
        <v>3.0042719999999998</v>
      </c>
      <c r="T149">
        <v>-0.229273</v>
      </c>
      <c r="U149">
        <v>-0.112915</v>
      </c>
      <c r="V149">
        <v>-4.0831449999999998E-2</v>
      </c>
      <c r="W149">
        <v>-4.9962560000000001E-3</v>
      </c>
      <c r="X149">
        <v>0.99915359999999998</v>
      </c>
      <c r="Y149">
        <v>4.0139000000000001E-2</v>
      </c>
      <c r="Z149">
        <v>-1.7350849999999999E-3</v>
      </c>
      <c r="AA149">
        <v>0.99919259999999999</v>
      </c>
      <c r="AB149">
        <v>19</v>
      </c>
      <c r="AC149">
        <v>0.62810000000001698</v>
      </c>
      <c r="AD149">
        <v>-6.2326000000000097E-2</v>
      </c>
      <c r="AE149">
        <v>-3.1499999999993998E-2</v>
      </c>
      <c r="AF149">
        <v>3.2877341802534397E-2</v>
      </c>
      <c r="AG149">
        <v>-6.2326000000000097E-2</v>
      </c>
      <c r="AH149">
        <v>0.62190421936101203</v>
      </c>
      <c r="AI149">
        <v>95.715032354897502</v>
      </c>
      <c r="AJ149">
        <v>86.973841088240903</v>
      </c>
      <c r="AK149">
        <v>0.62588362172134804</v>
      </c>
    </row>
    <row r="150" spans="1:37" x14ac:dyDescent="0.2">
      <c r="A150" t="str">
        <f>"20200111155756179"</f>
        <v>20200111155756179</v>
      </c>
      <c r="B150" t="str">
        <f>"1578729476171492"</f>
        <v>1578729476171492</v>
      </c>
      <c r="C150" t="s">
        <v>37</v>
      </c>
      <c r="D150">
        <v>6.162706</v>
      </c>
      <c r="E150">
        <v>0.51406969999999996</v>
      </c>
      <c r="F150" t="s">
        <v>38</v>
      </c>
      <c r="G150">
        <v>-459.5412</v>
      </c>
      <c r="H150">
        <v>1.043892</v>
      </c>
      <c r="I150">
        <v>367.52260000000001</v>
      </c>
      <c r="J150">
        <v>-460.14729999999997</v>
      </c>
      <c r="K150">
        <v>1.1043419999999999</v>
      </c>
      <c r="L150">
        <v>367.5505</v>
      </c>
      <c r="M150">
        <v>0.99993109999999996</v>
      </c>
      <c r="N150">
        <v>0</v>
      </c>
      <c r="O150">
        <v>2.7344740000000002E-3</v>
      </c>
      <c r="P150">
        <v>0.99895270000000003</v>
      </c>
      <c r="Q150">
        <v>-1.4374079999999999E-2</v>
      </c>
      <c r="R150">
        <v>4.344017E-2</v>
      </c>
      <c r="S150">
        <v>3.004089</v>
      </c>
      <c r="T150">
        <v>-0.22740779999999999</v>
      </c>
      <c r="U150">
        <v>-0.104064899999999</v>
      </c>
      <c r="V150">
        <v>-4.0708389999999997E-2</v>
      </c>
      <c r="W150">
        <v>-2.9651719999999999E-3</v>
      </c>
      <c r="X150">
        <v>0.99916669999999996</v>
      </c>
      <c r="Y150">
        <v>3.7238979999999998E-2</v>
      </c>
      <c r="Z150">
        <v>-1.613707E-3</v>
      </c>
      <c r="AA150">
        <v>0.99930509999999995</v>
      </c>
      <c r="AB150">
        <v>19</v>
      </c>
      <c r="AC150">
        <v>0.606099999999969</v>
      </c>
      <c r="AD150">
        <v>-6.0449999999999803E-2</v>
      </c>
      <c r="AE150">
        <v>-2.7899999999988202E-2</v>
      </c>
      <c r="AF150">
        <v>2.9266858510994701E-2</v>
      </c>
      <c r="AG150">
        <v>-6.0449999999999803E-2</v>
      </c>
      <c r="AH150">
        <v>0.60006504724647203</v>
      </c>
      <c r="AI150">
        <v>95.745732782945197</v>
      </c>
      <c r="AJ150">
        <v>87.207736498455802</v>
      </c>
      <c r="AK150">
        <v>0.60381190153392394</v>
      </c>
    </row>
    <row r="151" spans="1:37" x14ac:dyDescent="0.2">
      <c r="A151" t="str">
        <f>"20200111155756200"</f>
        <v>20200111155756200</v>
      </c>
      <c r="B151" t="str">
        <f>"1578729476191012"</f>
        <v>1578729476191012</v>
      </c>
      <c r="C151" t="s">
        <v>37</v>
      </c>
      <c r="D151">
        <v>6.0772559999999904</v>
      </c>
      <c r="E151">
        <v>0.51218799999999998</v>
      </c>
      <c r="F151" t="s">
        <v>38</v>
      </c>
      <c r="G151">
        <v>-459.37189999999998</v>
      </c>
      <c r="H151">
        <v>1.0396809999999901</v>
      </c>
      <c r="I151">
        <v>367.55759999999998</v>
      </c>
      <c r="J151">
        <v>-459.96559999999999</v>
      </c>
      <c r="K151">
        <v>1.104339</v>
      </c>
      <c r="L151">
        <v>367.55110000000002</v>
      </c>
      <c r="M151">
        <v>0.99992999999999899</v>
      </c>
      <c r="N151">
        <v>0</v>
      </c>
      <c r="O151">
        <v>2.7660200000000001E-3</v>
      </c>
      <c r="P151">
        <v>0.9990059</v>
      </c>
      <c r="Q151">
        <v>-1.165772E-2</v>
      </c>
      <c r="R151">
        <v>4.3028629999999998E-2</v>
      </c>
      <c r="S151">
        <v>2.9982599999999899</v>
      </c>
      <c r="T151">
        <v>-0.25029370000000001</v>
      </c>
      <c r="U151">
        <v>2.8717039999999999E-2</v>
      </c>
      <c r="V151">
        <v>-4.0264990000000001E-2</v>
      </c>
      <c r="W151">
        <v>-1.6620099999999999E-4</v>
      </c>
      <c r="X151">
        <v>0.99918899999999999</v>
      </c>
      <c r="Y151">
        <v>-6.7973280000000001E-3</v>
      </c>
      <c r="Z151" s="1">
        <v>5.2705649999999901E-5</v>
      </c>
      <c r="AA151">
        <v>0.99997689999999995</v>
      </c>
      <c r="AB151">
        <v>19</v>
      </c>
      <c r="AC151">
        <v>0.593700000000012</v>
      </c>
      <c r="AD151">
        <v>-6.4658000000000104E-2</v>
      </c>
      <c r="AE151">
        <v>6.4999999999599796E-3</v>
      </c>
      <c r="AF151">
        <v>-4.8007469692894003E-3</v>
      </c>
      <c r="AG151">
        <v>-6.4658000000000104E-2</v>
      </c>
      <c r="AH151">
        <v>0.58675719009471405</v>
      </c>
      <c r="AI151">
        <v>96.288156693944501</v>
      </c>
      <c r="AJ151">
        <v>90.468773807914104</v>
      </c>
      <c r="AK151">
        <v>0.59032847149981504</v>
      </c>
    </row>
    <row r="152" spans="1:37" x14ac:dyDescent="0.2">
      <c r="A152" t="str">
        <f>"20200111155756223"</f>
        <v>20200111155756223</v>
      </c>
      <c r="B152" t="str">
        <f>"1578729476211508"</f>
        <v>1578729476211508</v>
      </c>
      <c r="C152" t="s">
        <v>37</v>
      </c>
      <c r="D152">
        <v>6.167961</v>
      </c>
      <c r="E152">
        <v>0.51086189999999998</v>
      </c>
      <c r="F152" t="s">
        <v>39</v>
      </c>
      <c r="G152">
        <v>-443.52080000000001</v>
      </c>
      <c r="H152" s="1">
        <v>-3.3700299999999999E-6</v>
      </c>
      <c r="I152">
        <v>367.774</v>
      </c>
      <c r="J152">
        <v>-459.7833</v>
      </c>
      <c r="K152">
        <v>1.1043339999999999</v>
      </c>
      <c r="L152">
        <v>367.55160000000001</v>
      </c>
      <c r="M152">
        <v>0.99992919999999996</v>
      </c>
      <c r="N152">
        <v>0</v>
      </c>
      <c r="O152">
        <v>2.7970320000000001E-3</v>
      </c>
      <c r="P152">
        <v>0.99904780000000004</v>
      </c>
      <c r="Q152">
        <v>-1.0813440000000001E-2</v>
      </c>
      <c r="R152">
        <v>4.2272410000000003E-2</v>
      </c>
      <c r="S152">
        <v>2.998901</v>
      </c>
      <c r="T152">
        <v>-0.2013895</v>
      </c>
      <c r="U152">
        <v>4.0649409999999997E-2</v>
      </c>
      <c r="V152">
        <v>-3.9477869999999998E-2</v>
      </c>
      <c r="W152">
        <v>7.5704259999999997E-4</v>
      </c>
      <c r="X152">
        <v>0.99922009999999895</v>
      </c>
      <c r="Y152">
        <v>-1.0738630000000001E-2</v>
      </c>
      <c r="Z152">
        <v>1.7252629999999999E-4</v>
      </c>
      <c r="AA152">
        <v>0.99994229999999995</v>
      </c>
      <c r="AB152">
        <v>19</v>
      </c>
      <c r="AC152">
        <v>16.2624999999999</v>
      </c>
      <c r="AD152">
        <v>-1.1043373700299901</v>
      </c>
      <c r="AE152">
        <v>0.22239999999999299</v>
      </c>
      <c r="AF152">
        <v>-0.17609745757627501</v>
      </c>
      <c r="AG152">
        <v>-1.1043373700299901</v>
      </c>
      <c r="AH152">
        <v>16.1884218158092</v>
      </c>
      <c r="AI152">
        <v>93.902311585456999</v>
      </c>
      <c r="AJ152">
        <v>90.623238217658397</v>
      </c>
      <c r="AK152">
        <v>16.227001331976801</v>
      </c>
    </row>
    <row r="153" spans="1:37" x14ac:dyDescent="0.2">
      <c r="A153" t="str">
        <f>"20200111155756246"</f>
        <v>20200111155756246</v>
      </c>
      <c r="B153" t="str">
        <f>"1578729476240789"</f>
        <v>1578729476240789</v>
      </c>
      <c r="C153" t="s">
        <v>37</v>
      </c>
      <c r="D153">
        <v>6.1828019999999997</v>
      </c>
      <c r="E153">
        <v>0.51164779999999999</v>
      </c>
      <c r="F153" t="s">
        <v>41</v>
      </c>
      <c r="G153">
        <v>-436.8272</v>
      </c>
      <c r="H153">
        <v>-0.05</v>
      </c>
      <c r="I153">
        <v>367.90800000000002</v>
      </c>
      <c r="J153">
        <v>-459.58300000000003</v>
      </c>
      <c r="K153">
        <v>1.1043350000000001</v>
      </c>
      <c r="L153">
        <v>367.55220000000003</v>
      </c>
      <c r="M153">
        <v>0.99992780000000003</v>
      </c>
      <c r="N153">
        <v>0</v>
      </c>
      <c r="O153">
        <v>2.8296020000000001E-3</v>
      </c>
      <c r="P153">
        <v>0.9990599</v>
      </c>
      <c r="Q153">
        <v>-1.106128E-2</v>
      </c>
      <c r="R153">
        <v>4.1918999999999998E-2</v>
      </c>
      <c r="S153">
        <v>2.9992369999999999</v>
      </c>
      <c r="T153">
        <v>-0.1508147</v>
      </c>
      <c r="U153">
        <v>4.6569819999999998E-2</v>
      </c>
      <c r="V153">
        <v>-3.9092410000000001E-2</v>
      </c>
      <c r="W153">
        <v>6.1208430000000004E-4</v>
      </c>
      <c r="X153">
        <v>0.999235399999999</v>
      </c>
      <c r="Y153">
        <v>-1.2683389999999999E-2</v>
      </c>
      <c r="Z153">
        <v>1.764724E-4</v>
      </c>
      <c r="AA153">
        <v>0.99991949999999996</v>
      </c>
      <c r="AB153">
        <v>19</v>
      </c>
      <c r="AC153">
        <v>22.755800000000001</v>
      </c>
      <c r="AD153">
        <v>-1.1543350000000001</v>
      </c>
      <c r="AE153">
        <v>0.35579999999998702</v>
      </c>
      <c r="AF153">
        <v>-0.29065658177967901</v>
      </c>
      <c r="AG153">
        <v>-1.1543350000000001</v>
      </c>
      <c r="AH153">
        <v>22.698321880624199</v>
      </c>
      <c r="AI153">
        <v>92.911060421838201</v>
      </c>
      <c r="AJ153">
        <v>90.733643895088505</v>
      </c>
      <c r="AK153">
        <v>22.729513561384898</v>
      </c>
    </row>
    <row r="154" spans="1:37" x14ac:dyDescent="0.2">
      <c r="A154" t="str">
        <f>"20200111155756268"</f>
        <v>20200111155756268</v>
      </c>
      <c r="B154" t="str">
        <f>"1578729476260862"</f>
        <v>1578729476260862</v>
      </c>
      <c r="C154" t="s">
        <v>37</v>
      </c>
      <c r="D154">
        <v>6.1970789999999996</v>
      </c>
      <c r="E154">
        <v>0.51201209999999997</v>
      </c>
      <c r="F154" t="s">
        <v>41</v>
      </c>
      <c r="G154">
        <v>-435.09840000000003</v>
      </c>
      <c r="H154">
        <v>-0.05</v>
      </c>
      <c r="I154">
        <v>367.86849999999998</v>
      </c>
      <c r="J154">
        <v>-459.390999999999</v>
      </c>
      <c r="K154">
        <v>1.10433</v>
      </c>
      <c r="L154">
        <v>367.55270000000002</v>
      </c>
      <c r="M154">
        <v>0.9999266</v>
      </c>
      <c r="N154">
        <v>0</v>
      </c>
      <c r="O154">
        <v>2.860184E-3</v>
      </c>
      <c r="P154">
        <v>0.99909289999999995</v>
      </c>
      <c r="Q154">
        <v>-1.020154E-2</v>
      </c>
      <c r="R154">
        <v>4.1343230000000002E-2</v>
      </c>
      <c r="S154">
        <v>2.9996339999999999</v>
      </c>
      <c r="T154">
        <v>-0.1414183</v>
      </c>
      <c r="U154">
        <v>3.8757319999999998E-2</v>
      </c>
      <c r="V154">
        <v>-3.848534E-2</v>
      </c>
      <c r="W154">
        <v>1.5595589999999901E-3</v>
      </c>
      <c r="X154">
        <v>0.99925789999999903</v>
      </c>
      <c r="Y154">
        <v>-1.005142E-2</v>
      </c>
      <c r="Z154">
        <v>1.020248E-4</v>
      </c>
      <c r="AA154">
        <v>0.99994950000000005</v>
      </c>
      <c r="AB154">
        <v>19</v>
      </c>
      <c r="AC154">
        <v>24.292599999999901</v>
      </c>
      <c r="AD154">
        <v>-1.1543300000000001</v>
      </c>
      <c r="AE154">
        <v>0.315799999999967</v>
      </c>
      <c r="AF154">
        <v>-0.24575777421654599</v>
      </c>
      <c r="AG154">
        <v>-1.1543300000000001</v>
      </c>
      <c r="AH154">
        <v>24.238683738215599</v>
      </c>
      <c r="AI154">
        <v>92.7264233428062</v>
      </c>
      <c r="AJ154">
        <v>90.580906162987702</v>
      </c>
      <c r="AK154">
        <v>24.2673992012684</v>
      </c>
    </row>
    <row r="155" spans="1:37" x14ac:dyDescent="0.2">
      <c r="A155" t="str">
        <f>"20200111155756290"</f>
        <v>20200111155756290</v>
      </c>
      <c r="B155" t="str">
        <f>"1578729476281358"</f>
        <v>1578729476281358</v>
      </c>
      <c r="C155" t="s">
        <v>37</v>
      </c>
      <c r="D155">
        <v>6.3006690000000001</v>
      </c>
      <c r="E155">
        <v>0.51276670000000002</v>
      </c>
      <c r="F155" t="s">
        <v>41</v>
      </c>
      <c r="G155">
        <v>-437.00479999999999</v>
      </c>
      <c r="H155">
        <v>-0.05</v>
      </c>
      <c r="I155">
        <v>367.81349999999998</v>
      </c>
      <c r="J155">
        <v>-459.21289999999999</v>
      </c>
      <c r="K155">
        <v>1.104328</v>
      </c>
      <c r="L155">
        <v>367.5532</v>
      </c>
      <c r="M155">
        <v>0.99992590000000003</v>
      </c>
      <c r="N155">
        <v>0</v>
      </c>
      <c r="O155">
        <v>2.8887929999999902E-3</v>
      </c>
      <c r="P155">
        <v>0.99910069999999995</v>
      </c>
      <c r="Q155">
        <v>-9.3277280000000004E-3</v>
      </c>
      <c r="R155">
        <v>4.1365689999999997E-2</v>
      </c>
      <c r="S155">
        <v>2.9997250000000002</v>
      </c>
      <c r="T155">
        <v>-0.1546785</v>
      </c>
      <c r="U155">
        <v>3.4942630000000002E-2</v>
      </c>
      <c r="V155">
        <v>-3.8479550000000001E-2</v>
      </c>
      <c r="W155">
        <v>2.4932039999999902E-3</v>
      </c>
      <c r="X155">
        <v>0.99925629999999999</v>
      </c>
      <c r="Y155">
        <v>-8.7511829999999992E-3</v>
      </c>
      <c r="Z155" s="1">
        <v>7.6602480000000003E-5</v>
      </c>
      <c r="AA155">
        <v>0.99996169999999995</v>
      </c>
      <c r="AB155">
        <v>19</v>
      </c>
      <c r="AC155">
        <v>22.208100000000002</v>
      </c>
      <c r="AD155">
        <v>-1.154328</v>
      </c>
      <c r="AE155">
        <v>0.260299999999972</v>
      </c>
      <c r="AF155">
        <v>-0.195611414467629</v>
      </c>
      <c r="AG155">
        <v>-1.154328</v>
      </c>
      <c r="AH155">
        <v>22.148927991152899</v>
      </c>
      <c r="AI155">
        <v>92.983249011465105</v>
      </c>
      <c r="AJ155">
        <v>90.506002687763498</v>
      </c>
      <c r="AK155">
        <v>22.179850047156101</v>
      </c>
    </row>
    <row r="156" spans="1:37" x14ac:dyDescent="0.2">
      <c r="A156" t="str">
        <f>"20200111155756312"</f>
        <v>20200111155756312</v>
      </c>
      <c r="B156" t="str">
        <f>"1578729476300879"</f>
        <v>1578729476300879</v>
      </c>
      <c r="C156" t="s">
        <v>37</v>
      </c>
      <c r="D156">
        <v>6.1690860000000001</v>
      </c>
      <c r="E156">
        <v>0.51321660000000002</v>
      </c>
      <c r="F156" t="s">
        <v>41</v>
      </c>
      <c r="G156">
        <v>-437.60489999999999</v>
      </c>
      <c r="H156">
        <v>-0.05</v>
      </c>
      <c r="I156">
        <v>367.76679999999999</v>
      </c>
      <c r="J156">
        <v>-459.03280000000001</v>
      </c>
      <c r="K156">
        <v>1.10433799999999</v>
      </c>
      <c r="L156">
        <v>367.55380000000002</v>
      </c>
      <c r="M156">
        <v>0.99992530000000002</v>
      </c>
      <c r="N156">
        <v>0</v>
      </c>
      <c r="O156">
        <v>2.9162849999999998E-3</v>
      </c>
      <c r="P156">
        <v>0.99911340000000004</v>
      </c>
      <c r="Q156">
        <v>-8.8547339999999995E-3</v>
      </c>
      <c r="R156">
        <v>4.1159969999999997E-2</v>
      </c>
      <c r="S156">
        <v>2.9999389999999999</v>
      </c>
      <c r="T156">
        <v>-0.1602606</v>
      </c>
      <c r="U156">
        <v>2.966309E-2</v>
      </c>
      <c r="V156">
        <v>-3.8246009999999997E-2</v>
      </c>
      <c r="W156">
        <v>3.0162919999999998E-3</v>
      </c>
      <c r="X156">
        <v>0.99926380000000004</v>
      </c>
      <c r="Y156">
        <v>-6.9652519999999999E-3</v>
      </c>
      <c r="Z156" s="1">
        <v>3.0222129999999999E-5</v>
      </c>
      <c r="AA156">
        <v>0.99997569999999902</v>
      </c>
      <c r="AB156">
        <v>19</v>
      </c>
      <c r="AC156">
        <v>21.427900000000001</v>
      </c>
      <c r="AD156">
        <v>-1.1543379999999901</v>
      </c>
      <c r="AE156">
        <v>0.212999999999965</v>
      </c>
      <c r="AF156">
        <v>-0.15006936057492801</v>
      </c>
      <c r="AG156">
        <v>-1.1543379999999901</v>
      </c>
      <c r="AH156">
        <v>21.366429492511401</v>
      </c>
      <c r="AI156">
        <v>93.092366615009198</v>
      </c>
      <c r="AJ156">
        <v>90.4024163051687</v>
      </c>
      <c r="AK156">
        <v>21.3981150172086</v>
      </c>
    </row>
    <row r="157" spans="1:37" x14ac:dyDescent="0.2">
      <c r="A157" t="str">
        <f>"20200111155756336"</f>
        <v>20200111155756336</v>
      </c>
      <c r="B157" t="str">
        <f>"1578729476331134"</f>
        <v>1578729476331134</v>
      </c>
      <c r="C157" t="s">
        <v>37</v>
      </c>
      <c r="D157">
        <v>6.1797519999999997</v>
      </c>
      <c r="E157">
        <v>0.51338339999999905</v>
      </c>
      <c r="F157" t="s">
        <v>41</v>
      </c>
      <c r="G157">
        <v>-438.23950000000002</v>
      </c>
      <c r="H157">
        <v>-0.05</v>
      </c>
      <c r="I157">
        <v>367.7346</v>
      </c>
      <c r="J157">
        <v>-458.83109999999999</v>
      </c>
      <c r="K157">
        <v>1.1043449999999999</v>
      </c>
      <c r="L157">
        <v>367.55439999999999</v>
      </c>
      <c r="M157">
        <v>0.99992449999999999</v>
      </c>
      <c r="N157">
        <v>0</v>
      </c>
      <c r="O157">
        <v>2.944402E-3</v>
      </c>
      <c r="P157">
        <v>0.99913410000000002</v>
      </c>
      <c r="Q157">
        <v>-7.9234600000000002E-3</v>
      </c>
      <c r="R157">
        <v>4.0846800000000003E-2</v>
      </c>
      <c r="S157">
        <v>3.0001220000000002</v>
      </c>
      <c r="T157">
        <v>-0.166551</v>
      </c>
      <c r="U157">
        <v>2.6092529999999999E-2</v>
      </c>
      <c r="V157">
        <v>-3.7904720000000003E-2</v>
      </c>
      <c r="W157">
        <v>4.0009549999999996E-3</v>
      </c>
      <c r="X157">
        <v>0.99927339999999998</v>
      </c>
      <c r="Y157">
        <v>-5.7479719999999996E-3</v>
      </c>
      <c r="Z157" s="1">
        <v>-3.9169830000000001E-6</v>
      </c>
      <c r="AA157">
        <v>0.99998349999999903</v>
      </c>
      <c r="AB157">
        <v>19</v>
      </c>
      <c r="AC157">
        <v>20.5915999999999</v>
      </c>
      <c r="AD157">
        <v>-1.154345</v>
      </c>
      <c r="AE157">
        <v>0.18020000000001299</v>
      </c>
      <c r="AF157">
        <v>-0.11919041470452001</v>
      </c>
      <c r="AG157">
        <v>-1.154345</v>
      </c>
      <c r="AH157">
        <v>20.527536160391801</v>
      </c>
      <c r="AI157">
        <v>93.218525611622098</v>
      </c>
      <c r="AJ157">
        <v>90.332676601998799</v>
      </c>
      <c r="AK157">
        <v>20.560312729872901</v>
      </c>
    </row>
    <row r="158" spans="1:37" x14ac:dyDescent="0.2">
      <c r="A158" t="str">
        <f>"20200111155756358"</f>
        <v>20200111155756358</v>
      </c>
      <c r="B158" t="str">
        <f>"1578729476351631"</f>
        <v>1578729476351631</v>
      </c>
      <c r="C158" t="s">
        <v>37</v>
      </c>
      <c r="D158">
        <v>6.1927969999999997</v>
      </c>
      <c r="E158">
        <v>0.51324360000000002</v>
      </c>
      <c r="F158" t="s">
        <v>41</v>
      </c>
      <c r="G158">
        <v>-439.04340000000002</v>
      </c>
      <c r="H158">
        <v>-0.05</v>
      </c>
      <c r="I158">
        <v>367.71440000000001</v>
      </c>
      <c r="J158">
        <v>-458.64150000000001</v>
      </c>
      <c r="K158">
        <v>1.104355</v>
      </c>
      <c r="L158">
        <v>367.55500000000001</v>
      </c>
      <c r="M158">
        <v>0.99992389999999998</v>
      </c>
      <c r="N158">
        <v>0</v>
      </c>
      <c r="O158">
        <v>2.9712390000000001E-3</v>
      </c>
      <c r="P158">
        <v>0.99914849999999999</v>
      </c>
      <c r="Q158">
        <v>-8.1254710000000004E-3</v>
      </c>
      <c r="R158">
        <v>4.044946E-2</v>
      </c>
      <c r="S158">
        <v>3.0002140000000002</v>
      </c>
      <c r="T158">
        <v>-0.17502300000000001</v>
      </c>
      <c r="U158">
        <v>2.426147E-2</v>
      </c>
      <c r="V158">
        <v>-3.7480180000000002E-2</v>
      </c>
      <c r="W158">
        <v>3.8450300000000001E-3</v>
      </c>
      <c r="X158">
        <v>0.99929000000000001</v>
      </c>
      <c r="Y158">
        <v>-5.1112909999999996E-3</v>
      </c>
      <c r="Z158" s="1">
        <v>-2.4235140000000001E-5</v>
      </c>
      <c r="AA158">
        <v>0.99998690000000001</v>
      </c>
      <c r="AB158">
        <v>19</v>
      </c>
      <c r="AC158">
        <v>19.598099999999899</v>
      </c>
      <c r="AD158">
        <v>-1.154355</v>
      </c>
      <c r="AE158">
        <v>0.15940000000000501</v>
      </c>
      <c r="AF158">
        <v>-0.100814741963378</v>
      </c>
      <c r="AG158">
        <v>-1.154355</v>
      </c>
      <c r="AH158">
        <v>19.5307322397313</v>
      </c>
      <c r="AI158">
        <v>93.382460803361496</v>
      </c>
      <c r="AJ158">
        <v>90.295749685923994</v>
      </c>
      <c r="AK158">
        <v>19.5650760514316</v>
      </c>
    </row>
    <row r="159" spans="1:37" x14ac:dyDescent="0.2">
      <c r="A159" t="str">
        <f>"20200111155756380"</f>
        <v>20200111155756380</v>
      </c>
      <c r="B159" t="str">
        <f>"1578729476371150"</f>
        <v>1578729476371150</v>
      </c>
      <c r="C159" t="s">
        <v>37</v>
      </c>
      <c r="D159">
        <v>6.16411</v>
      </c>
      <c r="E159">
        <v>0.51313120000000001</v>
      </c>
      <c r="F159" t="s">
        <v>39</v>
      </c>
      <c r="G159">
        <v>-440.53640000000001</v>
      </c>
      <c r="H159" s="1">
        <v>-4.7932500000000002E-6</v>
      </c>
      <c r="I159">
        <v>367.7038</v>
      </c>
      <c r="J159">
        <v>-458.45370000000003</v>
      </c>
      <c r="K159">
        <v>1.1043609999999999</v>
      </c>
      <c r="L159">
        <v>367.55549999999999</v>
      </c>
      <c r="M159">
        <v>0.99992320000000001</v>
      </c>
      <c r="N159">
        <v>0</v>
      </c>
      <c r="O159">
        <v>2.9999620000000001E-3</v>
      </c>
      <c r="P159">
        <v>0.99913689999999999</v>
      </c>
      <c r="Q159">
        <v>-9.299781E-3</v>
      </c>
      <c r="R159">
        <v>4.0483579999999998E-2</v>
      </c>
      <c r="S159">
        <v>3.0000309999999999</v>
      </c>
      <c r="T159">
        <v>-0.18299270000000001</v>
      </c>
      <c r="U159">
        <v>2.4658199999999901E-2</v>
      </c>
      <c r="V159">
        <v>-3.7485570000000003E-2</v>
      </c>
      <c r="W159">
        <v>2.7096870000000001E-3</v>
      </c>
      <c r="X159">
        <v>0.99929349999999995</v>
      </c>
      <c r="Y159">
        <v>-5.2148100000000003E-3</v>
      </c>
      <c r="Z159" s="1">
        <v>-2.39346299999999E-5</v>
      </c>
      <c r="AA159">
        <v>0.99998639999999905</v>
      </c>
      <c r="AB159">
        <v>19</v>
      </c>
      <c r="AC159">
        <v>17.917300000000001</v>
      </c>
      <c r="AD159">
        <v>-1.1043657932499999</v>
      </c>
      <c r="AE159">
        <v>0.14830000000000601</v>
      </c>
      <c r="AF159">
        <v>-9.4186427768089706E-2</v>
      </c>
      <c r="AG159">
        <v>-1.1043657932499999</v>
      </c>
      <c r="AH159">
        <v>17.8498555423817</v>
      </c>
      <c r="AI159">
        <v>93.540312671219795</v>
      </c>
      <c r="AJ159">
        <v>90.302323719247298</v>
      </c>
      <c r="AK159">
        <v>17.884234335647999</v>
      </c>
    </row>
    <row r="160" spans="1:37" x14ac:dyDescent="0.2">
      <c r="A160" t="str">
        <f>"20200111155756402"</f>
        <v>20200111155756402</v>
      </c>
      <c r="B160" t="str">
        <f>"1578729476390671"</f>
        <v>1578729476390671</v>
      </c>
      <c r="C160" t="s">
        <v>37</v>
      </c>
      <c r="D160">
        <v>6.1173820000000001</v>
      </c>
      <c r="E160">
        <v>0.51294319999999904</v>
      </c>
      <c r="F160" t="s">
        <v>39</v>
      </c>
      <c r="G160">
        <v>-440.99220000000003</v>
      </c>
      <c r="H160" s="1">
        <v>-4.5774499999999997E-6</v>
      </c>
      <c r="I160">
        <v>367.70569999999998</v>
      </c>
      <c r="J160">
        <v>-458.27099999999899</v>
      </c>
      <c r="K160">
        <v>1.104358</v>
      </c>
      <c r="L160">
        <v>367.55619999999999</v>
      </c>
      <c r="M160">
        <v>0.99992289999999995</v>
      </c>
      <c r="N160">
        <v>0</v>
      </c>
      <c r="O160">
        <v>3.028556E-3</v>
      </c>
      <c r="P160">
        <v>0.9991141</v>
      </c>
      <c r="Q160">
        <v>-1.12372999999999E-2</v>
      </c>
      <c r="R160">
        <v>4.0558110000000001E-2</v>
      </c>
      <c r="S160">
        <v>2.99981699999999</v>
      </c>
      <c r="T160">
        <v>-0.1897259</v>
      </c>
      <c r="U160">
        <v>2.5787350000000001E-2</v>
      </c>
      <c r="V160">
        <v>-3.7532389999999999E-2</v>
      </c>
      <c r="W160">
        <v>8.0281899999999997E-4</v>
      </c>
      <c r="X160">
        <v>0.99929509999999899</v>
      </c>
      <c r="Y160">
        <v>-5.5622279999999998E-3</v>
      </c>
      <c r="Z160" s="1">
        <v>-1.5646860000000002E-5</v>
      </c>
      <c r="AA160">
        <v>0.99998449999999905</v>
      </c>
      <c r="AB160">
        <v>19</v>
      </c>
      <c r="AC160">
        <v>17.278799999999901</v>
      </c>
      <c r="AD160">
        <v>-1.1043625774500001</v>
      </c>
      <c r="AE160">
        <v>0.149499999999989</v>
      </c>
      <c r="AF160">
        <v>-9.6770424602436594E-2</v>
      </c>
      <c r="AG160">
        <v>-1.1043625774500001</v>
      </c>
      <c r="AH160">
        <v>17.2088798651363</v>
      </c>
      <c r="AI160">
        <v>93.671806106178096</v>
      </c>
      <c r="AJ160">
        <v>90.322187063544902</v>
      </c>
      <c r="AK160">
        <v>17.2445506589834</v>
      </c>
    </row>
    <row r="161" spans="1:37" x14ac:dyDescent="0.2">
      <c r="A161" t="str">
        <f>"20200111155756423"</f>
        <v>20200111155756423</v>
      </c>
      <c r="B161" t="str">
        <f>"1578729476420927"</f>
        <v>1578729476420927</v>
      </c>
      <c r="C161" t="s">
        <v>37</v>
      </c>
      <c r="D161">
        <v>6.0034919999999996</v>
      </c>
      <c r="E161">
        <v>0.51292159999999998</v>
      </c>
      <c r="F161" t="s">
        <v>39</v>
      </c>
      <c r="G161">
        <v>-441.66230000000002</v>
      </c>
      <c r="H161" s="1">
        <v>-4.2598250000000003E-6</v>
      </c>
      <c r="I161">
        <v>367.71039999999999</v>
      </c>
      <c r="J161">
        <v>-458.09019999999998</v>
      </c>
      <c r="K161">
        <v>1.1043419999999999</v>
      </c>
      <c r="L161">
        <v>367.55669999999998</v>
      </c>
      <c r="M161">
        <v>0.99992239999999999</v>
      </c>
      <c r="N161">
        <v>0</v>
      </c>
      <c r="O161">
        <v>3.0562900000000001E-3</v>
      </c>
      <c r="P161">
        <v>0.99906550000000005</v>
      </c>
      <c r="Q161">
        <v>-1.430593E-2</v>
      </c>
      <c r="R161">
        <v>4.0786429999999999E-2</v>
      </c>
      <c r="S161">
        <v>2.999298</v>
      </c>
      <c r="T161">
        <v>-0.19943229999999901</v>
      </c>
      <c r="U161">
        <v>2.786255E-2</v>
      </c>
      <c r="V161">
        <v>-3.7732910000000001E-2</v>
      </c>
      <c r="W161">
        <v>-2.2390309999999998E-3</v>
      </c>
      <c r="X161">
        <v>0.99928530000000004</v>
      </c>
      <c r="Y161">
        <v>-6.2258679999999999E-3</v>
      </c>
      <c r="Z161" s="1">
        <v>3.7483409999999998E-6</v>
      </c>
      <c r="AA161">
        <v>0.9999806</v>
      </c>
      <c r="AB161">
        <v>19</v>
      </c>
      <c r="AC161">
        <v>16.427899999999902</v>
      </c>
      <c r="AD161">
        <v>-1.104346259825</v>
      </c>
      <c r="AE161">
        <v>0.15370000000001399</v>
      </c>
      <c r="AF161">
        <v>-0.103021675045396</v>
      </c>
      <c r="AG161">
        <v>-1.104346259825</v>
      </c>
      <c r="AH161">
        <v>16.354393318856999</v>
      </c>
      <c r="AI161">
        <v>93.863012172773907</v>
      </c>
      <c r="AJ161">
        <v>90.360920089734194</v>
      </c>
      <c r="AK161">
        <v>16.391960680619999</v>
      </c>
    </row>
    <row r="162" spans="1:37" x14ac:dyDescent="0.2">
      <c r="A162" t="str">
        <f>"20200111155756448"</f>
        <v>20200111155756448</v>
      </c>
      <c r="B162" t="str">
        <f>"1578729476441423"</f>
        <v>1578729476441423</v>
      </c>
      <c r="C162" t="s">
        <v>37</v>
      </c>
      <c r="D162">
        <v>6.2037230000000001</v>
      </c>
      <c r="E162">
        <v>0.51257439999999999</v>
      </c>
      <c r="F162" t="s">
        <v>39</v>
      </c>
      <c r="G162">
        <v>-441.2561</v>
      </c>
      <c r="H162" s="1">
        <v>-4.4513549999999997E-6</v>
      </c>
      <c r="I162">
        <v>367.7133</v>
      </c>
      <c r="J162">
        <v>-457.89420000000001</v>
      </c>
      <c r="K162">
        <v>1.104333</v>
      </c>
      <c r="L162">
        <v>367.5573</v>
      </c>
      <c r="M162">
        <v>0.99992199999999998</v>
      </c>
      <c r="N162">
        <v>0</v>
      </c>
      <c r="O162">
        <v>3.0856429999999999E-3</v>
      </c>
      <c r="P162">
        <v>0.99900419999999901</v>
      </c>
      <c r="Q162">
        <v>-1.693416E-2</v>
      </c>
      <c r="R162">
        <v>4.1278469999999998E-2</v>
      </c>
      <c r="S162">
        <v>2.99884</v>
      </c>
      <c r="T162">
        <v>-0.19672919999999999</v>
      </c>
      <c r="U162">
        <v>2.7893069999999999E-2</v>
      </c>
      <c r="V162">
        <v>-3.8195699999999999E-2</v>
      </c>
      <c r="W162">
        <v>-4.8416350000000004E-3</v>
      </c>
      <c r="X162">
        <v>0.999258599999999</v>
      </c>
      <c r="Y162">
        <v>-6.2083919999999897E-3</v>
      </c>
      <c r="Z162" s="1">
        <v>1.2019150000000001E-6</v>
      </c>
      <c r="AA162">
        <v>0.99998069999999895</v>
      </c>
      <c r="AB162">
        <v>19</v>
      </c>
      <c r="AC162">
        <v>16.638100000000001</v>
      </c>
      <c r="AD162">
        <v>-1.1043374513549999</v>
      </c>
      <c r="AE162">
        <v>0.156000000000005</v>
      </c>
      <c r="AF162">
        <v>-0.104197258466537</v>
      </c>
      <c r="AG162">
        <v>-1.1043374513549999</v>
      </c>
      <c r="AH162">
        <v>16.565528996461701</v>
      </c>
      <c r="AI162">
        <v>93.813892353566004</v>
      </c>
      <c r="AJ162">
        <v>90.360385980827701</v>
      </c>
      <c r="AK162">
        <v>16.602625370939101</v>
      </c>
    </row>
    <row r="163" spans="1:37" x14ac:dyDescent="0.2">
      <c r="A163" t="str">
        <f>"20200111155756461"</f>
        <v>20200111155756461</v>
      </c>
      <c r="B163" t="str">
        <f>"1578729476451183"</f>
        <v>1578729476451183</v>
      </c>
      <c r="C163" t="s">
        <v>37</v>
      </c>
      <c r="D163">
        <v>6.1382190000000003</v>
      </c>
      <c r="E163">
        <v>0.51251429999999998</v>
      </c>
      <c r="F163" t="s">
        <v>39</v>
      </c>
      <c r="G163">
        <v>-441.58109999999999</v>
      </c>
      <c r="H163" s="1">
        <v>-4.2945599999999899E-6</v>
      </c>
      <c r="I163">
        <v>367.7312</v>
      </c>
      <c r="J163">
        <v>-457.77449999999999</v>
      </c>
      <c r="K163">
        <v>1.10433</v>
      </c>
      <c r="L163">
        <v>367.55770000000001</v>
      </c>
      <c r="M163">
        <v>0.99992169999999903</v>
      </c>
      <c r="N163">
        <v>0</v>
      </c>
      <c r="O163">
        <v>3.1032059999999998E-3</v>
      </c>
      <c r="P163">
        <v>0.99897809999999898</v>
      </c>
      <c r="Q163">
        <v>-1.782767E-2</v>
      </c>
      <c r="R163">
        <v>4.1531609999999997E-2</v>
      </c>
      <c r="S163">
        <v>2.9982599999999899</v>
      </c>
      <c r="T163">
        <v>-0.20297100000000001</v>
      </c>
      <c r="U163">
        <v>3.1951899999999998E-2</v>
      </c>
      <c r="V163">
        <v>-3.8430909999999999E-2</v>
      </c>
      <c r="W163">
        <v>-5.7211639999999999E-3</v>
      </c>
      <c r="X163">
        <v>0.99924489999999999</v>
      </c>
      <c r="Y163">
        <v>-7.54274E-3</v>
      </c>
      <c r="Z163" s="1">
        <v>4.5164909999999999E-5</v>
      </c>
      <c r="AA163">
        <v>0.99997159999999996</v>
      </c>
      <c r="AB163">
        <v>19</v>
      </c>
      <c r="AC163">
        <v>16.193399999999901</v>
      </c>
      <c r="AD163">
        <v>-1.1043342945600001</v>
      </c>
      <c r="AE163">
        <v>0.173499999999989</v>
      </c>
      <c r="AF163">
        <v>-0.122673554236734</v>
      </c>
      <c r="AG163">
        <v>-1.1043342945600001</v>
      </c>
      <c r="AH163">
        <v>16.118903725527101</v>
      </c>
      <c r="AI163">
        <v>93.919196376348594</v>
      </c>
      <c r="AJ163">
        <v>90.436043377327493</v>
      </c>
      <c r="AK163">
        <v>16.157155082125801</v>
      </c>
    </row>
    <row r="164" spans="1:37" x14ac:dyDescent="0.2">
      <c r="A164" t="str">
        <f>"20200111155756481"</f>
        <v>20200111155756481</v>
      </c>
      <c r="B164" t="str">
        <f>"1578729476471030"</f>
        <v>1578729476471030</v>
      </c>
      <c r="C164" t="s">
        <v>37</v>
      </c>
      <c r="D164">
        <v>6.1417219999999997</v>
      </c>
      <c r="E164">
        <v>0.51233989999999996</v>
      </c>
      <c r="F164" t="s">
        <v>39</v>
      </c>
      <c r="G164">
        <v>-441.74979999999999</v>
      </c>
      <c r="H164" s="1">
        <v>-4.2137610000000002E-6</v>
      </c>
      <c r="I164">
        <v>367.736999999999</v>
      </c>
      <c r="J164">
        <v>-457.60640000000001</v>
      </c>
      <c r="K164">
        <v>1.104328</v>
      </c>
      <c r="L164">
        <v>367.55829999999997</v>
      </c>
      <c r="M164">
        <v>0.99992159999999997</v>
      </c>
      <c r="N164">
        <v>0</v>
      </c>
      <c r="O164">
        <v>3.1283790000000001E-3</v>
      </c>
      <c r="P164">
        <v>0.99894709999999998</v>
      </c>
      <c r="Q164">
        <v>-1.8769250000000001E-2</v>
      </c>
      <c r="R164">
        <v>4.186691E-2</v>
      </c>
      <c r="S164">
        <v>2.9979550000000001</v>
      </c>
      <c r="T164">
        <v>-0.20660300000000001</v>
      </c>
      <c r="U164">
        <v>3.3538819999999997E-2</v>
      </c>
      <c r="V164">
        <v>-3.8741829999999998E-2</v>
      </c>
      <c r="W164">
        <v>-6.6460740000000001E-3</v>
      </c>
      <c r="X164">
        <v>0.99922719999999898</v>
      </c>
      <c r="Y164">
        <v>-8.0464009999999999E-3</v>
      </c>
      <c r="Z164" s="1">
        <v>6.1576719999999896E-5</v>
      </c>
      <c r="AA164">
        <v>0.99996759999999996</v>
      </c>
      <c r="AB164">
        <v>19</v>
      </c>
      <c r="AC164">
        <v>15.8566</v>
      </c>
      <c r="AD164">
        <v>-1.1043322137610001</v>
      </c>
      <c r="AE164">
        <v>0.178699999999992</v>
      </c>
      <c r="AF164">
        <v>-0.128466984699311</v>
      </c>
      <c r="AG164">
        <v>-1.1043322137610001</v>
      </c>
      <c r="AH164">
        <v>15.7805489096732</v>
      </c>
      <c r="AI164">
        <v>94.002934367532404</v>
      </c>
      <c r="AJ164">
        <v>90.466425691174507</v>
      </c>
      <c r="AK164">
        <v>15.819664259872701</v>
      </c>
    </row>
    <row r="165" spans="1:37" x14ac:dyDescent="0.2">
      <c r="A165" t="str">
        <f>"20200111155756714"</f>
        <v>20200111155756714</v>
      </c>
      <c r="B165" t="str">
        <f>"1578729476710758"</f>
        <v>1578729476710758</v>
      </c>
      <c r="C165" t="s">
        <v>37</v>
      </c>
      <c r="D165">
        <v>6.1601319999999999</v>
      </c>
      <c r="E165">
        <v>0.51206169999999995</v>
      </c>
      <c r="F165" t="s">
        <v>39</v>
      </c>
      <c r="G165">
        <v>-441.92160000000001</v>
      </c>
      <c r="H165" s="1">
        <v>-4.130919E-6</v>
      </c>
      <c r="I165">
        <v>367.74619999999999</v>
      </c>
      <c r="J165">
        <v>-455.65440000000001</v>
      </c>
      <c r="K165">
        <v>1.104366</v>
      </c>
      <c r="L165">
        <v>367.5652</v>
      </c>
      <c r="M165">
        <v>0.99992219999999998</v>
      </c>
      <c r="N165">
        <v>0</v>
      </c>
      <c r="O165">
        <v>3.4266929999999902E-3</v>
      </c>
      <c r="P165">
        <v>0.99902839999999904</v>
      </c>
      <c r="Q165">
        <v>-1.7948019999999999E-2</v>
      </c>
      <c r="R165">
        <v>4.0252799999999998E-2</v>
      </c>
      <c r="S165">
        <v>2.9976500000000001</v>
      </c>
      <c r="T165">
        <v>-0.21105779999999999</v>
      </c>
      <c r="U165">
        <v>3.5919189999999997E-2</v>
      </c>
      <c r="V165">
        <v>-3.6828890000000003E-2</v>
      </c>
      <c r="W165">
        <v>-5.9552959999999997E-3</v>
      </c>
      <c r="X165">
        <v>0.99930379999999996</v>
      </c>
      <c r="Y165">
        <v>-8.5421630000000002E-3</v>
      </c>
      <c r="Z165" s="1">
        <v>5.93601099999999E-5</v>
      </c>
      <c r="AA165">
        <v>0.99996350000000001</v>
      </c>
      <c r="AB165">
        <v>19</v>
      </c>
      <c r="AC165">
        <v>13.7327999999999</v>
      </c>
      <c r="AD165">
        <v>-1.1043701309189999</v>
      </c>
      <c r="AE165">
        <v>0.18099999999998301</v>
      </c>
      <c r="AF165">
        <v>-0.13307698673405199</v>
      </c>
      <c r="AG165">
        <v>-1.1043701309189999</v>
      </c>
      <c r="AH165">
        <v>13.6451103586275</v>
      </c>
      <c r="AI165">
        <v>94.626942110745404</v>
      </c>
      <c r="AJ165">
        <v>90.558772172546497</v>
      </c>
      <c r="AK165">
        <v>13.690375435669701</v>
      </c>
    </row>
    <row r="166" spans="1:37" x14ac:dyDescent="0.2">
      <c r="A166" t="str">
        <f>"20200111155756737"</f>
        <v>20200111155756737</v>
      </c>
      <c r="B166" t="str">
        <f>"1578729476731254"</f>
        <v>1578729476731254</v>
      </c>
      <c r="C166" t="s">
        <v>37</v>
      </c>
      <c r="D166">
        <v>6.220345</v>
      </c>
      <c r="E166">
        <v>0.5120363</v>
      </c>
      <c r="F166" t="s">
        <v>41</v>
      </c>
      <c r="G166">
        <v>-438.35739999999998</v>
      </c>
      <c r="H166">
        <v>-0.05</v>
      </c>
      <c r="I166">
        <v>367.75069999999999</v>
      </c>
      <c r="J166">
        <v>-455.4649</v>
      </c>
      <c r="K166">
        <v>1.1043620000000001</v>
      </c>
      <c r="L166">
        <v>367.5659</v>
      </c>
      <c r="M166">
        <v>0.99992219999999998</v>
      </c>
      <c r="N166">
        <v>0</v>
      </c>
      <c r="O166">
        <v>3.4558929999999998E-3</v>
      </c>
      <c r="P166">
        <v>0.9990038</v>
      </c>
      <c r="Q166">
        <v>-1.8401089999999998E-2</v>
      </c>
      <c r="R166">
        <v>4.065854E-2</v>
      </c>
      <c r="S166">
        <v>2.9980159999999998</v>
      </c>
      <c r="T166">
        <v>-0.20008099999999901</v>
      </c>
      <c r="U166">
        <v>3.2165529999999998E-2</v>
      </c>
      <c r="V166">
        <v>-3.7205699999999897E-2</v>
      </c>
      <c r="W166">
        <v>-6.427805E-3</v>
      </c>
      <c r="X166">
        <v>0.99928689999999998</v>
      </c>
      <c r="Y166">
        <v>-7.2638449999999997E-3</v>
      </c>
      <c r="Z166" s="1">
        <v>1.171931E-5</v>
      </c>
      <c r="AA166">
        <v>0.99997359999999902</v>
      </c>
      <c r="AB166">
        <v>19</v>
      </c>
      <c r="AC166">
        <v>17.107500000000002</v>
      </c>
      <c r="AD166">
        <v>-1.1543620000000001</v>
      </c>
      <c r="AE166">
        <v>0.184799999999995</v>
      </c>
      <c r="AF166">
        <v>-0.12510341307559</v>
      </c>
      <c r="AG166">
        <v>-1.1543620000000001</v>
      </c>
      <c r="AH166">
        <v>17.0305033125356</v>
      </c>
      <c r="AI166">
        <v>93.877588353015199</v>
      </c>
      <c r="AJ166">
        <v>90.420878262643001</v>
      </c>
      <c r="AK166">
        <v>17.070039413231999</v>
      </c>
    </row>
    <row r="167" spans="1:37" x14ac:dyDescent="0.2">
      <c r="A167" t="str">
        <f>"20200111155756751"</f>
        <v>20200111155756751</v>
      </c>
      <c r="B167" t="str">
        <f>"1578729476741015"</f>
        <v>1578729476741015</v>
      </c>
      <c r="C167" t="s">
        <v>37</v>
      </c>
      <c r="D167">
        <v>6.1482979999999996</v>
      </c>
      <c r="E167">
        <v>0.51184849999999904</v>
      </c>
      <c r="F167" t="s">
        <v>41</v>
      </c>
      <c r="G167">
        <v>-438.28190000000001</v>
      </c>
      <c r="H167">
        <v>-0.05</v>
      </c>
      <c r="I167">
        <v>367.75760000000002</v>
      </c>
      <c r="J167">
        <v>-455.34769999999997</v>
      </c>
      <c r="K167">
        <v>1.104363</v>
      </c>
      <c r="L167">
        <v>367.56630000000001</v>
      </c>
      <c r="M167">
        <v>0.99992250000000005</v>
      </c>
      <c r="N167">
        <v>0</v>
      </c>
      <c r="O167">
        <v>3.4736599999999999E-3</v>
      </c>
      <c r="P167">
        <v>0.99900959999999905</v>
      </c>
      <c r="Q167">
        <v>-1.8079939999999999E-2</v>
      </c>
      <c r="R167">
        <v>4.0661589999999997E-2</v>
      </c>
      <c r="S167">
        <v>2.997925</v>
      </c>
      <c r="T167">
        <v>-0.20140250000000001</v>
      </c>
      <c r="U167">
        <v>3.3447270000000001E-2</v>
      </c>
      <c r="V167">
        <v>-3.7191009999999997E-2</v>
      </c>
      <c r="W167">
        <v>-6.117379E-3</v>
      </c>
      <c r="X167">
        <v>0.99928950000000005</v>
      </c>
      <c r="Y167">
        <v>-7.6728909999999899E-3</v>
      </c>
      <c r="Z167" s="1">
        <v>2.4328739999999999E-5</v>
      </c>
      <c r="AA167">
        <v>0.99997060000000004</v>
      </c>
      <c r="AB167">
        <v>19</v>
      </c>
      <c r="AC167">
        <v>17.0657999999999</v>
      </c>
      <c r="AD167">
        <v>-1.154363</v>
      </c>
      <c r="AE167">
        <v>0.19130000000001199</v>
      </c>
      <c r="AF167">
        <v>-0.13141262881676199</v>
      </c>
      <c r="AG167">
        <v>-1.154363</v>
      </c>
      <c r="AH167">
        <v>16.9886410863955</v>
      </c>
      <c r="AI167">
        <v>93.887105956934903</v>
      </c>
      <c r="AJ167">
        <v>90.443192530749997</v>
      </c>
      <c r="AK167">
        <v>17.028321971854702</v>
      </c>
    </row>
    <row r="168" spans="1:37" x14ac:dyDescent="0.2">
      <c r="A168" t="str">
        <f>"20200111155756771"</f>
        <v>20200111155756771</v>
      </c>
      <c r="B168" t="str">
        <f>"1578729476761509"</f>
        <v>1578729476761509</v>
      </c>
      <c r="C168" t="s">
        <v>37</v>
      </c>
      <c r="D168">
        <v>6.1532080000000002</v>
      </c>
      <c r="E168">
        <v>0.51169030000000004</v>
      </c>
      <c r="F168" t="s">
        <v>41</v>
      </c>
      <c r="G168">
        <v>-437.79480000000001</v>
      </c>
      <c r="H168">
        <v>-0.05</v>
      </c>
      <c r="I168">
        <v>367.77030000000002</v>
      </c>
      <c r="J168">
        <v>-455.18810000000002</v>
      </c>
      <c r="K168">
        <v>1.104363</v>
      </c>
      <c r="L168">
        <v>367.5668</v>
      </c>
      <c r="M168">
        <v>0.99992250000000005</v>
      </c>
      <c r="N168">
        <v>0</v>
      </c>
      <c r="O168">
        <v>3.4978209999999999E-3</v>
      </c>
      <c r="P168">
        <v>0.99898069999999894</v>
      </c>
      <c r="Q168">
        <v>-1.7199619999999999E-2</v>
      </c>
      <c r="R168">
        <v>4.1737969999999999E-2</v>
      </c>
      <c r="S168">
        <v>2.9979550000000001</v>
      </c>
      <c r="T168">
        <v>-0.19716020000000001</v>
      </c>
      <c r="U168">
        <v>3.4851069999999998E-2</v>
      </c>
      <c r="V168">
        <v>-3.8243279999999998E-2</v>
      </c>
      <c r="W168">
        <v>-5.2507669999999999E-3</v>
      </c>
      <c r="X168">
        <v>0.99925459999999999</v>
      </c>
      <c r="Y168">
        <v>-8.1162830000000002E-3</v>
      </c>
      <c r="Z168" s="1">
        <v>3.6793509999999898E-5</v>
      </c>
      <c r="AA168">
        <v>0.99996700000000005</v>
      </c>
      <c r="AB168">
        <v>19</v>
      </c>
      <c r="AC168">
        <v>17.3933</v>
      </c>
      <c r="AD168">
        <v>-1.154363</v>
      </c>
      <c r="AE168">
        <v>0.203500000000019</v>
      </c>
      <c r="AF168">
        <v>-0.142030240391989</v>
      </c>
      <c r="AG168">
        <v>-1.154363</v>
      </c>
      <c r="AH168">
        <v>17.317636101121</v>
      </c>
      <c r="AI168">
        <v>93.813465810990394</v>
      </c>
      <c r="AJ168">
        <v>90.469899635144998</v>
      </c>
      <c r="AK168">
        <v>17.356648485689998</v>
      </c>
    </row>
    <row r="169" spans="1:37" x14ac:dyDescent="0.2">
      <c r="A169" t="str">
        <f>"20200111155756792"</f>
        <v>20200111155756792</v>
      </c>
      <c r="B169" t="str">
        <f>"1578729476781029"</f>
        <v>1578729476781029</v>
      </c>
      <c r="C169" t="s">
        <v>37</v>
      </c>
      <c r="D169">
        <v>6.1759430000000002</v>
      </c>
      <c r="E169">
        <v>0.51152730000000002</v>
      </c>
      <c r="F169" t="s">
        <v>41</v>
      </c>
      <c r="G169">
        <v>-437.53140000000002</v>
      </c>
      <c r="H169">
        <v>-0.05</v>
      </c>
      <c r="I169">
        <v>367.79759999999999</v>
      </c>
      <c r="J169">
        <v>-455.00709999999998</v>
      </c>
      <c r="K169">
        <v>1.1043620000000001</v>
      </c>
      <c r="L169">
        <v>367.5675</v>
      </c>
      <c r="M169">
        <v>0.99992250000000005</v>
      </c>
      <c r="N169">
        <v>0</v>
      </c>
      <c r="O169">
        <v>3.5251409999999999E-3</v>
      </c>
      <c r="P169">
        <v>0.99892649999999905</v>
      </c>
      <c r="Q169">
        <v>-1.6339639999999999E-2</v>
      </c>
      <c r="R169">
        <v>4.3349360000000003E-2</v>
      </c>
      <c r="S169">
        <v>2.9980470000000001</v>
      </c>
      <c r="T169">
        <v>-0.196007399999999</v>
      </c>
      <c r="U169">
        <v>3.9184570000000002E-2</v>
      </c>
      <c r="V169">
        <v>-3.9827700000000001E-2</v>
      </c>
      <c r="W169">
        <v>-4.4047469999999997E-3</v>
      </c>
      <c r="X169">
        <v>0.9991968</v>
      </c>
      <c r="Y169">
        <v>-9.5309250000000009E-3</v>
      </c>
      <c r="Z169" s="1">
        <v>8.0985529999999994E-5</v>
      </c>
      <c r="AA169">
        <v>0.99995460000000003</v>
      </c>
      <c r="AB169">
        <v>19</v>
      </c>
      <c r="AC169">
        <v>17.4756999999999</v>
      </c>
      <c r="AD169">
        <v>-1.1543620000000001</v>
      </c>
      <c r="AE169">
        <v>0.230099999999993</v>
      </c>
      <c r="AF169">
        <v>-0.167758020314761</v>
      </c>
      <c r="AG169">
        <v>-1.1543620000000001</v>
      </c>
      <c r="AH169">
        <v>17.400492221081699</v>
      </c>
      <c r="AI169">
        <v>93.795308514483693</v>
      </c>
      <c r="AJ169">
        <v>90.552371084426596</v>
      </c>
      <c r="AK169">
        <v>17.439547698158599</v>
      </c>
    </row>
    <row r="170" spans="1:37" x14ac:dyDescent="0.2">
      <c r="A170" t="str">
        <f>"20200111155756807"</f>
        <v>20200111155756807</v>
      </c>
      <c r="B170" t="str">
        <f>"1578729476801526"</f>
        <v>1578729476801526</v>
      </c>
      <c r="C170" t="s">
        <v>37</v>
      </c>
      <c r="D170">
        <v>6.12812</v>
      </c>
      <c r="E170">
        <v>0.51149650000000002</v>
      </c>
      <c r="F170" t="s">
        <v>41</v>
      </c>
      <c r="G170">
        <v>-436.91410000000002</v>
      </c>
      <c r="H170">
        <v>-0.05</v>
      </c>
      <c r="I170">
        <v>367.83969999999999</v>
      </c>
      <c r="J170">
        <v>-454.88119999999998</v>
      </c>
      <c r="K170">
        <v>1.104365</v>
      </c>
      <c r="L170">
        <v>367.56799999999998</v>
      </c>
      <c r="M170">
        <v>0.99992259999999999</v>
      </c>
      <c r="N170">
        <v>0</v>
      </c>
      <c r="O170">
        <v>3.5438499999999999E-3</v>
      </c>
      <c r="P170">
        <v>0.99888899999999903</v>
      </c>
      <c r="Q170">
        <v>-1.6042290000000001E-2</v>
      </c>
      <c r="R170">
        <v>4.4311830000000003E-2</v>
      </c>
      <c r="S170">
        <v>2.9981080000000002</v>
      </c>
      <c r="T170">
        <v>-0.1912837</v>
      </c>
      <c r="U170">
        <v>4.5104980000000003E-2</v>
      </c>
      <c r="V170">
        <v>-4.0771580000000002E-2</v>
      </c>
      <c r="W170">
        <v>-4.1161840000000002E-3</v>
      </c>
      <c r="X170">
        <v>0.99916000000000005</v>
      </c>
      <c r="Y170">
        <v>-1.1482849999999999E-2</v>
      </c>
      <c r="Z170">
        <v>1.40044E-4</v>
      </c>
      <c r="AA170">
        <v>0.99993410000000005</v>
      </c>
      <c r="AB170">
        <v>19</v>
      </c>
      <c r="AC170">
        <v>17.967099999999899</v>
      </c>
      <c r="AD170">
        <v>-1.1543650000000001</v>
      </c>
      <c r="AE170">
        <v>0.27169999999995298</v>
      </c>
      <c r="AF170">
        <v>-0.20716608988121901</v>
      </c>
      <c r="AG170">
        <v>-1.1543650000000001</v>
      </c>
      <c r="AH170">
        <v>17.8941017199454</v>
      </c>
      <c r="AI170">
        <v>93.690842222426895</v>
      </c>
      <c r="AJ170">
        <v>90.663303054679403</v>
      </c>
      <c r="AK170">
        <v>17.9324943247105</v>
      </c>
    </row>
    <row r="171" spans="1:37" x14ac:dyDescent="0.2">
      <c r="A171" t="str">
        <f>"20200111155756826"</f>
        <v>20200111155756826</v>
      </c>
      <c r="B171" t="str">
        <f>"1578729476821046"</f>
        <v>1578729476821046</v>
      </c>
      <c r="C171" t="s">
        <v>37</v>
      </c>
      <c r="D171">
        <v>6.1736180000000003</v>
      </c>
      <c r="E171">
        <v>0.51135540000000002</v>
      </c>
      <c r="F171" t="s">
        <v>41</v>
      </c>
      <c r="G171">
        <v>-436.73869999999999</v>
      </c>
      <c r="H171">
        <v>-0.05</v>
      </c>
      <c r="I171">
        <v>367.85910000000001</v>
      </c>
      <c r="J171">
        <v>-454.71620000000001</v>
      </c>
      <c r="K171">
        <v>1.104373</v>
      </c>
      <c r="L171">
        <v>367.56869999999998</v>
      </c>
      <c r="M171">
        <v>0.99992259999999999</v>
      </c>
      <c r="N171">
        <v>0</v>
      </c>
      <c r="O171">
        <v>3.5693529999999999E-3</v>
      </c>
      <c r="P171">
        <v>0.99882439999999995</v>
      </c>
      <c r="Q171">
        <v>-1.528561E-2</v>
      </c>
      <c r="R171">
        <v>4.6005070000000002E-2</v>
      </c>
      <c r="S171">
        <v>2.9981689999999999</v>
      </c>
      <c r="T171">
        <v>-0.19076650000000001</v>
      </c>
      <c r="U171">
        <v>4.8095699999999998E-2</v>
      </c>
      <c r="V171">
        <v>-4.2439640000000001E-2</v>
      </c>
      <c r="W171">
        <v>-3.3698550000000002E-3</v>
      </c>
      <c r="X171">
        <v>0.99909340000000002</v>
      </c>
      <c r="Y171">
        <v>-1.2452420000000001E-2</v>
      </c>
      <c r="Z171">
        <v>1.6885380000000001E-4</v>
      </c>
      <c r="AA171">
        <v>0.99992250000000005</v>
      </c>
      <c r="AB171">
        <v>19</v>
      </c>
      <c r="AC171">
        <v>17.977499999999999</v>
      </c>
      <c r="AD171">
        <v>-1.1543730000000001</v>
      </c>
      <c r="AE171">
        <v>0.29040000000003302</v>
      </c>
      <c r="AF171">
        <v>-0.22529684795722299</v>
      </c>
      <c r="AG171">
        <v>-1.1543730000000001</v>
      </c>
      <c r="AH171">
        <v>17.904617133736998</v>
      </c>
      <c r="AI171">
        <v>93.688661373462907</v>
      </c>
      <c r="AJ171">
        <v>90.720924507716802</v>
      </c>
      <c r="AK171">
        <v>17.943206246335599</v>
      </c>
    </row>
    <row r="172" spans="1:37" x14ac:dyDescent="0.2">
      <c r="A172" t="str">
        <f>"20200111155756849"</f>
        <v>20200111155756849</v>
      </c>
      <c r="B172" t="str">
        <f>"1578729476841542"</f>
        <v>1578729476841542</v>
      </c>
      <c r="C172" t="s">
        <v>37</v>
      </c>
      <c r="D172">
        <v>6.1304489999999996</v>
      </c>
      <c r="E172">
        <v>0.51140169999999996</v>
      </c>
      <c r="F172" t="s">
        <v>41</v>
      </c>
      <c r="G172">
        <v>-436.2133</v>
      </c>
      <c r="H172">
        <v>-0.05</v>
      </c>
      <c r="I172">
        <v>367.90199999999999</v>
      </c>
      <c r="J172">
        <v>-454.52980000000002</v>
      </c>
      <c r="K172">
        <v>1.1043700000000001</v>
      </c>
      <c r="L172">
        <v>367.56939999999997</v>
      </c>
      <c r="M172">
        <v>0.99992250000000005</v>
      </c>
      <c r="N172">
        <v>0</v>
      </c>
      <c r="O172">
        <v>3.5978379999999999E-3</v>
      </c>
      <c r="P172">
        <v>0.99878129999999998</v>
      </c>
      <c r="Q172">
        <v>-1.417182E-2</v>
      </c>
      <c r="R172">
        <v>4.7277449999999999E-2</v>
      </c>
      <c r="S172">
        <v>2.998138</v>
      </c>
      <c r="T172">
        <v>-0.18704889999999999</v>
      </c>
      <c r="U172">
        <v>5.4016109999999999E-2</v>
      </c>
      <c r="V172">
        <v>-4.3683640000000003E-2</v>
      </c>
      <c r="W172">
        <v>-2.2659669999999998E-3</v>
      </c>
      <c r="X172">
        <v>0.99904289999999996</v>
      </c>
      <c r="Y172">
        <v>-1.439502E-2</v>
      </c>
      <c r="Z172">
        <v>2.243275E-4</v>
      </c>
      <c r="AA172">
        <v>0.99989629999999996</v>
      </c>
      <c r="AB172">
        <v>19</v>
      </c>
      <c r="AC172">
        <v>18.316500000000001</v>
      </c>
      <c r="AD172">
        <v>-1.1543699999999999</v>
      </c>
      <c r="AE172">
        <v>0.332600000000013</v>
      </c>
      <c r="AF172">
        <v>-0.26563860761915697</v>
      </c>
      <c r="AG172">
        <v>-1.1543699999999999</v>
      </c>
      <c r="AH172">
        <v>18.245133072771001</v>
      </c>
      <c r="AI172">
        <v>93.619897065610601</v>
      </c>
      <c r="AJ172">
        <v>90.834134546537598</v>
      </c>
      <c r="AK172">
        <v>18.2835449191309</v>
      </c>
    </row>
    <row r="173" spans="1:37" x14ac:dyDescent="0.2">
      <c r="A173" t="str">
        <f>"20200111155756870"</f>
        <v>20200111155756870</v>
      </c>
      <c r="B173" t="str">
        <f>"1578729476861060"</f>
        <v>1578729476861060</v>
      </c>
      <c r="C173" t="s">
        <v>37</v>
      </c>
      <c r="D173">
        <v>6.3186790000000004</v>
      </c>
      <c r="E173">
        <v>0.5114611</v>
      </c>
      <c r="F173" t="s">
        <v>41</v>
      </c>
      <c r="G173">
        <v>-435.62180000000001</v>
      </c>
      <c r="H173">
        <v>-0.05</v>
      </c>
      <c r="I173">
        <v>367.93180000000001</v>
      </c>
      <c r="J173">
        <v>-454.351</v>
      </c>
      <c r="K173">
        <v>1.104376</v>
      </c>
      <c r="L173">
        <v>367.57010000000002</v>
      </c>
      <c r="M173">
        <v>0.99992250000000005</v>
      </c>
      <c r="N173">
        <v>0</v>
      </c>
      <c r="O173">
        <v>3.6256550000000002E-3</v>
      </c>
      <c r="P173">
        <v>0.99875740000000002</v>
      </c>
      <c r="Q173">
        <v>-1.3963450000000001E-2</v>
      </c>
      <c r="R173">
        <v>4.7840519999999997E-2</v>
      </c>
      <c r="S173">
        <v>2.9983520000000001</v>
      </c>
      <c r="T173">
        <v>-0.18305469999999999</v>
      </c>
      <c r="U173">
        <v>5.7464599999999998E-2</v>
      </c>
      <c r="V173">
        <v>-4.4219109999999999E-2</v>
      </c>
      <c r="W173">
        <v>-2.065529E-3</v>
      </c>
      <c r="X173">
        <v>0.99901969999999995</v>
      </c>
      <c r="Y173">
        <v>-1.5514379999999999E-2</v>
      </c>
      <c r="Z173">
        <v>2.5196639999999998E-4</v>
      </c>
      <c r="AA173">
        <v>0.99987959999999998</v>
      </c>
      <c r="AB173">
        <v>19</v>
      </c>
      <c r="AC173">
        <v>18.729199999999899</v>
      </c>
      <c r="AD173">
        <v>-1.1543760000000001</v>
      </c>
      <c r="AE173">
        <v>0.36169999999998398</v>
      </c>
      <c r="AF173">
        <v>-0.292675761032129</v>
      </c>
      <c r="AG173">
        <v>-1.1543760000000001</v>
      </c>
      <c r="AH173">
        <v>18.6595293982075</v>
      </c>
      <c r="AI173">
        <v>93.5396703012876</v>
      </c>
      <c r="AJ173">
        <v>90.898613814729401</v>
      </c>
      <c r="AK173">
        <v>18.697493960770299</v>
      </c>
    </row>
    <row r="174" spans="1:37" x14ac:dyDescent="0.2">
      <c r="A174" t="str">
        <f>"20200111155756893"</f>
        <v>20200111155756893</v>
      </c>
      <c r="B174" t="str">
        <f>"1578729476881557"</f>
        <v>1578729476881557</v>
      </c>
      <c r="C174" t="s">
        <v>37</v>
      </c>
      <c r="D174">
        <v>5.9959339999999903</v>
      </c>
      <c r="E174">
        <v>0.55684659999999997</v>
      </c>
      <c r="F174" t="s">
        <v>41</v>
      </c>
      <c r="G174">
        <v>-435.20760000000001</v>
      </c>
      <c r="H174">
        <v>-0.05</v>
      </c>
      <c r="I174">
        <v>367.94479999999999</v>
      </c>
      <c r="J174">
        <v>-454.16410000000002</v>
      </c>
      <c r="K174">
        <v>1.1043860000000001</v>
      </c>
      <c r="L174">
        <v>367.57080000000002</v>
      </c>
      <c r="M174">
        <v>0.99992259999999999</v>
      </c>
      <c r="N174">
        <v>0</v>
      </c>
      <c r="O174">
        <v>3.6541270000000001E-3</v>
      </c>
      <c r="P174">
        <v>0.9987665</v>
      </c>
      <c r="Q174">
        <v>-1.2552570000000001E-2</v>
      </c>
      <c r="R174">
        <v>4.8045320000000002E-2</v>
      </c>
      <c r="S174">
        <v>2.9984130000000002</v>
      </c>
      <c r="T174">
        <v>-0.18080959999999999</v>
      </c>
      <c r="U174">
        <v>5.8685300000000003E-2</v>
      </c>
      <c r="V174">
        <v>-4.4395440000000001E-2</v>
      </c>
      <c r="W174">
        <v>-6.6146499999999997E-4</v>
      </c>
      <c r="X174">
        <v>0.99901379999999995</v>
      </c>
      <c r="Y174">
        <v>-1.5892340000000001E-2</v>
      </c>
      <c r="Z174">
        <v>2.5854479999999998E-4</v>
      </c>
      <c r="AA174">
        <v>0.99987369999999898</v>
      </c>
      <c r="AB174">
        <v>19</v>
      </c>
      <c r="AC174">
        <v>18.956499999999998</v>
      </c>
      <c r="AD174">
        <v>-1.1543859999999999</v>
      </c>
      <c r="AE174">
        <v>0.37399999999996603</v>
      </c>
      <c r="AF174">
        <v>-0.30359772321069201</v>
      </c>
      <c r="AG174">
        <v>-1.1543859999999999</v>
      </c>
      <c r="AH174">
        <v>18.887724304770099</v>
      </c>
      <c r="AI174">
        <v>93.497020699641297</v>
      </c>
      <c r="AJ174">
        <v>90.920882265761904</v>
      </c>
      <c r="AK174">
        <v>18.9254037744915</v>
      </c>
    </row>
    <row r="175" spans="1:37" x14ac:dyDescent="0.2">
      <c r="A175" t="str">
        <f>"20200111155756917"</f>
        <v>20200111155756917</v>
      </c>
      <c r="B175" t="str">
        <f>"1578729476910837"</f>
        <v>1578729476910837</v>
      </c>
      <c r="C175" t="s">
        <v>37</v>
      </c>
      <c r="D175">
        <v>5.9707800000000004</v>
      </c>
      <c r="E175">
        <v>0.56520519999999996</v>
      </c>
      <c r="F175" t="s">
        <v>38</v>
      </c>
      <c r="G175">
        <v>-453.37560000000002</v>
      </c>
      <c r="H175">
        <v>0.97528549999999903</v>
      </c>
      <c r="I175">
        <v>367.495</v>
      </c>
      <c r="J175">
        <v>-453.96420000000001</v>
      </c>
      <c r="K175">
        <v>1.104395</v>
      </c>
      <c r="L175">
        <v>367.57159999999999</v>
      </c>
      <c r="M175">
        <v>0.99992259999999999</v>
      </c>
      <c r="N175">
        <v>0</v>
      </c>
      <c r="O175">
        <v>3.6844429999999999E-3</v>
      </c>
      <c r="P175">
        <v>0.99878089999999997</v>
      </c>
      <c r="Q175">
        <v>-1.132171E-2</v>
      </c>
      <c r="R175">
        <v>4.8051389999999999E-2</v>
      </c>
      <c r="S175">
        <v>3.0113219999999998</v>
      </c>
      <c r="T175">
        <v>-0.49331359999999902</v>
      </c>
      <c r="U175">
        <v>-0.28799439999999998</v>
      </c>
      <c r="V175">
        <v>-4.4370670000000001E-2</v>
      </c>
      <c r="W175">
        <v>5.6344670000000002E-4</v>
      </c>
      <c r="X175">
        <v>0.99901499999999999</v>
      </c>
      <c r="Y175">
        <v>9.7532969999999997E-2</v>
      </c>
      <c r="Z175">
        <v>-8.5166219999999997E-3</v>
      </c>
      <c r="AA175">
        <v>0.99519590000000002</v>
      </c>
      <c r="AB175">
        <v>19</v>
      </c>
      <c r="AC175">
        <v>0.58859999999998502</v>
      </c>
      <c r="AD175">
        <v>-0.12910949999999999</v>
      </c>
      <c r="AE175">
        <v>-7.6599999999984902E-2</v>
      </c>
      <c r="AF175">
        <v>7.5209877652680404E-2</v>
      </c>
      <c r="AG175">
        <v>-0.12910949999999999</v>
      </c>
      <c r="AH175">
        <v>0.56173622755862496</v>
      </c>
      <c r="AI175">
        <v>102.83338744889799</v>
      </c>
      <c r="AJ175">
        <v>82.374120164968005</v>
      </c>
      <c r="AK175">
        <v>0.58126876575176201</v>
      </c>
    </row>
    <row r="176" spans="1:37" x14ac:dyDescent="0.2">
      <c r="A176" t="str">
        <f>"20200111155756939"</f>
        <v>20200111155756939</v>
      </c>
      <c r="B176" t="str">
        <f>"1578729476931334"</f>
        <v>1578729476931334</v>
      </c>
      <c r="C176" t="s">
        <v>37</v>
      </c>
      <c r="D176">
        <v>5.9837739999999897</v>
      </c>
      <c r="E176">
        <v>0.56718239999999998</v>
      </c>
      <c r="F176" t="s">
        <v>38</v>
      </c>
      <c r="G176">
        <v>-453.21539999999999</v>
      </c>
      <c r="H176">
        <v>0.96182630000000002</v>
      </c>
      <c r="I176">
        <v>367.48430000000002</v>
      </c>
      <c r="J176">
        <v>-453.78469999999999</v>
      </c>
      <c r="K176">
        <v>1.1044039999999999</v>
      </c>
      <c r="L176">
        <v>367.57220000000001</v>
      </c>
      <c r="M176">
        <v>0.99992259999999999</v>
      </c>
      <c r="N176">
        <v>0</v>
      </c>
      <c r="O176">
        <v>3.7112359999999902E-3</v>
      </c>
      <c r="P176">
        <v>0.99882629999999994</v>
      </c>
      <c r="Q176">
        <v>-1.002173E-2</v>
      </c>
      <c r="R176">
        <v>4.7391929999999999E-2</v>
      </c>
      <c r="S176">
        <v>3.0140380000000002</v>
      </c>
      <c r="T176">
        <v>-0.57396459999999905</v>
      </c>
      <c r="U176">
        <v>-0.3502808</v>
      </c>
      <c r="V176">
        <v>-4.368416E-2</v>
      </c>
      <c r="W176">
        <v>1.859489E-3</v>
      </c>
      <c r="X176">
        <v>0.99904359999999903</v>
      </c>
      <c r="Y176">
        <v>0.1169848</v>
      </c>
      <c r="Z176">
        <v>-1.1701720000000001E-2</v>
      </c>
      <c r="AA176">
        <v>0.99306479999999997</v>
      </c>
      <c r="AB176">
        <v>19</v>
      </c>
      <c r="AC176">
        <v>0.56929999999999803</v>
      </c>
      <c r="AD176">
        <v>-0.1425777</v>
      </c>
      <c r="AE176">
        <v>-8.78999999999905E-2</v>
      </c>
      <c r="AF176">
        <v>8.48163565406303E-2</v>
      </c>
      <c r="AG176">
        <v>-0.1425777</v>
      </c>
      <c r="AH176">
        <v>0.53612585984340899</v>
      </c>
      <c r="AI176">
        <v>104.71762711829599</v>
      </c>
      <c r="AJ176">
        <v>81.010179478989301</v>
      </c>
      <c r="AK176">
        <v>0.56120687136469705</v>
      </c>
    </row>
    <row r="177" spans="1:37" x14ac:dyDescent="0.2">
      <c r="A177" t="str">
        <f>"20200111155756960"</f>
        <v>20200111155756960</v>
      </c>
      <c r="B177" t="str">
        <f>"1578729476950853"</f>
        <v>1578729476950853</v>
      </c>
      <c r="C177" t="s">
        <v>37</v>
      </c>
      <c r="D177">
        <v>5.9955610000000004</v>
      </c>
      <c r="E177">
        <v>0.56846169999999996</v>
      </c>
      <c r="F177" t="s">
        <v>38</v>
      </c>
      <c r="G177">
        <v>-453.05059999999997</v>
      </c>
      <c r="H177">
        <v>0.95807830000000005</v>
      </c>
      <c r="I177">
        <v>367.48239999999998</v>
      </c>
      <c r="J177">
        <v>-453.60230000000001</v>
      </c>
      <c r="K177">
        <v>1.1044129999999901</v>
      </c>
      <c r="L177">
        <v>367.5729</v>
      </c>
      <c r="M177">
        <v>0.99992230000000004</v>
      </c>
      <c r="N177">
        <v>0</v>
      </c>
      <c r="O177">
        <v>3.7386780000000001E-3</v>
      </c>
      <c r="P177">
        <v>0.99885939999999995</v>
      </c>
      <c r="Q177">
        <v>-9.2423709999999992E-3</v>
      </c>
      <c r="R177">
        <v>4.6843559999999999E-2</v>
      </c>
      <c r="S177">
        <v>3.014923</v>
      </c>
      <c r="T177">
        <v>-0.60112779999999999</v>
      </c>
      <c r="U177">
        <v>-0.36657709999999999</v>
      </c>
      <c r="V177">
        <v>-4.3108609999999999E-2</v>
      </c>
      <c r="W177">
        <v>2.634824E-3</v>
      </c>
      <c r="X177">
        <v>0.99906689999999998</v>
      </c>
      <c r="Y177">
        <v>0.1219705</v>
      </c>
      <c r="Z177">
        <v>-1.2733710000000001E-2</v>
      </c>
      <c r="AA177">
        <v>0.992452</v>
      </c>
      <c r="AB177">
        <v>19</v>
      </c>
      <c r="AC177">
        <v>0.55170000000003905</v>
      </c>
      <c r="AD177">
        <v>-0.14633469999999901</v>
      </c>
      <c r="AE177">
        <v>-9.0500000000019995E-2</v>
      </c>
      <c r="AF177">
        <v>8.6627267973275093E-2</v>
      </c>
      <c r="AG177">
        <v>-0.14633469999999901</v>
      </c>
      <c r="AH177">
        <v>0.51600596360042705</v>
      </c>
      <c r="AI177">
        <v>105.625099873015</v>
      </c>
      <c r="AJ177">
        <v>80.470030965267597</v>
      </c>
      <c r="AK177">
        <v>0.54330496266075901</v>
      </c>
    </row>
    <row r="178" spans="1:37" x14ac:dyDescent="0.2">
      <c r="A178" t="str">
        <f>"20200111155756983"</f>
        <v>20200111155756983</v>
      </c>
      <c r="B178" t="str">
        <f>"1578729476971349"</f>
        <v>1578729476971349</v>
      </c>
      <c r="C178" t="s">
        <v>37</v>
      </c>
      <c r="D178">
        <v>6.0066040000000003</v>
      </c>
      <c r="E178">
        <v>0.56922890000000004</v>
      </c>
      <c r="F178" t="s">
        <v>38</v>
      </c>
      <c r="G178">
        <v>-452.88459999999998</v>
      </c>
      <c r="H178">
        <v>0.95687119999999903</v>
      </c>
      <c r="I178">
        <v>367.48309999999998</v>
      </c>
      <c r="J178">
        <v>-453.42149999999998</v>
      </c>
      <c r="K178">
        <v>1.1044129999999901</v>
      </c>
      <c r="L178">
        <v>367.5736</v>
      </c>
      <c r="M178">
        <v>0.99992230000000004</v>
      </c>
      <c r="N178">
        <v>0</v>
      </c>
      <c r="O178">
        <v>3.7661140000000001E-3</v>
      </c>
      <c r="P178">
        <v>0.99889869999999903</v>
      </c>
      <c r="Q178">
        <v>-9.1771300000000004E-3</v>
      </c>
      <c r="R178">
        <v>4.6015639999999997E-2</v>
      </c>
      <c r="S178">
        <v>3.01532</v>
      </c>
      <c r="T178">
        <v>-0.61999559999999998</v>
      </c>
      <c r="U178">
        <v>-0.37716669999999902</v>
      </c>
      <c r="V178">
        <v>-4.225346E-2</v>
      </c>
      <c r="W178">
        <v>2.6972900000000002E-3</v>
      </c>
      <c r="X178">
        <v>0.99910330000000003</v>
      </c>
      <c r="Y178">
        <v>0.12519559999999999</v>
      </c>
      <c r="Z178">
        <v>-1.345346E-2</v>
      </c>
      <c r="AA178">
        <v>0.9920409</v>
      </c>
      <c r="AB178">
        <v>19</v>
      </c>
      <c r="AC178">
        <v>0.53690000000000204</v>
      </c>
      <c r="AD178">
        <v>-0.147541799999999</v>
      </c>
      <c r="AE178">
        <v>-9.0500000000019995E-2</v>
      </c>
      <c r="AF178">
        <v>8.6192384990779497E-2</v>
      </c>
      <c r="AG178">
        <v>-0.147541799999999</v>
      </c>
      <c r="AH178">
        <v>0.49985106401181001</v>
      </c>
      <c r="AI178">
        <v>106.218586974472</v>
      </c>
      <c r="AJ178">
        <v>80.216349893424805</v>
      </c>
      <c r="AK178">
        <v>0.52825069443530104</v>
      </c>
    </row>
    <row r="179" spans="1:37" x14ac:dyDescent="0.2">
      <c r="A179" t="str">
        <f>"20200111155757006"</f>
        <v>20200111155757006</v>
      </c>
      <c r="B179" t="str">
        <f>"1578729477001605"</f>
        <v>1578729477001605</v>
      </c>
      <c r="C179" t="s">
        <v>37</v>
      </c>
      <c r="D179">
        <v>5.9704969999999999</v>
      </c>
      <c r="E179">
        <v>0.57010950000000005</v>
      </c>
      <c r="F179" t="s">
        <v>38</v>
      </c>
      <c r="G179">
        <v>-452.7183</v>
      </c>
      <c r="H179">
        <v>0.95632260000000002</v>
      </c>
      <c r="I179">
        <v>367.48360000000002</v>
      </c>
      <c r="J179">
        <v>-453.22890000000001</v>
      </c>
      <c r="K179">
        <v>1.1044160000000001</v>
      </c>
      <c r="L179">
        <v>367.57440000000003</v>
      </c>
      <c r="M179">
        <v>0.99992230000000004</v>
      </c>
      <c r="N179">
        <v>0</v>
      </c>
      <c r="O179">
        <v>3.7957479999999998E-3</v>
      </c>
      <c r="P179">
        <v>0.99895840000000002</v>
      </c>
      <c r="Q179">
        <v>-8.8841189999999993E-3</v>
      </c>
      <c r="R179">
        <v>4.4759899999999998E-2</v>
      </c>
      <c r="S179">
        <v>3.0151669999999999</v>
      </c>
      <c r="T179">
        <v>-0.63515440000000001</v>
      </c>
      <c r="U179">
        <v>-0.3848877</v>
      </c>
      <c r="V179">
        <v>-4.0967570000000002E-2</v>
      </c>
      <c r="W179">
        <v>2.9886359999999998E-3</v>
      </c>
      <c r="X179">
        <v>0.99915599999999904</v>
      </c>
      <c r="Y179">
        <v>0.12755039999999901</v>
      </c>
      <c r="Z179">
        <v>-1.402455E-2</v>
      </c>
      <c r="AA179">
        <v>0.99173299999999998</v>
      </c>
      <c r="AB179">
        <v>19</v>
      </c>
      <c r="AC179">
        <v>0.51060000000001005</v>
      </c>
      <c r="AD179">
        <v>-0.14809339999999999</v>
      </c>
      <c r="AE179">
        <v>-9.0800000000001505E-2</v>
      </c>
      <c r="AF179">
        <v>8.5745607196124798E-2</v>
      </c>
      <c r="AG179">
        <v>-0.14809339999999999</v>
      </c>
      <c r="AH179">
        <v>0.471781036213337</v>
      </c>
      <c r="AI179">
        <v>107.162953892979</v>
      </c>
      <c r="AJ179">
        <v>79.699005181125699</v>
      </c>
      <c r="AK179">
        <v>0.50185785876831901</v>
      </c>
    </row>
    <row r="180" spans="1:37" x14ac:dyDescent="0.2">
      <c r="A180" t="str">
        <f>"20200111155757028"</f>
        <v>20200111155757028</v>
      </c>
      <c r="B180" t="str">
        <f>"1578729477021125"</f>
        <v>1578729477021125</v>
      </c>
      <c r="C180" t="s">
        <v>37</v>
      </c>
      <c r="D180">
        <v>6.1064749999999997</v>
      </c>
      <c r="E180">
        <v>0.5703049</v>
      </c>
      <c r="F180" t="s">
        <v>38</v>
      </c>
      <c r="G180">
        <v>-452.39940000000001</v>
      </c>
      <c r="H180">
        <v>0.92559020000000003</v>
      </c>
      <c r="I180">
        <v>367.46550000000002</v>
      </c>
      <c r="J180">
        <v>-453.04259999999999</v>
      </c>
      <c r="K180">
        <v>1.104417</v>
      </c>
      <c r="L180">
        <v>367.57510000000002</v>
      </c>
      <c r="M180">
        <v>0.99992230000000004</v>
      </c>
      <c r="N180">
        <v>0</v>
      </c>
      <c r="O180">
        <v>3.824722E-3</v>
      </c>
      <c r="P180">
        <v>0.9990154</v>
      </c>
      <c r="Q180">
        <v>-7.8892430000000006E-3</v>
      </c>
      <c r="R180">
        <v>4.3663159999999999E-2</v>
      </c>
      <c r="S180">
        <v>3.015015</v>
      </c>
      <c r="T180">
        <v>-0.65008639999999995</v>
      </c>
      <c r="U180">
        <v>-0.3944397</v>
      </c>
      <c r="V180">
        <v>-3.9841580000000001E-2</v>
      </c>
      <c r="W180">
        <v>3.981882E-3</v>
      </c>
      <c r="X180">
        <v>0.99919809999999998</v>
      </c>
      <c r="Y180">
        <v>0.13047609999999901</v>
      </c>
      <c r="Z180">
        <v>-1.466162E-2</v>
      </c>
      <c r="AA180">
        <v>0.99134299999999997</v>
      </c>
      <c r="AB180">
        <v>19</v>
      </c>
      <c r="AC180">
        <v>0.64319999999997801</v>
      </c>
      <c r="AD180">
        <v>-0.17882679999999901</v>
      </c>
      <c r="AE180">
        <v>-0.1096</v>
      </c>
      <c r="AF180">
        <v>0.10422991218014099</v>
      </c>
      <c r="AG180">
        <v>-0.17882679999999901</v>
      </c>
      <c r="AH180">
        <v>0.59786572513372804</v>
      </c>
      <c r="AI180">
        <v>106.41836039639701</v>
      </c>
      <c r="AJ180">
        <v>80.1106359965313</v>
      </c>
      <c r="AK180">
        <v>0.63268185075992101</v>
      </c>
    </row>
    <row r="181" spans="1:37" x14ac:dyDescent="0.2">
      <c r="A181" t="str">
        <f>"20200111155757050"</f>
        <v>20200111155757050</v>
      </c>
      <c r="B181" t="str">
        <f>"1578729477041621"</f>
        <v>1578729477041621</v>
      </c>
      <c r="C181" t="s">
        <v>37</v>
      </c>
      <c r="D181">
        <v>6.0390579999999998</v>
      </c>
      <c r="E181">
        <v>0.57078490000000004</v>
      </c>
      <c r="F181" t="s">
        <v>38</v>
      </c>
      <c r="G181">
        <v>-452.23099999999999</v>
      </c>
      <c r="H181">
        <v>0.92998269999999905</v>
      </c>
      <c r="I181">
        <v>367.46749999999997</v>
      </c>
      <c r="J181">
        <v>-452.86099999999999</v>
      </c>
      <c r="K181">
        <v>1.1044209999999901</v>
      </c>
      <c r="L181">
        <v>367.57589999999999</v>
      </c>
      <c r="M181">
        <v>0.99992199999999998</v>
      </c>
      <c r="N181">
        <v>0</v>
      </c>
      <c r="O181">
        <v>3.8528049999999999E-3</v>
      </c>
      <c r="P181">
        <v>0.99906870000000003</v>
      </c>
      <c r="Q181">
        <v>-7.0610769999999998E-3</v>
      </c>
      <c r="R181">
        <v>4.2565869999999999E-2</v>
      </c>
      <c r="S181">
        <v>3.0152890000000001</v>
      </c>
      <c r="T181">
        <v>-0.64822089999999999</v>
      </c>
      <c r="U181">
        <v>-0.39904790000000001</v>
      </c>
      <c r="V181">
        <v>-3.8716029999999999E-2</v>
      </c>
      <c r="W181">
        <v>4.809186E-3</v>
      </c>
      <c r="X181">
        <v>0.99923869999999904</v>
      </c>
      <c r="Y181">
        <v>0.13196579999999999</v>
      </c>
      <c r="Z181">
        <v>-1.478138E-2</v>
      </c>
      <c r="AA181">
        <v>0.99114409999999897</v>
      </c>
      <c r="AB181">
        <v>19</v>
      </c>
      <c r="AC181">
        <v>0.62999999999999501</v>
      </c>
      <c r="AD181">
        <v>-0.17443829999999899</v>
      </c>
      <c r="AE181">
        <v>-0.108400000000017</v>
      </c>
      <c r="AF181">
        <v>0.10314621522362601</v>
      </c>
      <c r="AG181">
        <v>-0.17443829999999899</v>
      </c>
      <c r="AH181">
        <v>0.58594716401443803</v>
      </c>
      <c r="AI181">
        <v>106.34087623129901</v>
      </c>
      <c r="AJ181">
        <v>80.016319878565994</v>
      </c>
      <c r="AK181">
        <v>0.620001565512871</v>
      </c>
    </row>
    <row r="182" spans="1:37" x14ac:dyDescent="0.2">
      <c r="A182" t="str">
        <f>"20200111155757071"</f>
        <v>20200111155757071</v>
      </c>
      <c r="B182" t="str">
        <f>"1578729477061141"</f>
        <v>1578729477061141</v>
      </c>
      <c r="C182" t="s">
        <v>37</v>
      </c>
      <c r="D182">
        <v>6.1013849999999996</v>
      </c>
      <c r="E182">
        <v>0.57153640000000006</v>
      </c>
      <c r="F182" t="s">
        <v>38</v>
      </c>
      <c r="G182">
        <v>-452.06380000000001</v>
      </c>
      <c r="H182">
        <v>0.93179820000000002</v>
      </c>
      <c r="I182">
        <v>367.46789999999999</v>
      </c>
      <c r="J182">
        <v>-452.67849999999999</v>
      </c>
      <c r="K182">
        <v>1.1044209999999901</v>
      </c>
      <c r="L182">
        <v>367.57659999999998</v>
      </c>
      <c r="M182">
        <v>0.99992199999999998</v>
      </c>
      <c r="N182">
        <v>0</v>
      </c>
      <c r="O182">
        <v>3.880232E-3</v>
      </c>
      <c r="P182">
        <v>0.99909409999999899</v>
      </c>
      <c r="Q182">
        <v>-6.9247600000000003E-3</v>
      </c>
      <c r="R182">
        <v>4.199406E-2</v>
      </c>
      <c r="S182">
        <v>3.0155029999999998</v>
      </c>
      <c r="T182">
        <v>-0.65318180000000003</v>
      </c>
      <c r="U182">
        <v>-0.40582279999999998</v>
      </c>
      <c r="V182">
        <v>-3.8116589999999999E-2</v>
      </c>
      <c r="W182">
        <v>4.9446070000000002E-3</v>
      </c>
      <c r="X182">
        <v>0.99926109999999901</v>
      </c>
      <c r="Y182">
        <v>0.134077799999999</v>
      </c>
      <c r="Z182">
        <v>-1.5119809999999999E-2</v>
      </c>
      <c r="AA182">
        <v>0.9908555</v>
      </c>
      <c r="AB182">
        <v>19</v>
      </c>
      <c r="AC182">
        <v>0.61469999999997005</v>
      </c>
      <c r="AD182">
        <v>-0.17262279999999899</v>
      </c>
      <c r="AE182">
        <v>-0.10869999999999801</v>
      </c>
      <c r="AF182">
        <v>0.10319322823332799</v>
      </c>
      <c r="AG182">
        <v>-0.17262279999999899</v>
      </c>
      <c r="AH182">
        <v>0.57063636801523898</v>
      </c>
      <c r="AI182">
        <v>106.577266295322</v>
      </c>
      <c r="AJ182">
        <v>79.7494785308308</v>
      </c>
      <c r="AK182">
        <v>0.60503994738750799</v>
      </c>
    </row>
    <row r="183" spans="1:37" x14ac:dyDescent="0.2">
      <c r="A183" t="str">
        <f>"20200111155757094"</f>
        <v>20200111155757094</v>
      </c>
      <c r="B183" t="str">
        <f>"1578729477091397"</f>
        <v>1578729477091397</v>
      </c>
      <c r="C183" t="s">
        <v>37</v>
      </c>
      <c r="D183">
        <v>6.0702150000000001</v>
      </c>
      <c r="E183">
        <v>0.57226009999999905</v>
      </c>
      <c r="F183" t="s">
        <v>38</v>
      </c>
      <c r="G183">
        <v>-451.89710000000002</v>
      </c>
      <c r="H183">
        <v>0.93270849999999905</v>
      </c>
      <c r="I183">
        <v>367.46949999999998</v>
      </c>
      <c r="J183">
        <v>-452.49079999999998</v>
      </c>
      <c r="K183">
        <v>1.104409</v>
      </c>
      <c r="L183">
        <v>367.57740000000001</v>
      </c>
      <c r="M183">
        <v>0.99992190000000003</v>
      </c>
      <c r="N183">
        <v>0</v>
      </c>
      <c r="O183">
        <v>3.9084920000000004E-3</v>
      </c>
      <c r="P183">
        <v>0.99908569999999997</v>
      </c>
      <c r="Q183">
        <v>-7.0208010000000001E-3</v>
      </c>
      <c r="R183">
        <v>4.217257E-2</v>
      </c>
      <c r="S183">
        <v>3.0155029999999998</v>
      </c>
      <c r="T183">
        <v>-0.6626708</v>
      </c>
      <c r="U183">
        <v>-0.41275020000000001</v>
      </c>
      <c r="V183">
        <v>-3.8267179999999998E-2</v>
      </c>
      <c r="W183">
        <v>4.8473320000000002E-3</v>
      </c>
      <c r="X183">
        <v>0.99925580000000003</v>
      </c>
      <c r="Y183">
        <v>0.1362004</v>
      </c>
      <c r="Z183">
        <v>-1.556773E-2</v>
      </c>
      <c r="AA183">
        <v>0.99055899999999997</v>
      </c>
      <c r="AB183">
        <v>19</v>
      </c>
      <c r="AC183">
        <v>0.59369999999995504</v>
      </c>
      <c r="AD183">
        <v>-0.17170050000000001</v>
      </c>
      <c r="AE183">
        <v>-0.107900000000029</v>
      </c>
      <c r="AF183">
        <v>0.101964295325772</v>
      </c>
      <c r="AG183">
        <v>-0.17170050000000001</v>
      </c>
      <c r="AH183">
        <v>0.54883722911405097</v>
      </c>
      <c r="AI183">
        <v>107.096905687342</v>
      </c>
      <c r="AJ183">
        <v>79.475443418475706</v>
      </c>
      <c r="AK183">
        <v>0.58403774131739195</v>
      </c>
    </row>
    <row r="184" spans="1:37" x14ac:dyDescent="0.2">
      <c r="A184" t="str">
        <f>"20200111155757117"</f>
        <v>20200111155757117</v>
      </c>
      <c r="B184" t="str">
        <f>"1578729477110918"</f>
        <v>1578729477110918</v>
      </c>
      <c r="C184" t="s">
        <v>37</v>
      </c>
      <c r="D184">
        <v>6.0597589999999997</v>
      </c>
      <c r="E184">
        <v>0.57271229999999995</v>
      </c>
      <c r="F184" t="s">
        <v>38</v>
      </c>
      <c r="G184">
        <v>-451.73020000000002</v>
      </c>
      <c r="H184">
        <v>0.93421489999999996</v>
      </c>
      <c r="I184">
        <v>367.47149999999999</v>
      </c>
      <c r="J184">
        <v>-452.30059999999997</v>
      </c>
      <c r="K184">
        <v>1.104401</v>
      </c>
      <c r="L184">
        <v>367.57810000000001</v>
      </c>
      <c r="M184">
        <v>0.99992179999999997</v>
      </c>
      <c r="N184">
        <v>0</v>
      </c>
      <c r="O184">
        <v>3.9369870000000003E-3</v>
      </c>
      <c r="P184">
        <v>0.999063699999999</v>
      </c>
      <c r="Q184">
        <v>-8.2264929999999997E-3</v>
      </c>
      <c r="R184">
        <v>4.247571E-2</v>
      </c>
      <c r="S184">
        <v>3.0155939999999899</v>
      </c>
      <c r="T184">
        <v>-0.67488289999999995</v>
      </c>
      <c r="U184">
        <v>-0.41726679999999999</v>
      </c>
      <c r="V184">
        <v>-3.8541829999999999E-2</v>
      </c>
      <c r="W184">
        <v>3.641423E-3</v>
      </c>
      <c r="X184">
        <v>0.99925039999999998</v>
      </c>
      <c r="Y184">
        <v>0.13752790000000001</v>
      </c>
      <c r="Z184">
        <v>-1.5998160000000001E-2</v>
      </c>
      <c r="AA184">
        <v>0.99036869999999999</v>
      </c>
      <c r="AB184">
        <v>19</v>
      </c>
      <c r="AC184">
        <v>0.57039999999994895</v>
      </c>
      <c r="AD184">
        <v>-0.17018610000000001</v>
      </c>
      <c r="AE184">
        <v>-0.106600000000014</v>
      </c>
      <c r="AF184">
        <v>0.100224105205462</v>
      </c>
      <c r="AG184">
        <v>-0.17018610000000001</v>
      </c>
      <c r="AH184">
        <v>0.52483188750492105</v>
      </c>
      <c r="AI184">
        <v>107.667311524665</v>
      </c>
      <c r="AJ184">
        <v>79.188722218408202</v>
      </c>
      <c r="AK184">
        <v>0.56076438014501495</v>
      </c>
    </row>
    <row r="185" spans="1:37" x14ac:dyDescent="0.2">
      <c r="A185" t="str">
        <f>"20200111155757140"</f>
        <v>20200111155757140</v>
      </c>
      <c r="B185" t="str">
        <f>"1578729477131413"</f>
        <v>1578729477131413</v>
      </c>
      <c r="C185" t="s">
        <v>37</v>
      </c>
      <c r="D185">
        <v>6.017722</v>
      </c>
      <c r="E185">
        <v>0.57297929999999997</v>
      </c>
      <c r="F185" t="s">
        <v>38</v>
      </c>
      <c r="G185">
        <v>-451.56279999999998</v>
      </c>
      <c r="H185">
        <v>0.93684959999999995</v>
      </c>
      <c r="I185">
        <v>367.47539999999998</v>
      </c>
      <c r="J185">
        <v>-452.1155</v>
      </c>
      <c r="K185">
        <v>1.104387</v>
      </c>
      <c r="L185">
        <v>367.57889999999998</v>
      </c>
      <c r="M185">
        <v>0.99992159999999997</v>
      </c>
      <c r="N185">
        <v>0</v>
      </c>
      <c r="O185">
        <v>3.9654159999999898E-3</v>
      </c>
      <c r="P185">
        <v>0.99903709999999901</v>
      </c>
      <c r="Q185">
        <v>-9.9784100000000001E-3</v>
      </c>
      <c r="R185">
        <v>4.2726430000000003E-2</v>
      </c>
      <c r="S185">
        <v>3.0150450000000002</v>
      </c>
      <c r="T185">
        <v>-0.68465669999999901</v>
      </c>
      <c r="U185">
        <v>-0.41952509999999998</v>
      </c>
      <c r="V185">
        <v>-3.8764060000000003E-2</v>
      </c>
      <c r="W185">
        <v>1.8895299999999999E-3</v>
      </c>
      <c r="X185">
        <v>0.99924659999999998</v>
      </c>
      <c r="Y185">
        <v>0.13819119999999999</v>
      </c>
      <c r="Z185">
        <v>-1.6306629999999999E-2</v>
      </c>
      <c r="AA185">
        <v>0.99027129999999997</v>
      </c>
      <c r="AB185">
        <v>19</v>
      </c>
      <c r="AC185">
        <v>0.55270000000001496</v>
      </c>
      <c r="AD185">
        <v>-0.1675374</v>
      </c>
      <c r="AE185">
        <v>-0.103499999999996</v>
      </c>
      <c r="AF185">
        <v>9.7073607130926096E-2</v>
      </c>
      <c r="AG185">
        <v>-0.1675374</v>
      </c>
      <c r="AH185">
        <v>0.50725514643336</v>
      </c>
      <c r="AI185">
        <v>107.972835318465</v>
      </c>
      <c r="AJ185">
        <v>79.166271035706004</v>
      </c>
      <c r="AK185">
        <v>0.542954739534796</v>
      </c>
    </row>
    <row r="186" spans="1:37" x14ac:dyDescent="0.2">
      <c r="A186" t="str">
        <f>"20200111155757161"</f>
        <v>20200111155757161</v>
      </c>
      <c r="B186" t="str">
        <f>"1578729477150933"</f>
        <v>1578729477150933</v>
      </c>
      <c r="C186" t="s">
        <v>37</v>
      </c>
      <c r="D186">
        <v>6.031631</v>
      </c>
      <c r="E186">
        <v>0.57330300000000001</v>
      </c>
      <c r="F186" t="s">
        <v>38</v>
      </c>
      <c r="G186">
        <v>-451.39569999999998</v>
      </c>
      <c r="H186">
        <v>0.9390018</v>
      </c>
      <c r="I186">
        <v>367.47800000000001</v>
      </c>
      <c r="J186">
        <v>-451.93610000000001</v>
      </c>
      <c r="K186">
        <v>1.104385</v>
      </c>
      <c r="L186">
        <v>367.5797</v>
      </c>
      <c r="M186">
        <v>0.99992159999999997</v>
      </c>
      <c r="N186">
        <v>0</v>
      </c>
      <c r="O186">
        <v>3.9933039999999996E-3</v>
      </c>
      <c r="P186">
        <v>0.99902199999999997</v>
      </c>
      <c r="Q186">
        <v>-1.139808E-2</v>
      </c>
      <c r="R186">
        <v>4.2726300000000002E-2</v>
      </c>
      <c r="S186">
        <v>3.0139469999999999</v>
      </c>
      <c r="T186">
        <v>-0.69278479999999998</v>
      </c>
      <c r="U186">
        <v>-0.42050169999999998</v>
      </c>
      <c r="V186">
        <v>-3.8736489999999998E-2</v>
      </c>
      <c r="W186">
        <v>4.6950969999999997E-4</v>
      </c>
      <c r="X186">
        <v>0.99924930000000001</v>
      </c>
      <c r="Y186">
        <v>0.13848840000000001</v>
      </c>
      <c r="Z186">
        <v>-1.654071E-2</v>
      </c>
      <c r="AA186">
        <v>0.99022589999999999</v>
      </c>
      <c r="AB186">
        <v>19</v>
      </c>
      <c r="AC186">
        <v>0.54040000000003297</v>
      </c>
      <c r="AD186">
        <v>-0.16538319999999901</v>
      </c>
      <c r="AE186">
        <v>-0.101699999999993</v>
      </c>
      <c r="AF186">
        <v>9.5242112839531295E-2</v>
      </c>
      <c r="AG186">
        <v>-0.16538319999999901</v>
      </c>
      <c r="AH186">
        <v>0.49519613795842099</v>
      </c>
      <c r="AI186">
        <v>108.157641449512</v>
      </c>
      <c r="AJ186">
        <v>79.1131243992603</v>
      </c>
      <c r="AK186">
        <v>0.53069942335498499</v>
      </c>
    </row>
    <row r="187" spans="1:37" x14ac:dyDescent="0.2">
      <c r="A187" t="str">
        <f>"20200111155757184"</f>
        <v>20200111155757184</v>
      </c>
      <c r="B187" t="str">
        <f>"1578729477171429"</f>
        <v>1578729477171429</v>
      </c>
      <c r="C187" t="s">
        <v>37</v>
      </c>
      <c r="D187">
        <v>8.1745429999999999</v>
      </c>
      <c r="E187">
        <v>0.57293640000000001</v>
      </c>
      <c r="F187" t="s">
        <v>38</v>
      </c>
      <c r="G187">
        <v>-451.22930000000002</v>
      </c>
      <c r="H187">
        <v>0.93963549999999996</v>
      </c>
      <c r="I187">
        <v>367.48039999999997</v>
      </c>
      <c r="J187">
        <v>-451.75209999999998</v>
      </c>
      <c r="K187">
        <v>1.1043799999999999</v>
      </c>
      <c r="L187">
        <v>367.5804</v>
      </c>
      <c r="M187">
        <v>0.99992139999999996</v>
      </c>
      <c r="N187">
        <v>0</v>
      </c>
      <c r="O187">
        <v>4.0217320000000001E-3</v>
      </c>
      <c r="P187">
        <v>0.99904040000000005</v>
      </c>
      <c r="Q187">
        <v>-1.146956E-2</v>
      </c>
      <c r="R187">
        <v>4.2275960000000001E-2</v>
      </c>
      <c r="S187">
        <v>3.0129700000000001</v>
      </c>
      <c r="T187">
        <v>-0.70235499999999995</v>
      </c>
      <c r="U187">
        <v>-0.4226685</v>
      </c>
      <c r="V187">
        <v>-3.8257619999999999E-2</v>
      </c>
      <c r="W187">
        <v>3.9846099999999899E-4</v>
      </c>
      <c r="X187">
        <v>0.99926780000000004</v>
      </c>
      <c r="Y187">
        <v>0.13913889999999901</v>
      </c>
      <c r="Z187">
        <v>-1.6848789999999999E-2</v>
      </c>
      <c r="AA187">
        <v>0.9901295</v>
      </c>
      <c r="AB187">
        <v>19</v>
      </c>
      <c r="AC187">
        <v>0.52279999999996096</v>
      </c>
      <c r="AD187">
        <v>-0.16474449999999899</v>
      </c>
      <c r="AE187">
        <v>-0.100000000000022</v>
      </c>
      <c r="AF187">
        <v>9.3176058858176994E-2</v>
      </c>
      <c r="AG187">
        <v>-0.16474449999999899</v>
      </c>
      <c r="AH187">
        <v>0.47672544362333402</v>
      </c>
      <c r="AI187">
        <v>108.73477231906401</v>
      </c>
      <c r="AJ187">
        <v>78.940946277446002</v>
      </c>
      <c r="AK187">
        <v>0.51292268113474704</v>
      </c>
    </row>
    <row r="188" spans="1:37" x14ac:dyDescent="0.2">
      <c r="A188" t="str">
        <f>"20200111155757206"</f>
        <v>20200111155757206</v>
      </c>
      <c r="B188" t="str">
        <f>"1578729477200709"</f>
        <v>1578729477200709</v>
      </c>
      <c r="C188" t="s">
        <v>37</v>
      </c>
      <c r="D188">
        <v>6.1838119999999996</v>
      </c>
      <c r="E188">
        <v>0.53354360000000001</v>
      </c>
      <c r="F188" t="s">
        <v>38</v>
      </c>
      <c r="G188">
        <v>-451.06130000000002</v>
      </c>
      <c r="H188">
        <v>0.94388039999999995</v>
      </c>
      <c r="I188">
        <v>367.48320000000001</v>
      </c>
      <c r="J188">
        <v>-451.5625</v>
      </c>
      <c r="K188">
        <v>1.104384</v>
      </c>
      <c r="L188">
        <v>367.58120000000002</v>
      </c>
      <c r="M188">
        <v>0.99992119999999995</v>
      </c>
      <c r="N188">
        <v>0</v>
      </c>
      <c r="O188">
        <v>4.0506980000000001E-3</v>
      </c>
      <c r="P188">
        <v>0.99904570000000004</v>
      </c>
      <c r="Q188">
        <v>-1.164485E-2</v>
      </c>
      <c r="R188">
        <v>4.209562E-2</v>
      </c>
      <c r="S188">
        <v>3.0126949999999999</v>
      </c>
      <c r="T188">
        <v>-0.70006299999999999</v>
      </c>
      <c r="U188">
        <v>-0.42141719999999999</v>
      </c>
      <c r="V188">
        <v>-3.8048440000000003E-2</v>
      </c>
      <c r="W188">
        <v>2.23938499999999E-4</v>
      </c>
      <c r="X188">
        <v>0.99927589999999999</v>
      </c>
      <c r="Y188">
        <v>0.13880789999999901</v>
      </c>
      <c r="Z188">
        <v>-1.6765990000000001E-2</v>
      </c>
      <c r="AA188">
        <v>0.99017739999999999</v>
      </c>
      <c r="AB188">
        <v>19</v>
      </c>
      <c r="AC188">
        <v>0.50119999999998299</v>
      </c>
      <c r="AD188">
        <v>-0.160503599999999</v>
      </c>
      <c r="AE188">
        <v>-9.8000000000013202E-2</v>
      </c>
      <c r="AF188">
        <v>9.1037225532471094E-2</v>
      </c>
      <c r="AG188">
        <v>-0.160503599999999</v>
      </c>
      <c r="AH188">
        <v>0.45577873763654703</v>
      </c>
      <c r="AI188">
        <v>109.051387897563</v>
      </c>
      <c r="AJ188">
        <v>78.704394546870702</v>
      </c>
      <c r="AK188">
        <v>0.49171479510705601</v>
      </c>
    </row>
    <row r="189" spans="1:37" x14ac:dyDescent="0.2">
      <c r="A189" t="str">
        <f>"20200111155757229"</f>
        <v>20200111155757229</v>
      </c>
      <c r="B189" t="str">
        <f>"1578729477221207"</f>
        <v>1578729477221207</v>
      </c>
      <c r="C189" t="s">
        <v>37</v>
      </c>
      <c r="D189">
        <v>6.1939129999999896</v>
      </c>
      <c r="E189">
        <v>0.53151199999999998</v>
      </c>
      <c r="F189" t="s">
        <v>38</v>
      </c>
      <c r="G189">
        <v>-450.68920000000003</v>
      </c>
      <c r="H189">
        <v>1.0267269999999999</v>
      </c>
      <c r="I189">
        <v>367.54309999999998</v>
      </c>
      <c r="J189">
        <v>-451.36619999999999</v>
      </c>
      <c r="K189">
        <v>1.104371</v>
      </c>
      <c r="L189">
        <v>367.58199999999999</v>
      </c>
      <c r="M189">
        <v>0.99992109999999901</v>
      </c>
      <c r="N189">
        <v>0</v>
      </c>
      <c r="O189">
        <v>4.0799649999999996E-3</v>
      </c>
      <c r="P189">
        <v>0.99906419999999996</v>
      </c>
      <c r="Q189">
        <v>-1.182802E-2</v>
      </c>
      <c r="R189">
        <v>4.1602180000000002E-2</v>
      </c>
      <c r="S189">
        <v>3.005188</v>
      </c>
      <c r="T189">
        <v>-0.26746370000000003</v>
      </c>
      <c r="U189">
        <v>-0.1295471</v>
      </c>
      <c r="V189">
        <v>-3.7525259999999998E-2</v>
      </c>
      <c r="W189" s="1">
        <v>4.1147689999999998E-5</v>
      </c>
      <c r="X189">
        <v>0.99929570000000001</v>
      </c>
      <c r="Y189">
        <v>4.6942619999999997E-2</v>
      </c>
      <c r="Z189">
        <v>-2.4461489999999999E-3</v>
      </c>
      <c r="AA189">
        <v>0.99889459999999997</v>
      </c>
      <c r="AB189">
        <v>19</v>
      </c>
      <c r="AC189">
        <v>0.67699999999996396</v>
      </c>
      <c r="AD189">
        <v>-7.7644000000000005E-2</v>
      </c>
      <c r="AE189">
        <v>-3.89000000000123E-2</v>
      </c>
      <c r="AF189">
        <v>4.1122881165412302E-2</v>
      </c>
      <c r="AG189">
        <v>-7.7644000000000005E-2</v>
      </c>
      <c r="AH189">
        <v>0.66807706605013895</v>
      </c>
      <c r="AI189">
        <v>96.616770399041897</v>
      </c>
      <c r="AJ189">
        <v>86.477654103195803</v>
      </c>
      <c r="AK189">
        <v>0.67382983628918203</v>
      </c>
    </row>
    <row r="190" spans="1:37" x14ac:dyDescent="0.2">
      <c r="A190" t="str">
        <f>"20200111155757252"</f>
        <v>20200111155757252</v>
      </c>
      <c r="B190" t="str">
        <f>"1578729477240725"</f>
        <v>1578729477240725</v>
      </c>
      <c r="C190" t="s">
        <v>37</v>
      </c>
      <c r="D190">
        <v>6.0098779999999996</v>
      </c>
      <c r="E190">
        <v>0.53239419999999904</v>
      </c>
      <c r="F190" t="s">
        <v>38</v>
      </c>
      <c r="G190">
        <v>-450.52</v>
      </c>
      <c r="H190">
        <v>1.0332429999999999</v>
      </c>
      <c r="I190">
        <v>367.54930000000002</v>
      </c>
      <c r="J190">
        <v>-451.18549999999999</v>
      </c>
      <c r="K190">
        <v>1.1043639999999999</v>
      </c>
      <c r="L190">
        <v>367.58280000000002</v>
      </c>
      <c r="M190">
        <v>0.99992109999999901</v>
      </c>
      <c r="N190">
        <v>0</v>
      </c>
      <c r="O190">
        <v>4.10720099999999E-3</v>
      </c>
      <c r="P190">
        <v>0.99907969999999902</v>
      </c>
      <c r="Q190">
        <v>-1.207249E-2</v>
      </c>
      <c r="R190">
        <v>4.1158470000000003E-2</v>
      </c>
      <c r="S190">
        <v>3.0046689999999998</v>
      </c>
      <c r="T190">
        <v>-0.25277460000000002</v>
      </c>
      <c r="U190">
        <v>-0.115448</v>
      </c>
      <c r="V190">
        <v>-3.7054459999999997E-2</v>
      </c>
      <c r="W190">
        <v>-2.0245340000000001E-4</v>
      </c>
      <c r="X190">
        <v>0.99931320000000001</v>
      </c>
      <c r="Y190">
        <v>4.2334860000000002E-2</v>
      </c>
      <c r="Z190">
        <v>-2.1217879999999999E-3</v>
      </c>
      <c r="AA190">
        <v>0.99910119999999902</v>
      </c>
      <c r="AB190">
        <v>19</v>
      </c>
      <c r="AC190">
        <v>0.66550000000000797</v>
      </c>
      <c r="AD190">
        <v>-7.1120999999999698E-2</v>
      </c>
      <c r="AE190">
        <v>-3.3500000000003603E-2</v>
      </c>
      <c r="AF190">
        <v>3.5825131879181897E-2</v>
      </c>
      <c r="AG190">
        <v>-7.1120999999999698E-2</v>
      </c>
      <c r="AH190">
        <v>0.65786240727211298</v>
      </c>
      <c r="AI190">
        <v>96.161180259048393</v>
      </c>
      <c r="AJ190">
        <v>86.882929654511301</v>
      </c>
      <c r="AK190">
        <v>0.66266475960097704</v>
      </c>
    </row>
    <row r="191" spans="1:37" x14ac:dyDescent="0.2">
      <c r="A191" t="str">
        <f>"20200111155757272"</f>
        <v>20200111155757272</v>
      </c>
      <c r="B191" t="str">
        <f>"1578729477261221"</f>
        <v>1578729477261221</v>
      </c>
      <c r="C191" t="s">
        <v>37</v>
      </c>
      <c r="D191">
        <v>5.9940540000000002</v>
      </c>
      <c r="E191">
        <v>0.53252480000000002</v>
      </c>
      <c r="F191" t="s">
        <v>38</v>
      </c>
      <c r="G191">
        <v>-450.35340000000002</v>
      </c>
      <c r="H191">
        <v>1.0348090000000001</v>
      </c>
      <c r="I191">
        <v>367.548</v>
      </c>
      <c r="J191">
        <v>-451.01150000000001</v>
      </c>
      <c r="K191">
        <v>1.1043670000000001</v>
      </c>
      <c r="L191">
        <v>367.58350000000002</v>
      </c>
      <c r="M191">
        <v>0.99992099999999995</v>
      </c>
      <c r="N191">
        <v>0</v>
      </c>
      <c r="O191">
        <v>4.133599E-3</v>
      </c>
      <c r="P191">
        <v>0.99908709999999901</v>
      </c>
      <c r="Q191">
        <v>-1.294971E-2</v>
      </c>
      <c r="R191">
        <v>4.0713430000000002E-2</v>
      </c>
      <c r="S191">
        <v>3.0048219999999999</v>
      </c>
      <c r="T191">
        <v>-0.25151299999999999</v>
      </c>
      <c r="U191">
        <v>-0.12390139999999999</v>
      </c>
      <c r="V191">
        <v>-3.6583169999999998E-2</v>
      </c>
      <c r="W191">
        <v>-1.0787259999999999E-3</v>
      </c>
      <c r="X191">
        <v>0.99932999999999905</v>
      </c>
      <c r="Y191">
        <v>4.5157120000000002E-2</v>
      </c>
      <c r="Z191">
        <v>-2.2310770000000001E-3</v>
      </c>
      <c r="AA191">
        <v>0.99897739999999902</v>
      </c>
      <c r="AB191">
        <v>19</v>
      </c>
      <c r="AC191">
        <v>0.65809999999999003</v>
      </c>
      <c r="AD191">
        <v>-6.9557999999999995E-2</v>
      </c>
      <c r="AE191">
        <v>-3.5500000000013097E-2</v>
      </c>
      <c r="AF191">
        <v>3.7799162758791201E-2</v>
      </c>
      <c r="AG191">
        <v>-6.9557999999999995E-2</v>
      </c>
      <c r="AH191">
        <v>0.65069944449777595</v>
      </c>
      <c r="AI191">
        <v>96.091400777604605</v>
      </c>
      <c r="AJ191">
        <v>86.675421534331804</v>
      </c>
      <c r="AK191">
        <v>0.65549741352577495</v>
      </c>
    </row>
    <row r="192" spans="1:37" x14ac:dyDescent="0.2">
      <c r="A192" t="str">
        <f>"20200111155757296"</f>
        <v>20200111155757296</v>
      </c>
      <c r="B192" t="str">
        <f>"1578729477291478"</f>
        <v>1578729477291478</v>
      </c>
      <c r="C192" t="s">
        <v>37</v>
      </c>
      <c r="D192">
        <v>5.8863729999999999</v>
      </c>
      <c r="E192">
        <v>0.53370439999999997</v>
      </c>
      <c r="F192" t="s">
        <v>38</v>
      </c>
      <c r="G192">
        <v>-450.18790000000001</v>
      </c>
      <c r="H192">
        <v>1.0341469999999999</v>
      </c>
      <c r="I192">
        <v>367.54860000000002</v>
      </c>
      <c r="J192">
        <v>-450.8193</v>
      </c>
      <c r="K192">
        <v>1.1043620000000001</v>
      </c>
      <c r="L192">
        <v>367.58440000000002</v>
      </c>
      <c r="M192">
        <v>0.9999209</v>
      </c>
      <c r="N192">
        <v>0</v>
      </c>
      <c r="O192">
        <v>4.1632129999999998E-3</v>
      </c>
      <c r="P192">
        <v>0.99910659999999896</v>
      </c>
      <c r="Q192">
        <v>-1.3697320000000001E-2</v>
      </c>
      <c r="R192">
        <v>3.9982570000000002E-2</v>
      </c>
      <c r="S192">
        <v>3.004578</v>
      </c>
      <c r="T192">
        <v>-0.2563512</v>
      </c>
      <c r="U192">
        <v>-0.12591549999999899</v>
      </c>
      <c r="V192">
        <v>-3.5822600000000003E-2</v>
      </c>
      <c r="W192">
        <v>-1.825244E-3</v>
      </c>
      <c r="X192">
        <v>0.99935649999999998</v>
      </c>
      <c r="Y192">
        <v>4.5849239999999999E-2</v>
      </c>
      <c r="Z192">
        <v>-2.3059740000000001E-3</v>
      </c>
      <c r="AA192">
        <v>0.99894570000000005</v>
      </c>
      <c r="AB192">
        <v>19</v>
      </c>
      <c r="AC192">
        <v>0.63139999999998497</v>
      </c>
      <c r="AD192">
        <v>-7.0215000000000097E-2</v>
      </c>
      <c r="AE192">
        <v>-3.5799999999994697E-2</v>
      </c>
      <c r="AF192">
        <v>3.7960588125937902E-2</v>
      </c>
      <c r="AG192">
        <v>-7.0215000000000097E-2</v>
      </c>
      <c r="AH192">
        <v>0.62355887582255698</v>
      </c>
      <c r="AI192">
        <v>96.412877609496107</v>
      </c>
      <c r="AJ192">
        <v>86.516286321606998</v>
      </c>
      <c r="AK192">
        <v>0.62864681983841997</v>
      </c>
    </row>
    <row r="193" spans="1:37" x14ac:dyDescent="0.2">
      <c r="A193" t="str">
        <f>"20200111155757318"</f>
        <v>20200111155757318</v>
      </c>
      <c r="B193" t="str">
        <f>"1578729477310998"</f>
        <v>1578729477310998</v>
      </c>
      <c r="C193" t="s">
        <v>37</v>
      </c>
      <c r="D193">
        <v>6.3219240000000001</v>
      </c>
      <c r="E193">
        <v>0.53383429999999998</v>
      </c>
      <c r="F193" t="s">
        <v>38</v>
      </c>
      <c r="G193">
        <v>-450.02300000000002</v>
      </c>
      <c r="H193">
        <v>1.0322119999999999</v>
      </c>
      <c r="I193">
        <v>367.54770000000002</v>
      </c>
      <c r="J193">
        <v>-450.62619999999998</v>
      </c>
      <c r="K193">
        <v>1.1043529999999999</v>
      </c>
      <c r="L193">
        <v>367.58519999999999</v>
      </c>
      <c r="M193">
        <v>0.9999207</v>
      </c>
      <c r="N193">
        <v>0</v>
      </c>
      <c r="O193">
        <v>4.1931260000000001E-3</v>
      </c>
      <c r="P193">
        <v>0.99911119999999898</v>
      </c>
      <c r="Q193">
        <v>-1.511583E-2</v>
      </c>
      <c r="R193">
        <v>3.9349919999999997E-2</v>
      </c>
      <c r="S193">
        <v>3.0044249999999999</v>
      </c>
      <c r="T193">
        <v>-0.2726113</v>
      </c>
      <c r="U193">
        <v>-0.13659669999999999</v>
      </c>
      <c r="V193">
        <v>-3.5160089999999998E-2</v>
      </c>
      <c r="W193">
        <v>-3.2428790000000002E-3</v>
      </c>
      <c r="X193">
        <v>0.99937640000000005</v>
      </c>
      <c r="Y193">
        <v>4.9387269999999997E-2</v>
      </c>
      <c r="Z193">
        <v>-2.614407E-3</v>
      </c>
      <c r="AA193">
        <v>0.99877629999999995</v>
      </c>
      <c r="AB193">
        <v>19</v>
      </c>
      <c r="AC193">
        <v>0.60319999999995799</v>
      </c>
      <c r="AD193">
        <v>-7.2140999999999997E-2</v>
      </c>
      <c r="AE193">
        <v>-3.7499999999965797E-2</v>
      </c>
      <c r="AF193">
        <v>3.9466803080926302E-2</v>
      </c>
      <c r="AG193">
        <v>-7.2140999999999997E-2</v>
      </c>
      <c r="AH193">
        <v>0.594565825991476</v>
      </c>
      <c r="AI193">
        <v>96.903059956664805</v>
      </c>
      <c r="AJ193">
        <v>86.202323302346798</v>
      </c>
      <c r="AK193">
        <v>0.60022535256631304</v>
      </c>
    </row>
    <row r="194" spans="1:37" x14ac:dyDescent="0.2">
      <c r="A194" t="str">
        <f>"20200111155757340"</f>
        <v>20200111155757340</v>
      </c>
      <c r="B194" t="str">
        <f>"1578729477331503"</f>
        <v>1578729477331503</v>
      </c>
      <c r="C194" t="s">
        <v>37</v>
      </c>
      <c r="D194">
        <v>5.8948289999999997</v>
      </c>
      <c r="E194">
        <v>0.53202629999999995</v>
      </c>
      <c r="F194" t="s">
        <v>38</v>
      </c>
      <c r="G194">
        <v>-449.856999999999</v>
      </c>
      <c r="H194">
        <v>1.032726</v>
      </c>
      <c r="I194">
        <v>367.54939999999999</v>
      </c>
      <c r="J194">
        <v>-450.45330000000001</v>
      </c>
      <c r="K194">
        <v>1.104352</v>
      </c>
      <c r="L194">
        <v>367.58589999999998</v>
      </c>
      <c r="M194">
        <v>0.99992039999999904</v>
      </c>
      <c r="N194">
        <v>0</v>
      </c>
      <c r="O194">
        <v>4.2197049999999998E-3</v>
      </c>
      <c r="P194">
        <v>0.99910719999999997</v>
      </c>
      <c r="Q194">
        <v>-1.6646770000000002E-2</v>
      </c>
      <c r="R194">
        <v>3.8828849999999998E-2</v>
      </c>
      <c r="S194">
        <v>3.0039370000000001</v>
      </c>
      <c r="T194">
        <v>-0.27989959999999903</v>
      </c>
      <c r="U194">
        <v>-0.13916020000000001</v>
      </c>
      <c r="V194">
        <v>-3.4612320000000002E-2</v>
      </c>
      <c r="W194">
        <v>-4.7730419999999999E-3</v>
      </c>
      <c r="X194">
        <v>0.99938939999999998</v>
      </c>
      <c r="Y194">
        <v>5.0255889999999998E-2</v>
      </c>
      <c r="Z194">
        <v>-2.7272170000000001E-3</v>
      </c>
      <c r="AA194">
        <v>0.99873259999999897</v>
      </c>
      <c r="AB194">
        <v>19</v>
      </c>
      <c r="AC194">
        <v>0.59630000000004202</v>
      </c>
      <c r="AD194">
        <v>-7.1625999999999898E-2</v>
      </c>
      <c r="AE194">
        <v>-3.6499999999989499E-2</v>
      </c>
      <c r="AF194">
        <v>3.8463180523598602E-2</v>
      </c>
      <c r="AG194">
        <v>-7.1625999999999898E-2</v>
      </c>
      <c r="AH194">
        <v>0.587692967429014</v>
      </c>
      <c r="AI194">
        <v>96.934052776563107</v>
      </c>
      <c r="AJ194">
        <v>86.255460699550099</v>
      </c>
      <c r="AK194">
        <v>0.59328974717039495</v>
      </c>
    </row>
    <row r="195" spans="1:37" x14ac:dyDescent="0.2">
      <c r="A195" t="str">
        <f>"20200111155757353"</f>
        <v>20200111155757353</v>
      </c>
      <c r="B195" t="str">
        <f>"1578729477351013"</f>
        <v>1578729477351013</v>
      </c>
      <c r="C195" t="s">
        <v>37</v>
      </c>
      <c r="D195">
        <v>5.8593570000000001</v>
      </c>
      <c r="E195">
        <v>0.531721</v>
      </c>
      <c r="F195" t="s">
        <v>38</v>
      </c>
      <c r="G195">
        <v>-449.6891</v>
      </c>
      <c r="H195">
        <v>1.037107</v>
      </c>
      <c r="I195">
        <v>367.55290000000002</v>
      </c>
      <c r="J195">
        <v>-450.3365</v>
      </c>
      <c r="K195">
        <v>1.1043510000000001</v>
      </c>
      <c r="L195">
        <v>367.58640000000003</v>
      </c>
      <c r="M195">
        <v>0.99992049999999999</v>
      </c>
      <c r="N195">
        <v>0</v>
      </c>
      <c r="O195">
        <v>4.237228E-3</v>
      </c>
      <c r="P195">
        <v>0.99908829999999904</v>
      </c>
      <c r="Q195">
        <v>-1.781547E-2</v>
      </c>
      <c r="R195">
        <v>3.8796230000000001E-2</v>
      </c>
      <c r="S195">
        <v>3.0032040000000002</v>
      </c>
      <c r="T195">
        <v>-0.2646734</v>
      </c>
      <c r="U195">
        <v>-0.12759400000000001</v>
      </c>
      <c r="V195">
        <v>-3.456207E-2</v>
      </c>
      <c r="W195">
        <v>-5.9413440000000003E-3</v>
      </c>
      <c r="X195">
        <v>0.99938490000000002</v>
      </c>
      <c r="Y195">
        <v>4.6484730000000002E-2</v>
      </c>
      <c r="Z195">
        <v>-2.4160520000000001E-3</v>
      </c>
      <c r="AA195">
        <v>0.99891609999999997</v>
      </c>
      <c r="AB195">
        <v>19</v>
      </c>
      <c r="AC195">
        <v>0.64740000000000397</v>
      </c>
      <c r="AD195">
        <v>-6.7243999999999998E-2</v>
      </c>
      <c r="AE195">
        <v>-3.3500000000003603E-2</v>
      </c>
      <c r="AF195">
        <v>3.5857260541929198E-2</v>
      </c>
      <c r="AG195">
        <v>-6.7243999999999998E-2</v>
      </c>
      <c r="AH195">
        <v>0.64036212248469104</v>
      </c>
      <c r="AI195">
        <v>95.985314087920102</v>
      </c>
      <c r="AJ195">
        <v>86.795053285797394</v>
      </c>
      <c r="AK195">
        <v>0.64488072275628605</v>
      </c>
    </row>
    <row r="196" spans="1:37" x14ac:dyDescent="0.2">
      <c r="A196" t="str">
        <f>"20200111155757373"</f>
        <v>20200111155757373</v>
      </c>
      <c r="B196" t="str">
        <f>"1578729477360773"</f>
        <v>1578729477360773</v>
      </c>
      <c r="C196" t="s">
        <v>37</v>
      </c>
      <c r="D196">
        <v>5.9194089999999999</v>
      </c>
      <c r="E196">
        <v>0.53171259999999998</v>
      </c>
      <c r="F196" t="s">
        <v>38</v>
      </c>
      <c r="G196">
        <v>-449.52510000000001</v>
      </c>
      <c r="H196">
        <v>1.0338989999999999</v>
      </c>
      <c r="I196">
        <v>367.55250000000001</v>
      </c>
      <c r="J196">
        <v>-450.17770000000002</v>
      </c>
      <c r="K196">
        <v>1.1043369999999999</v>
      </c>
      <c r="L196">
        <v>367.5872</v>
      </c>
      <c r="M196">
        <v>0.99992039999999904</v>
      </c>
      <c r="N196">
        <v>0</v>
      </c>
      <c r="O196">
        <v>4.2609479999999996E-3</v>
      </c>
      <c r="P196">
        <v>0.99905730000000004</v>
      </c>
      <c r="Q196">
        <v>-1.9862040000000001E-2</v>
      </c>
      <c r="R196">
        <v>3.8603640000000002E-2</v>
      </c>
      <c r="S196">
        <v>3.0029599999999999</v>
      </c>
      <c r="T196">
        <v>-0.26066289999999998</v>
      </c>
      <c r="U196">
        <v>-0.12561040000000001</v>
      </c>
      <c r="V196">
        <v>-3.4346660000000001E-2</v>
      </c>
      <c r="W196">
        <v>-7.9873140000000006E-3</v>
      </c>
      <c r="X196">
        <v>0.99937809999999905</v>
      </c>
      <c r="Y196">
        <v>4.5861289999999999E-2</v>
      </c>
      <c r="Z196">
        <v>-2.3548639999999999E-3</v>
      </c>
      <c r="AA196">
        <v>0.99894509999999903</v>
      </c>
      <c r="AB196">
        <v>19</v>
      </c>
      <c r="AC196">
        <v>0.65260000000000595</v>
      </c>
      <c r="AD196">
        <v>-7.0438000000000195E-2</v>
      </c>
      <c r="AE196">
        <v>-3.4699999999986603E-2</v>
      </c>
      <c r="AF196">
        <v>3.7050164195109203E-2</v>
      </c>
      <c r="AG196">
        <v>-7.0438000000000195E-2</v>
      </c>
      <c r="AH196">
        <v>0.64495378535853698</v>
      </c>
      <c r="AI196">
        <v>96.222621727891806</v>
      </c>
      <c r="AJ196">
        <v>86.712186902986005</v>
      </c>
      <c r="AK196">
        <v>0.64984583691764097</v>
      </c>
    </row>
    <row r="197" spans="1:37" x14ac:dyDescent="0.2">
      <c r="A197" t="str">
        <f>"20200111155757396"</f>
        <v>20200111155757396</v>
      </c>
      <c r="B197" t="str">
        <f>"1578729477391029"</f>
        <v>1578729477391029</v>
      </c>
      <c r="C197" t="s">
        <v>37</v>
      </c>
      <c r="D197">
        <v>5.9767859999999997</v>
      </c>
      <c r="E197">
        <v>0.53184849999999995</v>
      </c>
      <c r="F197" t="s">
        <v>38</v>
      </c>
      <c r="G197">
        <v>-449.36110000000002</v>
      </c>
      <c r="H197">
        <v>1.0306819999999901</v>
      </c>
      <c r="I197">
        <v>367.55250000000001</v>
      </c>
      <c r="J197">
        <v>-449.98430000000002</v>
      </c>
      <c r="K197">
        <v>1.1043229999999999</v>
      </c>
      <c r="L197">
        <v>367.58800000000002</v>
      </c>
      <c r="M197">
        <v>0.99992019999999904</v>
      </c>
      <c r="N197">
        <v>0</v>
      </c>
      <c r="O197">
        <v>4.2902069999999999E-3</v>
      </c>
      <c r="P197">
        <v>0.99901359999999995</v>
      </c>
      <c r="Q197">
        <v>-2.1772E-2</v>
      </c>
      <c r="R197">
        <v>3.8703170000000002E-2</v>
      </c>
      <c r="S197">
        <v>3.002319</v>
      </c>
      <c r="T197">
        <v>-0.27103850000000002</v>
      </c>
      <c r="U197">
        <v>-0.1257935</v>
      </c>
      <c r="V197">
        <v>-3.441661E-2</v>
      </c>
      <c r="W197">
        <v>-9.8966149999999992E-3</v>
      </c>
      <c r="X197">
        <v>0.99935859999999999</v>
      </c>
      <c r="Y197">
        <v>4.5944449999999998E-2</v>
      </c>
      <c r="Z197">
        <v>-2.4551239999999999E-3</v>
      </c>
      <c r="AA197">
        <v>0.99894099999999997</v>
      </c>
      <c r="AB197">
        <v>19</v>
      </c>
      <c r="AC197">
        <v>0.62319999999999698</v>
      </c>
      <c r="AD197">
        <v>-7.3640999999999998E-2</v>
      </c>
      <c r="AE197">
        <v>-3.5500000000013097E-2</v>
      </c>
      <c r="AF197">
        <v>3.7649512292729899E-2</v>
      </c>
      <c r="AG197">
        <v>-7.3640999999999998E-2</v>
      </c>
      <c r="AH197">
        <v>0.61448947309352397</v>
      </c>
      <c r="AI197">
        <v>96.821119245641796</v>
      </c>
      <c r="AJ197">
        <v>86.493894498134495</v>
      </c>
      <c r="AK197">
        <v>0.62003047925052601</v>
      </c>
    </row>
    <row r="198" spans="1:37" x14ac:dyDescent="0.2">
      <c r="A198" t="str">
        <f>"20200111155757411"</f>
        <v>20200111155757411</v>
      </c>
      <c r="B198" t="str">
        <f>"1578729477400789"</f>
        <v>1578729477400789</v>
      </c>
      <c r="C198" t="s">
        <v>37</v>
      </c>
      <c r="D198">
        <v>5.7859239999999996</v>
      </c>
      <c r="E198">
        <v>0.53169440000000001</v>
      </c>
      <c r="F198" t="s">
        <v>38</v>
      </c>
      <c r="G198">
        <v>-449.195999999999</v>
      </c>
      <c r="H198">
        <v>1.0298290000000001</v>
      </c>
      <c r="I198">
        <v>367.55459999999999</v>
      </c>
      <c r="J198">
        <v>-449.86439999999999</v>
      </c>
      <c r="K198">
        <v>1.104317</v>
      </c>
      <c r="L198">
        <v>367.58850000000001</v>
      </c>
      <c r="M198">
        <v>0.99992019999999904</v>
      </c>
      <c r="N198">
        <v>0</v>
      </c>
      <c r="O198">
        <v>4.308203E-3</v>
      </c>
      <c r="P198">
        <v>0.99899009999999999</v>
      </c>
      <c r="Q198">
        <v>-2.260063E-2</v>
      </c>
      <c r="R198">
        <v>3.8837240000000002E-2</v>
      </c>
      <c r="S198">
        <v>3.0016780000000001</v>
      </c>
      <c r="T198">
        <v>-0.28383659999999999</v>
      </c>
      <c r="U198">
        <v>-0.12609860000000001</v>
      </c>
      <c r="V198">
        <v>-3.4533059999999997E-2</v>
      </c>
      <c r="W198">
        <v>-1.072481E-2</v>
      </c>
      <c r="X198">
        <v>0.99934599999999996</v>
      </c>
      <c r="Y198">
        <v>4.6052410000000002E-2</v>
      </c>
      <c r="Z198">
        <v>-2.577878E-3</v>
      </c>
      <c r="AA198">
        <v>0.99893569999999998</v>
      </c>
      <c r="AB198">
        <v>19</v>
      </c>
      <c r="AC198">
        <v>0.66840000000001898</v>
      </c>
      <c r="AD198">
        <v>-7.4487999999999804E-2</v>
      </c>
      <c r="AE198">
        <v>-3.3900000000016903E-2</v>
      </c>
      <c r="AF198">
        <v>3.6329459758653697E-2</v>
      </c>
      <c r="AG198">
        <v>-7.4487999999999804E-2</v>
      </c>
      <c r="AH198">
        <v>0.66007110016207704</v>
      </c>
      <c r="AI198">
        <v>96.428852789778404</v>
      </c>
      <c r="AJ198">
        <v>86.8496928564347</v>
      </c>
      <c r="AK198">
        <v>0.66525344723611202</v>
      </c>
    </row>
    <row r="199" spans="1:37" x14ac:dyDescent="0.2">
      <c r="A199" t="str">
        <f>"20200111155757432"</f>
        <v>20200111155757432</v>
      </c>
      <c r="B199" t="str">
        <f>"1578729477421286"</f>
        <v>1578729477421286</v>
      </c>
      <c r="C199" t="s">
        <v>37</v>
      </c>
      <c r="D199">
        <v>5.785183</v>
      </c>
      <c r="E199">
        <v>0.53150050000000004</v>
      </c>
      <c r="F199" t="s">
        <v>38</v>
      </c>
      <c r="G199">
        <v>-449.03320000000002</v>
      </c>
      <c r="H199">
        <v>1.024297</v>
      </c>
      <c r="I199">
        <v>367.55369999999999</v>
      </c>
      <c r="J199">
        <v>-449.69170000000003</v>
      </c>
      <c r="K199">
        <v>1.1043099999999999</v>
      </c>
      <c r="L199">
        <v>367.58929999999998</v>
      </c>
      <c r="M199">
        <v>0.99992000000000003</v>
      </c>
      <c r="N199">
        <v>0</v>
      </c>
      <c r="O199">
        <v>4.3344220000000001E-3</v>
      </c>
      <c r="P199">
        <v>0.99895299999999998</v>
      </c>
      <c r="Q199">
        <v>-2.3825550000000001E-2</v>
      </c>
      <c r="R199">
        <v>3.9054739999999998E-2</v>
      </c>
      <c r="S199">
        <v>3.001312</v>
      </c>
      <c r="T199">
        <v>-0.28924149999999998</v>
      </c>
      <c r="U199">
        <v>-0.1242371</v>
      </c>
      <c r="V199">
        <v>-3.4724129999999999E-2</v>
      </c>
      <c r="W199">
        <v>-1.1949100000000001E-2</v>
      </c>
      <c r="X199">
        <v>0.99932549999999898</v>
      </c>
      <c r="Y199">
        <v>4.5459149999999997E-2</v>
      </c>
      <c r="Z199">
        <v>-2.6011070000000001E-3</v>
      </c>
      <c r="AA199">
        <v>0.99896280000000004</v>
      </c>
      <c r="AB199">
        <v>19</v>
      </c>
      <c r="AC199">
        <v>0.65850000000000297</v>
      </c>
      <c r="AD199">
        <v>-8.0013000000000098E-2</v>
      </c>
      <c r="AE199">
        <v>-3.5599999999988002E-2</v>
      </c>
      <c r="AF199">
        <v>3.7896207770384903E-2</v>
      </c>
      <c r="AG199">
        <v>-8.0013000000000098E-2</v>
      </c>
      <c r="AH199">
        <v>0.64878857570757498</v>
      </c>
      <c r="AI199">
        <v>97.018759405397901</v>
      </c>
      <c r="AJ199">
        <v>86.6571105889184</v>
      </c>
      <c r="AK199">
        <v>0.654801358200363</v>
      </c>
    </row>
    <row r="200" spans="1:37" x14ac:dyDescent="0.2">
      <c r="A200" t="str">
        <f>"20200111155757452"</f>
        <v>20200111155757452</v>
      </c>
      <c r="B200" t="str">
        <f>"1578729477440804"</f>
        <v>1578729477440804</v>
      </c>
      <c r="C200" t="s">
        <v>37</v>
      </c>
      <c r="D200">
        <v>5.7194399999999996</v>
      </c>
      <c r="E200">
        <v>0.53117409999999998</v>
      </c>
      <c r="F200" t="s">
        <v>38</v>
      </c>
      <c r="G200">
        <v>-448.86840000000001</v>
      </c>
      <c r="H200">
        <v>1.022856</v>
      </c>
      <c r="I200">
        <v>367.55579999999998</v>
      </c>
      <c r="J200">
        <v>-449.52159999999998</v>
      </c>
      <c r="K200">
        <v>1.104306</v>
      </c>
      <c r="L200">
        <v>367.59010000000001</v>
      </c>
      <c r="M200">
        <v>0.99991989999999997</v>
      </c>
      <c r="N200">
        <v>0</v>
      </c>
      <c r="O200">
        <v>4.360816E-3</v>
      </c>
      <c r="P200">
        <v>0.99892619999999899</v>
      </c>
      <c r="Q200">
        <v>-2.478321E-2</v>
      </c>
      <c r="R200">
        <v>3.9146479999999997E-2</v>
      </c>
      <c r="S200">
        <v>3.0007929999999998</v>
      </c>
      <c r="T200">
        <v>-0.29689670000000001</v>
      </c>
      <c r="U200">
        <v>-0.1218872</v>
      </c>
      <c r="V200">
        <v>-3.4789489999999999E-2</v>
      </c>
      <c r="W200">
        <v>-1.2906000000000001E-2</v>
      </c>
      <c r="X200">
        <v>0.99931130000000001</v>
      </c>
      <c r="Y200">
        <v>4.4702829999999999E-2</v>
      </c>
      <c r="Z200">
        <v>-2.6354159999999998E-3</v>
      </c>
      <c r="AA200">
        <v>0.99899689999999997</v>
      </c>
      <c r="AB200">
        <v>19</v>
      </c>
      <c r="AC200">
        <v>0.65319999999996903</v>
      </c>
      <c r="AD200">
        <v>-8.1449999999999995E-2</v>
      </c>
      <c r="AE200">
        <v>-3.4300000000030098E-2</v>
      </c>
      <c r="AF200">
        <v>3.6581140356572103E-2</v>
      </c>
      <c r="AG200">
        <v>-8.1449999999999995E-2</v>
      </c>
      <c r="AH200">
        <v>0.64307284772267903</v>
      </c>
      <c r="AI200">
        <v>97.206975693712295</v>
      </c>
      <c r="AJ200">
        <v>86.744243536748897</v>
      </c>
      <c r="AK200">
        <v>0.649241842311433</v>
      </c>
    </row>
    <row r="201" spans="1:37" x14ac:dyDescent="0.2">
      <c r="A201" t="str">
        <f>"20200111155757474"</f>
        <v>20200111155757474</v>
      </c>
      <c r="B201" t="str">
        <f>"1578729477471061"</f>
        <v>1578729477471061</v>
      </c>
      <c r="C201" t="s">
        <v>37</v>
      </c>
      <c r="D201">
        <v>5.7543689999999996</v>
      </c>
      <c r="E201">
        <v>0.53089160000000002</v>
      </c>
      <c r="F201" t="s">
        <v>38</v>
      </c>
      <c r="G201">
        <v>-448.70339999999999</v>
      </c>
      <c r="H201">
        <v>1.021898</v>
      </c>
      <c r="I201">
        <v>367.55720000000002</v>
      </c>
      <c r="J201">
        <v>-449.3383</v>
      </c>
      <c r="K201">
        <v>1.1043069999999999</v>
      </c>
      <c r="L201">
        <v>367.59089999999998</v>
      </c>
      <c r="M201">
        <v>0.99991969999999997</v>
      </c>
      <c r="N201">
        <v>0</v>
      </c>
      <c r="O201">
        <v>4.3890589999999998E-3</v>
      </c>
      <c r="P201">
        <v>0.99891390000000002</v>
      </c>
      <c r="Q201">
        <v>-2.5585009999999998E-2</v>
      </c>
      <c r="R201">
        <v>3.8947429999999998E-2</v>
      </c>
      <c r="S201">
        <v>3.000397</v>
      </c>
      <c r="T201">
        <v>-0.30247269999999998</v>
      </c>
      <c r="U201">
        <v>-0.11880489999999901</v>
      </c>
      <c r="V201">
        <v>-3.456277E-2</v>
      </c>
      <c r="W201">
        <v>-1.370681E-2</v>
      </c>
      <c r="X201">
        <v>0.99930849999999904</v>
      </c>
      <c r="Y201">
        <v>4.3707540000000003E-2</v>
      </c>
      <c r="Z201">
        <v>-2.6378899999999999E-3</v>
      </c>
      <c r="AA201">
        <v>0.99904090000000001</v>
      </c>
      <c r="AB201">
        <v>19</v>
      </c>
      <c r="AC201">
        <v>0.63490000000001601</v>
      </c>
      <c r="AD201">
        <v>-8.2408999999999899E-2</v>
      </c>
      <c r="AE201">
        <v>-3.3699999999953399E-2</v>
      </c>
      <c r="AF201">
        <v>3.58836304638772E-2</v>
      </c>
      <c r="AG201">
        <v>-8.2408999999999899E-2</v>
      </c>
      <c r="AH201">
        <v>0.62425824271140895</v>
      </c>
      <c r="AI201">
        <v>97.5079420071729</v>
      </c>
      <c r="AJ201">
        <v>86.710142579505302</v>
      </c>
      <c r="AK201">
        <v>0.630695831450791</v>
      </c>
    </row>
    <row r="202" spans="1:37" x14ac:dyDescent="0.2">
      <c r="A202" t="str">
        <f>"20200111155757497"</f>
        <v>20200111155757497</v>
      </c>
      <c r="B202" t="str">
        <f>"1578729477491557"</f>
        <v>1578729477491557</v>
      </c>
      <c r="C202" t="s">
        <v>37</v>
      </c>
      <c r="D202">
        <v>5.7749899999999998</v>
      </c>
      <c r="E202">
        <v>0.53075909999999904</v>
      </c>
      <c r="F202" t="s">
        <v>38</v>
      </c>
      <c r="G202">
        <v>-448.5378</v>
      </c>
      <c r="H202">
        <v>1.0224659999999901</v>
      </c>
      <c r="I202">
        <v>367.55950000000001</v>
      </c>
      <c r="J202">
        <v>-449.15050000000002</v>
      </c>
      <c r="K202">
        <v>1.1043049999999901</v>
      </c>
      <c r="L202">
        <v>367.59179999999998</v>
      </c>
      <c r="M202">
        <v>0.99991960000000002</v>
      </c>
      <c r="N202">
        <v>0</v>
      </c>
      <c r="O202">
        <v>4.417659E-3</v>
      </c>
      <c r="P202">
        <v>0.99891609999999997</v>
      </c>
      <c r="Q202">
        <v>-2.5754320000000001E-2</v>
      </c>
      <c r="R202">
        <v>3.8774879999999998E-2</v>
      </c>
      <c r="S202">
        <v>2.9999689999999899</v>
      </c>
      <c r="T202">
        <v>-0.3067685</v>
      </c>
      <c r="U202">
        <v>-0.11697390000000001</v>
      </c>
      <c r="V202">
        <v>-3.4361129999999997E-2</v>
      </c>
      <c r="W202">
        <v>-1.3874930000000001E-2</v>
      </c>
      <c r="X202">
        <v>0.99931320000000001</v>
      </c>
      <c r="Y202">
        <v>4.312875E-2</v>
      </c>
      <c r="Z202">
        <v>-2.6489829999999902E-3</v>
      </c>
      <c r="AA202">
        <v>0.99906600000000001</v>
      </c>
      <c r="AB202">
        <v>19</v>
      </c>
      <c r="AC202">
        <v>0.61270000000001801</v>
      </c>
      <c r="AD202">
        <v>-8.1838999999999995E-2</v>
      </c>
      <c r="AE202">
        <v>-3.2299999999963802E-2</v>
      </c>
      <c r="AF202">
        <v>3.4394633654657301E-2</v>
      </c>
      <c r="AG202">
        <v>-8.1838999999999995E-2</v>
      </c>
      <c r="AH202">
        <v>0.60184344934566203</v>
      </c>
      <c r="AI202">
        <v>97.731154374681296</v>
      </c>
      <c r="AJ202">
        <v>86.729172424832598</v>
      </c>
      <c r="AK202">
        <v>0.60835528292727303</v>
      </c>
    </row>
    <row r="203" spans="1:37" x14ac:dyDescent="0.2">
      <c r="A203" t="str">
        <f>"20200111155757520"</f>
        <v>20200111155757520</v>
      </c>
      <c r="B203" t="str">
        <f>"1578729477511077"</f>
        <v>1578729477511077</v>
      </c>
      <c r="C203" t="s">
        <v>37</v>
      </c>
      <c r="D203">
        <v>5.8743059999999998</v>
      </c>
      <c r="E203">
        <v>0.53086169999999899</v>
      </c>
      <c r="F203" t="s">
        <v>38</v>
      </c>
      <c r="G203">
        <v>-448.37139999999999</v>
      </c>
      <c r="H203">
        <v>1.0245029999999999</v>
      </c>
      <c r="I203">
        <v>367.56110000000001</v>
      </c>
      <c r="J203">
        <v>-448.96089999999998</v>
      </c>
      <c r="K203">
        <v>1.1043080000000001</v>
      </c>
      <c r="L203">
        <v>367.5926</v>
      </c>
      <c r="M203">
        <v>0.99991949999999996</v>
      </c>
      <c r="N203">
        <v>0</v>
      </c>
      <c r="O203">
        <v>4.4460869999999996E-3</v>
      </c>
      <c r="P203">
        <v>0.99891260000000004</v>
      </c>
      <c r="Q203">
        <v>-2.5957919999999999E-2</v>
      </c>
      <c r="R203">
        <v>3.873128E-2</v>
      </c>
      <c r="S203">
        <v>2.9998469999999999</v>
      </c>
      <c r="T203">
        <v>-0.30762220000000001</v>
      </c>
      <c r="U203">
        <v>-0.1164246</v>
      </c>
      <c r="V203">
        <v>-3.428908E-2</v>
      </c>
      <c r="W203">
        <v>-1.407743E-2</v>
      </c>
      <c r="X203">
        <v>0.9993128</v>
      </c>
      <c r="Y203">
        <v>4.2975319999999997E-2</v>
      </c>
      <c r="Z203">
        <v>-2.6514959999999902E-3</v>
      </c>
      <c r="AA203">
        <v>0.99907259999999998</v>
      </c>
      <c r="AB203">
        <v>18</v>
      </c>
      <c r="AC203">
        <v>0.58949999999998604</v>
      </c>
      <c r="AD203">
        <v>-7.9804999999999904E-2</v>
      </c>
      <c r="AE203">
        <v>-3.1499999999993998E-2</v>
      </c>
      <c r="AF203">
        <v>3.3508478884440598E-2</v>
      </c>
      <c r="AG203">
        <v>-7.9804999999999904E-2</v>
      </c>
      <c r="AH203">
        <v>0.57877703566767902</v>
      </c>
      <c r="AI203">
        <v>97.837795742590501</v>
      </c>
      <c r="AJ203">
        <v>86.686541576012303</v>
      </c>
      <c r="AK203">
        <v>0.58521322028677303</v>
      </c>
    </row>
    <row r="204" spans="1:37" x14ac:dyDescent="0.2">
      <c r="A204" t="str">
        <f>"20200111155757543"</f>
        <v>20200111155757543</v>
      </c>
      <c r="B204" t="str">
        <f>"1578729477531573"</f>
        <v>1578729477531573</v>
      </c>
      <c r="C204" t="s">
        <v>37</v>
      </c>
      <c r="D204">
        <v>5.8931529999999999</v>
      </c>
      <c r="E204">
        <v>0.53119069999999902</v>
      </c>
      <c r="F204" t="s">
        <v>38</v>
      </c>
      <c r="G204">
        <v>-448.20530000000002</v>
      </c>
      <c r="H204">
        <v>1.0262389999999999</v>
      </c>
      <c r="I204">
        <v>367.56299999999999</v>
      </c>
      <c r="J204">
        <v>-448.77670000000001</v>
      </c>
      <c r="K204">
        <v>1.1043019999999999</v>
      </c>
      <c r="L204">
        <v>367.59339999999997</v>
      </c>
      <c r="M204">
        <v>0.99991939999999901</v>
      </c>
      <c r="N204">
        <v>0</v>
      </c>
      <c r="O204">
        <v>4.473856E-3</v>
      </c>
      <c r="P204">
        <v>0.99892969999999903</v>
      </c>
      <c r="Q204">
        <v>-2.5593910000000001E-2</v>
      </c>
      <c r="R204">
        <v>3.8533610000000003E-2</v>
      </c>
      <c r="S204">
        <v>2.9997560000000001</v>
      </c>
      <c r="T204">
        <v>-0.3100117</v>
      </c>
      <c r="U204">
        <v>-0.1170654</v>
      </c>
      <c r="V204">
        <v>-3.406435E-2</v>
      </c>
      <c r="W204">
        <v>-1.37121E-2</v>
      </c>
      <c r="X204">
        <v>0.99932559999999904</v>
      </c>
      <c r="Y204">
        <v>4.321208E-2</v>
      </c>
      <c r="Z204">
        <v>-2.6871120000000002E-3</v>
      </c>
      <c r="AA204">
        <v>0.99906229999999996</v>
      </c>
      <c r="AB204">
        <v>18</v>
      </c>
      <c r="AC204">
        <v>0.57139999999998203</v>
      </c>
      <c r="AD204">
        <v>-7.8063000000000202E-2</v>
      </c>
      <c r="AE204">
        <v>-3.0399999999929098E-2</v>
      </c>
      <c r="AF204">
        <v>3.2354078085650197E-2</v>
      </c>
      <c r="AG204">
        <v>-7.8063000000000202E-2</v>
      </c>
      <c r="AH204">
        <v>0.56082052866915399</v>
      </c>
      <c r="AI204">
        <v>97.911340115724201</v>
      </c>
      <c r="AJ204">
        <v>86.698231305449198</v>
      </c>
      <c r="AK204">
        <v>0.56715102372694504</v>
      </c>
    </row>
    <row r="205" spans="1:37" x14ac:dyDescent="0.2">
      <c r="A205" t="str">
        <f>"20200111155757563"</f>
        <v>20200111155757563</v>
      </c>
      <c r="B205" t="str">
        <f>"1578729477560854"</f>
        <v>1578729477560854</v>
      </c>
      <c r="C205" t="s">
        <v>37</v>
      </c>
      <c r="D205">
        <v>5.6881219999999999</v>
      </c>
      <c r="E205">
        <v>0.61135490000000003</v>
      </c>
      <c r="F205" t="s">
        <v>38</v>
      </c>
      <c r="G205">
        <v>-448.03870000000001</v>
      </c>
      <c r="H205">
        <v>1.0289170000000001</v>
      </c>
      <c r="I205">
        <v>367.56330000000003</v>
      </c>
      <c r="J205">
        <v>-448.59980000000002</v>
      </c>
      <c r="K205">
        <v>1.104301</v>
      </c>
      <c r="L205">
        <v>367.59429999999998</v>
      </c>
      <c r="M205">
        <v>0.99991919999999901</v>
      </c>
      <c r="N205">
        <v>0</v>
      </c>
      <c r="O205">
        <v>4.5002559999999898E-3</v>
      </c>
      <c r="P205">
        <v>0.9989169</v>
      </c>
      <c r="Q205">
        <v>-2.6243889999999999E-2</v>
      </c>
      <c r="R205">
        <v>3.8428810000000001E-2</v>
      </c>
      <c r="S205">
        <v>3</v>
      </c>
      <c r="T205">
        <v>-0.30680009999999902</v>
      </c>
      <c r="U205">
        <v>-0.12039179999999999</v>
      </c>
      <c r="V205">
        <v>-3.3932990000000003E-2</v>
      </c>
      <c r="W205">
        <v>-1.4360940000000001E-2</v>
      </c>
      <c r="X205">
        <v>0.99932089999999996</v>
      </c>
      <c r="Y205">
        <v>4.4340549999999999E-2</v>
      </c>
      <c r="Z205">
        <v>-2.7193679999999998E-3</v>
      </c>
      <c r="AA205">
        <v>0.99901280000000003</v>
      </c>
      <c r="AB205">
        <v>18</v>
      </c>
      <c r="AC205">
        <v>0.56110000000001004</v>
      </c>
      <c r="AD205">
        <v>-7.5383999999999896E-2</v>
      </c>
      <c r="AE205">
        <v>-3.0999999999948999E-2</v>
      </c>
      <c r="AF205">
        <v>3.2932337543533703E-2</v>
      </c>
      <c r="AG205">
        <v>-7.5383999999999896E-2</v>
      </c>
      <c r="AH205">
        <v>0.55103880285368301</v>
      </c>
      <c r="AI205">
        <v>97.776198319202393</v>
      </c>
      <c r="AJ205">
        <v>86.579837477780501</v>
      </c>
      <c r="AK205">
        <v>0.55714544650611797</v>
      </c>
    </row>
    <row r="206" spans="1:37" x14ac:dyDescent="0.2">
      <c r="A206" t="str">
        <f>"20200111155757587"</f>
        <v>20200111155757587</v>
      </c>
      <c r="B206" t="str">
        <f>"1578729477581349"</f>
        <v>1578729477581349</v>
      </c>
      <c r="C206" t="s">
        <v>37</v>
      </c>
      <c r="D206">
        <v>5.7200980000000001</v>
      </c>
      <c r="E206">
        <v>0.61607259999999997</v>
      </c>
      <c r="F206" t="s">
        <v>41</v>
      </c>
      <c r="G206">
        <v>-434.0129</v>
      </c>
      <c r="H206">
        <v>-0.05</v>
      </c>
      <c r="I206">
        <v>363.90910000000002</v>
      </c>
      <c r="J206">
        <v>-448.41739999999999</v>
      </c>
      <c r="K206">
        <v>1.104298</v>
      </c>
      <c r="L206">
        <v>367.59519999999998</v>
      </c>
      <c r="M206">
        <v>0.99991909999999895</v>
      </c>
      <c r="N206">
        <v>0</v>
      </c>
      <c r="O206">
        <v>4.5283149999999998E-3</v>
      </c>
      <c r="P206">
        <v>0.99891849999999904</v>
      </c>
      <c r="Q206">
        <v>-2.6568230000000002E-2</v>
      </c>
      <c r="R206">
        <v>3.8162019999999998E-2</v>
      </c>
      <c r="S206">
        <v>3.0263979999999999</v>
      </c>
      <c r="T206">
        <v>-0.23948620000000001</v>
      </c>
      <c r="U206">
        <v>-0.76458740000000003</v>
      </c>
      <c r="V206">
        <v>-3.363787E-2</v>
      </c>
      <c r="W206">
        <v>-1.468389E-2</v>
      </c>
      <c r="X206">
        <v>0.99932619999999905</v>
      </c>
      <c r="Y206">
        <v>0.24858749999999999</v>
      </c>
      <c r="Z206">
        <v>-1.0021449999999999E-2</v>
      </c>
      <c r="AA206">
        <v>0.96855759999999902</v>
      </c>
      <c r="AB206">
        <v>18</v>
      </c>
      <c r="AC206">
        <v>14.404499999999899</v>
      </c>
      <c r="AD206">
        <v>-1.154298</v>
      </c>
      <c r="AE206">
        <v>-3.68609999999995</v>
      </c>
      <c r="AF206">
        <v>3.7288217687719398</v>
      </c>
      <c r="AG206">
        <v>-1.154298</v>
      </c>
      <c r="AH206">
        <v>14.3014660960912</v>
      </c>
      <c r="AI206">
        <v>94.465784078410493</v>
      </c>
      <c r="AJ206">
        <v>75.386611326683195</v>
      </c>
      <c r="AK206">
        <v>14.824589308096099</v>
      </c>
    </row>
    <row r="207" spans="1:37" x14ac:dyDescent="0.2">
      <c r="A207" t="str">
        <f>"20200111155757608"</f>
        <v>20200111155757608</v>
      </c>
      <c r="B207" t="str">
        <f>"1578729477600869"</f>
        <v>1578729477600869</v>
      </c>
      <c r="C207" t="s">
        <v>37</v>
      </c>
      <c r="D207">
        <v>5.6558250000000001</v>
      </c>
      <c r="E207">
        <v>0.61897389999999997</v>
      </c>
      <c r="F207" t="s">
        <v>41</v>
      </c>
      <c r="G207">
        <v>-433.2921</v>
      </c>
      <c r="H207">
        <v>-0.05</v>
      </c>
      <c r="I207">
        <v>363.58099999999899</v>
      </c>
      <c r="J207">
        <v>-448.22829999999999</v>
      </c>
      <c r="K207">
        <v>1.1042920000000001</v>
      </c>
      <c r="L207">
        <v>367.596</v>
      </c>
      <c r="M207">
        <v>0.99991890000000005</v>
      </c>
      <c r="N207">
        <v>0</v>
      </c>
      <c r="O207">
        <v>4.5577459999999997E-3</v>
      </c>
      <c r="P207">
        <v>0.99890020000000002</v>
      </c>
      <c r="Q207">
        <v>-2.7068970000000001E-2</v>
      </c>
      <c r="R207">
        <v>3.8283169999999998E-2</v>
      </c>
      <c r="S207">
        <v>3.0278019999999999</v>
      </c>
      <c r="T207">
        <v>-0.2310681</v>
      </c>
      <c r="U207">
        <v>-0.80355829999999995</v>
      </c>
      <c r="V207">
        <v>-3.3730059999999999E-2</v>
      </c>
      <c r="W207">
        <v>-1.5183439999999999E-2</v>
      </c>
      <c r="X207">
        <v>0.99931559999999897</v>
      </c>
      <c r="Y207">
        <v>0.26019690000000001</v>
      </c>
      <c r="Z207">
        <v>-1.008765E-2</v>
      </c>
      <c r="AA207">
        <v>0.96550290000000005</v>
      </c>
      <c r="AB207">
        <v>18</v>
      </c>
      <c r="AC207">
        <v>14.9361999999999</v>
      </c>
      <c r="AD207">
        <v>-1.1542920000000001</v>
      </c>
      <c r="AE207">
        <v>-4.0150000000000396</v>
      </c>
      <c r="AF207">
        <v>4.0604221527620696</v>
      </c>
      <c r="AG207">
        <v>-1.1542920000000001</v>
      </c>
      <c r="AH207">
        <v>14.8351133188853</v>
      </c>
      <c r="AI207">
        <v>94.291877468544001</v>
      </c>
      <c r="AJ207">
        <v>74.692833866005401</v>
      </c>
      <c r="AK207">
        <v>15.4240074320545</v>
      </c>
    </row>
    <row r="208" spans="1:37" x14ac:dyDescent="0.2">
      <c r="A208" t="str">
        <f>"20200111155757631"</f>
        <v>20200111155757631</v>
      </c>
      <c r="B208" t="str">
        <f>"1578729477621364"</f>
        <v>1578729477621364</v>
      </c>
      <c r="C208" t="s">
        <v>37</v>
      </c>
      <c r="D208">
        <v>5.699039</v>
      </c>
      <c r="E208">
        <v>0.62047559999999902</v>
      </c>
      <c r="F208" t="s">
        <v>41</v>
      </c>
      <c r="G208">
        <v>-432.72550000000001</v>
      </c>
      <c r="H208">
        <v>-0.05</v>
      </c>
      <c r="I208">
        <v>363.36380000000003</v>
      </c>
      <c r="J208">
        <v>-448.0496</v>
      </c>
      <c r="K208">
        <v>1.1042940000000001</v>
      </c>
      <c r="L208">
        <v>367.59690000000001</v>
      </c>
      <c r="M208">
        <v>0.9999188</v>
      </c>
      <c r="N208">
        <v>0</v>
      </c>
      <c r="O208">
        <v>4.5851540000000001E-3</v>
      </c>
      <c r="P208">
        <v>0.99891350000000001</v>
      </c>
      <c r="Q208">
        <v>-2.6843229999999999E-2</v>
      </c>
      <c r="R208">
        <v>3.8098439999999997E-2</v>
      </c>
      <c r="S208">
        <v>3.02887</v>
      </c>
      <c r="T208">
        <v>-0.22552069999999999</v>
      </c>
      <c r="U208">
        <v>-0.82687379999999999</v>
      </c>
      <c r="V208">
        <v>-3.3517640000000001E-2</v>
      </c>
      <c r="W208">
        <v>-1.495631E-2</v>
      </c>
      <c r="X208">
        <v>0.99932619999999905</v>
      </c>
      <c r="Y208">
        <v>0.2670807</v>
      </c>
      <c r="Z208">
        <v>-1.008647E-2</v>
      </c>
      <c r="AA208">
        <v>0.96362139999999996</v>
      </c>
      <c r="AB208">
        <v>18</v>
      </c>
      <c r="AC208">
        <v>15.3240999999999</v>
      </c>
      <c r="AD208">
        <v>-1.1542939999999999</v>
      </c>
      <c r="AE208">
        <v>-4.2330999999999701</v>
      </c>
      <c r="AF208">
        <v>4.2807571681048699</v>
      </c>
      <c r="AG208">
        <v>-1.1542939999999999</v>
      </c>
      <c r="AH208">
        <v>15.224271076951601</v>
      </c>
      <c r="AI208">
        <v>94.174552307170401</v>
      </c>
      <c r="AJ208">
        <v>74.295090711123393</v>
      </c>
      <c r="AK208">
        <v>15.856724327402</v>
      </c>
    </row>
    <row r="209" spans="1:37" x14ac:dyDescent="0.2">
      <c r="A209" t="str">
        <f>"20200111155757643"</f>
        <v>20200111155757643</v>
      </c>
      <c r="B209" t="str">
        <f>"1578729477631126"</f>
        <v>1578729477631126</v>
      </c>
      <c r="C209" t="s">
        <v>37</v>
      </c>
      <c r="D209">
        <v>5.6844659999999996</v>
      </c>
      <c r="E209">
        <v>0.62106589999999995</v>
      </c>
      <c r="F209" t="s">
        <v>41</v>
      </c>
      <c r="G209">
        <v>-432.39949999999999</v>
      </c>
      <c r="H209">
        <v>-0.05</v>
      </c>
      <c r="I209">
        <v>363.2604</v>
      </c>
      <c r="J209">
        <v>-447.93939999999998</v>
      </c>
      <c r="K209">
        <v>1.1042940000000001</v>
      </c>
      <c r="L209">
        <v>367.59739999999999</v>
      </c>
      <c r="M209">
        <v>0.99991869999999905</v>
      </c>
      <c r="N209">
        <v>0</v>
      </c>
      <c r="O209">
        <v>4.6023130000000002E-3</v>
      </c>
      <c r="P209">
        <v>0.9989055</v>
      </c>
      <c r="Q209">
        <v>-2.6844280000000002E-2</v>
      </c>
      <c r="R209">
        <v>3.8309570000000001E-2</v>
      </c>
      <c r="S209">
        <v>3.0292659999999998</v>
      </c>
      <c r="T209">
        <v>-0.22342809999999999</v>
      </c>
      <c r="U209">
        <v>-0.83938599999999997</v>
      </c>
      <c r="V209">
        <v>-3.3712069999999997E-2</v>
      </c>
      <c r="W209">
        <v>-1.495665E-2</v>
      </c>
      <c r="X209">
        <v>0.99931970000000003</v>
      </c>
      <c r="Y209">
        <v>0.27076820000000001</v>
      </c>
      <c r="Z209">
        <v>-1.0121059999999999E-2</v>
      </c>
      <c r="AA209">
        <v>0.96259139999999999</v>
      </c>
      <c r="AB209">
        <v>18</v>
      </c>
      <c r="AC209">
        <v>15.5398999999999</v>
      </c>
      <c r="AD209">
        <v>-1.1542939999999999</v>
      </c>
      <c r="AE209">
        <v>-4.3369999999999802</v>
      </c>
      <c r="AF209">
        <v>4.3860277255434497</v>
      </c>
      <c r="AG209">
        <v>-1.1542939999999999</v>
      </c>
      <c r="AH209">
        <v>15.440736843227</v>
      </c>
      <c r="AI209">
        <v>94.113145037559704</v>
      </c>
      <c r="AJ209">
        <v>74.142505876958694</v>
      </c>
      <c r="AK209">
        <v>16.093041605285801</v>
      </c>
    </row>
    <row r="210" spans="1:37" x14ac:dyDescent="0.2">
      <c r="A210" t="str">
        <f>"20200111155757663"</f>
        <v>20200111155757663</v>
      </c>
      <c r="B210" t="str">
        <f>"1578729477661382"</f>
        <v>1578729477661382</v>
      </c>
      <c r="C210" t="s">
        <v>37</v>
      </c>
      <c r="D210">
        <v>5.6961729999999999</v>
      </c>
      <c r="E210">
        <v>0.62249989999999999</v>
      </c>
      <c r="F210" t="s">
        <v>41</v>
      </c>
      <c r="G210">
        <v>-432.24020000000002</v>
      </c>
      <c r="H210">
        <v>-0.05</v>
      </c>
      <c r="I210">
        <v>363.22669999999999</v>
      </c>
      <c r="J210">
        <v>-447.77800000000002</v>
      </c>
      <c r="K210">
        <v>1.104295</v>
      </c>
      <c r="L210">
        <v>367.59820000000002</v>
      </c>
      <c r="M210">
        <v>0.99991859999999999</v>
      </c>
      <c r="N210">
        <v>0</v>
      </c>
      <c r="O210">
        <v>4.626509E-3</v>
      </c>
      <c r="P210">
        <v>0.99889819999999996</v>
      </c>
      <c r="Q210">
        <v>-2.670751E-2</v>
      </c>
      <c r="R210">
        <v>3.8593589999999997E-2</v>
      </c>
      <c r="S210">
        <v>3.029633</v>
      </c>
      <c r="T210">
        <v>-0.2227557</v>
      </c>
      <c r="U210">
        <v>-0.84347530000000004</v>
      </c>
      <c r="V210">
        <v>-3.3971830000000001E-2</v>
      </c>
      <c r="W210">
        <v>-1.481879E-2</v>
      </c>
      <c r="X210">
        <v>0.99931289999999995</v>
      </c>
      <c r="Y210">
        <v>0.27196909999999902</v>
      </c>
      <c r="Z210">
        <v>-1.0132739999999999E-2</v>
      </c>
      <c r="AA210">
        <v>0.96225260000000001</v>
      </c>
      <c r="AB210">
        <v>18</v>
      </c>
      <c r="AC210">
        <v>15.537800000000001</v>
      </c>
      <c r="AD210">
        <v>-1.1542950000000001</v>
      </c>
      <c r="AE210">
        <v>-4.3715000000000197</v>
      </c>
      <c r="AF210">
        <v>4.4207359103874904</v>
      </c>
      <c r="AG210">
        <v>-1.1542950000000001</v>
      </c>
      <c r="AH210">
        <v>15.438453445690101</v>
      </c>
      <c r="AI210">
        <v>94.111279295463802</v>
      </c>
      <c r="AJ210">
        <v>74.021158724793096</v>
      </c>
      <c r="AK210">
        <v>16.100346199108799</v>
      </c>
    </row>
    <row r="211" spans="1:37" x14ac:dyDescent="0.2">
      <c r="A211" t="str">
        <f>"20200111155757686"</f>
        <v>20200111155757686</v>
      </c>
      <c r="B211" t="str">
        <f>"1578729477680901"</f>
        <v>1578729477680901</v>
      </c>
      <c r="C211" t="s">
        <v>37</v>
      </c>
      <c r="D211">
        <v>5.8422529999999897</v>
      </c>
      <c r="E211">
        <v>0.62270429999999999</v>
      </c>
      <c r="F211" t="s">
        <v>41</v>
      </c>
      <c r="G211">
        <v>-431.87</v>
      </c>
      <c r="H211">
        <v>-0.05</v>
      </c>
      <c r="I211">
        <v>363.1139</v>
      </c>
      <c r="J211">
        <v>-447.59109999999998</v>
      </c>
      <c r="K211">
        <v>1.104293</v>
      </c>
      <c r="L211">
        <v>367.59910000000002</v>
      </c>
      <c r="M211">
        <v>0.99991839999999999</v>
      </c>
      <c r="N211">
        <v>0</v>
      </c>
      <c r="O211">
        <v>4.6545750000000002E-3</v>
      </c>
      <c r="P211">
        <v>0.99890829999999997</v>
      </c>
      <c r="Q211">
        <v>-2.6223630000000001E-2</v>
      </c>
      <c r="R211">
        <v>3.8664480000000001E-2</v>
      </c>
      <c r="S211">
        <v>3.0303960000000001</v>
      </c>
      <c r="T211">
        <v>-0.2198879</v>
      </c>
      <c r="U211">
        <v>-0.85424800000000001</v>
      </c>
      <c r="V211">
        <v>-3.401448E-2</v>
      </c>
      <c r="W211">
        <v>-1.4333439999999999E-2</v>
      </c>
      <c r="X211">
        <v>0.9993185</v>
      </c>
      <c r="Y211">
        <v>0.275115</v>
      </c>
      <c r="Z211">
        <v>-1.010931E-2</v>
      </c>
      <c r="AA211">
        <v>0.96135820000000005</v>
      </c>
      <c r="AB211">
        <v>18</v>
      </c>
      <c r="AC211">
        <v>15.7210999999999</v>
      </c>
      <c r="AD211">
        <v>-1.154293</v>
      </c>
      <c r="AE211">
        <v>-4.4852000000000096</v>
      </c>
      <c r="AF211">
        <v>4.5357201878064997</v>
      </c>
      <c r="AG211">
        <v>-1.154293</v>
      </c>
      <c r="AH211">
        <v>15.622171969123499</v>
      </c>
      <c r="AI211">
        <v>94.058783988227802</v>
      </c>
      <c r="AJ211">
        <v>73.809945057356899</v>
      </c>
      <c r="AK211">
        <v>16.308200605363901</v>
      </c>
    </row>
    <row r="212" spans="1:37" x14ac:dyDescent="0.2">
      <c r="A212" t="str">
        <f>"20200111155757709"</f>
        <v>20200111155757709</v>
      </c>
      <c r="B212" t="str">
        <f>"1578729477701398"</f>
        <v>1578729477701398</v>
      </c>
      <c r="C212" t="s">
        <v>37</v>
      </c>
      <c r="D212">
        <v>5.7826519999999997</v>
      </c>
      <c r="E212">
        <v>0.62310339999999997</v>
      </c>
      <c r="F212" t="s">
        <v>41</v>
      </c>
      <c r="G212">
        <v>-431.39960000000002</v>
      </c>
      <c r="H212">
        <v>-0.05</v>
      </c>
      <c r="I212">
        <v>363.02690000000001</v>
      </c>
      <c r="J212">
        <v>-447.3997</v>
      </c>
      <c r="K212">
        <v>1.1042969999999901</v>
      </c>
      <c r="L212">
        <v>367.6</v>
      </c>
      <c r="M212">
        <v>0.99991819999999898</v>
      </c>
      <c r="N212">
        <v>0</v>
      </c>
      <c r="O212">
        <v>4.683001E-3</v>
      </c>
      <c r="P212">
        <v>0.9989093</v>
      </c>
      <c r="Q212">
        <v>-2.6210489999999999E-2</v>
      </c>
      <c r="R212">
        <v>3.8639880000000001E-2</v>
      </c>
      <c r="S212">
        <v>3.0307309999999998</v>
      </c>
      <c r="T212">
        <v>-0.2160609</v>
      </c>
      <c r="U212">
        <v>-0.85583500000000001</v>
      </c>
      <c r="V212">
        <v>-3.3961119999999997E-2</v>
      </c>
      <c r="W212">
        <v>-1.4318869999999999E-2</v>
      </c>
      <c r="X212">
        <v>0.9993206</v>
      </c>
      <c r="Y212">
        <v>0.27560319999999999</v>
      </c>
      <c r="Z212">
        <v>-9.9510769999999991E-3</v>
      </c>
      <c r="AA212">
        <v>0.96121999999999996</v>
      </c>
      <c r="AB212">
        <v>18</v>
      </c>
      <c r="AC212">
        <v>16.0000999999999</v>
      </c>
      <c r="AD212">
        <v>-1.1542969999999999</v>
      </c>
      <c r="AE212">
        <v>-4.5731000000000099</v>
      </c>
      <c r="AF212">
        <v>4.6257266535211397</v>
      </c>
      <c r="AG212">
        <v>-1.1542969999999999</v>
      </c>
      <c r="AH212">
        <v>15.901993698317799</v>
      </c>
      <c r="AI212">
        <v>93.987022287097503</v>
      </c>
      <c r="AJ212">
        <v>73.780829054571498</v>
      </c>
      <c r="AK212">
        <v>16.601299714740499</v>
      </c>
    </row>
    <row r="213" spans="1:37" x14ac:dyDescent="0.2">
      <c r="A213" t="str">
        <f>"20200111155757731"</f>
        <v>20200111155757731</v>
      </c>
      <c r="B213" t="str">
        <f>"1578729477720917"</f>
        <v>1578729477720917</v>
      </c>
      <c r="C213" t="s">
        <v>37</v>
      </c>
      <c r="D213">
        <v>5.7407430000000002</v>
      </c>
      <c r="E213">
        <v>0.62337969999999998</v>
      </c>
      <c r="F213" t="s">
        <v>41</v>
      </c>
      <c r="G213">
        <v>-431.38909999999998</v>
      </c>
      <c r="H213">
        <v>-0.05</v>
      </c>
      <c r="I213">
        <v>363.06380000000001</v>
      </c>
      <c r="J213">
        <v>-447.21749999999997</v>
      </c>
      <c r="K213">
        <v>1.1043019999999999</v>
      </c>
      <c r="L213">
        <v>367.60090000000002</v>
      </c>
      <c r="M213">
        <v>0.99991810000000003</v>
      </c>
      <c r="N213">
        <v>0</v>
      </c>
      <c r="O213">
        <v>4.7107659999999999E-3</v>
      </c>
      <c r="P213">
        <v>0.99892649999999905</v>
      </c>
      <c r="Q213">
        <v>-2.5458680000000001E-2</v>
      </c>
      <c r="R213">
        <v>3.8701850000000003E-2</v>
      </c>
      <c r="S213">
        <v>3.03076199999999</v>
      </c>
      <c r="T213">
        <v>-0.2185038</v>
      </c>
      <c r="U213">
        <v>-0.85867309999999997</v>
      </c>
      <c r="V213">
        <v>-3.3995789999999998E-2</v>
      </c>
      <c r="W213">
        <v>-1.3565539999999999E-2</v>
      </c>
      <c r="X213">
        <v>0.99932989999999999</v>
      </c>
      <c r="Y213">
        <v>0.27644400000000002</v>
      </c>
      <c r="Z213">
        <v>-1.0093619999999999E-2</v>
      </c>
      <c r="AA213">
        <v>0.96097699999999997</v>
      </c>
      <c r="AB213">
        <v>18</v>
      </c>
      <c r="AC213">
        <v>15.828399999999901</v>
      </c>
      <c r="AD213">
        <v>-1.1543019999999999</v>
      </c>
      <c r="AE213">
        <v>-4.5370999999999997</v>
      </c>
      <c r="AF213">
        <v>4.58906624956595</v>
      </c>
      <c r="AG213">
        <v>-1.1543019999999999</v>
      </c>
      <c r="AH213">
        <v>15.729548113879501</v>
      </c>
      <c r="AI213">
        <v>94.029680862316596</v>
      </c>
      <c r="AJ213">
        <v>73.735493807749094</v>
      </c>
      <c r="AK213">
        <v>16.425913247578102</v>
      </c>
    </row>
    <row r="214" spans="1:37" x14ac:dyDescent="0.2">
      <c r="A214" t="str">
        <f>"20200111155757754"</f>
        <v>20200111155757754</v>
      </c>
      <c r="B214" t="str">
        <f>"1578729477741412"</f>
        <v>1578729477741412</v>
      </c>
      <c r="C214" t="s">
        <v>37</v>
      </c>
      <c r="D214">
        <v>5.9101559999999997</v>
      </c>
      <c r="E214">
        <v>0.62330220000000003</v>
      </c>
      <c r="F214" t="s">
        <v>41</v>
      </c>
      <c r="G214">
        <v>-431.18430000000001</v>
      </c>
      <c r="H214">
        <v>-0.05</v>
      </c>
      <c r="I214">
        <v>363.04640000000001</v>
      </c>
      <c r="J214">
        <v>-447.03989999999999</v>
      </c>
      <c r="K214">
        <v>1.1043049999999901</v>
      </c>
      <c r="L214">
        <v>367.60180000000003</v>
      </c>
      <c r="M214">
        <v>0.99991799999999997</v>
      </c>
      <c r="N214">
        <v>0</v>
      </c>
      <c r="O214">
        <v>4.7379930000000002E-3</v>
      </c>
      <c r="P214">
        <v>0.99893519999999902</v>
      </c>
      <c r="Q214">
        <v>-2.543339E-2</v>
      </c>
      <c r="R214">
        <v>3.8493909999999999E-2</v>
      </c>
      <c r="S214">
        <v>3.030945</v>
      </c>
      <c r="T214">
        <v>-0.21821119999999999</v>
      </c>
      <c r="U214">
        <v>-0.86099239999999999</v>
      </c>
      <c r="V214">
        <v>-3.3760400000000003E-2</v>
      </c>
      <c r="W214">
        <v>-1.353882E-2</v>
      </c>
      <c r="X214">
        <v>0.99933830000000001</v>
      </c>
      <c r="Y214">
        <v>0.27713569999999998</v>
      </c>
      <c r="Z214">
        <v>-1.010483E-2</v>
      </c>
      <c r="AA214">
        <v>0.96077760000000001</v>
      </c>
      <c r="AB214">
        <v>18</v>
      </c>
      <c r="AC214">
        <v>15.8555999999999</v>
      </c>
      <c r="AD214">
        <v>-1.1543049999999999</v>
      </c>
      <c r="AE214">
        <v>-4.5554000000000201</v>
      </c>
      <c r="AF214">
        <v>4.6079181223352004</v>
      </c>
      <c r="AG214">
        <v>-1.1543049999999999</v>
      </c>
      <c r="AH214">
        <v>15.7566942641339</v>
      </c>
      <c r="AI214">
        <v>94.022023012321299</v>
      </c>
      <c r="AJ214">
        <v>73.698866846788604</v>
      </c>
      <c r="AK214">
        <v>16.457179089642299</v>
      </c>
    </row>
    <row r="215" spans="1:37" x14ac:dyDescent="0.2">
      <c r="A215" t="str">
        <f>"20200111155757767"</f>
        <v>20200111155757767</v>
      </c>
      <c r="B215" t="str">
        <f>"1578729477760933"</f>
        <v>1578729477760933</v>
      </c>
      <c r="C215" t="s">
        <v>37</v>
      </c>
      <c r="D215">
        <v>5.9040369999999998</v>
      </c>
      <c r="E215">
        <v>0.62341169999999901</v>
      </c>
      <c r="F215" t="s">
        <v>41</v>
      </c>
      <c r="G215">
        <v>-431.26609999999999</v>
      </c>
      <c r="H215">
        <v>-0.05</v>
      </c>
      <c r="I215">
        <v>363.12360000000001</v>
      </c>
      <c r="J215">
        <v>-446.91849999999999</v>
      </c>
      <c r="K215">
        <v>1.1043049999999901</v>
      </c>
      <c r="L215">
        <v>367.60239999999999</v>
      </c>
      <c r="M215">
        <v>0.99991790000000003</v>
      </c>
      <c r="N215">
        <v>0</v>
      </c>
      <c r="O215">
        <v>4.7568209999999996E-3</v>
      </c>
      <c r="P215">
        <v>0.998957599999999</v>
      </c>
      <c r="Q215">
        <v>-2.477468E-2</v>
      </c>
      <c r="R215">
        <v>3.834253E-2</v>
      </c>
      <c r="S215">
        <v>3.0306700000000002</v>
      </c>
      <c r="T215">
        <v>-0.22178020000000001</v>
      </c>
      <c r="U215">
        <v>-0.86041259999999997</v>
      </c>
      <c r="V215">
        <v>-3.3590099999999998E-2</v>
      </c>
      <c r="W215">
        <v>-1.2879E-2</v>
      </c>
      <c r="X215">
        <v>0.99935269999999998</v>
      </c>
      <c r="Y215">
        <v>0.27698449999999902</v>
      </c>
      <c r="Z215">
        <v>-1.026677E-2</v>
      </c>
      <c r="AA215">
        <v>0.96081949999999905</v>
      </c>
      <c r="AB215">
        <v>18</v>
      </c>
      <c r="AC215">
        <v>15.6524</v>
      </c>
      <c r="AD215">
        <v>-1.1543049999999999</v>
      </c>
      <c r="AE215">
        <v>-4.4787999999999704</v>
      </c>
      <c r="AF215">
        <v>4.5304361453619499</v>
      </c>
      <c r="AG215">
        <v>-1.1543049999999999</v>
      </c>
      <c r="AH215">
        <v>15.5527342775799</v>
      </c>
      <c r="AI215">
        <v>94.075844380472105</v>
      </c>
      <c r="AJ215">
        <v>73.7594144631083</v>
      </c>
      <c r="AK215">
        <v>16.240222141622201</v>
      </c>
    </row>
    <row r="216" spans="1:37" x14ac:dyDescent="0.2">
      <c r="A216" t="str">
        <f>"20200111155757788"</f>
        <v>20200111155757788</v>
      </c>
      <c r="B216" t="str">
        <f>"1578729477781430"</f>
        <v>1578729477781430</v>
      </c>
      <c r="C216" t="s">
        <v>37</v>
      </c>
      <c r="D216">
        <v>5.9048739999999897</v>
      </c>
      <c r="E216">
        <v>0.62344860000000002</v>
      </c>
      <c r="F216" t="s">
        <v>41</v>
      </c>
      <c r="G216">
        <v>-431.02980000000002</v>
      </c>
      <c r="H216">
        <v>-0.05</v>
      </c>
      <c r="I216">
        <v>363.084</v>
      </c>
      <c r="J216">
        <v>-446.7534</v>
      </c>
      <c r="K216">
        <v>1.104309</v>
      </c>
      <c r="L216">
        <v>367.60320000000002</v>
      </c>
      <c r="M216">
        <v>0.99991790000000003</v>
      </c>
      <c r="N216">
        <v>0</v>
      </c>
      <c r="O216">
        <v>4.7823800000000001E-3</v>
      </c>
      <c r="P216">
        <v>0.99898989999999999</v>
      </c>
      <c r="Q216">
        <v>-2.3732489999999998E-2</v>
      </c>
      <c r="R216">
        <v>3.8162979999999999E-2</v>
      </c>
      <c r="S216">
        <v>3.0307309999999998</v>
      </c>
      <c r="T216">
        <v>-0.22018089999999901</v>
      </c>
      <c r="U216">
        <v>-0.86187739999999902</v>
      </c>
      <c r="V216">
        <v>-3.3384669999999998E-2</v>
      </c>
      <c r="W216">
        <v>-1.183526E-2</v>
      </c>
      <c r="X216">
        <v>0.9993725</v>
      </c>
      <c r="Y216">
        <v>0.27744249999999998</v>
      </c>
      <c r="Z216">
        <v>-1.0210179999999999E-2</v>
      </c>
      <c r="AA216">
        <v>0.96068799999999899</v>
      </c>
      <c r="AB216">
        <v>18</v>
      </c>
      <c r="AC216">
        <v>15.7235999999999</v>
      </c>
      <c r="AD216">
        <v>-1.154309</v>
      </c>
      <c r="AE216">
        <v>-4.5192000000000103</v>
      </c>
      <c r="AF216">
        <v>4.5715917244329196</v>
      </c>
      <c r="AG216">
        <v>-1.154309</v>
      </c>
      <c r="AH216">
        <v>15.624027139600299</v>
      </c>
      <c r="AI216">
        <v>94.055903134847895</v>
      </c>
      <c r="AJ216">
        <v>73.690519454264702</v>
      </c>
      <c r="AK216">
        <v>16.319990938151701</v>
      </c>
    </row>
    <row r="217" spans="1:37" x14ac:dyDescent="0.2">
      <c r="A217" t="str">
        <f>"20200111155757854"</f>
        <v>20200111155757854</v>
      </c>
      <c r="B217" t="str">
        <f>"1578729477850725"</f>
        <v>1578729477850725</v>
      </c>
      <c r="C217" t="s">
        <v>37</v>
      </c>
      <c r="D217">
        <v>8.2858719999999995</v>
      </c>
      <c r="E217">
        <v>0.62407480000000004</v>
      </c>
      <c r="F217" t="s">
        <v>41</v>
      </c>
      <c r="G217">
        <v>-430.88199999999898</v>
      </c>
      <c r="H217">
        <v>-0.05</v>
      </c>
      <c r="I217">
        <v>363.08670000000001</v>
      </c>
      <c r="J217">
        <v>-446.21080000000001</v>
      </c>
      <c r="K217">
        <v>1.10432</v>
      </c>
      <c r="L217">
        <v>367.60590000000002</v>
      </c>
      <c r="M217">
        <v>0.99991719999999895</v>
      </c>
      <c r="N217">
        <v>0</v>
      </c>
      <c r="O217">
        <v>4.8645529999999998E-3</v>
      </c>
      <c r="P217">
        <v>0.99903739999999996</v>
      </c>
      <c r="Q217">
        <v>-2.0936070000000001E-2</v>
      </c>
      <c r="R217">
        <v>3.8543920000000002E-2</v>
      </c>
      <c r="S217">
        <v>3.0307309999999998</v>
      </c>
      <c r="T217">
        <v>-0.22042229999999999</v>
      </c>
      <c r="U217">
        <v>-0.86245729999999998</v>
      </c>
      <c r="V217">
        <v>-3.3683480000000002E-2</v>
      </c>
      <c r="W217">
        <v>-9.0345269999999901E-3</v>
      </c>
      <c r="X217">
        <v>0.99939169999999999</v>
      </c>
      <c r="Y217">
        <v>0.27768929999999997</v>
      </c>
      <c r="Z217">
        <v>-1.023573E-2</v>
      </c>
      <c r="AA217">
        <v>0.96061640000000004</v>
      </c>
      <c r="AB217">
        <v>18</v>
      </c>
      <c r="AC217">
        <v>15.328799999999999</v>
      </c>
      <c r="AD217">
        <v>-1.15432</v>
      </c>
      <c r="AE217">
        <v>-4.5192000000000103</v>
      </c>
      <c r="AF217">
        <v>4.5698774937701296</v>
      </c>
      <c r="AG217">
        <v>-1.15432</v>
      </c>
      <c r="AH217">
        <v>15.2271894800231</v>
      </c>
      <c r="AI217">
        <v>94.152798975614402</v>
      </c>
      <c r="AJ217">
        <v>73.294816191240898</v>
      </c>
      <c r="AK217">
        <v>15.9399979432556</v>
      </c>
    </row>
    <row r="218" spans="1:37" x14ac:dyDescent="0.2">
      <c r="A218" t="str">
        <f>"20200111155757876"</f>
        <v>20200111155757876</v>
      </c>
      <c r="B218" t="str">
        <f>"1578729477871221"</f>
        <v>1578729477871221</v>
      </c>
      <c r="C218" t="s">
        <v>37</v>
      </c>
      <c r="D218">
        <v>6.024127</v>
      </c>
      <c r="E218">
        <v>0.52457730000000002</v>
      </c>
      <c r="F218" t="s">
        <v>41</v>
      </c>
      <c r="G218">
        <v>-429.05220000000003</v>
      </c>
      <c r="H218">
        <v>-0.05</v>
      </c>
      <c r="I218">
        <v>362.7011</v>
      </c>
      <c r="J218">
        <v>-446.02550000000002</v>
      </c>
      <c r="K218">
        <v>1.1043229999999999</v>
      </c>
      <c r="L218">
        <v>367.60680000000002</v>
      </c>
      <c r="M218">
        <v>0.9999171</v>
      </c>
      <c r="N218">
        <v>0</v>
      </c>
      <c r="O218">
        <v>4.8923229999999996E-3</v>
      </c>
      <c r="P218">
        <v>0.99904869999999901</v>
      </c>
      <c r="Q218">
        <v>-1.9343860000000001E-2</v>
      </c>
      <c r="R218">
        <v>3.9083449999999999E-2</v>
      </c>
      <c r="S218">
        <v>3.0321039999999999</v>
      </c>
      <c r="T218">
        <v>-0.20398039999999901</v>
      </c>
      <c r="U218">
        <v>-0.86672969999999905</v>
      </c>
      <c r="V218">
        <v>-3.4194790000000003E-2</v>
      </c>
      <c r="W218">
        <v>-7.4409599999999999E-3</v>
      </c>
      <c r="X218">
        <v>0.99938749999999998</v>
      </c>
      <c r="Y218">
        <v>0.27895009999999998</v>
      </c>
      <c r="Z218">
        <v>-9.5113650000000008E-3</v>
      </c>
      <c r="AA218">
        <v>0.96025849999999902</v>
      </c>
      <c r="AB218">
        <v>18</v>
      </c>
      <c r="AC218">
        <v>16.973299999999899</v>
      </c>
      <c r="AD218">
        <v>-1.154323</v>
      </c>
      <c r="AE218">
        <v>-4.9057000000000199</v>
      </c>
      <c r="AF218">
        <v>4.9674821550608703</v>
      </c>
      <c r="AG218">
        <v>-1.154323</v>
      </c>
      <c r="AH218">
        <v>16.877054530724699</v>
      </c>
      <c r="AI218">
        <v>93.753962953286106</v>
      </c>
      <c r="AJ218">
        <v>73.599078709767795</v>
      </c>
      <c r="AK218">
        <v>17.630748996631802</v>
      </c>
    </row>
    <row r="219" spans="1:37" x14ac:dyDescent="0.2">
      <c r="A219" t="str">
        <f>"20200111155757898"</f>
        <v>20200111155757898</v>
      </c>
      <c r="B219" t="str">
        <f>"1578729477891717"</f>
        <v>1578729477891717</v>
      </c>
      <c r="C219" t="s">
        <v>37</v>
      </c>
      <c r="D219">
        <v>6.4550140000000003</v>
      </c>
      <c r="E219">
        <v>0.51288630000000002</v>
      </c>
      <c r="F219" t="s">
        <v>38</v>
      </c>
      <c r="G219">
        <v>-445.21589999999998</v>
      </c>
      <c r="H219">
        <v>1.049717</v>
      </c>
      <c r="I219">
        <v>367.58789999999999</v>
      </c>
      <c r="J219">
        <v>-445.83949999999999</v>
      </c>
      <c r="K219">
        <v>1.104325</v>
      </c>
      <c r="L219">
        <v>367.6078</v>
      </c>
      <c r="M219">
        <v>0.99991699999999994</v>
      </c>
      <c r="N219">
        <v>0</v>
      </c>
      <c r="O219">
        <v>4.9205659999999899E-3</v>
      </c>
      <c r="P219">
        <v>0.99905480000000002</v>
      </c>
      <c r="Q219">
        <v>-1.9110869999999999E-2</v>
      </c>
      <c r="R219">
        <v>3.9039659999999997E-2</v>
      </c>
      <c r="S219">
        <v>3.0016479999999999</v>
      </c>
      <c r="T219">
        <v>-0.202406</v>
      </c>
      <c r="U219">
        <v>-7.064819E-2</v>
      </c>
      <c r="V219">
        <v>-3.4122880000000001E-2</v>
      </c>
      <c r="W219">
        <v>-7.206619E-3</v>
      </c>
      <c r="X219">
        <v>0.99939169999999999</v>
      </c>
      <c r="Y219">
        <v>2.837365E-2</v>
      </c>
      <c r="Z219">
        <v>-1.286831E-3</v>
      </c>
      <c r="AA219">
        <v>0.9995965</v>
      </c>
      <c r="AB219">
        <v>18</v>
      </c>
      <c r="AC219">
        <v>0.62360000000001004</v>
      </c>
      <c r="AD219">
        <v>-5.46079999999999E-2</v>
      </c>
      <c r="AE219">
        <v>-1.9900000000006898E-2</v>
      </c>
      <c r="AF219">
        <v>2.2793828961527301E-2</v>
      </c>
      <c r="AG219">
        <v>-5.46079999999999E-2</v>
      </c>
      <c r="AH219">
        <v>0.61875454138267805</v>
      </c>
      <c r="AI219">
        <v>95.040153582756304</v>
      </c>
      <c r="AJ219">
        <v>87.890278253477206</v>
      </c>
      <c r="AK219">
        <v>0.62157764984305497</v>
      </c>
    </row>
    <row r="220" spans="1:37" x14ac:dyDescent="0.2">
      <c r="A220" t="str">
        <f>"20200111155757921"</f>
        <v>20200111155757921</v>
      </c>
      <c r="B220" t="str">
        <f>"1578729477911237"</f>
        <v>1578729477911237</v>
      </c>
      <c r="C220" t="s">
        <v>37</v>
      </c>
      <c r="D220">
        <v>6.1946240000000001</v>
      </c>
      <c r="E220">
        <v>0.51192959999999998</v>
      </c>
      <c r="F220" t="s">
        <v>41</v>
      </c>
      <c r="G220">
        <v>-420.61579999999998</v>
      </c>
      <c r="H220">
        <v>-0.05</v>
      </c>
      <c r="I220">
        <v>367.76819999999998</v>
      </c>
      <c r="J220">
        <v>-445.65600000000001</v>
      </c>
      <c r="K220">
        <v>1.1043259999999999</v>
      </c>
      <c r="L220">
        <v>367.6087</v>
      </c>
      <c r="M220">
        <v>0.9999169</v>
      </c>
      <c r="N220">
        <v>0</v>
      </c>
      <c r="O220">
        <v>4.948806E-3</v>
      </c>
      <c r="P220">
        <v>0.99905350000000004</v>
      </c>
      <c r="Q220">
        <v>-1.9636259999999999E-2</v>
      </c>
      <c r="R220">
        <v>3.8814359999999999E-2</v>
      </c>
      <c r="S220">
        <v>2.9994200000000002</v>
      </c>
      <c r="T220">
        <v>-0.1372641</v>
      </c>
      <c r="U220">
        <v>1.9073489999999999E-2</v>
      </c>
      <c r="V220">
        <v>-3.3869709999999997E-2</v>
      </c>
      <c r="W220">
        <v>-7.7306900000000001E-3</v>
      </c>
      <c r="X220">
        <v>0.99939639999999996</v>
      </c>
      <c r="Y220">
        <v>-1.413496E-3</v>
      </c>
      <c r="Z220">
        <v>-1.9404249999999999E-4</v>
      </c>
      <c r="AA220">
        <v>0.99999899999999997</v>
      </c>
      <c r="AB220">
        <v>18</v>
      </c>
      <c r="AC220">
        <v>25.040199999999999</v>
      </c>
      <c r="AD220">
        <v>-1.154326</v>
      </c>
      <c r="AE220">
        <v>0.15949999999997999</v>
      </c>
      <c r="AF220">
        <v>-3.5494746655096901E-2</v>
      </c>
      <c r="AG220">
        <v>-1.154326</v>
      </c>
      <c r="AH220">
        <v>24.987583515835802</v>
      </c>
      <c r="AI220">
        <v>92.644951794437603</v>
      </c>
      <c r="AJ220">
        <v>90.081388334692903</v>
      </c>
      <c r="AK220">
        <v>25.014257101744601</v>
      </c>
    </row>
    <row r="221" spans="1:37" x14ac:dyDescent="0.2">
      <c r="A221" t="str">
        <f>"20200111155757942"</f>
        <v>20200111155757942</v>
      </c>
      <c r="B221" t="str">
        <f>"1578729477931732"</f>
        <v>1578729477931732</v>
      </c>
      <c r="C221" t="s">
        <v>37</v>
      </c>
      <c r="D221">
        <v>6.7526699999999904</v>
      </c>
      <c r="E221">
        <v>0.51268970000000003</v>
      </c>
      <c r="F221" t="s">
        <v>41</v>
      </c>
      <c r="G221">
        <v>-418.33800000000002</v>
      </c>
      <c r="H221">
        <v>-0.05</v>
      </c>
      <c r="I221">
        <v>367.83690000000001</v>
      </c>
      <c r="J221">
        <v>-445.48160000000001</v>
      </c>
      <c r="K221">
        <v>1.1043270000000001</v>
      </c>
      <c r="L221">
        <v>367.6096</v>
      </c>
      <c r="M221">
        <v>0.99991669999999999</v>
      </c>
      <c r="N221">
        <v>0</v>
      </c>
      <c r="O221">
        <v>4.976032E-3</v>
      </c>
      <c r="P221">
        <v>0.99905639999999996</v>
      </c>
      <c r="Q221">
        <v>-1.9902940000000001E-2</v>
      </c>
      <c r="R221">
        <v>3.8608320000000002E-2</v>
      </c>
      <c r="S221">
        <v>2.99939</v>
      </c>
      <c r="T221">
        <v>-0.1267394</v>
      </c>
      <c r="U221">
        <v>2.505493E-2</v>
      </c>
      <c r="V221">
        <v>-3.363613E-2</v>
      </c>
      <c r="W221">
        <v>-7.9961129999999991E-3</v>
      </c>
      <c r="X221">
        <v>0.99940219999999902</v>
      </c>
      <c r="Y221">
        <v>-3.3781639999999999E-3</v>
      </c>
      <c r="Z221">
        <v>-1.3883910000000001E-4</v>
      </c>
      <c r="AA221">
        <v>0.9999943</v>
      </c>
      <c r="AB221">
        <v>18</v>
      </c>
      <c r="AC221">
        <v>27.1435999999999</v>
      </c>
      <c r="AD221">
        <v>-1.1543270000000001</v>
      </c>
      <c r="AE221">
        <v>0.22730000000001299</v>
      </c>
      <c r="AF221">
        <v>-9.2053714722378693E-2</v>
      </c>
      <c r="AG221">
        <v>-1.1543270000000001</v>
      </c>
      <c r="AH221">
        <v>27.095395959682801</v>
      </c>
      <c r="AI221">
        <v>92.439444519665699</v>
      </c>
      <c r="AJ221">
        <v>90.194655544345594</v>
      </c>
      <c r="AK221">
        <v>27.1201295520748</v>
      </c>
    </row>
    <row r="222" spans="1:37" x14ac:dyDescent="0.2">
      <c r="A222" t="str">
        <f>"20200111155757965"</f>
        <v>20200111155757965</v>
      </c>
      <c r="B222" t="str">
        <f>"1578729477961013"</f>
        <v>1578729477961013</v>
      </c>
      <c r="C222" t="s">
        <v>37</v>
      </c>
      <c r="D222">
        <v>6.3589519999999897</v>
      </c>
      <c r="E222">
        <v>0.51333660000000003</v>
      </c>
      <c r="F222" t="s">
        <v>41</v>
      </c>
      <c r="G222">
        <v>-417.5745</v>
      </c>
      <c r="H222">
        <v>-0.05</v>
      </c>
      <c r="I222">
        <v>367.7783</v>
      </c>
      <c r="J222">
        <v>-445.29329999999999</v>
      </c>
      <c r="K222">
        <v>1.1043270000000001</v>
      </c>
      <c r="L222">
        <v>367.61059999999998</v>
      </c>
      <c r="M222">
        <v>0.99991640000000004</v>
      </c>
      <c r="N222">
        <v>0</v>
      </c>
      <c r="O222">
        <v>5.0051109999999996E-3</v>
      </c>
      <c r="P222">
        <v>0.99907299999999999</v>
      </c>
      <c r="Q222">
        <v>-1.9836889999999999E-2</v>
      </c>
      <c r="R222">
        <v>3.8203880000000003E-2</v>
      </c>
      <c r="S222">
        <v>2.9996640000000001</v>
      </c>
      <c r="T222">
        <v>-0.1240753</v>
      </c>
      <c r="U222">
        <v>1.8127440000000002E-2</v>
      </c>
      <c r="V222">
        <v>-3.3202479999999999E-2</v>
      </c>
      <c r="W222">
        <v>-7.9286269999999902E-3</v>
      </c>
      <c r="X222">
        <v>0.99941719999999901</v>
      </c>
      <c r="Y222">
        <v>-1.040986E-3</v>
      </c>
      <c r="Z222">
        <v>-1.854298E-4</v>
      </c>
      <c r="AA222">
        <v>0.99999950000000004</v>
      </c>
      <c r="AB222">
        <v>18</v>
      </c>
      <c r="AC222">
        <v>27.718799999999899</v>
      </c>
      <c r="AD222">
        <v>-1.1543270000000001</v>
      </c>
      <c r="AE222">
        <v>0.167700000000024</v>
      </c>
      <c r="AF222">
        <v>-2.8902245681602299E-2</v>
      </c>
      <c r="AG222">
        <v>-1.1543270000000001</v>
      </c>
      <c r="AH222">
        <v>27.671305281166799</v>
      </c>
      <c r="AI222">
        <v>92.388745459555494</v>
      </c>
      <c r="AJ222">
        <v>90.059844524028904</v>
      </c>
      <c r="AK222">
        <v>27.695386657821999</v>
      </c>
    </row>
    <row r="223" spans="1:37" x14ac:dyDescent="0.2">
      <c r="A223" t="str">
        <f>"20200111155757988"</f>
        <v>20200111155757988</v>
      </c>
      <c r="B223" t="str">
        <f>"1578729477981510"</f>
        <v>1578729477981510</v>
      </c>
      <c r="C223" t="s">
        <v>37</v>
      </c>
      <c r="D223">
        <v>6.70282</v>
      </c>
      <c r="E223">
        <v>0.51314439999999995</v>
      </c>
      <c r="F223" t="s">
        <v>41</v>
      </c>
      <c r="G223">
        <v>-416.77600000000001</v>
      </c>
      <c r="H223">
        <v>-0.05</v>
      </c>
      <c r="I223">
        <v>367.72340000000003</v>
      </c>
      <c r="J223">
        <v>-445.1046</v>
      </c>
      <c r="K223">
        <v>1.104328</v>
      </c>
      <c r="L223">
        <v>367.61160000000001</v>
      </c>
      <c r="M223">
        <v>0.99991629999999998</v>
      </c>
      <c r="N223">
        <v>0</v>
      </c>
      <c r="O223">
        <v>5.0337150000000002E-3</v>
      </c>
      <c r="P223">
        <v>0.99906039999999996</v>
      </c>
      <c r="Q223">
        <v>-1.988798E-2</v>
      </c>
      <c r="R223">
        <v>3.8511339999999998E-2</v>
      </c>
      <c r="S223">
        <v>2.9999389999999999</v>
      </c>
      <c r="T223">
        <v>-0.1214321</v>
      </c>
      <c r="U223">
        <v>1.1871339999999999E-2</v>
      </c>
      <c r="V223">
        <v>-3.3482209999999998E-2</v>
      </c>
      <c r="W223">
        <v>-7.9785789999999995E-3</v>
      </c>
      <c r="X223">
        <v>0.9994075</v>
      </c>
      <c r="Y223">
        <v>1.071921E-3</v>
      </c>
      <c r="Z223">
        <v>-2.253705E-4</v>
      </c>
      <c r="AA223">
        <v>0.99999939999999998</v>
      </c>
      <c r="AB223">
        <v>18</v>
      </c>
      <c r="AC223">
        <v>28.328599999999899</v>
      </c>
      <c r="AD223">
        <v>-1.154328</v>
      </c>
      <c r="AE223">
        <v>0.111800000000016</v>
      </c>
      <c r="AF223">
        <v>3.0758574600249299E-2</v>
      </c>
      <c r="AG223">
        <v>-1.154328</v>
      </c>
      <c r="AH223">
        <v>28.281845896743999</v>
      </c>
      <c r="AI223">
        <v>92.337237620063107</v>
      </c>
      <c r="AJ223">
        <v>89.937686676462704</v>
      </c>
      <c r="AK223">
        <v>28.305409845975898</v>
      </c>
    </row>
    <row r="224" spans="1:37" x14ac:dyDescent="0.2">
      <c r="A224" t="str">
        <f>"20200111155758009"</f>
        <v>20200111155758009</v>
      </c>
      <c r="B224" t="str">
        <f>"1578729478001029"</f>
        <v>1578729478001029</v>
      </c>
      <c r="C224" t="s">
        <v>37</v>
      </c>
      <c r="D224">
        <v>6.0468580000000003</v>
      </c>
      <c r="E224">
        <v>0.51301430000000003</v>
      </c>
      <c r="F224" t="s">
        <v>41</v>
      </c>
      <c r="G224">
        <v>-415.13709999999998</v>
      </c>
      <c r="H224">
        <v>-0.05</v>
      </c>
      <c r="I224">
        <v>367.75119999999998</v>
      </c>
      <c r="J224">
        <v>-444.92630000000003</v>
      </c>
      <c r="K224">
        <v>1.104331</v>
      </c>
      <c r="L224">
        <v>367.61250000000001</v>
      </c>
      <c r="M224">
        <v>0.99991629999999998</v>
      </c>
      <c r="N224">
        <v>0</v>
      </c>
      <c r="O224">
        <v>5.0601170000000003E-3</v>
      </c>
      <c r="P224">
        <v>0.99904099999999996</v>
      </c>
      <c r="Q224">
        <v>-1.974741E-2</v>
      </c>
      <c r="R224">
        <v>3.9078370000000001E-2</v>
      </c>
      <c r="S224">
        <v>2.9999689999999899</v>
      </c>
      <c r="T224">
        <v>-0.1155567</v>
      </c>
      <c r="U224">
        <v>1.397705E-2</v>
      </c>
      <c r="V224">
        <v>-3.4022169999999997E-2</v>
      </c>
      <c r="W224">
        <v>-7.8370719999999901E-3</v>
      </c>
      <c r="X224">
        <v>0.99939040000000001</v>
      </c>
      <c r="Y224">
        <v>3.97419599999999E-4</v>
      </c>
      <c r="Z224">
        <v>-2.025028E-4</v>
      </c>
      <c r="AA224">
        <v>0.99999989999999905</v>
      </c>
      <c r="AB224">
        <v>18</v>
      </c>
      <c r="AC224">
        <v>29.789200000000001</v>
      </c>
      <c r="AD224">
        <v>-1.154331</v>
      </c>
      <c r="AE224">
        <v>0.13869999999997101</v>
      </c>
      <c r="AF224">
        <v>1.2031235536280001E-2</v>
      </c>
      <c r="AG224">
        <v>-1.154331</v>
      </c>
      <c r="AH224">
        <v>29.744857702482399</v>
      </c>
      <c r="AI224">
        <v>92.222404872554193</v>
      </c>
      <c r="AJ224">
        <v>89.976824935998707</v>
      </c>
      <c r="AK224">
        <v>29.767250201338999</v>
      </c>
    </row>
    <row r="225" spans="1:37" x14ac:dyDescent="0.2">
      <c r="A225" t="str">
        <f>"20200111155758032"</f>
        <v>20200111155758032</v>
      </c>
      <c r="B225" t="str">
        <f>"1578729478021525"</f>
        <v>1578729478021525</v>
      </c>
      <c r="C225" t="s">
        <v>37</v>
      </c>
      <c r="D225">
        <v>6.0165089999999903</v>
      </c>
      <c r="E225">
        <v>0.51377680000000003</v>
      </c>
      <c r="F225" t="s">
        <v>41</v>
      </c>
      <c r="G225">
        <v>-411.9914</v>
      </c>
      <c r="H225">
        <v>-0.05</v>
      </c>
      <c r="I225">
        <v>367.78769999999997</v>
      </c>
      <c r="J225">
        <v>-444.74470000000002</v>
      </c>
      <c r="K225">
        <v>1.104333</v>
      </c>
      <c r="L225">
        <v>367.61340000000001</v>
      </c>
      <c r="M225">
        <v>0.99991609999999997</v>
      </c>
      <c r="N225">
        <v>0</v>
      </c>
      <c r="O225">
        <v>5.08735E-3</v>
      </c>
      <c r="P225">
        <v>0.99900719999999998</v>
      </c>
      <c r="Q225">
        <v>-1.9506450000000002E-2</v>
      </c>
      <c r="R225">
        <v>4.0057330000000002E-2</v>
      </c>
      <c r="S225">
        <v>3.0001530000000001</v>
      </c>
      <c r="T225">
        <v>-0.10515190000000001</v>
      </c>
      <c r="U225">
        <v>1.596069E-2</v>
      </c>
      <c r="V225">
        <v>-3.4973890000000001E-2</v>
      </c>
      <c r="W225">
        <v>-7.5952750000000003E-3</v>
      </c>
      <c r="X225">
        <v>0.99935940000000001</v>
      </c>
      <c r="Y225">
        <v>-2.3515720000000001E-4</v>
      </c>
      <c r="Z225">
        <v>-1.7414159999999901E-4</v>
      </c>
      <c r="AA225">
        <v>0.99999989999999905</v>
      </c>
      <c r="AB225">
        <v>18</v>
      </c>
      <c r="AC225">
        <v>32.753300000000003</v>
      </c>
      <c r="AD225">
        <v>-1.1543330000000001</v>
      </c>
      <c r="AE225">
        <v>0.17429999999995899</v>
      </c>
      <c r="AF225">
        <v>-7.6489185493580003E-3</v>
      </c>
      <c r="AG225">
        <v>-1.1543330000000001</v>
      </c>
      <c r="AH225">
        <v>32.713131466744997</v>
      </c>
      <c r="AI225">
        <v>92.020930869618795</v>
      </c>
      <c r="AJ225">
        <v>90.013396783587496</v>
      </c>
      <c r="AK225">
        <v>32.733492229540403</v>
      </c>
    </row>
    <row r="226" spans="1:37" x14ac:dyDescent="0.2">
      <c r="A226" t="str">
        <f>"20200111155758055"</f>
        <v>20200111155758055</v>
      </c>
      <c r="B226" t="str">
        <f>"1578729478051781"</f>
        <v>1578729478051781</v>
      </c>
      <c r="C226" t="s">
        <v>37</v>
      </c>
      <c r="D226">
        <v>5.9515789999999997</v>
      </c>
      <c r="E226">
        <v>0.51478119999999905</v>
      </c>
      <c r="F226" t="s">
        <v>41</v>
      </c>
      <c r="G226">
        <v>-415.8159</v>
      </c>
      <c r="H226">
        <v>-0.05</v>
      </c>
      <c r="I226">
        <v>367.74380000000002</v>
      </c>
      <c r="J226">
        <v>-444.5575</v>
      </c>
      <c r="K226">
        <v>1.1043350000000001</v>
      </c>
      <c r="L226">
        <v>367.61439999999999</v>
      </c>
      <c r="M226">
        <v>0.99991589999999997</v>
      </c>
      <c r="N226">
        <v>0</v>
      </c>
      <c r="O226">
        <v>5.1157729999999997E-3</v>
      </c>
      <c r="P226">
        <v>0.998973</v>
      </c>
      <c r="Q226">
        <v>-1.9625699999999999E-2</v>
      </c>
      <c r="R226">
        <v>4.0837180000000001E-2</v>
      </c>
      <c r="S226">
        <v>3.000092</v>
      </c>
      <c r="T226">
        <v>-0.11971179999999999</v>
      </c>
      <c r="U226">
        <v>1.351929E-2</v>
      </c>
      <c r="V226">
        <v>-3.5725809999999997E-2</v>
      </c>
      <c r="W226">
        <v>-7.7136380000000001E-3</v>
      </c>
      <c r="X226">
        <v>0.99933179999999999</v>
      </c>
      <c r="Y226">
        <v>6.0534480000000001E-4</v>
      </c>
      <c r="Z226">
        <v>-2.1613669999999999E-4</v>
      </c>
      <c r="AA226">
        <v>0.99999979999999999</v>
      </c>
      <c r="AB226">
        <v>18</v>
      </c>
      <c r="AC226">
        <v>28.741599999999998</v>
      </c>
      <c r="AD226">
        <v>-1.1543350000000001</v>
      </c>
      <c r="AE226">
        <v>0.12940000000003199</v>
      </c>
      <c r="AF226">
        <v>1.7619217304957701E-2</v>
      </c>
      <c r="AG226">
        <v>-1.1543350000000001</v>
      </c>
      <c r="AH226">
        <v>28.6956000103748</v>
      </c>
      <c r="AI226">
        <v>92.303589072077401</v>
      </c>
      <c r="AJ226">
        <v>89.964820158398098</v>
      </c>
      <c r="AK226">
        <v>28.7188136886687</v>
      </c>
    </row>
    <row r="227" spans="1:37" x14ac:dyDescent="0.2">
      <c r="A227" t="str">
        <f>"20200111155758078"</f>
        <v>20200111155758078</v>
      </c>
      <c r="B227" t="str">
        <f>"1578729478071156"</f>
        <v>1578729478071156</v>
      </c>
      <c r="C227" t="s">
        <v>37</v>
      </c>
      <c r="D227">
        <v>5.9913639999999999</v>
      </c>
      <c r="E227">
        <v>0.51535679999999995</v>
      </c>
      <c r="F227" t="s">
        <v>41</v>
      </c>
      <c r="G227">
        <v>-419.31060000000002</v>
      </c>
      <c r="H227">
        <v>-0.05</v>
      </c>
      <c r="I227">
        <v>367.68950000000001</v>
      </c>
      <c r="J227">
        <v>-444.36939999999998</v>
      </c>
      <c r="K227">
        <v>1.1043339999999999</v>
      </c>
      <c r="L227">
        <v>367.6155</v>
      </c>
      <c r="M227">
        <v>0.99991569999999996</v>
      </c>
      <c r="N227">
        <v>0</v>
      </c>
      <c r="O227">
        <v>5.1451439999999999E-3</v>
      </c>
      <c r="P227">
        <v>0.99893699999999996</v>
      </c>
      <c r="Q227">
        <v>-1.9561289999999999E-2</v>
      </c>
      <c r="R227">
        <v>4.173876E-2</v>
      </c>
      <c r="S227">
        <v>3</v>
      </c>
      <c r="T227">
        <v>-0.13716589999999901</v>
      </c>
      <c r="U227">
        <v>8.9111329999999999E-3</v>
      </c>
      <c r="V227">
        <v>-3.659784E-2</v>
      </c>
      <c r="W227">
        <v>-7.6483369999999998E-3</v>
      </c>
      <c r="X227">
        <v>0.99930079999999999</v>
      </c>
      <c r="Y227">
        <v>2.1675229999999898E-3</v>
      </c>
      <c r="Z227">
        <v>-2.8466409999999999E-4</v>
      </c>
      <c r="AA227">
        <v>0.99999760000000004</v>
      </c>
      <c r="AB227">
        <v>18</v>
      </c>
      <c r="AC227">
        <v>25.058799999999898</v>
      </c>
      <c r="AD227">
        <v>-1.154334</v>
      </c>
      <c r="AE227">
        <v>7.4000000000012195E-2</v>
      </c>
      <c r="AF227">
        <v>5.4824940223709401E-2</v>
      </c>
      <c r="AG227">
        <v>-1.154334</v>
      </c>
      <c r="AH227">
        <v>25.005787574951</v>
      </c>
      <c r="AI227">
        <v>92.643043627898507</v>
      </c>
      <c r="AJ227">
        <v>89.874379775315901</v>
      </c>
      <c r="AK227">
        <v>25.032477004907101</v>
      </c>
    </row>
    <row r="228" spans="1:37" x14ac:dyDescent="0.2">
      <c r="A228" t="str">
        <f>"20200111155758100"</f>
        <v>20200111155758100</v>
      </c>
      <c r="B228" t="str">
        <f>"1578729478091652"</f>
        <v>1578729478091652</v>
      </c>
      <c r="C228" t="s">
        <v>37</v>
      </c>
      <c r="D228">
        <v>6.0182630000000001</v>
      </c>
      <c r="E228">
        <v>0.51586189999999998</v>
      </c>
      <c r="F228" t="s">
        <v>41</v>
      </c>
      <c r="G228">
        <v>-420.65249999999997</v>
      </c>
      <c r="H228">
        <v>-0.05</v>
      </c>
      <c r="I228">
        <v>367.67500000000001</v>
      </c>
      <c r="J228">
        <v>-444.18959999999998</v>
      </c>
      <c r="K228">
        <v>1.1043430000000001</v>
      </c>
      <c r="L228">
        <v>367.61649999999997</v>
      </c>
      <c r="M228">
        <v>0.99991559999999902</v>
      </c>
      <c r="N228">
        <v>0</v>
      </c>
      <c r="O228">
        <v>5.1729100000000002E-3</v>
      </c>
      <c r="P228">
        <v>0.99891189999999996</v>
      </c>
      <c r="Q228">
        <v>-1.8787599999999901E-2</v>
      </c>
      <c r="R228">
        <v>4.2687959999999997E-2</v>
      </c>
      <c r="S228">
        <v>3.0000610000000001</v>
      </c>
      <c r="T228">
        <v>-0.1460167</v>
      </c>
      <c r="U228">
        <v>7.5378419999999899E-3</v>
      </c>
      <c r="V228">
        <v>-3.7520079999999997E-2</v>
      </c>
      <c r="W228">
        <v>-6.87374699999999E-3</v>
      </c>
      <c r="X228">
        <v>0.99927219999999894</v>
      </c>
      <c r="Y228">
        <v>2.6514770000000002E-3</v>
      </c>
      <c r="Z228">
        <v>-3.1612639999999999E-4</v>
      </c>
      <c r="AA228">
        <v>0.99999640000000001</v>
      </c>
      <c r="AB228">
        <v>18</v>
      </c>
      <c r="AC228">
        <v>23.537099999999999</v>
      </c>
      <c r="AD228">
        <v>-1.1543429999999999</v>
      </c>
      <c r="AE228">
        <v>5.8500000000037702E-2</v>
      </c>
      <c r="AF228">
        <v>6.3112927691431203E-2</v>
      </c>
      <c r="AG228">
        <v>-1.1543429999999999</v>
      </c>
      <c r="AH228">
        <v>23.480610814361999</v>
      </c>
      <c r="AI228">
        <v>92.814472694309998</v>
      </c>
      <c r="AJ228">
        <v>89.8459965241247</v>
      </c>
      <c r="AK228">
        <v>23.5090530481095</v>
      </c>
    </row>
    <row r="229" spans="1:37" x14ac:dyDescent="0.2">
      <c r="A229" t="str">
        <f>"20200111155758122"</f>
        <v>20200111155758122</v>
      </c>
      <c r="B229" t="str">
        <f>"1578729478111171"</f>
        <v>1578729478111171</v>
      </c>
      <c r="C229" t="s">
        <v>37</v>
      </c>
      <c r="D229">
        <v>6.0431119999999998</v>
      </c>
      <c r="E229">
        <v>0.51620159999999904</v>
      </c>
      <c r="F229" t="s">
        <v>41</v>
      </c>
      <c r="G229">
        <v>-421.51010000000002</v>
      </c>
      <c r="H229">
        <v>-0.05</v>
      </c>
      <c r="I229">
        <v>367.66879999999998</v>
      </c>
      <c r="J229">
        <v>-444.00240000000002</v>
      </c>
      <c r="K229">
        <v>1.1043510000000001</v>
      </c>
      <c r="L229">
        <v>367.61750000000001</v>
      </c>
      <c r="M229">
        <v>0.99991540000000001</v>
      </c>
      <c r="N229">
        <v>0</v>
      </c>
      <c r="O229">
        <v>5.201453E-3</v>
      </c>
      <c r="P229">
        <v>0.99889209999999995</v>
      </c>
      <c r="Q229">
        <v>-1.7813160000000001E-2</v>
      </c>
      <c r="R229">
        <v>4.3560799999999997E-2</v>
      </c>
      <c r="S229">
        <v>3.0001220000000002</v>
      </c>
      <c r="T229">
        <v>-0.1526999</v>
      </c>
      <c r="U229">
        <v>6.9274899999999997E-3</v>
      </c>
      <c r="V229">
        <v>-3.8364639999999998E-2</v>
      </c>
      <c r="W229">
        <v>-5.8983359999999997E-3</v>
      </c>
      <c r="X229">
        <v>0.99924639999999998</v>
      </c>
      <c r="Y229">
        <v>2.8823130000000001E-3</v>
      </c>
      <c r="Z229">
        <v>-3.3789339999999902E-4</v>
      </c>
      <c r="AA229">
        <v>0.99999579999999999</v>
      </c>
      <c r="AB229">
        <v>18</v>
      </c>
      <c r="AC229">
        <v>22.4923</v>
      </c>
      <c r="AD229">
        <v>-1.1543509999999999</v>
      </c>
      <c r="AE229">
        <v>5.1299999999969197E-2</v>
      </c>
      <c r="AF229">
        <v>6.5529051251984993E-2</v>
      </c>
      <c r="AG229">
        <v>-1.1543509999999999</v>
      </c>
      <c r="AH229">
        <v>22.433174919835899</v>
      </c>
      <c r="AI229">
        <v>92.945676475118503</v>
      </c>
      <c r="AJ229">
        <v>89.832635041320302</v>
      </c>
      <c r="AK229">
        <v>22.462950769471799</v>
      </c>
    </row>
    <row r="230" spans="1:37" x14ac:dyDescent="0.2">
      <c r="A230" t="str">
        <f>"20200111155758145"</f>
        <v>20200111155758145</v>
      </c>
      <c r="B230" t="str">
        <f>"1578729478141428"</f>
        <v>1578729478141428</v>
      </c>
      <c r="C230" t="s">
        <v>37</v>
      </c>
      <c r="D230">
        <v>6.6818989999999996</v>
      </c>
      <c r="E230">
        <v>0.51644690000000004</v>
      </c>
      <c r="F230" t="s">
        <v>41</v>
      </c>
      <c r="G230">
        <v>-422.19799999999998</v>
      </c>
      <c r="H230">
        <v>-0.05</v>
      </c>
      <c r="I230">
        <v>367.67140000000001</v>
      </c>
      <c r="J230">
        <v>-443.8245</v>
      </c>
      <c r="K230">
        <v>1.104358</v>
      </c>
      <c r="L230">
        <v>367.61840000000001</v>
      </c>
      <c r="M230">
        <v>0.99991540000000001</v>
      </c>
      <c r="N230">
        <v>0</v>
      </c>
      <c r="O230">
        <v>5.22767799999999E-3</v>
      </c>
      <c r="P230">
        <v>0.99889269999999997</v>
      </c>
      <c r="Q230">
        <v>-1.6550820000000001E-2</v>
      </c>
      <c r="R230">
        <v>4.4044380000000001E-2</v>
      </c>
      <c r="S230">
        <v>3.0002140000000002</v>
      </c>
      <c r="T230">
        <v>-0.1588349</v>
      </c>
      <c r="U230">
        <v>7.4157709999999998E-3</v>
      </c>
      <c r="V230">
        <v>-3.8821359999999999E-2</v>
      </c>
      <c r="W230">
        <v>-4.6349340000000003E-3</v>
      </c>
      <c r="X230">
        <v>0.999235399999999</v>
      </c>
      <c r="Y230">
        <v>2.7451609999999999E-3</v>
      </c>
      <c r="Z230">
        <v>-3.4919889999999998E-4</v>
      </c>
      <c r="AA230">
        <v>0.9999962</v>
      </c>
      <c r="AB230">
        <v>18</v>
      </c>
      <c r="AC230">
        <v>21.626499999999901</v>
      </c>
      <c r="AD230">
        <v>-1.154358</v>
      </c>
      <c r="AE230">
        <v>5.2999999999997202E-2</v>
      </c>
      <c r="AF230">
        <v>5.9894478092714497E-2</v>
      </c>
      <c r="AG230">
        <v>-1.154358</v>
      </c>
      <c r="AH230">
        <v>21.565040820687301</v>
      </c>
      <c r="AI230">
        <v>93.064057441090199</v>
      </c>
      <c r="AJ230">
        <v>89.840867818636895</v>
      </c>
      <c r="AK230">
        <v>21.595997669442799</v>
      </c>
    </row>
    <row r="231" spans="1:37" x14ac:dyDescent="0.2">
      <c r="A231" t="str">
        <f>"20200111155758168"</f>
        <v>20200111155758168</v>
      </c>
      <c r="B231" t="str">
        <f>"1578729478160950"</f>
        <v>1578729478160950</v>
      </c>
      <c r="C231" t="s">
        <v>37</v>
      </c>
      <c r="D231">
        <v>6.1729690000000002</v>
      </c>
      <c r="E231">
        <v>0.51661829999999997</v>
      </c>
      <c r="F231" t="s">
        <v>41</v>
      </c>
      <c r="G231">
        <v>-422.44779999999997</v>
      </c>
      <c r="H231">
        <v>-0.05</v>
      </c>
      <c r="I231">
        <v>367.67099999999999</v>
      </c>
      <c r="J231">
        <v>-443.63130000000001</v>
      </c>
      <c r="K231">
        <v>1.10436</v>
      </c>
      <c r="L231">
        <v>367.61939999999998</v>
      </c>
      <c r="M231">
        <v>0.99991509999999995</v>
      </c>
      <c r="N231">
        <v>0</v>
      </c>
      <c r="O231">
        <v>5.2569359999999898E-3</v>
      </c>
      <c r="P231">
        <v>0.99890210000000002</v>
      </c>
      <c r="Q231">
        <v>-1.6153020000000001E-2</v>
      </c>
      <c r="R231">
        <v>4.3972570000000002E-2</v>
      </c>
      <c r="S231">
        <v>3.0002749999999998</v>
      </c>
      <c r="T231">
        <v>-0.16201670000000001</v>
      </c>
      <c r="U231">
        <v>7.385254E-3</v>
      </c>
      <c r="V231">
        <v>-3.8720419999999998E-2</v>
      </c>
      <c r="W231">
        <v>-4.2358300000000003E-3</v>
      </c>
      <c r="X231">
        <v>0.99924109999999999</v>
      </c>
      <c r="Y231">
        <v>2.784094E-3</v>
      </c>
      <c r="Z231">
        <v>-3.5880599999999998E-4</v>
      </c>
      <c r="AA231">
        <v>0.99999609999999906</v>
      </c>
      <c r="AB231">
        <v>18</v>
      </c>
      <c r="AC231">
        <v>21.183499999999999</v>
      </c>
      <c r="AD231">
        <v>-1.1543600000000001</v>
      </c>
      <c r="AE231">
        <v>5.1600000000007598E-2</v>
      </c>
      <c r="AF231">
        <v>5.9591974189883497E-2</v>
      </c>
      <c r="AG231">
        <v>-1.1543600000000001</v>
      </c>
      <c r="AH231">
        <v>21.120760255908401</v>
      </c>
      <c r="AI231">
        <v>93.128388983999898</v>
      </c>
      <c r="AJ231">
        <v>89.838341067639405</v>
      </c>
      <c r="AK231">
        <v>21.1523665815565</v>
      </c>
    </row>
    <row r="232" spans="1:37" x14ac:dyDescent="0.2">
      <c r="A232" t="str">
        <f>"20200111155758189"</f>
        <v>20200111155758189</v>
      </c>
      <c r="B232" t="str">
        <f>"1578729478181086"</f>
        <v>1578729478181086</v>
      </c>
      <c r="C232" t="s">
        <v>37</v>
      </c>
      <c r="D232">
        <v>6.0635240000000001</v>
      </c>
      <c r="E232">
        <v>0.51674189999999998</v>
      </c>
      <c r="F232" t="s">
        <v>41</v>
      </c>
      <c r="G232">
        <v>-422.17829999999998</v>
      </c>
      <c r="H232">
        <v>-0.05</v>
      </c>
      <c r="I232">
        <v>367.66210000000001</v>
      </c>
      <c r="J232">
        <v>-443.45319999999998</v>
      </c>
      <c r="K232">
        <v>1.10436</v>
      </c>
      <c r="L232">
        <v>367.62040000000002</v>
      </c>
      <c r="M232">
        <v>0.999915</v>
      </c>
      <c r="N232">
        <v>0</v>
      </c>
      <c r="O232">
        <v>5.2838690000000001E-3</v>
      </c>
      <c r="P232">
        <v>0.9989228</v>
      </c>
      <c r="Q232">
        <v>-1.5841259999999999E-2</v>
      </c>
      <c r="R232">
        <v>4.3620869999999999E-2</v>
      </c>
      <c r="S232">
        <v>3.000397</v>
      </c>
      <c r="T232">
        <v>-0.16144749999999999</v>
      </c>
      <c r="U232">
        <v>5.9814450000000002E-3</v>
      </c>
      <c r="V232">
        <v>-3.8342149999999998E-2</v>
      </c>
      <c r="W232">
        <v>-3.9226970000000002E-3</v>
      </c>
      <c r="X232">
        <v>0.99925699999999995</v>
      </c>
      <c r="Y232">
        <v>3.2783280000000001E-3</v>
      </c>
      <c r="Z232">
        <v>-3.7226879999999998E-4</v>
      </c>
      <c r="AA232">
        <v>0.99999459999999996</v>
      </c>
      <c r="AB232">
        <v>18</v>
      </c>
      <c r="AC232">
        <v>21.274899999999999</v>
      </c>
      <c r="AD232">
        <v>-1.1543600000000001</v>
      </c>
      <c r="AE232">
        <v>4.1699999999991598E-2</v>
      </c>
      <c r="AF232">
        <v>7.0514753888470699E-2</v>
      </c>
      <c r="AG232">
        <v>-1.1543600000000001</v>
      </c>
      <c r="AH232">
        <v>21.212372941111202</v>
      </c>
      <c r="AI232">
        <v>93.114899857278701</v>
      </c>
      <c r="AJ232">
        <v>89.809536494550798</v>
      </c>
      <c r="AK232">
        <v>21.243876414932</v>
      </c>
    </row>
    <row r="233" spans="1:37" x14ac:dyDescent="0.2">
      <c r="A233" t="str">
        <f>"20200111155758211"</f>
        <v>20200111155758211</v>
      </c>
      <c r="B233" t="str">
        <f>"1578729478201582"</f>
        <v>1578729478201582</v>
      </c>
      <c r="C233" t="s">
        <v>37</v>
      </c>
      <c r="D233">
        <v>5.9942500000000001</v>
      </c>
      <c r="E233">
        <v>0.51718920000000002</v>
      </c>
      <c r="F233" t="s">
        <v>41</v>
      </c>
      <c r="G233">
        <v>-422.59949999999998</v>
      </c>
      <c r="H233">
        <v>-0.05</v>
      </c>
      <c r="I233">
        <v>367.65010000000001</v>
      </c>
      <c r="J233">
        <v>-443.27890000000002</v>
      </c>
      <c r="K233">
        <v>1.1043559999999999</v>
      </c>
      <c r="L233">
        <v>367.62130000000002</v>
      </c>
      <c r="M233">
        <v>0.99991479999999999</v>
      </c>
      <c r="N233">
        <v>0</v>
      </c>
      <c r="O233">
        <v>5.3102059999999996E-3</v>
      </c>
      <c r="P233">
        <v>0.998924699999999</v>
      </c>
      <c r="Q233">
        <v>-1.5632259999999999E-2</v>
      </c>
      <c r="R233">
        <v>4.3649720000000003E-2</v>
      </c>
      <c r="S233">
        <v>3.0004270000000002</v>
      </c>
      <c r="T233">
        <v>-0.16608879999999901</v>
      </c>
      <c r="U233">
        <v>4.272461E-3</v>
      </c>
      <c r="V233">
        <v>-3.8344080000000003E-2</v>
      </c>
      <c r="W233">
        <v>-3.7125550000000002E-3</v>
      </c>
      <c r="X233">
        <v>0.99925769999999903</v>
      </c>
      <c r="Y233">
        <v>3.8725909999999999E-3</v>
      </c>
      <c r="Z233">
        <v>-4.0084309999999999E-4</v>
      </c>
      <c r="AA233">
        <v>0.9999924</v>
      </c>
      <c r="AB233">
        <v>18</v>
      </c>
      <c r="AC233">
        <v>20.679400000000001</v>
      </c>
      <c r="AD233">
        <v>-1.1543559999999999</v>
      </c>
      <c r="AE233">
        <v>2.8799999999989698E-2</v>
      </c>
      <c r="AF233">
        <v>8.0768410744799096E-2</v>
      </c>
      <c r="AG233">
        <v>-1.1543559999999999</v>
      </c>
      <c r="AH233">
        <v>20.615024129944398</v>
      </c>
      <c r="AI233">
        <v>93.204954906861801</v>
      </c>
      <c r="AJ233">
        <v>89.775519769175105</v>
      </c>
      <c r="AK233">
        <v>20.647476387905201</v>
      </c>
    </row>
    <row r="234" spans="1:37" x14ac:dyDescent="0.2">
      <c r="A234" t="str">
        <f>"20200111155758233"</f>
        <v>20200111155758233</v>
      </c>
      <c r="B234" t="str">
        <f>"1578729478230863"</f>
        <v>1578729478230863</v>
      </c>
      <c r="C234" t="s">
        <v>37</v>
      </c>
      <c r="D234">
        <v>6.0930439999999999</v>
      </c>
      <c r="E234">
        <v>0.51758029999999999</v>
      </c>
      <c r="F234" t="s">
        <v>41</v>
      </c>
      <c r="G234">
        <v>-422.81369999999998</v>
      </c>
      <c r="H234">
        <v>-0.05</v>
      </c>
      <c r="I234">
        <v>367.62630000000001</v>
      </c>
      <c r="J234">
        <v>-443.09739999999999</v>
      </c>
      <c r="K234">
        <v>1.104352</v>
      </c>
      <c r="L234">
        <v>367.62240000000003</v>
      </c>
      <c r="M234">
        <v>0.99991469999999905</v>
      </c>
      <c r="N234">
        <v>0</v>
      </c>
      <c r="O234">
        <v>5.3383229999999999E-3</v>
      </c>
      <c r="P234">
        <v>0.99894329999999998</v>
      </c>
      <c r="Q234">
        <v>-1.5711920000000001E-2</v>
      </c>
      <c r="R234">
        <v>4.3197039999999999E-2</v>
      </c>
      <c r="S234">
        <v>3.0005799999999998</v>
      </c>
      <c r="T234">
        <v>-0.16925000000000001</v>
      </c>
      <c r="U234">
        <v>7.3242190000000001E-4</v>
      </c>
      <c r="V234">
        <v>-3.7863769999999998E-2</v>
      </c>
      <c r="W234">
        <v>-3.7901159999999901E-3</v>
      </c>
      <c r="X234">
        <v>0.99927569999999999</v>
      </c>
      <c r="Y234">
        <v>5.0780540000000002E-3</v>
      </c>
      <c r="Z234">
        <v>-4.4399540000000001E-4</v>
      </c>
      <c r="AA234">
        <v>0.99998699999999996</v>
      </c>
      <c r="AB234">
        <v>18</v>
      </c>
      <c r="AC234">
        <v>20.2837</v>
      </c>
      <c r="AD234">
        <v>-1.154352</v>
      </c>
      <c r="AE234">
        <v>3.8999999999873498E-3</v>
      </c>
      <c r="AF234">
        <v>0.104051690650016</v>
      </c>
      <c r="AG234">
        <v>-1.154352</v>
      </c>
      <c r="AH234">
        <v>20.217950160711901</v>
      </c>
      <c r="AI234">
        <v>93.267734627037498</v>
      </c>
      <c r="AJ234">
        <v>89.705129845315497</v>
      </c>
      <c r="AK234">
        <v>20.2511447576492</v>
      </c>
    </row>
    <row r="235" spans="1:37" x14ac:dyDescent="0.2">
      <c r="A235" t="str">
        <f>"20200111155758257"</f>
        <v>20200111155758257</v>
      </c>
      <c r="B235" t="str">
        <f>"1578729478251359"</f>
        <v>1578729478251359</v>
      </c>
      <c r="C235" t="s">
        <v>37</v>
      </c>
      <c r="D235">
        <v>6.0725020000000001</v>
      </c>
      <c r="E235">
        <v>0.51765169999999905</v>
      </c>
      <c r="F235" t="s">
        <v>41</v>
      </c>
      <c r="G235">
        <v>-423.18419999999998</v>
      </c>
      <c r="H235">
        <v>-0.05</v>
      </c>
      <c r="I235">
        <v>367.59890000000001</v>
      </c>
      <c r="J235">
        <v>-442.90859999999998</v>
      </c>
      <c r="K235">
        <v>1.1043529999999999</v>
      </c>
      <c r="L235">
        <v>367.6234</v>
      </c>
      <c r="M235">
        <v>0.99991450000000004</v>
      </c>
      <c r="N235">
        <v>0</v>
      </c>
      <c r="O235">
        <v>5.3673669999999996E-3</v>
      </c>
      <c r="P235">
        <v>0.99894609999999995</v>
      </c>
      <c r="Q235">
        <v>-1.5485499999999999E-2</v>
      </c>
      <c r="R235">
        <v>4.3210739999999997E-2</v>
      </c>
      <c r="S235">
        <v>3.00061</v>
      </c>
      <c r="T235">
        <v>-0.1739435</v>
      </c>
      <c r="U235">
        <v>-3.540039E-3</v>
      </c>
      <c r="V235">
        <v>-3.7848079999999999E-2</v>
      </c>
      <c r="W235">
        <v>-3.5569550000000001E-3</v>
      </c>
      <c r="X235">
        <v>0.99927719999999898</v>
      </c>
      <c r="Y235">
        <v>6.5275309999999996E-3</v>
      </c>
      <c r="Z235">
        <v>-4.9994280000000002E-4</v>
      </c>
      <c r="AA235">
        <v>0.99997849999999999</v>
      </c>
      <c r="AB235">
        <v>18</v>
      </c>
      <c r="AC235">
        <v>19.724399999999999</v>
      </c>
      <c r="AD235">
        <v>-1.154353</v>
      </c>
      <c r="AE235">
        <v>-2.4499999999988999E-2</v>
      </c>
      <c r="AF235">
        <v>0.12993024814535201</v>
      </c>
      <c r="AG235">
        <v>-1.154353</v>
      </c>
      <c r="AH235">
        <v>19.656658968449801</v>
      </c>
      <c r="AI235">
        <v>93.360807138717007</v>
      </c>
      <c r="AJ235">
        <v>89.621281193117994</v>
      </c>
      <c r="AK235">
        <v>19.690953621395099</v>
      </c>
    </row>
    <row r="236" spans="1:37" x14ac:dyDescent="0.2">
      <c r="A236" t="str">
        <f>"20200111155758279"</f>
        <v>20200111155758279</v>
      </c>
      <c r="B236" t="str">
        <f>"1578729478270951"</f>
        <v>1578729478270951</v>
      </c>
      <c r="C236" t="s">
        <v>37</v>
      </c>
      <c r="D236">
        <v>6.2478040000000004</v>
      </c>
      <c r="E236">
        <v>0.51788769999999995</v>
      </c>
      <c r="F236" t="s">
        <v>41</v>
      </c>
      <c r="G236">
        <v>-422.60789999999997</v>
      </c>
      <c r="H236">
        <v>-0.05</v>
      </c>
      <c r="I236">
        <v>367.59609999999998</v>
      </c>
      <c r="J236">
        <v>-442.72109999999998</v>
      </c>
      <c r="K236">
        <v>1.1043590000000001</v>
      </c>
      <c r="L236">
        <v>367.62439999999998</v>
      </c>
      <c r="M236">
        <v>0.99991419999999998</v>
      </c>
      <c r="N236">
        <v>0</v>
      </c>
      <c r="O236">
        <v>5.3962919999999996E-3</v>
      </c>
      <c r="P236">
        <v>0.99896369999999901</v>
      </c>
      <c r="Q236">
        <v>-1.490813E-2</v>
      </c>
      <c r="R236">
        <v>4.3008030000000003E-2</v>
      </c>
      <c r="S236">
        <v>3.000702</v>
      </c>
      <c r="T236">
        <v>-0.1706281</v>
      </c>
      <c r="U236">
        <v>-4.0283200000000002E-3</v>
      </c>
      <c r="V236">
        <v>-3.76161E-2</v>
      </c>
      <c r="W236">
        <v>-2.9629909999999999E-3</v>
      </c>
      <c r="X236">
        <v>0.99928779999999995</v>
      </c>
      <c r="Y236">
        <v>6.7195379999999997E-3</v>
      </c>
      <c r="Z236">
        <v>-4.9751250000000004E-4</v>
      </c>
      <c r="AA236">
        <v>0.99997729999999996</v>
      </c>
      <c r="AB236">
        <v>18</v>
      </c>
      <c r="AC236">
        <v>20.113199999999999</v>
      </c>
      <c r="AD236">
        <v>-1.1543589999999999</v>
      </c>
      <c r="AE236">
        <v>-2.8300000000001501E-2</v>
      </c>
      <c r="AF236">
        <v>0.13639474163455401</v>
      </c>
      <c r="AG236">
        <v>-1.1543589999999999</v>
      </c>
      <c r="AH236">
        <v>20.046721244662599</v>
      </c>
      <c r="AI236">
        <v>93.295572073819997</v>
      </c>
      <c r="AJ236">
        <v>89.610174533658196</v>
      </c>
      <c r="AK236">
        <v>20.080392946544499</v>
      </c>
    </row>
    <row r="237" spans="1:37" x14ac:dyDescent="0.2">
      <c r="A237" t="str">
        <f>"20200111155758300"</f>
        <v>20200111155758300</v>
      </c>
      <c r="B237" t="str">
        <f>"1578729478291447"</f>
        <v>1578729478291447</v>
      </c>
      <c r="C237" t="s">
        <v>37</v>
      </c>
      <c r="D237">
        <v>6.034535</v>
      </c>
      <c r="E237">
        <v>0.51813759999999998</v>
      </c>
      <c r="F237" t="s">
        <v>41</v>
      </c>
      <c r="G237">
        <v>-422.21839999999997</v>
      </c>
      <c r="H237">
        <v>-0.05</v>
      </c>
      <c r="I237">
        <v>367.5806</v>
      </c>
      <c r="J237">
        <v>-442.54849999999999</v>
      </c>
      <c r="K237">
        <v>1.104374</v>
      </c>
      <c r="L237">
        <v>367.62540000000001</v>
      </c>
      <c r="M237">
        <v>0.99991350000000001</v>
      </c>
      <c r="N237">
        <v>0</v>
      </c>
      <c r="O237">
        <v>5.4224319999999996E-3</v>
      </c>
      <c r="P237">
        <v>0.9989808</v>
      </c>
      <c r="Q237">
        <v>-1.502185E-2</v>
      </c>
      <c r="R237">
        <v>4.2563209999999997E-2</v>
      </c>
      <c r="S237">
        <v>3.0008539999999999</v>
      </c>
      <c r="T237">
        <v>-0.1689562</v>
      </c>
      <c r="U237">
        <v>-6.4086909999999898E-3</v>
      </c>
      <c r="V237">
        <v>-3.7145780000000003E-2</v>
      </c>
      <c r="W237">
        <v>-3.0515949999999998E-3</v>
      </c>
      <c r="X237">
        <v>0.9993052</v>
      </c>
      <c r="Y237">
        <v>7.5378679999999997E-3</v>
      </c>
      <c r="Z237">
        <v>-5.1710980000000003E-4</v>
      </c>
      <c r="AA237">
        <v>0.99997139999999995</v>
      </c>
      <c r="AB237">
        <v>18</v>
      </c>
      <c r="AC237">
        <v>20.330100000000002</v>
      </c>
      <c r="AD237">
        <v>-1.154374</v>
      </c>
      <c r="AE237">
        <v>-4.4800000000009201E-2</v>
      </c>
      <c r="AF237">
        <v>0.15454756077249601</v>
      </c>
      <c r="AG237">
        <v>-1.154374</v>
      </c>
      <c r="AH237">
        <v>20.264223731998101</v>
      </c>
      <c r="AI237">
        <v>93.260299308861804</v>
      </c>
      <c r="AJ237">
        <v>89.5630352582874</v>
      </c>
      <c r="AK237">
        <v>20.297665573678501</v>
      </c>
    </row>
    <row r="238" spans="1:37" x14ac:dyDescent="0.2">
      <c r="A238" t="str">
        <f>"20200111155758322"</f>
        <v>20200111155758322</v>
      </c>
      <c r="B238" t="str">
        <f>"1578729478310967"</f>
        <v>1578729478310967</v>
      </c>
      <c r="C238" t="s">
        <v>37</v>
      </c>
      <c r="D238">
        <v>6.0101180000000003</v>
      </c>
      <c r="E238">
        <v>0.51843130000000004</v>
      </c>
      <c r="F238" t="s">
        <v>41</v>
      </c>
      <c r="G238">
        <v>-422.4049</v>
      </c>
      <c r="H238">
        <v>-0.05</v>
      </c>
      <c r="I238">
        <v>367.55840000000001</v>
      </c>
      <c r="J238">
        <v>-442.3716</v>
      </c>
      <c r="K238">
        <v>1.104384</v>
      </c>
      <c r="L238">
        <v>367.62639999999999</v>
      </c>
      <c r="M238">
        <v>0.99991299999999905</v>
      </c>
      <c r="N238">
        <v>0</v>
      </c>
      <c r="O238">
        <v>5.4487469999999899E-3</v>
      </c>
      <c r="P238">
        <v>0.99899839999999995</v>
      </c>
      <c r="Q238">
        <v>-1.427432E-2</v>
      </c>
      <c r="R238">
        <v>4.2407430000000003E-2</v>
      </c>
      <c r="S238">
        <v>3.0009459999999999</v>
      </c>
      <c r="T238">
        <v>-0.17197570000000001</v>
      </c>
      <c r="U238">
        <v>-9.9792479999999996E-3</v>
      </c>
      <c r="V238">
        <v>-3.6963349999999999E-2</v>
      </c>
      <c r="W238">
        <v>-2.2686339999999998E-3</v>
      </c>
      <c r="X238">
        <v>0.99931409999999998</v>
      </c>
      <c r="Y238">
        <v>8.7511120000000001E-3</v>
      </c>
      <c r="Z238">
        <v>-5.6256209999999999E-4</v>
      </c>
      <c r="AA238">
        <v>0.99996160000000001</v>
      </c>
      <c r="AB238">
        <v>18</v>
      </c>
      <c r="AC238">
        <v>19.966699999999999</v>
      </c>
      <c r="AD238">
        <v>-1.1543840000000001</v>
      </c>
      <c r="AE238">
        <v>-6.7999999999983601E-2</v>
      </c>
      <c r="AF238">
        <v>0.17621133558108601</v>
      </c>
      <c r="AG238">
        <v>-1.1543840000000001</v>
      </c>
      <c r="AH238">
        <v>19.8995171130966</v>
      </c>
      <c r="AI238">
        <v>93.319914859895505</v>
      </c>
      <c r="AJ238">
        <v>89.492655932337598</v>
      </c>
      <c r="AK238">
        <v>19.933751131903598</v>
      </c>
    </row>
    <row r="239" spans="1:37" x14ac:dyDescent="0.2">
      <c r="A239" t="str">
        <f>"20200111155758337"</f>
        <v>20200111155758337</v>
      </c>
      <c r="B239" t="str">
        <f>"1578729478331464"</f>
        <v>1578729478331464</v>
      </c>
      <c r="C239" t="s">
        <v>37</v>
      </c>
      <c r="D239">
        <v>6.0410690000000002</v>
      </c>
      <c r="E239">
        <v>0.51862980000000003</v>
      </c>
      <c r="F239" t="s">
        <v>41</v>
      </c>
      <c r="G239">
        <v>-422.29180000000002</v>
      </c>
      <c r="H239">
        <v>-0.05</v>
      </c>
      <c r="I239">
        <v>367.54450000000003</v>
      </c>
      <c r="J239">
        <v>-442.25310000000002</v>
      </c>
      <c r="K239">
        <v>1.10439</v>
      </c>
      <c r="L239">
        <v>367.62699999999899</v>
      </c>
      <c r="M239">
        <v>0.99991249999999998</v>
      </c>
      <c r="N239">
        <v>0</v>
      </c>
      <c r="O239">
        <v>5.4662109999999899E-3</v>
      </c>
      <c r="P239">
        <v>0.99899979999999999</v>
      </c>
      <c r="Q239">
        <v>-1.3989079999999999E-2</v>
      </c>
      <c r="R239">
        <v>4.2471549999999997E-2</v>
      </c>
      <c r="S239">
        <v>3.0011290000000002</v>
      </c>
      <c r="T239">
        <v>-0.17253370000000001</v>
      </c>
      <c r="U239">
        <v>-1.223755E-2</v>
      </c>
      <c r="V239">
        <v>-3.7010080000000001E-2</v>
      </c>
      <c r="W239">
        <v>-1.9530999999999999E-3</v>
      </c>
      <c r="X239">
        <v>0.99931299999999901</v>
      </c>
      <c r="Y239">
        <v>9.5193729999999994E-3</v>
      </c>
      <c r="Z239">
        <v>-5.874179E-4</v>
      </c>
      <c r="AA239">
        <v>0.99995449999999997</v>
      </c>
      <c r="AB239">
        <v>18</v>
      </c>
      <c r="AC239">
        <v>19.961299999999898</v>
      </c>
      <c r="AD239">
        <v>-1.15439</v>
      </c>
      <c r="AE239">
        <v>-8.2499999999924897E-2</v>
      </c>
      <c r="AF239">
        <v>0.19098064424172201</v>
      </c>
      <c r="AG239">
        <v>-1.15439</v>
      </c>
      <c r="AH239">
        <v>19.894016911570301</v>
      </c>
      <c r="AI239">
        <v>93.320825130282998</v>
      </c>
      <c r="AJ239">
        <v>89.449982936696301</v>
      </c>
      <c r="AK239">
        <v>19.9283967934307</v>
      </c>
    </row>
    <row r="240" spans="1:37" x14ac:dyDescent="0.2">
      <c r="A240" t="str">
        <f>"20200111155758356"</f>
        <v>20200111155758356</v>
      </c>
      <c r="B240" t="str">
        <f>"1578729478350984"</f>
        <v>1578729478350984</v>
      </c>
      <c r="C240" t="s">
        <v>37</v>
      </c>
      <c r="D240">
        <v>5.9595089999999997</v>
      </c>
      <c r="E240">
        <v>0.51881359999999999</v>
      </c>
      <c r="F240" t="s">
        <v>41</v>
      </c>
      <c r="G240">
        <v>-422.40960000000001</v>
      </c>
      <c r="H240">
        <v>-0.05</v>
      </c>
      <c r="I240">
        <v>367.5376</v>
      </c>
      <c r="J240">
        <v>-442.09039999999999</v>
      </c>
      <c r="K240">
        <v>1.104403</v>
      </c>
      <c r="L240">
        <v>367.62799999999999</v>
      </c>
      <c r="M240">
        <v>0.99991189999999996</v>
      </c>
      <c r="N240">
        <v>0</v>
      </c>
      <c r="O240">
        <v>5.490183E-3</v>
      </c>
      <c r="P240">
        <v>0.99899769999999899</v>
      </c>
      <c r="Q240">
        <v>-1.3954370000000001E-2</v>
      </c>
      <c r="R240">
        <v>4.2532180000000003E-2</v>
      </c>
      <c r="S240">
        <v>3.00116</v>
      </c>
      <c r="T240">
        <v>-0.174592</v>
      </c>
      <c r="U240">
        <v>-1.351929E-2</v>
      </c>
      <c r="V240">
        <v>-3.7046780000000001E-2</v>
      </c>
      <c r="W240">
        <v>-1.8705529999999901E-3</v>
      </c>
      <c r="X240">
        <v>0.99931179999999997</v>
      </c>
      <c r="Y240">
        <v>9.9689659999999992E-3</v>
      </c>
      <c r="Z240">
        <v>-6.0886749999999998E-4</v>
      </c>
      <c r="AA240">
        <v>0.99995009999999995</v>
      </c>
      <c r="AB240">
        <v>18</v>
      </c>
      <c r="AC240">
        <v>19.680799999999898</v>
      </c>
      <c r="AD240">
        <v>-1.1544030000000001</v>
      </c>
      <c r="AE240">
        <v>-9.0400000000045097E-2</v>
      </c>
      <c r="AF240">
        <v>0.19777727164060099</v>
      </c>
      <c r="AG240">
        <v>-1.1544030000000001</v>
      </c>
      <c r="AH240">
        <v>19.612530291037899</v>
      </c>
      <c r="AI240">
        <v>93.368399755267404</v>
      </c>
      <c r="AJ240">
        <v>89.422235749944804</v>
      </c>
      <c r="AK240">
        <v>19.6474707418656</v>
      </c>
    </row>
    <row r="241" spans="1:37" x14ac:dyDescent="0.2">
      <c r="A241" t="str">
        <f>"20200111155758370"</f>
        <v>20200111155758370</v>
      </c>
      <c r="B241" t="str">
        <f>"1578729478362696"</f>
        <v>1578729478362696</v>
      </c>
      <c r="C241" t="s">
        <v>37</v>
      </c>
      <c r="D241">
        <v>5.972639</v>
      </c>
      <c r="E241">
        <v>0.51894839999999998</v>
      </c>
      <c r="F241" t="s">
        <v>41</v>
      </c>
      <c r="G241">
        <v>-422.49669999999998</v>
      </c>
      <c r="H241">
        <v>-0.05</v>
      </c>
      <c r="I241">
        <v>367.53190000000001</v>
      </c>
      <c r="J241">
        <v>-441.976</v>
      </c>
      <c r="K241">
        <v>1.1044099999999999</v>
      </c>
      <c r="L241">
        <v>367.62860000000001</v>
      </c>
      <c r="M241">
        <v>0.99991140000000001</v>
      </c>
      <c r="N241">
        <v>0</v>
      </c>
      <c r="O241">
        <v>5.5075929999999999E-3</v>
      </c>
      <c r="P241">
        <v>0.99898600000000004</v>
      </c>
      <c r="Q241">
        <v>-1.428459E-2</v>
      </c>
      <c r="R241">
        <v>4.2698159999999999E-2</v>
      </c>
      <c r="S241">
        <v>3.00116</v>
      </c>
      <c r="T241">
        <v>-0.17681939999999999</v>
      </c>
      <c r="U241">
        <v>-1.4709470000000001E-2</v>
      </c>
      <c r="V241">
        <v>-3.7195430000000002E-2</v>
      </c>
      <c r="W241">
        <v>-2.1625709999999999E-3</v>
      </c>
      <c r="X241">
        <v>0.99930569999999896</v>
      </c>
      <c r="Y241">
        <v>1.038151E-2</v>
      </c>
      <c r="Z241">
        <v>-6.2978890000000003E-4</v>
      </c>
      <c r="AA241">
        <v>0.99994590000000005</v>
      </c>
      <c r="AB241">
        <v>18</v>
      </c>
      <c r="AC241">
        <v>19.479299999999999</v>
      </c>
      <c r="AD241">
        <v>-1.1544099999999999</v>
      </c>
      <c r="AE241">
        <v>-9.6699999999998398E-2</v>
      </c>
      <c r="AF241">
        <v>0.203276547319682</v>
      </c>
      <c r="AG241">
        <v>-1.1544099999999999</v>
      </c>
      <c r="AH241">
        <v>19.410301617017598</v>
      </c>
      <c r="AI241">
        <v>93.403418818827504</v>
      </c>
      <c r="AJ241">
        <v>89.399985497386595</v>
      </c>
      <c r="AK241">
        <v>19.445662566916699</v>
      </c>
    </row>
    <row r="242" spans="1:37" x14ac:dyDescent="0.2">
      <c r="A242" t="str">
        <f>"20200111155758390"</f>
        <v>20200111155758390</v>
      </c>
      <c r="B242" t="str">
        <f>"1578729478381239"</f>
        <v>1578729478381239</v>
      </c>
      <c r="C242" t="s">
        <v>37</v>
      </c>
      <c r="D242">
        <v>5.9928889999999999</v>
      </c>
      <c r="E242">
        <v>0.51915829999999996</v>
      </c>
      <c r="F242" t="s">
        <v>41</v>
      </c>
      <c r="G242">
        <v>-422.62950000000001</v>
      </c>
      <c r="H242">
        <v>-0.05</v>
      </c>
      <c r="I242">
        <v>367.53179999999998</v>
      </c>
      <c r="J242">
        <v>-441.81509999999997</v>
      </c>
      <c r="K242">
        <v>1.1044160000000001</v>
      </c>
      <c r="L242">
        <v>367.62959999999998</v>
      </c>
      <c r="M242">
        <v>0.99991049999999904</v>
      </c>
      <c r="N242">
        <v>0</v>
      </c>
      <c r="O242">
        <v>5.5320769999999998E-3</v>
      </c>
      <c r="P242">
        <v>0.99897130000000001</v>
      </c>
      <c r="Q242">
        <v>-1.4360660000000001E-2</v>
      </c>
      <c r="R242">
        <v>4.3017630000000001E-2</v>
      </c>
      <c r="S242">
        <v>3.001099</v>
      </c>
      <c r="T242">
        <v>-0.17907609999999999</v>
      </c>
      <c r="U242">
        <v>-1.5014649999999999E-2</v>
      </c>
      <c r="V242">
        <v>-3.7490379999999997E-2</v>
      </c>
      <c r="W242">
        <v>-2.1783610000000002E-3</v>
      </c>
      <c r="X242">
        <v>0.99929460000000003</v>
      </c>
      <c r="Y242">
        <v>1.05068E-2</v>
      </c>
      <c r="Z242">
        <v>-6.4301989999999997E-4</v>
      </c>
      <c r="AA242">
        <v>0.99994459999999996</v>
      </c>
      <c r="AB242">
        <v>18</v>
      </c>
      <c r="AC242">
        <v>19.185599999999901</v>
      </c>
      <c r="AD242">
        <v>-1.1544160000000001</v>
      </c>
      <c r="AE242">
        <v>-9.7800000000006507E-2</v>
      </c>
      <c r="AF242">
        <v>0.20320689476999201</v>
      </c>
      <c r="AG242">
        <v>-1.1544160000000001</v>
      </c>
      <c r="AH242">
        <v>19.115558366510101</v>
      </c>
      <c r="AI242">
        <v>93.455782176511306</v>
      </c>
      <c r="AJ242">
        <v>89.390943300166597</v>
      </c>
      <c r="AK242">
        <v>19.151463155764102</v>
      </c>
    </row>
    <row r="243" spans="1:37" x14ac:dyDescent="0.2">
      <c r="A243" t="str">
        <f>"20200111155758405"</f>
        <v>20200111155758405</v>
      </c>
      <c r="B243" t="str">
        <f>"1578729478401735"</f>
        <v>1578729478401735</v>
      </c>
      <c r="C243" t="s">
        <v>37</v>
      </c>
      <c r="D243">
        <v>5.9695999999999998</v>
      </c>
      <c r="E243">
        <v>0.51933770000000001</v>
      </c>
      <c r="F243" t="s">
        <v>41</v>
      </c>
      <c r="G243">
        <v>-422.79230000000001</v>
      </c>
      <c r="H243">
        <v>-0.05</v>
      </c>
      <c r="I243">
        <v>367.53149999999999</v>
      </c>
      <c r="J243">
        <v>-441.69130000000001</v>
      </c>
      <c r="K243">
        <v>1.104425</v>
      </c>
      <c r="L243">
        <v>367.6302</v>
      </c>
      <c r="M243">
        <v>0.99990979999999996</v>
      </c>
      <c r="N243">
        <v>0</v>
      </c>
      <c r="O243">
        <v>5.5510840000000004E-3</v>
      </c>
      <c r="P243">
        <v>0.99896929999999995</v>
      </c>
      <c r="Q243">
        <v>-1.4640520000000001E-2</v>
      </c>
      <c r="R243">
        <v>4.2967699999999998E-2</v>
      </c>
      <c r="S243">
        <v>3.0011899999999998</v>
      </c>
      <c r="T243">
        <v>-0.18213019999999999</v>
      </c>
      <c r="U243">
        <v>-1.5472410000000001E-2</v>
      </c>
      <c r="V243">
        <v>-3.742127E-2</v>
      </c>
      <c r="W243">
        <v>-2.408332E-3</v>
      </c>
      <c r="X243">
        <v>0.99929669999999904</v>
      </c>
      <c r="Y243">
        <v>1.067685E-2</v>
      </c>
      <c r="Z243">
        <v>-6.6025389999999995E-4</v>
      </c>
      <c r="AA243">
        <v>0.99994280000000002</v>
      </c>
      <c r="AB243">
        <v>18</v>
      </c>
      <c r="AC243">
        <v>18.899000000000001</v>
      </c>
      <c r="AD243">
        <v>-1.154425</v>
      </c>
      <c r="AE243">
        <v>-9.8700000000008004E-2</v>
      </c>
      <c r="AF243">
        <v>0.20285936513414499</v>
      </c>
      <c r="AG243">
        <v>-1.154425</v>
      </c>
      <c r="AH243">
        <v>18.827911200959399</v>
      </c>
      <c r="AI243">
        <v>93.508469580774701</v>
      </c>
      <c r="AJ243">
        <v>89.382696487005006</v>
      </c>
      <c r="AK243">
        <v>18.864360291137899</v>
      </c>
    </row>
    <row r="244" spans="1:37" x14ac:dyDescent="0.2">
      <c r="A244" t="str">
        <f>"20200111155758424"</f>
        <v>20200111155758424</v>
      </c>
      <c r="B244" t="str">
        <f>"1578729478411495"</f>
        <v>1578729478411495</v>
      </c>
      <c r="C244" t="s">
        <v>37</v>
      </c>
      <c r="D244">
        <v>6.0382239999999996</v>
      </c>
      <c r="E244">
        <v>0.51938249999999997</v>
      </c>
      <c r="F244" t="s">
        <v>41</v>
      </c>
      <c r="G244">
        <v>-422.95929999999998</v>
      </c>
      <c r="H244">
        <v>-0.05</v>
      </c>
      <c r="I244">
        <v>367.5224</v>
      </c>
      <c r="J244">
        <v>-441.5403</v>
      </c>
      <c r="K244">
        <v>1.104433</v>
      </c>
      <c r="L244">
        <v>367.6311</v>
      </c>
      <c r="M244">
        <v>0.99990879999999904</v>
      </c>
      <c r="N244">
        <v>0</v>
      </c>
      <c r="O244">
        <v>5.5743880000000004E-3</v>
      </c>
      <c r="P244">
        <v>0.99895780000000001</v>
      </c>
      <c r="Q244">
        <v>-1.452529E-2</v>
      </c>
      <c r="R244">
        <v>4.3272959999999999E-2</v>
      </c>
      <c r="S244">
        <v>3.00116</v>
      </c>
      <c r="T244">
        <v>-0.1849558</v>
      </c>
      <c r="U244">
        <v>-1.7272949999999999E-2</v>
      </c>
      <c r="V244">
        <v>-3.770337E-2</v>
      </c>
      <c r="W244">
        <v>-2.225557E-3</v>
      </c>
      <c r="X244">
        <v>0.99928649999999997</v>
      </c>
      <c r="Y244">
        <v>1.1297949999999999E-2</v>
      </c>
      <c r="Z244">
        <v>-6.9103980000000001E-4</v>
      </c>
      <c r="AA244">
        <v>0.99993589999999999</v>
      </c>
      <c r="AB244">
        <v>18</v>
      </c>
      <c r="AC244">
        <v>18.581</v>
      </c>
      <c r="AD244">
        <v>-1.154433</v>
      </c>
      <c r="AE244">
        <v>-0.10869999999999801</v>
      </c>
      <c r="AF244">
        <v>0.21146759225220699</v>
      </c>
      <c r="AG244">
        <v>-1.154433</v>
      </c>
      <c r="AH244">
        <v>18.508662316423599</v>
      </c>
      <c r="AI244">
        <v>93.568829706785905</v>
      </c>
      <c r="AJ244">
        <v>89.345405239716698</v>
      </c>
      <c r="AK244">
        <v>18.545835511981199</v>
      </c>
    </row>
    <row r="245" spans="1:37" x14ac:dyDescent="0.2">
      <c r="A245" t="str">
        <f>"20200111155758446"</f>
        <v>20200111155758446</v>
      </c>
      <c r="B245" t="str">
        <f>"1578729478441750"</f>
        <v>1578729478441750</v>
      </c>
      <c r="C245" t="s">
        <v>37</v>
      </c>
      <c r="D245">
        <v>6.4049239999999896</v>
      </c>
      <c r="E245">
        <v>0.51940149999999996</v>
      </c>
      <c r="F245" t="s">
        <v>41</v>
      </c>
      <c r="G245">
        <v>-422.85879999999997</v>
      </c>
      <c r="H245">
        <v>-0.05</v>
      </c>
      <c r="I245">
        <v>367.52809999999999</v>
      </c>
      <c r="J245">
        <v>-441.3603</v>
      </c>
      <c r="K245">
        <v>1.1044419999999999</v>
      </c>
      <c r="L245">
        <v>367.63220000000001</v>
      </c>
      <c r="M245">
        <v>0.9999074</v>
      </c>
      <c r="N245">
        <v>0</v>
      </c>
      <c r="O245">
        <v>5.6308419999999996E-3</v>
      </c>
      <c r="P245">
        <v>0.99894359999999904</v>
      </c>
      <c r="Q245">
        <v>-1.475659E-2</v>
      </c>
      <c r="R245">
        <v>4.3523329999999999E-2</v>
      </c>
      <c r="S245">
        <v>3.0011899999999998</v>
      </c>
      <c r="T245">
        <v>-0.18545970000000001</v>
      </c>
      <c r="U245">
        <v>-1.6540530000000001E-2</v>
      </c>
      <c r="V245">
        <v>-3.789729E-2</v>
      </c>
      <c r="W245">
        <v>-2.375575E-3</v>
      </c>
      <c r="X245">
        <v>0.99927880000000002</v>
      </c>
      <c r="Y245">
        <v>1.1110409999999999E-2</v>
      </c>
      <c r="Z245">
        <v>-6.9060889999999998E-4</v>
      </c>
      <c r="AA245">
        <v>0.99993799999999899</v>
      </c>
      <c r="AB245">
        <v>18</v>
      </c>
      <c r="AC245">
        <v>18.5015</v>
      </c>
      <c r="AD245">
        <v>-1.154442</v>
      </c>
      <c r="AE245">
        <v>-0.104100000000016</v>
      </c>
      <c r="AF245">
        <v>0.20747759837360499</v>
      </c>
      <c r="AG245">
        <v>-1.154442</v>
      </c>
      <c r="AH245">
        <v>18.428871512164399</v>
      </c>
      <c r="AI245">
        <v>93.584275984601405</v>
      </c>
      <c r="AJ245">
        <v>89.354974692104307</v>
      </c>
      <c r="AK245">
        <v>18.466160632276999</v>
      </c>
    </row>
    <row r="246" spans="1:37" x14ac:dyDescent="0.2">
      <c r="A246" t="str">
        <f>"20200111155758469"</f>
        <v>20200111155758469</v>
      </c>
      <c r="B246" t="str">
        <f>"1578729478461271"</f>
        <v>1578729478461271</v>
      </c>
      <c r="C246" t="s">
        <v>37</v>
      </c>
      <c r="D246">
        <v>6.0320939999999998</v>
      </c>
      <c r="E246">
        <v>0.51935640000000005</v>
      </c>
      <c r="F246" t="s">
        <v>41</v>
      </c>
      <c r="G246">
        <v>-422.64280000000002</v>
      </c>
      <c r="H246">
        <v>-0.05</v>
      </c>
      <c r="I246">
        <v>367.5317</v>
      </c>
      <c r="J246">
        <v>-441.16739999999999</v>
      </c>
      <c r="K246">
        <v>1.104339</v>
      </c>
      <c r="L246">
        <v>367.63310000000001</v>
      </c>
      <c r="M246">
        <v>0.99990639999999997</v>
      </c>
      <c r="N246">
        <v>0</v>
      </c>
      <c r="O246">
        <v>6.3058509999999899E-3</v>
      </c>
      <c r="P246">
        <v>0.9989152</v>
      </c>
      <c r="Q246">
        <v>-1.3801910000000001E-2</v>
      </c>
      <c r="R246">
        <v>4.4477170000000003E-2</v>
      </c>
      <c r="S246">
        <v>3.00116</v>
      </c>
      <c r="T246">
        <v>-0.18510309999999999</v>
      </c>
      <c r="U246">
        <v>-1.6113280000000001E-2</v>
      </c>
      <c r="V246">
        <v>-3.8177040000000002E-2</v>
      </c>
      <c r="W246">
        <v>-1.6652349999999999E-3</v>
      </c>
      <c r="X246">
        <v>0.99926959999999998</v>
      </c>
      <c r="Y246">
        <v>1.1640960000000001E-2</v>
      </c>
      <c r="Z246">
        <v>-7.4723080000000004E-4</v>
      </c>
      <c r="AA246">
        <v>0.99993199999999904</v>
      </c>
      <c r="AB246">
        <v>18</v>
      </c>
      <c r="AC246">
        <v>18.5245999999999</v>
      </c>
      <c r="AD246">
        <v>-1.154339</v>
      </c>
      <c r="AE246">
        <v>-0.10140000000001199</v>
      </c>
      <c r="AF246">
        <v>0.21737591416888799</v>
      </c>
      <c r="AG246">
        <v>-1.154339</v>
      </c>
      <c r="AH246">
        <v>18.451945146147601</v>
      </c>
      <c r="AI246">
        <v>93.579465569712099</v>
      </c>
      <c r="AJ246">
        <v>89.325049677522301</v>
      </c>
      <c r="AK246">
        <v>18.489295024186902</v>
      </c>
    </row>
    <row r="247" spans="1:37" x14ac:dyDescent="0.2">
      <c r="A247" t="str">
        <f>"20200111155758492"</f>
        <v>20200111155758492</v>
      </c>
      <c r="B247" t="str">
        <f>"1578729478481412"</f>
        <v>1578729478481412</v>
      </c>
      <c r="C247" t="s">
        <v>37</v>
      </c>
      <c r="D247">
        <v>6.1309259999999997</v>
      </c>
      <c r="E247">
        <v>0.51932479999999903</v>
      </c>
      <c r="F247" t="s">
        <v>41</v>
      </c>
      <c r="G247">
        <v>-422.04880000000003</v>
      </c>
      <c r="H247">
        <v>-0.05</v>
      </c>
      <c r="I247">
        <v>367.55149999999998</v>
      </c>
      <c r="J247">
        <v>-440.98480000000001</v>
      </c>
      <c r="K247">
        <v>1.104312</v>
      </c>
      <c r="L247">
        <v>367.63409999999999</v>
      </c>
      <c r="M247">
        <v>0.99990939999999995</v>
      </c>
      <c r="N247">
        <v>0</v>
      </c>
      <c r="O247">
        <v>6.386905E-3</v>
      </c>
      <c r="P247">
        <v>0.99891569999999996</v>
      </c>
      <c r="Q247">
        <v>-1.351514E-2</v>
      </c>
      <c r="R247">
        <v>4.4551180000000003E-2</v>
      </c>
      <c r="S247">
        <v>3.001312</v>
      </c>
      <c r="T247">
        <v>-0.18121279999999901</v>
      </c>
      <c r="U247">
        <v>-1.281738E-2</v>
      </c>
      <c r="V247">
        <v>-3.8169420000000003E-2</v>
      </c>
      <c r="W247">
        <v>-1.6889749999999999E-3</v>
      </c>
      <c r="X247">
        <v>0.99926979999999999</v>
      </c>
      <c r="Y247">
        <v>1.0626780000000001E-2</v>
      </c>
      <c r="Z247">
        <v>-7.0581919999999996E-4</v>
      </c>
      <c r="AA247">
        <v>0.99994329999999998</v>
      </c>
      <c r="AB247">
        <v>18</v>
      </c>
      <c r="AC247">
        <v>18.9359999999999</v>
      </c>
      <c r="AD247">
        <v>-1.154312</v>
      </c>
      <c r="AE247">
        <v>-8.2600000000013496E-2</v>
      </c>
      <c r="AF247">
        <v>0.20279567473084401</v>
      </c>
      <c r="AG247">
        <v>-1.154312</v>
      </c>
      <c r="AH247">
        <v>18.864986100038301</v>
      </c>
      <c r="AI247">
        <v>93.501250668108298</v>
      </c>
      <c r="AJ247">
        <v>89.384102979912001</v>
      </c>
      <c r="AK247">
        <v>18.9013561109692</v>
      </c>
    </row>
    <row r="248" spans="1:37" x14ac:dyDescent="0.2">
      <c r="A248" t="str">
        <f>"20200111155758514"</f>
        <v>20200111155758514</v>
      </c>
      <c r="B248" t="str">
        <f>"1578729478500932"</f>
        <v>1578729478500932</v>
      </c>
      <c r="C248" t="s">
        <v>37</v>
      </c>
      <c r="D248">
        <v>5.9812919999999998</v>
      </c>
      <c r="E248">
        <v>0.51950249999999998</v>
      </c>
      <c r="F248" t="s">
        <v>41</v>
      </c>
      <c r="G248">
        <v>-421.89190000000002</v>
      </c>
      <c r="H248">
        <v>-0.05</v>
      </c>
      <c r="I248">
        <v>367.55759999999998</v>
      </c>
      <c r="J248">
        <v>-440.80239999999998</v>
      </c>
      <c r="K248">
        <v>1.1042879999999999</v>
      </c>
      <c r="L248">
        <v>367.6352</v>
      </c>
      <c r="M248">
        <v>0.99990959999999995</v>
      </c>
      <c r="N248">
        <v>0</v>
      </c>
      <c r="O248">
        <v>5.9428149999999997E-3</v>
      </c>
      <c r="P248">
        <v>0.99893980000000004</v>
      </c>
      <c r="Q248">
        <v>-1.46704E-2</v>
      </c>
      <c r="R248">
        <v>4.3636689999999999E-2</v>
      </c>
      <c r="S248">
        <v>3.0013730000000001</v>
      </c>
      <c r="T248">
        <v>-0.18145610000000001</v>
      </c>
      <c r="U248">
        <v>-1.202393E-2</v>
      </c>
      <c r="V248">
        <v>-3.7696649999999998E-2</v>
      </c>
      <c r="W248">
        <v>-2.6510029999999999E-3</v>
      </c>
      <c r="X248">
        <v>0.99928569999999906</v>
      </c>
      <c r="Y248">
        <v>9.9202709999999996E-3</v>
      </c>
      <c r="Z248">
        <v>-6.5858910000000004E-4</v>
      </c>
      <c r="AA248">
        <v>0.99995059999999902</v>
      </c>
      <c r="AB248">
        <v>19</v>
      </c>
      <c r="AC248">
        <v>18.9104999999999</v>
      </c>
      <c r="AD248">
        <v>-1.154288</v>
      </c>
      <c r="AE248">
        <v>-7.7600000000018099E-2</v>
      </c>
      <c r="AF248">
        <v>0.18928318382409001</v>
      </c>
      <c r="AG248">
        <v>-1.154288</v>
      </c>
      <c r="AH248">
        <v>18.8395132918283</v>
      </c>
      <c r="AI248">
        <v>93.505925729051</v>
      </c>
      <c r="AJ248">
        <v>89.424360783654294</v>
      </c>
      <c r="AK248">
        <v>18.8757905790353</v>
      </c>
    </row>
    <row r="249" spans="1:37" x14ac:dyDescent="0.2">
      <c r="A249" t="str">
        <f>"20200111155758537"</f>
        <v>20200111155758537</v>
      </c>
      <c r="B249" t="str">
        <f>"1578729478531189"</f>
        <v>1578729478531189</v>
      </c>
      <c r="C249" t="s">
        <v>37</v>
      </c>
      <c r="D249">
        <v>5.9156529999999998</v>
      </c>
      <c r="E249">
        <v>0.55872650000000001</v>
      </c>
      <c r="F249" t="s">
        <v>41</v>
      </c>
      <c r="G249">
        <v>-422.34120000000001</v>
      </c>
      <c r="H249">
        <v>-0.05</v>
      </c>
      <c r="I249">
        <v>367.53699999999998</v>
      </c>
      <c r="J249">
        <v>-440.6139</v>
      </c>
      <c r="K249">
        <v>1.104044</v>
      </c>
      <c r="L249">
        <v>367.63639999999998</v>
      </c>
      <c r="M249">
        <v>0.99990210000000002</v>
      </c>
      <c r="N249">
        <v>0</v>
      </c>
      <c r="O249">
        <v>5.5284599999999998E-3</v>
      </c>
      <c r="P249">
        <v>0.99895750000000005</v>
      </c>
      <c r="Q249">
        <v>-1.6267480000000001E-2</v>
      </c>
      <c r="R249">
        <v>4.2654600000000001E-2</v>
      </c>
      <c r="S249">
        <v>3.0011290000000002</v>
      </c>
      <c r="T249">
        <v>-0.1876466</v>
      </c>
      <c r="U249">
        <v>-1.596069E-2</v>
      </c>
      <c r="V249">
        <v>-3.7126190000000003E-2</v>
      </c>
      <c r="W249">
        <v>-3.4655139999999998E-3</v>
      </c>
      <c r="X249">
        <v>0.99930459999999999</v>
      </c>
      <c r="Y249">
        <v>1.0815E-2</v>
      </c>
      <c r="Z249">
        <v>-6.8313119999999998E-4</v>
      </c>
      <c r="AA249">
        <v>0.99994130000000003</v>
      </c>
      <c r="AB249">
        <v>19</v>
      </c>
      <c r="AC249">
        <v>18.272699999999901</v>
      </c>
      <c r="AD249">
        <v>-1.1540440000000001</v>
      </c>
      <c r="AE249">
        <v>-9.9400000000002806E-2</v>
      </c>
      <c r="AF249">
        <v>0.199630461404948</v>
      </c>
      <c r="AG249">
        <v>-1.1540440000000001</v>
      </c>
      <c r="AH249">
        <v>18.199280490417902</v>
      </c>
      <c r="AI249">
        <v>93.628136638159603</v>
      </c>
      <c r="AJ249">
        <v>89.371539759896095</v>
      </c>
      <c r="AK249">
        <v>18.236926282791199</v>
      </c>
    </row>
    <row r="250" spans="1:37" x14ac:dyDescent="0.2">
      <c r="A250" t="str">
        <f>"20200111155758559"</f>
        <v>20200111155758559</v>
      </c>
      <c r="B250" t="str">
        <f>"1578729478551685"</f>
        <v>1578729478551685</v>
      </c>
      <c r="C250" t="s">
        <v>37</v>
      </c>
      <c r="D250">
        <v>5.8503470000000002</v>
      </c>
      <c r="E250">
        <v>0.56470469999999995</v>
      </c>
      <c r="F250" t="s">
        <v>38</v>
      </c>
      <c r="G250">
        <v>-439.83159999999998</v>
      </c>
      <c r="H250">
        <v>1.0152680000000001</v>
      </c>
      <c r="I250">
        <v>367.55220000000003</v>
      </c>
      <c r="J250">
        <v>-440.42309999999998</v>
      </c>
      <c r="K250">
        <v>1.10341</v>
      </c>
      <c r="L250">
        <v>367.63740000000001</v>
      </c>
      <c r="M250">
        <v>0.99988779999999999</v>
      </c>
      <c r="N250">
        <v>0</v>
      </c>
      <c r="O250">
        <v>5.4141440000000001E-3</v>
      </c>
      <c r="P250">
        <v>0.99894930000000004</v>
      </c>
      <c r="Q250">
        <v>-1.794749E-2</v>
      </c>
      <c r="R250">
        <v>4.2172269999999998E-2</v>
      </c>
      <c r="S250">
        <v>3.01135299999999</v>
      </c>
      <c r="T250">
        <v>-0.34190739999999997</v>
      </c>
      <c r="U250">
        <v>-0.32315060000000001</v>
      </c>
      <c r="V250">
        <v>-3.6756820000000003E-2</v>
      </c>
      <c r="W250">
        <v>-4.0375910000000001E-3</v>
      </c>
      <c r="X250">
        <v>0.99931610000000004</v>
      </c>
      <c r="Y250">
        <v>0.1113387</v>
      </c>
      <c r="Z250">
        <v>-6.8936780000000003E-3</v>
      </c>
      <c r="AA250">
        <v>0.99375859999999905</v>
      </c>
      <c r="AB250">
        <v>18</v>
      </c>
      <c r="AC250">
        <v>0.59149999999999603</v>
      </c>
      <c r="AD250">
        <v>-8.8141999999999901E-2</v>
      </c>
      <c r="AE250">
        <v>-8.5199999999986106E-2</v>
      </c>
      <c r="AF250">
        <v>8.6519392052036806E-2</v>
      </c>
      <c r="AG250">
        <v>-8.8141999999999901E-2</v>
      </c>
      <c r="AH250">
        <v>0.57844650901517902</v>
      </c>
      <c r="AI250">
        <v>98.570025294078206</v>
      </c>
      <c r="AJ250">
        <v>81.493219762013695</v>
      </c>
      <c r="AK250">
        <v>0.59148540231936497</v>
      </c>
    </row>
    <row r="251" spans="1:37" x14ac:dyDescent="0.2">
      <c r="A251" t="str">
        <f>"20200111155758582"</f>
        <v>20200111155758582</v>
      </c>
      <c r="B251" t="str">
        <f>"1578729478570847"</f>
        <v>1578729478570847</v>
      </c>
      <c r="C251" t="s">
        <v>37</v>
      </c>
      <c r="D251">
        <v>5.9174699999999998</v>
      </c>
      <c r="E251">
        <v>0.56419619999999904</v>
      </c>
      <c r="F251" t="s">
        <v>38</v>
      </c>
      <c r="G251">
        <v>-439.70890000000003</v>
      </c>
      <c r="H251">
        <v>0.9283806</v>
      </c>
      <c r="I251">
        <v>367.55419999999998</v>
      </c>
      <c r="J251">
        <v>-440.23500000000001</v>
      </c>
      <c r="K251">
        <v>1.1024309999999999</v>
      </c>
      <c r="L251">
        <v>367.63850000000002</v>
      </c>
      <c r="M251">
        <v>0.99986790000000003</v>
      </c>
      <c r="N251">
        <v>0</v>
      </c>
      <c r="O251">
        <v>5.400775E-3</v>
      </c>
      <c r="P251">
        <v>0.99893359999999998</v>
      </c>
      <c r="Q251">
        <v>-1.9724599999999998E-2</v>
      </c>
      <c r="R251">
        <v>4.1746930000000002E-2</v>
      </c>
      <c r="S251">
        <v>3.0046689999999998</v>
      </c>
      <c r="T251">
        <v>-0.73640839999999996</v>
      </c>
      <c r="U251">
        <v>-0.348999</v>
      </c>
      <c r="V251">
        <v>-3.6344580000000001E-2</v>
      </c>
      <c r="W251">
        <v>-4.4551920000000002E-3</v>
      </c>
      <c r="X251">
        <v>0.99932940000000003</v>
      </c>
      <c r="Y251">
        <v>0.1171599</v>
      </c>
      <c r="Z251">
        <v>-1.540293E-2</v>
      </c>
      <c r="AA251">
        <v>0.99299359999999903</v>
      </c>
      <c r="AB251">
        <v>18</v>
      </c>
      <c r="AC251">
        <v>0.52609999999998502</v>
      </c>
      <c r="AD251">
        <v>-0.17405039999999899</v>
      </c>
      <c r="AE251">
        <v>-8.4300000000041495E-2</v>
      </c>
      <c r="AF251">
        <v>7.8738317843366004E-2</v>
      </c>
      <c r="AG251">
        <v>-0.17405039999999899</v>
      </c>
      <c r="AH251">
        <v>0.47495475644171298</v>
      </c>
      <c r="AI251">
        <v>109.876066822608</v>
      </c>
      <c r="AJ251">
        <v>80.587076738491902</v>
      </c>
      <c r="AK251">
        <v>0.51193289121091801</v>
      </c>
    </row>
    <row r="252" spans="1:37" x14ac:dyDescent="0.2">
      <c r="A252" t="str">
        <f>"20200111155758603"</f>
        <v>20200111155758603</v>
      </c>
      <c r="B252" t="str">
        <f>"1578729478591342"</f>
        <v>1578729478591342</v>
      </c>
      <c r="C252" t="s">
        <v>37</v>
      </c>
      <c r="D252">
        <v>5.8808009999999999</v>
      </c>
      <c r="E252">
        <v>0.5635637</v>
      </c>
      <c r="F252" t="s">
        <v>38</v>
      </c>
      <c r="G252">
        <v>-439.54219999999998</v>
      </c>
      <c r="H252">
        <v>0.93117179999999999</v>
      </c>
      <c r="I252">
        <v>367.55840000000001</v>
      </c>
      <c r="J252">
        <v>-440.07060000000001</v>
      </c>
      <c r="K252">
        <v>1.1013379999999999</v>
      </c>
      <c r="L252">
        <v>367.63929999999999</v>
      </c>
      <c r="M252">
        <v>0.9998437</v>
      </c>
      <c r="N252">
        <v>0</v>
      </c>
      <c r="O252">
        <v>5.4143990000000003E-3</v>
      </c>
      <c r="P252">
        <v>0.99887809999999899</v>
      </c>
      <c r="Q252">
        <v>-2.131651E-2</v>
      </c>
      <c r="R252">
        <v>4.2287329999999998E-2</v>
      </c>
      <c r="S252">
        <v>3.0029910000000002</v>
      </c>
      <c r="T252">
        <v>-0.74237810000000004</v>
      </c>
      <c r="U252">
        <v>-0.34616089999999999</v>
      </c>
      <c r="V252">
        <v>-3.6871099999999997E-2</v>
      </c>
      <c r="W252">
        <v>-4.5537279999999999E-3</v>
      </c>
      <c r="X252">
        <v>0.99930969999999997</v>
      </c>
      <c r="Y252">
        <v>0.116275</v>
      </c>
      <c r="Z252">
        <v>-1.54293E-2</v>
      </c>
      <c r="AA252">
        <v>0.99309720000000001</v>
      </c>
      <c r="AB252">
        <v>18</v>
      </c>
      <c r="AC252">
        <v>0.52840000000003295</v>
      </c>
      <c r="AD252">
        <v>-0.17016619999999899</v>
      </c>
      <c r="AE252">
        <v>-8.0899999999985497E-2</v>
      </c>
      <c r="AF252">
        <v>7.6053343168554902E-2</v>
      </c>
      <c r="AG252">
        <v>-0.17016619999999899</v>
      </c>
      <c r="AH252">
        <v>0.47937666459612899</v>
      </c>
      <c r="AI252">
        <v>109.3201126875</v>
      </c>
      <c r="AJ252">
        <v>80.985130072806996</v>
      </c>
      <c r="AK252">
        <v>0.51433708128897704</v>
      </c>
    </row>
    <row r="253" spans="1:37" x14ac:dyDescent="0.2">
      <c r="A253" t="str">
        <f>"20200111155758624"</f>
        <v>20200111155758624</v>
      </c>
      <c r="B253" t="str">
        <f>"1578729478621599"</f>
        <v>1578729478621599</v>
      </c>
      <c r="C253" t="s">
        <v>37</v>
      </c>
      <c r="D253">
        <v>5.7783160000000002</v>
      </c>
      <c r="E253">
        <v>0.56376309999999996</v>
      </c>
      <c r="F253" t="s">
        <v>38</v>
      </c>
      <c r="G253">
        <v>-439.37819999999999</v>
      </c>
      <c r="H253">
        <v>0.92907419999999996</v>
      </c>
      <c r="I253">
        <v>367.56099999999998</v>
      </c>
      <c r="J253">
        <v>-439.8897</v>
      </c>
      <c r="K253">
        <v>1.0999319999999999</v>
      </c>
      <c r="L253">
        <v>367.64030000000002</v>
      </c>
      <c r="M253">
        <v>0.99981100000000001</v>
      </c>
      <c r="N253">
        <v>0</v>
      </c>
      <c r="O253">
        <v>5.5175099999999998E-3</v>
      </c>
      <c r="P253">
        <v>0.99881209999999898</v>
      </c>
      <c r="Q253">
        <v>-2.3146679999999999E-2</v>
      </c>
      <c r="R253">
        <v>4.2882339999999998E-2</v>
      </c>
      <c r="S253">
        <v>3.0018009999999999</v>
      </c>
      <c r="T253">
        <v>-0.7469964</v>
      </c>
      <c r="U253">
        <v>-0.33926390000000001</v>
      </c>
      <c r="V253">
        <v>-3.7364290000000001E-2</v>
      </c>
      <c r="W253">
        <v>-4.5544779999999998E-3</v>
      </c>
      <c r="X253">
        <v>0.99929140000000005</v>
      </c>
      <c r="Y253">
        <v>0.1141812</v>
      </c>
      <c r="Z253">
        <v>-1.5299760000000001E-2</v>
      </c>
      <c r="AA253">
        <v>0.99334210000000001</v>
      </c>
      <c r="AB253">
        <v>18</v>
      </c>
      <c r="AC253">
        <v>0.51150000000001195</v>
      </c>
      <c r="AD253">
        <v>-0.170857799999999</v>
      </c>
      <c r="AE253">
        <v>-7.9300000000046098E-2</v>
      </c>
      <c r="AF253">
        <v>7.4052770299633003E-2</v>
      </c>
      <c r="AG253">
        <v>-0.170857799999999</v>
      </c>
      <c r="AH253">
        <v>0.460841723075681</v>
      </c>
      <c r="AI253">
        <v>110.10543910490701</v>
      </c>
      <c r="AJ253">
        <v>80.871166161678005</v>
      </c>
      <c r="AK253">
        <v>0.49704254781381901</v>
      </c>
    </row>
    <row r="254" spans="1:37" x14ac:dyDescent="0.2">
      <c r="A254" t="str">
        <f>"20200111155758647"</f>
        <v>20200111155758647</v>
      </c>
      <c r="B254" t="str">
        <f>"1578729478641119"</f>
        <v>1578729478641119</v>
      </c>
      <c r="C254" t="s">
        <v>37</v>
      </c>
      <c r="D254">
        <v>5.8426720000000003</v>
      </c>
      <c r="E254">
        <v>0.56471510000000003</v>
      </c>
      <c r="F254" t="s">
        <v>38</v>
      </c>
      <c r="G254">
        <v>-439.21280000000002</v>
      </c>
      <c r="H254">
        <v>0.93086420000000003</v>
      </c>
      <c r="I254">
        <v>367.5634</v>
      </c>
      <c r="J254">
        <v>-439.70150000000001</v>
      </c>
      <c r="K254">
        <v>1.0983039999999999</v>
      </c>
      <c r="L254">
        <v>367.6413</v>
      </c>
      <c r="M254">
        <v>0.99977399999999905</v>
      </c>
      <c r="N254">
        <v>0</v>
      </c>
      <c r="O254">
        <v>5.7130359999999899E-3</v>
      </c>
      <c r="P254">
        <v>0.99874159999999901</v>
      </c>
      <c r="Q254">
        <v>-2.4932780000000002E-2</v>
      </c>
      <c r="R254">
        <v>4.3513940000000001E-2</v>
      </c>
      <c r="S254">
        <v>3.0007630000000001</v>
      </c>
      <c r="T254">
        <v>-0.74947089999999905</v>
      </c>
      <c r="U254">
        <v>-0.3392944</v>
      </c>
      <c r="V254">
        <v>-3.7801710000000002E-2</v>
      </c>
      <c r="W254">
        <v>-4.5119679999999999E-3</v>
      </c>
      <c r="X254">
        <v>0.99927509999999997</v>
      </c>
      <c r="Y254">
        <v>0.11438569999999899</v>
      </c>
      <c r="Z254">
        <v>-1.5427150000000001E-2</v>
      </c>
      <c r="AA254">
        <v>0.99331669999999905</v>
      </c>
      <c r="AB254">
        <v>18</v>
      </c>
      <c r="AC254">
        <v>0.48869999999999397</v>
      </c>
      <c r="AD254">
        <v>-0.1674398</v>
      </c>
      <c r="AE254">
        <v>-7.7899999999999595E-2</v>
      </c>
      <c r="AF254">
        <v>7.2402521115168997E-2</v>
      </c>
      <c r="AG254">
        <v>-0.1674398</v>
      </c>
      <c r="AH254">
        <v>0.43809328182018598</v>
      </c>
      <c r="AI254">
        <v>110.66076747669899</v>
      </c>
      <c r="AJ254">
        <v>80.615702813607001</v>
      </c>
      <c r="AK254">
        <v>0.47455656698001097</v>
      </c>
    </row>
    <row r="255" spans="1:37" x14ac:dyDescent="0.2">
      <c r="A255" t="str">
        <f>"20200111155758661"</f>
        <v>20200111155758661</v>
      </c>
      <c r="B255" t="str">
        <f>"1578729478650880"</f>
        <v>1578729478650880</v>
      </c>
      <c r="C255" t="s">
        <v>37</v>
      </c>
      <c r="D255">
        <v>5.8486529999999997</v>
      </c>
      <c r="E255">
        <v>0.56513910000000001</v>
      </c>
      <c r="F255" t="s">
        <v>38</v>
      </c>
      <c r="G255">
        <v>-438.89929999999998</v>
      </c>
      <c r="H255">
        <v>0.89753329999999998</v>
      </c>
      <c r="I255">
        <v>367.54849999999999</v>
      </c>
      <c r="J255">
        <v>-439.58659999999998</v>
      </c>
      <c r="K255">
        <v>1.097278</v>
      </c>
      <c r="L255">
        <v>367.64190000000002</v>
      </c>
      <c r="M255">
        <v>0.99975230000000004</v>
      </c>
      <c r="N255">
        <v>0</v>
      </c>
      <c r="O255">
        <v>5.8157690000000001E-3</v>
      </c>
      <c r="P255">
        <v>0.99870439999999905</v>
      </c>
      <c r="Q255">
        <v>-2.6099339999999999E-2</v>
      </c>
      <c r="R255">
        <v>4.3688539999999998E-2</v>
      </c>
      <c r="S255">
        <v>3.000092</v>
      </c>
      <c r="T255">
        <v>-0.75111229999999995</v>
      </c>
      <c r="U255">
        <v>-0.34527590000000002</v>
      </c>
      <c r="V255">
        <v>-3.7874110000000002E-2</v>
      </c>
      <c r="W255">
        <v>-4.6625939999999999E-3</v>
      </c>
      <c r="X255">
        <v>0.99927160000000004</v>
      </c>
      <c r="Y255">
        <v>0.11638699999999901</v>
      </c>
      <c r="Z255">
        <v>-1.573283E-2</v>
      </c>
      <c r="AA255">
        <v>0.9930793</v>
      </c>
      <c r="AB255">
        <v>18</v>
      </c>
      <c r="AC255">
        <v>0.68729999999999303</v>
      </c>
      <c r="AD255">
        <v>-0.199744699999999</v>
      </c>
      <c r="AE255">
        <v>-9.3400000000031E-2</v>
      </c>
      <c r="AF255">
        <v>8.9937978825499795E-2</v>
      </c>
      <c r="AG255">
        <v>-0.199744699999999</v>
      </c>
      <c r="AH255">
        <v>0.63415470850492905</v>
      </c>
      <c r="AI255">
        <v>107.320463191681</v>
      </c>
      <c r="AJ255">
        <v>81.927950376626498</v>
      </c>
      <c r="AK255">
        <v>0.67092397448017704</v>
      </c>
    </row>
    <row r="256" spans="1:37" x14ac:dyDescent="0.2">
      <c r="A256" t="str">
        <f>"20200111155758681"</f>
        <v>20200111155758681</v>
      </c>
      <c r="B256" t="str">
        <f>"1578729478670942"</f>
        <v>1578729478670942</v>
      </c>
      <c r="C256" t="s">
        <v>37</v>
      </c>
      <c r="D256">
        <v>5.8416519999999998</v>
      </c>
      <c r="E256">
        <v>0.56571169999999904</v>
      </c>
      <c r="F256" t="s">
        <v>38</v>
      </c>
      <c r="G256">
        <v>-438.8879</v>
      </c>
      <c r="H256">
        <v>0.92209459999999999</v>
      </c>
      <c r="I256">
        <v>367.56029999999998</v>
      </c>
      <c r="J256">
        <v>-439.42380000000003</v>
      </c>
      <c r="K256">
        <v>1.095828</v>
      </c>
      <c r="L256">
        <v>367.64299999999997</v>
      </c>
      <c r="M256">
        <v>0.99972190000000005</v>
      </c>
      <c r="N256">
        <v>0</v>
      </c>
      <c r="O256">
        <v>5.8823900000000004E-3</v>
      </c>
      <c r="P256">
        <v>0.99865809999999999</v>
      </c>
      <c r="Q256">
        <v>-2.7299449999999999E-2</v>
      </c>
      <c r="R256">
        <v>4.4010000000000001E-2</v>
      </c>
      <c r="S256">
        <v>2.9994809999999998</v>
      </c>
      <c r="T256">
        <v>-0.75222049999999996</v>
      </c>
      <c r="U256">
        <v>-0.34829709999999903</v>
      </c>
      <c r="V256">
        <v>-3.8129059999999999E-2</v>
      </c>
      <c r="W256">
        <v>-4.5151139999999998E-3</v>
      </c>
      <c r="X256">
        <v>0.9992626</v>
      </c>
      <c r="Y256">
        <v>0.11741789999999901</v>
      </c>
      <c r="Z256">
        <v>-1.5900919999999999E-2</v>
      </c>
      <c r="AA256">
        <v>0.99295529999999999</v>
      </c>
      <c r="AB256">
        <v>18</v>
      </c>
      <c r="AC256">
        <v>0.53590000000002602</v>
      </c>
      <c r="AD256">
        <v>-0.17373340000000001</v>
      </c>
      <c r="AE256">
        <v>-8.2700000000045196E-2</v>
      </c>
      <c r="AF256">
        <v>7.7859172650083394E-2</v>
      </c>
      <c r="AG256">
        <v>-0.17373340000000001</v>
      </c>
      <c r="AH256">
        <v>0.48555929783361002</v>
      </c>
      <c r="AI256">
        <v>109.457680501466</v>
      </c>
      <c r="AJ256">
        <v>80.890201178599099</v>
      </c>
      <c r="AK256">
        <v>0.52154882489943699</v>
      </c>
    </row>
    <row r="257" spans="1:37" x14ac:dyDescent="0.2">
      <c r="A257" t="str">
        <f>"20200111155758702"</f>
        <v>20200111155758702</v>
      </c>
      <c r="B257" t="str">
        <f>"1578729478691438"</f>
        <v>1578729478691438</v>
      </c>
      <c r="C257" t="s">
        <v>37</v>
      </c>
      <c r="D257">
        <v>5.8903679999999996</v>
      </c>
      <c r="E257">
        <v>0.57876289999999997</v>
      </c>
      <c r="F257" t="s">
        <v>38</v>
      </c>
      <c r="G257">
        <v>-438.72460000000001</v>
      </c>
      <c r="H257">
        <v>0.9196029</v>
      </c>
      <c r="I257">
        <v>367.56049999999999</v>
      </c>
      <c r="J257">
        <v>-439.25490000000002</v>
      </c>
      <c r="K257">
        <v>1.09436</v>
      </c>
      <c r="L257">
        <v>367.64420000000001</v>
      </c>
      <c r="M257">
        <v>0.99969069999999904</v>
      </c>
      <c r="N257">
        <v>0</v>
      </c>
      <c r="O257">
        <v>5.8798289999999996E-3</v>
      </c>
      <c r="P257">
        <v>0.99862459999999997</v>
      </c>
      <c r="Q257">
        <v>-2.8491039999999999E-2</v>
      </c>
      <c r="R257">
        <v>4.4013459999999997E-2</v>
      </c>
      <c r="S257">
        <v>2.9988709999999998</v>
      </c>
      <c r="T257">
        <v>-0.75600409999999996</v>
      </c>
      <c r="U257">
        <v>-0.35214229999999902</v>
      </c>
      <c r="V257">
        <v>-3.8135269999999999E-2</v>
      </c>
      <c r="W257">
        <v>-4.3764650000000004E-3</v>
      </c>
      <c r="X257">
        <v>0.99926299999999901</v>
      </c>
      <c r="Y257">
        <v>0.1186194</v>
      </c>
      <c r="Z257">
        <v>-1.612854E-2</v>
      </c>
      <c r="AA257">
        <v>0.99280879999999905</v>
      </c>
      <c r="AB257">
        <v>18</v>
      </c>
      <c r="AC257">
        <v>0.53030000000001098</v>
      </c>
      <c r="AD257">
        <v>-0.1747571</v>
      </c>
      <c r="AE257">
        <v>-8.3700000000021604E-2</v>
      </c>
      <c r="AF257">
        <v>7.8499743762351401E-2</v>
      </c>
      <c r="AG257">
        <v>-0.1747571</v>
      </c>
      <c r="AH257">
        <v>0.47903973723057502</v>
      </c>
      <c r="AI257">
        <v>109.799155629636</v>
      </c>
      <c r="AJ257">
        <v>80.693712609367296</v>
      </c>
      <c r="AK257">
        <v>0.515927634089417</v>
      </c>
    </row>
    <row r="258" spans="1:37" x14ac:dyDescent="0.2">
      <c r="A258" t="str">
        <f>"20200111155758725"</f>
        <v>20200111155758725</v>
      </c>
      <c r="B258" t="str">
        <f>"1578729478721695"</f>
        <v>1578729478721695</v>
      </c>
      <c r="C258" t="s">
        <v>37</v>
      </c>
      <c r="D258">
        <v>5.8601910000000004</v>
      </c>
      <c r="E258">
        <v>0.57846450000000005</v>
      </c>
      <c r="F258" t="s">
        <v>38</v>
      </c>
      <c r="G258">
        <v>-438.565</v>
      </c>
      <c r="H258">
        <v>0.90821799999999997</v>
      </c>
      <c r="I258">
        <v>367.53969999999998</v>
      </c>
      <c r="J258">
        <v>-439.0711</v>
      </c>
      <c r="K258">
        <v>1.092805</v>
      </c>
      <c r="L258">
        <v>367.64550000000003</v>
      </c>
      <c r="M258">
        <v>0.99965669999999995</v>
      </c>
      <c r="N258">
        <v>0</v>
      </c>
      <c r="O258">
        <v>5.8700280000000002E-3</v>
      </c>
      <c r="P258">
        <v>0.99859679999999995</v>
      </c>
      <c r="Q258">
        <v>-2.9619240000000002E-2</v>
      </c>
      <c r="R258">
        <v>4.3901969999999998E-2</v>
      </c>
      <c r="S258">
        <v>3.001007</v>
      </c>
      <c r="T258">
        <v>-0.80986169999999902</v>
      </c>
      <c r="U258">
        <v>-0.45291140000000002</v>
      </c>
      <c r="V258">
        <v>-3.80343E-2</v>
      </c>
      <c r="W258">
        <v>-4.1337550000000002E-3</v>
      </c>
      <c r="X258">
        <v>0.99926789999999999</v>
      </c>
      <c r="Y258">
        <v>0.14959259999999999</v>
      </c>
      <c r="Z258">
        <v>-2.127273E-2</v>
      </c>
      <c r="AA258">
        <v>0.98851880000000003</v>
      </c>
      <c r="AB258">
        <v>18</v>
      </c>
      <c r="AC258">
        <v>0.50610000000000299</v>
      </c>
      <c r="AD258">
        <v>-0.184586999999999</v>
      </c>
      <c r="AE258">
        <v>-0.105800000000044</v>
      </c>
      <c r="AF258">
        <v>9.6473980677532101E-2</v>
      </c>
      <c r="AG258">
        <v>-0.184586999999999</v>
      </c>
      <c r="AH258">
        <v>0.448328771030647</v>
      </c>
      <c r="AI258">
        <v>111.925218532503</v>
      </c>
      <c r="AJ258">
        <v>77.855945570453002</v>
      </c>
      <c r="AK258">
        <v>0.49434631226562098</v>
      </c>
    </row>
    <row r="259" spans="1:37" x14ac:dyDescent="0.2">
      <c r="A259" t="str">
        <f>"20200111155758749"</f>
        <v>20200111155758749</v>
      </c>
      <c r="B259" t="str">
        <f>"1578729478741214"</f>
        <v>1578729478741214</v>
      </c>
      <c r="C259" t="s">
        <v>37</v>
      </c>
      <c r="D259">
        <v>5.85419</v>
      </c>
      <c r="E259">
        <v>0.57831359999999998</v>
      </c>
      <c r="F259" t="s">
        <v>38</v>
      </c>
      <c r="G259">
        <v>-438.40010000000001</v>
      </c>
      <c r="H259">
        <v>0.91074249999999901</v>
      </c>
      <c r="I259">
        <v>367.54450000000003</v>
      </c>
      <c r="J259">
        <v>-438.86989999999997</v>
      </c>
      <c r="K259">
        <v>1.0911819999999901</v>
      </c>
      <c r="L259">
        <v>367.64690000000002</v>
      </c>
      <c r="M259">
        <v>0.99962189999999995</v>
      </c>
      <c r="N259">
        <v>0</v>
      </c>
      <c r="O259">
        <v>5.9200629999999997E-3</v>
      </c>
      <c r="P259">
        <v>0.99857750000000001</v>
      </c>
      <c r="Q259">
        <v>-3.084278E-2</v>
      </c>
      <c r="R259">
        <v>4.3498910000000002E-2</v>
      </c>
      <c r="S259">
        <v>2.9998779999999998</v>
      </c>
      <c r="T259">
        <v>-0.81385759999999996</v>
      </c>
      <c r="U259">
        <v>-0.45065309999999997</v>
      </c>
      <c r="V259">
        <v>-3.7582610000000002E-2</v>
      </c>
      <c r="W259">
        <v>-4.0298280000000001E-3</v>
      </c>
      <c r="X259">
        <v>0.99928539999999999</v>
      </c>
      <c r="Y259">
        <v>0.14893329999999999</v>
      </c>
      <c r="Z259">
        <v>-2.1308859999999999E-2</v>
      </c>
      <c r="AA259">
        <v>0.98861759999999999</v>
      </c>
      <c r="AB259">
        <v>18</v>
      </c>
      <c r="AC259">
        <v>0.46979999999996302</v>
      </c>
      <c r="AD259">
        <v>-0.1804395</v>
      </c>
      <c r="AE259">
        <v>-0.102399999999988</v>
      </c>
      <c r="AF259">
        <v>9.2196839881204501E-2</v>
      </c>
      <c r="AG259">
        <v>-0.1804395</v>
      </c>
      <c r="AH259">
        <v>0.41126847551988599</v>
      </c>
      <c r="AI259">
        <v>113.176413389578</v>
      </c>
      <c r="AJ259">
        <v>77.364519029938805</v>
      </c>
      <c r="AK259">
        <v>0.458476203745387</v>
      </c>
    </row>
    <row r="260" spans="1:37" x14ac:dyDescent="0.2">
      <c r="A260" t="str">
        <f>"20200111155758770"</f>
        <v>20200111155758770</v>
      </c>
      <c r="B260" t="str">
        <f>"1578729478761710"</f>
        <v>1578729478761710</v>
      </c>
      <c r="C260" t="s">
        <v>37</v>
      </c>
      <c r="D260">
        <v>5.8507199999999999</v>
      </c>
      <c r="E260">
        <v>0.57825760000000004</v>
      </c>
      <c r="F260" t="s">
        <v>38</v>
      </c>
      <c r="G260">
        <v>-438.08749999999998</v>
      </c>
      <c r="H260">
        <v>0.87740249999999997</v>
      </c>
      <c r="I260">
        <v>367.52929999999998</v>
      </c>
      <c r="J260">
        <v>-438.69779999999997</v>
      </c>
      <c r="K260">
        <v>1.0898760000000001</v>
      </c>
      <c r="L260">
        <v>367.64800000000002</v>
      </c>
      <c r="M260">
        <v>0.9995965</v>
      </c>
      <c r="N260">
        <v>0</v>
      </c>
      <c r="O260">
        <v>5.9783099999999997E-3</v>
      </c>
      <c r="P260">
        <v>0.99857770000000001</v>
      </c>
      <c r="Q260">
        <v>-3.1319220000000002E-2</v>
      </c>
      <c r="R260">
        <v>4.3147150000000002E-2</v>
      </c>
      <c r="S260">
        <v>2.998596</v>
      </c>
      <c r="T260">
        <v>-0.81932099999999997</v>
      </c>
      <c r="U260">
        <v>-0.45062259999999998</v>
      </c>
      <c r="V260">
        <v>-3.7173350000000001E-2</v>
      </c>
      <c r="W260">
        <v>-3.585113E-3</v>
      </c>
      <c r="X260">
        <v>0.99930239999999904</v>
      </c>
      <c r="Y260">
        <v>0.14896300000000001</v>
      </c>
      <c r="Z260">
        <v>-2.1475259999999999E-2</v>
      </c>
      <c r="AA260">
        <v>0.98860959999999998</v>
      </c>
      <c r="AB260">
        <v>18</v>
      </c>
      <c r="AC260">
        <v>0.61029999999999496</v>
      </c>
      <c r="AD260">
        <v>-0.21247350000000001</v>
      </c>
      <c r="AE260">
        <v>-0.118700000000046</v>
      </c>
      <c r="AF260">
        <v>0.109553355045529</v>
      </c>
      <c r="AG260">
        <v>-0.21247350000000001</v>
      </c>
      <c r="AH260">
        <v>0.54583261174415498</v>
      </c>
      <c r="AI260">
        <v>110.88953382947599</v>
      </c>
      <c r="AJ260">
        <v>78.6510289708052</v>
      </c>
      <c r="AK260">
        <v>0.595886034277887</v>
      </c>
    </row>
    <row r="261" spans="1:37" x14ac:dyDescent="0.2">
      <c r="A261" t="str">
        <f>"20200111155758802"</f>
        <v>20200111155758802</v>
      </c>
      <c r="B261" t="str">
        <f>"1578729478790991"</f>
        <v>1578729478790991</v>
      </c>
      <c r="C261" t="s">
        <v>37</v>
      </c>
      <c r="D261">
        <v>5.8693289999999996</v>
      </c>
      <c r="E261">
        <v>0.57797799999999999</v>
      </c>
      <c r="F261" t="s">
        <v>38</v>
      </c>
      <c r="G261">
        <v>-437.92309999999998</v>
      </c>
      <c r="H261">
        <v>0.87755869999999903</v>
      </c>
      <c r="I261">
        <v>367.53089999999997</v>
      </c>
      <c r="J261">
        <v>-438.43759999999997</v>
      </c>
      <c r="K261">
        <v>1.0879779999999999</v>
      </c>
      <c r="L261">
        <v>367.6497</v>
      </c>
      <c r="M261">
        <v>0.99957580000000001</v>
      </c>
      <c r="N261">
        <v>0</v>
      </c>
      <c r="O261">
        <v>6.0176800000000001E-3</v>
      </c>
      <c r="P261">
        <v>0.99859940000000003</v>
      </c>
      <c r="Q261">
        <v>-3.198322E-2</v>
      </c>
      <c r="R261">
        <v>4.2148440000000002E-2</v>
      </c>
      <c r="S261">
        <v>2.997986</v>
      </c>
      <c r="T261">
        <v>-0.82176019999999905</v>
      </c>
      <c r="U261">
        <v>-0.4512024</v>
      </c>
      <c r="V261">
        <v>-3.6135510000000003E-2</v>
      </c>
      <c r="W261">
        <v>-3.511658E-3</v>
      </c>
      <c r="X261">
        <v>0.99934069999999997</v>
      </c>
      <c r="Y261">
        <v>0.1491749</v>
      </c>
      <c r="Z261">
        <v>-2.15798E-2</v>
      </c>
      <c r="AA261">
        <v>0.98857530000000005</v>
      </c>
      <c r="AB261">
        <v>18</v>
      </c>
      <c r="AC261">
        <v>0.51449999999999796</v>
      </c>
      <c r="AD261">
        <v>-0.2104193</v>
      </c>
      <c r="AE261">
        <v>-0.118800000000021</v>
      </c>
      <c r="AF261">
        <v>0.105191187876257</v>
      </c>
      <c r="AG261">
        <v>-0.2104193</v>
      </c>
      <c r="AH261">
        <v>0.44336982141819498</v>
      </c>
      <c r="AI261">
        <v>114.786190171093</v>
      </c>
      <c r="AJ261">
        <v>76.653133737847398</v>
      </c>
      <c r="AK261">
        <v>0.50191460066799298</v>
      </c>
    </row>
    <row r="262" spans="1:37" x14ac:dyDescent="0.2">
      <c r="A262" t="str">
        <f>"20200111155758825"</f>
        <v>20200111155758825</v>
      </c>
      <c r="B262" t="str">
        <f>"1578729478821247"</f>
        <v>1578729478821247</v>
      </c>
      <c r="C262" t="s">
        <v>37</v>
      </c>
      <c r="D262">
        <v>5.853472</v>
      </c>
      <c r="E262">
        <v>0.57787559999999905</v>
      </c>
      <c r="F262" t="s">
        <v>38</v>
      </c>
      <c r="G262">
        <v>-437.74900000000002</v>
      </c>
      <c r="H262">
        <v>0.89874370000000003</v>
      </c>
      <c r="I262">
        <v>367.54590000000002</v>
      </c>
      <c r="J262">
        <v>-438.2491</v>
      </c>
      <c r="K262">
        <v>1.0865849999999999</v>
      </c>
      <c r="L262">
        <v>367.65089999999998</v>
      </c>
      <c r="M262">
        <v>0.99956679999999998</v>
      </c>
      <c r="N262">
        <v>0</v>
      </c>
      <c r="O262">
        <v>6.0226719999999997E-3</v>
      </c>
      <c r="P262">
        <v>0.99858219999999998</v>
      </c>
      <c r="Q262">
        <v>-3.2761430000000001E-2</v>
      </c>
      <c r="R262">
        <v>4.1959120000000003E-2</v>
      </c>
      <c r="S262">
        <v>2.9969480000000002</v>
      </c>
      <c r="T262">
        <v>-0.82359979999999999</v>
      </c>
      <c r="U262">
        <v>-0.45190429999999998</v>
      </c>
      <c r="V262">
        <v>-3.5941510000000003E-2</v>
      </c>
      <c r="W262">
        <v>-3.9754100000000004E-3</v>
      </c>
      <c r="X262">
        <v>0.99934599999999996</v>
      </c>
      <c r="Y262">
        <v>0.14941940000000001</v>
      </c>
      <c r="Z262">
        <v>-2.166736E-2</v>
      </c>
      <c r="AA262">
        <v>0.98853649999999904</v>
      </c>
      <c r="AB262">
        <v>18</v>
      </c>
      <c r="AC262">
        <v>0.50009999999997401</v>
      </c>
      <c r="AD262">
        <v>-0.18784129999999999</v>
      </c>
      <c r="AE262">
        <v>-0.104999999999961</v>
      </c>
      <c r="AF262">
        <v>9.51536988380349E-2</v>
      </c>
      <c r="AG262">
        <v>-0.18784129999999999</v>
      </c>
      <c r="AH262">
        <v>0.44000313086849602</v>
      </c>
      <c r="AI262">
        <v>112.648991703612</v>
      </c>
      <c r="AJ262">
        <v>77.797306159386807</v>
      </c>
      <c r="AK262">
        <v>0.487792307813816</v>
      </c>
    </row>
    <row r="263" spans="1:37" x14ac:dyDescent="0.2">
      <c r="A263" t="str">
        <f>"20200111155758848"</f>
        <v>20200111155758848</v>
      </c>
      <c r="B263" t="str">
        <f>"1578729478841743"</f>
        <v>1578729478841743</v>
      </c>
      <c r="C263" t="s">
        <v>37</v>
      </c>
      <c r="D263">
        <v>5.8910239999999998</v>
      </c>
      <c r="E263">
        <v>0.57768319999999995</v>
      </c>
      <c r="F263" t="s">
        <v>38</v>
      </c>
      <c r="G263">
        <v>-437.43579999999997</v>
      </c>
      <c r="H263">
        <v>0.86176849999999905</v>
      </c>
      <c r="I263">
        <v>367.52820000000003</v>
      </c>
      <c r="J263">
        <v>-438.05509999999998</v>
      </c>
      <c r="K263">
        <v>1.085037</v>
      </c>
      <c r="L263">
        <v>367.65210000000002</v>
      </c>
      <c r="M263">
        <v>0.99956199999999995</v>
      </c>
      <c r="N263">
        <v>0</v>
      </c>
      <c r="O263">
        <v>6.0308430000000001E-3</v>
      </c>
      <c r="P263">
        <v>0.99856690000000004</v>
      </c>
      <c r="Q263">
        <v>-3.3409809999999998E-2</v>
      </c>
      <c r="R263">
        <v>4.1812309999999998E-2</v>
      </c>
      <c r="S263">
        <v>2.9960939999999998</v>
      </c>
      <c r="T263">
        <v>-0.82821230000000001</v>
      </c>
      <c r="U263">
        <v>-0.45150760000000001</v>
      </c>
      <c r="V263">
        <v>-3.5786569999999997E-2</v>
      </c>
      <c r="W263">
        <v>-4.4537980000000001E-3</v>
      </c>
      <c r="X263">
        <v>0.9993495</v>
      </c>
      <c r="Y263">
        <v>0.14928039999999901</v>
      </c>
      <c r="Z263">
        <v>-2.177399E-2</v>
      </c>
      <c r="AA263">
        <v>0.98855509999999902</v>
      </c>
      <c r="AB263">
        <v>18</v>
      </c>
      <c r="AC263">
        <v>0.61930000000000895</v>
      </c>
      <c r="AD263">
        <v>-0.22326850000000001</v>
      </c>
      <c r="AE263">
        <v>-0.123899999999991</v>
      </c>
      <c r="AF263">
        <v>0.113455577948519</v>
      </c>
      <c r="AG263">
        <v>-0.22326850000000001</v>
      </c>
      <c r="AH263">
        <v>0.54982865496979005</v>
      </c>
      <c r="AI263">
        <v>111.687261677452</v>
      </c>
      <c r="AJ263">
        <v>78.340820154145206</v>
      </c>
      <c r="AK263">
        <v>0.60417922927370704</v>
      </c>
    </row>
    <row r="264" spans="1:37" x14ac:dyDescent="0.2">
      <c r="A264" t="str">
        <f>"20200111155758870"</f>
        <v>20200111155758870</v>
      </c>
      <c r="B264" t="str">
        <f>"1578729478861262"</f>
        <v>1578729478861262</v>
      </c>
      <c r="C264" t="s">
        <v>37</v>
      </c>
      <c r="D264">
        <v>5.7973730000000003</v>
      </c>
      <c r="E264">
        <v>0.57762119999999995</v>
      </c>
      <c r="F264" t="s">
        <v>38</v>
      </c>
      <c r="G264">
        <v>-437.26960000000003</v>
      </c>
      <c r="H264">
        <v>0.86714009999999997</v>
      </c>
      <c r="I264">
        <v>367.53359999999998</v>
      </c>
      <c r="J264">
        <v>-437.88099999999997</v>
      </c>
      <c r="K264">
        <v>1.083488</v>
      </c>
      <c r="L264">
        <v>367.65309999999999</v>
      </c>
      <c r="M264">
        <v>0.99956460000000003</v>
      </c>
      <c r="N264">
        <v>0</v>
      </c>
      <c r="O264">
        <v>6.0475049999999999E-3</v>
      </c>
      <c r="P264">
        <v>0.99854789999999904</v>
      </c>
      <c r="Q264">
        <v>-3.3490869999999999E-2</v>
      </c>
      <c r="R264">
        <v>4.2197909999999998E-2</v>
      </c>
      <c r="S264">
        <v>2.9953310000000002</v>
      </c>
      <c r="T264">
        <v>-0.83097639999999995</v>
      </c>
      <c r="U264">
        <v>-0.44998169999999998</v>
      </c>
      <c r="V264">
        <v>-3.6155840000000002E-2</v>
      </c>
      <c r="W264">
        <v>-4.6302749999999997E-3</v>
      </c>
      <c r="X264">
        <v>0.99933539999999998</v>
      </c>
      <c r="Y264">
        <v>0.14881720000000001</v>
      </c>
      <c r="Z264">
        <v>-2.1791930000000001E-2</v>
      </c>
      <c r="AA264">
        <v>0.98862459999999996</v>
      </c>
      <c r="AB264">
        <v>18</v>
      </c>
      <c r="AC264">
        <v>0.61139999999994599</v>
      </c>
      <c r="AD264">
        <v>-0.21634790000000001</v>
      </c>
      <c r="AE264">
        <v>-0.119500000000016</v>
      </c>
      <c r="AF264">
        <v>0.10993755645188701</v>
      </c>
      <c r="AG264">
        <v>-0.21634790000000001</v>
      </c>
      <c r="AH264">
        <v>0.54494198849333797</v>
      </c>
      <c r="AI264">
        <v>111.264509725531</v>
      </c>
      <c r="AJ264">
        <v>78.594142477350303</v>
      </c>
      <c r="AK264">
        <v>0.59653537277859303</v>
      </c>
    </row>
    <row r="265" spans="1:37" x14ac:dyDescent="0.2">
      <c r="A265" t="str">
        <f>"20200111155758893"</f>
        <v>20200111155758893</v>
      </c>
      <c r="B265" t="str">
        <f>"1578729478881291"</f>
        <v>1578729478881291</v>
      </c>
      <c r="C265" t="s">
        <v>37</v>
      </c>
      <c r="D265">
        <v>5.7960690000000001</v>
      </c>
      <c r="E265">
        <v>0.57753469999999996</v>
      </c>
      <c r="F265" t="s">
        <v>38</v>
      </c>
      <c r="G265">
        <v>-437.10520000000002</v>
      </c>
      <c r="H265">
        <v>0.8682204</v>
      </c>
      <c r="I265">
        <v>367.5367</v>
      </c>
      <c r="J265">
        <v>-437.7011</v>
      </c>
      <c r="K265">
        <v>1.0817030000000001</v>
      </c>
      <c r="L265">
        <v>367.65429999999998</v>
      </c>
      <c r="M265">
        <v>0.99957589999999996</v>
      </c>
      <c r="N265">
        <v>0</v>
      </c>
      <c r="O265">
        <v>6.0713009999999899E-3</v>
      </c>
      <c r="P265">
        <v>0.998556</v>
      </c>
      <c r="Q265">
        <v>-3.3077420000000003E-2</v>
      </c>
      <c r="R265">
        <v>4.2331170000000001E-2</v>
      </c>
      <c r="S265">
        <v>2.995422</v>
      </c>
      <c r="T265">
        <v>-0.83124030000000004</v>
      </c>
      <c r="U265">
        <v>-0.44857789999999997</v>
      </c>
      <c r="V265">
        <v>-3.6265440000000003E-2</v>
      </c>
      <c r="W265">
        <v>-4.6193420000000002E-3</v>
      </c>
      <c r="X265">
        <v>0.99933150000000004</v>
      </c>
      <c r="Y265">
        <v>0.1483941</v>
      </c>
      <c r="Z265">
        <v>-2.1747809999999999E-2</v>
      </c>
      <c r="AA265">
        <v>0.98868909999999999</v>
      </c>
      <c r="AB265">
        <v>18</v>
      </c>
      <c r="AC265">
        <v>0.59589999999997101</v>
      </c>
      <c r="AD265">
        <v>-0.21348259999999999</v>
      </c>
      <c r="AE265">
        <v>-0.117599999999981</v>
      </c>
      <c r="AF265">
        <v>0.107889242750489</v>
      </c>
      <c r="AG265">
        <v>-0.21348259999999999</v>
      </c>
      <c r="AH265">
        <v>0.52973470787746002</v>
      </c>
      <c r="AI265">
        <v>111.54867769188201</v>
      </c>
      <c r="AJ265">
        <v>78.488212519857697</v>
      </c>
      <c r="AK265">
        <v>0.58123469436541098</v>
      </c>
    </row>
    <row r="266" spans="1:37" x14ac:dyDescent="0.2">
      <c r="A266" t="str">
        <f>"20200111155758915"</f>
        <v>20200111155758915</v>
      </c>
      <c r="B266" t="str">
        <f>"1578729478911548"</f>
        <v>1578729478911548</v>
      </c>
      <c r="C266" t="s">
        <v>37</v>
      </c>
      <c r="D266">
        <v>5.7407969999999997</v>
      </c>
      <c r="E266">
        <v>0.5775074</v>
      </c>
      <c r="F266" t="s">
        <v>38</v>
      </c>
      <c r="G266">
        <v>-436.9402</v>
      </c>
      <c r="H266">
        <v>0.8709983</v>
      </c>
      <c r="I266">
        <v>367.54020000000003</v>
      </c>
      <c r="J266">
        <v>-437.51280000000003</v>
      </c>
      <c r="K266">
        <v>1.079655</v>
      </c>
      <c r="L266">
        <v>367.65550000000002</v>
      </c>
      <c r="M266">
        <v>0.99959469999999995</v>
      </c>
      <c r="N266">
        <v>0</v>
      </c>
      <c r="O266">
        <v>6.10036E-3</v>
      </c>
      <c r="P266">
        <v>0.99856719999999899</v>
      </c>
      <c r="Q266">
        <v>-3.1853369999999999E-2</v>
      </c>
      <c r="R266">
        <v>4.3000539999999997E-2</v>
      </c>
      <c r="S266">
        <v>2.995819</v>
      </c>
      <c r="T266">
        <v>-0.82965199999999995</v>
      </c>
      <c r="U266">
        <v>-0.4475403</v>
      </c>
      <c r="V266">
        <v>-3.6905489999999999E-2</v>
      </c>
      <c r="W266">
        <v>-4.0651740000000004E-3</v>
      </c>
      <c r="X266">
        <v>0.99931049999999999</v>
      </c>
      <c r="Y266">
        <v>0.14810090000000001</v>
      </c>
      <c r="Z266">
        <v>-2.1673700000000001E-2</v>
      </c>
      <c r="AA266">
        <v>0.98873469999999997</v>
      </c>
      <c r="AB266">
        <v>18</v>
      </c>
      <c r="AC266">
        <v>0.57260000000002198</v>
      </c>
      <c r="AD266">
        <v>-0.2086567</v>
      </c>
      <c r="AE266">
        <v>-0.11529999999998999</v>
      </c>
      <c r="AF266">
        <v>0.105348289643692</v>
      </c>
      <c r="AG266">
        <v>-0.2086567</v>
      </c>
      <c r="AH266">
        <v>0.50716414077252303</v>
      </c>
      <c r="AI266">
        <v>111.94055564217101</v>
      </c>
      <c r="AJ266">
        <v>78.265378098257699</v>
      </c>
      <c r="AK266">
        <v>0.55843651946418504</v>
      </c>
    </row>
    <row r="267" spans="1:37" x14ac:dyDescent="0.2">
      <c r="A267" t="str">
        <f>"20200111155758937"</f>
        <v>20200111155758937</v>
      </c>
      <c r="B267" t="str">
        <f>"1578729478931068"</f>
        <v>1578729478931068</v>
      </c>
      <c r="C267" t="s">
        <v>37</v>
      </c>
      <c r="D267">
        <v>5.7372120000000004</v>
      </c>
      <c r="E267">
        <v>0.57743509999999998</v>
      </c>
      <c r="F267" t="s">
        <v>38</v>
      </c>
      <c r="G267">
        <v>-436.77460000000002</v>
      </c>
      <c r="H267">
        <v>0.87628510000000004</v>
      </c>
      <c r="I267">
        <v>367.54570000000001</v>
      </c>
      <c r="J267">
        <v>-437.33080000000001</v>
      </c>
      <c r="K267">
        <v>1.0775539999999999</v>
      </c>
      <c r="L267">
        <v>367.65660000000003</v>
      </c>
      <c r="M267">
        <v>0.99961529999999998</v>
      </c>
      <c r="N267">
        <v>0</v>
      </c>
      <c r="O267">
        <v>6.1297469999999996E-3</v>
      </c>
      <c r="P267">
        <v>0.99857569999999996</v>
      </c>
      <c r="Q267">
        <v>-3.0555289999999999E-2</v>
      </c>
      <c r="R267">
        <v>4.374082E-2</v>
      </c>
      <c r="S267">
        <v>2.9971919999999899</v>
      </c>
      <c r="T267">
        <v>-0.82581280000000001</v>
      </c>
      <c r="U267">
        <v>-0.44549559999999999</v>
      </c>
      <c r="V267">
        <v>-3.7616509999999999E-2</v>
      </c>
      <c r="W267">
        <v>-3.5230679999999999E-3</v>
      </c>
      <c r="X267">
        <v>0.99928609999999896</v>
      </c>
      <c r="Y267">
        <v>0.1474811</v>
      </c>
      <c r="Z267">
        <v>-2.1493040000000001E-2</v>
      </c>
      <c r="AA267">
        <v>0.98883129999999997</v>
      </c>
      <c r="AB267">
        <v>18</v>
      </c>
      <c r="AC267">
        <v>0.55619999999998904</v>
      </c>
      <c r="AD267">
        <v>-0.2012689</v>
      </c>
      <c r="AE267">
        <v>-0.110900000000015</v>
      </c>
      <c r="AF267">
        <v>0.101522849170124</v>
      </c>
      <c r="AG267">
        <v>-0.2012689</v>
      </c>
      <c r="AH267">
        <v>0.49337445404303798</v>
      </c>
      <c r="AI267">
        <v>111.780256604722</v>
      </c>
      <c r="AJ267">
        <v>78.372409387613303</v>
      </c>
      <c r="AK267">
        <v>0.54243378481902804</v>
      </c>
    </row>
    <row r="268" spans="1:37" x14ac:dyDescent="0.2">
      <c r="A268" t="str">
        <f>"20200111155758961"</f>
        <v>20200111155758961</v>
      </c>
      <c r="B268" t="str">
        <f>"1578729478951563"</f>
        <v>1578729478951563</v>
      </c>
      <c r="C268" t="s">
        <v>37</v>
      </c>
      <c r="D268">
        <v>5.6867700000000001</v>
      </c>
      <c r="E268">
        <v>0.5774281</v>
      </c>
      <c r="F268" t="s">
        <v>38</v>
      </c>
      <c r="G268">
        <v>-436.61009999999999</v>
      </c>
      <c r="H268">
        <v>0.88002559999999996</v>
      </c>
      <c r="I268">
        <v>367.54989999999998</v>
      </c>
      <c r="J268">
        <v>-437.14589999999998</v>
      </c>
      <c r="K268">
        <v>1.075337</v>
      </c>
      <c r="L268">
        <v>367.65780000000001</v>
      </c>
      <c r="M268">
        <v>0.99963749999999996</v>
      </c>
      <c r="N268">
        <v>0</v>
      </c>
      <c r="O268">
        <v>6.161578E-3</v>
      </c>
      <c r="P268">
        <v>0.99861180000000005</v>
      </c>
      <c r="Q268">
        <v>-2.9170189999999999E-2</v>
      </c>
      <c r="R268">
        <v>4.3860139999999999E-2</v>
      </c>
      <c r="S268">
        <v>2.9984739999999999</v>
      </c>
      <c r="T268">
        <v>-0.82190819999999998</v>
      </c>
      <c r="U268">
        <v>-0.4424438</v>
      </c>
      <c r="V268">
        <v>-3.7703769999999998E-2</v>
      </c>
      <c r="W268">
        <v>-2.9786449999999998E-3</v>
      </c>
      <c r="X268">
        <v>0.99928449999999902</v>
      </c>
      <c r="Y268">
        <v>0.14655399999999999</v>
      </c>
      <c r="Z268">
        <v>-2.127213E-2</v>
      </c>
      <c r="AA268">
        <v>0.98897389999999996</v>
      </c>
      <c r="AB268">
        <v>18</v>
      </c>
      <c r="AC268">
        <v>0.53579999999999395</v>
      </c>
      <c r="AD268">
        <v>-0.1953114</v>
      </c>
      <c r="AE268">
        <v>-0.107900000000029</v>
      </c>
      <c r="AF268">
        <v>9.8608343850327906E-2</v>
      </c>
      <c r="AG268">
        <v>-0.1953114</v>
      </c>
      <c r="AH268">
        <v>0.474528316527566</v>
      </c>
      <c r="AI268">
        <v>111.948536698846</v>
      </c>
      <c r="AJ268">
        <v>78.260843437422196</v>
      </c>
      <c r="AK268">
        <v>0.52253925367703302</v>
      </c>
    </row>
    <row r="269" spans="1:37" x14ac:dyDescent="0.2">
      <c r="A269" t="str">
        <f>"20200111155758981"</f>
        <v>20200111155758981</v>
      </c>
      <c r="B269" t="str">
        <f>"1578729478971083"</f>
        <v>1578729478971083</v>
      </c>
      <c r="C269" t="s">
        <v>37</v>
      </c>
      <c r="D269">
        <v>5.6811339999999904</v>
      </c>
      <c r="E269">
        <v>0.5774184</v>
      </c>
      <c r="F269" t="s">
        <v>38</v>
      </c>
      <c r="G269">
        <v>-436.44569999999999</v>
      </c>
      <c r="H269">
        <v>0.88423569999999996</v>
      </c>
      <c r="I269">
        <v>367.55459999999999</v>
      </c>
      <c r="J269">
        <v>-436.976</v>
      </c>
      <c r="K269">
        <v>1.073283</v>
      </c>
      <c r="L269">
        <v>367.65890000000002</v>
      </c>
      <c r="M269">
        <v>0.99965979999999999</v>
      </c>
      <c r="N269">
        <v>0</v>
      </c>
      <c r="O269">
        <v>6.1918240000000003E-3</v>
      </c>
      <c r="P269">
        <v>0.99863199999999996</v>
      </c>
      <c r="Q269">
        <v>-2.8036189999999999E-2</v>
      </c>
      <c r="R269">
        <v>4.4139490000000003E-2</v>
      </c>
      <c r="S269">
        <v>2.9996640000000001</v>
      </c>
      <c r="T269">
        <v>-0.81861090000000003</v>
      </c>
      <c r="U269">
        <v>-0.44186399999999998</v>
      </c>
      <c r="V269">
        <v>-3.7953479999999998E-2</v>
      </c>
      <c r="W269">
        <v>-2.7152140000000001E-3</v>
      </c>
      <c r="X269">
        <v>0.99927579999999905</v>
      </c>
      <c r="Y269">
        <v>0.1463921</v>
      </c>
      <c r="Z269">
        <v>-2.116846E-2</v>
      </c>
      <c r="AA269">
        <v>0.98900010000000005</v>
      </c>
      <c r="AB269">
        <v>18</v>
      </c>
      <c r="AC269">
        <v>0.53030000000001098</v>
      </c>
      <c r="AD269">
        <v>-0.1890473</v>
      </c>
      <c r="AE269">
        <v>-0.104300000000023</v>
      </c>
      <c r="AF269">
        <v>9.58544965010448E-2</v>
      </c>
      <c r="AG269">
        <v>-0.1890473</v>
      </c>
      <c r="AH269">
        <v>0.47190485645800601</v>
      </c>
      <c r="AI269">
        <v>111.43436174112</v>
      </c>
      <c r="AJ269">
        <v>78.518145941303899</v>
      </c>
      <c r="AK269">
        <v>0.51732113786835499</v>
      </c>
    </row>
    <row r="270" spans="1:37" x14ac:dyDescent="0.2">
      <c r="A270" t="str">
        <f>"20200111155759004"</f>
        <v>20200111155759004</v>
      </c>
      <c r="B270" t="str">
        <f>"1578729479001340"</f>
        <v>1578729479001340</v>
      </c>
      <c r="C270" t="s">
        <v>37</v>
      </c>
      <c r="D270">
        <v>5.6743860000000002</v>
      </c>
      <c r="E270">
        <v>0.57748069999999996</v>
      </c>
      <c r="F270" t="s">
        <v>38</v>
      </c>
      <c r="G270">
        <v>-436.28309999999999</v>
      </c>
      <c r="H270">
        <v>0.88495239999999997</v>
      </c>
      <c r="I270">
        <v>367.55650000000003</v>
      </c>
      <c r="J270">
        <v>-436.796999999999</v>
      </c>
      <c r="K270">
        <v>1.0711660000000001</v>
      </c>
      <c r="L270">
        <v>367.66</v>
      </c>
      <c r="M270">
        <v>0.99968449999999998</v>
      </c>
      <c r="N270">
        <v>0</v>
      </c>
      <c r="O270">
        <v>6.2232839999999999E-3</v>
      </c>
      <c r="P270">
        <v>0.99864310000000001</v>
      </c>
      <c r="Q270">
        <v>-2.7130359999999999E-2</v>
      </c>
      <c r="R270">
        <v>4.4451530000000003E-2</v>
      </c>
      <c r="S270">
        <v>3.000702</v>
      </c>
      <c r="T270">
        <v>-0.81568309999999999</v>
      </c>
      <c r="U270">
        <v>-0.44094849999999902</v>
      </c>
      <c r="V270">
        <v>-3.8234120000000003E-2</v>
      </c>
      <c r="W270">
        <v>-2.8143640000000002E-3</v>
      </c>
      <c r="X270">
        <v>0.99926479999999995</v>
      </c>
      <c r="Y270">
        <v>0.14612829999999999</v>
      </c>
      <c r="Z270">
        <v>-2.1062129999999998E-2</v>
      </c>
      <c r="AA270">
        <v>0.98904139999999996</v>
      </c>
      <c r="AB270">
        <v>18</v>
      </c>
      <c r="AC270">
        <v>0.51389999999997804</v>
      </c>
      <c r="AD270">
        <v>-0.18621360000000001</v>
      </c>
      <c r="AE270">
        <v>-0.103499999999996</v>
      </c>
      <c r="AF270">
        <v>9.4742312311692306E-2</v>
      </c>
      <c r="AG270">
        <v>-0.18621360000000001</v>
      </c>
      <c r="AH270">
        <v>0.455739603426144</v>
      </c>
      <c r="AI270">
        <v>111.803561873882</v>
      </c>
      <c r="AJ270">
        <v>78.256225706488195</v>
      </c>
      <c r="AK270">
        <v>0.501348378573368</v>
      </c>
    </row>
    <row r="271" spans="1:37" x14ac:dyDescent="0.2">
      <c r="A271" t="str">
        <f>"20200111155759027"</f>
        <v>20200111155759027</v>
      </c>
      <c r="B271" t="str">
        <f>"1578729479020860"</f>
        <v>1578729479020860</v>
      </c>
      <c r="C271" t="s">
        <v>37</v>
      </c>
      <c r="D271">
        <v>5.6509640000000001</v>
      </c>
      <c r="E271">
        <v>0.57751450000000004</v>
      </c>
      <c r="F271" t="s">
        <v>38</v>
      </c>
      <c r="G271">
        <v>-436.1198</v>
      </c>
      <c r="H271">
        <v>0.88777539999999999</v>
      </c>
      <c r="I271">
        <v>367.56060000000002</v>
      </c>
      <c r="J271">
        <v>-436.61149999999998</v>
      </c>
      <c r="K271">
        <v>1.0690869999999999</v>
      </c>
      <c r="L271">
        <v>367.66129999999998</v>
      </c>
      <c r="M271">
        <v>0.99970979999999998</v>
      </c>
      <c r="N271">
        <v>0</v>
      </c>
      <c r="O271">
        <v>6.2550890000000001E-3</v>
      </c>
      <c r="P271">
        <v>0.99867459999999997</v>
      </c>
      <c r="Q271">
        <v>-2.6032050000000001E-2</v>
      </c>
      <c r="R271">
        <v>4.4402690000000002E-2</v>
      </c>
      <c r="S271">
        <v>3.001617</v>
      </c>
      <c r="T271">
        <v>-0.81278419999999996</v>
      </c>
      <c r="U271">
        <v>-0.44094849999999902</v>
      </c>
      <c r="V271">
        <v>-3.8153119999999999E-2</v>
      </c>
      <c r="W271">
        <v>-2.7822369999999999E-3</v>
      </c>
      <c r="X271">
        <v>0.99926809999999999</v>
      </c>
      <c r="Y271">
        <v>0.14615510000000001</v>
      </c>
      <c r="Z271">
        <v>-2.0995650000000001E-2</v>
      </c>
      <c r="AA271">
        <v>0.98903890000000005</v>
      </c>
      <c r="AB271">
        <v>18</v>
      </c>
      <c r="AC271">
        <v>0.49169999999997999</v>
      </c>
      <c r="AD271">
        <v>-0.18131159999999999</v>
      </c>
      <c r="AE271">
        <v>-0.10069999999996</v>
      </c>
      <c r="AF271">
        <v>9.1795302953633306E-2</v>
      </c>
      <c r="AG271">
        <v>-0.18131159999999999</v>
      </c>
      <c r="AH271">
        <v>0.43437487533943298</v>
      </c>
      <c r="AI271">
        <v>112.214542507628</v>
      </c>
      <c r="AJ271">
        <v>78.067399550948096</v>
      </c>
      <c r="AK271">
        <v>0.47956418367623799</v>
      </c>
    </row>
    <row r="272" spans="1:37" x14ac:dyDescent="0.2">
      <c r="A272" t="str">
        <f>"20200111155759049"</f>
        <v>20200111155759049</v>
      </c>
      <c r="B272" t="str">
        <f>"1578729479041357"</f>
        <v>1578729479041357</v>
      </c>
      <c r="C272" t="s">
        <v>37</v>
      </c>
      <c r="D272">
        <v>5.624994</v>
      </c>
      <c r="E272">
        <v>0.57757689999999995</v>
      </c>
      <c r="F272" t="s">
        <v>38</v>
      </c>
      <c r="G272">
        <v>-435.81079999999997</v>
      </c>
      <c r="H272">
        <v>0.85323890000000002</v>
      </c>
      <c r="I272">
        <v>367.54340000000002</v>
      </c>
      <c r="J272">
        <v>-436.42750000000001</v>
      </c>
      <c r="K272">
        <v>1.0671949999999999</v>
      </c>
      <c r="L272">
        <v>367.66239999999999</v>
      </c>
      <c r="M272">
        <v>0.99973279999999998</v>
      </c>
      <c r="N272">
        <v>0</v>
      </c>
      <c r="O272">
        <v>6.2723719999999896E-3</v>
      </c>
      <c r="P272">
        <v>0.9987222</v>
      </c>
      <c r="Q272">
        <v>-2.440051E-2</v>
      </c>
      <c r="R272">
        <v>4.4257959999999999E-2</v>
      </c>
      <c r="S272">
        <v>3.0025019999999998</v>
      </c>
      <c r="T272">
        <v>-0.80941280000000004</v>
      </c>
      <c r="U272">
        <v>-0.44143679999999902</v>
      </c>
      <c r="V272">
        <v>-3.7991650000000002E-2</v>
      </c>
      <c r="W272">
        <v>-2.1657130000000001E-3</v>
      </c>
      <c r="X272">
        <v>0.99927569999999999</v>
      </c>
      <c r="Y272">
        <v>0.14632790000000001</v>
      </c>
      <c r="Z272">
        <v>-2.0932679999999999E-2</v>
      </c>
      <c r="AA272">
        <v>0.98901459999999997</v>
      </c>
      <c r="AB272">
        <v>18</v>
      </c>
      <c r="AC272">
        <v>0.616700000000037</v>
      </c>
      <c r="AD272">
        <v>-0.21395610000000001</v>
      </c>
      <c r="AE272">
        <v>-0.118999999999971</v>
      </c>
      <c r="AF272">
        <v>0.110091300049502</v>
      </c>
      <c r="AG272">
        <v>-0.21395610000000001</v>
      </c>
      <c r="AH272">
        <v>0.55189670116625</v>
      </c>
      <c r="AI272">
        <v>110.815998509002</v>
      </c>
      <c r="AJ272">
        <v>78.718823503066403</v>
      </c>
      <c r="AK272">
        <v>0.60206916200050398</v>
      </c>
    </row>
    <row r="273" spans="1:37" x14ac:dyDescent="0.2">
      <c r="A273" t="str">
        <f>"20200111155759071"</f>
        <v>20200111155759071</v>
      </c>
      <c r="B273" t="str">
        <f>"1578729479060875"</f>
        <v>1578729479060875</v>
      </c>
      <c r="C273" t="s">
        <v>37</v>
      </c>
      <c r="D273">
        <v>5.6877370000000003</v>
      </c>
      <c r="E273">
        <v>0.5776057</v>
      </c>
      <c r="F273" t="s">
        <v>38</v>
      </c>
      <c r="G273">
        <v>-435.64699999999999</v>
      </c>
      <c r="H273">
        <v>0.85815759999999996</v>
      </c>
      <c r="I273">
        <v>367.546999999999</v>
      </c>
      <c r="J273">
        <v>-436.25029999999998</v>
      </c>
      <c r="K273">
        <v>1.0655330000000001</v>
      </c>
      <c r="L273">
        <v>367.66359999999997</v>
      </c>
      <c r="M273">
        <v>0.99975270000000005</v>
      </c>
      <c r="N273">
        <v>0</v>
      </c>
      <c r="O273">
        <v>6.2986580000000004E-3</v>
      </c>
      <c r="P273">
        <v>0.99872499999999997</v>
      </c>
      <c r="Q273">
        <v>-2.331372E-2</v>
      </c>
      <c r="R273">
        <v>4.4777709999999998E-2</v>
      </c>
      <c r="S273">
        <v>3.003784</v>
      </c>
      <c r="T273">
        <v>-0.80445900000000004</v>
      </c>
      <c r="U273">
        <v>-0.44232179999999999</v>
      </c>
      <c r="V273">
        <v>-3.8484829999999998E-2</v>
      </c>
      <c r="W273">
        <v>-2.0000170000000002E-3</v>
      </c>
      <c r="X273">
        <v>0.99925719999999996</v>
      </c>
      <c r="Y273">
        <v>0.1466354</v>
      </c>
      <c r="Z273">
        <v>-2.0847069999999999E-2</v>
      </c>
      <c r="AA273">
        <v>0.98897089999999999</v>
      </c>
      <c r="AB273">
        <v>18</v>
      </c>
      <c r="AC273">
        <v>0.60329999999998996</v>
      </c>
      <c r="AD273">
        <v>-0.20737539999999999</v>
      </c>
      <c r="AE273">
        <v>-0.11660000000000501</v>
      </c>
      <c r="AF273">
        <v>0.10808744584877</v>
      </c>
      <c r="AG273">
        <v>-0.20737539999999999</v>
      </c>
      <c r="AH273">
        <v>0.540940669709287</v>
      </c>
      <c r="AI273">
        <v>110.602724320166</v>
      </c>
      <c r="AJ273">
        <v>78.700322470519197</v>
      </c>
      <c r="AK273">
        <v>0.58932525876701003</v>
      </c>
    </row>
    <row r="274" spans="1:37" x14ac:dyDescent="0.2">
      <c r="A274" t="str">
        <f>"20200111155759093"</f>
        <v>20200111155759093</v>
      </c>
      <c r="B274" t="str">
        <f>"1578729479081371"</f>
        <v>1578729479081371</v>
      </c>
      <c r="C274" t="s">
        <v>37</v>
      </c>
      <c r="D274">
        <v>5.7945409999999997</v>
      </c>
      <c r="E274">
        <v>0.57716519999999905</v>
      </c>
      <c r="F274" t="s">
        <v>38</v>
      </c>
      <c r="G274">
        <v>-435.48410000000001</v>
      </c>
      <c r="H274">
        <v>0.86129529999999999</v>
      </c>
      <c r="I274">
        <v>367.55110000000002</v>
      </c>
      <c r="J274">
        <v>-436.0788</v>
      </c>
      <c r="K274">
        <v>1.064084</v>
      </c>
      <c r="L274">
        <v>367.66469999999998</v>
      </c>
      <c r="M274">
        <v>0.99977000000000005</v>
      </c>
      <c r="N274">
        <v>0</v>
      </c>
      <c r="O274">
        <v>6.3307429999999998E-3</v>
      </c>
      <c r="P274">
        <v>0.99875340000000001</v>
      </c>
      <c r="Q274">
        <v>-2.1590169999999999E-2</v>
      </c>
      <c r="R274">
        <v>4.5010290000000001E-2</v>
      </c>
      <c r="S274">
        <v>3.0049440000000001</v>
      </c>
      <c r="T274">
        <v>-0.80093919999999996</v>
      </c>
      <c r="U274">
        <v>-0.44155879999999997</v>
      </c>
      <c r="V274">
        <v>-3.8685009999999999E-2</v>
      </c>
      <c r="W274">
        <v>-1.1084580000000001E-3</v>
      </c>
      <c r="X274">
        <v>0.99925079999999999</v>
      </c>
      <c r="Y274">
        <v>0.14642140000000001</v>
      </c>
      <c r="Z274">
        <v>-2.073206E-2</v>
      </c>
      <c r="AA274">
        <v>0.98900499999999902</v>
      </c>
      <c r="AB274">
        <v>18</v>
      </c>
      <c r="AC274">
        <v>0.59469999999998802</v>
      </c>
      <c r="AD274">
        <v>-0.20278869999999999</v>
      </c>
      <c r="AE274">
        <v>-0.113599999999962</v>
      </c>
      <c r="AF274">
        <v>0.105525267207265</v>
      </c>
      <c r="AG274">
        <v>-0.20278869999999999</v>
      </c>
      <c r="AH274">
        <v>0.53405668425151298</v>
      </c>
      <c r="AI274">
        <v>110.430942857273</v>
      </c>
      <c r="AJ274">
        <v>78.822796829696401</v>
      </c>
      <c r="AK274">
        <v>0.580926312763138</v>
      </c>
    </row>
    <row r="275" spans="1:37" x14ac:dyDescent="0.2">
      <c r="A275" t="str">
        <f>"20200111155759116"</f>
        <v>20200111155759116</v>
      </c>
      <c r="B275" t="str">
        <f>"1578729479111628"</f>
        <v>1578729479111628</v>
      </c>
      <c r="C275" t="s">
        <v>37</v>
      </c>
      <c r="D275">
        <v>5.6944710000000001</v>
      </c>
      <c r="E275">
        <v>0.53404529999999995</v>
      </c>
      <c r="F275" t="s">
        <v>38</v>
      </c>
      <c r="G275">
        <v>-435.32119999999998</v>
      </c>
      <c r="H275">
        <v>0.86459059999999899</v>
      </c>
      <c r="I275">
        <v>367.5539</v>
      </c>
      <c r="J275">
        <v>-435.89400000000001</v>
      </c>
      <c r="K275">
        <v>1.0626990000000001</v>
      </c>
      <c r="L275">
        <v>367.66590000000002</v>
      </c>
      <c r="M275">
        <v>0.99978630000000002</v>
      </c>
      <c r="N275">
        <v>0</v>
      </c>
      <c r="O275">
        <v>6.3658909999999898E-3</v>
      </c>
      <c r="P275">
        <v>0.99876880000000001</v>
      </c>
      <c r="Q275">
        <v>-1.978307E-2</v>
      </c>
      <c r="R275">
        <v>4.5493770000000003E-2</v>
      </c>
      <c r="S275">
        <v>3.006348</v>
      </c>
      <c r="T275">
        <v>-0.79166590000000003</v>
      </c>
      <c r="U275">
        <v>-0.43777470000000002</v>
      </c>
      <c r="V275">
        <v>-3.9133870000000001E-2</v>
      </c>
      <c r="W275">
        <v>-1.2508659999999999E-4</v>
      </c>
      <c r="X275">
        <v>0.99923399999999996</v>
      </c>
      <c r="Y275">
        <v>0.14532790000000001</v>
      </c>
      <c r="Z275">
        <v>-2.0360639999999999E-2</v>
      </c>
      <c r="AA275">
        <v>0.989174</v>
      </c>
      <c r="AB275">
        <v>18</v>
      </c>
      <c r="AC275">
        <v>0.57280000000002895</v>
      </c>
      <c r="AD275">
        <v>-0.19810839999999999</v>
      </c>
      <c r="AE275">
        <v>-0.112000000000023</v>
      </c>
      <c r="AF275">
        <v>0.103697423034398</v>
      </c>
      <c r="AG275">
        <v>-0.19810839999999999</v>
      </c>
      <c r="AH275">
        <v>0.51297353985492999</v>
      </c>
      <c r="AI275">
        <v>110.733617603486</v>
      </c>
      <c r="AJ275">
        <v>78.571687748196297</v>
      </c>
      <c r="AK275">
        <v>0.55959087401943297</v>
      </c>
    </row>
    <row r="276" spans="1:37" x14ac:dyDescent="0.2">
      <c r="A276" t="str">
        <f>"20200111155759138"</f>
        <v>20200111155759138</v>
      </c>
      <c r="B276" t="str">
        <f>"1578729479131148"</f>
        <v>1578729479131148</v>
      </c>
      <c r="C276" t="s">
        <v>37</v>
      </c>
      <c r="D276">
        <v>5.9071410000000002</v>
      </c>
      <c r="E276">
        <v>0.52874949999999998</v>
      </c>
      <c r="F276" t="s">
        <v>38</v>
      </c>
      <c r="G276">
        <v>-435.10680000000002</v>
      </c>
      <c r="H276">
        <v>0.9746629</v>
      </c>
      <c r="I276">
        <v>367.63440000000003</v>
      </c>
      <c r="J276">
        <v>-435.71039999999999</v>
      </c>
      <c r="K276">
        <v>1.061496</v>
      </c>
      <c r="L276">
        <v>367.6671</v>
      </c>
      <c r="M276">
        <v>0.99980020000000003</v>
      </c>
      <c r="N276">
        <v>0</v>
      </c>
      <c r="O276">
        <v>6.3966409999999998E-3</v>
      </c>
      <c r="P276">
        <v>0.99878239999999996</v>
      </c>
      <c r="Q276">
        <v>-1.8846849999999998E-2</v>
      </c>
      <c r="R276">
        <v>4.5592189999999998E-2</v>
      </c>
      <c r="S276">
        <v>3.0024410000000001</v>
      </c>
      <c r="T276">
        <v>-0.33605409999999902</v>
      </c>
      <c r="U276">
        <v>-0.11856079999999999</v>
      </c>
      <c r="V276">
        <v>-3.9201529999999998E-2</v>
      </c>
      <c r="W276" s="1">
        <v>7.1865859999999996E-5</v>
      </c>
      <c r="X276">
        <v>0.99923130000000004</v>
      </c>
      <c r="Y276">
        <v>4.5525639999999999E-2</v>
      </c>
      <c r="Z276">
        <v>-3.2524619999999998E-3</v>
      </c>
      <c r="AA276">
        <v>0.99895789999999995</v>
      </c>
      <c r="AB276">
        <v>18</v>
      </c>
      <c r="AC276">
        <v>0.60359999999997105</v>
      </c>
      <c r="AD276">
        <v>-8.6833099999999802E-2</v>
      </c>
      <c r="AE276">
        <v>-3.2699999999976997E-2</v>
      </c>
      <c r="AF276">
        <v>3.58218603716665E-2</v>
      </c>
      <c r="AG276">
        <v>-8.6833099999999802E-2</v>
      </c>
      <c r="AH276">
        <v>0.59117959080611704</v>
      </c>
      <c r="AI276">
        <v>98.340835453233296</v>
      </c>
      <c r="AJ276">
        <v>86.532466549522397</v>
      </c>
      <c r="AK276">
        <v>0.598595440612259</v>
      </c>
    </row>
    <row r="277" spans="1:37" x14ac:dyDescent="0.2">
      <c r="A277" t="str">
        <f>"20200111155759160"</f>
        <v>20200111155759160</v>
      </c>
      <c r="B277" t="str">
        <f>"1578729479151643"</f>
        <v>1578729479151643</v>
      </c>
      <c r="C277" t="s">
        <v>37</v>
      </c>
      <c r="D277">
        <v>5.6372369999999998</v>
      </c>
      <c r="E277">
        <v>0.52507190000000004</v>
      </c>
      <c r="F277" t="s">
        <v>38</v>
      </c>
      <c r="G277">
        <v>-434.93950000000001</v>
      </c>
      <c r="H277">
        <v>0.98637059999999999</v>
      </c>
      <c r="I277">
        <v>367.64670000000001</v>
      </c>
      <c r="J277">
        <v>-435.53609999999998</v>
      </c>
      <c r="K277">
        <v>1.0604990000000001</v>
      </c>
      <c r="L277">
        <v>367.66829999999999</v>
      </c>
      <c r="M277">
        <v>0.99981200000000003</v>
      </c>
      <c r="N277">
        <v>0</v>
      </c>
      <c r="O277">
        <v>6.4207780000000002E-3</v>
      </c>
      <c r="P277">
        <v>0.9987935</v>
      </c>
      <c r="Q277">
        <v>-1.8690470000000001E-2</v>
      </c>
      <c r="R277">
        <v>4.5416949999999998E-2</v>
      </c>
      <c r="S277">
        <v>3.0017399999999999</v>
      </c>
      <c r="T277">
        <v>-0.29277399999999998</v>
      </c>
      <c r="U277">
        <v>-7.8430180000000002E-2</v>
      </c>
      <c r="V277">
        <v>-3.9001889999999997E-2</v>
      </c>
      <c r="W277">
        <v>-4.0291870000000002E-4</v>
      </c>
      <c r="X277">
        <v>0.99923899999999999</v>
      </c>
      <c r="Y277">
        <v>3.2354559999999997E-2</v>
      </c>
      <c r="Z277">
        <v>-2.198621E-3</v>
      </c>
      <c r="AA277">
        <v>0.99947399999999997</v>
      </c>
      <c r="AB277">
        <v>18</v>
      </c>
      <c r="AC277">
        <v>0.59659999999996605</v>
      </c>
      <c r="AD277">
        <v>-7.4128400000000094E-2</v>
      </c>
      <c r="AE277">
        <v>-2.1599999999978001E-2</v>
      </c>
      <c r="AF277">
        <v>2.50446878864754E-2</v>
      </c>
      <c r="AG277">
        <v>-7.4128400000000094E-2</v>
      </c>
      <c r="AH277">
        <v>0.58739244804374702</v>
      </c>
      <c r="AI277">
        <v>97.186192250175594</v>
      </c>
      <c r="AJ277">
        <v>87.558555062834103</v>
      </c>
      <c r="AK277">
        <v>0.59258091776289701</v>
      </c>
    </row>
    <row r="278" spans="1:37" x14ac:dyDescent="0.2">
      <c r="A278" t="str">
        <f>"20200111155759182"</f>
        <v>20200111155759182</v>
      </c>
      <c r="B278" t="str">
        <f>"1578729479171163"</f>
        <v>1578729479171163</v>
      </c>
      <c r="C278" t="s">
        <v>37</v>
      </c>
      <c r="D278">
        <v>5.7764639999999998</v>
      </c>
      <c r="E278">
        <v>0.52210789999999996</v>
      </c>
      <c r="F278" t="s">
        <v>38</v>
      </c>
      <c r="G278">
        <v>-434.77780000000001</v>
      </c>
      <c r="H278">
        <v>0.98688379999999998</v>
      </c>
      <c r="I278">
        <v>367.65550000000002</v>
      </c>
      <c r="J278">
        <v>-435.35750000000002</v>
      </c>
      <c r="K278">
        <v>1.0596019999999999</v>
      </c>
      <c r="L278">
        <v>367.6694</v>
      </c>
      <c r="M278">
        <v>0.99982229999999905</v>
      </c>
      <c r="N278">
        <v>0</v>
      </c>
      <c r="O278">
        <v>6.4444139999999999E-3</v>
      </c>
      <c r="P278">
        <v>0.99880239999999998</v>
      </c>
      <c r="Q278">
        <v>-1.8521960000000001E-2</v>
      </c>
      <c r="R278">
        <v>4.52889E-2</v>
      </c>
      <c r="S278">
        <v>3.0004270000000002</v>
      </c>
      <c r="T278">
        <v>-0.291433</v>
      </c>
      <c r="U278">
        <v>-4.995728E-2</v>
      </c>
      <c r="V278">
        <v>-3.8850349999999999E-2</v>
      </c>
      <c r="W278">
        <v>-8.197619E-4</v>
      </c>
      <c r="X278">
        <v>0.99924469999999999</v>
      </c>
      <c r="Y278">
        <v>2.2953609999999999E-2</v>
      </c>
      <c r="Z278">
        <v>-1.7365939999999999E-3</v>
      </c>
      <c r="AA278">
        <v>0.99973500000000004</v>
      </c>
      <c r="AB278">
        <v>18</v>
      </c>
      <c r="AC278">
        <v>0.57970000000000199</v>
      </c>
      <c r="AD278">
        <v>-7.27181999999999E-2</v>
      </c>
      <c r="AE278">
        <v>-1.3899999999978201E-2</v>
      </c>
      <c r="AF278">
        <v>1.73630654724432E-2</v>
      </c>
      <c r="AG278">
        <v>-7.27181999999999E-2</v>
      </c>
      <c r="AH278">
        <v>0.57062448372560504</v>
      </c>
      <c r="AI278">
        <v>97.259085995879602</v>
      </c>
      <c r="AJ278">
        <v>88.257131370064997</v>
      </c>
      <c r="AK278">
        <v>0.57550127200637402</v>
      </c>
    </row>
    <row r="279" spans="1:37" x14ac:dyDescent="0.2">
      <c r="A279" t="str">
        <f>"20200111155759205"</f>
        <v>20200111155759205</v>
      </c>
      <c r="B279" t="str">
        <f>"1578729479201420"</f>
        <v>1578729479201420</v>
      </c>
      <c r="C279" t="s">
        <v>37</v>
      </c>
      <c r="D279">
        <v>5.6732469999999999</v>
      </c>
      <c r="E279">
        <v>0.51992749999999999</v>
      </c>
      <c r="F279" t="s">
        <v>38</v>
      </c>
      <c r="G279">
        <v>-434.6164</v>
      </c>
      <c r="H279">
        <v>0.98698619999999904</v>
      </c>
      <c r="I279">
        <v>367.66250000000002</v>
      </c>
      <c r="J279">
        <v>-435.17610000000002</v>
      </c>
      <c r="K279">
        <v>1.0588139999999999</v>
      </c>
      <c r="L279">
        <v>367.67059999999998</v>
      </c>
      <c r="M279">
        <v>0.99983159999999904</v>
      </c>
      <c r="N279">
        <v>0</v>
      </c>
      <c r="O279">
        <v>6.4708489999999999E-3</v>
      </c>
      <c r="P279">
        <v>0.998789699999999</v>
      </c>
      <c r="Q279">
        <v>-1.8590079999999998E-2</v>
      </c>
      <c r="R279">
        <v>4.5539959999999997E-2</v>
      </c>
      <c r="S279">
        <v>2.9993289999999999</v>
      </c>
      <c r="T279">
        <v>-0.29407220000000001</v>
      </c>
      <c r="U279">
        <v>-2.6794430000000001E-2</v>
      </c>
      <c r="V279">
        <v>-3.9075230000000002E-2</v>
      </c>
      <c r="W279">
        <v>-1.4279729999999999E-3</v>
      </c>
      <c r="X279">
        <v>0.99923530000000005</v>
      </c>
      <c r="Y279">
        <v>1.5300090000000001E-2</v>
      </c>
      <c r="Z279">
        <v>-1.3812529999999901E-3</v>
      </c>
      <c r="AA279">
        <v>0.99988199999999905</v>
      </c>
      <c r="AB279">
        <v>18</v>
      </c>
      <c r="AC279">
        <v>0.55970000000001996</v>
      </c>
      <c r="AD279">
        <v>-7.1827799999999997E-2</v>
      </c>
      <c r="AE279">
        <v>-8.0999999999562498E-3</v>
      </c>
      <c r="AF279">
        <v>1.15322112906301E-2</v>
      </c>
      <c r="AG279">
        <v>-7.1827799999999997E-2</v>
      </c>
      <c r="AH279">
        <v>0.55057026189811797</v>
      </c>
      <c r="AI279">
        <v>97.431258184263896</v>
      </c>
      <c r="AJ279">
        <v>88.800061543124698</v>
      </c>
      <c r="AK279">
        <v>0.55535559602533402</v>
      </c>
    </row>
    <row r="280" spans="1:37" x14ac:dyDescent="0.2">
      <c r="A280" t="str">
        <f>"20200111155759228"</f>
        <v>20200111155759228</v>
      </c>
      <c r="B280" t="str">
        <f>"1578729479220940"</f>
        <v>1578729479220940</v>
      </c>
      <c r="C280" t="s">
        <v>37</v>
      </c>
      <c r="D280">
        <v>5.7255880000000001</v>
      </c>
      <c r="E280">
        <v>0.51935880000000001</v>
      </c>
      <c r="F280" t="s">
        <v>38</v>
      </c>
      <c r="G280">
        <v>-434.45350000000002</v>
      </c>
      <c r="H280">
        <v>0.98824969999999901</v>
      </c>
      <c r="I280">
        <v>367.66829999999999</v>
      </c>
      <c r="J280">
        <v>-434.99</v>
      </c>
      <c r="K280">
        <v>1.0581209999999901</v>
      </c>
      <c r="L280">
        <v>367.67180000000002</v>
      </c>
      <c r="M280">
        <v>0.99983999999999995</v>
      </c>
      <c r="N280">
        <v>0</v>
      </c>
      <c r="O280">
        <v>6.4997290000000001E-3</v>
      </c>
      <c r="P280">
        <v>0.99876049999999905</v>
      </c>
      <c r="Q280">
        <v>-1.8468760000000001E-2</v>
      </c>
      <c r="R280">
        <v>4.6224510000000003E-2</v>
      </c>
      <c r="S280">
        <v>2.998535</v>
      </c>
      <c r="T280">
        <v>-0.2929908</v>
      </c>
      <c r="U280">
        <v>-8.6059569999999991E-3</v>
      </c>
      <c r="V280">
        <v>-3.9730809999999998E-2</v>
      </c>
      <c r="W280">
        <v>-1.8030100000000001E-3</v>
      </c>
      <c r="X280">
        <v>0.99920880000000001</v>
      </c>
      <c r="Y280">
        <v>9.2953600000000008E-3</v>
      </c>
      <c r="Z280">
        <v>-1.0867239999999901E-3</v>
      </c>
      <c r="AA280">
        <v>0.99995619999999996</v>
      </c>
      <c r="AB280">
        <v>18</v>
      </c>
      <c r="AC280">
        <v>0.53649999999998899</v>
      </c>
      <c r="AD280">
        <v>-6.98712999999999E-2</v>
      </c>
      <c r="AE280">
        <v>-3.5000000000309198E-3</v>
      </c>
      <c r="AF280">
        <v>6.8709794582514196E-3</v>
      </c>
      <c r="AG280">
        <v>-6.98712999999999E-2</v>
      </c>
      <c r="AH280">
        <v>0.52751890565607795</v>
      </c>
      <c r="AI280">
        <v>97.544429499410796</v>
      </c>
      <c r="AJ280">
        <v>89.253759705580507</v>
      </c>
      <c r="AK280">
        <v>0.53217046587253602</v>
      </c>
    </row>
    <row r="281" spans="1:37" x14ac:dyDescent="0.2">
      <c r="A281" t="str">
        <f>"20200111155759250"</f>
        <v>20200111155759250</v>
      </c>
      <c r="B281" t="str">
        <f>"1578729479241435"</f>
        <v>1578729479241435</v>
      </c>
      <c r="C281" t="s">
        <v>37</v>
      </c>
      <c r="D281">
        <v>5.7079139999999997</v>
      </c>
      <c r="E281">
        <v>0.51912709999999995</v>
      </c>
      <c r="F281" t="s">
        <v>38</v>
      </c>
      <c r="G281">
        <v>-434.13830000000002</v>
      </c>
      <c r="H281">
        <v>0.97593319999999995</v>
      </c>
      <c r="I281">
        <v>367.67110000000002</v>
      </c>
      <c r="J281">
        <v>-434.81119999999999</v>
      </c>
      <c r="K281">
        <v>1.0575600000000001</v>
      </c>
      <c r="L281">
        <v>367.67309999999998</v>
      </c>
      <c r="M281">
        <v>0.99984680000000004</v>
      </c>
      <c r="N281">
        <v>0</v>
      </c>
      <c r="O281">
        <v>6.5284760000000001E-3</v>
      </c>
      <c r="P281">
        <v>0.99872240000000001</v>
      </c>
      <c r="Q281">
        <v>-1.798961E-2</v>
      </c>
      <c r="R281">
        <v>4.7225019999999999E-2</v>
      </c>
      <c r="S281">
        <v>2.9984739999999999</v>
      </c>
      <c r="T281">
        <v>-0.28958079999999897</v>
      </c>
      <c r="U281">
        <v>-1.9836429999999898E-3</v>
      </c>
      <c r="V281">
        <v>-4.0703259999999998E-2</v>
      </c>
      <c r="W281">
        <v>-1.7538709999999999E-3</v>
      </c>
      <c r="X281">
        <v>0.9991698</v>
      </c>
      <c r="Y281">
        <v>7.1273329999999996E-3</v>
      </c>
      <c r="Z281">
        <v>-9.7247709999999995E-4</v>
      </c>
      <c r="AA281">
        <v>0.99997409999999998</v>
      </c>
      <c r="AB281">
        <v>18</v>
      </c>
      <c r="AC281">
        <v>0.67289999999996997</v>
      </c>
      <c r="AD281">
        <v>-8.1626799999999999E-2</v>
      </c>
      <c r="AE281">
        <v>-1.9999999999527002E-3</v>
      </c>
      <c r="AF281">
        <v>6.3008315054667004E-3</v>
      </c>
      <c r="AG281">
        <v>-8.1626799999999999E-2</v>
      </c>
      <c r="AH281">
        <v>0.66311485387580305</v>
      </c>
      <c r="AI281">
        <v>97.017266033233994</v>
      </c>
      <c r="AJ281">
        <v>89.4555993030894</v>
      </c>
      <c r="AK281">
        <v>0.66814964221095596</v>
      </c>
    </row>
    <row r="282" spans="1:37" x14ac:dyDescent="0.2">
      <c r="A282" t="str">
        <f>"20200111155759271"</f>
        <v>20200111155759271</v>
      </c>
      <c r="B282" t="str">
        <f>"1578729479260955"</f>
        <v>1578729479260955</v>
      </c>
      <c r="C282" t="s">
        <v>37</v>
      </c>
      <c r="D282">
        <v>5.7262139999999997</v>
      </c>
      <c r="E282">
        <v>0.51896489999999995</v>
      </c>
      <c r="F282" t="s">
        <v>38</v>
      </c>
      <c r="G282">
        <v>-433.97649999999999</v>
      </c>
      <c r="H282">
        <v>0.97748169999999901</v>
      </c>
      <c r="I282">
        <v>367.6737</v>
      </c>
      <c r="J282">
        <v>-434.63889999999998</v>
      </c>
      <c r="K282">
        <v>1.057097</v>
      </c>
      <c r="L282">
        <v>367.67430000000002</v>
      </c>
      <c r="M282">
        <v>0.99985249999999903</v>
      </c>
      <c r="N282">
        <v>0</v>
      </c>
      <c r="O282">
        <v>6.5555269999999898E-3</v>
      </c>
      <c r="P282">
        <v>0.998706599999999</v>
      </c>
      <c r="Q282">
        <v>-1.7741139999999999E-2</v>
      </c>
      <c r="R282">
        <v>4.7647219999999997E-2</v>
      </c>
      <c r="S282">
        <v>2.9984739999999999</v>
      </c>
      <c r="T282">
        <v>-0.28780929999999999</v>
      </c>
      <c r="U282">
        <v>2.8686520000000002E-3</v>
      </c>
      <c r="V282">
        <v>-4.109869E-2</v>
      </c>
      <c r="W282">
        <v>-1.8823799999999999E-3</v>
      </c>
      <c r="X282">
        <v>0.99915330000000002</v>
      </c>
      <c r="Y282">
        <v>5.544055E-3</v>
      </c>
      <c r="Z282">
        <v>-8.9333019999999997E-4</v>
      </c>
      <c r="AA282">
        <v>0.99998419999999899</v>
      </c>
      <c r="AB282">
        <v>18</v>
      </c>
      <c r="AC282">
        <v>0.662399999999991</v>
      </c>
      <c r="AD282">
        <v>-7.96153E-2</v>
      </c>
      <c r="AE282">
        <v>-6.0000000001991696E-4</v>
      </c>
      <c r="AF282">
        <v>4.87252620360582E-3</v>
      </c>
      <c r="AG282">
        <v>-7.96153E-2</v>
      </c>
      <c r="AH282">
        <v>0.65294922779235498</v>
      </c>
      <c r="AI282">
        <v>96.951671645886293</v>
      </c>
      <c r="AJ282">
        <v>89.572447606594494</v>
      </c>
      <c r="AK282">
        <v>0.65780318605212595</v>
      </c>
    </row>
    <row r="283" spans="1:37" x14ac:dyDescent="0.2">
      <c r="A283" t="str">
        <f>"20200111155759295"</f>
        <v>20200111155759295</v>
      </c>
      <c r="B283" t="str">
        <f>"1578729479291211"</f>
        <v>1578729479291211</v>
      </c>
      <c r="C283" t="s">
        <v>37</v>
      </c>
      <c r="D283">
        <v>5.7356069999999999</v>
      </c>
      <c r="E283">
        <v>0.51899280000000003</v>
      </c>
      <c r="F283" t="s">
        <v>38</v>
      </c>
      <c r="G283">
        <v>-433.81490000000002</v>
      </c>
      <c r="H283">
        <v>0.97851119999999903</v>
      </c>
      <c r="I283">
        <v>367.67559999999997</v>
      </c>
      <c r="J283">
        <v>-434.46089999999998</v>
      </c>
      <c r="K283">
        <v>1.056681</v>
      </c>
      <c r="L283">
        <v>367.6755</v>
      </c>
      <c r="M283">
        <v>0.99985800000000002</v>
      </c>
      <c r="N283">
        <v>0</v>
      </c>
      <c r="O283">
        <v>6.5830089999999999E-3</v>
      </c>
      <c r="P283">
        <v>0.99870059999999905</v>
      </c>
      <c r="Q283">
        <v>-1.769567E-2</v>
      </c>
      <c r="R283">
        <v>4.7794540000000003E-2</v>
      </c>
      <c r="S283">
        <v>2.99850499999999</v>
      </c>
      <c r="T283">
        <v>-0.28618009999999999</v>
      </c>
      <c r="U283">
        <v>5.2795409999999996E-3</v>
      </c>
      <c r="V283">
        <v>-4.1218240000000003E-2</v>
      </c>
      <c r="W283">
        <v>-2.1926659999999998E-3</v>
      </c>
      <c r="X283">
        <v>0.99914780000000003</v>
      </c>
      <c r="Y283">
        <v>4.7715079999999998E-3</v>
      </c>
      <c r="Z283">
        <v>-8.5411720000000001E-4</v>
      </c>
      <c r="AA283">
        <v>0.99998829999999905</v>
      </c>
      <c r="AB283">
        <v>18</v>
      </c>
      <c r="AC283">
        <v>0.64599999999995805</v>
      </c>
      <c r="AD283">
        <v>-7.8169799999999998E-2</v>
      </c>
      <c r="AE283" s="1">
        <v>9.9999999974897906E-5</v>
      </c>
      <c r="AF283">
        <v>4.0932033419465901E-3</v>
      </c>
      <c r="AG283">
        <v>-7.8169799999999998E-2</v>
      </c>
      <c r="AH283">
        <v>0.63666434849334297</v>
      </c>
      <c r="AI283">
        <v>96.999612749849803</v>
      </c>
      <c r="AJ283">
        <v>89.631642567124004</v>
      </c>
      <c r="AK283">
        <v>0.64145831087303895</v>
      </c>
    </row>
    <row r="284" spans="1:37" x14ac:dyDescent="0.2">
      <c r="A284" t="str">
        <f>"20200111155759317"</f>
        <v>20200111155759317</v>
      </c>
      <c r="B284" t="str">
        <f>"1578729479311709"</f>
        <v>1578729479311709</v>
      </c>
      <c r="C284" t="s">
        <v>37</v>
      </c>
      <c r="D284">
        <v>6.4508700000000001</v>
      </c>
      <c r="E284">
        <v>0.51895999999999998</v>
      </c>
      <c r="F284" t="s">
        <v>38</v>
      </c>
      <c r="G284">
        <v>-433.65280000000001</v>
      </c>
      <c r="H284">
        <v>0.9809599</v>
      </c>
      <c r="I284">
        <v>367.67649999999998</v>
      </c>
      <c r="J284">
        <v>-434.26889999999997</v>
      </c>
      <c r="K284">
        <v>1.056306</v>
      </c>
      <c r="L284">
        <v>367.67680000000001</v>
      </c>
      <c r="M284">
        <v>0.99986319999999995</v>
      </c>
      <c r="N284">
        <v>0</v>
      </c>
      <c r="O284">
        <v>6.6124869999999898E-3</v>
      </c>
      <c r="P284">
        <v>0.99869419999999898</v>
      </c>
      <c r="Q284">
        <v>-1.7461440000000002E-2</v>
      </c>
      <c r="R284">
        <v>4.8014029999999999E-2</v>
      </c>
      <c r="S284">
        <v>2.9986570000000001</v>
      </c>
      <c r="T284">
        <v>-0.28121299999999999</v>
      </c>
      <c r="U284">
        <v>5.21850599999999E-3</v>
      </c>
      <c r="V284">
        <v>-4.1408340000000002E-2</v>
      </c>
      <c r="W284">
        <v>-2.3103899999999998E-3</v>
      </c>
      <c r="X284">
        <v>0.99913960000000002</v>
      </c>
      <c r="Y284">
        <v>4.8228189999999999E-3</v>
      </c>
      <c r="Z284">
        <v>-8.4447159999999995E-4</v>
      </c>
      <c r="AA284">
        <v>0.99998799999999899</v>
      </c>
      <c r="AB284">
        <v>18</v>
      </c>
      <c r="AC284">
        <v>0.61609999999996001</v>
      </c>
      <c r="AD284">
        <v>-7.5346099999999902E-2</v>
      </c>
      <c r="AE284">
        <v>-3.0000000003838003E-4</v>
      </c>
      <c r="AF284">
        <v>4.3099547585823701E-3</v>
      </c>
      <c r="AG284">
        <v>-7.5346099999999902E-2</v>
      </c>
      <c r="AH284">
        <v>0.60700608548628499</v>
      </c>
      <c r="AI284">
        <v>97.075608594254305</v>
      </c>
      <c r="AJ284">
        <v>89.593186833329597</v>
      </c>
      <c r="AK284">
        <v>0.61167965334202001</v>
      </c>
    </row>
    <row r="285" spans="1:37" x14ac:dyDescent="0.2">
      <c r="A285" t="str">
        <f>"20200111155759331"</f>
        <v>20200111155759331</v>
      </c>
      <c r="B285" t="str">
        <f>"1578729479321467"</f>
        <v>1578729479321467</v>
      </c>
      <c r="C285" t="s">
        <v>37</v>
      </c>
      <c r="D285">
        <v>5.7860940000000003</v>
      </c>
      <c r="E285">
        <v>0.51902459999999995</v>
      </c>
      <c r="F285" t="s">
        <v>38</v>
      </c>
      <c r="G285">
        <v>-433.48899999999998</v>
      </c>
      <c r="H285">
        <v>0.98528110000000002</v>
      </c>
      <c r="I285">
        <v>367.67809999999997</v>
      </c>
      <c r="J285">
        <v>-434.16079999999999</v>
      </c>
      <c r="K285">
        <v>1.056125</v>
      </c>
      <c r="L285">
        <v>367.67750000000001</v>
      </c>
      <c r="M285">
        <v>0.99986589999999997</v>
      </c>
      <c r="N285">
        <v>0</v>
      </c>
      <c r="O285">
        <v>6.6291529999999996E-3</v>
      </c>
      <c r="P285">
        <v>0.99869390000000002</v>
      </c>
      <c r="Q285">
        <v>-1.714274E-2</v>
      </c>
      <c r="R285">
        <v>4.8129730000000003E-2</v>
      </c>
      <c r="S285">
        <v>2.998901</v>
      </c>
      <c r="T285">
        <v>-0.27323509999999901</v>
      </c>
      <c r="U285">
        <v>5.3100589999999998E-3</v>
      </c>
      <c r="V285">
        <v>-4.1507450000000001E-2</v>
      </c>
      <c r="W285">
        <v>-2.1772850000000002E-3</v>
      </c>
      <c r="X285">
        <v>0.99913589999999997</v>
      </c>
      <c r="Y285">
        <v>4.8118670000000001E-3</v>
      </c>
      <c r="Z285">
        <v>-8.2156380000000004E-4</v>
      </c>
      <c r="AA285">
        <v>0.99998809999999905</v>
      </c>
      <c r="AB285">
        <v>18</v>
      </c>
      <c r="AC285">
        <v>0.67179999999996198</v>
      </c>
      <c r="AD285">
        <v>-7.0843899999999904E-2</v>
      </c>
      <c r="AE285">
        <v>5.9999999996307397E-4</v>
      </c>
      <c r="AF285">
        <v>3.81159075000194E-3</v>
      </c>
      <c r="AG285">
        <v>-7.0843899999999904E-2</v>
      </c>
      <c r="AH285">
        <v>0.66440074021135598</v>
      </c>
      <c r="AI285">
        <v>96.086253395987896</v>
      </c>
      <c r="AJ285">
        <v>89.671304298468598</v>
      </c>
      <c r="AK285">
        <v>0.66817791791157899</v>
      </c>
    </row>
    <row r="286" spans="1:37" x14ac:dyDescent="0.2">
      <c r="A286" t="str">
        <f>"20200111155759350"</f>
        <v>20200111155759350</v>
      </c>
      <c r="B286" t="str">
        <f>"1578729479340987"</f>
        <v>1578729479340987</v>
      </c>
      <c r="C286" t="s">
        <v>37</v>
      </c>
      <c r="D286">
        <v>5.7424119999999998</v>
      </c>
      <c r="E286">
        <v>0.51903370000000004</v>
      </c>
      <c r="F286" t="s">
        <v>38</v>
      </c>
      <c r="G286">
        <v>-433.33049999999997</v>
      </c>
      <c r="H286">
        <v>0.98193929999999996</v>
      </c>
      <c r="I286">
        <v>367.67860000000002</v>
      </c>
      <c r="J286">
        <v>-434.00599999999997</v>
      </c>
      <c r="K286">
        <v>1.055893</v>
      </c>
      <c r="L286">
        <v>367.67849999999999</v>
      </c>
      <c r="M286">
        <v>0.99986939999999902</v>
      </c>
      <c r="N286">
        <v>0</v>
      </c>
      <c r="O286">
        <v>6.6528960000000002E-3</v>
      </c>
      <c r="P286">
        <v>0.9987007</v>
      </c>
      <c r="Q286">
        <v>-1.6607009999999998E-2</v>
      </c>
      <c r="R286">
        <v>4.8178239999999997E-2</v>
      </c>
      <c r="S286">
        <v>2.9991150000000002</v>
      </c>
      <c r="T286">
        <v>-0.26810339999999999</v>
      </c>
      <c r="U286">
        <v>4.8522950000000004E-3</v>
      </c>
      <c r="V286">
        <v>-4.1532239999999998E-2</v>
      </c>
      <c r="W286">
        <v>-1.891764E-3</v>
      </c>
      <c r="X286">
        <v>0.99913539999999901</v>
      </c>
      <c r="Y286">
        <v>4.9893100000000003E-3</v>
      </c>
      <c r="Z286">
        <v>-8.1617009999999999E-4</v>
      </c>
      <c r="AA286">
        <v>0.99998719999999996</v>
      </c>
      <c r="AB286">
        <v>18</v>
      </c>
      <c r="AC286">
        <v>0.67549999999999899</v>
      </c>
      <c r="AD286">
        <v>-7.3953699999999997E-2</v>
      </c>
      <c r="AE286">
        <v>1.00000000031741E-4</v>
      </c>
      <c r="AF286">
        <v>4.3424727101040997E-3</v>
      </c>
      <c r="AG286">
        <v>-7.3953699999999997E-2</v>
      </c>
      <c r="AH286">
        <v>0.66748532897434099</v>
      </c>
      <c r="AI286">
        <v>96.322138884926801</v>
      </c>
      <c r="AJ286">
        <v>89.627254955202503</v>
      </c>
      <c r="AK286">
        <v>0.67158370379939403</v>
      </c>
    </row>
    <row r="287" spans="1:37" x14ac:dyDescent="0.2">
      <c r="A287" t="str">
        <f>"20200111155759364"</f>
        <v>20200111155759364</v>
      </c>
      <c r="B287" t="str">
        <f>"1578729479361484"</f>
        <v>1578729479361484</v>
      </c>
      <c r="C287" t="s">
        <v>37</v>
      </c>
      <c r="D287">
        <v>5.7917269999999998</v>
      </c>
      <c r="E287">
        <v>0.51904790000000001</v>
      </c>
      <c r="F287" t="s">
        <v>38</v>
      </c>
      <c r="G287">
        <v>-433.16989999999998</v>
      </c>
      <c r="H287">
        <v>0.98135709999999998</v>
      </c>
      <c r="I287">
        <v>367.67989999999998</v>
      </c>
      <c r="J287">
        <v>-433.89109999999999</v>
      </c>
      <c r="K287">
        <v>1.055733</v>
      </c>
      <c r="L287">
        <v>367.67930000000001</v>
      </c>
      <c r="M287">
        <v>0.99987199999999998</v>
      </c>
      <c r="N287">
        <v>0</v>
      </c>
      <c r="O287">
        <v>6.6704640000000001E-3</v>
      </c>
      <c r="P287">
        <v>0.99870680000000001</v>
      </c>
      <c r="Q287">
        <v>-1.6162719999999998E-2</v>
      </c>
      <c r="R287">
        <v>4.820704E-2</v>
      </c>
      <c r="S287">
        <v>2.9991759999999998</v>
      </c>
      <c r="T287">
        <v>-0.26745829999999998</v>
      </c>
      <c r="U287">
        <v>5.3405759999999997E-3</v>
      </c>
      <c r="V287">
        <v>-4.1543690000000001E-2</v>
      </c>
      <c r="W287">
        <v>-1.6237560000000001E-3</v>
      </c>
      <c r="X287">
        <v>0.99913539999999901</v>
      </c>
      <c r="Y287">
        <v>4.844821E-3</v>
      </c>
      <c r="Z287">
        <v>-8.0932979999999996E-4</v>
      </c>
      <c r="AA287">
        <v>0.99998799999999899</v>
      </c>
      <c r="AB287">
        <v>18</v>
      </c>
      <c r="AC287">
        <v>0.72120000000001006</v>
      </c>
      <c r="AD287">
        <v>-7.4375899999999995E-2</v>
      </c>
      <c r="AE287">
        <v>5.9999999996307397E-4</v>
      </c>
      <c r="AF287">
        <v>4.1669437751765603E-3</v>
      </c>
      <c r="AG287">
        <v>-7.4375899999999995E-2</v>
      </c>
      <c r="AH287">
        <v>0.71359856717032499</v>
      </c>
      <c r="AI287">
        <v>95.950155220627806</v>
      </c>
      <c r="AJ287">
        <v>89.665434336303605</v>
      </c>
      <c r="AK287">
        <v>0.71747616893439503</v>
      </c>
    </row>
    <row r="288" spans="1:37" x14ac:dyDescent="0.2">
      <c r="A288" t="str">
        <f>"20200111155759384"</f>
        <v>20200111155759384</v>
      </c>
      <c r="B288" t="str">
        <f>"1578729479381004"</f>
        <v>1578729479381004</v>
      </c>
      <c r="C288" t="s">
        <v>37</v>
      </c>
      <c r="D288">
        <v>5.7918699999999896</v>
      </c>
      <c r="E288">
        <v>0.51901120000000001</v>
      </c>
      <c r="F288" t="s">
        <v>38</v>
      </c>
      <c r="G288">
        <v>-433.16239999999999</v>
      </c>
      <c r="H288">
        <v>0.99077299999999902</v>
      </c>
      <c r="I288">
        <v>367.68049999999999</v>
      </c>
      <c r="J288">
        <v>-433.73079999999999</v>
      </c>
      <c r="K288">
        <v>1.0555429999999999</v>
      </c>
      <c r="L288">
        <v>367.68040000000002</v>
      </c>
      <c r="M288">
        <v>0.99987519999999996</v>
      </c>
      <c r="N288">
        <v>0</v>
      </c>
      <c r="O288">
        <v>6.694485E-3</v>
      </c>
      <c r="P288">
        <v>0.99871019999999899</v>
      </c>
      <c r="Q288">
        <v>-1.597676E-2</v>
      </c>
      <c r="R288">
        <v>4.8197240000000002E-2</v>
      </c>
      <c r="S288">
        <v>2.9992679999999998</v>
      </c>
      <c r="T288">
        <v>-0.26753899999999903</v>
      </c>
      <c r="U288">
        <v>5.3100589999999998E-3</v>
      </c>
      <c r="V288">
        <v>-4.1509869999999997E-2</v>
      </c>
      <c r="W288">
        <v>-1.667869E-3</v>
      </c>
      <c r="X288">
        <v>0.99913669999999999</v>
      </c>
      <c r="Y288">
        <v>4.8787959999999899E-3</v>
      </c>
      <c r="Z288">
        <v>-8.1319759999999997E-4</v>
      </c>
      <c r="AA288">
        <v>0.99998779999999998</v>
      </c>
      <c r="AB288">
        <v>18</v>
      </c>
      <c r="AC288">
        <v>0.56839999999999602</v>
      </c>
      <c r="AD288">
        <v>-6.4770000000000202E-2</v>
      </c>
      <c r="AE288" s="1">
        <v>9.9999999974897906E-5</v>
      </c>
      <c r="AF288">
        <v>3.658037793807E-3</v>
      </c>
      <c r="AG288">
        <v>-6.4770000000000202E-2</v>
      </c>
      <c r="AH288">
        <v>0.56110205857491702</v>
      </c>
      <c r="AI288">
        <v>96.584572594331803</v>
      </c>
      <c r="AJ288">
        <v>89.626472306772698</v>
      </c>
      <c r="AK288">
        <v>0.56483984834420997</v>
      </c>
    </row>
    <row r="289" spans="1:37" x14ac:dyDescent="0.2">
      <c r="A289" t="str">
        <f>"20200111155759407"</f>
        <v>20200111155759407</v>
      </c>
      <c r="B289" t="str">
        <f>"1578729479401501"</f>
        <v>1578729479401501</v>
      </c>
      <c r="C289" t="s">
        <v>37</v>
      </c>
      <c r="D289">
        <v>5.7717589999999896</v>
      </c>
      <c r="E289">
        <v>0.51899819999999997</v>
      </c>
      <c r="F289" t="s">
        <v>38</v>
      </c>
      <c r="G289">
        <v>-433.00199999999899</v>
      </c>
      <c r="H289">
        <v>0.99036199999999996</v>
      </c>
      <c r="I289">
        <v>367.6814</v>
      </c>
      <c r="J289">
        <v>-433.55439999999999</v>
      </c>
      <c r="K289">
        <v>1.055366</v>
      </c>
      <c r="L289">
        <v>367.68169999999998</v>
      </c>
      <c r="M289">
        <v>0.9998783</v>
      </c>
      <c r="N289">
        <v>0</v>
      </c>
      <c r="O289">
        <v>6.7215490000000003E-3</v>
      </c>
      <c r="P289">
        <v>0.998706599999999</v>
      </c>
      <c r="Q289">
        <v>-1.5955770000000001E-2</v>
      </c>
      <c r="R289">
        <v>4.8274829999999998E-2</v>
      </c>
      <c r="S289">
        <v>2.9993590000000001</v>
      </c>
      <c r="T289">
        <v>-0.26845649999999999</v>
      </c>
      <c r="U289">
        <v>5.4016109999999997E-3</v>
      </c>
      <c r="V289">
        <v>-4.1559869999999999E-2</v>
      </c>
      <c r="W289">
        <v>-1.881789E-3</v>
      </c>
      <c r="X289">
        <v>0.99913419999999897</v>
      </c>
      <c r="Y289">
        <v>4.874967E-3</v>
      </c>
      <c r="Z289">
        <v>-8.1819480000000001E-4</v>
      </c>
      <c r="AA289">
        <v>0.99998779999999998</v>
      </c>
      <c r="AB289">
        <v>18</v>
      </c>
      <c r="AC289">
        <v>0.55240000000003397</v>
      </c>
      <c r="AD289">
        <v>-6.5003999999999895E-2</v>
      </c>
      <c r="AE289">
        <v>-2.9999999998153699E-4</v>
      </c>
      <c r="AF289">
        <v>3.9585290144187203E-3</v>
      </c>
      <c r="AG289">
        <v>-6.5003999999999895E-2</v>
      </c>
      <c r="AH289">
        <v>0.54484079633429106</v>
      </c>
      <c r="AI289">
        <v>96.803520413691302</v>
      </c>
      <c r="AJ289">
        <v>89.583726078471202</v>
      </c>
      <c r="AK289">
        <v>0.54871912971769299</v>
      </c>
    </row>
    <row r="290" spans="1:37" x14ac:dyDescent="0.2">
      <c r="A290" t="str">
        <f>"20200111155759429"</f>
        <v>20200111155759429</v>
      </c>
      <c r="B290" t="str">
        <f>"1578729479421019"</f>
        <v>1578729479421019</v>
      </c>
      <c r="C290" t="s">
        <v>37</v>
      </c>
      <c r="D290">
        <v>6.3036589999999997</v>
      </c>
      <c r="E290">
        <v>0.51882490000000003</v>
      </c>
      <c r="F290" t="s">
        <v>38</v>
      </c>
      <c r="G290">
        <v>-432.68950000000001</v>
      </c>
      <c r="H290">
        <v>0.97759959999999901</v>
      </c>
      <c r="I290">
        <v>367.68299999999999</v>
      </c>
      <c r="J290">
        <v>-433.36799999999999</v>
      </c>
      <c r="K290">
        <v>1.055207</v>
      </c>
      <c r="L290">
        <v>367.68299999999999</v>
      </c>
      <c r="M290">
        <v>0.99988120000000003</v>
      </c>
      <c r="N290">
        <v>0</v>
      </c>
      <c r="O290">
        <v>6.750308E-3</v>
      </c>
      <c r="P290">
        <v>0.99871180000000004</v>
      </c>
      <c r="Q290">
        <v>-1.5782899999999999E-2</v>
      </c>
      <c r="R290">
        <v>4.8226430000000001E-2</v>
      </c>
      <c r="S290">
        <v>2.9993289999999999</v>
      </c>
      <c r="T290">
        <v>-0.26997129999999903</v>
      </c>
      <c r="U290">
        <v>5.859375E-3</v>
      </c>
      <c r="V290">
        <v>-4.1483159999999998E-2</v>
      </c>
      <c r="W290">
        <v>-1.934379E-3</v>
      </c>
      <c r="X290">
        <v>0.99913730000000001</v>
      </c>
      <c r="Y290">
        <v>4.7509309999999999E-3</v>
      </c>
      <c r="Z290">
        <v>-8.1981220000000002E-4</v>
      </c>
      <c r="AA290">
        <v>0.9999884</v>
      </c>
      <c r="AB290">
        <v>18</v>
      </c>
      <c r="AC290">
        <v>0.67850000000004196</v>
      </c>
      <c r="AD290">
        <v>-7.7607400000000104E-2</v>
      </c>
      <c r="AE290">
        <v>0</v>
      </c>
      <c r="AF290">
        <v>4.5213707853429402E-3</v>
      </c>
      <c r="AG290">
        <v>-7.7607400000000104E-2</v>
      </c>
      <c r="AH290">
        <v>0.66972257362088305</v>
      </c>
      <c r="AI290">
        <v>96.609799929599006</v>
      </c>
      <c r="AJ290">
        <v>89.613195764595503</v>
      </c>
      <c r="AK290">
        <v>0.67421930923544304</v>
      </c>
    </row>
    <row r="291" spans="1:37" x14ac:dyDescent="0.2">
      <c r="A291" t="str">
        <f>"20200111155759451"</f>
        <v>20200111155759451</v>
      </c>
      <c r="B291" t="str">
        <f>"1578729479441515"</f>
        <v>1578729479441515</v>
      </c>
      <c r="C291" t="s">
        <v>37</v>
      </c>
      <c r="D291">
        <v>5.8618959999999998</v>
      </c>
      <c r="E291">
        <v>0.51872980000000002</v>
      </c>
      <c r="F291" t="s">
        <v>38</v>
      </c>
      <c r="G291">
        <v>-432.52769999999998</v>
      </c>
      <c r="H291">
        <v>0.97997440000000002</v>
      </c>
      <c r="I291">
        <v>367.68470000000002</v>
      </c>
      <c r="J291">
        <v>-433.1968</v>
      </c>
      <c r="K291">
        <v>1.0550820000000001</v>
      </c>
      <c r="L291">
        <v>367.6841</v>
      </c>
      <c r="M291">
        <v>0.99988349999999904</v>
      </c>
      <c r="N291">
        <v>0</v>
      </c>
      <c r="O291">
        <v>6.7774749999999998E-3</v>
      </c>
      <c r="P291">
        <v>0.99870599999999998</v>
      </c>
      <c r="Q291">
        <v>-1.586193E-2</v>
      </c>
      <c r="R291">
        <v>4.8318439999999997E-2</v>
      </c>
      <c r="S291">
        <v>2.9992679999999998</v>
      </c>
      <c r="T291">
        <v>-0.26881300000000002</v>
      </c>
      <c r="U291">
        <v>7.0495610000000002E-3</v>
      </c>
      <c r="V291">
        <v>-4.1548410000000001E-2</v>
      </c>
      <c r="W291">
        <v>-2.2021089999999998E-3</v>
      </c>
      <c r="X291">
        <v>0.99913410000000002</v>
      </c>
      <c r="Y291">
        <v>4.3829869999999996E-3</v>
      </c>
      <c r="Z291">
        <v>-8.0229770000000001E-4</v>
      </c>
      <c r="AA291">
        <v>0.99998999999999905</v>
      </c>
      <c r="AB291">
        <v>18</v>
      </c>
      <c r="AC291">
        <v>0.66910000000001402</v>
      </c>
      <c r="AD291">
        <v>-7.5107599999999997E-2</v>
      </c>
      <c r="AE291">
        <v>6.0000000001991696E-4</v>
      </c>
      <c r="AF291">
        <v>3.88627771835266E-3</v>
      </c>
      <c r="AG291">
        <v>-7.5107599999999997E-2</v>
      </c>
      <c r="AH291">
        <v>0.66076280122270503</v>
      </c>
      <c r="AI291">
        <v>96.484753194860204</v>
      </c>
      <c r="AJ291">
        <v>89.663018645403099</v>
      </c>
      <c r="AK291">
        <v>0.66502912282992499</v>
      </c>
    </row>
    <row r="292" spans="1:37" x14ac:dyDescent="0.2">
      <c r="A292" t="str">
        <f>"20200111155759472"</f>
        <v>20200111155759472</v>
      </c>
      <c r="B292" t="str">
        <f>"1578729479461035"</f>
        <v>1578729479461035</v>
      </c>
      <c r="C292" t="s">
        <v>37</v>
      </c>
      <c r="D292">
        <v>5.7728359999999999</v>
      </c>
      <c r="E292">
        <v>0.51862180000000002</v>
      </c>
      <c r="F292" t="s">
        <v>39</v>
      </c>
      <c r="G292">
        <v>-362.66090000000003</v>
      </c>
      <c r="H292" s="1">
        <v>-3.4933629999999999E-6</v>
      </c>
      <c r="I292">
        <v>367.57229999999998</v>
      </c>
      <c r="J292">
        <v>-433.02159999999998</v>
      </c>
      <c r="K292">
        <v>1.05498</v>
      </c>
      <c r="L292">
        <v>367.68540000000002</v>
      </c>
      <c r="M292">
        <v>0.99988589999999999</v>
      </c>
      <c r="N292">
        <v>0</v>
      </c>
      <c r="O292">
        <v>6.8047109999999997E-3</v>
      </c>
      <c r="P292">
        <v>0.99869300000000005</v>
      </c>
      <c r="Q292">
        <v>-1.6250690000000002E-2</v>
      </c>
      <c r="R292">
        <v>4.8458960000000002E-2</v>
      </c>
      <c r="S292">
        <v>3.003387</v>
      </c>
      <c r="T292">
        <v>-4.4924970000000002E-2</v>
      </c>
      <c r="U292">
        <v>-4.7607420000000001E-3</v>
      </c>
      <c r="V292">
        <v>-4.1661740000000003E-2</v>
      </c>
      <c r="W292">
        <v>-2.7656109999999999E-3</v>
      </c>
      <c r="X292">
        <v>0.99912789999999996</v>
      </c>
      <c r="Y292">
        <v>8.3887100000000006E-3</v>
      </c>
      <c r="Z292">
        <v>-1.6452470000000001E-4</v>
      </c>
      <c r="AA292">
        <v>0.99996479999999999</v>
      </c>
      <c r="AB292">
        <v>18</v>
      </c>
      <c r="AC292">
        <v>70.360699999999895</v>
      </c>
      <c r="AD292">
        <v>-1.054983493363</v>
      </c>
      <c r="AE292">
        <v>-0.113100000000031</v>
      </c>
      <c r="AF292">
        <v>0.591792112365781</v>
      </c>
      <c r="AG292">
        <v>-1.054983493363</v>
      </c>
      <c r="AH292">
        <v>70.3424867934514</v>
      </c>
      <c r="AI292">
        <v>90.859216588736402</v>
      </c>
      <c r="AJ292">
        <v>89.517981350991107</v>
      </c>
      <c r="AK292">
        <v>70.3528866242346</v>
      </c>
    </row>
    <row r="293" spans="1:37" x14ac:dyDescent="0.2">
      <c r="A293" t="str">
        <f>"20200111155759495"</f>
        <v>20200111155759495</v>
      </c>
      <c r="B293" t="str">
        <f>"1578729479491292"</f>
        <v>1578729479491292</v>
      </c>
      <c r="C293" t="s">
        <v>37</v>
      </c>
      <c r="D293">
        <v>5.8094529999999898</v>
      </c>
      <c r="E293">
        <v>0.5192331</v>
      </c>
      <c r="F293" t="s">
        <v>41</v>
      </c>
      <c r="G293">
        <v>-409.9196</v>
      </c>
      <c r="H293">
        <v>-0.05</v>
      </c>
      <c r="I293">
        <v>367.7</v>
      </c>
      <c r="J293">
        <v>-432.84289999999999</v>
      </c>
      <c r="K293">
        <v>1.0548879999999901</v>
      </c>
      <c r="L293">
        <v>367.6866</v>
      </c>
      <c r="M293">
        <v>0.99988770000000005</v>
      </c>
      <c r="N293">
        <v>0</v>
      </c>
      <c r="O293">
        <v>6.83249099999999E-3</v>
      </c>
      <c r="P293">
        <v>0.99867759999999905</v>
      </c>
      <c r="Q293">
        <v>-1.6116399999999999E-2</v>
      </c>
      <c r="R293">
        <v>4.8821089999999998E-2</v>
      </c>
      <c r="S293">
        <v>3.0015559999999999</v>
      </c>
      <c r="T293">
        <v>-0.1435661</v>
      </c>
      <c r="U293">
        <v>1.8920899999999999E-3</v>
      </c>
      <c r="V293">
        <v>-4.1996190000000003E-2</v>
      </c>
      <c r="W293">
        <v>-2.791052E-3</v>
      </c>
      <c r="X293">
        <v>0.9991139</v>
      </c>
      <c r="Y293">
        <v>6.1878590000000004E-3</v>
      </c>
      <c r="Z293">
        <v>-4.7454179999999998E-4</v>
      </c>
      <c r="AA293">
        <v>0.99998069999999895</v>
      </c>
      <c r="AB293">
        <v>18</v>
      </c>
      <c r="AC293">
        <v>22.923299999999902</v>
      </c>
      <c r="AD293">
        <v>-1.1048879999999901</v>
      </c>
      <c r="AE293">
        <v>1.339999999999E-2</v>
      </c>
      <c r="AF293">
        <v>0.14290549302694899</v>
      </c>
      <c r="AG293">
        <v>-1.1048879999999901</v>
      </c>
      <c r="AH293">
        <v>22.869726002925599</v>
      </c>
      <c r="AI293">
        <v>92.765883680370607</v>
      </c>
      <c r="AJ293">
        <v>89.641981934839293</v>
      </c>
      <c r="AK293">
        <v>22.8968462221628</v>
      </c>
    </row>
    <row r="294" spans="1:37" x14ac:dyDescent="0.2">
      <c r="A294" t="str">
        <f>"20200111155759519"</f>
        <v>20200111155759519</v>
      </c>
      <c r="B294" t="str">
        <f>"1578729479511787"</f>
        <v>1578729479511787</v>
      </c>
      <c r="C294" t="s">
        <v>37</v>
      </c>
      <c r="D294">
        <v>5.8055879999999904</v>
      </c>
      <c r="E294">
        <v>0.51923399999999997</v>
      </c>
      <c r="F294" t="s">
        <v>41</v>
      </c>
      <c r="G294">
        <v>-416.33010000000002</v>
      </c>
      <c r="H294">
        <v>-0.05</v>
      </c>
      <c r="I294">
        <v>367.69499999999999</v>
      </c>
      <c r="J294">
        <v>-432.65039999999999</v>
      </c>
      <c r="K294">
        <v>1.0548029999999999</v>
      </c>
      <c r="L294">
        <v>367.68799999999999</v>
      </c>
      <c r="M294">
        <v>0.99988960000000005</v>
      </c>
      <c r="N294">
        <v>0</v>
      </c>
      <c r="O294">
        <v>6.8612289999999999E-3</v>
      </c>
      <c r="P294">
        <v>0.99867539999999999</v>
      </c>
      <c r="Q294">
        <v>-1.591279E-2</v>
      </c>
      <c r="R294">
        <v>4.8932099999999999E-2</v>
      </c>
      <c r="S294">
        <v>3.000702</v>
      </c>
      <c r="T294">
        <v>-0.20077990000000001</v>
      </c>
      <c r="U294">
        <v>1.525879E-3</v>
      </c>
      <c r="V294">
        <v>-4.2078129999999998E-2</v>
      </c>
      <c r="W294">
        <v>-2.7399809999999998E-3</v>
      </c>
      <c r="X294">
        <v>0.99911059999999996</v>
      </c>
      <c r="Y294">
        <v>6.3238469999999996E-3</v>
      </c>
      <c r="Z294">
        <v>-6.6994679999999901E-4</v>
      </c>
      <c r="AA294">
        <v>0.99997979999999997</v>
      </c>
      <c r="AB294">
        <v>18</v>
      </c>
      <c r="AC294">
        <v>16.3202999999999</v>
      </c>
      <c r="AD294">
        <v>-1.104803</v>
      </c>
      <c r="AE294">
        <v>6.9999999999481597E-3</v>
      </c>
      <c r="AF294">
        <v>0.104508286380485</v>
      </c>
      <c r="AG294">
        <v>-1.104803</v>
      </c>
      <c r="AH294">
        <v>16.245516867721101</v>
      </c>
      <c r="AI294">
        <v>93.890422783337598</v>
      </c>
      <c r="AJ294">
        <v>89.631418243979098</v>
      </c>
      <c r="AK294">
        <v>16.283375876953201</v>
      </c>
    </row>
    <row r="295" spans="1:37" x14ac:dyDescent="0.2">
      <c r="A295" t="str">
        <f>"20200111155759542"</f>
        <v>20200111155759542</v>
      </c>
      <c r="B295" t="str">
        <f>"1578729479531308"</f>
        <v>1578729479531308</v>
      </c>
      <c r="C295" t="s">
        <v>37</v>
      </c>
      <c r="D295">
        <v>5.8838499999999998</v>
      </c>
      <c r="E295">
        <v>0.51864399999999999</v>
      </c>
      <c r="F295" t="s">
        <v>41</v>
      </c>
      <c r="G295">
        <v>-417.68830000000003</v>
      </c>
      <c r="H295">
        <v>-0.05</v>
      </c>
      <c r="I295">
        <v>367.70350000000002</v>
      </c>
      <c r="J295">
        <v>-432.46949999999998</v>
      </c>
      <c r="K295">
        <v>1.054743</v>
      </c>
      <c r="L295">
        <v>367.68920000000003</v>
      </c>
      <c r="M295">
        <v>0.99989099999999997</v>
      </c>
      <c r="N295">
        <v>0</v>
      </c>
      <c r="O295">
        <v>6.8884699999999998E-3</v>
      </c>
      <c r="P295">
        <v>0.99865479999999995</v>
      </c>
      <c r="Q295">
        <v>-1.5994049999999999E-2</v>
      </c>
      <c r="R295">
        <v>4.9322900000000003E-2</v>
      </c>
      <c r="S295">
        <v>3.0003359999999999</v>
      </c>
      <c r="T295">
        <v>-0.22154570000000001</v>
      </c>
      <c r="U295">
        <v>3.112793E-3</v>
      </c>
      <c r="V295">
        <v>-4.2442090000000002E-2</v>
      </c>
      <c r="W295">
        <v>-2.9477990000000001E-3</v>
      </c>
      <c r="X295">
        <v>0.99909459999999894</v>
      </c>
      <c r="Y295">
        <v>5.8170050000000001E-3</v>
      </c>
      <c r="Z295">
        <v>-7.2246769999999999E-4</v>
      </c>
      <c r="AA295">
        <v>0.99998279999999995</v>
      </c>
      <c r="AB295">
        <v>18</v>
      </c>
      <c r="AC295">
        <v>14.781199999999901</v>
      </c>
      <c r="AD295">
        <v>-1.104743</v>
      </c>
      <c r="AE295">
        <v>1.42999999999915E-2</v>
      </c>
      <c r="AF295">
        <v>8.7042652976384305E-2</v>
      </c>
      <c r="AG295">
        <v>-1.104743</v>
      </c>
      <c r="AH295">
        <v>14.698839700621701</v>
      </c>
      <c r="AI295">
        <v>94.298109721938104</v>
      </c>
      <c r="AJ295">
        <v>89.660713467122093</v>
      </c>
      <c r="AK295">
        <v>14.740553655275599</v>
      </c>
    </row>
    <row r="296" spans="1:37" x14ac:dyDescent="0.2">
      <c r="A296" t="str">
        <f>"20200111155759566"</f>
        <v>20200111155759566</v>
      </c>
      <c r="B296" t="str">
        <f>"1578729479561564"</f>
        <v>1578729479561564</v>
      </c>
      <c r="C296" t="s">
        <v>37</v>
      </c>
      <c r="D296">
        <v>6.0729949999999997</v>
      </c>
      <c r="E296">
        <v>0.51850429999999903</v>
      </c>
      <c r="F296" t="s">
        <v>41</v>
      </c>
      <c r="G296">
        <v>-418.05540000000002</v>
      </c>
      <c r="H296">
        <v>-0.05</v>
      </c>
      <c r="I296">
        <v>367.73599999999999</v>
      </c>
      <c r="J296">
        <v>-432.28250000000003</v>
      </c>
      <c r="K296">
        <v>1.0546879999999901</v>
      </c>
      <c r="L296">
        <v>367.69060000000002</v>
      </c>
      <c r="M296">
        <v>0.99989229999999996</v>
      </c>
      <c r="N296">
        <v>0</v>
      </c>
      <c r="O296">
        <v>6.9169380000000001E-3</v>
      </c>
      <c r="P296">
        <v>0.99863829999999998</v>
      </c>
      <c r="Q296">
        <v>-1.5836639999999999E-2</v>
      </c>
      <c r="R296">
        <v>4.9707479999999998E-2</v>
      </c>
      <c r="S296">
        <v>2.9998469999999999</v>
      </c>
      <c r="T296">
        <v>-0.2299175</v>
      </c>
      <c r="U296">
        <v>9.7351069999999998E-3</v>
      </c>
      <c r="V296">
        <v>-4.2797960000000003E-2</v>
      </c>
      <c r="W296">
        <v>-2.9055690000000002E-3</v>
      </c>
      <c r="X296">
        <v>0.99907950000000001</v>
      </c>
      <c r="Y296">
        <v>3.6414099999999999E-3</v>
      </c>
      <c r="Z296">
        <v>-6.6873710000000001E-4</v>
      </c>
      <c r="AA296">
        <v>0.99999309999999997</v>
      </c>
      <c r="AB296">
        <v>18</v>
      </c>
      <c r="AC296">
        <v>14.2271</v>
      </c>
      <c r="AD296">
        <v>-1.1046879999999999</v>
      </c>
      <c r="AE296">
        <v>4.5399999999972303E-2</v>
      </c>
      <c r="AF296">
        <v>5.2699576357404E-2</v>
      </c>
      <c r="AG296">
        <v>-1.1046879999999999</v>
      </c>
      <c r="AH296">
        <v>14.1418132895268</v>
      </c>
      <c r="AI296">
        <v>94.466559717775993</v>
      </c>
      <c r="AJ296">
        <v>89.786487823820593</v>
      </c>
      <c r="AK296">
        <v>14.184991925924001</v>
      </c>
    </row>
    <row r="297" spans="1:37" x14ac:dyDescent="0.2">
      <c r="A297" t="str">
        <f>"20200111155759585"</f>
        <v>20200111155759585</v>
      </c>
      <c r="B297" t="str">
        <f>"1578729479581084"</f>
        <v>1578729479581084</v>
      </c>
      <c r="C297" t="s">
        <v>37</v>
      </c>
      <c r="D297">
        <v>5.8792929999999997</v>
      </c>
      <c r="E297">
        <v>0.51846740000000002</v>
      </c>
      <c r="F297" t="s">
        <v>38</v>
      </c>
      <c r="G297">
        <v>-431.39940000000001</v>
      </c>
      <c r="H297">
        <v>0.9869599</v>
      </c>
      <c r="I297">
        <v>367.69380000000001</v>
      </c>
      <c r="J297">
        <v>-432.1182</v>
      </c>
      <c r="K297">
        <v>1.0546500000000001</v>
      </c>
      <c r="L297">
        <v>367.69170000000003</v>
      </c>
      <c r="M297">
        <v>0.99989340000000004</v>
      </c>
      <c r="N297">
        <v>0</v>
      </c>
      <c r="O297">
        <v>6.9415329999999997E-3</v>
      </c>
      <c r="P297">
        <v>0.99864419999999898</v>
      </c>
      <c r="Q297">
        <v>-1.5633210000000002E-2</v>
      </c>
      <c r="R297">
        <v>4.9656579999999999E-2</v>
      </c>
      <c r="S297">
        <v>2.9997859999999998</v>
      </c>
      <c r="T297">
        <v>-0.23022500000000001</v>
      </c>
      <c r="U297">
        <v>1.177979E-2</v>
      </c>
      <c r="V297">
        <v>-4.2722709999999997E-2</v>
      </c>
      <c r="W297">
        <v>-2.7902740000000001E-3</v>
      </c>
      <c r="X297">
        <v>0.9990831</v>
      </c>
      <c r="Y297">
        <v>2.986107E-3</v>
      </c>
      <c r="Z297">
        <v>-6.4641639999999897E-4</v>
      </c>
      <c r="AA297">
        <v>0.99999539999999998</v>
      </c>
      <c r="AB297">
        <v>18</v>
      </c>
      <c r="AC297">
        <v>0.718799999999987</v>
      </c>
      <c r="AD297">
        <v>-6.7690100000000003E-2</v>
      </c>
      <c r="AE297">
        <v>2.0999999999844398E-3</v>
      </c>
      <c r="AF297">
        <v>2.8646323838972601E-3</v>
      </c>
      <c r="AG297">
        <v>-6.7690100000000003E-2</v>
      </c>
      <c r="AH297">
        <v>0.71247892501420196</v>
      </c>
      <c r="AI297">
        <v>95.427135674912606</v>
      </c>
      <c r="AJ297">
        <v>89.769634644241606</v>
      </c>
      <c r="AK297">
        <v>0.71569293299996894</v>
      </c>
    </row>
    <row r="298" spans="1:37" x14ac:dyDescent="0.2">
      <c r="A298" t="str">
        <f>"20200111155759608"</f>
        <v>20200111155759608</v>
      </c>
      <c r="B298" t="str">
        <f>"1578729479601580"</f>
        <v>1578729479601580</v>
      </c>
      <c r="C298" t="s">
        <v>37</v>
      </c>
      <c r="D298">
        <v>5.8254099999999998</v>
      </c>
      <c r="E298">
        <v>0.51850240000000003</v>
      </c>
      <c r="F298" t="s">
        <v>38</v>
      </c>
      <c r="G298">
        <v>-431.23860000000002</v>
      </c>
      <c r="H298">
        <v>0.98744619999999905</v>
      </c>
      <c r="I298">
        <v>367.69529999999997</v>
      </c>
      <c r="J298">
        <v>-431.93849999999998</v>
      </c>
      <c r="K298">
        <v>1.054613</v>
      </c>
      <c r="L298">
        <v>367.69299999999998</v>
      </c>
      <c r="M298">
        <v>0.99989409999999901</v>
      </c>
      <c r="N298">
        <v>0</v>
      </c>
      <c r="O298">
        <v>6.9697880000000002E-3</v>
      </c>
      <c r="P298">
        <v>0.99866969999999999</v>
      </c>
      <c r="Q298">
        <v>-1.480652E-2</v>
      </c>
      <c r="R298">
        <v>4.9392419999999999E-2</v>
      </c>
      <c r="S298">
        <v>2.999908</v>
      </c>
      <c r="T298">
        <v>-0.2292052</v>
      </c>
      <c r="U298">
        <v>1.208496E-2</v>
      </c>
      <c r="V298">
        <v>-4.2430750000000003E-2</v>
      </c>
      <c r="W298">
        <v>-2.0478779999999999E-3</v>
      </c>
      <c r="X298">
        <v>0.99909729999999997</v>
      </c>
      <c r="Y298">
        <v>2.9131809999999999E-3</v>
      </c>
      <c r="Z298">
        <v>-6.4290829999999997E-4</v>
      </c>
      <c r="AA298">
        <v>0.99999550000000004</v>
      </c>
      <c r="AB298">
        <v>18</v>
      </c>
      <c r="AC298">
        <v>0.699899999999956</v>
      </c>
      <c r="AD298">
        <v>-6.7166799999999999E-2</v>
      </c>
      <c r="AE298">
        <v>2.2999999999342401E-3</v>
      </c>
      <c r="AF298">
        <v>2.5550778240177601E-3</v>
      </c>
      <c r="AG298">
        <v>-6.7166799999999999E-2</v>
      </c>
      <c r="AH298">
        <v>0.69351217877570703</v>
      </c>
      <c r="AI298">
        <v>95.531817807710397</v>
      </c>
      <c r="AJ298">
        <v>89.788908518477598</v>
      </c>
      <c r="AK298">
        <v>0.69676183129901403</v>
      </c>
    </row>
    <row r="299" spans="1:37" x14ac:dyDescent="0.2">
      <c r="A299" t="str">
        <f>"20200111155759630"</f>
        <v>20200111155759630</v>
      </c>
      <c r="B299" t="str">
        <f>"1578729479621100"</f>
        <v>1578729479621100</v>
      </c>
      <c r="C299" t="s">
        <v>37</v>
      </c>
      <c r="D299">
        <v>5.8779219999999999</v>
      </c>
      <c r="E299">
        <v>0.51841709999999996</v>
      </c>
      <c r="F299" t="s">
        <v>38</v>
      </c>
      <c r="G299">
        <v>-431.07830000000001</v>
      </c>
      <c r="H299">
        <v>0.98749129999999996</v>
      </c>
      <c r="I299">
        <v>367.6961</v>
      </c>
      <c r="J299">
        <v>-431.75319999999999</v>
      </c>
      <c r="K299">
        <v>1.054589</v>
      </c>
      <c r="L299">
        <v>367.6943</v>
      </c>
      <c r="M299">
        <v>0.99989499999999998</v>
      </c>
      <c r="N299">
        <v>0</v>
      </c>
      <c r="O299">
        <v>6.9981699999999997E-3</v>
      </c>
      <c r="P299">
        <v>0.99868169999999901</v>
      </c>
      <c r="Q299">
        <v>-1.4625320000000001E-2</v>
      </c>
      <c r="R299">
        <v>4.9206090000000001E-2</v>
      </c>
      <c r="S299">
        <v>2.9999689999999899</v>
      </c>
      <c r="T299">
        <v>-0.2341558</v>
      </c>
      <c r="U299">
        <v>1.135254E-2</v>
      </c>
      <c r="V299">
        <v>-4.2215419999999997E-2</v>
      </c>
      <c r="W299">
        <v>-1.942994E-3</v>
      </c>
      <c r="X299">
        <v>0.99910659999999896</v>
      </c>
      <c r="Y299">
        <v>3.1836159999999998E-3</v>
      </c>
      <c r="Z299">
        <v>-6.6948959999999999E-4</v>
      </c>
      <c r="AA299">
        <v>0.99999470000000001</v>
      </c>
      <c r="AB299">
        <v>18</v>
      </c>
      <c r="AC299">
        <v>0.67489999999997896</v>
      </c>
      <c r="AD299">
        <v>-6.7097699999999899E-2</v>
      </c>
      <c r="AE299">
        <v>1.8000000000029099E-3</v>
      </c>
      <c r="AF299">
        <v>2.8948763087259998E-3</v>
      </c>
      <c r="AG299">
        <v>-6.7097699999999899E-2</v>
      </c>
      <c r="AH299">
        <v>0.66829067452921498</v>
      </c>
      <c r="AI299">
        <v>95.733341928003995</v>
      </c>
      <c r="AJ299">
        <v>89.7518098581929</v>
      </c>
      <c r="AK299">
        <v>0.67165683746750104</v>
      </c>
    </row>
    <row r="300" spans="1:37" x14ac:dyDescent="0.2">
      <c r="A300" t="str">
        <f>"20200111155759652"</f>
        <v>20200111155759652</v>
      </c>
      <c r="B300" t="str">
        <f>"1578729479641595"</f>
        <v>1578729479641595</v>
      </c>
      <c r="C300" t="s">
        <v>37</v>
      </c>
      <c r="D300">
        <v>5.9029499999999997</v>
      </c>
      <c r="E300">
        <v>0.51777229999999996</v>
      </c>
      <c r="F300" t="s">
        <v>38</v>
      </c>
      <c r="G300">
        <v>-430.91759999999999</v>
      </c>
      <c r="H300">
        <v>0.98805529999999997</v>
      </c>
      <c r="I300">
        <v>367.6977</v>
      </c>
      <c r="J300">
        <v>-431.58690000000001</v>
      </c>
      <c r="K300">
        <v>1.0545690000000001</v>
      </c>
      <c r="L300">
        <v>367.69560000000001</v>
      </c>
      <c r="M300">
        <v>0.9998956</v>
      </c>
      <c r="N300">
        <v>0</v>
      </c>
      <c r="O300">
        <v>7.0240609999999998E-3</v>
      </c>
      <c r="P300">
        <v>0.99869589999999997</v>
      </c>
      <c r="Q300">
        <v>-1.4397760000000001E-2</v>
      </c>
      <c r="R300">
        <v>4.8988129999999998E-2</v>
      </c>
      <c r="S300">
        <v>2.9998779999999998</v>
      </c>
      <c r="T300">
        <v>-0.23892179999999999</v>
      </c>
      <c r="U300">
        <v>1.196289E-2</v>
      </c>
      <c r="V300">
        <v>-4.1971990000000001E-2</v>
      </c>
      <c r="W300">
        <v>-1.775642E-3</v>
      </c>
      <c r="X300">
        <v>0.99911719999999904</v>
      </c>
      <c r="Y300">
        <v>3.005144E-3</v>
      </c>
      <c r="Z300">
        <v>-6.780569E-4</v>
      </c>
      <c r="AA300">
        <v>0.99999519999999997</v>
      </c>
      <c r="AB300">
        <v>18</v>
      </c>
      <c r="AC300">
        <v>0.66930000000002099</v>
      </c>
      <c r="AD300">
        <v>-6.6513700000000106E-2</v>
      </c>
      <c r="AE300">
        <v>2.0999999999844398E-3</v>
      </c>
      <c r="AF300">
        <v>2.57618853552153E-3</v>
      </c>
      <c r="AG300">
        <v>-6.6513700000000106E-2</v>
      </c>
      <c r="AH300">
        <v>0.66275296206495504</v>
      </c>
      <c r="AI300">
        <v>95.730955630512497</v>
      </c>
      <c r="AJ300">
        <v>89.777286567761394</v>
      </c>
      <c r="AK300">
        <v>0.66608722984375901</v>
      </c>
    </row>
    <row r="301" spans="1:37" x14ac:dyDescent="0.2">
      <c r="A301" t="str">
        <f>"20200111155759666"</f>
        <v>20200111155759666</v>
      </c>
      <c r="B301" t="str">
        <f>"1578729479661116"</f>
        <v>1578729479661116</v>
      </c>
      <c r="C301" t="s">
        <v>37</v>
      </c>
      <c r="D301">
        <v>5.9080969999999997</v>
      </c>
      <c r="E301">
        <v>0.50125959999999903</v>
      </c>
      <c r="F301" t="s">
        <v>38</v>
      </c>
      <c r="G301">
        <v>-430.75659999999999</v>
      </c>
      <c r="H301">
        <v>0.98881379999999996</v>
      </c>
      <c r="I301">
        <v>367.69970000000001</v>
      </c>
      <c r="J301">
        <v>-431.46780000000001</v>
      </c>
      <c r="K301">
        <v>1.054554</v>
      </c>
      <c r="L301">
        <v>367.69639999999998</v>
      </c>
      <c r="M301">
        <v>0.99989589999999995</v>
      </c>
      <c r="N301">
        <v>0</v>
      </c>
      <c r="O301">
        <v>7.04266599999999E-3</v>
      </c>
      <c r="P301">
        <v>0.99871409999999905</v>
      </c>
      <c r="Q301">
        <v>-1.410574E-2</v>
      </c>
      <c r="R301">
        <v>4.8695769999999999E-2</v>
      </c>
      <c r="S301">
        <v>2.9997859999999998</v>
      </c>
      <c r="T301">
        <v>-0.237794799999999</v>
      </c>
      <c r="U301">
        <v>1.5838620000000001E-2</v>
      </c>
      <c r="V301">
        <v>-4.1660419999999997E-2</v>
      </c>
      <c r="W301">
        <v>-1.5226009999999999E-3</v>
      </c>
      <c r="X301">
        <v>0.99913069999999904</v>
      </c>
      <c r="Y301">
        <v>1.735875E-3</v>
      </c>
      <c r="Z301">
        <v>-6.2612989999999999E-4</v>
      </c>
      <c r="AA301">
        <v>0.99999830000000001</v>
      </c>
      <c r="AB301">
        <v>18</v>
      </c>
      <c r="AC301">
        <v>0.71120000000001904</v>
      </c>
      <c r="AD301">
        <v>-6.5740199999999901E-2</v>
      </c>
      <c r="AE301">
        <v>3.30000000002428E-3</v>
      </c>
      <c r="AF301">
        <v>1.6947429781401799E-3</v>
      </c>
      <c r="AG301">
        <v>-6.5740199999999901E-2</v>
      </c>
      <c r="AH301">
        <v>0.70518043019540499</v>
      </c>
      <c r="AI301">
        <v>95.3259703048695</v>
      </c>
      <c r="AJ301">
        <v>89.862302711610596</v>
      </c>
      <c r="AK301">
        <v>0.70824013242711603</v>
      </c>
    </row>
    <row r="302" spans="1:37" x14ac:dyDescent="0.2">
      <c r="A302" t="str">
        <f>"20200111155759685"</f>
        <v>20200111155759685</v>
      </c>
      <c r="B302" t="str">
        <f>"1578729479681612"</f>
        <v>1578729479681612</v>
      </c>
      <c r="C302" t="s">
        <v>37</v>
      </c>
      <c r="D302">
        <v>5.982475</v>
      </c>
      <c r="E302">
        <v>0.50340969999999996</v>
      </c>
      <c r="F302" t="s">
        <v>41</v>
      </c>
      <c r="G302">
        <v>-407.02420000000001</v>
      </c>
      <c r="H302">
        <v>-0.05</v>
      </c>
      <c r="I302">
        <v>368.84949999999998</v>
      </c>
      <c r="J302">
        <v>-431.31580000000002</v>
      </c>
      <c r="K302">
        <v>1.05454</v>
      </c>
      <c r="L302">
        <v>367.69749999999999</v>
      </c>
      <c r="M302">
        <v>0.99989619999999901</v>
      </c>
      <c r="N302">
        <v>0</v>
      </c>
      <c r="O302">
        <v>7.0656039999999996E-3</v>
      </c>
      <c r="P302">
        <v>0.99872369999999899</v>
      </c>
      <c r="Q302">
        <v>-1.3418799999999899E-2</v>
      </c>
      <c r="R302">
        <v>4.8692319999999997E-2</v>
      </c>
      <c r="S302">
        <v>2.9950559999999999</v>
      </c>
      <c r="T302">
        <v>-0.1353405</v>
      </c>
      <c r="U302">
        <v>0.14129639999999999</v>
      </c>
      <c r="V302">
        <v>-4.1633780000000002E-2</v>
      </c>
      <c r="W302">
        <v>-8.8041390000000001E-4</v>
      </c>
      <c r="X302">
        <v>0.99913259999999904</v>
      </c>
      <c r="Y302">
        <v>-4.0031079999999997E-2</v>
      </c>
      <c r="Z302">
        <v>5.8454839999999997E-4</v>
      </c>
      <c r="AA302">
        <v>0.99919829999999998</v>
      </c>
      <c r="AB302">
        <v>18</v>
      </c>
      <c r="AC302">
        <v>24.291599999999999</v>
      </c>
      <c r="AD302">
        <v>-1.1045400000000001</v>
      </c>
      <c r="AE302">
        <v>1.1519999999999799</v>
      </c>
      <c r="AF302">
        <v>-0.97830475115923299</v>
      </c>
      <c r="AG302">
        <v>-1.1045400000000001</v>
      </c>
      <c r="AH302">
        <v>24.249110636257502</v>
      </c>
      <c r="AI302">
        <v>92.605886637679902</v>
      </c>
      <c r="AJ302">
        <v>92.310284806577599</v>
      </c>
      <c r="AK302">
        <v>24.293959237785799</v>
      </c>
    </row>
    <row r="303" spans="1:37" x14ac:dyDescent="0.2">
      <c r="A303" t="str">
        <f>"20200111155759707"</f>
        <v>20200111155759707</v>
      </c>
      <c r="B303" t="str">
        <f>"1578729479701132"</f>
        <v>1578729479701132</v>
      </c>
      <c r="C303" t="s">
        <v>37</v>
      </c>
      <c r="D303">
        <v>5.9561789999999997</v>
      </c>
      <c r="E303">
        <v>0.50480909999999901</v>
      </c>
      <c r="F303" t="s">
        <v>41</v>
      </c>
      <c r="G303">
        <v>-403.33569999999997</v>
      </c>
      <c r="H303">
        <v>-0.05</v>
      </c>
      <c r="I303">
        <v>368.84989999999999</v>
      </c>
      <c r="J303">
        <v>-431.1345</v>
      </c>
      <c r="K303">
        <v>1.0545249999999999</v>
      </c>
      <c r="L303">
        <v>367.69880000000001</v>
      </c>
      <c r="M303">
        <v>0.99989669999999897</v>
      </c>
      <c r="N303">
        <v>0</v>
      </c>
      <c r="O303">
        <v>7.0927819999999997E-3</v>
      </c>
      <c r="P303">
        <v>0.99872939999999999</v>
      </c>
      <c r="Q303">
        <v>-1.219346E-2</v>
      </c>
      <c r="R303">
        <v>4.8899129999999999E-2</v>
      </c>
      <c r="S303">
        <v>2.99624599999999</v>
      </c>
      <c r="T303">
        <v>-0.1182795</v>
      </c>
      <c r="U303">
        <v>0.1234131</v>
      </c>
      <c r="V303">
        <v>-4.1813879999999998E-2</v>
      </c>
      <c r="W303">
        <v>2.9832509999999998E-4</v>
      </c>
      <c r="X303">
        <v>0.99912540000000005</v>
      </c>
      <c r="Y303">
        <v>-3.4045020000000002E-2</v>
      </c>
      <c r="Z303">
        <v>3.9165640000000002E-4</v>
      </c>
      <c r="AA303">
        <v>0.99942019999999998</v>
      </c>
      <c r="AB303">
        <v>18</v>
      </c>
      <c r="AC303">
        <v>27.7988</v>
      </c>
      <c r="AD303">
        <v>-1.104525</v>
      </c>
      <c r="AE303">
        <v>1.15109999999998</v>
      </c>
      <c r="AF303">
        <v>-0.95238385073920395</v>
      </c>
      <c r="AG303">
        <v>-1.104525</v>
      </c>
      <c r="AH303">
        <v>27.762512181547699</v>
      </c>
      <c r="AI303">
        <v>92.276959562372994</v>
      </c>
      <c r="AJ303">
        <v>91.964742406494494</v>
      </c>
      <c r="AK303">
        <v>27.800793030152199</v>
      </c>
    </row>
    <row r="304" spans="1:37" x14ac:dyDescent="0.2">
      <c r="A304" t="str">
        <f>"20200111155759732"</f>
        <v>20200111155759732</v>
      </c>
      <c r="B304" t="str">
        <f>"1578729479721627"</f>
        <v>1578729479721627</v>
      </c>
      <c r="C304" t="s">
        <v>37</v>
      </c>
      <c r="D304">
        <v>5.979444</v>
      </c>
      <c r="E304">
        <v>0.50528629999999997</v>
      </c>
      <c r="F304" t="s">
        <v>41</v>
      </c>
      <c r="G304">
        <v>-405.8109</v>
      </c>
      <c r="H304">
        <v>-0.05</v>
      </c>
      <c r="I304">
        <v>368.65789999999998</v>
      </c>
      <c r="J304">
        <v>-430.94779999999997</v>
      </c>
      <c r="K304">
        <v>1.0545180000000001</v>
      </c>
      <c r="L304">
        <v>367.7002</v>
      </c>
      <c r="M304">
        <v>0.99989709999999998</v>
      </c>
      <c r="N304">
        <v>0</v>
      </c>
      <c r="O304">
        <v>7.1207639999999999E-3</v>
      </c>
      <c r="P304">
        <v>0.99871149999999997</v>
      </c>
      <c r="Q304">
        <v>-1.137204E-2</v>
      </c>
      <c r="R304">
        <v>4.9460789999999998E-2</v>
      </c>
      <c r="S304">
        <v>2.9966740000000001</v>
      </c>
      <c r="T304">
        <v>-0.1307044</v>
      </c>
      <c r="U304">
        <v>0.113494899999999</v>
      </c>
      <c r="V304">
        <v>-4.2347450000000002E-2</v>
      </c>
      <c r="W304">
        <v>1.0774770000000001E-3</v>
      </c>
      <c r="X304">
        <v>0.99910239999999995</v>
      </c>
      <c r="Y304">
        <v>-3.0706919999999999E-2</v>
      </c>
      <c r="Z304">
        <v>3.587706E-4</v>
      </c>
      <c r="AA304">
        <v>0.99952830000000004</v>
      </c>
      <c r="AB304">
        <v>18</v>
      </c>
      <c r="AC304">
        <v>25.136899999999901</v>
      </c>
      <c r="AD304">
        <v>-1.1045180000000001</v>
      </c>
      <c r="AE304">
        <v>0.95769999999998801</v>
      </c>
      <c r="AF304">
        <v>-0.777169570125957</v>
      </c>
      <c r="AG304">
        <v>-1.1045180000000001</v>
      </c>
      <c r="AH304">
        <v>25.094701756509799</v>
      </c>
      <c r="AI304">
        <v>92.518983276628006</v>
      </c>
      <c r="AJ304">
        <v>91.773852865894696</v>
      </c>
      <c r="AK304">
        <v>25.1310168676325</v>
      </c>
    </row>
    <row r="305" spans="1:37" x14ac:dyDescent="0.2">
      <c r="A305" t="str">
        <f>"20200111155759752"</f>
        <v>20200111155759752</v>
      </c>
      <c r="B305" t="str">
        <f>"1578729479741147"</f>
        <v>1578729479741147</v>
      </c>
      <c r="C305" t="s">
        <v>37</v>
      </c>
      <c r="D305">
        <v>6.3231609999999998</v>
      </c>
      <c r="E305">
        <v>0.4918825</v>
      </c>
      <c r="F305" t="s">
        <v>41</v>
      </c>
      <c r="G305">
        <v>-408.32859999999999</v>
      </c>
      <c r="H305">
        <v>-0.05</v>
      </c>
      <c r="I305">
        <v>368.54759999999999</v>
      </c>
      <c r="J305">
        <v>-430.77749999999997</v>
      </c>
      <c r="K305">
        <v>1.0545059999999999</v>
      </c>
      <c r="L305">
        <v>367.70139999999998</v>
      </c>
      <c r="M305">
        <v>0.99989729999999999</v>
      </c>
      <c r="N305">
        <v>0</v>
      </c>
      <c r="O305">
        <v>7.146838E-3</v>
      </c>
      <c r="P305">
        <v>0.99871119999999902</v>
      </c>
      <c r="Q305">
        <v>-1.11317E-2</v>
      </c>
      <c r="R305">
        <v>4.9520960000000003E-2</v>
      </c>
      <c r="S305">
        <v>2.9966430000000002</v>
      </c>
      <c r="T305">
        <v>-0.14632919999999999</v>
      </c>
      <c r="U305">
        <v>0.11227419999999901</v>
      </c>
      <c r="V305">
        <v>-4.2381729999999999E-2</v>
      </c>
      <c r="W305">
        <v>1.2844239999999999E-3</v>
      </c>
      <c r="X305">
        <v>0.99910069999999995</v>
      </c>
      <c r="Y305">
        <v>-3.0269540000000001E-2</v>
      </c>
      <c r="Z305">
        <v>3.8967709999999998E-4</v>
      </c>
      <c r="AA305">
        <v>0.99954169999999998</v>
      </c>
      <c r="AB305">
        <v>18</v>
      </c>
      <c r="AC305">
        <v>22.448899999999899</v>
      </c>
      <c r="AD305">
        <v>-1.104506</v>
      </c>
      <c r="AE305">
        <v>0.84620000000001006</v>
      </c>
      <c r="AF305">
        <v>-0.68407374672200505</v>
      </c>
      <c r="AG305">
        <v>-1.104506</v>
      </c>
      <c r="AH305">
        <v>22.400226787583101</v>
      </c>
      <c r="AI305">
        <v>92.821529617541202</v>
      </c>
      <c r="AJ305">
        <v>91.749194832493899</v>
      </c>
      <c r="AK305">
        <v>22.437870900113101</v>
      </c>
    </row>
    <row r="306" spans="1:37" x14ac:dyDescent="0.2">
      <c r="A306" t="str">
        <f>"20200111155759775"</f>
        <v>20200111155759775</v>
      </c>
      <c r="B306" t="str">
        <f>"1578729479771403"</f>
        <v>1578729479771403</v>
      </c>
      <c r="C306" t="s">
        <v>37</v>
      </c>
      <c r="D306">
        <v>6.1882070000000002</v>
      </c>
      <c r="E306">
        <v>0.49912329999999999</v>
      </c>
      <c r="F306" t="s">
        <v>42</v>
      </c>
      <c r="G306">
        <v>-158.78319999999999</v>
      </c>
      <c r="H306">
        <v>0.3555508</v>
      </c>
      <c r="I306">
        <v>386.96010000000001</v>
      </c>
      <c r="J306">
        <v>-430.60180000000003</v>
      </c>
      <c r="K306">
        <v>1.0545</v>
      </c>
      <c r="L306">
        <v>367.70269999999999</v>
      </c>
      <c r="M306">
        <v>0.99989740000000005</v>
      </c>
      <c r="N306">
        <v>0</v>
      </c>
      <c r="O306">
        <v>7.17426E-3</v>
      </c>
      <c r="P306">
        <v>0.99870020000000004</v>
      </c>
      <c r="Q306">
        <v>-1.1288299999999999E-2</v>
      </c>
      <c r="R306">
        <v>4.9706720000000003E-2</v>
      </c>
      <c r="S306">
        <v>2.993347</v>
      </c>
      <c r="T306">
        <v>-7.6911449999999999E-3</v>
      </c>
      <c r="U306">
        <v>0.21194459999999901</v>
      </c>
      <c r="V306">
        <v>-4.2540380000000003E-2</v>
      </c>
      <c r="W306">
        <v>1.097981E-3</v>
      </c>
      <c r="X306">
        <v>0.99909409999999899</v>
      </c>
      <c r="Y306">
        <v>-6.3469490000000003E-2</v>
      </c>
      <c r="Z306" s="1">
        <v>6.3026899999999998E-5</v>
      </c>
      <c r="AA306">
        <v>0.99798379999999998</v>
      </c>
      <c r="AB306">
        <v>18</v>
      </c>
      <c r="AC306">
        <v>271.8186</v>
      </c>
      <c r="AD306">
        <v>-0.69894919999999905</v>
      </c>
      <c r="AE306">
        <v>19.257400000000001</v>
      </c>
      <c r="AF306">
        <v>-17.306543258310501</v>
      </c>
      <c r="AG306">
        <v>-0.69894919999999905</v>
      </c>
      <c r="AH306">
        <v>271.94798265631903</v>
      </c>
      <c r="AI306">
        <v>90.146961573263894</v>
      </c>
      <c r="AJ306">
        <v>93.641345267617993</v>
      </c>
      <c r="AK306">
        <v>272.49900961357201</v>
      </c>
    </row>
    <row r="307" spans="1:37" x14ac:dyDescent="0.2">
      <c r="A307" t="str">
        <f>"20200111155759789"</f>
        <v>20200111155759789</v>
      </c>
      <c r="B307" t="str">
        <f>"1578729479782140"</f>
        <v>1578729479782140</v>
      </c>
      <c r="C307" t="s">
        <v>37</v>
      </c>
      <c r="D307">
        <v>5.8635250000000001</v>
      </c>
      <c r="E307">
        <v>0.50000749999999905</v>
      </c>
      <c r="F307" t="s">
        <v>39</v>
      </c>
      <c r="G307">
        <v>-399.1157</v>
      </c>
      <c r="H307" s="1">
        <v>-4.0318440000000001E-7</v>
      </c>
      <c r="I307">
        <v>369.38229999999999</v>
      </c>
      <c r="J307">
        <v>-430.48020000000002</v>
      </c>
      <c r="K307">
        <v>1.054494</v>
      </c>
      <c r="L307">
        <v>367.70359999999999</v>
      </c>
      <c r="M307">
        <v>0.99989749999999999</v>
      </c>
      <c r="N307">
        <v>0</v>
      </c>
      <c r="O307">
        <v>7.1929680000000001E-3</v>
      </c>
      <c r="P307">
        <v>0.99868159999999895</v>
      </c>
      <c r="Q307">
        <v>-1.139745E-2</v>
      </c>
      <c r="R307">
        <v>5.0052680000000002E-2</v>
      </c>
      <c r="S307">
        <v>2.9947810000000001</v>
      </c>
      <c r="T307">
        <v>-0.1002979</v>
      </c>
      <c r="U307">
        <v>0.1597595</v>
      </c>
      <c r="V307">
        <v>-4.2867679999999998E-2</v>
      </c>
      <c r="W307">
        <v>9.7018850000000004E-4</v>
      </c>
      <c r="X307">
        <v>0.99908030000000003</v>
      </c>
      <c r="Y307">
        <v>-4.6063809999999997E-2</v>
      </c>
      <c r="Z307">
        <v>5.2992960000000004E-4</v>
      </c>
      <c r="AA307">
        <v>0.9989384</v>
      </c>
      <c r="AB307">
        <v>18</v>
      </c>
      <c r="AC307">
        <v>31.3645</v>
      </c>
      <c r="AD307">
        <v>-1.0544944031843999</v>
      </c>
      <c r="AE307">
        <v>1.6786999999999901</v>
      </c>
      <c r="AF307">
        <v>-1.4513995330476299</v>
      </c>
      <c r="AG307">
        <v>-1.0544944031843999</v>
      </c>
      <c r="AH307">
        <v>31.340439861724601</v>
      </c>
      <c r="AI307">
        <v>91.925010730930495</v>
      </c>
      <c r="AJ307">
        <v>92.651516518054393</v>
      </c>
      <c r="AK307">
        <v>31.391745567541399</v>
      </c>
    </row>
    <row r="308" spans="1:37" x14ac:dyDescent="0.2">
      <c r="A308" t="str">
        <f>"20200111155759809"</f>
        <v>20200111155759809</v>
      </c>
      <c r="B308" t="str">
        <f>"1578729479801661"</f>
        <v>1578729479801661</v>
      </c>
      <c r="C308" t="s">
        <v>37</v>
      </c>
      <c r="D308">
        <v>6.1044859999999996</v>
      </c>
      <c r="E308">
        <v>0.50207959999999996</v>
      </c>
      <c r="F308" t="s">
        <v>39</v>
      </c>
      <c r="G308">
        <v>-398.80309999999997</v>
      </c>
      <c r="H308" s="1">
        <v>-5.4679190000000005E-7</v>
      </c>
      <c r="I308">
        <v>369.32859999999999</v>
      </c>
      <c r="J308">
        <v>-430.32810000000001</v>
      </c>
      <c r="K308">
        <v>1.054484</v>
      </c>
      <c r="L308">
        <v>367.7047</v>
      </c>
      <c r="M308">
        <v>0.99989760000000005</v>
      </c>
      <c r="N308">
        <v>0</v>
      </c>
      <c r="O308">
        <v>7.2168099999999997E-3</v>
      </c>
      <c r="P308">
        <v>0.998660199999999</v>
      </c>
      <c r="Q308">
        <v>-1.1580989999999999E-2</v>
      </c>
      <c r="R308">
        <v>5.043562E-2</v>
      </c>
      <c r="S308">
        <v>2.9951479999999999</v>
      </c>
      <c r="T308">
        <v>-9.9704979999999999E-2</v>
      </c>
      <c r="U308">
        <v>0.15365599999999999</v>
      </c>
      <c r="V308">
        <v>-4.3226889999999997E-2</v>
      </c>
      <c r="W308">
        <v>7.6657940000000001E-4</v>
      </c>
      <c r="X308">
        <v>0.99906499999999998</v>
      </c>
      <c r="Y308">
        <v>-4.4004729999999999E-2</v>
      </c>
      <c r="Z308">
        <v>4.9172910000000003E-4</v>
      </c>
      <c r="AA308">
        <v>0.99903120000000001</v>
      </c>
      <c r="AB308">
        <v>18</v>
      </c>
      <c r="AC308">
        <v>31.524999999999999</v>
      </c>
      <c r="AD308">
        <v>-1.0544845467919</v>
      </c>
      <c r="AE308">
        <v>1.6238999999999899</v>
      </c>
      <c r="AF308">
        <v>-1.39477398904931</v>
      </c>
      <c r="AG308">
        <v>-1.0544845467919</v>
      </c>
      <c r="AH308">
        <v>31.500747979426698</v>
      </c>
      <c r="AI308">
        <v>91.915379624608804</v>
      </c>
      <c r="AJ308">
        <v>92.535257265016796</v>
      </c>
      <c r="AK308">
        <v>31.549238586744199</v>
      </c>
    </row>
    <row r="309" spans="1:37" x14ac:dyDescent="0.2">
      <c r="A309" t="str">
        <f>"20200111155759830"</f>
        <v>20200111155759830</v>
      </c>
      <c r="B309" t="str">
        <f>"1578729479821179"</f>
        <v>1578729479821179</v>
      </c>
      <c r="C309" t="s">
        <v>37</v>
      </c>
      <c r="D309">
        <v>6.107869</v>
      </c>
      <c r="E309">
        <v>0.50248609999999905</v>
      </c>
      <c r="F309" t="s">
        <v>41</v>
      </c>
      <c r="G309">
        <v>-400.95460000000003</v>
      </c>
      <c r="H309">
        <v>-0.05</v>
      </c>
      <c r="I309">
        <v>369.06920000000002</v>
      </c>
      <c r="J309">
        <v>-430.1567</v>
      </c>
      <c r="K309">
        <v>1.054476</v>
      </c>
      <c r="L309">
        <v>367.70599999999899</v>
      </c>
      <c r="M309">
        <v>0.999897699999999</v>
      </c>
      <c r="N309">
        <v>0</v>
      </c>
      <c r="O309">
        <v>7.24261E-3</v>
      </c>
      <c r="P309">
        <v>0.99866440000000001</v>
      </c>
      <c r="Q309">
        <v>-1.140536E-2</v>
      </c>
      <c r="R309">
        <v>5.0394590000000003E-2</v>
      </c>
      <c r="S309">
        <v>2.9956969999999998</v>
      </c>
      <c r="T309">
        <v>-0.1126422</v>
      </c>
      <c r="U309">
        <v>0.13916020000000001</v>
      </c>
      <c r="V309">
        <v>-4.3160190000000001E-2</v>
      </c>
      <c r="W309">
        <v>9.2488929999999905E-4</v>
      </c>
      <c r="X309">
        <v>0.9990677</v>
      </c>
      <c r="Y309">
        <v>-3.914426E-2</v>
      </c>
      <c r="Z309">
        <v>4.6318539999999999E-4</v>
      </c>
      <c r="AA309">
        <v>0.999233499999999</v>
      </c>
      <c r="AB309">
        <v>18</v>
      </c>
      <c r="AC309">
        <v>29.202099999999898</v>
      </c>
      <c r="AD309">
        <v>-1.104476</v>
      </c>
      <c r="AE309">
        <v>1.3632000000000599</v>
      </c>
      <c r="AF309">
        <v>-1.1500072338998399</v>
      </c>
      <c r="AG309">
        <v>-1.104476</v>
      </c>
      <c r="AH309">
        <v>29.169571838722</v>
      </c>
      <c r="AI309">
        <v>92.166728572648097</v>
      </c>
      <c r="AJ309">
        <v>92.2577106956508</v>
      </c>
      <c r="AK309">
        <v>29.2131187162028</v>
      </c>
    </row>
    <row r="310" spans="1:37" x14ac:dyDescent="0.2">
      <c r="A310" t="str">
        <f>"20200111155759853"</f>
        <v>20200111155759853</v>
      </c>
      <c r="B310" t="str">
        <f>"1578729479841675"</f>
        <v>1578729479841675</v>
      </c>
      <c r="C310" t="s">
        <v>37</v>
      </c>
      <c r="D310">
        <v>5.972499</v>
      </c>
      <c r="E310">
        <v>0.50333539999999999</v>
      </c>
      <c r="F310" t="s">
        <v>41</v>
      </c>
      <c r="G310">
        <v>-404.140999999999</v>
      </c>
      <c r="H310">
        <v>-0.05</v>
      </c>
      <c r="I310">
        <v>368.890999999999</v>
      </c>
      <c r="J310">
        <v>-429.97789999999998</v>
      </c>
      <c r="K310">
        <v>1.054468</v>
      </c>
      <c r="L310">
        <v>367.70729999999998</v>
      </c>
      <c r="M310">
        <v>0.99989749999999999</v>
      </c>
      <c r="N310">
        <v>0</v>
      </c>
      <c r="O310">
        <v>7.2697480000000004E-3</v>
      </c>
      <c r="P310">
        <v>0.99866109999999897</v>
      </c>
      <c r="Q310">
        <v>-1.160452E-2</v>
      </c>
      <c r="R310">
        <v>5.041168E-2</v>
      </c>
      <c r="S310">
        <v>2.9956969999999998</v>
      </c>
      <c r="T310">
        <v>-0.12717999999999999</v>
      </c>
      <c r="U310">
        <v>0.13644410000000001</v>
      </c>
      <c r="V310">
        <v>-4.3150189999999998E-2</v>
      </c>
      <c r="W310">
        <v>7.1365030000000002E-4</v>
      </c>
      <c r="X310">
        <v>0.99906830000000002</v>
      </c>
      <c r="Y310">
        <v>-3.8207739999999997E-2</v>
      </c>
      <c r="Z310">
        <v>5.0191379999999896E-4</v>
      </c>
      <c r="AA310">
        <v>0.99926970000000004</v>
      </c>
      <c r="AB310">
        <v>18</v>
      </c>
      <c r="AC310">
        <v>25.8369</v>
      </c>
      <c r="AD310">
        <v>-1.104468</v>
      </c>
      <c r="AE310">
        <v>1.18369999999998</v>
      </c>
      <c r="AF310">
        <v>-0.99401405162856005</v>
      </c>
      <c r="AG310">
        <v>-1.104468</v>
      </c>
      <c r="AH310">
        <v>25.797779776122599</v>
      </c>
      <c r="AI310">
        <v>92.449664198292993</v>
      </c>
      <c r="AJ310">
        <v>92.206571679905394</v>
      </c>
      <c r="AK310">
        <v>25.840537046957401</v>
      </c>
    </row>
    <row r="311" spans="1:37" x14ac:dyDescent="0.2">
      <c r="A311" t="str">
        <f>"20200111155759876"</f>
        <v>20200111155759876</v>
      </c>
      <c r="B311" t="str">
        <f>"1578729479870956"</f>
        <v>1578729479870956</v>
      </c>
      <c r="C311" t="s">
        <v>37</v>
      </c>
      <c r="D311">
        <v>6.016966</v>
      </c>
      <c r="E311">
        <v>0.50402860000000005</v>
      </c>
      <c r="F311" t="s">
        <v>41</v>
      </c>
      <c r="G311">
        <v>-406.9076</v>
      </c>
      <c r="H311">
        <v>-0.05</v>
      </c>
      <c r="I311">
        <v>368.71319999999997</v>
      </c>
      <c r="J311">
        <v>-429.79340000000002</v>
      </c>
      <c r="K311">
        <v>1.054467</v>
      </c>
      <c r="L311">
        <v>367.70870000000002</v>
      </c>
      <c r="M311">
        <v>0.99989760000000005</v>
      </c>
      <c r="N311">
        <v>0</v>
      </c>
      <c r="O311">
        <v>7.2973250000000003E-3</v>
      </c>
      <c r="P311">
        <v>0.99863150000000001</v>
      </c>
      <c r="Q311">
        <v>-1.160095E-2</v>
      </c>
      <c r="R311">
        <v>5.1000570000000002E-2</v>
      </c>
      <c r="S311">
        <v>2.99572799999999</v>
      </c>
      <c r="T311">
        <v>-0.1434175</v>
      </c>
      <c r="U311">
        <v>0.13061519999999999</v>
      </c>
      <c r="V311">
        <v>-4.3711380000000001E-2</v>
      </c>
      <c r="W311">
        <v>7.1126619999999996E-4</v>
      </c>
      <c r="X311">
        <v>0.99904389999999998</v>
      </c>
      <c r="Y311">
        <v>-3.6233939999999999E-2</v>
      </c>
      <c r="Z311">
        <v>5.1742770000000001E-4</v>
      </c>
      <c r="AA311">
        <v>0.99934319999999899</v>
      </c>
      <c r="AB311">
        <v>18</v>
      </c>
      <c r="AC311">
        <v>22.8858</v>
      </c>
      <c r="AD311">
        <v>-1.1044670000000001</v>
      </c>
      <c r="AE311">
        <v>1.00449999999995</v>
      </c>
      <c r="AF311">
        <v>-0.83551328863706198</v>
      </c>
      <c r="AG311">
        <v>-1.1044670000000001</v>
      </c>
      <c r="AH311">
        <v>22.839430054115802</v>
      </c>
      <c r="AI311">
        <v>92.766699398289106</v>
      </c>
      <c r="AJ311">
        <v>92.095063125812501</v>
      </c>
      <c r="AK311">
        <v>22.8813787828974</v>
      </c>
    </row>
    <row r="312" spans="1:37" x14ac:dyDescent="0.2">
      <c r="A312" t="str">
        <f>"20200111155759898"</f>
        <v>20200111155759898</v>
      </c>
      <c r="B312" t="str">
        <f>"1578729479891451"</f>
        <v>1578729479891451</v>
      </c>
      <c r="C312" t="s">
        <v>37</v>
      </c>
      <c r="D312">
        <v>6.0296690000000002</v>
      </c>
      <c r="E312">
        <v>0.50387780000000004</v>
      </c>
      <c r="F312" t="s">
        <v>41</v>
      </c>
      <c r="G312">
        <v>-409.22750000000002</v>
      </c>
      <c r="H312">
        <v>-0.05</v>
      </c>
      <c r="I312">
        <v>368.58510000000001</v>
      </c>
      <c r="J312">
        <v>-429.61689999999999</v>
      </c>
      <c r="K312">
        <v>1.0544709999999999</v>
      </c>
      <c r="L312">
        <v>367.71010000000001</v>
      </c>
      <c r="M312">
        <v>0.99989719999999904</v>
      </c>
      <c r="N312">
        <v>0</v>
      </c>
      <c r="O312">
        <v>7.3238440000000004E-3</v>
      </c>
      <c r="P312">
        <v>0.99861089999999997</v>
      </c>
      <c r="Q312">
        <v>-1.124993E-2</v>
      </c>
      <c r="R312">
        <v>5.1477879999999997E-2</v>
      </c>
      <c r="S312">
        <v>2.9957579999999999</v>
      </c>
      <c r="T312">
        <v>-0.16088379999999999</v>
      </c>
      <c r="U312">
        <v>0.12765499999999999</v>
      </c>
      <c r="V312">
        <v>-4.4162489999999999E-2</v>
      </c>
      <c r="W312">
        <v>1.063172E-3</v>
      </c>
      <c r="X312">
        <v>0.99902380000000002</v>
      </c>
      <c r="Y312">
        <v>-3.5214280000000001E-2</v>
      </c>
      <c r="Z312">
        <v>5.5159329999999996E-4</v>
      </c>
      <c r="AA312">
        <v>0.99937960000000003</v>
      </c>
      <c r="AB312">
        <v>18</v>
      </c>
      <c r="AC312">
        <v>20.389399999999899</v>
      </c>
      <c r="AD312">
        <v>-1.104471</v>
      </c>
      <c r="AE312">
        <v>0.875</v>
      </c>
      <c r="AF312">
        <v>-0.72351730685036697</v>
      </c>
      <c r="AG312">
        <v>-1.104471</v>
      </c>
      <c r="AH312">
        <v>20.335701227079401</v>
      </c>
      <c r="AI312">
        <v>93.106827602053698</v>
      </c>
      <c r="AJ312">
        <v>92.037648433416507</v>
      </c>
      <c r="AK312">
        <v>20.378520012017301</v>
      </c>
    </row>
    <row r="313" spans="1:37" x14ac:dyDescent="0.2">
      <c r="A313" t="str">
        <f>"20200111155759921"</f>
        <v>20200111155759921</v>
      </c>
      <c r="B313" t="str">
        <f>"1578729479910971"</f>
        <v>1578729479910971</v>
      </c>
      <c r="C313" t="s">
        <v>37</v>
      </c>
      <c r="D313">
        <v>6.0503679999999997</v>
      </c>
      <c r="E313">
        <v>0.50432100000000002</v>
      </c>
      <c r="F313" t="s">
        <v>41</v>
      </c>
      <c r="G313">
        <v>-408.29250000000002</v>
      </c>
      <c r="H313">
        <v>-0.05</v>
      </c>
      <c r="I313">
        <v>368.63630000000001</v>
      </c>
      <c r="J313">
        <v>-429.43779999999998</v>
      </c>
      <c r="K313">
        <v>1.0544709999999999</v>
      </c>
      <c r="L313">
        <v>367.71140000000003</v>
      </c>
      <c r="M313">
        <v>0.99989689999999998</v>
      </c>
      <c r="N313">
        <v>0</v>
      </c>
      <c r="O313">
        <v>7.3506719999999999E-3</v>
      </c>
      <c r="P313">
        <v>0.99859709999999902</v>
      </c>
      <c r="Q313">
        <v>-1.0853399999999999E-2</v>
      </c>
      <c r="R313">
        <v>5.1829359999999998E-2</v>
      </c>
      <c r="S313">
        <v>2.9956969999999998</v>
      </c>
      <c r="T313">
        <v>-0.15515799999999999</v>
      </c>
      <c r="U313">
        <v>0.13012699999999999</v>
      </c>
      <c r="V313">
        <v>-4.4487350000000002E-2</v>
      </c>
      <c r="W313">
        <v>1.4684829999999901E-3</v>
      </c>
      <c r="X313">
        <v>0.99900889999999998</v>
      </c>
      <c r="Y313">
        <v>-3.6013219999999999E-2</v>
      </c>
      <c r="Z313">
        <v>5.5126929999999995E-4</v>
      </c>
      <c r="AA313">
        <v>0.99935110000000005</v>
      </c>
      <c r="AB313">
        <v>18</v>
      </c>
      <c r="AC313">
        <v>21.145299999999899</v>
      </c>
      <c r="AD313">
        <v>-1.104471</v>
      </c>
      <c r="AE313">
        <v>0.92489999999997896</v>
      </c>
      <c r="AF313">
        <v>-0.76734153121490201</v>
      </c>
      <c r="AG313">
        <v>-1.104471</v>
      </c>
      <c r="AH313">
        <v>21.094088169811702</v>
      </c>
      <c r="AI313">
        <v>92.995250541633098</v>
      </c>
      <c r="AJ313">
        <v>92.083335063799495</v>
      </c>
      <c r="AK313">
        <v>21.136916164170199</v>
      </c>
    </row>
    <row r="314" spans="1:37" x14ac:dyDescent="0.2">
      <c r="A314" t="str">
        <f>"20200111155759942"</f>
        <v>20200111155759942</v>
      </c>
      <c r="B314" t="str">
        <f>"1578729479931467"</f>
        <v>1578729479931467</v>
      </c>
      <c r="C314" t="s">
        <v>37</v>
      </c>
      <c r="D314">
        <v>5.9976750000000001</v>
      </c>
      <c r="E314">
        <v>0.50469979999999903</v>
      </c>
      <c r="F314" t="s">
        <v>41</v>
      </c>
      <c r="G314">
        <v>-408.7783</v>
      </c>
      <c r="H314">
        <v>-0.05</v>
      </c>
      <c r="I314">
        <v>368.5951</v>
      </c>
      <c r="J314">
        <v>-429.26530000000002</v>
      </c>
      <c r="K314">
        <v>1.0544789999999999</v>
      </c>
      <c r="L314">
        <v>367.71269999999998</v>
      </c>
      <c r="M314">
        <v>0.99989649999999997</v>
      </c>
      <c r="N314">
        <v>0</v>
      </c>
      <c r="O314">
        <v>7.3770909999999997E-3</v>
      </c>
      <c r="P314">
        <v>0.99858989999999903</v>
      </c>
      <c r="Q314">
        <v>-1.016822E-2</v>
      </c>
      <c r="R314">
        <v>5.2106050000000001E-2</v>
      </c>
      <c r="S314">
        <v>2.9958499999999999</v>
      </c>
      <c r="T314">
        <v>-0.16015979999999999</v>
      </c>
      <c r="U314">
        <v>0.12814329999999999</v>
      </c>
      <c r="V314">
        <v>-4.473738E-2</v>
      </c>
      <c r="W314">
        <v>2.1699089999999998E-3</v>
      </c>
      <c r="X314">
        <v>0.99899640000000001</v>
      </c>
      <c r="Y314">
        <v>-3.5322640000000002E-2</v>
      </c>
      <c r="Z314">
        <v>5.4914619999999999E-4</v>
      </c>
      <c r="AA314">
        <v>0.99937580000000004</v>
      </c>
      <c r="AB314">
        <v>18</v>
      </c>
      <c r="AC314">
        <v>20.486999999999998</v>
      </c>
      <c r="AD314">
        <v>-1.104479</v>
      </c>
      <c r="AE314">
        <v>0.88240000000001795</v>
      </c>
      <c r="AF314">
        <v>-0.72911480248874605</v>
      </c>
      <c r="AG314">
        <v>-1.104479</v>
      </c>
      <c r="AH314">
        <v>20.4336736399</v>
      </c>
      <c r="AI314">
        <v>93.091971412433594</v>
      </c>
      <c r="AJ314">
        <v>92.043562295340905</v>
      </c>
      <c r="AK314">
        <v>20.476486531595</v>
      </c>
    </row>
    <row r="315" spans="1:37" x14ac:dyDescent="0.2">
      <c r="A315" t="str">
        <f>"20200111155759964"</f>
        <v>20200111155759964</v>
      </c>
      <c r="B315" t="str">
        <f>"1578729479961723"</f>
        <v>1578729479961723</v>
      </c>
      <c r="C315" t="s">
        <v>37</v>
      </c>
      <c r="D315">
        <v>5.9714980000000004</v>
      </c>
      <c r="E315">
        <v>0.50493809999999995</v>
      </c>
      <c r="F315" t="s">
        <v>41</v>
      </c>
      <c r="G315">
        <v>-408.98790000000002</v>
      </c>
      <c r="H315">
        <v>-0.05</v>
      </c>
      <c r="I315">
        <v>368.56389999999999</v>
      </c>
      <c r="J315">
        <v>-429.08679999999998</v>
      </c>
      <c r="K315">
        <v>1.054478</v>
      </c>
      <c r="L315">
        <v>367.71409999999997</v>
      </c>
      <c r="M315">
        <v>0.99989619999999901</v>
      </c>
      <c r="N315">
        <v>0</v>
      </c>
      <c r="O315">
        <v>7.4046569999999898E-3</v>
      </c>
      <c r="P315">
        <v>0.99860729999999998</v>
      </c>
      <c r="Q315">
        <v>-9.6999819999999994E-3</v>
      </c>
      <c r="R315">
        <v>5.1861869999999997E-2</v>
      </c>
      <c r="S315">
        <v>2.9959720000000001</v>
      </c>
      <c r="T315">
        <v>-0.163186</v>
      </c>
      <c r="U315">
        <v>0.12576289999999901</v>
      </c>
      <c r="V315">
        <v>-4.44658E-2</v>
      </c>
      <c r="W315">
        <v>2.6620039999999999E-3</v>
      </c>
      <c r="X315">
        <v>0.99900730000000004</v>
      </c>
      <c r="Y315">
        <v>-3.4500459999999997E-2</v>
      </c>
      <c r="Z315">
        <v>5.3562849999999997E-4</v>
      </c>
      <c r="AA315">
        <v>0.99940450000000003</v>
      </c>
      <c r="AB315">
        <v>18</v>
      </c>
      <c r="AC315">
        <v>20.098899999999901</v>
      </c>
      <c r="AD315">
        <v>-1.1044780000000001</v>
      </c>
      <c r="AE315">
        <v>0.84980000000001599</v>
      </c>
      <c r="AF315">
        <v>-0.698833340870473</v>
      </c>
      <c r="AG315">
        <v>-1.1044780000000001</v>
      </c>
      <c r="AH315">
        <v>20.044221538937499</v>
      </c>
      <c r="AI315">
        <v>93.152015078056806</v>
      </c>
      <c r="AJ315">
        <v>91.996784424164602</v>
      </c>
      <c r="AK315">
        <v>20.086788115395699</v>
      </c>
    </row>
    <row r="316" spans="1:37" x14ac:dyDescent="0.2">
      <c r="A316" t="str">
        <f>"20200111155759988"</f>
        <v>20200111155759988</v>
      </c>
      <c r="B316" t="str">
        <f>"1578729479981244"</f>
        <v>1578729479981244</v>
      </c>
      <c r="C316" t="s">
        <v>37</v>
      </c>
      <c r="D316">
        <v>6.2384629999999897</v>
      </c>
      <c r="E316">
        <v>0.50492729999999997</v>
      </c>
      <c r="F316" t="s">
        <v>41</v>
      </c>
      <c r="G316">
        <v>-408.17290000000003</v>
      </c>
      <c r="H316">
        <v>-0.05</v>
      </c>
      <c r="I316">
        <v>368.5729</v>
      </c>
      <c r="J316">
        <v>-428.90629999999999</v>
      </c>
      <c r="K316">
        <v>1.054484</v>
      </c>
      <c r="L316">
        <v>367.71539999999999</v>
      </c>
      <c r="M316">
        <v>0.99989550000000005</v>
      </c>
      <c r="N316">
        <v>0</v>
      </c>
      <c r="O316">
        <v>7.432017E-3</v>
      </c>
      <c r="P316">
        <v>0.99862220000000002</v>
      </c>
      <c r="Q316">
        <v>-8.7633780000000005E-3</v>
      </c>
      <c r="R316">
        <v>5.1740960000000003E-2</v>
      </c>
      <c r="S316">
        <v>2.99624599999999</v>
      </c>
      <c r="T316">
        <v>-0.1582345</v>
      </c>
      <c r="U316">
        <v>0.1230469</v>
      </c>
      <c r="V316">
        <v>-4.4317519999999999E-2</v>
      </c>
      <c r="W316">
        <v>3.627117E-3</v>
      </c>
      <c r="X316">
        <v>0.99901090000000003</v>
      </c>
      <c r="Y316">
        <v>-3.3568609999999999E-2</v>
      </c>
      <c r="Z316">
        <v>4.9333890000000005E-4</v>
      </c>
      <c r="AA316">
        <v>0.99943630000000006</v>
      </c>
      <c r="AB316">
        <v>18</v>
      </c>
      <c r="AC316">
        <v>20.7333999999999</v>
      </c>
      <c r="AD316">
        <v>-1.104484</v>
      </c>
      <c r="AE316">
        <v>0.85750000000001503</v>
      </c>
      <c r="AF316">
        <v>-0.70138650773942202</v>
      </c>
      <c r="AG316">
        <v>-1.104484</v>
      </c>
      <c r="AH316">
        <v>20.680614049900601</v>
      </c>
      <c r="AI316">
        <v>93.055322631524703</v>
      </c>
      <c r="AJ316">
        <v>91.942451477131101</v>
      </c>
      <c r="AK316">
        <v>20.721959980186298</v>
      </c>
    </row>
    <row r="317" spans="1:37" x14ac:dyDescent="0.2">
      <c r="A317" t="str">
        <f>"20200111155800011"</f>
        <v>20200111155800011</v>
      </c>
      <c r="B317" t="str">
        <f>"1578729480001740"</f>
        <v>1578729480001740</v>
      </c>
      <c r="C317" t="s">
        <v>37</v>
      </c>
      <c r="D317">
        <v>6.2154610000000003</v>
      </c>
      <c r="E317">
        <v>0.50486799999999998</v>
      </c>
      <c r="F317" t="s">
        <v>41</v>
      </c>
      <c r="G317">
        <v>-408.24040000000002</v>
      </c>
      <c r="H317">
        <v>-0.05</v>
      </c>
      <c r="I317">
        <v>368.56529999999998</v>
      </c>
      <c r="J317">
        <v>-428.7176</v>
      </c>
      <c r="K317">
        <v>1.0544929999999999</v>
      </c>
      <c r="L317">
        <v>367.71690000000001</v>
      </c>
      <c r="M317">
        <v>0.99989479999999997</v>
      </c>
      <c r="N317">
        <v>0</v>
      </c>
      <c r="O317">
        <v>7.4603759999999899E-3</v>
      </c>
      <c r="P317">
        <v>0.99863250000000003</v>
      </c>
      <c r="Q317">
        <v>-8.382535E-3</v>
      </c>
      <c r="R317">
        <v>5.1601849999999998E-2</v>
      </c>
      <c r="S317">
        <v>2.9963679999999999</v>
      </c>
      <c r="T317">
        <v>-0.16014049999999999</v>
      </c>
      <c r="U317">
        <v>0.12322999999999899</v>
      </c>
      <c r="V317">
        <v>-4.4149769999999998E-2</v>
      </c>
      <c r="W317">
        <v>4.0395789999999997E-3</v>
      </c>
      <c r="X317">
        <v>0.99901679999999904</v>
      </c>
      <c r="Y317">
        <v>-3.3598679999999999E-2</v>
      </c>
      <c r="Z317">
        <v>4.9854049999999996E-4</v>
      </c>
      <c r="AA317">
        <v>0.99943530000000003</v>
      </c>
      <c r="AB317">
        <v>18</v>
      </c>
      <c r="AC317">
        <v>20.4771999999999</v>
      </c>
      <c r="AD317">
        <v>-1.1044929999999999</v>
      </c>
      <c r="AE317">
        <v>0.84839999999996896</v>
      </c>
      <c r="AF317">
        <v>-0.69358258965477204</v>
      </c>
      <c r="AG317">
        <v>-1.1044929999999999</v>
      </c>
      <c r="AH317">
        <v>20.423643746349299</v>
      </c>
      <c r="AI317">
        <v>93.093710981976898</v>
      </c>
      <c r="AJ317">
        <v>91.945004989764797</v>
      </c>
      <c r="AK317">
        <v>20.4652433524138</v>
      </c>
    </row>
    <row r="318" spans="1:37" x14ac:dyDescent="0.2">
      <c r="A318" t="str">
        <f>"20200111155800031"</f>
        <v>20200111155800031</v>
      </c>
      <c r="B318" t="str">
        <f>"1578729480021259"</f>
        <v>1578729480021259</v>
      </c>
      <c r="C318" t="s">
        <v>37</v>
      </c>
      <c r="D318">
        <v>6.0775930000000002</v>
      </c>
      <c r="E318">
        <v>0.50479600000000002</v>
      </c>
      <c r="F318" t="s">
        <v>41</v>
      </c>
      <c r="G318">
        <v>-407.9837</v>
      </c>
      <c r="H318">
        <v>-0.05</v>
      </c>
      <c r="I318">
        <v>368.56979999999999</v>
      </c>
      <c r="J318">
        <v>-428.55180000000001</v>
      </c>
      <c r="K318">
        <v>1.0544910000000001</v>
      </c>
      <c r="L318">
        <v>367.71809999999999</v>
      </c>
      <c r="M318">
        <v>0.99989450000000002</v>
      </c>
      <c r="N318">
        <v>0</v>
      </c>
      <c r="O318">
        <v>7.4850569999999998E-3</v>
      </c>
      <c r="P318">
        <v>0.99862030000000002</v>
      </c>
      <c r="Q318">
        <v>-8.5368549999999994E-3</v>
      </c>
      <c r="R318">
        <v>5.1814409999999998E-2</v>
      </c>
      <c r="S318">
        <v>2.996429</v>
      </c>
      <c r="T318">
        <v>-0.15961979999999901</v>
      </c>
      <c r="U318">
        <v>0.1232605</v>
      </c>
      <c r="V318">
        <v>-4.4337950000000001E-2</v>
      </c>
      <c r="W318">
        <v>3.913695E-3</v>
      </c>
      <c r="X318">
        <v>0.99900889999999998</v>
      </c>
      <c r="Y318">
        <v>-3.3583630000000003E-2</v>
      </c>
      <c r="Z318">
        <v>4.951981E-4</v>
      </c>
      <c r="AA318">
        <v>0.99943579999999999</v>
      </c>
      <c r="AB318">
        <v>18</v>
      </c>
      <c r="AC318">
        <v>20.568100000000001</v>
      </c>
      <c r="AD318">
        <v>-1.1044909999999999</v>
      </c>
      <c r="AE318">
        <v>0.85169999999999302</v>
      </c>
      <c r="AF318">
        <v>-0.69570809204582096</v>
      </c>
      <c r="AG318">
        <v>-1.1044909999999999</v>
      </c>
      <c r="AH318">
        <v>20.514843767268498</v>
      </c>
      <c r="AI318">
        <v>93.079983603911302</v>
      </c>
      <c r="AJ318">
        <v>91.942294449528106</v>
      </c>
      <c r="AK318">
        <v>20.5563305313438</v>
      </c>
    </row>
    <row r="319" spans="1:37" x14ac:dyDescent="0.2">
      <c r="A319" t="str">
        <f>"20200111155800054"</f>
        <v>20200111155800054</v>
      </c>
      <c r="B319" t="str">
        <f>"1578729480051517"</f>
        <v>1578729480051517</v>
      </c>
      <c r="C319" t="s">
        <v>37</v>
      </c>
      <c r="D319">
        <v>5.9921939999999996</v>
      </c>
      <c r="E319">
        <v>0.50529239999999997</v>
      </c>
      <c r="F319" t="s">
        <v>41</v>
      </c>
      <c r="G319">
        <v>-407.95949999999999</v>
      </c>
      <c r="H319">
        <v>-0.05</v>
      </c>
      <c r="I319">
        <v>368.57299999999998</v>
      </c>
      <c r="J319">
        <v>-428.37549999999999</v>
      </c>
      <c r="K319">
        <v>1.0544959999999901</v>
      </c>
      <c r="L319">
        <v>367.71949999999998</v>
      </c>
      <c r="M319">
        <v>0.9998937</v>
      </c>
      <c r="N319">
        <v>0</v>
      </c>
      <c r="O319">
        <v>7.5117430000000004E-3</v>
      </c>
      <c r="P319">
        <v>0.99860689999999996</v>
      </c>
      <c r="Q319">
        <v>-8.7913609999999993E-3</v>
      </c>
      <c r="R319">
        <v>5.2030029999999998E-2</v>
      </c>
      <c r="S319">
        <v>2.9963069999999998</v>
      </c>
      <c r="T319">
        <v>-0.16071050000000001</v>
      </c>
      <c r="U319">
        <v>0.124389599999999</v>
      </c>
      <c r="V319">
        <v>-4.4527110000000002E-2</v>
      </c>
      <c r="W319">
        <v>3.6905369999999998E-3</v>
      </c>
      <c r="X319">
        <v>0.99900140000000004</v>
      </c>
      <c r="Y319">
        <v>-3.3933650000000003E-2</v>
      </c>
      <c r="Z319">
        <v>5.0653969999999999E-4</v>
      </c>
      <c r="AA319">
        <v>0.99942399999999998</v>
      </c>
      <c r="AB319">
        <v>18</v>
      </c>
      <c r="AC319">
        <v>20.416</v>
      </c>
      <c r="AD319">
        <v>-1.1044959999999999</v>
      </c>
      <c r="AE319">
        <v>0.85350000000005299</v>
      </c>
      <c r="AF319">
        <v>-0.69806469220172496</v>
      </c>
      <c r="AG319">
        <v>-1.1044959999999999</v>
      </c>
      <c r="AH319">
        <v>20.362343973116602</v>
      </c>
      <c r="AI319">
        <v>93.102980652475196</v>
      </c>
      <c r="AJ319">
        <v>91.963452885712897</v>
      </c>
      <c r="AK319">
        <v>20.404221568293998</v>
      </c>
    </row>
    <row r="320" spans="1:37" x14ac:dyDescent="0.2">
      <c r="A320" t="str">
        <f>"20200111155800076"</f>
        <v>20200111155800076</v>
      </c>
      <c r="B320" t="str">
        <f>"1578729480071036"</f>
        <v>1578729480071036</v>
      </c>
      <c r="C320" t="s">
        <v>37</v>
      </c>
      <c r="D320">
        <v>6.0440719999999999</v>
      </c>
      <c r="E320">
        <v>0.5053491</v>
      </c>
      <c r="F320" t="s">
        <v>41</v>
      </c>
      <c r="G320">
        <v>-408.64569999999998</v>
      </c>
      <c r="H320">
        <v>-0.05</v>
      </c>
      <c r="I320">
        <v>368.52030000000002</v>
      </c>
      <c r="J320">
        <v>-428.19470000000001</v>
      </c>
      <c r="K320">
        <v>1.0545020000000001</v>
      </c>
      <c r="L320">
        <v>367.72089999999997</v>
      </c>
      <c r="M320">
        <v>0.99989319999999904</v>
      </c>
      <c r="N320">
        <v>0</v>
      </c>
      <c r="O320">
        <v>7.5388969999999897E-3</v>
      </c>
      <c r="P320">
        <v>0.99859940000000003</v>
      </c>
      <c r="Q320">
        <v>-8.5963610000000003E-3</v>
      </c>
      <c r="R320">
        <v>5.2206889999999999E-2</v>
      </c>
      <c r="S320">
        <v>2.996429</v>
      </c>
      <c r="T320">
        <v>-0.167743</v>
      </c>
      <c r="U320">
        <v>0.1216125</v>
      </c>
      <c r="V320">
        <v>-4.4676170000000001E-2</v>
      </c>
      <c r="W320">
        <v>3.917986E-3</v>
      </c>
      <c r="X320">
        <v>0.99899380000000004</v>
      </c>
      <c r="Y320">
        <v>-3.2978229999999997E-2</v>
      </c>
      <c r="Z320">
        <v>5.0043039999999998E-4</v>
      </c>
      <c r="AA320">
        <v>0.99945589999999995</v>
      </c>
      <c r="AB320">
        <v>18</v>
      </c>
      <c r="AC320">
        <v>19.548999999999999</v>
      </c>
      <c r="AD320">
        <v>-1.1045020000000001</v>
      </c>
      <c r="AE320">
        <v>0.79940000000004796</v>
      </c>
      <c r="AF320">
        <v>-0.64991665823182598</v>
      </c>
      <c r="AG320">
        <v>-1.1045020000000001</v>
      </c>
      <c r="AH320">
        <v>19.492352707213801</v>
      </c>
      <c r="AI320">
        <v>93.241305516642697</v>
      </c>
      <c r="AJ320">
        <v>91.909656179713807</v>
      </c>
      <c r="AK320">
        <v>19.534434478455601</v>
      </c>
    </row>
    <row r="321" spans="1:37" x14ac:dyDescent="0.2">
      <c r="A321" t="str">
        <f>"20200111155800099"</f>
        <v>20200111155800099</v>
      </c>
      <c r="B321" t="str">
        <f>"1578729480091531"</f>
        <v>1578729480091531</v>
      </c>
      <c r="C321" t="s">
        <v>37</v>
      </c>
      <c r="D321">
        <v>6.0345230000000001</v>
      </c>
      <c r="E321">
        <v>0.50530559999999902</v>
      </c>
      <c r="F321" t="s">
        <v>41</v>
      </c>
      <c r="G321">
        <v>-408.68369999999999</v>
      </c>
      <c r="H321">
        <v>-0.05</v>
      </c>
      <c r="I321">
        <v>368.51339999999999</v>
      </c>
      <c r="J321">
        <v>-428.01170000000002</v>
      </c>
      <c r="K321">
        <v>1.0545020000000001</v>
      </c>
      <c r="L321">
        <v>367.72239999999999</v>
      </c>
      <c r="M321">
        <v>0.99989259999999902</v>
      </c>
      <c r="N321">
        <v>0</v>
      </c>
      <c r="O321">
        <v>7.5669369999999897E-3</v>
      </c>
      <c r="P321">
        <v>0.99856699999999998</v>
      </c>
      <c r="Q321">
        <v>-8.8728869999999994E-3</v>
      </c>
      <c r="R321">
        <v>5.2781349999999998E-2</v>
      </c>
      <c r="S321">
        <v>2.9963989999999998</v>
      </c>
      <c r="T321">
        <v>-0.16962339999999901</v>
      </c>
      <c r="U321">
        <v>0.1217041</v>
      </c>
      <c r="V321">
        <v>-4.5223550000000001E-2</v>
      </c>
      <c r="W321">
        <v>3.6748009999999901E-3</v>
      </c>
      <c r="X321">
        <v>0.99897019999999903</v>
      </c>
      <c r="Y321">
        <v>-3.2980250000000003E-2</v>
      </c>
      <c r="Z321">
        <v>5.0450759999999995E-4</v>
      </c>
      <c r="AA321">
        <v>0.99945589999999995</v>
      </c>
      <c r="AB321">
        <v>18</v>
      </c>
      <c r="AC321">
        <v>19.327999999999999</v>
      </c>
      <c r="AD321">
        <v>-1.1045020000000001</v>
      </c>
      <c r="AE321">
        <v>0.79099999999999604</v>
      </c>
      <c r="AF321">
        <v>-0.64261706793288398</v>
      </c>
      <c r="AG321">
        <v>-1.1045020000000001</v>
      </c>
      <c r="AH321">
        <v>19.270608152973701</v>
      </c>
      <c r="AI321">
        <v>93.278521396886305</v>
      </c>
      <c r="AJ321">
        <v>91.909934896502406</v>
      </c>
      <c r="AK321">
        <v>19.312928828881901</v>
      </c>
    </row>
    <row r="322" spans="1:37" x14ac:dyDescent="0.2">
      <c r="A322" t="str">
        <f>"20200111155800122"</f>
        <v>20200111155800122</v>
      </c>
      <c r="B322" t="str">
        <f>"1578729480111051"</f>
        <v>1578729480111051</v>
      </c>
      <c r="C322" t="s">
        <v>37</v>
      </c>
      <c r="D322">
        <v>6.0767769999999999</v>
      </c>
      <c r="E322">
        <v>0.5050443</v>
      </c>
      <c r="F322" t="s">
        <v>41</v>
      </c>
      <c r="G322">
        <v>-408.79059999999998</v>
      </c>
      <c r="H322">
        <v>-0.05</v>
      </c>
      <c r="I322">
        <v>368.51839999999999</v>
      </c>
      <c r="J322">
        <v>-427.8297</v>
      </c>
      <c r="K322">
        <v>1.0544990000000001</v>
      </c>
      <c r="L322">
        <v>367.72379999999998</v>
      </c>
      <c r="M322">
        <v>0.99989209999999995</v>
      </c>
      <c r="N322">
        <v>0</v>
      </c>
      <c r="O322">
        <v>7.5947409999999899E-3</v>
      </c>
      <c r="P322">
        <v>0.99854709999999902</v>
      </c>
      <c r="Q322">
        <v>-8.8722719999999901E-3</v>
      </c>
      <c r="R322">
        <v>5.3151219999999999E-2</v>
      </c>
      <c r="S322">
        <v>2.99624599999999</v>
      </c>
      <c r="T322">
        <v>-0.17217389999999999</v>
      </c>
      <c r="U322">
        <v>0.1240845</v>
      </c>
      <c r="V322">
        <v>-4.5565550000000003E-2</v>
      </c>
      <c r="W322">
        <v>3.7081789999999998E-3</v>
      </c>
      <c r="X322">
        <v>0.99895449999999997</v>
      </c>
      <c r="Y322">
        <v>-3.3744759999999999E-2</v>
      </c>
      <c r="Z322">
        <v>5.3244149999999999E-4</v>
      </c>
      <c r="AA322">
        <v>0.99943040000000005</v>
      </c>
      <c r="AB322">
        <v>18</v>
      </c>
      <c r="AC322">
        <v>19.039100000000001</v>
      </c>
      <c r="AD322">
        <v>-1.1044989999999999</v>
      </c>
      <c r="AE322">
        <v>0.79460000000000197</v>
      </c>
      <c r="AF322">
        <v>-0.64779231878622201</v>
      </c>
      <c r="AG322">
        <v>-1.1044989999999999</v>
      </c>
      <c r="AH322">
        <v>18.9808189314302</v>
      </c>
      <c r="AI322">
        <v>93.328367939448796</v>
      </c>
      <c r="AJ322">
        <v>91.954676748676505</v>
      </c>
      <c r="AK322">
        <v>19.023959636127699</v>
      </c>
    </row>
    <row r="323" spans="1:37" x14ac:dyDescent="0.2">
      <c r="A323" t="str">
        <f>"20200111155800143"</f>
        <v>20200111155800143</v>
      </c>
      <c r="B323" t="str">
        <f>"1578729480131548"</f>
        <v>1578729480131548</v>
      </c>
      <c r="C323" t="s">
        <v>37</v>
      </c>
      <c r="D323">
        <v>5.8954690000000003</v>
      </c>
      <c r="E323">
        <v>0.50504850000000001</v>
      </c>
      <c r="F323" t="s">
        <v>41</v>
      </c>
      <c r="G323">
        <v>-408.2903</v>
      </c>
      <c r="H323">
        <v>-0.05</v>
      </c>
      <c r="I323">
        <v>368.5505</v>
      </c>
      <c r="J323">
        <v>-427.666</v>
      </c>
      <c r="K323">
        <v>1.054497</v>
      </c>
      <c r="L323">
        <v>367.72500000000002</v>
      </c>
      <c r="M323">
        <v>0.99989130000000004</v>
      </c>
      <c r="N323">
        <v>0</v>
      </c>
      <c r="O323">
        <v>7.6202450000000003E-3</v>
      </c>
      <c r="P323">
        <v>0.99851889999999999</v>
      </c>
      <c r="Q323">
        <v>-8.9875760000000006E-3</v>
      </c>
      <c r="R323">
        <v>5.3657980000000001E-2</v>
      </c>
      <c r="S323">
        <v>2.9961549999999999</v>
      </c>
      <c r="T323">
        <v>-0.16936300000000001</v>
      </c>
      <c r="U323">
        <v>0.12676999999999999</v>
      </c>
      <c r="V323">
        <v>-4.604714E-2</v>
      </c>
      <c r="W323">
        <v>3.6213959999999998E-3</v>
      </c>
      <c r="X323">
        <v>0.99893269999999901</v>
      </c>
      <c r="Y323">
        <v>-3.4614810000000003E-2</v>
      </c>
      <c r="Z323">
        <v>5.4688930000000005E-4</v>
      </c>
      <c r="AA323">
        <v>0.99940059999999997</v>
      </c>
      <c r="AB323">
        <v>18</v>
      </c>
      <c r="AC323">
        <v>19.375699999999899</v>
      </c>
      <c r="AD323">
        <v>-1.1044969999999901</v>
      </c>
      <c r="AE323">
        <v>0.82549999999997603</v>
      </c>
      <c r="AF323">
        <v>-0.67562522928854496</v>
      </c>
      <c r="AG323">
        <v>-1.1044969999999901</v>
      </c>
      <c r="AH323">
        <v>19.3187661001155</v>
      </c>
      <c r="AI323">
        <v>93.270170687277002</v>
      </c>
      <c r="AJ323">
        <v>92.002959382033893</v>
      </c>
      <c r="AK323">
        <v>19.362104914095202</v>
      </c>
    </row>
    <row r="324" spans="1:37" x14ac:dyDescent="0.2">
      <c r="A324" t="str">
        <f>"20200111155800166"</f>
        <v>20200111155800166</v>
      </c>
      <c r="B324" t="str">
        <f>"1578729480160828"</f>
        <v>1578729480160828</v>
      </c>
      <c r="C324" t="s">
        <v>37</v>
      </c>
      <c r="D324">
        <v>5.9436589999999896</v>
      </c>
      <c r="E324">
        <v>0.50523509999999905</v>
      </c>
      <c r="F324" t="s">
        <v>41</v>
      </c>
      <c r="G324">
        <v>-408.33780000000002</v>
      </c>
      <c r="H324">
        <v>-0.05</v>
      </c>
      <c r="I324">
        <v>368.5539</v>
      </c>
      <c r="J324">
        <v>-427.4837</v>
      </c>
      <c r="K324">
        <v>1.054497</v>
      </c>
      <c r="L324">
        <v>367.72649999999999</v>
      </c>
      <c r="M324">
        <v>0.99989079999999997</v>
      </c>
      <c r="N324">
        <v>0</v>
      </c>
      <c r="O324">
        <v>7.6484819999999999E-3</v>
      </c>
      <c r="P324">
        <v>0.99848869999999901</v>
      </c>
      <c r="Q324">
        <v>-9.123506E-3</v>
      </c>
      <c r="R324">
        <v>5.4196939999999999E-2</v>
      </c>
      <c r="S324">
        <v>2.9960019999999998</v>
      </c>
      <c r="T324">
        <v>-0.17120460000000001</v>
      </c>
      <c r="U324">
        <v>0.12847900000000001</v>
      </c>
      <c r="V324">
        <v>-4.6557769999999998E-2</v>
      </c>
      <c r="W324">
        <v>3.5155379999999999E-3</v>
      </c>
      <c r="X324">
        <v>0.99890939999999995</v>
      </c>
      <c r="Y324">
        <v>-3.5156E-2</v>
      </c>
      <c r="Z324">
        <v>5.6667960000000004E-4</v>
      </c>
      <c r="AA324">
        <v>0.99938169999999904</v>
      </c>
      <c r="AB324">
        <v>18</v>
      </c>
      <c r="AC324">
        <v>19.145899999999902</v>
      </c>
      <c r="AD324">
        <v>-1.1044969999999901</v>
      </c>
      <c r="AE324">
        <v>0.82740000000001102</v>
      </c>
      <c r="AF324">
        <v>-0.678672632802793</v>
      </c>
      <c r="AG324">
        <v>-1.1044969999999901</v>
      </c>
      <c r="AH324">
        <v>19.0882622811205</v>
      </c>
      <c r="AI324">
        <v>93.309505291845397</v>
      </c>
      <c r="AJ324">
        <v>92.036262089005405</v>
      </c>
      <c r="AK324">
        <v>19.132231105607399</v>
      </c>
    </row>
    <row r="325" spans="1:37" x14ac:dyDescent="0.2">
      <c r="A325" t="str">
        <f>"20200111155800189"</f>
        <v>20200111155800189</v>
      </c>
      <c r="B325" t="str">
        <f>"1578729480181324"</f>
        <v>1578729480181324</v>
      </c>
      <c r="C325" t="s">
        <v>37</v>
      </c>
      <c r="D325">
        <v>5.9069379999999896</v>
      </c>
      <c r="E325">
        <v>0.50517860000000003</v>
      </c>
      <c r="F325" t="s">
        <v>41</v>
      </c>
      <c r="G325">
        <v>-408.41090000000003</v>
      </c>
      <c r="H325">
        <v>-0.05</v>
      </c>
      <c r="I325">
        <v>368.54520000000002</v>
      </c>
      <c r="J325">
        <v>-427.30169999999998</v>
      </c>
      <c r="K325">
        <v>1.0544959999999901</v>
      </c>
      <c r="L325">
        <v>367.72789999999998</v>
      </c>
      <c r="M325">
        <v>0.99989030000000001</v>
      </c>
      <c r="N325">
        <v>0</v>
      </c>
      <c r="O325">
        <v>7.6760350000000003E-3</v>
      </c>
      <c r="P325">
        <v>0.99846659999999898</v>
      </c>
      <c r="Q325">
        <v>-9.880705E-3</v>
      </c>
      <c r="R325">
        <v>5.4469719999999999E-2</v>
      </c>
      <c r="S325">
        <v>2.9959720000000001</v>
      </c>
      <c r="T325">
        <v>-0.17349539999999999</v>
      </c>
      <c r="U325">
        <v>0.1286011</v>
      </c>
      <c r="V325">
        <v>-4.680318E-2</v>
      </c>
      <c r="W325">
        <v>2.7835970000000001E-3</v>
      </c>
      <c r="X325">
        <v>0.99890020000000002</v>
      </c>
      <c r="Y325">
        <v>-3.5168350000000001E-2</v>
      </c>
      <c r="Z325">
        <v>5.730183E-4</v>
      </c>
      <c r="AA325">
        <v>0.99938119999999997</v>
      </c>
      <c r="AB325">
        <v>18</v>
      </c>
      <c r="AC325">
        <v>18.890799999999899</v>
      </c>
      <c r="AD325">
        <v>-1.1044959999999999</v>
      </c>
      <c r="AE325">
        <v>0.81730000000004499</v>
      </c>
      <c r="AF325">
        <v>-0.66997186203626702</v>
      </c>
      <c r="AG325">
        <v>-1.1044959999999999</v>
      </c>
      <c r="AH325">
        <v>18.832260868938299</v>
      </c>
      <c r="AI325">
        <v>93.354386337608105</v>
      </c>
      <c r="AJ325">
        <v>92.037481224004694</v>
      </c>
      <c r="AK325">
        <v>18.876515121856599</v>
      </c>
    </row>
    <row r="326" spans="1:37" x14ac:dyDescent="0.2">
      <c r="A326" t="str">
        <f>"20200111155800210"</f>
        <v>20200111155800210</v>
      </c>
      <c r="B326" t="str">
        <f>"1578729480200843"</f>
        <v>1578729480200843</v>
      </c>
      <c r="C326" t="s">
        <v>37</v>
      </c>
      <c r="D326">
        <v>5.9406099999999897</v>
      </c>
      <c r="E326">
        <v>0.50535350000000001</v>
      </c>
      <c r="F326" t="s">
        <v>41</v>
      </c>
      <c r="G326">
        <v>-408.53449999999998</v>
      </c>
      <c r="H326">
        <v>-0.05</v>
      </c>
      <c r="I326">
        <v>368.54239999999999</v>
      </c>
      <c r="J326">
        <v>-427.12810000000002</v>
      </c>
      <c r="K326">
        <v>1.0544879999999901</v>
      </c>
      <c r="L326">
        <v>367.72919999999999</v>
      </c>
      <c r="M326">
        <v>0.99988969999999899</v>
      </c>
      <c r="N326">
        <v>0</v>
      </c>
      <c r="O326">
        <v>7.7022509999999898E-3</v>
      </c>
      <c r="P326">
        <v>0.99843510000000002</v>
      </c>
      <c r="Q326">
        <v>-1.08574E-2</v>
      </c>
      <c r="R326">
        <v>5.4857040000000003E-2</v>
      </c>
      <c r="S326">
        <v>2.9957579999999999</v>
      </c>
      <c r="T326">
        <v>-0.17630760000000001</v>
      </c>
      <c r="U326">
        <v>0.13000490000000001</v>
      </c>
      <c r="V326">
        <v>-4.7164810000000001E-2</v>
      </c>
      <c r="W326">
        <v>1.827064E-3</v>
      </c>
      <c r="X326">
        <v>0.99888549999999998</v>
      </c>
      <c r="Y326">
        <v>-3.5610410000000002E-2</v>
      </c>
      <c r="Z326">
        <v>5.937761E-4</v>
      </c>
      <c r="AA326">
        <v>0.99936559999999897</v>
      </c>
      <c r="AB326">
        <v>18</v>
      </c>
      <c r="AC326">
        <v>18.593599999999999</v>
      </c>
      <c r="AD326">
        <v>-1.1044879999999999</v>
      </c>
      <c r="AE326">
        <v>0.81319999999999404</v>
      </c>
      <c r="AF326">
        <v>-0.66760059322335497</v>
      </c>
      <c r="AG326">
        <v>-1.1044879999999999</v>
      </c>
      <c r="AH326">
        <v>18.534039106062501</v>
      </c>
      <c r="AI326">
        <v>93.408155165915204</v>
      </c>
      <c r="AJ326">
        <v>92.062916029803702</v>
      </c>
      <c r="AK326">
        <v>18.5789178877369</v>
      </c>
    </row>
    <row r="327" spans="1:37" x14ac:dyDescent="0.2">
      <c r="A327" t="str">
        <f>"20200111155800233"</f>
        <v>20200111155800233</v>
      </c>
      <c r="B327" t="str">
        <f>"1578729480221339"</f>
        <v>1578729480221339</v>
      </c>
      <c r="C327" t="s">
        <v>37</v>
      </c>
      <c r="D327">
        <v>5.8179030000000003</v>
      </c>
      <c r="E327">
        <v>0.50553029999999999</v>
      </c>
      <c r="F327" t="s">
        <v>41</v>
      </c>
      <c r="G327">
        <v>-408.89150000000001</v>
      </c>
      <c r="H327">
        <v>-0.05</v>
      </c>
      <c r="I327">
        <v>368.51819999999998</v>
      </c>
      <c r="J327">
        <v>-426.95319999999998</v>
      </c>
      <c r="K327">
        <v>1.054495</v>
      </c>
      <c r="L327">
        <v>367.73070000000001</v>
      </c>
      <c r="M327">
        <v>0.99988929999999998</v>
      </c>
      <c r="N327">
        <v>0</v>
      </c>
      <c r="O327">
        <v>7.7283150000000004E-3</v>
      </c>
      <c r="P327">
        <v>0.99842520000000001</v>
      </c>
      <c r="Q327">
        <v>-1.1108989999999999E-2</v>
      </c>
      <c r="R327">
        <v>5.4988589999999997E-2</v>
      </c>
      <c r="S327">
        <v>2.9955750000000001</v>
      </c>
      <c r="T327">
        <v>-0.1814249</v>
      </c>
      <c r="U327">
        <v>0.12960819999999901</v>
      </c>
      <c r="V327">
        <v>-4.7270079999999999E-2</v>
      </c>
      <c r="W327">
        <v>1.591507E-3</v>
      </c>
      <c r="X327">
        <v>0.99888089999999996</v>
      </c>
      <c r="Y327">
        <v>-3.5452400000000002E-2</v>
      </c>
      <c r="Z327">
        <v>6.0466369999999999E-4</v>
      </c>
      <c r="AA327">
        <v>0.99937119999999902</v>
      </c>
      <c r="AB327">
        <v>18</v>
      </c>
      <c r="AC327">
        <v>18.061699999999899</v>
      </c>
      <c r="AD327">
        <v>-1.104495</v>
      </c>
      <c r="AE327">
        <v>0.78749999999996501</v>
      </c>
      <c r="AF327">
        <v>-0.645469551770117</v>
      </c>
      <c r="AG327">
        <v>-1.104495</v>
      </c>
      <c r="AH327">
        <v>18.000064044561402</v>
      </c>
      <c r="AI327">
        <v>93.509052094518495</v>
      </c>
      <c r="AJ327">
        <v>92.053706107716096</v>
      </c>
      <c r="AK327">
        <v>18.045466071997101</v>
      </c>
    </row>
    <row r="328" spans="1:37" x14ac:dyDescent="0.2">
      <c r="A328" t="str">
        <f>"20200111155800254"</f>
        <v>20200111155800254</v>
      </c>
      <c r="B328" t="str">
        <f>"1578729480251596"</f>
        <v>1578729480251596</v>
      </c>
      <c r="C328" t="s">
        <v>37</v>
      </c>
      <c r="D328">
        <v>5.8233879999999996</v>
      </c>
      <c r="E328">
        <v>0.50586229999999999</v>
      </c>
      <c r="F328" t="s">
        <v>41</v>
      </c>
      <c r="G328">
        <v>-408.58789999999999</v>
      </c>
      <c r="H328">
        <v>-0.05</v>
      </c>
      <c r="I328">
        <v>368.51729999999998</v>
      </c>
      <c r="J328">
        <v>-426.77820000000003</v>
      </c>
      <c r="K328">
        <v>1.054495</v>
      </c>
      <c r="L328">
        <v>367.731999999999</v>
      </c>
      <c r="M328">
        <v>0.99988909999999998</v>
      </c>
      <c r="N328">
        <v>0</v>
      </c>
      <c r="O328">
        <v>7.7548209999999899E-3</v>
      </c>
      <c r="P328">
        <v>0.99842790000000003</v>
      </c>
      <c r="Q328">
        <v>-1.084854E-2</v>
      </c>
      <c r="R328">
        <v>5.4995250000000002E-2</v>
      </c>
      <c r="S328">
        <v>2.9956669999999899</v>
      </c>
      <c r="T328">
        <v>-0.18015989999999901</v>
      </c>
      <c r="U328">
        <v>0.12832639999999901</v>
      </c>
      <c r="V328">
        <v>-4.7250060000000003E-2</v>
      </c>
      <c r="W328">
        <v>1.8637809999999999E-3</v>
      </c>
      <c r="X328">
        <v>0.99888129999999997</v>
      </c>
      <c r="Y328">
        <v>-3.4999339999999997E-2</v>
      </c>
      <c r="Z328">
        <v>5.8524580000000003E-4</v>
      </c>
      <c r="AA328">
        <v>0.99938709999999997</v>
      </c>
      <c r="AB328">
        <v>18</v>
      </c>
      <c r="AC328">
        <v>18.190300000000001</v>
      </c>
      <c r="AD328">
        <v>-1.104495</v>
      </c>
      <c r="AE328">
        <v>0.78530000000000599</v>
      </c>
      <c r="AF328">
        <v>-0.64184053387875295</v>
      </c>
      <c r="AG328">
        <v>-1.104495</v>
      </c>
      <c r="AH328">
        <v>18.129129439937699</v>
      </c>
      <c r="AI328">
        <v>93.4841884474788</v>
      </c>
      <c r="AJ328">
        <v>92.027642888649297</v>
      </c>
      <c r="AK328">
        <v>18.174080519409198</v>
      </c>
    </row>
    <row r="329" spans="1:37" x14ac:dyDescent="0.2">
      <c r="A329" t="str">
        <f>"20200111155800278"</f>
        <v>20200111155800278</v>
      </c>
      <c r="B329" t="str">
        <f>"1578729480271115"</f>
        <v>1578729480271115</v>
      </c>
      <c r="C329" t="s">
        <v>37</v>
      </c>
      <c r="D329">
        <v>5.8242409999999998</v>
      </c>
      <c r="E329">
        <v>0.50595670000000004</v>
      </c>
      <c r="F329" t="s">
        <v>41</v>
      </c>
      <c r="G329">
        <v>-407.74270000000001</v>
      </c>
      <c r="H329">
        <v>-0.05</v>
      </c>
      <c r="I329">
        <v>368.52940000000001</v>
      </c>
      <c r="J329">
        <v>-426.59190000000001</v>
      </c>
      <c r="K329">
        <v>1.0544990000000001</v>
      </c>
      <c r="L329">
        <v>367.73349999999999</v>
      </c>
      <c r="M329">
        <v>0.99988869999999896</v>
      </c>
      <c r="N329">
        <v>0</v>
      </c>
      <c r="O329">
        <v>7.7832600000000002E-3</v>
      </c>
      <c r="P329">
        <v>0.9983938</v>
      </c>
      <c r="Q329">
        <v>-1.0486260000000001E-2</v>
      </c>
      <c r="R329">
        <v>5.5676620000000003E-2</v>
      </c>
      <c r="S329">
        <v>2.9959720000000001</v>
      </c>
      <c r="T329">
        <v>-0.17383489999999999</v>
      </c>
      <c r="U329">
        <v>0.1254883</v>
      </c>
      <c r="V329">
        <v>-4.7903500000000002E-2</v>
      </c>
      <c r="W329">
        <v>2.233329E-3</v>
      </c>
      <c r="X329">
        <v>0.99884949999999995</v>
      </c>
      <c r="Y329">
        <v>-3.4026580000000001E-2</v>
      </c>
      <c r="Z329">
        <v>5.3485419999999896E-4</v>
      </c>
      <c r="AA329">
        <v>0.9994208</v>
      </c>
      <c r="AB329">
        <v>18</v>
      </c>
      <c r="AC329">
        <v>18.8492</v>
      </c>
      <c r="AD329">
        <v>-1.1044989999999999</v>
      </c>
      <c r="AE329">
        <v>0.79590000000001704</v>
      </c>
      <c r="AF329">
        <v>-0.646938429015949</v>
      </c>
      <c r="AG329">
        <v>-1.1044989999999999</v>
      </c>
      <c r="AH329">
        <v>18.790420926208199</v>
      </c>
      <c r="AI329">
        <v>93.361981876426299</v>
      </c>
      <c r="AJ329">
        <v>91.971866740081893</v>
      </c>
      <c r="AK329">
        <v>18.833968407003901</v>
      </c>
    </row>
    <row r="330" spans="1:37" x14ac:dyDescent="0.2">
      <c r="A330" t="str">
        <f>"20200111155800300"</f>
        <v>20200111155800300</v>
      </c>
      <c r="B330" t="str">
        <f>"1578729480291611"</f>
        <v>1578729480291611</v>
      </c>
      <c r="C330" t="s">
        <v>37</v>
      </c>
      <c r="D330">
        <v>5.9660630000000001</v>
      </c>
      <c r="E330">
        <v>0.50623750000000001</v>
      </c>
      <c r="F330" t="s">
        <v>41</v>
      </c>
      <c r="G330">
        <v>-407.33640000000003</v>
      </c>
      <c r="H330">
        <v>-0.05</v>
      </c>
      <c r="I330">
        <v>368.54809999999998</v>
      </c>
      <c r="J330">
        <v>-426.41789999999997</v>
      </c>
      <c r="K330">
        <v>1.054494</v>
      </c>
      <c r="L330">
        <v>367.73489999999998</v>
      </c>
      <c r="M330">
        <v>0.99988849999999996</v>
      </c>
      <c r="N330">
        <v>0</v>
      </c>
      <c r="O330">
        <v>7.8101179999999996E-3</v>
      </c>
      <c r="P330">
        <v>0.99833139999999998</v>
      </c>
      <c r="Q330">
        <v>-9.0868809999999998E-3</v>
      </c>
      <c r="R330">
        <v>5.7029669999999998E-2</v>
      </c>
      <c r="S330">
        <v>2.9959410000000002</v>
      </c>
      <c r="T330">
        <v>-0.17184839999999901</v>
      </c>
      <c r="U330">
        <v>0.1267395</v>
      </c>
      <c r="V330">
        <v>-4.923019E-2</v>
      </c>
      <c r="W330">
        <v>3.6352239999999998E-3</v>
      </c>
      <c r="X330">
        <v>0.99878080000000002</v>
      </c>
      <c r="Y330">
        <v>-3.441723E-2</v>
      </c>
      <c r="Z330">
        <v>5.3840419999999999E-4</v>
      </c>
      <c r="AA330">
        <v>0.99940739999999995</v>
      </c>
      <c r="AB330">
        <v>18</v>
      </c>
      <c r="AC330">
        <v>19.081499999999899</v>
      </c>
      <c r="AD330">
        <v>-1.1044940000000001</v>
      </c>
      <c r="AE330">
        <v>0.81319999999999404</v>
      </c>
      <c r="AF330">
        <v>-0.66192065110543297</v>
      </c>
      <c r="AG330">
        <v>-1.1044940000000001</v>
      </c>
      <c r="AH330">
        <v>19.023647616614898</v>
      </c>
      <c r="AI330">
        <v>93.320800504985101</v>
      </c>
      <c r="AJ330">
        <v>91.992781122445095</v>
      </c>
      <c r="AK330">
        <v>19.067176366350999</v>
      </c>
    </row>
    <row r="331" spans="1:37" x14ac:dyDescent="0.2">
      <c r="A331" t="str">
        <f>"20200111155800314"</f>
        <v>20200111155800314</v>
      </c>
      <c r="B331" t="str">
        <f>"1578729480311131"</f>
        <v>1578729480311131</v>
      </c>
      <c r="C331" t="s">
        <v>37</v>
      </c>
      <c r="D331">
        <v>5.7714660000000002</v>
      </c>
      <c r="E331">
        <v>0.50640200000000002</v>
      </c>
      <c r="F331" t="s">
        <v>41</v>
      </c>
      <c r="G331">
        <v>-406.90609999999998</v>
      </c>
      <c r="H331">
        <v>-0.05</v>
      </c>
      <c r="I331">
        <v>368.57240000000002</v>
      </c>
      <c r="J331">
        <v>-426.3091</v>
      </c>
      <c r="K331">
        <v>1.0544979999999999</v>
      </c>
      <c r="L331">
        <v>367.73579999999998</v>
      </c>
      <c r="M331">
        <v>0.99988829999999995</v>
      </c>
      <c r="N331">
        <v>0</v>
      </c>
      <c r="O331">
        <v>7.8269259999999997E-3</v>
      </c>
      <c r="P331">
        <v>0.99830819999999998</v>
      </c>
      <c r="Q331">
        <v>-8.3468369999999993E-3</v>
      </c>
      <c r="R331">
        <v>5.7543530000000002E-2</v>
      </c>
      <c r="S331">
        <v>2.9961549999999999</v>
      </c>
      <c r="T331">
        <v>-0.169602</v>
      </c>
      <c r="U331">
        <v>0.1286011</v>
      </c>
      <c r="V331">
        <v>-4.9727260000000002E-2</v>
      </c>
      <c r="W331">
        <v>4.3743150000000001E-3</v>
      </c>
      <c r="X331">
        <v>0.99875319999999901</v>
      </c>
      <c r="Y331">
        <v>-3.5017439999999997E-2</v>
      </c>
      <c r="Z331">
        <v>5.4734949999999999E-4</v>
      </c>
      <c r="AA331">
        <v>0.99938649999999996</v>
      </c>
      <c r="AB331">
        <v>18</v>
      </c>
      <c r="AC331">
        <v>19.402999999999999</v>
      </c>
      <c r="AD331">
        <v>-1.104498</v>
      </c>
      <c r="AE331">
        <v>0.83660000000003198</v>
      </c>
      <c r="AF331">
        <v>-0.68248881283892904</v>
      </c>
      <c r="AG331">
        <v>-1.104498</v>
      </c>
      <c r="AH331">
        <v>19.346381365465199</v>
      </c>
      <c r="AI331">
        <v>93.265481016135695</v>
      </c>
      <c r="AJ331">
        <v>92.020404668845202</v>
      </c>
      <c r="AK331">
        <v>19.389898884462401</v>
      </c>
    </row>
    <row r="332" spans="1:37" x14ac:dyDescent="0.2">
      <c r="A332" t="str">
        <f>"20200111155800332"</f>
        <v>20200111155800332</v>
      </c>
      <c r="B332" t="str">
        <f>"1578729480321867"</f>
        <v>1578729480321867</v>
      </c>
      <c r="C332" t="s">
        <v>37</v>
      </c>
      <c r="D332">
        <v>5.7138410000000004</v>
      </c>
      <c r="E332">
        <v>0.50652580000000003</v>
      </c>
      <c r="F332" t="s">
        <v>41</v>
      </c>
      <c r="G332">
        <v>-405.9171</v>
      </c>
      <c r="H332">
        <v>-0.05</v>
      </c>
      <c r="I332">
        <v>368.60919999999999</v>
      </c>
      <c r="J332">
        <v>-426.15809999999999</v>
      </c>
      <c r="K332">
        <v>1.0545040000000001</v>
      </c>
      <c r="L332">
        <v>367.7371</v>
      </c>
      <c r="M332">
        <v>0.99988809999999995</v>
      </c>
      <c r="N332">
        <v>0</v>
      </c>
      <c r="O332">
        <v>7.8503040000000007E-3</v>
      </c>
      <c r="P332">
        <v>0.9982626</v>
      </c>
      <c r="Q332">
        <v>-6.9197140000000004E-3</v>
      </c>
      <c r="R332">
        <v>5.8515659999999997E-2</v>
      </c>
      <c r="S332">
        <v>2.9963679999999999</v>
      </c>
      <c r="T332">
        <v>-0.16229389999999999</v>
      </c>
      <c r="U332">
        <v>0.12832639999999901</v>
      </c>
      <c r="V332">
        <v>-5.0676489999999998E-2</v>
      </c>
      <c r="W332">
        <v>5.7986089999999997E-3</v>
      </c>
      <c r="X332">
        <v>0.99869830000000004</v>
      </c>
      <c r="Y332">
        <v>-3.4903450000000003E-2</v>
      </c>
      <c r="Z332">
        <v>5.1941499999999996E-4</v>
      </c>
      <c r="AA332">
        <v>0.99939049999999996</v>
      </c>
      <c r="AB332">
        <v>18</v>
      </c>
      <c r="AC332">
        <v>20.2409999999999</v>
      </c>
      <c r="AD332">
        <v>-1.1045039999999999</v>
      </c>
      <c r="AE332">
        <v>0.872099999999989</v>
      </c>
      <c r="AF332">
        <v>-0.71104891727157904</v>
      </c>
      <c r="AG332">
        <v>-1.1045039999999999</v>
      </c>
      <c r="AH332">
        <v>20.187224302217</v>
      </c>
      <c r="AI332">
        <v>93.129765676552793</v>
      </c>
      <c r="AJ332">
        <v>92.017279145248295</v>
      </c>
      <c r="AK332">
        <v>20.2299170704378</v>
      </c>
    </row>
    <row r="333" spans="1:37" x14ac:dyDescent="0.2">
      <c r="A333" t="str">
        <f>"20200111155800348"</f>
        <v>20200111155800348</v>
      </c>
      <c r="B333" t="str">
        <f>"1578729480341388"</f>
        <v>1578729480341388</v>
      </c>
      <c r="C333" t="s">
        <v>37</v>
      </c>
      <c r="D333">
        <v>5.7236070000000003</v>
      </c>
      <c r="E333">
        <v>0.50699700000000003</v>
      </c>
      <c r="F333" t="s">
        <v>41</v>
      </c>
      <c r="G333">
        <v>-405.31819999999999</v>
      </c>
      <c r="H333">
        <v>-0.05</v>
      </c>
      <c r="I333">
        <v>368.64420000000001</v>
      </c>
      <c r="J333">
        <v>-426.03890000000001</v>
      </c>
      <c r="K333">
        <v>1.054505</v>
      </c>
      <c r="L333">
        <v>367.738</v>
      </c>
      <c r="M333">
        <v>0.99988809999999995</v>
      </c>
      <c r="N333">
        <v>0</v>
      </c>
      <c r="O333">
        <v>7.8686209999999993E-3</v>
      </c>
      <c r="P333">
        <v>0.998229699999999</v>
      </c>
      <c r="Q333">
        <v>-6.6842309999999997E-3</v>
      </c>
      <c r="R333">
        <v>5.9102490000000001E-2</v>
      </c>
      <c r="S333">
        <v>2.996521</v>
      </c>
      <c r="T333">
        <v>-0.15881419999999999</v>
      </c>
      <c r="U333">
        <v>0.1304321</v>
      </c>
      <c r="V333">
        <v>-5.1245020000000002E-2</v>
      </c>
      <c r="W333">
        <v>6.0303479999999996E-3</v>
      </c>
      <c r="X333">
        <v>0.99866790000000005</v>
      </c>
      <c r="Y333">
        <v>-3.5584699999999997E-2</v>
      </c>
      <c r="Z333">
        <v>5.2532299999999996E-4</v>
      </c>
      <c r="AA333">
        <v>0.99936650000000005</v>
      </c>
      <c r="AB333">
        <v>18</v>
      </c>
      <c r="AC333">
        <v>20.720700000000001</v>
      </c>
      <c r="AD333">
        <v>-1.1045049999999901</v>
      </c>
      <c r="AE333">
        <v>0.90619999999995504</v>
      </c>
      <c r="AF333">
        <v>-0.74101393915529801</v>
      </c>
      <c r="AG333">
        <v>-1.1045049999999901</v>
      </c>
      <c r="AH333">
        <v>20.668574757878201</v>
      </c>
      <c r="AI333">
        <v>93.056951049781702</v>
      </c>
      <c r="AJ333">
        <v>92.0533004654297</v>
      </c>
      <c r="AK333">
        <v>20.711325777821401</v>
      </c>
    </row>
    <row r="334" spans="1:37" x14ac:dyDescent="0.2">
      <c r="A334" t="str">
        <f>"20200111155800569"</f>
        <v>20200111155800569</v>
      </c>
      <c r="B334" t="str">
        <f>"1578729480561123"</f>
        <v>1578729480561123</v>
      </c>
      <c r="C334" t="s">
        <v>37</v>
      </c>
      <c r="D334">
        <v>5.9189360000000004</v>
      </c>
      <c r="E334">
        <v>0.50699700000000003</v>
      </c>
      <c r="F334" t="s">
        <v>41</v>
      </c>
      <c r="G334">
        <v>-405.12939999999998</v>
      </c>
      <c r="H334">
        <v>-0.05</v>
      </c>
      <c r="I334">
        <v>368.63490000000002</v>
      </c>
      <c r="J334">
        <v>-424.28280000000001</v>
      </c>
      <c r="K334">
        <v>1.0545799999999901</v>
      </c>
      <c r="L334">
        <v>367.75229999999999</v>
      </c>
      <c r="M334">
        <v>0.99988770000000005</v>
      </c>
      <c r="N334">
        <v>0</v>
      </c>
      <c r="O334">
        <v>8.1357500000000006E-3</v>
      </c>
      <c r="P334">
        <v>0.99721000000000004</v>
      </c>
      <c r="Q334">
        <v>1.7203090000000001E-2</v>
      </c>
      <c r="R334">
        <v>7.2641129999999998E-2</v>
      </c>
      <c r="S334">
        <v>2.996613</v>
      </c>
      <c r="T334">
        <v>-0.1582904</v>
      </c>
      <c r="U334">
        <v>0.12853999999999999</v>
      </c>
      <c r="V334">
        <v>-6.4525349999999995E-2</v>
      </c>
      <c r="W334">
        <v>2.9764849999999999E-2</v>
      </c>
      <c r="X334">
        <v>0.99747199999999903</v>
      </c>
      <c r="Y334">
        <v>-3.4688419999999998E-2</v>
      </c>
      <c r="Z334">
        <v>4.8584639999999998E-4</v>
      </c>
      <c r="AA334">
        <v>0.99939809999999996</v>
      </c>
      <c r="AB334">
        <v>18</v>
      </c>
      <c r="AC334">
        <v>19.153400000000001</v>
      </c>
      <c r="AD334">
        <v>-1.1045799999999999</v>
      </c>
      <c r="AE334">
        <v>0.88260000000002403</v>
      </c>
      <c r="AF334">
        <v>-0.72432726925156199</v>
      </c>
      <c r="AG334">
        <v>-1.1045799999999999</v>
      </c>
      <c r="AH334">
        <v>19.0965694464603</v>
      </c>
      <c r="AI334">
        <v>93.308029187511096</v>
      </c>
      <c r="AJ334">
        <v>92.172170811273205</v>
      </c>
      <c r="AK334">
        <v>19.142197146431801</v>
      </c>
    </row>
    <row r="335" spans="1:37" x14ac:dyDescent="0.2">
      <c r="A335" t="str">
        <f>"20200111155800591"</f>
        <v>20200111155800591</v>
      </c>
      <c r="B335" t="str">
        <f>"1578729480581432"</f>
        <v>1578729480581432</v>
      </c>
      <c r="C335" t="s">
        <v>37</v>
      </c>
      <c r="D335">
        <v>5.8015800000000004</v>
      </c>
      <c r="E335">
        <v>0.54122879999999995</v>
      </c>
      <c r="F335" t="s">
        <v>39</v>
      </c>
      <c r="G335">
        <v>-387.86509999999998</v>
      </c>
      <c r="H335" s="1">
        <v>-9.5283690000000003E-7</v>
      </c>
      <c r="I335">
        <v>369.82150000000001</v>
      </c>
      <c r="J335">
        <v>-424.11540000000002</v>
      </c>
      <c r="K335">
        <v>1.0545679999999999</v>
      </c>
      <c r="L335">
        <v>367.75369999999998</v>
      </c>
      <c r="M335">
        <v>0.99988759999999999</v>
      </c>
      <c r="N335">
        <v>0</v>
      </c>
      <c r="O335">
        <v>8.1607099999999998E-3</v>
      </c>
      <c r="P335">
        <v>0.99720200000000003</v>
      </c>
      <c r="Q335">
        <v>1.5785299999999999E-2</v>
      </c>
      <c r="R335">
        <v>7.3070350000000006E-2</v>
      </c>
      <c r="S335">
        <v>2.99749799999999</v>
      </c>
      <c r="T335">
        <v>-8.6800989999999995E-2</v>
      </c>
      <c r="U335">
        <v>0.17031859999999999</v>
      </c>
      <c r="V335">
        <v>-6.4929479999999998E-2</v>
      </c>
      <c r="W335">
        <v>2.833113E-2</v>
      </c>
      <c r="X335">
        <v>0.99748760000000003</v>
      </c>
      <c r="Y335">
        <v>-4.8561790000000001E-2</v>
      </c>
      <c r="Z335">
        <v>4.663286E-4</v>
      </c>
      <c r="AA335">
        <v>0.99882009999999899</v>
      </c>
      <c r="AB335">
        <v>18</v>
      </c>
      <c r="AC335">
        <v>36.250300000000003</v>
      </c>
      <c r="AD335">
        <v>-1.0545689528369</v>
      </c>
      <c r="AE335">
        <v>2.0678000000000298</v>
      </c>
      <c r="AF335">
        <v>-1.77038611933371</v>
      </c>
      <c r="AG335">
        <v>-1.0545689528369</v>
      </c>
      <c r="AH335">
        <v>36.235402023605602</v>
      </c>
      <c r="AI335">
        <v>91.665039408437096</v>
      </c>
      <c r="AJ335">
        <v>92.797127954645802</v>
      </c>
      <c r="AK335">
        <v>36.293949116900102</v>
      </c>
    </row>
    <row r="336" spans="1:37" x14ac:dyDescent="0.2">
      <c r="A336" t="str">
        <f>"20200111155800613"</f>
        <v>20200111155800613</v>
      </c>
      <c r="B336" t="str">
        <f>"1578729480600952"</f>
        <v>1578729480600952</v>
      </c>
      <c r="C336" t="s">
        <v>37</v>
      </c>
      <c r="D336">
        <v>5.6542750000000002</v>
      </c>
      <c r="E336">
        <v>0.54131629999999997</v>
      </c>
      <c r="F336" t="s">
        <v>38</v>
      </c>
      <c r="G336">
        <v>-423.28339999999997</v>
      </c>
      <c r="H336">
        <v>0.98054279999999905</v>
      </c>
      <c r="I336">
        <v>367.72840000000002</v>
      </c>
      <c r="J336">
        <v>-423.93669999999997</v>
      </c>
      <c r="K336">
        <v>1.054556</v>
      </c>
      <c r="L336">
        <v>367.7552</v>
      </c>
      <c r="M336">
        <v>0.99988759999999999</v>
      </c>
      <c r="N336">
        <v>0</v>
      </c>
      <c r="O336">
        <v>8.1876999999999991E-3</v>
      </c>
      <c r="P336">
        <v>0.997174</v>
      </c>
      <c r="Q336">
        <v>1.4460519999999999E-2</v>
      </c>
      <c r="R336">
        <v>7.3724150000000002E-2</v>
      </c>
      <c r="S336">
        <v>3.019409</v>
      </c>
      <c r="T336">
        <v>-0.26871869999999998</v>
      </c>
      <c r="U336">
        <v>-9.1522220000000001E-2</v>
      </c>
      <c r="V336">
        <v>-6.5556420000000004E-2</v>
      </c>
      <c r="W336">
        <v>2.6988870000000002E-2</v>
      </c>
      <c r="X336">
        <v>0.99748379999999903</v>
      </c>
      <c r="Y336">
        <v>3.8297379999999999E-2</v>
      </c>
      <c r="Z336">
        <v>-2.4275809999999998E-3</v>
      </c>
      <c r="AA336">
        <v>0.99926349999999997</v>
      </c>
      <c r="AB336">
        <v>18</v>
      </c>
      <c r="AC336">
        <v>0.65330000000000099</v>
      </c>
      <c r="AD336">
        <v>-7.4013200000000098E-2</v>
      </c>
      <c r="AE336">
        <v>-2.67999999999801E-2</v>
      </c>
      <c r="AF336">
        <v>3.1741828616296798E-2</v>
      </c>
      <c r="AG336">
        <v>-7.4013200000000098E-2</v>
      </c>
      <c r="AH336">
        <v>0.64479664303148199</v>
      </c>
      <c r="AI336">
        <v>96.540206249887405</v>
      </c>
      <c r="AJ336">
        <v>87.181738049139398</v>
      </c>
      <c r="AK336">
        <v>0.64980628522877104</v>
      </c>
    </row>
    <row r="337" spans="1:37" x14ac:dyDescent="0.2">
      <c r="A337" t="str">
        <f>"20200111155800635"</f>
        <v>20200111155800635</v>
      </c>
      <c r="B337" t="str">
        <f>"1578729480631209"</f>
        <v>1578729480631209</v>
      </c>
      <c r="C337" t="s">
        <v>37</v>
      </c>
      <c r="D337">
        <v>5.5812980000000003</v>
      </c>
      <c r="E337">
        <v>0.54202640000000002</v>
      </c>
      <c r="F337" t="s">
        <v>41</v>
      </c>
      <c r="G337">
        <v>-405.6035</v>
      </c>
      <c r="H337">
        <v>-0.05</v>
      </c>
      <c r="I337">
        <v>367.17790000000002</v>
      </c>
      <c r="J337">
        <v>-423.76830000000001</v>
      </c>
      <c r="K337">
        <v>1.054541</v>
      </c>
      <c r="L337">
        <v>367.75659999999999</v>
      </c>
      <c r="M337">
        <v>0.99988770000000005</v>
      </c>
      <c r="N337">
        <v>0</v>
      </c>
      <c r="O337">
        <v>8.2133109999999992E-3</v>
      </c>
      <c r="P337">
        <v>0.99718949999999995</v>
      </c>
      <c r="Q337">
        <v>1.3708369999999999E-2</v>
      </c>
      <c r="R337">
        <v>7.3660749999999997E-2</v>
      </c>
      <c r="S337">
        <v>3.0181269999999998</v>
      </c>
      <c r="T337">
        <v>-0.1818389</v>
      </c>
      <c r="U337">
        <v>-9.5031740000000003E-2</v>
      </c>
      <c r="V337">
        <v>-6.546739E-2</v>
      </c>
      <c r="W337">
        <v>2.6220480000000001E-2</v>
      </c>
      <c r="X337">
        <v>0.99751009999999996</v>
      </c>
      <c r="Y337">
        <v>3.9593610000000001E-2</v>
      </c>
      <c r="Z337">
        <v>-1.685684E-3</v>
      </c>
      <c r="AA337">
        <v>0.99921450000000001</v>
      </c>
      <c r="AB337">
        <v>18</v>
      </c>
      <c r="AC337">
        <v>18.1648</v>
      </c>
      <c r="AD337">
        <v>-1.104541</v>
      </c>
      <c r="AE337">
        <v>-0.57869999999996902</v>
      </c>
      <c r="AF337">
        <v>0.72520665439858401</v>
      </c>
      <c r="AG337">
        <v>-1.104541</v>
      </c>
      <c r="AH337">
        <v>18.092605096902599</v>
      </c>
      <c r="AI337">
        <v>93.490735646475201</v>
      </c>
      <c r="AJ337">
        <v>87.704639603629502</v>
      </c>
      <c r="AK337">
        <v>18.140790906262399</v>
      </c>
    </row>
    <row r="338" spans="1:37" x14ac:dyDescent="0.2">
      <c r="A338" t="str">
        <f>"20200111155800658"</f>
        <v>20200111155800658</v>
      </c>
      <c r="B338" t="str">
        <f>"1578729480651704"</f>
        <v>1578729480651704</v>
      </c>
      <c r="C338" t="s">
        <v>37</v>
      </c>
      <c r="D338">
        <v>5.687392</v>
      </c>
      <c r="E338">
        <v>0.53800619999999999</v>
      </c>
      <c r="F338" t="s">
        <v>39</v>
      </c>
      <c r="G338">
        <v>-396.3596</v>
      </c>
      <c r="H338" s="1">
        <v>-2.0422710000000002E-6</v>
      </c>
      <c r="I338">
        <v>366.8075</v>
      </c>
      <c r="J338">
        <v>-423.57979999999998</v>
      </c>
      <c r="K338">
        <v>1.054529</v>
      </c>
      <c r="L338">
        <v>367.75819999999999</v>
      </c>
      <c r="M338">
        <v>0.99988750000000004</v>
      </c>
      <c r="N338">
        <v>0</v>
      </c>
      <c r="O338">
        <v>8.2427999999999998E-3</v>
      </c>
      <c r="P338">
        <v>0.99720309999999901</v>
      </c>
      <c r="Q338">
        <v>1.3807069999999999E-2</v>
      </c>
      <c r="R338">
        <v>7.3454190000000003E-2</v>
      </c>
      <c r="S338">
        <v>3.0177309999999999</v>
      </c>
      <c r="T338">
        <v>-0.1161059</v>
      </c>
      <c r="U338">
        <v>-0.10449219999999999</v>
      </c>
      <c r="V338">
        <v>-6.5231319999999995E-2</v>
      </c>
      <c r="W338">
        <v>2.630151E-2</v>
      </c>
      <c r="X338">
        <v>0.99752350000000001</v>
      </c>
      <c r="Y338">
        <v>4.2804950000000001E-2</v>
      </c>
      <c r="Z338">
        <v>-1.1398599999999999E-3</v>
      </c>
      <c r="AA338">
        <v>0.99908280000000005</v>
      </c>
      <c r="AB338">
        <v>18</v>
      </c>
      <c r="AC338">
        <v>27.220199999999899</v>
      </c>
      <c r="AD338">
        <v>-1.0545310422709999</v>
      </c>
      <c r="AE338">
        <v>-0.950699999999983</v>
      </c>
      <c r="AF338">
        <v>1.1732971890743999</v>
      </c>
      <c r="AG338">
        <v>-1.0545310422709999</v>
      </c>
      <c r="AH338">
        <v>27.1707087081646</v>
      </c>
      <c r="AI338">
        <v>92.2205419281931</v>
      </c>
      <c r="AJ338">
        <v>87.527365253600905</v>
      </c>
      <c r="AK338">
        <v>27.216466958753799</v>
      </c>
    </row>
    <row r="339" spans="1:37" x14ac:dyDescent="0.2">
      <c r="A339" t="str">
        <f>"20200111155800680"</f>
        <v>20200111155800680</v>
      </c>
      <c r="B339" t="str">
        <f>"1578729480671223"</f>
        <v>1578729480671223</v>
      </c>
      <c r="C339" t="s">
        <v>37</v>
      </c>
      <c r="D339">
        <v>5.6358899999999998</v>
      </c>
      <c r="E339">
        <v>0.53557030000000005</v>
      </c>
      <c r="F339" t="s">
        <v>39</v>
      </c>
      <c r="G339">
        <v>-398.57279999999997</v>
      </c>
      <c r="H339" s="1">
        <v>-1.12493E-6</v>
      </c>
      <c r="I339">
        <v>367.16140000000001</v>
      </c>
      <c r="J339">
        <v>-423.40600000000001</v>
      </c>
      <c r="K339">
        <v>1.05452099999999</v>
      </c>
      <c r="L339">
        <v>367.75970000000001</v>
      </c>
      <c r="M339">
        <v>0.99988759999999999</v>
      </c>
      <c r="N339">
        <v>0</v>
      </c>
      <c r="O339">
        <v>8.26822199999999E-3</v>
      </c>
      <c r="P339">
        <v>0.99716450000000001</v>
      </c>
      <c r="Q339">
        <v>1.153406E-2</v>
      </c>
      <c r="R339">
        <v>7.436603E-2</v>
      </c>
      <c r="S339">
        <v>3.0154719999999999</v>
      </c>
      <c r="T339">
        <v>-0.12715979999999999</v>
      </c>
      <c r="U339">
        <v>-7.1960449999999995E-2</v>
      </c>
      <c r="V339">
        <v>-6.6117930000000005E-2</v>
      </c>
      <c r="W339">
        <v>2.4012470000000001E-2</v>
      </c>
      <c r="X339">
        <v>0.99752280000000004</v>
      </c>
      <c r="Y339">
        <v>3.2086799999999999E-2</v>
      </c>
      <c r="Z339">
        <v>-1.0246319999999999E-3</v>
      </c>
      <c r="AA339">
        <v>0.999484499999999</v>
      </c>
      <c r="AB339">
        <v>18</v>
      </c>
      <c r="AC339">
        <v>24.833200000000001</v>
      </c>
      <c r="AD339">
        <v>-1.0545221249299901</v>
      </c>
      <c r="AE339">
        <v>-0.59829999999999395</v>
      </c>
      <c r="AF339">
        <v>0.80217636460088004</v>
      </c>
      <c r="AG339">
        <v>-1.0545221249299901</v>
      </c>
      <c r="AH339">
        <v>24.7827412139678</v>
      </c>
      <c r="AI339">
        <v>92.435229927893801</v>
      </c>
      <c r="AJ339">
        <v>88.146077609960102</v>
      </c>
      <c r="AK339">
        <v>24.818133812001101</v>
      </c>
    </row>
    <row r="340" spans="1:37" x14ac:dyDescent="0.2">
      <c r="A340" t="str">
        <f>"20200111155800701"</f>
        <v>20200111155800701</v>
      </c>
      <c r="B340" t="str">
        <f>"1578729480691720"</f>
        <v>1578729480691720</v>
      </c>
      <c r="C340" t="s">
        <v>37</v>
      </c>
      <c r="D340">
        <v>5.6944919999999897</v>
      </c>
      <c r="E340">
        <v>0.53308319999999998</v>
      </c>
      <c r="F340" t="s">
        <v>41</v>
      </c>
      <c r="G340">
        <v>-399.5478</v>
      </c>
      <c r="H340">
        <v>-0.05</v>
      </c>
      <c r="I340">
        <v>367.36689999999999</v>
      </c>
      <c r="J340">
        <v>-423.24160000000001</v>
      </c>
      <c r="K340">
        <v>1.054511</v>
      </c>
      <c r="L340">
        <v>367.7611</v>
      </c>
      <c r="M340">
        <v>0.99988770000000005</v>
      </c>
      <c r="N340">
        <v>0</v>
      </c>
      <c r="O340">
        <v>8.2857250000000007E-3</v>
      </c>
      <c r="P340">
        <v>0.99702760000000001</v>
      </c>
      <c r="Q340">
        <v>8.7982100000000008E-3</v>
      </c>
      <c r="R340">
        <v>7.6541899999999996E-2</v>
      </c>
      <c r="S340">
        <v>3.0138240000000001</v>
      </c>
      <c r="T340">
        <v>-0.13952590000000001</v>
      </c>
      <c r="U340">
        <v>-4.9621579999999998E-2</v>
      </c>
      <c r="V340">
        <v>-6.827722E-2</v>
      </c>
      <c r="W340">
        <v>2.1261349999999998E-2</v>
      </c>
      <c r="X340">
        <v>0.99743979999999999</v>
      </c>
      <c r="Y340">
        <v>2.4711770000000001E-2</v>
      </c>
      <c r="Z340">
        <v>-9.5506689999999995E-4</v>
      </c>
      <c r="AA340">
        <v>0.99969419999999898</v>
      </c>
      <c r="AB340">
        <v>18</v>
      </c>
      <c r="AC340">
        <v>23.6938</v>
      </c>
      <c r="AD340">
        <v>-1.104511</v>
      </c>
      <c r="AE340">
        <v>-0.39420000000001199</v>
      </c>
      <c r="AF340">
        <v>0.58924198469755196</v>
      </c>
      <c r="AG340">
        <v>-1.104511</v>
      </c>
      <c r="AH340">
        <v>23.638366794579699</v>
      </c>
      <c r="AI340">
        <v>92.674390115859694</v>
      </c>
      <c r="AJ340">
        <v>88.572063417388705</v>
      </c>
      <c r="AK340">
        <v>23.671492039597702</v>
      </c>
    </row>
    <row r="341" spans="1:37" x14ac:dyDescent="0.2">
      <c r="A341" t="str">
        <f>"20200111155800723"</f>
        <v>20200111155800723</v>
      </c>
      <c r="B341" t="str">
        <f>"1578729480721001"</f>
        <v>1578729480721001</v>
      </c>
      <c r="C341" t="s">
        <v>37</v>
      </c>
      <c r="D341">
        <v>5.6434119999999997</v>
      </c>
      <c r="E341">
        <v>0.53117019999999904</v>
      </c>
      <c r="F341" t="s">
        <v>41</v>
      </c>
      <c r="G341">
        <v>-401.33319999999998</v>
      </c>
      <c r="H341">
        <v>-0.05</v>
      </c>
      <c r="I341">
        <v>367.59379999999999</v>
      </c>
      <c r="J341">
        <v>-423.06119999999999</v>
      </c>
      <c r="K341">
        <v>1.0544979999999999</v>
      </c>
      <c r="L341">
        <v>367.76260000000002</v>
      </c>
      <c r="M341">
        <v>0.99988779999999999</v>
      </c>
      <c r="N341">
        <v>0</v>
      </c>
      <c r="O341">
        <v>8.2953130000000003E-3</v>
      </c>
      <c r="P341">
        <v>0.99680069999999998</v>
      </c>
      <c r="Q341">
        <v>7.048739E-3</v>
      </c>
      <c r="R341">
        <v>7.9616590000000001E-2</v>
      </c>
      <c r="S341">
        <v>3.012054</v>
      </c>
      <c r="T341">
        <v>-0.15185209999999999</v>
      </c>
      <c r="U341">
        <v>-2.3010249999999999E-2</v>
      </c>
      <c r="V341">
        <v>-7.1343859999999995E-2</v>
      </c>
      <c r="W341">
        <v>1.9494560000000001E-2</v>
      </c>
      <c r="X341">
        <v>0.99726130000000002</v>
      </c>
      <c r="Y341">
        <v>1.590389E-2</v>
      </c>
      <c r="Z341">
        <v>-8.18603E-4</v>
      </c>
      <c r="AA341">
        <v>0.99987320000000002</v>
      </c>
      <c r="AB341">
        <v>18</v>
      </c>
      <c r="AC341">
        <v>21.728000000000002</v>
      </c>
      <c r="AD341">
        <v>-1.104498</v>
      </c>
      <c r="AE341">
        <v>-0.16880000000003201</v>
      </c>
      <c r="AF341">
        <v>0.34814921539197502</v>
      </c>
      <c r="AG341">
        <v>-1.104498</v>
      </c>
      <c r="AH341">
        <v>21.6698606732309</v>
      </c>
      <c r="AI341">
        <v>92.917425965397996</v>
      </c>
      <c r="AJ341">
        <v>89.079561932579907</v>
      </c>
      <c r="AK341">
        <v>21.7007830574249</v>
      </c>
    </row>
    <row r="342" spans="1:37" x14ac:dyDescent="0.2">
      <c r="A342" t="str">
        <f>"20200111155800747"</f>
        <v>20200111155800747</v>
      </c>
      <c r="B342" t="str">
        <f>"1578729480741496"</f>
        <v>1578729480741496</v>
      </c>
      <c r="C342" t="s">
        <v>37</v>
      </c>
      <c r="D342">
        <v>5.4304489999999896</v>
      </c>
      <c r="E342">
        <v>0.53240690000000002</v>
      </c>
      <c r="F342" t="s">
        <v>41</v>
      </c>
      <c r="G342">
        <v>-400.97570000000002</v>
      </c>
      <c r="H342">
        <v>-0.05</v>
      </c>
      <c r="I342">
        <v>367.76659999999998</v>
      </c>
      <c r="J342">
        <v>-422.88</v>
      </c>
      <c r="K342">
        <v>1.054484</v>
      </c>
      <c r="L342">
        <v>367.76420000000002</v>
      </c>
      <c r="M342">
        <v>0.9998882</v>
      </c>
      <c r="N342">
        <v>0</v>
      </c>
      <c r="O342">
        <v>8.2743680000000007E-3</v>
      </c>
      <c r="P342">
        <v>0.9964923</v>
      </c>
      <c r="Q342">
        <v>7.8172520000000002E-3</v>
      </c>
      <c r="R342">
        <v>8.3320290000000005E-2</v>
      </c>
      <c r="S342">
        <v>3.01065099999999</v>
      </c>
      <c r="T342">
        <v>-0.15056259999999999</v>
      </c>
      <c r="U342">
        <v>5.4931640000000002E-4</v>
      </c>
      <c r="V342">
        <v>-7.5069910000000004E-2</v>
      </c>
      <c r="W342">
        <v>2.0247810000000002E-2</v>
      </c>
      <c r="X342">
        <v>0.99697269999999905</v>
      </c>
      <c r="Y342">
        <v>8.0721290000000008E-3</v>
      </c>
      <c r="Z342">
        <v>-6.1528869999999999E-4</v>
      </c>
      <c r="AA342">
        <v>0.99996719999999895</v>
      </c>
      <c r="AB342">
        <v>18</v>
      </c>
      <c r="AC342">
        <v>21.9042999999999</v>
      </c>
      <c r="AD342">
        <v>-1.104484</v>
      </c>
      <c r="AE342">
        <v>2.3999999999659801E-3</v>
      </c>
      <c r="AF342">
        <v>0.17840478703955601</v>
      </c>
      <c r="AG342">
        <v>-1.104484</v>
      </c>
      <c r="AH342">
        <v>21.848021406530801</v>
      </c>
      <c r="AI342">
        <v>92.893916134719206</v>
      </c>
      <c r="AJ342">
        <v>89.532149206223593</v>
      </c>
      <c r="AK342">
        <v>21.876648567697</v>
      </c>
    </row>
    <row r="343" spans="1:37" x14ac:dyDescent="0.2">
      <c r="A343" t="str">
        <f>"20200111155800780"</f>
        <v>20200111155800780</v>
      </c>
      <c r="B343" t="str">
        <f>"1578729480771751"</f>
        <v>1578729480771751</v>
      </c>
      <c r="C343" t="s">
        <v>37</v>
      </c>
      <c r="D343">
        <v>5.4133940000000003</v>
      </c>
      <c r="E343">
        <v>0.53348459999999998</v>
      </c>
      <c r="F343" t="s">
        <v>41</v>
      </c>
      <c r="G343">
        <v>-399.84829999999999</v>
      </c>
      <c r="H343">
        <v>-0.05</v>
      </c>
      <c r="I343">
        <v>367.77510000000001</v>
      </c>
      <c r="J343">
        <v>-422.61829999999998</v>
      </c>
      <c r="K343">
        <v>1.0544450000000001</v>
      </c>
      <c r="L343">
        <v>367.76620000000003</v>
      </c>
      <c r="M343">
        <v>0.99988940000000004</v>
      </c>
      <c r="N343">
        <v>0</v>
      </c>
      <c r="O343">
        <v>8.1539669999999998E-3</v>
      </c>
      <c r="P343">
        <v>0.99631069999999999</v>
      </c>
      <c r="Q343">
        <v>9.4128549999999995E-3</v>
      </c>
      <c r="R343">
        <v>8.5303770000000001E-2</v>
      </c>
      <c r="S343">
        <v>3.0115970000000001</v>
      </c>
      <c r="T343">
        <v>-0.1444213</v>
      </c>
      <c r="U343">
        <v>1.4343260000000001E-3</v>
      </c>
      <c r="V343">
        <v>-7.7172699999999997E-2</v>
      </c>
      <c r="W343">
        <v>2.1829129999999999E-2</v>
      </c>
      <c r="X343">
        <v>0.99677870000000002</v>
      </c>
      <c r="Y343">
        <v>7.6601719999999998E-3</v>
      </c>
      <c r="Z343">
        <v>-5.7439269999999998E-4</v>
      </c>
      <c r="AA343">
        <v>0.99997049999999998</v>
      </c>
      <c r="AB343">
        <v>18</v>
      </c>
      <c r="AC343">
        <v>22.7699999999999</v>
      </c>
      <c r="AD343">
        <v>-1.1044449999999999</v>
      </c>
      <c r="AE343">
        <v>8.8999999999828001E-3</v>
      </c>
      <c r="AF343">
        <v>0.17636555652981201</v>
      </c>
      <c r="AG343">
        <v>-1.1044449999999999</v>
      </c>
      <c r="AH343">
        <v>22.715872409604</v>
      </c>
      <c r="AI343">
        <v>92.783443286811107</v>
      </c>
      <c r="AJ343">
        <v>89.555165708597002</v>
      </c>
      <c r="AK343">
        <v>22.743389432909101</v>
      </c>
    </row>
    <row r="344" spans="1:37" x14ac:dyDescent="0.2">
      <c r="A344" t="str">
        <f>"20200111155800825"</f>
        <v>20200111155800825</v>
      </c>
      <c r="B344" t="str">
        <f>"1578729480821528"</f>
        <v>1578729480821528</v>
      </c>
      <c r="C344" t="s">
        <v>37</v>
      </c>
      <c r="D344">
        <v>9.1170910000000003</v>
      </c>
      <c r="E344">
        <v>0.55595799999999995</v>
      </c>
      <c r="F344" t="s">
        <v>39</v>
      </c>
      <c r="G344">
        <v>-399.11489999999998</v>
      </c>
      <c r="H344" s="1">
        <v>-7.8325649999999899E-7</v>
      </c>
      <c r="I344">
        <v>367.75209999999998</v>
      </c>
      <c r="J344">
        <v>-422.2679</v>
      </c>
      <c r="K344">
        <v>1.054332</v>
      </c>
      <c r="L344">
        <v>367.76859999999999</v>
      </c>
      <c r="M344">
        <v>0.99989300000000003</v>
      </c>
      <c r="N344">
        <v>0</v>
      </c>
      <c r="O344">
        <v>7.7382880000000003E-3</v>
      </c>
      <c r="P344">
        <v>0.99635680000000004</v>
      </c>
      <c r="Q344">
        <v>8.1895400000000004E-3</v>
      </c>
      <c r="R344">
        <v>8.4888640000000001E-2</v>
      </c>
      <c r="S344">
        <v>3.012543</v>
      </c>
      <c r="T344">
        <v>-0.1351533</v>
      </c>
      <c r="U344">
        <v>-1.8005370000000001E-3</v>
      </c>
      <c r="V344">
        <v>-7.7166620000000005E-2</v>
      </c>
      <c r="W344">
        <v>2.060155E-2</v>
      </c>
      <c r="X344">
        <v>0.99680539999999995</v>
      </c>
      <c r="Y344">
        <v>8.3203919999999994E-3</v>
      </c>
      <c r="Z344">
        <v>-5.3356390000000001E-4</v>
      </c>
      <c r="AA344">
        <v>0.99996529999999995</v>
      </c>
      <c r="AB344">
        <v>18</v>
      </c>
      <c r="AC344">
        <v>23.152999999999999</v>
      </c>
      <c r="AD344">
        <v>-1.0543327832564999</v>
      </c>
      <c r="AE344">
        <v>-1.6500000000007699E-2</v>
      </c>
      <c r="AF344">
        <v>0.195272962228109</v>
      </c>
      <c r="AG344">
        <v>-1.0543327832564999</v>
      </c>
      <c r="AH344">
        <v>23.104268238012001</v>
      </c>
      <c r="AI344">
        <v>92.612711423915499</v>
      </c>
      <c r="AJ344">
        <v>89.515758297155699</v>
      </c>
      <c r="AK344">
        <v>23.129136602165602</v>
      </c>
    </row>
    <row r="345" spans="1:37" x14ac:dyDescent="0.2">
      <c r="A345" t="str">
        <f>"20200111155800847"</f>
        <v>20200111155800847</v>
      </c>
      <c r="B345" t="str">
        <f>"1578729480841048"</f>
        <v>1578729480841048</v>
      </c>
      <c r="C345" t="s">
        <v>37</v>
      </c>
      <c r="D345">
        <v>5.6234659999999996</v>
      </c>
      <c r="E345">
        <v>0.55441149999999995</v>
      </c>
      <c r="F345" t="s">
        <v>39</v>
      </c>
      <c r="G345">
        <v>-364.35629999999998</v>
      </c>
      <c r="H345" s="1">
        <v>-3.3631849999999899E-6</v>
      </c>
      <c r="I345">
        <v>364.20569999999998</v>
      </c>
      <c r="J345">
        <v>-422.08699999999999</v>
      </c>
      <c r="K345">
        <v>1.054257</v>
      </c>
      <c r="L345">
        <v>367.7697</v>
      </c>
      <c r="M345">
        <v>0.99989609999999995</v>
      </c>
      <c r="N345">
        <v>0</v>
      </c>
      <c r="O345">
        <v>7.3483940000000003E-3</v>
      </c>
      <c r="P345">
        <v>0.99648859999999995</v>
      </c>
      <c r="Q345">
        <v>7.8573949999999997E-3</v>
      </c>
      <c r="R345">
        <v>8.3361169999999998E-2</v>
      </c>
      <c r="S345">
        <v>3.0273129999999999</v>
      </c>
      <c r="T345">
        <v>-5.5114980000000001E-2</v>
      </c>
      <c r="U345">
        <v>-0.18624879999999999</v>
      </c>
      <c r="V345">
        <v>-7.6023480000000004E-2</v>
      </c>
      <c r="W345">
        <v>2.0272120000000001E-2</v>
      </c>
      <c r="X345">
        <v>0.99689989999999995</v>
      </c>
      <c r="Y345">
        <v>6.8727570000000002E-2</v>
      </c>
      <c r="Z345">
        <v>-7.5864499999999996E-4</v>
      </c>
      <c r="AA345">
        <v>0.99763519999999895</v>
      </c>
      <c r="AB345">
        <v>18</v>
      </c>
      <c r="AC345">
        <v>57.730699999999999</v>
      </c>
      <c r="AD345">
        <v>-1.054260363185</v>
      </c>
      <c r="AE345">
        <v>-3.56400000000002</v>
      </c>
      <c r="AF345">
        <v>3.98683979117274</v>
      </c>
      <c r="AG345">
        <v>-1.054260363185</v>
      </c>
      <c r="AH345">
        <v>57.683785454977198</v>
      </c>
      <c r="AI345">
        <v>91.044561004345198</v>
      </c>
      <c r="AJ345">
        <v>86.046264996712907</v>
      </c>
      <c r="AK345">
        <v>57.831007779993797</v>
      </c>
    </row>
    <row r="346" spans="1:37" x14ac:dyDescent="0.2">
      <c r="A346" t="str">
        <f>"20200111155800913"</f>
        <v>20200111155800913</v>
      </c>
      <c r="B346" t="str">
        <f>"1578729480901741"</f>
        <v>1578729480901741</v>
      </c>
      <c r="C346" t="s">
        <v>37</v>
      </c>
      <c r="D346">
        <v>5.3912230000000001</v>
      </c>
      <c r="E346">
        <v>0.55710400000000004</v>
      </c>
      <c r="F346" t="s">
        <v>39</v>
      </c>
      <c r="G346">
        <v>-336.83690000000001</v>
      </c>
      <c r="H346" s="1">
        <v>-2.90154999999999E-6</v>
      </c>
      <c r="I346">
        <v>362.7045</v>
      </c>
      <c r="J346">
        <v>-421.57040000000001</v>
      </c>
      <c r="K346">
        <v>1.0540719999999999</v>
      </c>
      <c r="L346">
        <v>367.7713</v>
      </c>
      <c r="M346">
        <v>0.99990789999999996</v>
      </c>
      <c r="N346">
        <v>0</v>
      </c>
      <c r="O346">
        <v>5.6022469999999899E-3</v>
      </c>
      <c r="P346">
        <v>0.99679019999999996</v>
      </c>
      <c r="Q346">
        <v>7.706493E-3</v>
      </c>
      <c r="R346">
        <v>7.9688040000000002E-2</v>
      </c>
      <c r="S346">
        <v>3.0258790000000002</v>
      </c>
      <c r="T346">
        <v>-3.742003E-2</v>
      </c>
      <c r="U346">
        <v>-0.1797791</v>
      </c>
      <c r="V346">
        <v>-7.4080770000000004E-2</v>
      </c>
      <c r="W346">
        <v>2.012624E-2</v>
      </c>
      <c r="X346">
        <v>0.99704919999999997</v>
      </c>
      <c r="Y346">
        <v>6.4895759999999997E-2</v>
      </c>
      <c r="Z346">
        <v>-4.7012870000000002E-4</v>
      </c>
      <c r="AA346">
        <v>0.997892</v>
      </c>
      <c r="AB346">
        <v>18</v>
      </c>
      <c r="AC346">
        <v>84.733499999999907</v>
      </c>
      <c r="AD346">
        <v>-1.0540749015499999</v>
      </c>
      <c r="AE346">
        <v>-5.0667999999999997</v>
      </c>
      <c r="AF346">
        <v>5.5406003878423604</v>
      </c>
      <c r="AG346">
        <v>-1.0540749015499999</v>
      </c>
      <c r="AH346">
        <v>84.690723210461599</v>
      </c>
      <c r="AI346">
        <v>90.711555094264398</v>
      </c>
      <c r="AJ346">
        <v>86.256953915359205</v>
      </c>
      <c r="AK346">
        <v>84.878312450630503</v>
      </c>
    </row>
    <row r="347" spans="1:37" x14ac:dyDescent="0.2">
      <c r="A347" t="str">
        <f>"20200111155800936"</f>
        <v>20200111155800936</v>
      </c>
      <c r="B347" t="str">
        <f>"1578729480931023"</f>
        <v>1578729480931023</v>
      </c>
      <c r="C347" t="s">
        <v>37</v>
      </c>
      <c r="D347">
        <v>5.8236689999999998</v>
      </c>
      <c r="E347">
        <v>0.55321999999999905</v>
      </c>
      <c r="F347" t="s">
        <v>39</v>
      </c>
      <c r="G347">
        <v>-349.63400000000001</v>
      </c>
      <c r="H347" s="1">
        <v>-1.9553039999999998E-6</v>
      </c>
      <c r="I347">
        <v>362.73660000000001</v>
      </c>
      <c r="J347">
        <v>-421.38799999999998</v>
      </c>
      <c r="K347">
        <v>1.0540259999999999</v>
      </c>
      <c r="L347">
        <v>367.77140000000003</v>
      </c>
      <c r="M347">
        <v>0.99991209999999997</v>
      </c>
      <c r="N347">
        <v>0</v>
      </c>
      <c r="O347">
        <v>4.8083500000000003E-3</v>
      </c>
      <c r="P347">
        <v>0.99692459999999905</v>
      </c>
      <c r="Q347">
        <v>7.0225299999999999E-3</v>
      </c>
      <c r="R347">
        <v>7.8051980000000007E-2</v>
      </c>
      <c r="S347">
        <v>3.02697799999999</v>
      </c>
      <c r="T347">
        <v>-4.4353839999999999E-2</v>
      </c>
      <c r="U347">
        <v>-0.21185300000000001</v>
      </c>
      <c r="V347">
        <v>-7.3234049999999995E-2</v>
      </c>
      <c r="W347">
        <v>1.9439729999999999E-2</v>
      </c>
      <c r="X347">
        <v>0.99712529999999999</v>
      </c>
      <c r="Y347">
        <v>7.4605199999999997E-2</v>
      </c>
      <c r="Z347">
        <v>-6.1626689999999995E-4</v>
      </c>
      <c r="AA347">
        <v>0.99721289999999996</v>
      </c>
      <c r="AB347">
        <v>18</v>
      </c>
      <c r="AC347">
        <v>71.754000000000005</v>
      </c>
      <c r="AD347">
        <v>-1.054027955304</v>
      </c>
      <c r="AE347">
        <v>-5.0348000000000104</v>
      </c>
      <c r="AF347">
        <v>5.3786315570097001</v>
      </c>
      <c r="AG347">
        <v>-1.054027955304</v>
      </c>
      <c r="AH347">
        <v>71.713560887773198</v>
      </c>
      <c r="AI347">
        <v>90.839700278175599</v>
      </c>
      <c r="AJ347">
        <v>85.710755710352799</v>
      </c>
      <c r="AK347">
        <v>71.922704812604096</v>
      </c>
    </row>
    <row r="348" spans="1:37" x14ac:dyDescent="0.2">
      <c r="A348" t="str">
        <f>"20200111155800959"</f>
        <v>20200111155800959</v>
      </c>
      <c r="B348" t="str">
        <f>"1578729480951518"</f>
        <v>1578729480951518</v>
      </c>
      <c r="C348" t="s">
        <v>37</v>
      </c>
      <c r="D348">
        <v>5.9299150000000003</v>
      </c>
      <c r="E348">
        <v>0.54800649999999995</v>
      </c>
      <c r="F348" t="s">
        <v>39</v>
      </c>
      <c r="G348">
        <v>-361.63080000000002</v>
      </c>
      <c r="H348" s="1">
        <v>-4.5489270000000003E-6</v>
      </c>
      <c r="I348">
        <v>364.11270000000002</v>
      </c>
      <c r="J348">
        <v>-421.2072</v>
      </c>
      <c r="K348">
        <v>1.0539879999999999</v>
      </c>
      <c r="L348">
        <v>367.77120000000002</v>
      </c>
      <c r="M348">
        <v>0.99991580000000002</v>
      </c>
      <c r="N348">
        <v>0</v>
      </c>
      <c r="O348">
        <v>3.9684949999999998E-3</v>
      </c>
      <c r="P348">
        <v>0.9971141</v>
      </c>
      <c r="Q348">
        <v>5.9290810000000001E-3</v>
      </c>
      <c r="R348">
        <v>7.5685989999999995E-2</v>
      </c>
      <c r="S348">
        <v>3.0241389999999999</v>
      </c>
      <c r="T348">
        <v>-5.3341390000000002E-2</v>
      </c>
      <c r="U348">
        <v>-0.18515009999999901</v>
      </c>
      <c r="V348">
        <v>-7.1705389999999994E-2</v>
      </c>
      <c r="W348">
        <v>1.8340820000000001E-2</v>
      </c>
      <c r="X348">
        <v>0.99725719999999995</v>
      </c>
      <c r="Y348">
        <v>6.5059859999999997E-2</v>
      </c>
      <c r="Z348">
        <v>-6.4313409999999999E-4</v>
      </c>
      <c r="AA348">
        <v>0.99788120000000002</v>
      </c>
      <c r="AB348">
        <v>18</v>
      </c>
      <c r="AC348">
        <v>59.5763999999999</v>
      </c>
      <c r="AD348">
        <v>-1.0539925489269999</v>
      </c>
      <c r="AE348">
        <v>-3.6585000000000001</v>
      </c>
      <c r="AF348">
        <v>3.8937037779714201</v>
      </c>
      <c r="AG348">
        <v>-1.0539925489269999</v>
      </c>
      <c r="AH348">
        <v>59.542844811573403</v>
      </c>
      <c r="AI348">
        <v>91.011949470948196</v>
      </c>
      <c r="AJ348">
        <v>86.2585663399813</v>
      </c>
      <c r="AK348">
        <v>59.679328059713399</v>
      </c>
    </row>
    <row r="349" spans="1:37" x14ac:dyDescent="0.2">
      <c r="A349" t="str">
        <f>"20200111155800981"</f>
        <v>20200111155800981</v>
      </c>
      <c r="B349" t="str">
        <f>"1578729480971037"</f>
        <v>1578729480971037</v>
      </c>
      <c r="C349" t="s">
        <v>37</v>
      </c>
      <c r="D349">
        <v>5.7772399999999999</v>
      </c>
      <c r="E349">
        <v>0.54528109999999996</v>
      </c>
      <c r="F349" t="s">
        <v>39</v>
      </c>
      <c r="G349">
        <v>-383.35410000000002</v>
      </c>
      <c r="H349" s="1">
        <v>-3.4924650000000001E-6</v>
      </c>
      <c r="I349">
        <v>365.9006</v>
      </c>
      <c r="J349">
        <v>-421.03320000000002</v>
      </c>
      <c r="K349">
        <v>1.0539689999999999</v>
      </c>
      <c r="L349">
        <v>367.77099999999899</v>
      </c>
      <c r="M349">
        <v>0.99991890000000005</v>
      </c>
      <c r="N349">
        <v>0</v>
      </c>
      <c r="O349">
        <v>3.1365899999999999E-3</v>
      </c>
      <c r="P349">
        <v>0.99732559999999904</v>
      </c>
      <c r="Q349">
        <v>4.3378569999999997E-3</v>
      </c>
      <c r="R349">
        <v>7.2959449999999995E-2</v>
      </c>
      <c r="S349">
        <v>3.0204770000000001</v>
      </c>
      <c r="T349">
        <v>-8.4102990000000002E-2</v>
      </c>
      <c r="U349">
        <v>-0.14926149999999999</v>
      </c>
      <c r="V349">
        <v>-6.9809880000000005E-2</v>
      </c>
      <c r="W349">
        <v>1.674223E-2</v>
      </c>
      <c r="X349">
        <v>0.99741979999999997</v>
      </c>
      <c r="Y349">
        <v>5.2467560000000003E-2</v>
      </c>
      <c r="Z349">
        <v>-8.171481E-4</v>
      </c>
      <c r="AA349">
        <v>0.99862229999999996</v>
      </c>
      <c r="AB349">
        <v>18</v>
      </c>
      <c r="AC349">
        <v>37.679099999999998</v>
      </c>
      <c r="AD349">
        <v>-1.053972492465</v>
      </c>
      <c r="AE349">
        <v>-1.8703999999999601</v>
      </c>
      <c r="AF349">
        <v>1.9870327548423401</v>
      </c>
      <c r="AG349">
        <v>-1.053972492465</v>
      </c>
      <c r="AH349">
        <v>37.643665552592097</v>
      </c>
      <c r="AI349">
        <v>91.601558023982506</v>
      </c>
      <c r="AJ349">
        <v>86.978428455924899</v>
      </c>
      <c r="AK349">
        <v>37.710803669758903</v>
      </c>
    </row>
    <row r="350" spans="1:37" x14ac:dyDescent="0.2">
      <c r="A350" t="str">
        <f>"20200111155801004"</f>
        <v>20200111155801004</v>
      </c>
      <c r="B350" t="str">
        <f>"1578729480991314"</f>
        <v>1578729480991314</v>
      </c>
      <c r="C350" t="s">
        <v>37</v>
      </c>
      <c r="D350">
        <v>5.7634879999999997</v>
      </c>
      <c r="E350">
        <v>0.54310659999999999</v>
      </c>
      <c r="F350" t="s">
        <v>39</v>
      </c>
      <c r="G350">
        <v>-391.93819999999999</v>
      </c>
      <c r="H350" s="1">
        <v>-3.9980999999999999E-6</v>
      </c>
      <c r="I350">
        <v>366.47449999999998</v>
      </c>
      <c r="J350">
        <v>-420.86290000000002</v>
      </c>
      <c r="K350">
        <v>1.0539620000000001</v>
      </c>
      <c r="L350">
        <v>367.77050000000003</v>
      </c>
      <c r="M350">
        <v>0.99992130000000001</v>
      </c>
      <c r="N350">
        <v>0</v>
      </c>
      <c r="O350">
        <v>2.3191050000000001E-3</v>
      </c>
      <c r="P350">
        <v>0.99751829999999997</v>
      </c>
      <c r="Q350">
        <v>2.4310109999999998E-3</v>
      </c>
      <c r="R350">
        <v>7.0368340000000001E-2</v>
      </c>
      <c r="S350">
        <v>3.0183110000000002</v>
      </c>
      <c r="T350">
        <v>-0.10933859999999999</v>
      </c>
      <c r="U350">
        <v>-0.134491</v>
      </c>
      <c r="V350">
        <v>-6.8036379999999994E-2</v>
      </c>
      <c r="W350">
        <v>1.4825100000000001E-2</v>
      </c>
      <c r="X350">
        <v>0.99757269999999898</v>
      </c>
      <c r="Y350">
        <v>4.6798899999999997E-2</v>
      </c>
      <c r="Z350">
        <v>-9.3089780000000003E-4</v>
      </c>
      <c r="AA350">
        <v>0.99890389999999996</v>
      </c>
      <c r="AB350">
        <v>18</v>
      </c>
      <c r="AC350">
        <v>28.924700000000001</v>
      </c>
      <c r="AD350">
        <v>-1.0539659981</v>
      </c>
      <c r="AE350">
        <v>-1.29600000000004</v>
      </c>
      <c r="AF350">
        <v>1.3612772188345801</v>
      </c>
      <c r="AG350">
        <v>-1.0539659981</v>
      </c>
      <c r="AH350">
        <v>28.883343467836902</v>
      </c>
      <c r="AI350">
        <v>92.087506034969294</v>
      </c>
      <c r="AJ350">
        <v>87.301636249644105</v>
      </c>
      <c r="AK350">
        <v>28.934606440605101</v>
      </c>
    </row>
    <row r="351" spans="1:37" x14ac:dyDescent="0.2">
      <c r="A351" t="str">
        <f>"20200111155801026"</f>
        <v>20200111155801026</v>
      </c>
      <c r="B351" t="str">
        <f>"1578729481021571"</f>
        <v>1578729481021571</v>
      </c>
      <c r="C351" t="s">
        <v>37</v>
      </c>
      <c r="D351">
        <v>6.2172049999999999</v>
      </c>
      <c r="E351">
        <v>0.5083879</v>
      </c>
      <c r="F351" t="s">
        <v>39</v>
      </c>
      <c r="G351">
        <v>-396.1354</v>
      </c>
      <c r="H351" s="1">
        <v>-2.148382E-6</v>
      </c>
      <c r="I351">
        <v>366.75150000000002</v>
      </c>
      <c r="J351">
        <v>-420.68130000000002</v>
      </c>
      <c r="K351">
        <v>1.0539700000000001</v>
      </c>
      <c r="L351">
        <v>367.76990000000001</v>
      </c>
      <c r="M351">
        <v>0.99992309999999995</v>
      </c>
      <c r="N351">
        <v>0</v>
      </c>
      <c r="O351">
        <v>1.458642E-3</v>
      </c>
      <c r="P351">
        <v>0.99768009999999996</v>
      </c>
      <c r="Q351">
        <v>7.2485949999999996E-4</v>
      </c>
      <c r="R351">
        <v>6.8074380000000004E-2</v>
      </c>
      <c r="S351">
        <v>3.0165410000000001</v>
      </c>
      <c r="T351">
        <v>-0.12857360000000001</v>
      </c>
      <c r="U351">
        <v>-0.12429809999999999</v>
      </c>
      <c r="V351">
        <v>-6.6603250000000003E-2</v>
      </c>
      <c r="W351">
        <v>1.310675E-2</v>
      </c>
      <c r="X351">
        <v>0.99769349999999901</v>
      </c>
      <c r="Y351">
        <v>4.2588130000000002E-2</v>
      </c>
      <c r="Z351">
        <v>-9.6894009999999998E-4</v>
      </c>
      <c r="AA351">
        <v>0.99909219999999899</v>
      </c>
      <c r="AB351">
        <v>18</v>
      </c>
      <c r="AC351">
        <v>24.5459</v>
      </c>
      <c r="AD351">
        <v>-1.0539721483819999</v>
      </c>
      <c r="AE351">
        <v>-1.01839999999998</v>
      </c>
      <c r="AF351">
        <v>1.05226853389491</v>
      </c>
      <c r="AG351">
        <v>-1.0539721483819999</v>
      </c>
      <c r="AH351">
        <v>24.499295511335401</v>
      </c>
      <c r="AI351">
        <v>92.461108335667902</v>
      </c>
      <c r="AJ351">
        <v>87.540602239851907</v>
      </c>
      <c r="AK351">
        <v>24.544522951337399</v>
      </c>
    </row>
    <row r="352" spans="1:37" x14ac:dyDescent="0.2">
      <c r="A352" t="str">
        <f>"20200111155801048"</f>
        <v>20200111155801048</v>
      </c>
      <c r="B352" t="str">
        <f>"1578729481041091"</f>
        <v>1578729481041091</v>
      </c>
      <c r="C352" t="s">
        <v>37</v>
      </c>
      <c r="D352">
        <v>5.8929019999999896</v>
      </c>
      <c r="E352">
        <v>0.51431539999999998</v>
      </c>
      <c r="F352" t="s">
        <v>42</v>
      </c>
      <c r="G352">
        <v>-158.19499999999999</v>
      </c>
      <c r="H352">
        <v>4.6713509999999996</v>
      </c>
      <c r="I352">
        <v>379.58080000000001</v>
      </c>
      <c r="J352">
        <v>-420.50369999999998</v>
      </c>
      <c r="K352">
        <v>1.05399</v>
      </c>
      <c r="L352">
        <v>367.76909999999998</v>
      </c>
      <c r="M352">
        <v>0.99992409999999998</v>
      </c>
      <c r="N352">
        <v>0</v>
      </c>
      <c r="O352">
        <v>6.3914080000000001E-4</v>
      </c>
      <c r="P352">
        <v>0.99777990000000005</v>
      </c>
      <c r="Q352">
        <v>-1.7909149999999999E-4</v>
      </c>
      <c r="R352">
        <v>6.6599409999999998E-2</v>
      </c>
      <c r="S352">
        <v>2.9977419999999899</v>
      </c>
      <c r="T352">
        <v>4.1313530000000001E-2</v>
      </c>
      <c r="U352">
        <v>0.1348877</v>
      </c>
      <c r="V352">
        <v>-6.594796E-2</v>
      </c>
      <c r="W352">
        <v>1.218939E-2</v>
      </c>
      <c r="X352">
        <v>0.99774859999999899</v>
      </c>
      <c r="Y352">
        <v>-4.4308269999999997E-2</v>
      </c>
      <c r="Z352">
        <v>-2.9634540000000002E-4</v>
      </c>
      <c r="AA352">
        <v>0.99901779999999996</v>
      </c>
      <c r="AB352">
        <v>18</v>
      </c>
      <c r="AC352">
        <v>262.30869999999999</v>
      </c>
      <c r="AD352">
        <v>3.6173609999999998</v>
      </c>
      <c r="AE352">
        <v>11.8117</v>
      </c>
      <c r="AF352">
        <v>-11.641823174778899</v>
      </c>
      <c r="AG352">
        <v>3.6173609999999998</v>
      </c>
      <c r="AH352">
        <v>262.26642017826299</v>
      </c>
      <c r="AI352">
        <v>89.210564114125205</v>
      </c>
      <c r="AJ352">
        <v>92.541651137520304</v>
      </c>
      <c r="AK352">
        <v>262.54960007693501</v>
      </c>
    </row>
    <row r="353" spans="1:37" x14ac:dyDescent="0.2">
      <c r="A353" t="str">
        <f>"20200111155801070"</f>
        <v>20200111155801070</v>
      </c>
      <c r="B353" t="str">
        <f>"1578729481061586"</f>
        <v>1578729481061586</v>
      </c>
      <c r="C353" t="s">
        <v>37</v>
      </c>
      <c r="D353">
        <v>5.837974</v>
      </c>
      <c r="E353">
        <v>0.51912349999999996</v>
      </c>
      <c r="F353" t="s">
        <v>39</v>
      </c>
      <c r="G353">
        <v>-369.86040000000003</v>
      </c>
      <c r="H353" s="1">
        <v>-1.2382840000000001E-7</v>
      </c>
      <c r="I353">
        <v>369.27710000000002</v>
      </c>
      <c r="J353">
        <v>-420.33390000000003</v>
      </c>
      <c r="K353">
        <v>1.0540179999999999</v>
      </c>
      <c r="L353">
        <v>367.76819999999998</v>
      </c>
      <c r="M353">
        <v>0.99992440000000005</v>
      </c>
      <c r="N353">
        <v>0</v>
      </c>
      <c r="O353">
        <v>-1.1969009999999999E-4</v>
      </c>
      <c r="P353">
        <v>0.99781359999999997</v>
      </c>
      <c r="Q353">
        <v>-5.20898E-4</v>
      </c>
      <c r="R353">
        <v>6.6090819999999995E-2</v>
      </c>
      <c r="S353">
        <v>3.0006710000000001</v>
      </c>
      <c r="T353">
        <v>-6.2449930000000001E-2</v>
      </c>
      <c r="U353">
        <v>8.9355470000000006E-2</v>
      </c>
      <c r="V353">
        <v>-6.6198010000000002E-2</v>
      </c>
      <c r="W353">
        <v>1.18356E-2</v>
      </c>
      <c r="X353">
        <v>0.99773630000000002</v>
      </c>
      <c r="Y353">
        <v>-2.9878459999999999E-2</v>
      </c>
      <c r="Z353">
        <v>3.1330289999999998E-4</v>
      </c>
      <c r="AA353">
        <v>0.99955349999999998</v>
      </c>
      <c r="AB353">
        <v>18</v>
      </c>
      <c r="AC353">
        <v>50.473500000000001</v>
      </c>
      <c r="AD353">
        <v>-1.0540181238284001</v>
      </c>
      <c r="AE353">
        <v>1.5089000000000301</v>
      </c>
      <c r="AF353">
        <v>-1.51428186097331</v>
      </c>
      <c r="AG353">
        <v>-1.0540181238284001</v>
      </c>
      <c r="AH353">
        <v>50.451337690483498</v>
      </c>
      <c r="AI353">
        <v>91.196297989871596</v>
      </c>
      <c r="AJ353">
        <v>91.719199600367702</v>
      </c>
      <c r="AK353">
        <v>50.485061934388398</v>
      </c>
    </row>
    <row r="354" spans="1:37" x14ac:dyDescent="0.2">
      <c r="A354" t="str">
        <f>"20200111155801091"</f>
        <v>20200111155801091</v>
      </c>
      <c r="B354" t="str">
        <f>"1578729481081106"</f>
        <v>1578729481081106</v>
      </c>
      <c r="C354" t="s">
        <v>37</v>
      </c>
      <c r="D354">
        <v>5.7812710000000003</v>
      </c>
      <c r="E354">
        <v>0.51997459999999995</v>
      </c>
      <c r="F354" t="s">
        <v>39</v>
      </c>
      <c r="G354">
        <v>-393.01339999999999</v>
      </c>
      <c r="H354" s="1">
        <v>-3.22197299999999E-6</v>
      </c>
      <c r="I354">
        <v>368.24959999999999</v>
      </c>
      <c r="J354">
        <v>-420.16489999999999</v>
      </c>
      <c r="K354">
        <v>1.0540389999999999</v>
      </c>
      <c r="L354">
        <v>367.7672</v>
      </c>
      <c r="M354">
        <v>0.99992409999999998</v>
      </c>
      <c r="N354">
        <v>0</v>
      </c>
      <c r="O354">
        <v>-8.5257509999999998E-4</v>
      </c>
      <c r="P354">
        <v>0.99782749999999998</v>
      </c>
      <c r="Q354">
        <v>-8.0915539999999904E-4</v>
      </c>
      <c r="R354">
        <v>6.5877640000000001E-2</v>
      </c>
      <c r="S354">
        <v>3.0030209999999999</v>
      </c>
      <c r="T354">
        <v>-0.11585579999999999</v>
      </c>
      <c r="U354">
        <v>5.2917480000000003E-2</v>
      </c>
      <c r="V354">
        <v>-6.6716830000000005E-2</v>
      </c>
      <c r="W354">
        <v>1.1535689999999999E-2</v>
      </c>
      <c r="X354">
        <v>0.99770530000000002</v>
      </c>
      <c r="Y354">
        <v>-1.8456819999999999E-2</v>
      </c>
      <c r="Z354">
        <v>3.8874960000000002E-4</v>
      </c>
      <c r="AA354">
        <v>0.99982959999999999</v>
      </c>
      <c r="AB354">
        <v>18</v>
      </c>
      <c r="AC354">
        <v>27.151499999999999</v>
      </c>
      <c r="AD354">
        <v>-1.0540422219729999</v>
      </c>
      <c r="AE354">
        <v>0.48239999999998401</v>
      </c>
      <c r="AF354">
        <v>-0.50478976161006195</v>
      </c>
      <c r="AG354">
        <v>-1.0540422219729999</v>
      </c>
      <c r="AH354">
        <v>27.110235164426101</v>
      </c>
      <c r="AI354">
        <v>92.226145106714696</v>
      </c>
      <c r="AJ354">
        <v>91.066718194801396</v>
      </c>
      <c r="AK354">
        <v>27.1354135472377</v>
      </c>
    </row>
    <row r="355" spans="1:37" x14ac:dyDescent="0.2">
      <c r="A355" t="str">
        <f>"20200111155801114"</f>
        <v>20200111155801114</v>
      </c>
      <c r="B355" t="str">
        <f>"1578729481111363"</f>
        <v>1578729481111363</v>
      </c>
      <c r="C355" t="s">
        <v>37</v>
      </c>
      <c r="D355">
        <v>5.9653739999999997</v>
      </c>
      <c r="E355">
        <v>0.52110140000000005</v>
      </c>
      <c r="F355" t="s">
        <v>39</v>
      </c>
      <c r="G355">
        <v>-394.92559999999997</v>
      </c>
      <c r="H355" s="1">
        <v>-2.4194009999999999E-6</v>
      </c>
      <c r="I355">
        <v>368.14949999999999</v>
      </c>
      <c r="J355">
        <v>-419.98719999999997</v>
      </c>
      <c r="K355">
        <v>1.05406</v>
      </c>
      <c r="L355">
        <v>367.76609999999999</v>
      </c>
      <c r="M355">
        <v>0.99992309999999995</v>
      </c>
      <c r="N355">
        <v>0</v>
      </c>
      <c r="O355">
        <v>-1.6024570000000001E-3</v>
      </c>
      <c r="P355">
        <v>0.99787599999999999</v>
      </c>
      <c r="Q355">
        <v>-7.1070159999999999E-4</v>
      </c>
      <c r="R355">
        <v>6.5137650000000005E-2</v>
      </c>
      <c r="S355">
        <v>3.003387</v>
      </c>
      <c r="T355">
        <v>-0.12542690000000001</v>
      </c>
      <c r="U355">
        <v>4.5501710000000001E-2</v>
      </c>
      <c r="V355">
        <v>-6.6725789999999993E-2</v>
      </c>
      <c r="W355">
        <v>1.1622469999999999E-2</v>
      </c>
      <c r="X355">
        <v>0.99770369999999997</v>
      </c>
      <c r="Y355">
        <v>-1.6734789999999999E-2</v>
      </c>
      <c r="Z355">
        <v>4.1615899999999998E-4</v>
      </c>
      <c r="AA355">
        <v>0.99985990000000002</v>
      </c>
      <c r="AB355">
        <v>18</v>
      </c>
      <c r="AC355">
        <v>25.061599999999999</v>
      </c>
      <c r="AD355">
        <v>-1.054062419401</v>
      </c>
      <c r="AE355">
        <v>0.38339999999999402</v>
      </c>
      <c r="AF355">
        <v>-0.422814918386059</v>
      </c>
      <c r="AG355">
        <v>-1.054062419401</v>
      </c>
      <c r="AH355">
        <v>25.016710483274501</v>
      </c>
      <c r="AI355">
        <v>92.412348280903103</v>
      </c>
      <c r="AJ355">
        <v>90.9682809434956</v>
      </c>
      <c r="AK355">
        <v>25.042476383999698</v>
      </c>
    </row>
    <row r="356" spans="1:37" x14ac:dyDescent="0.2">
      <c r="A356" t="str">
        <f>"20200111155801137"</f>
        <v>20200111155801137</v>
      </c>
      <c r="B356" t="str">
        <f>"1578729481131860"</f>
        <v>1578729481131860</v>
      </c>
      <c r="C356" t="s">
        <v>37</v>
      </c>
      <c r="D356">
        <v>5.9748919999999996</v>
      </c>
      <c r="E356">
        <v>0.52183880000000005</v>
      </c>
      <c r="F356" t="s">
        <v>39</v>
      </c>
      <c r="G356">
        <v>-396.0727</v>
      </c>
      <c r="H356" s="1">
        <v>-1.9461470000000001E-6</v>
      </c>
      <c r="I356">
        <v>368.04320000000001</v>
      </c>
      <c r="J356">
        <v>-419.8039</v>
      </c>
      <c r="K356">
        <v>1.0540830000000001</v>
      </c>
      <c r="L356">
        <v>367.76479999999998</v>
      </c>
      <c r="M356">
        <v>0.99992179999999997</v>
      </c>
      <c r="N356">
        <v>0</v>
      </c>
      <c r="O356">
        <v>-2.3640029999999999E-3</v>
      </c>
      <c r="P356">
        <v>0.99787579999999998</v>
      </c>
      <c r="Q356">
        <v>2.2972929999999999E-4</v>
      </c>
      <c r="R356">
        <v>6.5148059999999994E-2</v>
      </c>
      <c r="S356">
        <v>3.0040589999999998</v>
      </c>
      <c r="T356">
        <v>-0.13240689999999999</v>
      </c>
      <c r="U356">
        <v>3.482056E-2</v>
      </c>
      <c r="V356">
        <v>-6.7495719999999995E-2</v>
      </c>
      <c r="W356">
        <v>1.255271E-2</v>
      </c>
      <c r="X356">
        <v>0.99764059999999899</v>
      </c>
      <c r="Y356">
        <v>-1.3938559999999999E-2</v>
      </c>
      <c r="Z356">
        <v>4.1116850000000001E-4</v>
      </c>
      <c r="AA356">
        <v>0.99990279999999998</v>
      </c>
      <c r="AB356">
        <v>18</v>
      </c>
      <c r="AC356">
        <v>23.731200000000001</v>
      </c>
      <c r="AD356">
        <v>-1.0540849461470001</v>
      </c>
      <c r="AE356">
        <v>0.27840000000003301</v>
      </c>
      <c r="AF356">
        <v>-0.33384551714806698</v>
      </c>
      <c r="AG356">
        <v>-1.0540849461470001</v>
      </c>
      <c r="AH356">
        <v>23.683755513151301</v>
      </c>
      <c r="AI356">
        <v>92.548109449595302</v>
      </c>
      <c r="AJ356">
        <v>90.807586127894197</v>
      </c>
      <c r="AK356">
        <v>23.7095513055338</v>
      </c>
    </row>
    <row r="357" spans="1:37" x14ac:dyDescent="0.2">
      <c r="A357" t="str">
        <f>"20200111155801159"</f>
        <v>20200111155801159</v>
      </c>
      <c r="B357" t="str">
        <f>"1578729481151378"</f>
        <v>1578729481151378</v>
      </c>
      <c r="C357" t="s">
        <v>37</v>
      </c>
      <c r="D357">
        <v>5.8558329999999996</v>
      </c>
      <c r="E357">
        <v>0.52182399999999995</v>
      </c>
      <c r="F357" t="s">
        <v>39</v>
      </c>
      <c r="G357">
        <v>-394.82940000000002</v>
      </c>
      <c r="H357" s="1">
        <v>-2.48574E-6</v>
      </c>
      <c r="I357">
        <v>368.00810000000001</v>
      </c>
      <c r="J357">
        <v>-419.63260000000002</v>
      </c>
      <c r="K357">
        <v>1.0540969999999901</v>
      </c>
      <c r="L357">
        <v>367.76350000000002</v>
      </c>
      <c r="M357">
        <v>0.99992000000000003</v>
      </c>
      <c r="N357">
        <v>0</v>
      </c>
      <c r="O357">
        <v>-3.0723719999999999E-3</v>
      </c>
      <c r="P357">
        <v>0.99790689999999904</v>
      </c>
      <c r="Q357">
        <v>1.106622E-3</v>
      </c>
      <c r="R357">
        <v>6.4659049999999996E-2</v>
      </c>
      <c r="S357">
        <v>3.0045169999999999</v>
      </c>
      <c r="T357">
        <v>-0.1268098</v>
      </c>
      <c r="U357">
        <v>2.9266360000000002E-2</v>
      </c>
      <c r="V357">
        <v>-6.7713289999999995E-2</v>
      </c>
      <c r="W357">
        <v>1.342144E-2</v>
      </c>
      <c r="X357">
        <v>0.99761460000000002</v>
      </c>
      <c r="Y357">
        <v>-1.279861E-2</v>
      </c>
      <c r="Z357">
        <v>3.995882E-4</v>
      </c>
      <c r="AA357">
        <v>0.99991799999999997</v>
      </c>
      <c r="AB357">
        <v>18</v>
      </c>
      <c r="AC357">
        <v>24.8032</v>
      </c>
      <c r="AD357">
        <v>-1.0540994857399999</v>
      </c>
      <c r="AE357">
        <v>0.24459999999999099</v>
      </c>
      <c r="AF357">
        <v>-0.32023091889384497</v>
      </c>
      <c r="AG357">
        <v>-1.0540994857399999</v>
      </c>
      <c r="AH357">
        <v>24.757620353216399</v>
      </c>
      <c r="AI357">
        <v>92.437793029618405</v>
      </c>
      <c r="AJ357">
        <v>90.741058984382406</v>
      </c>
      <c r="AK357">
        <v>24.782119342809398</v>
      </c>
    </row>
    <row r="358" spans="1:37" x14ac:dyDescent="0.2">
      <c r="A358" t="str">
        <f>"20200111155801181"</f>
        <v>20200111155801181</v>
      </c>
      <c r="B358" t="str">
        <f>"1578729481171874"</f>
        <v>1578729481171874</v>
      </c>
      <c r="C358" t="s">
        <v>37</v>
      </c>
      <c r="D358">
        <v>6.0167589999999898</v>
      </c>
      <c r="E358">
        <v>0.52178780000000002</v>
      </c>
      <c r="F358" t="s">
        <v>39</v>
      </c>
      <c r="G358">
        <v>-395.70299999999997</v>
      </c>
      <c r="H358" s="1">
        <v>-2.114076E-6</v>
      </c>
      <c r="I358">
        <v>367.9907</v>
      </c>
      <c r="J358">
        <v>-419.46170000000001</v>
      </c>
      <c r="K358">
        <v>1.0541020000000001</v>
      </c>
      <c r="L358">
        <v>367.76209999999998</v>
      </c>
      <c r="M358">
        <v>0.99991749999999902</v>
      </c>
      <c r="N358">
        <v>0</v>
      </c>
      <c r="O358">
        <v>-3.7811709999999998E-3</v>
      </c>
      <c r="P358">
        <v>0.99795230000000001</v>
      </c>
      <c r="Q358">
        <v>1.775682E-3</v>
      </c>
      <c r="R358">
        <v>6.393828E-2</v>
      </c>
      <c r="S358">
        <v>3.0046390000000001</v>
      </c>
      <c r="T358">
        <v>-0.13235379999999899</v>
      </c>
      <c r="U358">
        <v>2.8533940000000001E-2</v>
      </c>
      <c r="V358">
        <v>-6.7699369999999995E-2</v>
      </c>
      <c r="W358">
        <v>1.408274E-2</v>
      </c>
      <c r="X358">
        <v>0.9976064</v>
      </c>
      <c r="Y358">
        <v>-1.3260889999999999E-2</v>
      </c>
      <c r="Z358">
        <v>4.5841019999999998E-4</v>
      </c>
      <c r="AA358">
        <v>0.99991200000000002</v>
      </c>
      <c r="AB358">
        <v>18</v>
      </c>
      <c r="AC358">
        <v>23.758699999999902</v>
      </c>
      <c r="AD358">
        <v>-1.0541041140759999</v>
      </c>
      <c r="AE358">
        <v>0.228600000000028</v>
      </c>
      <c r="AF358">
        <v>-0.31781530101106298</v>
      </c>
      <c r="AG358">
        <v>-1.0541041140759999</v>
      </c>
      <c r="AH358">
        <v>23.710996392755</v>
      </c>
      <c r="AI358">
        <v>92.545256264322305</v>
      </c>
      <c r="AJ358">
        <v>90.767929981822405</v>
      </c>
      <c r="AK358">
        <v>23.736543387488201</v>
      </c>
    </row>
    <row r="359" spans="1:37" x14ac:dyDescent="0.2">
      <c r="A359" t="str">
        <f>"20200111155801203"</f>
        <v>20200111155801203</v>
      </c>
      <c r="B359" t="str">
        <f>"1578729481191394"</f>
        <v>1578729481191394</v>
      </c>
      <c r="C359" t="s">
        <v>37</v>
      </c>
      <c r="D359">
        <v>5.8550170000000001</v>
      </c>
      <c r="E359">
        <v>0.52175209999999905</v>
      </c>
      <c r="F359" t="s">
        <v>39</v>
      </c>
      <c r="G359">
        <v>-396.36219999999997</v>
      </c>
      <c r="H359" s="1">
        <v>-1.8344810000000001E-6</v>
      </c>
      <c r="I359">
        <v>367.97250000000003</v>
      </c>
      <c r="J359">
        <v>-419.28829999999999</v>
      </c>
      <c r="K359">
        <v>1.0541119999999999</v>
      </c>
      <c r="L359">
        <v>367.76060000000001</v>
      </c>
      <c r="M359">
        <v>0.99991459999999999</v>
      </c>
      <c r="N359">
        <v>0</v>
      </c>
      <c r="O359">
        <v>-4.5062380000000001E-3</v>
      </c>
      <c r="P359">
        <v>0.99799139999999997</v>
      </c>
      <c r="Q359">
        <v>1.5263970000000001E-3</v>
      </c>
      <c r="R359">
        <v>6.3333570000000006E-2</v>
      </c>
      <c r="S359">
        <v>3.0046390000000001</v>
      </c>
      <c r="T359">
        <v>-0.1371107</v>
      </c>
      <c r="U359">
        <v>2.7374269999999999E-2</v>
      </c>
      <c r="V359">
        <v>-6.7818519999999993E-2</v>
      </c>
      <c r="W359">
        <v>1.382718E-2</v>
      </c>
      <c r="X359">
        <v>0.99760190000000004</v>
      </c>
      <c r="Y359">
        <v>-1.359775E-2</v>
      </c>
      <c r="Z359">
        <v>5.1562339999999904E-4</v>
      </c>
      <c r="AA359">
        <v>0.9999074</v>
      </c>
      <c r="AB359">
        <v>18</v>
      </c>
      <c r="AC359">
        <v>22.926100000000002</v>
      </c>
      <c r="AD359">
        <v>-1.0541138344809999</v>
      </c>
      <c r="AE359">
        <v>0.21190000000001399</v>
      </c>
      <c r="AF359">
        <v>-0.314551166348916</v>
      </c>
      <c r="AG359">
        <v>-1.0541138344809999</v>
      </c>
      <c r="AH359">
        <v>22.8765542669735</v>
      </c>
      <c r="AI359">
        <v>92.6379797581383</v>
      </c>
      <c r="AJ359">
        <v>90.787763682049203</v>
      </c>
      <c r="AK359">
        <v>22.902987437058901</v>
      </c>
    </row>
    <row r="360" spans="1:37" x14ac:dyDescent="0.2">
      <c r="A360" t="str">
        <f>"20200111155801228"</f>
        <v>20200111155801228</v>
      </c>
      <c r="B360" t="str">
        <f>"1578729481221652"</f>
        <v>1578729481221652</v>
      </c>
      <c r="C360" t="s">
        <v>37</v>
      </c>
      <c r="D360">
        <v>5.8039809999999896</v>
      </c>
      <c r="E360">
        <v>0.52224989999999905</v>
      </c>
      <c r="F360" t="s">
        <v>39</v>
      </c>
      <c r="G360">
        <v>-397.07459999999998</v>
      </c>
      <c r="H360" s="1">
        <v>-1.5327139999999999E-6</v>
      </c>
      <c r="I360">
        <v>367.95089999999999</v>
      </c>
      <c r="J360">
        <v>-419.10050000000001</v>
      </c>
      <c r="K360">
        <v>1.054109</v>
      </c>
      <c r="L360">
        <v>367.75880000000001</v>
      </c>
      <c r="M360">
        <v>0.99991079999999999</v>
      </c>
      <c r="N360">
        <v>0</v>
      </c>
      <c r="O360">
        <v>-5.3004799999999998E-3</v>
      </c>
      <c r="P360">
        <v>0.99805560000000004</v>
      </c>
      <c r="Q360">
        <v>1.9193109999999999E-3</v>
      </c>
      <c r="R360">
        <v>6.230016E-2</v>
      </c>
      <c r="S360">
        <v>3.0046390000000001</v>
      </c>
      <c r="T360">
        <v>-0.14257929999999999</v>
      </c>
      <c r="U360">
        <v>2.575684E-2</v>
      </c>
      <c r="V360">
        <v>-6.7577470000000001E-2</v>
      </c>
      <c r="W360">
        <v>1.421386E-2</v>
      </c>
      <c r="X360">
        <v>0.99761279999999997</v>
      </c>
      <c r="Y360">
        <v>-1.385106E-2</v>
      </c>
      <c r="Z360">
        <v>5.798442E-4</v>
      </c>
      <c r="AA360">
        <v>0.99990389999999996</v>
      </c>
      <c r="AB360">
        <v>18</v>
      </c>
      <c r="AC360">
        <v>22.0259</v>
      </c>
      <c r="AD360">
        <v>-1.0541105327139999</v>
      </c>
      <c r="AE360">
        <v>0.19209999999998201</v>
      </c>
      <c r="AF360">
        <v>-0.30814819925968601</v>
      </c>
      <c r="AG360">
        <v>-1.0541105327139999</v>
      </c>
      <c r="AH360">
        <v>21.974246992021101</v>
      </c>
      <c r="AI360">
        <v>92.746119031632006</v>
      </c>
      <c r="AJ360">
        <v>90.803414747646499</v>
      </c>
      <c r="AK360">
        <v>22.001673463494399</v>
      </c>
    </row>
    <row r="361" spans="1:37" x14ac:dyDescent="0.2">
      <c r="A361" t="str">
        <f>"20200111155801249"</f>
        <v>20200111155801249</v>
      </c>
      <c r="B361" t="str">
        <f>"1578729481241171"</f>
        <v>1578729481241171</v>
      </c>
      <c r="C361" t="s">
        <v>37</v>
      </c>
      <c r="D361">
        <v>5.8178989999999997</v>
      </c>
      <c r="E361">
        <v>0.52223640000000005</v>
      </c>
      <c r="F361" t="s">
        <v>39</v>
      </c>
      <c r="G361">
        <v>-397.00400000000002</v>
      </c>
      <c r="H361" s="1">
        <v>-1.5726560000000001E-6</v>
      </c>
      <c r="I361">
        <v>367.8965</v>
      </c>
      <c r="J361">
        <v>-418.92540000000002</v>
      </c>
      <c r="K361">
        <v>1.0541049999999901</v>
      </c>
      <c r="L361">
        <v>367.75689999999997</v>
      </c>
      <c r="M361">
        <v>0.99990669999999904</v>
      </c>
      <c r="N361">
        <v>0</v>
      </c>
      <c r="O361">
        <v>-6.0477789999999997E-3</v>
      </c>
      <c r="P361">
        <v>0.99812099999999904</v>
      </c>
      <c r="Q361">
        <v>2.0583099999999998E-3</v>
      </c>
      <c r="R361">
        <v>6.1241339999999998E-2</v>
      </c>
      <c r="S361">
        <v>3.0049440000000001</v>
      </c>
      <c r="T361">
        <v>-0.1433499</v>
      </c>
      <c r="U361">
        <v>1.8737790000000001E-2</v>
      </c>
      <c r="V361">
        <v>-6.7264309999999994E-2</v>
      </c>
      <c r="W361">
        <v>1.4347840000000001E-2</v>
      </c>
      <c r="X361">
        <v>0.99763199999999996</v>
      </c>
      <c r="Y361">
        <v>-1.226271E-2</v>
      </c>
      <c r="Z361">
        <v>5.8068780000000003E-4</v>
      </c>
      <c r="AA361">
        <v>0.999924699999999</v>
      </c>
      <c r="AB361">
        <v>18</v>
      </c>
      <c r="AC361">
        <v>21.921399999999998</v>
      </c>
      <c r="AD361">
        <v>-1.0541065726559999</v>
      </c>
      <c r="AE361">
        <v>0.13960000000002901</v>
      </c>
      <c r="AF361">
        <v>-0.27155529960035102</v>
      </c>
      <c r="AG361">
        <v>-1.0541065726559999</v>
      </c>
      <c r="AH361">
        <v>21.8695890717071</v>
      </c>
      <c r="AI361">
        <v>92.759288586133806</v>
      </c>
      <c r="AJ361">
        <v>90.7114067371636</v>
      </c>
      <c r="AK361">
        <v>21.896662054125699</v>
      </c>
    </row>
    <row r="362" spans="1:37" x14ac:dyDescent="0.2">
      <c r="A362" t="str">
        <f>"20200111155801271"</f>
        <v>20200111155801271</v>
      </c>
      <c r="B362" t="str">
        <f>"1578729481261666"</f>
        <v>1578729481261666</v>
      </c>
      <c r="C362" t="s">
        <v>37</v>
      </c>
      <c r="D362">
        <v>6.0257139999999998</v>
      </c>
      <c r="E362">
        <v>0.52248309999999998</v>
      </c>
      <c r="F362" t="s">
        <v>39</v>
      </c>
      <c r="G362">
        <v>-397.25659999999999</v>
      </c>
      <c r="H362" s="1">
        <v>-1.468476E-6</v>
      </c>
      <c r="I362">
        <v>367.87279999999998</v>
      </c>
      <c r="J362">
        <v>-418.76010000000002</v>
      </c>
      <c r="K362">
        <v>1.054101</v>
      </c>
      <c r="L362">
        <v>367.755</v>
      </c>
      <c r="M362">
        <v>0.99990219999999896</v>
      </c>
      <c r="N362">
        <v>0</v>
      </c>
      <c r="O362">
        <v>-6.7575369999999897E-3</v>
      </c>
      <c r="P362">
        <v>0.99817839999999902</v>
      </c>
      <c r="Q362">
        <v>2.1227239999999999E-3</v>
      </c>
      <c r="R362">
        <v>6.0295380000000003E-2</v>
      </c>
      <c r="S362">
        <v>3.0049739999999998</v>
      </c>
      <c r="T362">
        <v>-0.14618049999999999</v>
      </c>
      <c r="U362">
        <v>1.6082760000000001E-2</v>
      </c>
      <c r="V362">
        <v>-6.7026879999999997E-2</v>
      </c>
      <c r="W362">
        <v>1.4407440000000001E-2</v>
      </c>
      <c r="X362">
        <v>0.99764719999999996</v>
      </c>
      <c r="Y362">
        <v>-1.2087509999999999E-2</v>
      </c>
      <c r="Z362">
        <v>6.2238539999999996E-4</v>
      </c>
      <c r="AA362">
        <v>0.99992669999999995</v>
      </c>
      <c r="AB362">
        <v>18</v>
      </c>
      <c r="AC362">
        <v>21.503499999999999</v>
      </c>
      <c r="AD362">
        <v>-1.0541024684760001</v>
      </c>
      <c r="AE362">
        <v>0.117799999999988</v>
      </c>
      <c r="AF362">
        <v>-0.26248817015287002</v>
      </c>
      <c r="AG362">
        <v>-1.0541024684760001</v>
      </c>
      <c r="AH362">
        <v>21.450669202358998</v>
      </c>
      <c r="AI362">
        <v>92.813085558328098</v>
      </c>
      <c r="AJ362">
        <v>90.701083662133101</v>
      </c>
      <c r="AK362">
        <v>21.478157306495099</v>
      </c>
    </row>
    <row r="363" spans="1:37" x14ac:dyDescent="0.2">
      <c r="A363" t="str">
        <f>"20200111155801285"</f>
        <v>20200111155801285</v>
      </c>
      <c r="B363" t="str">
        <f>"1578729481281187"</f>
        <v>1578729481281187</v>
      </c>
      <c r="C363" t="s">
        <v>37</v>
      </c>
      <c r="D363">
        <v>5.8993839999999897</v>
      </c>
      <c r="E363">
        <v>0.522119</v>
      </c>
      <c r="F363" t="s">
        <v>39</v>
      </c>
      <c r="G363">
        <v>-397.4366</v>
      </c>
      <c r="H363" s="1">
        <v>-1.397825E-6</v>
      </c>
      <c r="I363">
        <v>367.83600000000001</v>
      </c>
      <c r="J363">
        <v>-418.64949999999999</v>
      </c>
      <c r="K363">
        <v>1.0541</v>
      </c>
      <c r="L363">
        <v>367.75380000000001</v>
      </c>
      <c r="M363">
        <v>0.99989879999999998</v>
      </c>
      <c r="N363">
        <v>0</v>
      </c>
      <c r="O363">
        <v>-7.233888E-3</v>
      </c>
      <c r="P363">
        <v>0.99821779999999904</v>
      </c>
      <c r="Q363">
        <v>1.8998379999999901E-3</v>
      </c>
      <c r="R363">
        <v>5.9646780000000003E-2</v>
      </c>
      <c r="S363">
        <v>3.0051269999999999</v>
      </c>
      <c r="T363">
        <v>-0.14855379999999899</v>
      </c>
      <c r="U363">
        <v>1.141357E-2</v>
      </c>
      <c r="V363">
        <v>-6.6854410000000003E-2</v>
      </c>
      <c r="W363">
        <v>1.418144E-2</v>
      </c>
      <c r="X363">
        <v>0.99766189999999999</v>
      </c>
      <c r="Y363">
        <v>-1.1010010000000001E-2</v>
      </c>
      <c r="Z363">
        <v>6.2936660000000001E-4</v>
      </c>
      <c r="AA363">
        <v>0.99993920000000003</v>
      </c>
      <c r="AB363">
        <v>18</v>
      </c>
      <c r="AC363">
        <v>21.212899999999902</v>
      </c>
      <c r="AD363">
        <v>-1.054101397825</v>
      </c>
      <c r="AE363">
        <v>8.2200000000000203E-2</v>
      </c>
      <c r="AF363">
        <v>-0.23508064284239899</v>
      </c>
      <c r="AG363">
        <v>-1.054101397825</v>
      </c>
      <c r="AH363">
        <v>21.159502939660602</v>
      </c>
      <c r="AI363">
        <v>92.851766234898705</v>
      </c>
      <c r="AJ363">
        <v>90.636526037120106</v>
      </c>
      <c r="AK363">
        <v>21.1870469230387</v>
      </c>
    </row>
    <row r="364" spans="1:37" x14ac:dyDescent="0.2">
      <c r="A364" t="str">
        <f>"20200111155801304"</f>
        <v>20200111155801304</v>
      </c>
      <c r="B364" t="str">
        <f>"1578729481301683"</f>
        <v>1578729481301683</v>
      </c>
      <c r="C364" t="s">
        <v>37</v>
      </c>
      <c r="D364">
        <v>5.8449439999999999</v>
      </c>
      <c r="E364">
        <v>0.52212230000000004</v>
      </c>
      <c r="F364" t="s">
        <v>39</v>
      </c>
      <c r="G364">
        <v>-397.29899999999998</v>
      </c>
      <c r="H364" s="1">
        <v>-1.4559520000000001E-6</v>
      </c>
      <c r="I364">
        <v>367.84089999999998</v>
      </c>
      <c r="J364">
        <v>-418.49380000000002</v>
      </c>
      <c r="K364">
        <v>1.0540989999999999</v>
      </c>
      <c r="L364">
        <v>367.7518</v>
      </c>
      <c r="M364">
        <v>0.99989399999999995</v>
      </c>
      <c r="N364">
        <v>0</v>
      </c>
      <c r="O364">
        <v>-7.9058519999999997E-3</v>
      </c>
      <c r="P364">
        <v>0.99825659999999905</v>
      </c>
      <c r="Q364">
        <v>1.5752870000000001E-3</v>
      </c>
      <c r="R364">
        <v>5.9006490000000002E-2</v>
      </c>
      <c r="S364">
        <v>3.0048520000000001</v>
      </c>
      <c r="T364">
        <v>-0.14835309999999999</v>
      </c>
      <c r="U364">
        <v>1.2268070000000001E-2</v>
      </c>
      <c r="V364">
        <v>-6.6884689999999997E-2</v>
      </c>
      <c r="W364">
        <v>1.3852450000000001E-2</v>
      </c>
      <c r="X364">
        <v>0.99766460000000001</v>
      </c>
      <c r="Y364">
        <v>-1.196476E-2</v>
      </c>
      <c r="Z364">
        <v>6.8528600000000001E-4</v>
      </c>
      <c r="AA364">
        <v>0.99992819999999905</v>
      </c>
      <c r="AB364">
        <v>18</v>
      </c>
      <c r="AC364">
        <v>21.194799999999901</v>
      </c>
      <c r="AD364">
        <v>-1.054100455952</v>
      </c>
      <c r="AE364">
        <v>8.9099999999973506E-2</v>
      </c>
      <c r="AF364">
        <v>-0.25603939990730301</v>
      </c>
      <c r="AG364">
        <v>-1.054100455952</v>
      </c>
      <c r="AH364">
        <v>21.1411421611941</v>
      </c>
      <c r="AI364">
        <v>92.854203199795904</v>
      </c>
      <c r="AJ364">
        <v>90.693872625914906</v>
      </c>
      <c r="AK364">
        <v>21.1689531112278</v>
      </c>
    </row>
    <row r="365" spans="1:37" x14ac:dyDescent="0.2">
      <c r="A365" t="str">
        <f>"20200111155801317"</f>
        <v>20200111155801317</v>
      </c>
      <c r="B365" t="str">
        <f>"1578729481311443"</f>
        <v>1578729481311443</v>
      </c>
      <c r="C365" t="s">
        <v>37</v>
      </c>
      <c r="D365">
        <v>6.6112399999999996</v>
      </c>
      <c r="E365">
        <v>0.52204649999999997</v>
      </c>
      <c r="F365" t="s">
        <v>39</v>
      </c>
      <c r="G365">
        <v>-397.52620000000002</v>
      </c>
      <c r="H365" s="1">
        <v>-1.36146E-6</v>
      </c>
      <c r="I365">
        <v>367.82420000000002</v>
      </c>
      <c r="J365">
        <v>-418.39359999999999</v>
      </c>
      <c r="K365">
        <v>1.0540969999999901</v>
      </c>
      <c r="L365">
        <v>367.75049999999999</v>
      </c>
      <c r="M365">
        <v>0.99989030000000001</v>
      </c>
      <c r="N365">
        <v>0</v>
      </c>
      <c r="O365">
        <v>-8.3379679999999994E-3</v>
      </c>
      <c r="P365">
        <v>0.99827379999999999</v>
      </c>
      <c r="Q365">
        <v>1.8258389999999899E-3</v>
      </c>
      <c r="R365">
        <v>5.8703810000000002E-2</v>
      </c>
      <c r="S365">
        <v>3.0048520000000001</v>
      </c>
      <c r="T365">
        <v>-0.1510619</v>
      </c>
      <c r="U365">
        <v>1.037598E-2</v>
      </c>
      <c r="V365">
        <v>-6.7013370000000003E-2</v>
      </c>
      <c r="W365">
        <v>1.4100390000000001E-2</v>
      </c>
      <c r="X365">
        <v>0.99765239999999999</v>
      </c>
      <c r="Y365">
        <v>-1.176609E-2</v>
      </c>
      <c r="Z365">
        <v>7.1450389999999999E-4</v>
      </c>
      <c r="AA365">
        <v>0.99993050000000006</v>
      </c>
      <c r="AB365">
        <v>18</v>
      </c>
      <c r="AC365">
        <v>20.8673999999999</v>
      </c>
      <c r="AD365">
        <v>-1.0540983614599999</v>
      </c>
      <c r="AE365">
        <v>7.3700000000030699E-2</v>
      </c>
      <c r="AF365">
        <v>-0.247071751059707</v>
      </c>
      <c r="AG365">
        <v>-1.0540983614599999</v>
      </c>
      <c r="AH365">
        <v>20.8129526982252</v>
      </c>
      <c r="AI365">
        <v>92.8991361472508</v>
      </c>
      <c r="AJ365">
        <v>90.680129526177296</v>
      </c>
      <c r="AK365">
        <v>20.8410932492603</v>
      </c>
    </row>
    <row r="366" spans="1:37" x14ac:dyDescent="0.2">
      <c r="A366" t="str">
        <f>"20200111155801330"</f>
        <v>20200111155801330</v>
      </c>
      <c r="B366" t="str">
        <f>"1578729481321203"</f>
        <v>1578729481321203</v>
      </c>
      <c r="C366" t="s">
        <v>37</v>
      </c>
      <c r="D366">
        <v>5.7901769999999999</v>
      </c>
      <c r="E366">
        <v>0.52207150000000002</v>
      </c>
      <c r="F366" t="s">
        <v>39</v>
      </c>
      <c r="G366">
        <v>-397.02769999999998</v>
      </c>
      <c r="H366" s="1">
        <v>-1.5758639999999899E-6</v>
      </c>
      <c r="I366">
        <v>367.820999999999</v>
      </c>
      <c r="J366">
        <v>-418.28640000000001</v>
      </c>
      <c r="K366">
        <v>1.054087</v>
      </c>
      <c r="L366">
        <v>367.7491</v>
      </c>
      <c r="M366">
        <v>0.99988630000000001</v>
      </c>
      <c r="N366">
        <v>0</v>
      </c>
      <c r="O366">
        <v>-8.7998820000000002E-3</v>
      </c>
      <c r="P366">
        <v>0.99830079999999999</v>
      </c>
      <c r="Q366">
        <v>1.725903E-3</v>
      </c>
      <c r="R366">
        <v>5.8245909999999998E-2</v>
      </c>
      <c r="S366">
        <v>3.0048520000000001</v>
      </c>
      <c r="T366">
        <v>-0.14824589999999899</v>
      </c>
      <c r="U366">
        <v>9.9182130000000004E-3</v>
      </c>
      <c r="V366">
        <v>-6.7016329999999999E-2</v>
      </c>
      <c r="W366">
        <v>1.3997880000000001E-2</v>
      </c>
      <c r="X366">
        <v>0.99765369999999998</v>
      </c>
      <c r="Y366">
        <v>-1.207569E-2</v>
      </c>
      <c r="Z366">
        <v>7.3160990000000002E-4</v>
      </c>
      <c r="AA366">
        <v>0.9999268</v>
      </c>
      <c r="AB366">
        <v>18</v>
      </c>
      <c r="AC366">
        <v>21.258700000000001</v>
      </c>
      <c r="AD366">
        <v>-1.054088575864</v>
      </c>
      <c r="AE366">
        <v>7.1899999999970904E-2</v>
      </c>
      <c r="AF366">
        <v>-0.25835013245486799</v>
      </c>
      <c r="AG366">
        <v>-1.054088575864</v>
      </c>
      <c r="AH366">
        <v>21.205110547234899</v>
      </c>
      <c r="AI366">
        <v>92.8455727246007</v>
      </c>
      <c r="AJ366">
        <v>90.698022293347094</v>
      </c>
      <c r="AK366">
        <v>21.232865111358802</v>
      </c>
    </row>
    <row r="367" spans="1:37" x14ac:dyDescent="0.2">
      <c r="A367" t="str">
        <f>"20200111155801350"</f>
        <v>20200111155801350</v>
      </c>
      <c r="B367" t="str">
        <f>"1578729481341699"</f>
        <v>1578729481341699</v>
      </c>
      <c r="C367" t="s">
        <v>37</v>
      </c>
      <c r="D367">
        <v>5.8361739999999998</v>
      </c>
      <c r="E367">
        <v>0.52200760000000002</v>
      </c>
      <c r="F367" t="s">
        <v>39</v>
      </c>
      <c r="G367">
        <v>-397.09710000000001</v>
      </c>
      <c r="H367" s="1">
        <v>-1.5486389999999999E-6</v>
      </c>
      <c r="I367">
        <v>367.80669999999998</v>
      </c>
      <c r="J367">
        <v>-418.13659999999999</v>
      </c>
      <c r="K367">
        <v>1.0540929999999999</v>
      </c>
      <c r="L367">
        <v>367.74699999999899</v>
      </c>
      <c r="M367">
        <v>0.99988060000000001</v>
      </c>
      <c r="N367">
        <v>0</v>
      </c>
      <c r="O367">
        <v>-9.4451199999999996E-3</v>
      </c>
      <c r="P367">
        <v>0.99832829999999995</v>
      </c>
      <c r="Q367">
        <v>1.395056E-3</v>
      </c>
      <c r="R367">
        <v>5.7783019999999997E-2</v>
      </c>
      <c r="S367">
        <v>3.004883</v>
      </c>
      <c r="T367">
        <v>-0.14948120000000001</v>
      </c>
      <c r="U367">
        <v>8.178711E-3</v>
      </c>
      <c r="V367">
        <v>-6.7197889999999996E-2</v>
      </c>
      <c r="W367">
        <v>1.3663170000000001E-2</v>
      </c>
      <c r="X367">
        <v>0.99764609999999998</v>
      </c>
      <c r="Y367">
        <v>-1.214077E-2</v>
      </c>
      <c r="Z367">
        <v>7.7138879999999997E-4</v>
      </c>
      <c r="AA367">
        <v>0.99992599999999998</v>
      </c>
      <c r="AB367">
        <v>17</v>
      </c>
      <c r="AC367">
        <v>21.039499999999901</v>
      </c>
      <c r="AD367">
        <v>-1.0540945486390001</v>
      </c>
      <c r="AE367">
        <v>5.9700000000020702E-2</v>
      </c>
      <c r="AF367">
        <v>-0.257785743649244</v>
      </c>
      <c r="AG367">
        <v>-1.0540945486390001</v>
      </c>
      <c r="AH367">
        <v>20.985322947550198</v>
      </c>
      <c r="AI367">
        <v>92.875338510268605</v>
      </c>
      <c r="AJ367">
        <v>90.703791516855404</v>
      </c>
      <c r="AK367">
        <v>21.013361178547299</v>
      </c>
    </row>
    <row r="368" spans="1:37" x14ac:dyDescent="0.2">
      <c r="A368" t="str">
        <f>"20200111155801365"</f>
        <v>20200111155801365</v>
      </c>
      <c r="B368" t="str">
        <f>"1578729481361219"</f>
        <v>1578729481361219</v>
      </c>
      <c r="C368" t="s">
        <v>37</v>
      </c>
      <c r="D368">
        <v>5.8204500000000001</v>
      </c>
      <c r="E368">
        <v>0.52182450000000002</v>
      </c>
      <c r="F368" t="s">
        <v>39</v>
      </c>
      <c r="G368">
        <v>-397.35509999999999</v>
      </c>
      <c r="H368" s="1">
        <v>-1.439225E-6</v>
      </c>
      <c r="I368">
        <v>367.79950000000002</v>
      </c>
      <c r="J368">
        <v>-418.02010000000001</v>
      </c>
      <c r="K368">
        <v>1.054095</v>
      </c>
      <c r="L368">
        <v>367.74529999999999</v>
      </c>
      <c r="M368">
        <v>0.99987569999999903</v>
      </c>
      <c r="N368">
        <v>0</v>
      </c>
      <c r="O368">
        <v>-9.9458789999999995E-3</v>
      </c>
      <c r="P368">
        <v>0.99836199999999997</v>
      </c>
      <c r="Q368">
        <v>1.5169750000000001E-3</v>
      </c>
      <c r="R368">
        <v>5.7192439999999997E-2</v>
      </c>
      <c r="S368">
        <v>3.004791</v>
      </c>
      <c r="T368">
        <v>-0.15241099999999999</v>
      </c>
      <c r="U368">
        <v>7.59887699999999E-3</v>
      </c>
      <c r="V368">
        <v>-6.7107390000000003E-2</v>
      </c>
      <c r="W368">
        <v>1.378189E-2</v>
      </c>
      <c r="X368">
        <v>0.99765059999999905</v>
      </c>
      <c r="Y368">
        <v>-1.244659E-2</v>
      </c>
      <c r="Z368">
        <v>8.1964829999999996E-4</v>
      </c>
      <c r="AA368">
        <v>0.99992219999999998</v>
      </c>
      <c r="AB368">
        <v>17</v>
      </c>
      <c r="AC368">
        <v>20.664999999999999</v>
      </c>
      <c r="AD368">
        <v>-1.0540964392250001</v>
      </c>
      <c r="AE368">
        <v>5.42000000000371E-2</v>
      </c>
      <c r="AF368">
        <v>-0.25907022134998797</v>
      </c>
      <c r="AG368">
        <v>-1.0540964392250001</v>
      </c>
      <c r="AH368">
        <v>20.6098144012327</v>
      </c>
      <c r="AI368">
        <v>92.927631385949397</v>
      </c>
      <c r="AJ368">
        <v>90.720183512959096</v>
      </c>
      <c r="AK368">
        <v>20.638378965801401</v>
      </c>
    </row>
    <row r="369" spans="1:37" x14ac:dyDescent="0.2">
      <c r="A369" t="str">
        <f>"20200111155801381"</f>
        <v>20200111155801381</v>
      </c>
      <c r="B369" t="str">
        <f>"1578729481370979"</f>
        <v>1578729481370979</v>
      </c>
      <c r="C369" t="s">
        <v>37</v>
      </c>
      <c r="D369">
        <v>5.8256730000000001</v>
      </c>
      <c r="E369">
        <v>0.52175519999999997</v>
      </c>
      <c r="F369" t="s">
        <v>39</v>
      </c>
      <c r="G369">
        <v>-396.35879999999997</v>
      </c>
      <c r="H369" s="1">
        <v>-1.8673450000000001E-6</v>
      </c>
      <c r="I369">
        <v>367.79559999999998</v>
      </c>
      <c r="J369">
        <v>-417.88499999999999</v>
      </c>
      <c r="K369">
        <v>1.0540989999999999</v>
      </c>
      <c r="L369">
        <v>367.74329999999998</v>
      </c>
      <c r="M369">
        <v>0.99986989999999998</v>
      </c>
      <c r="N369">
        <v>0</v>
      </c>
      <c r="O369">
        <v>-1.0525899999999999E-2</v>
      </c>
      <c r="P369">
        <v>0.99837149999999997</v>
      </c>
      <c r="Q369">
        <v>1.2970550000000001E-3</v>
      </c>
      <c r="R369">
        <v>5.7033300000000002E-2</v>
      </c>
      <c r="S369">
        <v>3.0047609999999998</v>
      </c>
      <c r="T369">
        <v>-0.1462193</v>
      </c>
      <c r="U369">
        <v>6.9885249999999998E-3</v>
      </c>
      <c r="V369">
        <v>-6.752764E-2</v>
      </c>
      <c r="W369">
        <v>1.355875E-2</v>
      </c>
      <c r="X369">
        <v>0.99762530000000005</v>
      </c>
      <c r="Y369">
        <v>-1.282471E-2</v>
      </c>
      <c r="Z369">
        <v>8.2380229999999999E-4</v>
      </c>
      <c r="AA369">
        <v>0.99991739999999996</v>
      </c>
      <c r="AB369">
        <v>17</v>
      </c>
      <c r="AC369">
        <v>21.526199999999999</v>
      </c>
      <c r="AD369">
        <v>-1.0541008673450001</v>
      </c>
      <c r="AE369">
        <v>5.23000000000024E-2</v>
      </c>
      <c r="AF369">
        <v>-0.27822949678862502</v>
      </c>
      <c r="AG369">
        <v>-1.0541008673450001</v>
      </c>
      <c r="AH369">
        <v>21.472967200020399</v>
      </c>
      <c r="AI369">
        <v>92.810139356328094</v>
      </c>
      <c r="AJ369">
        <v>90.742351241737296</v>
      </c>
      <c r="AK369">
        <v>21.5006246575436</v>
      </c>
    </row>
    <row r="370" spans="1:37" x14ac:dyDescent="0.2">
      <c r="A370" t="str">
        <f>"20200111155801406"</f>
        <v>20200111155801406</v>
      </c>
      <c r="B370" t="str">
        <f>"1578729481401235"</f>
        <v>1578729481401235</v>
      </c>
      <c r="C370" t="s">
        <v>37</v>
      </c>
      <c r="D370">
        <v>5.7846650000000004</v>
      </c>
      <c r="E370">
        <v>0.52166619999999997</v>
      </c>
      <c r="F370" t="s">
        <v>39</v>
      </c>
      <c r="G370">
        <v>-395.99799999999999</v>
      </c>
      <c r="H370" s="1">
        <v>-2.022471E-6</v>
      </c>
      <c r="I370">
        <v>367.79349999999999</v>
      </c>
      <c r="J370">
        <v>-417.70710000000003</v>
      </c>
      <c r="K370">
        <v>1.054106</v>
      </c>
      <c r="L370">
        <v>367.7405</v>
      </c>
      <c r="M370">
        <v>0.99986169999999996</v>
      </c>
      <c r="N370">
        <v>0</v>
      </c>
      <c r="O370">
        <v>-1.1288050000000001E-2</v>
      </c>
      <c r="P370">
        <v>0.99838789999999999</v>
      </c>
      <c r="Q370">
        <v>1.4801789999999899E-3</v>
      </c>
      <c r="R370">
        <v>5.6743450000000001E-2</v>
      </c>
      <c r="S370">
        <v>3.0047299999999999</v>
      </c>
      <c r="T370">
        <v>-0.1447107</v>
      </c>
      <c r="U370">
        <v>6.8969729999999998E-3</v>
      </c>
      <c r="V370">
        <v>-6.7998429999999999E-2</v>
      </c>
      <c r="W370">
        <v>1.3737070000000001E-2</v>
      </c>
      <c r="X370">
        <v>0.9975908</v>
      </c>
      <c r="Y370">
        <v>-1.3555279999999999E-2</v>
      </c>
      <c r="Z370">
        <v>8.6958969999999995E-4</v>
      </c>
      <c r="AA370">
        <v>0.99990769999999995</v>
      </c>
      <c r="AB370">
        <v>17</v>
      </c>
      <c r="AC370">
        <v>21.7090999999999</v>
      </c>
      <c r="AD370">
        <v>-1.054108022471</v>
      </c>
      <c r="AE370">
        <v>5.2999999999997202E-2</v>
      </c>
      <c r="AF370">
        <v>-0.29736721188017001</v>
      </c>
      <c r="AG370">
        <v>-1.054108022471</v>
      </c>
      <c r="AH370">
        <v>21.656060390124001</v>
      </c>
      <c r="AI370">
        <v>92.786408521331197</v>
      </c>
      <c r="AJ370">
        <v>90.786699666864806</v>
      </c>
      <c r="AK370">
        <v>21.683738667546201</v>
      </c>
    </row>
    <row r="371" spans="1:37" x14ac:dyDescent="0.2">
      <c r="A371" t="str">
        <f>"20200111155801429"</f>
        <v>20200111155801429</v>
      </c>
      <c r="B371" t="str">
        <f>"1578729481421731"</f>
        <v>1578729481421731</v>
      </c>
      <c r="C371" t="s">
        <v>37</v>
      </c>
      <c r="D371">
        <v>5.8932659999999997</v>
      </c>
      <c r="E371">
        <v>0.52178329999999995</v>
      </c>
      <c r="F371" t="s">
        <v>39</v>
      </c>
      <c r="G371">
        <v>-396.15519999999998</v>
      </c>
      <c r="H371" s="1">
        <v>-1.9562099999999999E-6</v>
      </c>
      <c r="I371">
        <v>367.78710000000001</v>
      </c>
      <c r="J371">
        <v>-417.51979999999998</v>
      </c>
      <c r="K371">
        <v>1.0541149999999999</v>
      </c>
      <c r="L371">
        <v>367.73739999999998</v>
      </c>
      <c r="M371">
        <v>0.99985239999999997</v>
      </c>
      <c r="N371">
        <v>0</v>
      </c>
      <c r="O371">
        <v>-1.208941E-2</v>
      </c>
      <c r="P371">
        <v>0.99836719999999901</v>
      </c>
      <c r="Q371">
        <v>1.7811529999999999E-3</v>
      </c>
      <c r="R371">
        <v>5.7099049999999998E-2</v>
      </c>
      <c r="S371">
        <v>3.0047299999999999</v>
      </c>
      <c r="T371">
        <v>-0.14696119999999999</v>
      </c>
      <c r="U371">
        <v>6.5002439999999996E-3</v>
      </c>
      <c r="V371">
        <v>-6.9153060000000002E-2</v>
      </c>
      <c r="W371">
        <v>1.4034110000000001E-2</v>
      </c>
      <c r="X371">
        <v>0.99750729999999999</v>
      </c>
      <c r="Y371">
        <v>-1.4222E-2</v>
      </c>
      <c r="Z371">
        <v>9.3856409999999995E-4</v>
      </c>
      <c r="AA371">
        <v>0.99989839999999997</v>
      </c>
      <c r="AB371">
        <v>17</v>
      </c>
      <c r="AC371">
        <v>21.364599999999999</v>
      </c>
      <c r="AD371">
        <v>-1.0541169562099999</v>
      </c>
      <c r="AE371">
        <v>4.9700000000029797E-2</v>
      </c>
      <c r="AF371">
        <v>-0.30725305772617501</v>
      </c>
      <c r="AG371">
        <v>-1.0541169562099999</v>
      </c>
      <c r="AH371">
        <v>21.310559879088299</v>
      </c>
      <c r="AI371">
        <v>92.8315072866056</v>
      </c>
      <c r="AJ371">
        <v>90.826026339496394</v>
      </c>
      <c r="AK371">
        <v>21.338826803717701</v>
      </c>
    </row>
    <row r="372" spans="1:37" x14ac:dyDescent="0.2">
      <c r="A372" t="str">
        <f>"20200111155801443"</f>
        <v>20200111155801443</v>
      </c>
      <c r="B372" t="str">
        <f>"1578729481431491"</f>
        <v>1578729481431491</v>
      </c>
      <c r="C372" t="s">
        <v>37</v>
      </c>
      <c r="D372">
        <v>5.8046519999999999</v>
      </c>
      <c r="E372">
        <v>0.5217754</v>
      </c>
      <c r="F372" t="s">
        <v>39</v>
      </c>
      <c r="G372">
        <v>-395.63529999999997</v>
      </c>
      <c r="H372" s="1">
        <v>-2.1795800000000001E-6</v>
      </c>
      <c r="I372">
        <v>367.7851</v>
      </c>
      <c r="J372">
        <v>-417.40899999999999</v>
      </c>
      <c r="K372">
        <v>1.054119</v>
      </c>
      <c r="L372">
        <v>367.7355</v>
      </c>
      <c r="M372">
        <v>0.99984649999999997</v>
      </c>
      <c r="N372">
        <v>0</v>
      </c>
      <c r="O372">
        <v>-1.256286E-2</v>
      </c>
      <c r="P372">
        <v>0.99837099999999901</v>
      </c>
      <c r="Q372">
        <v>2.4761329999999902E-3</v>
      </c>
      <c r="R372">
        <v>5.7001490000000002E-2</v>
      </c>
      <c r="S372">
        <v>3.004791</v>
      </c>
      <c r="T372">
        <v>-0.14473220000000001</v>
      </c>
      <c r="U372">
        <v>6.5612789999999997E-3</v>
      </c>
      <c r="V372">
        <v>-6.9526710000000005E-2</v>
      </c>
      <c r="W372">
        <v>1.4726410000000001E-2</v>
      </c>
      <c r="X372">
        <v>0.99747140000000001</v>
      </c>
      <c r="Y372">
        <v>-1.4715570000000001E-2</v>
      </c>
      <c r="Z372">
        <v>9.5899889999999995E-4</v>
      </c>
      <c r="AA372">
        <v>0.99989130000000004</v>
      </c>
      <c r="AB372">
        <v>17</v>
      </c>
      <c r="AC372">
        <v>21.773700000000002</v>
      </c>
      <c r="AD372">
        <v>-1.0541211795799901</v>
      </c>
      <c r="AE372">
        <v>4.9599999999998E-2</v>
      </c>
      <c r="AF372">
        <v>-0.32240079941543398</v>
      </c>
      <c r="AG372">
        <v>-1.0541211795799901</v>
      </c>
      <c r="AH372">
        <v>21.7204506234844</v>
      </c>
      <c r="AI372">
        <v>92.778151747797807</v>
      </c>
      <c r="AJ372">
        <v>90.850389755576899</v>
      </c>
      <c r="AK372">
        <v>21.748404286842</v>
      </c>
    </row>
    <row r="373" spans="1:37" x14ac:dyDescent="0.2">
      <c r="A373" t="str">
        <f>"20200111155801461"</f>
        <v>20200111155801461</v>
      </c>
      <c r="B373" t="str">
        <f>"1578729481451010"</f>
        <v>1578729481451010</v>
      </c>
      <c r="C373" t="s">
        <v>37</v>
      </c>
      <c r="D373">
        <v>6.0168669999999898</v>
      </c>
      <c r="E373">
        <v>0.52162330000000001</v>
      </c>
      <c r="F373" t="s">
        <v>39</v>
      </c>
      <c r="G373">
        <v>-394.77659999999997</v>
      </c>
      <c r="H373" s="1">
        <v>-2.5488749999999998E-6</v>
      </c>
      <c r="I373">
        <v>367.78</v>
      </c>
      <c r="J373">
        <v>-417.26510000000002</v>
      </c>
      <c r="K373">
        <v>1.0541229999999999</v>
      </c>
      <c r="L373">
        <v>367.73289999999997</v>
      </c>
      <c r="M373">
        <v>0.99983869999999897</v>
      </c>
      <c r="N373">
        <v>0</v>
      </c>
      <c r="O373">
        <v>-1.317781E-2</v>
      </c>
      <c r="P373">
        <v>0.9983322</v>
      </c>
      <c r="Q373">
        <v>3.207587E-3</v>
      </c>
      <c r="R373">
        <v>5.7645750000000003E-2</v>
      </c>
      <c r="S373">
        <v>3.0049440000000001</v>
      </c>
      <c r="T373">
        <v>-0.13995650000000001</v>
      </c>
      <c r="U373">
        <v>5.9204100000000001E-3</v>
      </c>
      <c r="V373">
        <v>-7.0783910000000005E-2</v>
      </c>
      <c r="W373">
        <v>1.545446E-2</v>
      </c>
      <c r="X373">
        <v>0.99737199999999904</v>
      </c>
      <c r="Y373">
        <v>-1.511814E-2</v>
      </c>
      <c r="Z373">
        <v>9.6533869999999996E-4</v>
      </c>
      <c r="AA373">
        <v>0.99988529999999998</v>
      </c>
      <c r="AB373">
        <v>17</v>
      </c>
      <c r="AC373">
        <v>22.488499999999998</v>
      </c>
      <c r="AD373">
        <v>-1.0541255488750001</v>
      </c>
      <c r="AE373">
        <v>4.7100000000000301E-2</v>
      </c>
      <c r="AF373">
        <v>-0.34271416031276603</v>
      </c>
      <c r="AG373">
        <v>-1.0541255488750001</v>
      </c>
      <c r="AH373">
        <v>22.436629409241299</v>
      </c>
      <c r="AI373">
        <v>92.689598989761706</v>
      </c>
      <c r="AJ373">
        <v>90.875111304323198</v>
      </c>
      <c r="AK373">
        <v>22.463992808850801</v>
      </c>
    </row>
    <row r="374" spans="1:37" x14ac:dyDescent="0.2">
      <c r="A374" t="str">
        <f>"20200111155801476"</f>
        <v>20200111155801476</v>
      </c>
      <c r="B374" t="str">
        <f>"1578729481471506"</f>
        <v>1578729481471506</v>
      </c>
      <c r="C374" t="s">
        <v>37</v>
      </c>
      <c r="D374">
        <v>5.7482709999999999</v>
      </c>
      <c r="E374">
        <v>0.52143019999999995</v>
      </c>
      <c r="F374" t="s">
        <v>39</v>
      </c>
      <c r="G374">
        <v>-393.3356</v>
      </c>
      <c r="H374" s="1">
        <v>-3.162975E-6</v>
      </c>
      <c r="I374">
        <v>367.80279999999999</v>
      </c>
      <c r="J374">
        <v>-417.15550000000002</v>
      </c>
      <c r="K374">
        <v>1.0541240000000001</v>
      </c>
      <c r="L374">
        <v>367.73090000000002</v>
      </c>
      <c r="M374">
        <v>0.99983250000000001</v>
      </c>
      <c r="N374">
        <v>0</v>
      </c>
      <c r="O374">
        <v>-1.3645549999999999E-2</v>
      </c>
      <c r="P374">
        <v>0.99832180000000004</v>
      </c>
      <c r="Q374">
        <v>3.7249979999999898E-3</v>
      </c>
      <c r="R374">
        <v>5.779194E-2</v>
      </c>
      <c r="S374">
        <v>3.0049440000000001</v>
      </c>
      <c r="T374">
        <v>-0.13237170000000001</v>
      </c>
      <c r="U374">
        <v>8.7890629999999997E-3</v>
      </c>
      <c r="V374">
        <v>-7.139587E-2</v>
      </c>
      <c r="W374">
        <v>1.5969850000000001E-2</v>
      </c>
      <c r="X374">
        <v>0.99732019999999899</v>
      </c>
      <c r="Y374">
        <v>-1.6541819999999999E-2</v>
      </c>
      <c r="Z374">
        <v>9.6501219999999997E-4</v>
      </c>
      <c r="AA374">
        <v>0.99986269999999999</v>
      </c>
      <c r="AB374">
        <v>17</v>
      </c>
      <c r="AC374">
        <v>23.819900000000001</v>
      </c>
      <c r="AD374">
        <v>-1.054127162975</v>
      </c>
      <c r="AE374">
        <v>7.1899999999970904E-2</v>
      </c>
      <c r="AF374">
        <v>-0.39617724691117301</v>
      </c>
      <c r="AG374">
        <v>-1.054127162975</v>
      </c>
      <c r="AH374">
        <v>23.770149189531502</v>
      </c>
      <c r="AI374">
        <v>92.538861672023799</v>
      </c>
      <c r="AJ374">
        <v>90.954860757706996</v>
      </c>
      <c r="AK374">
        <v>23.796809302494299</v>
      </c>
    </row>
    <row r="375" spans="1:37" x14ac:dyDescent="0.2">
      <c r="A375" t="str">
        <f>"20200111155801494"</f>
        <v>20200111155801494</v>
      </c>
      <c r="B375" t="str">
        <f>"1578729481491026"</f>
        <v>1578729481491026</v>
      </c>
      <c r="C375" t="s">
        <v>37</v>
      </c>
      <c r="D375">
        <v>5.8715330000000003</v>
      </c>
      <c r="E375">
        <v>0.52145900000000001</v>
      </c>
      <c r="F375" t="s">
        <v>39</v>
      </c>
      <c r="G375">
        <v>-393.44619999999998</v>
      </c>
      <c r="H375" s="1">
        <v>-3.1133479999999898E-6</v>
      </c>
      <c r="I375">
        <v>367.81529999999998</v>
      </c>
      <c r="J375">
        <v>-417.00639999999999</v>
      </c>
      <c r="K375">
        <v>1.0541290000000001</v>
      </c>
      <c r="L375">
        <v>367.72809999999998</v>
      </c>
      <c r="M375">
        <v>0.99982349999999998</v>
      </c>
      <c r="N375">
        <v>0</v>
      </c>
      <c r="O375">
        <v>-1.4282319999999999E-2</v>
      </c>
      <c r="P375">
        <v>0.99829269999999903</v>
      </c>
      <c r="Q375">
        <v>4.3047670000000001E-3</v>
      </c>
      <c r="R375">
        <v>5.8250360000000001E-2</v>
      </c>
      <c r="S375">
        <v>3.004883</v>
      </c>
      <c r="T375">
        <v>-0.13359760000000001</v>
      </c>
      <c r="U375">
        <v>1.071167E-2</v>
      </c>
      <c r="V375">
        <v>-7.2488460000000005E-2</v>
      </c>
      <c r="W375">
        <v>1.6546749999999999E-2</v>
      </c>
      <c r="X375">
        <v>0.99723200000000001</v>
      </c>
      <c r="Y375">
        <v>-1.7815950000000001E-2</v>
      </c>
      <c r="Z375">
        <v>1.030567E-3</v>
      </c>
      <c r="AA375">
        <v>0.99984069999999903</v>
      </c>
      <c r="AB375">
        <v>17</v>
      </c>
      <c r="AC375">
        <v>23.560199999999998</v>
      </c>
      <c r="AD375">
        <v>-1.0541321133479999</v>
      </c>
      <c r="AE375">
        <v>8.7199999999995698E-2</v>
      </c>
      <c r="AF375">
        <v>-0.42286398925023599</v>
      </c>
      <c r="AG375">
        <v>-1.0541321133479999</v>
      </c>
      <c r="AH375">
        <v>23.509489156229101</v>
      </c>
      <c r="AI375">
        <v>92.566927126555001</v>
      </c>
      <c r="AJ375">
        <v>91.030465161213201</v>
      </c>
      <c r="AK375">
        <v>23.536909076016101</v>
      </c>
    </row>
    <row r="376" spans="1:37" x14ac:dyDescent="0.2">
      <c r="A376" t="str">
        <f>"20200111155801518"</f>
        <v>20200111155801518</v>
      </c>
      <c r="B376" t="str">
        <f>"1578729481511086"</f>
        <v>1578729481511086</v>
      </c>
      <c r="C376" t="s">
        <v>37</v>
      </c>
      <c r="D376">
        <v>5.7415289999999999</v>
      </c>
      <c r="E376">
        <v>0.52149920000000005</v>
      </c>
      <c r="F376" t="s">
        <v>39</v>
      </c>
      <c r="G376">
        <v>-393.36829999999998</v>
      </c>
      <c r="H376" s="1">
        <v>-3.1454270000000001E-6</v>
      </c>
      <c r="I376">
        <v>367.82260000000002</v>
      </c>
      <c r="J376">
        <v>-416.82150000000001</v>
      </c>
      <c r="K376">
        <v>1.054127</v>
      </c>
      <c r="L376">
        <v>367.72449999999998</v>
      </c>
      <c r="M376">
        <v>0.99981189999999998</v>
      </c>
      <c r="N376">
        <v>0</v>
      </c>
      <c r="O376">
        <v>-1.5072260000000001E-2</v>
      </c>
      <c r="P376">
        <v>0.99832739999999998</v>
      </c>
      <c r="Q376">
        <v>3.6738529999999999E-3</v>
      </c>
      <c r="R376">
        <v>5.7699130000000001E-2</v>
      </c>
      <c r="S376">
        <v>3.0050050000000001</v>
      </c>
      <c r="T376">
        <v>-0.13400689999999901</v>
      </c>
      <c r="U376">
        <v>1.202393E-2</v>
      </c>
      <c r="V376">
        <v>-7.2726499999999999E-2</v>
      </c>
      <c r="W376">
        <v>1.5912160000000002E-2</v>
      </c>
      <c r="X376">
        <v>0.99722500000000003</v>
      </c>
      <c r="Y376">
        <v>-1.9040169999999999E-2</v>
      </c>
      <c r="Z376">
        <v>1.0961720000000001E-3</v>
      </c>
      <c r="AA376">
        <v>0.99981810000000004</v>
      </c>
      <c r="AB376">
        <v>17</v>
      </c>
      <c r="AC376">
        <v>23.453199999999999</v>
      </c>
      <c r="AD376">
        <v>-1.054130145427</v>
      </c>
      <c r="AE376">
        <v>9.8100000000044901E-2</v>
      </c>
      <c r="AF376">
        <v>-0.450697457897412</v>
      </c>
      <c r="AG376">
        <v>-1.054130145427</v>
      </c>
      <c r="AH376">
        <v>23.401782432910501</v>
      </c>
      <c r="AI376">
        <v>92.578659702406895</v>
      </c>
      <c r="AJ376">
        <v>91.103329212374902</v>
      </c>
      <c r="AK376">
        <v>23.429847195390199</v>
      </c>
    </row>
    <row r="377" spans="1:37" x14ac:dyDescent="0.2">
      <c r="A377" t="str">
        <f>"20200111155801541"</f>
        <v>20200111155801541</v>
      </c>
      <c r="B377" t="str">
        <f>"1578729481531582"</f>
        <v>1578729481531582</v>
      </c>
      <c r="C377" t="s">
        <v>37</v>
      </c>
      <c r="D377">
        <v>5.8518030000000003</v>
      </c>
      <c r="E377">
        <v>0.52142129999999998</v>
      </c>
      <c r="F377" t="s">
        <v>39</v>
      </c>
      <c r="G377">
        <v>-393.88279999999997</v>
      </c>
      <c r="H377" s="1">
        <v>-2.9284019999999998E-6</v>
      </c>
      <c r="I377">
        <v>367.801999999999</v>
      </c>
      <c r="J377">
        <v>-416.6429</v>
      </c>
      <c r="K377">
        <v>1.0541209999999901</v>
      </c>
      <c r="L377">
        <v>367.72089999999997</v>
      </c>
      <c r="M377">
        <v>0.99980029999999998</v>
      </c>
      <c r="N377">
        <v>0</v>
      </c>
      <c r="O377">
        <v>-1.583598E-2</v>
      </c>
      <c r="P377">
        <v>0.99837310000000001</v>
      </c>
      <c r="Q377">
        <v>2.6616679999999998E-3</v>
      </c>
      <c r="R377">
        <v>5.6962150000000003E-2</v>
      </c>
      <c r="S377">
        <v>3.0049130000000002</v>
      </c>
      <c r="T377">
        <v>-0.13808770000000001</v>
      </c>
      <c r="U377">
        <v>1.0162350000000001E-2</v>
      </c>
      <c r="V377">
        <v>-7.2753319999999996E-2</v>
      </c>
      <c r="W377">
        <v>1.48971E-2</v>
      </c>
      <c r="X377">
        <v>0.99723869999999903</v>
      </c>
      <c r="Y377">
        <v>-1.918158E-2</v>
      </c>
      <c r="Z377">
        <v>1.167878E-3</v>
      </c>
      <c r="AA377">
        <v>0.99981529999999996</v>
      </c>
      <c r="AB377">
        <v>17</v>
      </c>
      <c r="AC377">
        <v>22.760100000000001</v>
      </c>
      <c r="AD377">
        <v>-1.0541239284020001</v>
      </c>
      <c r="AE377">
        <v>8.1099999999992095E-2</v>
      </c>
      <c r="AF377">
        <v>-0.44060000494083701</v>
      </c>
      <c r="AG377">
        <v>-1.0541239284020001</v>
      </c>
      <c r="AH377">
        <v>22.707253827993899</v>
      </c>
      <c r="AI377">
        <v>92.6573966615004</v>
      </c>
      <c r="AJ377">
        <v>91.111598676525304</v>
      </c>
      <c r="AK377">
        <v>22.735977701205801</v>
      </c>
    </row>
    <row r="378" spans="1:37" x14ac:dyDescent="0.2">
      <c r="A378" t="str">
        <f>"20200111155801562"</f>
        <v>20200111155801562</v>
      </c>
      <c r="B378" t="str">
        <f>"1578729481551102"</f>
        <v>1578729481551102</v>
      </c>
      <c r="C378" t="s">
        <v>37</v>
      </c>
      <c r="D378">
        <v>6.3599589999999999</v>
      </c>
      <c r="E378">
        <v>0.52127679999999998</v>
      </c>
      <c r="F378" t="s">
        <v>39</v>
      </c>
      <c r="G378">
        <v>-394.32350000000002</v>
      </c>
      <c r="H378" s="1">
        <v>-2.74274299999999E-6</v>
      </c>
      <c r="I378">
        <v>367.78269999999998</v>
      </c>
      <c r="J378">
        <v>-416.4769</v>
      </c>
      <c r="K378">
        <v>1.0541119999999999</v>
      </c>
      <c r="L378">
        <v>367.7174</v>
      </c>
      <c r="M378">
        <v>0.99978880000000003</v>
      </c>
      <c r="N378">
        <v>0</v>
      </c>
      <c r="O378">
        <v>-1.6546189999999999E-2</v>
      </c>
      <c r="P378">
        <v>0.99842949999999997</v>
      </c>
      <c r="Q378">
        <v>1.0669939999999999E-3</v>
      </c>
      <c r="R378">
        <v>5.6014179999999997E-2</v>
      </c>
      <c r="S378">
        <v>3.0047609999999998</v>
      </c>
      <c r="T378">
        <v>-0.14191139999999999</v>
      </c>
      <c r="U378">
        <v>8.3312990000000003E-3</v>
      </c>
      <c r="V378">
        <v>-7.2515759999999999E-2</v>
      </c>
      <c r="W378">
        <v>1.329985E-2</v>
      </c>
      <c r="X378">
        <v>0.99727860000000002</v>
      </c>
      <c r="Y378">
        <v>-1.9279729999999998E-2</v>
      </c>
      <c r="Z378">
        <v>1.2360819999999999E-3</v>
      </c>
      <c r="AA378">
        <v>0.99981339999999996</v>
      </c>
      <c r="AB378">
        <v>17</v>
      </c>
      <c r="AC378">
        <v>22.153399999999898</v>
      </c>
      <c r="AD378">
        <v>-1.054114742743</v>
      </c>
      <c r="AE378">
        <v>6.5299999999979194E-2</v>
      </c>
      <c r="AF378">
        <v>-0.430897074755617</v>
      </c>
      <c r="AG378">
        <v>-1.054114742743</v>
      </c>
      <c r="AH378">
        <v>22.099251844841898</v>
      </c>
      <c r="AI378">
        <v>92.730369904007702</v>
      </c>
      <c r="AJ378">
        <v>91.117026764235604</v>
      </c>
      <c r="AK378">
        <v>22.128573435304101</v>
      </c>
    </row>
    <row r="379" spans="1:37" x14ac:dyDescent="0.2">
      <c r="A379" t="str">
        <f>"20200111155801584"</f>
        <v>20200111155801584</v>
      </c>
      <c r="B379" t="str">
        <f>"1578729481571598"</f>
        <v>1578729481571598</v>
      </c>
      <c r="C379" t="s">
        <v>37</v>
      </c>
      <c r="D379">
        <v>5.7509940000000004</v>
      </c>
      <c r="E379">
        <v>0.52118069999999905</v>
      </c>
      <c r="F379" t="s">
        <v>39</v>
      </c>
      <c r="G379">
        <v>-394.50959999999998</v>
      </c>
      <c r="H379" s="1">
        <v>-2.6663109999999999E-6</v>
      </c>
      <c r="I379">
        <v>367.76350000000002</v>
      </c>
      <c r="J379">
        <v>-416.30930000000001</v>
      </c>
      <c r="K379">
        <v>1.0541049999999901</v>
      </c>
      <c r="L379">
        <v>367.71379999999999</v>
      </c>
      <c r="M379">
        <v>0.99977669999999996</v>
      </c>
      <c r="N379">
        <v>0</v>
      </c>
      <c r="O379">
        <v>-1.7263790000000001E-2</v>
      </c>
      <c r="P379">
        <v>0.99848879999999995</v>
      </c>
      <c r="Q379">
        <v>-1.347307E-4</v>
      </c>
      <c r="R379">
        <v>5.4957010000000001E-2</v>
      </c>
      <c r="S379">
        <v>3.0045169999999999</v>
      </c>
      <c r="T379">
        <v>-0.1441731</v>
      </c>
      <c r="U379">
        <v>6.3171390000000003E-3</v>
      </c>
      <c r="V379">
        <v>-7.2177309999999995E-2</v>
      </c>
      <c r="W379">
        <v>1.2095460000000001E-2</v>
      </c>
      <c r="X379">
        <v>0.99731840000000005</v>
      </c>
      <c r="Y379">
        <v>-1.9325160000000001E-2</v>
      </c>
      <c r="Z379">
        <v>1.2913639999999999E-3</v>
      </c>
      <c r="AA379">
        <v>0.99981239999999905</v>
      </c>
      <c r="AB379">
        <v>17</v>
      </c>
      <c r="AC379">
        <v>21.799700000000001</v>
      </c>
      <c r="AD379">
        <v>-1.0541076663109901</v>
      </c>
      <c r="AE379">
        <v>4.9700000000029797E-2</v>
      </c>
      <c r="AF379">
        <v>-0.42507211463575401</v>
      </c>
      <c r="AG379">
        <v>-1.0541076663109901</v>
      </c>
      <c r="AH379">
        <v>21.744750807044301</v>
      </c>
      <c r="AI379">
        <v>92.774792354480297</v>
      </c>
      <c r="AJ379">
        <v>91.1198903500472</v>
      </c>
      <c r="AK379">
        <v>21.774434939517299</v>
      </c>
    </row>
    <row r="380" spans="1:37" x14ac:dyDescent="0.2">
      <c r="A380" t="str">
        <f>"20200111155801606"</f>
        <v>20200111155801606</v>
      </c>
      <c r="B380" t="str">
        <f>"1578729481601854"</f>
        <v>1578729481601854</v>
      </c>
      <c r="C380" t="s">
        <v>37</v>
      </c>
      <c r="D380">
        <v>5.7677370000000003</v>
      </c>
      <c r="E380">
        <v>0.52127309999999905</v>
      </c>
      <c r="F380" t="s">
        <v>39</v>
      </c>
      <c r="G380">
        <v>-394.57499999999999</v>
      </c>
      <c r="H380" s="1">
        <v>-2.642289E-6</v>
      </c>
      <c r="I380">
        <v>367.74079999999998</v>
      </c>
      <c r="J380">
        <v>-416.13549999999998</v>
      </c>
      <c r="K380">
        <v>1.0540940000000001</v>
      </c>
      <c r="L380">
        <v>367.7099</v>
      </c>
      <c r="M380">
        <v>0.99976359999999997</v>
      </c>
      <c r="N380">
        <v>0</v>
      </c>
      <c r="O380">
        <v>-1.8007370000000002E-2</v>
      </c>
      <c r="P380">
        <v>0.99853409999999998</v>
      </c>
      <c r="Q380">
        <v>-1.3697429999999899E-3</v>
      </c>
      <c r="R380">
        <v>5.4110529999999997E-2</v>
      </c>
      <c r="S380">
        <v>3.00430299999999</v>
      </c>
      <c r="T380">
        <v>-0.14570720000000001</v>
      </c>
      <c r="U380">
        <v>3.7536620000000001E-3</v>
      </c>
      <c r="V380">
        <v>-7.2074659999999999E-2</v>
      </c>
      <c r="W380">
        <v>1.085815E-2</v>
      </c>
      <c r="X380">
        <v>0.99734009999999995</v>
      </c>
      <c r="Y380">
        <v>-1.9214169999999999E-2</v>
      </c>
      <c r="Z380">
        <v>1.3385329999999901E-3</v>
      </c>
      <c r="AA380">
        <v>0.99981450000000005</v>
      </c>
      <c r="AB380">
        <v>17</v>
      </c>
      <c r="AC380">
        <v>21.560499999999902</v>
      </c>
      <c r="AD380">
        <v>-1.0540966422889999</v>
      </c>
      <c r="AE380">
        <v>3.0899999999974101E-2</v>
      </c>
      <c r="AF380">
        <v>-0.418172182601873</v>
      </c>
      <c r="AG380">
        <v>-1.0540966422889999</v>
      </c>
      <c r="AH380">
        <v>21.505044753486601</v>
      </c>
      <c r="AI380">
        <v>92.805648764436398</v>
      </c>
      <c r="AJ380">
        <v>91.113993589754401</v>
      </c>
      <c r="AK380">
        <v>21.5349236719114</v>
      </c>
    </row>
    <row r="381" spans="1:37" x14ac:dyDescent="0.2">
      <c r="A381" t="str">
        <f>"20200111155801620"</f>
        <v>20200111155801620</v>
      </c>
      <c r="B381" t="str">
        <f>"1578729481611614"</f>
        <v>1578729481611614</v>
      </c>
      <c r="C381" t="s">
        <v>37</v>
      </c>
      <c r="D381">
        <v>5.7511409999999996</v>
      </c>
      <c r="E381">
        <v>0.52130619999999905</v>
      </c>
      <c r="F381" t="s">
        <v>39</v>
      </c>
      <c r="G381">
        <v>-395.27659999999997</v>
      </c>
      <c r="H381" s="1">
        <v>-2.345929E-6</v>
      </c>
      <c r="I381">
        <v>367.7149</v>
      </c>
      <c r="J381">
        <v>-416.02170000000001</v>
      </c>
      <c r="K381">
        <v>1.0540929999999999</v>
      </c>
      <c r="L381">
        <v>367.7072</v>
      </c>
      <c r="M381">
        <v>0.999754699999999</v>
      </c>
      <c r="N381">
        <v>0</v>
      </c>
      <c r="O381">
        <v>-1.849491E-2</v>
      </c>
      <c r="P381">
        <v>0.99855400000000005</v>
      </c>
      <c r="Q381">
        <v>-2.3254450000000002E-3</v>
      </c>
      <c r="R381">
        <v>5.3708029999999997E-2</v>
      </c>
      <c r="S381">
        <v>3.0041199999999999</v>
      </c>
      <c r="T381">
        <v>-0.1518109</v>
      </c>
      <c r="U381">
        <v>7.3242190000000001E-4</v>
      </c>
      <c r="V381">
        <v>-7.2159570000000006E-2</v>
      </c>
      <c r="W381">
        <v>9.9011859999999993E-3</v>
      </c>
      <c r="X381">
        <v>0.99734400000000001</v>
      </c>
      <c r="Y381">
        <v>-1.8692589999999999E-2</v>
      </c>
      <c r="Z381">
        <v>1.4060660000000001E-3</v>
      </c>
      <c r="AA381">
        <v>0.9998243</v>
      </c>
      <c r="AB381">
        <v>17</v>
      </c>
      <c r="AC381">
        <v>20.745100000000001</v>
      </c>
      <c r="AD381">
        <v>-1.0540953459289999</v>
      </c>
      <c r="AE381">
        <v>7.6999999999998103E-3</v>
      </c>
      <c r="AF381">
        <v>-0.39039798371804402</v>
      </c>
      <c r="AG381">
        <v>-1.0540953459289999</v>
      </c>
      <c r="AH381">
        <v>20.687995682342301</v>
      </c>
      <c r="AI381">
        <v>92.916295502975601</v>
      </c>
      <c r="AJ381">
        <v>91.081085986731594</v>
      </c>
      <c r="AK381">
        <v>20.718510876426699</v>
      </c>
    </row>
    <row r="382" spans="1:37" x14ac:dyDescent="0.2">
      <c r="A382" t="str">
        <f>"20200111155801634"</f>
        <v>20200111155801634</v>
      </c>
      <c r="B382" t="str">
        <f>"1578729481631134"</f>
        <v>1578729481631134</v>
      </c>
      <c r="C382" t="s">
        <v>37</v>
      </c>
      <c r="D382">
        <v>5.7710359999999996</v>
      </c>
      <c r="E382">
        <v>0.5213295</v>
      </c>
      <c r="F382" t="s">
        <v>39</v>
      </c>
      <c r="G382">
        <v>-395.64030000000002</v>
      </c>
      <c r="H382" s="1">
        <v>-2.1924700000000002E-6</v>
      </c>
      <c r="I382">
        <v>367.70030000000003</v>
      </c>
      <c r="J382">
        <v>-415.9203</v>
      </c>
      <c r="K382">
        <v>1.0540909999999999</v>
      </c>
      <c r="L382">
        <v>367.70479999999998</v>
      </c>
      <c r="M382">
        <v>0.99974649999999998</v>
      </c>
      <c r="N382">
        <v>0</v>
      </c>
      <c r="O382">
        <v>-1.8928919999999998E-2</v>
      </c>
      <c r="P382">
        <v>0.99856329999999904</v>
      </c>
      <c r="Q382">
        <v>-2.9152689999999998E-3</v>
      </c>
      <c r="R382">
        <v>5.350651E-2</v>
      </c>
      <c r="S382">
        <v>3.0039669999999998</v>
      </c>
      <c r="T382">
        <v>-0.1553602</v>
      </c>
      <c r="U382">
        <v>-1.00708E-3</v>
      </c>
      <c r="V382">
        <v>-7.2391579999999997E-2</v>
      </c>
      <c r="W382">
        <v>9.3099350000000001E-3</v>
      </c>
      <c r="X382">
        <v>0.99733280000000002</v>
      </c>
      <c r="Y382">
        <v>-1.854505E-2</v>
      </c>
      <c r="Z382">
        <v>1.4575860000000001E-3</v>
      </c>
      <c r="AA382">
        <v>0.99982700000000002</v>
      </c>
      <c r="AB382">
        <v>17</v>
      </c>
      <c r="AC382">
        <v>20.279999999999902</v>
      </c>
      <c r="AD382">
        <v>-1.0540931924700001</v>
      </c>
      <c r="AE382">
        <v>-4.4999999999504299E-3</v>
      </c>
      <c r="AF382">
        <v>-0.378385586454005</v>
      </c>
      <c r="AG382">
        <v>-1.0540931924700001</v>
      </c>
      <c r="AH382">
        <v>20.221819718256899</v>
      </c>
      <c r="AI382">
        <v>92.983407923526499</v>
      </c>
      <c r="AJ382">
        <v>91.071979065616802</v>
      </c>
      <c r="AK382">
        <v>20.252809208308101</v>
      </c>
    </row>
    <row r="383" spans="1:37" x14ac:dyDescent="0.2">
      <c r="A383" t="str">
        <f>"20200111155801651"</f>
        <v>20200111155801651</v>
      </c>
      <c r="B383" t="str">
        <f>"1578729481641871"</f>
        <v>1578729481641871</v>
      </c>
      <c r="C383" t="s">
        <v>37</v>
      </c>
      <c r="D383">
        <v>5.7817869999999996</v>
      </c>
      <c r="E383">
        <v>0.52135869999999995</v>
      </c>
      <c r="F383" t="s">
        <v>39</v>
      </c>
      <c r="G383">
        <v>-395.91250000000002</v>
      </c>
      <c r="H383" s="1">
        <v>-2.0769169999999998E-6</v>
      </c>
      <c r="I383">
        <v>367.6934</v>
      </c>
      <c r="J383">
        <v>-415.7842</v>
      </c>
      <c r="K383">
        <v>1.054082</v>
      </c>
      <c r="L383">
        <v>367.70159999999998</v>
      </c>
      <c r="M383">
        <v>0.99973539999999905</v>
      </c>
      <c r="N383">
        <v>0</v>
      </c>
      <c r="O383">
        <v>-1.9511460000000001E-2</v>
      </c>
      <c r="P383">
        <v>0.99855839999999996</v>
      </c>
      <c r="Q383">
        <v>-4.3676940000000001E-3</v>
      </c>
      <c r="R383">
        <v>5.3500779999999998E-2</v>
      </c>
      <c r="S383">
        <v>3.0039669999999998</v>
      </c>
      <c r="T383">
        <v>-0.15826119999999999</v>
      </c>
      <c r="U383">
        <v>-1.708984E-3</v>
      </c>
      <c r="V383">
        <v>-7.2968389999999994E-2</v>
      </c>
      <c r="W383">
        <v>7.8551599999999999E-3</v>
      </c>
      <c r="X383">
        <v>0.9973033</v>
      </c>
      <c r="Y383">
        <v>-1.8890850000000001E-2</v>
      </c>
      <c r="Z383">
        <v>1.524535E-3</v>
      </c>
      <c r="AA383">
        <v>0.99982039999999905</v>
      </c>
      <c r="AB383">
        <v>17</v>
      </c>
      <c r="AC383">
        <v>19.871699999999901</v>
      </c>
      <c r="AD383">
        <v>-1.0540840769169999</v>
      </c>
      <c r="AE383">
        <v>-8.1999999999879895E-3</v>
      </c>
      <c r="AF383">
        <v>-0.37849125255965099</v>
      </c>
      <c r="AG383">
        <v>-1.0540840769169999</v>
      </c>
      <c r="AH383">
        <v>19.812330248150602</v>
      </c>
      <c r="AI383">
        <v>93.044906566276893</v>
      </c>
      <c r="AJ383">
        <v>91.094435309752299</v>
      </c>
      <c r="AK383">
        <v>19.843960762188001</v>
      </c>
    </row>
    <row r="384" spans="1:37" x14ac:dyDescent="0.2">
      <c r="A384" t="str">
        <f>"20200111155801673"</f>
        <v>20200111155801673</v>
      </c>
      <c r="B384" t="str">
        <f>"1578729481661390"</f>
        <v>1578729481661390</v>
      </c>
      <c r="C384" t="s">
        <v>37</v>
      </c>
      <c r="D384">
        <v>5.7203660000000003</v>
      </c>
      <c r="E384">
        <v>0.52138779999999996</v>
      </c>
      <c r="F384" t="s">
        <v>39</v>
      </c>
      <c r="G384">
        <v>-396.35359999999997</v>
      </c>
      <c r="H384" s="1">
        <v>-1.888723E-6</v>
      </c>
      <c r="I384">
        <v>367.6875</v>
      </c>
      <c r="J384">
        <v>-415.61509999999998</v>
      </c>
      <c r="K384">
        <v>1.054071</v>
      </c>
      <c r="L384">
        <v>367.69740000000002</v>
      </c>
      <c r="M384">
        <v>0.99972090000000002</v>
      </c>
      <c r="N384">
        <v>0</v>
      </c>
      <c r="O384">
        <v>-2.0235739999999999E-2</v>
      </c>
      <c r="P384">
        <v>0.99856429999999996</v>
      </c>
      <c r="Q384">
        <v>-4.9956660000000002E-3</v>
      </c>
      <c r="R384">
        <v>5.3332530000000003E-2</v>
      </c>
      <c r="S384">
        <v>3.0037539999999998</v>
      </c>
      <c r="T384">
        <v>-0.1629487</v>
      </c>
      <c r="U384">
        <v>-2.166748E-3</v>
      </c>
      <c r="V384">
        <v>-7.352322E-2</v>
      </c>
      <c r="W384">
        <v>7.2252769999999996E-3</v>
      </c>
      <c r="X384">
        <v>0.99726729999999997</v>
      </c>
      <c r="Y384">
        <v>-1.945767E-2</v>
      </c>
      <c r="Z384">
        <v>1.62435799999999E-3</v>
      </c>
      <c r="AA384">
        <v>0.99980939999999996</v>
      </c>
      <c r="AB384">
        <v>17</v>
      </c>
      <c r="AC384">
        <v>19.261500000000002</v>
      </c>
      <c r="AD384">
        <v>-1.054072888723</v>
      </c>
      <c r="AE384">
        <v>-9.9000000000160002E-3</v>
      </c>
      <c r="AF384">
        <v>-0.37876738920832398</v>
      </c>
      <c r="AG384">
        <v>-1.054072888723</v>
      </c>
      <c r="AH384">
        <v>19.200255692094899</v>
      </c>
      <c r="AI384">
        <v>93.141710815361705</v>
      </c>
      <c r="AJ384">
        <v>91.130139027881498</v>
      </c>
      <c r="AK384">
        <v>19.232897676421299</v>
      </c>
    </row>
    <row r="385" spans="1:37" x14ac:dyDescent="0.2">
      <c r="A385" t="str">
        <f>"20200111155801687"</f>
        <v>20200111155801687</v>
      </c>
      <c r="B385" t="str">
        <f>"1578729481681887"</f>
        <v>1578729481681887</v>
      </c>
      <c r="C385" t="s">
        <v>37</v>
      </c>
      <c r="D385">
        <v>5.9295470000000003</v>
      </c>
      <c r="E385">
        <v>0.52133689999999999</v>
      </c>
      <c r="F385" t="s">
        <v>39</v>
      </c>
      <c r="G385">
        <v>-396.5086</v>
      </c>
      <c r="H385" s="1">
        <v>-1.823646E-6</v>
      </c>
      <c r="I385">
        <v>367.67970000000003</v>
      </c>
      <c r="J385">
        <v>-415.49669999999998</v>
      </c>
      <c r="K385">
        <v>1.0540689999999999</v>
      </c>
      <c r="L385">
        <v>367.69439999999997</v>
      </c>
      <c r="M385">
        <v>0.9997106</v>
      </c>
      <c r="N385">
        <v>0</v>
      </c>
      <c r="O385">
        <v>-2.0742819999999999E-2</v>
      </c>
      <c r="P385">
        <v>0.99858329999999995</v>
      </c>
      <c r="Q385">
        <v>-5.4916180000000002E-3</v>
      </c>
      <c r="R385">
        <v>5.2928759999999998E-2</v>
      </c>
      <c r="S385">
        <v>3.0036320000000001</v>
      </c>
      <c r="T385">
        <v>-0.16570399999999999</v>
      </c>
      <c r="U385">
        <v>-2.7770999999999998E-3</v>
      </c>
      <c r="V385">
        <v>-7.3626650000000002E-2</v>
      </c>
      <c r="W385">
        <v>6.7284240000000002E-3</v>
      </c>
      <c r="X385">
        <v>0.99726319999999902</v>
      </c>
      <c r="Y385">
        <v>-1.9758390000000001E-2</v>
      </c>
      <c r="Z385">
        <v>1.688089E-3</v>
      </c>
      <c r="AA385">
        <v>0.99980340000000001</v>
      </c>
      <c r="AB385">
        <v>17</v>
      </c>
      <c r="AC385">
        <v>18.9880999999999</v>
      </c>
      <c r="AD385">
        <v>-1.0540708236459999</v>
      </c>
      <c r="AE385">
        <v>-1.4699999999947901E-2</v>
      </c>
      <c r="AF385">
        <v>-0.37803419177030001</v>
      </c>
      <c r="AG385">
        <v>-1.0540708236459999</v>
      </c>
      <c r="AH385">
        <v>18.925996586252602</v>
      </c>
      <c r="AI385">
        <v>93.187122743209997</v>
      </c>
      <c r="AJ385">
        <v>91.144292916335004</v>
      </c>
      <c r="AK385">
        <v>18.959096021019899</v>
      </c>
    </row>
    <row r="386" spans="1:37" x14ac:dyDescent="0.2">
      <c r="A386" t="str">
        <f>"20200111155801707"</f>
        <v>20200111155801707</v>
      </c>
      <c r="B386" t="str">
        <f>"1578729481701407"</f>
        <v>1578729481701407</v>
      </c>
      <c r="C386" t="s">
        <v>37</v>
      </c>
      <c r="D386">
        <v>5.8579330000000001</v>
      </c>
      <c r="E386">
        <v>0.52138549999999995</v>
      </c>
      <c r="F386" t="s">
        <v>39</v>
      </c>
      <c r="G386">
        <v>-396.58940000000001</v>
      </c>
      <c r="H386" s="1">
        <v>-1.790015E-6</v>
      </c>
      <c r="I386">
        <v>367.67380000000003</v>
      </c>
      <c r="J386">
        <v>-415.34690000000001</v>
      </c>
      <c r="K386">
        <v>1.054074</v>
      </c>
      <c r="L386">
        <v>367.69049999999999</v>
      </c>
      <c r="M386">
        <v>0.99969710000000001</v>
      </c>
      <c r="N386">
        <v>0</v>
      </c>
      <c r="O386">
        <v>-2.1384130000000001E-2</v>
      </c>
      <c r="P386">
        <v>0.99862209999999996</v>
      </c>
      <c r="Q386">
        <v>-4.8363360000000001E-3</v>
      </c>
      <c r="R386">
        <v>5.2256370000000003E-2</v>
      </c>
      <c r="S386">
        <v>3.0035400000000001</v>
      </c>
      <c r="T386">
        <v>-0.1674447</v>
      </c>
      <c r="U386">
        <v>-3.2653809999999999E-3</v>
      </c>
      <c r="V386">
        <v>-7.359446E-2</v>
      </c>
      <c r="W386">
        <v>7.3816749999999999E-3</v>
      </c>
      <c r="X386">
        <v>0.99726090000000001</v>
      </c>
      <c r="Y386">
        <v>-2.0234149999999999E-2</v>
      </c>
      <c r="Z386">
        <v>1.75481799999999E-3</v>
      </c>
      <c r="AA386">
        <v>0.99979370000000001</v>
      </c>
      <c r="AB386">
        <v>17</v>
      </c>
      <c r="AC386">
        <v>18.7575</v>
      </c>
      <c r="AD386">
        <v>-1.054075790015</v>
      </c>
      <c r="AE386">
        <v>-1.6699999999957499E-2</v>
      </c>
      <c r="AF386">
        <v>-0.38323620131796898</v>
      </c>
      <c r="AG386">
        <v>-1.054075790015</v>
      </c>
      <c r="AH386">
        <v>18.694532498716701</v>
      </c>
      <c r="AI386">
        <v>93.226481792377896</v>
      </c>
      <c r="AJ386">
        <v>91.174393731019705</v>
      </c>
      <c r="AK386">
        <v>18.728147028007701</v>
      </c>
    </row>
    <row r="387" spans="1:37" x14ac:dyDescent="0.2">
      <c r="A387" t="str">
        <f>"20200111155801719"</f>
        <v>20200111155801719</v>
      </c>
      <c r="B387" t="str">
        <f>"1578729481711166"</f>
        <v>1578729481711166</v>
      </c>
      <c r="C387" t="s">
        <v>37</v>
      </c>
      <c r="D387">
        <v>5.7770419999999998</v>
      </c>
      <c r="E387">
        <v>0.52138039999999997</v>
      </c>
      <c r="F387" t="s">
        <v>39</v>
      </c>
      <c r="G387">
        <v>-396.25630000000001</v>
      </c>
      <c r="H387" s="1">
        <v>-1.9367090000000001E-6</v>
      </c>
      <c r="I387">
        <v>367.6524</v>
      </c>
      <c r="J387">
        <v>-415.2448</v>
      </c>
      <c r="K387">
        <v>1.054073</v>
      </c>
      <c r="L387">
        <v>367.68779999999998</v>
      </c>
      <c r="M387">
        <v>0.99968789999999996</v>
      </c>
      <c r="N387">
        <v>0</v>
      </c>
      <c r="O387">
        <v>-2.1821480000000001E-2</v>
      </c>
      <c r="P387">
        <v>0.99866580000000005</v>
      </c>
      <c r="Q387">
        <v>-4.3708890000000002E-3</v>
      </c>
      <c r="R387">
        <v>5.1458320000000002E-2</v>
      </c>
      <c r="S387">
        <v>3.0036619999999998</v>
      </c>
      <c r="T387">
        <v>-0.16584479999999999</v>
      </c>
      <c r="U387">
        <v>-5.9814450000000002E-3</v>
      </c>
      <c r="V387">
        <v>-7.3232779999999997E-2</v>
      </c>
      <c r="W387">
        <v>7.8456240000000007E-3</v>
      </c>
      <c r="X387">
        <v>0.99728399999999995</v>
      </c>
      <c r="Y387">
        <v>-1.97688E-2</v>
      </c>
      <c r="Z387">
        <v>1.7492919999999999E-3</v>
      </c>
      <c r="AA387">
        <v>0.99980309999999994</v>
      </c>
      <c r="AB387">
        <v>17</v>
      </c>
      <c r="AC387">
        <v>18.988499999999899</v>
      </c>
      <c r="AD387">
        <v>-1.0540749367090001</v>
      </c>
      <c r="AE387">
        <v>-3.5399999999981398E-2</v>
      </c>
      <c r="AF387">
        <v>-0.37783197019510101</v>
      </c>
      <c r="AG387">
        <v>-1.0540749367090001</v>
      </c>
      <c r="AH387">
        <v>18.926428868231799</v>
      </c>
      <c r="AI387">
        <v>93.187063216743695</v>
      </c>
      <c r="AJ387">
        <v>91.143654848245603</v>
      </c>
      <c r="AK387">
        <v>18.959523745973701</v>
      </c>
    </row>
    <row r="388" spans="1:37" x14ac:dyDescent="0.2">
      <c r="A388" t="str">
        <f>"20200111155801734"</f>
        <v>20200111155801734</v>
      </c>
      <c r="B388" t="str">
        <f>"1578729481731662"</f>
        <v>1578729481731662</v>
      </c>
      <c r="C388" t="s">
        <v>37</v>
      </c>
      <c r="D388">
        <v>5.9597230000000003</v>
      </c>
      <c r="E388">
        <v>0.52124550000000003</v>
      </c>
      <c r="F388" t="s">
        <v>39</v>
      </c>
      <c r="G388">
        <v>-396.00290000000001</v>
      </c>
      <c r="H388" s="1">
        <v>-2.0487150000000002E-6</v>
      </c>
      <c r="I388">
        <v>367.63380000000001</v>
      </c>
      <c r="J388">
        <v>-415.13990000000001</v>
      </c>
      <c r="K388">
        <v>1.054074</v>
      </c>
      <c r="L388">
        <v>367.685</v>
      </c>
      <c r="M388">
        <v>0.99967790000000001</v>
      </c>
      <c r="N388">
        <v>0</v>
      </c>
      <c r="O388">
        <v>-2.2269919999999999E-2</v>
      </c>
      <c r="P388">
        <v>0.9987028</v>
      </c>
      <c r="Q388">
        <v>-4.4011060000000001E-3</v>
      </c>
      <c r="R388">
        <v>5.0731850000000002E-2</v>
      </c>
      <c r="S388">
        <v>3.0037539999999998</v>
      </c>
      <c r="T388">
        <v>-0.16454579999999999</v>
      </c>
      <c r="U388">
        <v>-8.4228519999999998E-3</v>
      </c>
      <c r="V388">
        <v>-7.295509E-2</v>
      </c>
      <c r="W388">
        <v>7.8141530000000008E-3</v>
      </c>
      <c r="X388">
        <v>0.99730459999999999</v>
      </c>
      <c r="Y388">
        <v>-1.9405599999999999E-2</v>
      </c>
      <c r="Z388">
        <v>1.750157E-3</v>
      </c>
      <c r="AA388">
        <v>0.99981019999999898</v>
      </c>
      <c r="AB388">
        <v>17</v>
      </c>
      <c r="AC388">
        <v>19.137</v>
      </c>
      <c r="AD388">
        <v>-1.054076048715</v>
      </c>
      <c r="AE388">
        <v>-5.1199999999994299E-2</v>
      </c>
      <c r="AF388">
        <v>-0.373889409216631</v>
      </c>
      <c r="AG388">
        <v>-1.054076048715</v>
      </c>
      <c r="AH388">
        <v>19.075521388877402</v>
      </c>
      <c r="AI388">
        <v>93.162230139066594</v>
      </c>
      <c r="AJ388">
        <v>91.122881100778002</v>
      </c>
      <c r="AK388">
        <v>19.108280557504798</v>
      </c>
    </row>
    <row r="389" spans="1:37" x14ac:dyDescent="0.2">
      <c r="A389" t="str">
        <f>"20200111155801752"</f>
        <v>20200111155801752</v>
      </c>
      <c r="B389" t="str">
        <f>"1578729481741422"</f>
        <v>1578729481741422</v>
      </c>
      <c r="C389" t="s">
        <v>37</v>
      </c>
      <c r="D389">
        <v>5.8220130000000001</v>
      </c>
      <c r="E389">
        <v>0.52121010000000001</v>
      </c>
      <c r="F389" t="s">
        <v>39</v>
      </c>
      <c r="G389">
        <v>-395.87549999999999</v>
      </c>
      <c r="H389" s="1">
        <v>-2.1050670000000001E-6</v>
      </c>
      <c r="I389">
        <v>367.62419999999997</v>
      </c>
      <c r="J389">
        <v>-415.00290000000001</v>
      </c>
      <c r="K389">
        <v>1.0540750000000001</v>
      </c>
      <c r="L389">
        <v>367.68119999999999</v>
      </c>
      <c r="M389">
        <v>0.99966469999999896</v>
      </c>
      <c r="N389">
        <v>0</v>
      </c>
      <c r="O389">
        <v>-2.285628E-2</v>
      </c>
      <c r="P389">
        <v>0.9987587</v>
      </c>
      <c r="Q389">
        <v>-4.1486079999999998E-3</v>
      </c>
      <c r="R389">
        <v>4.9638059999999998E-2</v>
      </c>
      <c r="S389">
        <v>3.0036619999999998</v>
      </c>
      <c r="T389">
        <v>-0.1643481</v>
      </c>
      <c r="U389">
        <v>-9.4604489999999992E-3</v>
      </c>
      <c r="V389">
        <v>-7.2447990000000004E-2</v>
      </c>
      <c r="W389">
        <v>8.0654360000000005E-3</v>
      </c>
      <c r="X389">
        <v>0.99733959999999999</v>
      </c>
      <c r="Y389">
        <v>-1.9645490000000002E-2</v>
      </c>
      <c r="Z389">
        <v>1.7867219999999999E-3</v>
      </c>
      <c r="AA389">
        <v>0.99980539999999996</v>
      </c>
      <c r="AB389">
        <v>17</v>
      </c>
      <c r="AC389">
        <v>19.127400000000002</v>
      </c>
      <c r="AD389">
        <v>-1.0540771050669999</v>
      </c>
      <c r="AE389">
        <v>-5.7000000000016302E-2</v>
      </c>
      <c r="AF389">
        <v>-0.37907725911995699</v>
      </c>
      <c r="AG389">
        <v>-1.0540771050669999</v>
      </c>
      <c r="AH389">
        <v>19.065804597244199</v>
      </c>
      <c r="AI389">
        <v>93.163824068287497</v>
      </c>
      <c r="AJ389">
        <v>91.139037463332997</v>
      </c>
      <c r="AK389">
        <v>19.098682756989</v>
      </c>
    </row>
    <row r="390" spans="1:37" x14ac:dyDescent="0.2">
      <c r="A390" t="str">
        <f>"20200111155801766"</f>
        <v>20200111155801766</v>
      </c>
      <c r="B390" t="str">
        <f>"1578729481761918"</f>
        <v>1578729481761918</v>
      </c>
      <c r="C390" t="s">
        <v>37</v>
      </c>
      <c r="D390">
        <v>6.0171429999999999</v>
      </c>
      <c r="E390">
        <v>0.52126649999999997</v>
      </c>
      <c r="F390" t="s">
        <v>39</v>
      </c>
      <c r="G390">
        <v>-395.66649999999998</v>
      </c>
      <c r="H390" s="1">
        <v>-2.1988169999999999E-6</v>
      </c>
      <c r="I390">
        <v>367.60120000000001</v>
      </c>
      <c r="J390">
        <v>-414.88499999999999</v>
      </c>
      <c r="K390">
        <v>1.0540769999999999</v>
      </c>
      <c r="L390">
        <v>367.678</v>
      </c>
      <c r="M390">
        <v>0.99965300000000001</v>
      </c>
      <c r="N390">
        <v>0</v>
      </c>
      <c r="O390">
        <v>-2.336098E-2</v>
      </c>
      <c r="P390">
        <v>0.99881219999999904</v>
      </c>
      <c r="Q390">
        <v>-4.0300079999999999E-3</v>
      </c>
      <c r="R390">
        <v>4.8560190000000003E-2</v>
      </c>
      <c r="S390">
        <v>3.0036930000000002</v>
      </c>
      <c r="T390">
        <v>-0.16373840000000001</v>
      </c>
      <c r="U390">
        <v>-1.242065E-2</v>
      </c>
      <c r="V390">
        <v>-7.1874380000000002E-2</v>
      </c>
      <c r="W390">
        <v>8.1827369999999903E-3</v>
      </c>
      <c r="X390">
        <v>0.99738009999999999</v>
      </c>
      <c r="Y390">
        <v>-1.9165419999999999E-2</v>
      </c>
      <c r="Z390">
        <v>1.7944910000000001E-3</v>
      </c>
      <c r="AA390">
        <v>0.99981469999999995</v>
      </c>
      <c r="AB390">
        <v>17</v>
      </c>
      <c r="AC390">
        <v>19.218499999999999</v>
      </c>
      <c r="AD390">
        <v>-1.054079198817</v>
      </c>
      <c r="AE390">
        <v>-7.6800000000048302E-2</v>
      </c>
      <c r="AF390">
        <v>-0.37110088574093603</v>
      </c>
      <c r="AG390">
        <v>-1.054079198817</v>
      </c>
      <c r="AH390">
        <v>19.157420118047899</v>
      </c>
      <c r="AI390">
        <v>93.148762170224401</v>
      </c>
      <c r="AJ390">
        <v>91.109745230509603</v>
      </c>
      <c r="AK390">
        <v>19.189985523813299</v>
      </c>
    </row>
    <row r="391" spans="1:37" x14ac:dyDescent="0.2">
      <c r="A391" t="str">
        <f>"20200111155801798"</f>
        <v>20200111155801798</v>
      </c>
      <c r="B391" t="str">
        <f>"1578729481791198"</f>
        <v>1578729481791198</v>
      </c>
      <c r="C391" t="s">
        <v>37</v>
      </c>
      <c r="D391">
        <v>5.8254609999999998</v>
      </c>
      <c r="E391">
        <v>0.52130270000000001</v>
      </c>
      <c r="F391" t="s">
        <v>39</v>
      </c>
      <c r="G391">
        <v>-395.5514</v>
      </c>
      <c r="H391" s="1">
        <v>-2.2532409999999999E-6</v>
      </c>
      <c r="I391">
        <v>367.57279999999997</v>
      </c>
      <c r="J391">
        <v>-414.64839999999998</v>
      </c>
      <c r="K391">
        <v>1.054081</v>
      </c>
      <c r="L391">
        <v>367.67110000000002</v>
      </c>
      <c r="M391">
        <v>0.99962879999999998</v>
      </c>
      <c r="N391">
        <v>0</v>
      </c>
      <c r="O391">
        <v>-2.4373490000000001E-2</v>
      </c>
      <c r="P391">
        <v>0.99887569999999903</v>
      </c>
      <c r="Q391">
        <v>-3.3949449999999999E-3</v>
      </c>
      <c r="R391">
        <v>4.728955E-2</v>
      </c>
      <c r="S391">
        <v>3.0036930000000002</v>
      </c>
      <c r="T391">
        <v>-0.16376209999999999</v>
      </c>
      <c r="U391">
        <v>-1.6326899999999998E-2</v>
      </c>
      <c r="V391">
        <v>-7.1615750000000006E-2</v>
      </c>
      <c r="W391">
        <v>8.8159540000000008E-3</v>
      </c>
      <c r="X391">
        <v>0.99739330000000004</v>
      </c>
      <c r="Y391">
        <v>-1.8876790000000001E-2</v>
      </c>
      <c r="Z391">
        <v>1.842029E-3</v>
      </c>
      <c r="AA391">
        <v>0.99982009999999899</v>
      </c>
      <c r="AB391">
        <v>17</v>
      </c>
      <c r="AC391">
        <v>19.096999999999898</v>
      </c>
      <c r="AD391">
        <v>-1.0540832532410001</v>
      </c>
      <c r="AE391">
        <v>-9.8300000000051499E-2</v>
      </c>
      <c r="AF391">
        <v>-0.36610887068695702</v>
      </c>
      <c r="AG391">
        <v>-1.0540832532410001</v>
      </c>
      <c r="AH391">
        <v>19.0357286979614</v>
      </c>
      <c r="AI391">
        <v>93.168871261960106</v>
      </c>
      <c r="AJ391">
        <v>91.101817936924604</v>
      </c>
      <c r="AK391">
        <v>19.068405656277399</v>
      </c>
    </row>
    <row r="392" spans="1:37" x14ac:dyDescent="0.2">
      <c r="A392" t="str">
        <f>"20200111155801821"</f>
        <v>20200111155801821</v>
      </c>
      <c r="B392" t="str">
        <f>"1578729481811694"</f>
        <v>1578729481811694</v>
      </c>
      <c r="C392" t="s">
        <v>37</v>
      </c>
      <c r="D392">
        <v>6.2253860000000003</v>
      </c>
      <c r="E392">
        <v>0.521451</v>
      </c>
      <c r="F392" t="s">
        <v>39</v>
      </c>
      <c r="G392">
        <v>-395.09109999999998</v>
      </c>
      <c r="H392" s="1">
        <v>-2.456625E-6</v>
      </c>
      <c r="I392">
        <v>367.53930000000003</v>
      </c>
      <c r="J392">
        <v>-414.4676</v>
      </c>
      <c r="K392">
        <v>1.0540849999999999</v>
      </c>
      <c r="L392">
        <v>367.66579999999999</v>
      </c>
      <c r="M392">
        <v>0.99960959999999999</v>
      </c>
      <c r="N392">
        <v>0</v>
      </c>
      <c r="O392">
        <v>-2.5147829999999999E-2</v>
      </c>
      <c r="P392">
        <v>0.99891759999999996</v>
      </c>
      <c r="Q392">
        <v>-2.372552E-3</v>
      </c>
      <c r="R392">
        <v>4.6456879999999999E-2</v>
      </c>
      <c r="S392">
        <v>3.003784</v>
      </c>
      <c r="T392">
        <v>-0.1618947</v>
      </c>
      <c r="U392">
        <v>-2.0233149999999998E-2</v>
      </c>
      <c r="V392">
        <v>-7.1555610000000006E-2</v>
      </c>
      <c r="W392">
        <v>9.8363400000000007E-3</v>
      </c>
      <c r="X392">
        <v>0.997388099999999</v>
      </c>
      <c r="Y392">
        <v>-1.835239E-2</v>
      </c>
      <c r="Z392">
        <v>1.8485610000000001E-3</v>
      </c>
      <c r="AA392">
        <v>0.99982990000000005</v>
      </c>
      <c r="AB392">
        <v>17</v>
      </c>
      <c r="AC392">
        <v>19.3765</v>
      </c>
      <c r="AD392">
        <v>-1.054087456625</v>
      </c>
      <c r="AE392">
        <v>-0.126499999999964</v>
      </c>
      <c r="AF392">
        <v>-0.35978835027042699</v>
      </c>
      <c r="AG392">
        <v>-1.054087456625</v>
      </c>
      <c r="AH392">
        <v>19.316390228518198</v>
      </c>
      <c r="AI392">
        <v>93.122968497508495</v>
      </c>
      <c r="AJ392">
        <v>91.067071555603405</v>
      </c>
      <c r="AK392">
        <v>19.348474861952301</v>
      </c>
    </row>
    <row r="393" spans="1:37" x14ac:dyDescent="0.2">
      <c r="A393" t="str">
        <f>"20200111155801841"</f>
        <v>20200111155801841</v>
      </c>
      <c r="B393" t="str">
        <f>"1578729481831214"</f>
        <v>1578729481831214</v>
      </c>
      <c r="C393" t="s">
        <v>37</v>
      </c>
      <c r="D393">
        <v>5.989649</v>
      </c>
      <c r="E393">
        <v>0.52144259999999998</v>
      </c>
      <c r="F393" t="s">
        <v>39</v>
      </c>
      <c r="G393">
        <v>-394.47379999999998</v>
      </c>
      <c r="H393" s="1">
        <v>-2.7274599999999999E-6</v>
      </c>
      <c r="I393">
        <v>367.50540000000001</v>
      </c>
      <c r="J393">
        <v>-414.3014</v>
      </c>
      <c r="K393">
        <v>1.054095</v>
      </c>
      <c r="L393">
        <v>367.66070000000002</v>
      </c>
      <c r="M393">
        <v>0.99959149999999997</v>
      </c>
      <c r="N393">
        <v>0</v>
      </c>
      <c r="O393">
        <v>-2.5859110000000001E-2</v>
      </c>
      <c r="P393">
        <v>0.99893269999999901</v>
      </c>
      <c r="Q393">
        <v>-4.8790309999999898E-4</v>
      </c>
      <c r="R393">
        <v>4.6188420000000001E-2</v>
      </c>
      <c r="S393">
        <v>3.0039980000000002</v>
      </c>
      <c r="T393">
        <v>-0.1583725</v>
      </c>
      <c r="U393">
        <v>-2.4078370000000002E-2</v>
      </c>
      <c r="V393">
        <v>-7.1996450000000003E-2</v>
      </c>
      <c r="W393">
        <v>1.1719739999999999E-2</v>
      </c>
      <c r="X393">
        <v>0.997336</v>
      </c>
      <c r="Y393">
        <v>-1.7787089999999998E-2</v>
      </c>
      <c r="Z393">
        <v>1.830831E-3</v>
      </c>
      <c r="AA393">
        <v>0.99984010000000001</v>
      </c>
      <c r="AB393">
        <v>17</v>
      </c>
      <c r="AC393">
        <v>19.8276</v>
      </c>
      <c r="AD393">
        <v>-1.0540977274600001</v>
      </c>
      <c r="AE393">
        <v>-0.15530000000001101</v>
      </c>
      <c r="AF393">
        <v>-0.35650647160173399</v>
      </c>
      <c r="AG393">
        <v>-1.0540977274600001</v>
      </c>
      <c r="AH393">
        <v>19.769114399940101</v>
      </c>
      <c r="AI393">
        <v>93.051650209120197</v>
      </c>
      <c r="AJ393">
        <v>91.033131881765101</v>
      </c>
      <c r="AK393">
        <v>19.800406638280201</v>
      </c>
    </row>
    <row r="394" spans="1:37" x14ac:dyDescent="0.2">
      <c r="A394" t="str">
        <f>"20200111155801863"</f>
        <v>20200111155801863</v>
      </c>
      <c r="B394" t="str">
        <f>"1578729481851711"</f>
        <v>1578729481851711</v>
      </c>
      <c r="C394" t="s">
        <v>37</v>
      </c>
      <c r="D394">
        <v>5.8407140000000002</v>
      </c>
      <c r="E394">
        <v>0.52136749999999998</v>
      </c>
      <c r="F394" t="s">
        <v>39</v>
      </c>
      <c r="G394">
        <v>-393.60109999999997</v>
      </c>
      <c r="H394" s="1">
        <v>-3.1041519999999998E-6</v>
      </c>
      <c r="I394">
        <v>367.49239999999998</v>
      </c>
      <c r="J394">
        <v>-414.13549999999998</v>
      </c>
      <c r="K394">
        <v>1.054103</v>
      </c>
      <c r="L394">
        <v>367.65550000000002</v>
      </c>
      <c r="M394">
        <v>0.99957299999999905</v>
      </c>
      <c r="N394">
        <v>0</v>
      </c>
      <c r="O394">
        <v>-2.6569200000000001E-2</v>
      </c>
      <c r="P394">
        <v>0.99898180000000003</v>
      </c>
      <c r="Q394">
        <v>1.4858429999999999E-3</v>
      </c>
      <c r="R394">
        <v>4.5093689999999999E-2</v>
      </c>
      <c r="S394">
        <v>3.0042419999999899</v>
      </c>
      <c r="T394">
        <v>-0.1529809</v>
      </c>
      <c r="U394">
        <v>-2.4414060000000001E-2</v>
      </c>
      <c r="V394">
        <v>-7.1609919999999994E-2</v>
      </c>
      <c r="W394">
        <v>1.3691780000000001E-2</v>
      </c>
      <c r="X394">
        <v>0.99733869999999902</v>
      </c>
      <c r="Y394">
        <v>-1.8388649999999999E-2</v>
      </c>
      <c r="Z394">
        <v>1.8198729999999901E-3</v>
      </c>
      <c r="AA394">
        <v>0.99982919999999997</v>
      </c>
      <c r="AB394">
        <v>17</v>
      </c>
      <c r="AC394">
        <v>20.534400000000002</v>
      </c>
      <c r="AD394">
        <v>-1.0541061041519999</v>
      </c>
      <c r="AE394">
        <v>-0.16310000000004199</v>
      </c>
      <c r="AF394">
        <v>-0.381575073695684</v>
      </c>
      <c r="AG394">
        <v>-1.0541061041519999</v>
      </c>
      <c r="AH394">
        <v>20.4775257003433</v>
      </c>
      <c r="AI394">
        <v>92.946260005514105</v>
      </c>
      <c r="AJ394">
        <v>91.067517226114802</v>
      </c>
      <c r="AK394">
        <v>20.5081885602775</v>
      </c>
    </row>
    <row r="395" spans="1:37" x14ac:dyDescent="0.2">
      <c r="A395" t="str">
        <f>"20200111155801886"</f>
        <v>20200111155801886</v>
      </c>
      <c r="B395" t="str">
        <f>"1578729481881966"</f>
        <v>1578729481881966</v>
      </c>
      <c r="C395" t="s">
        <v>37</v>
      </c>
      <c r="D395">
        <v>5.9004529999999997</v>
      </c>
      <c r="E395">
        <v>0.52120749999999905</v>
      </c>
      <c r="F395" t="s">
        <v>39</v>
      </c>
      <c r="G395">
        <v>-392.66480000000001</v>
      </c>
      <c r="H395" s="1">
        <v>-3.511055E-6</v>
      </c>
      <c r="I395">
        <v>367.46289999999999</v>
      </c>
      <c r="J395">
        <v>-413.95780000000002</v>
      </c>
      <c r="K395">
        <v>1.054106</v>
      </c>
      <c r="L395">
        <v>367.6499</v>
      </c>
      <c r="M395">
        <v>0.99955229999999995</v>
      </c>
      <c r="N395">
        <v>0</v>
      </c>
      <c r="O395">
        <v>-2.7330190000000001E-2</v>
      </c>
      <c r="P395">
        <v>0.99903729999999902</v>
      </c>
      <c r="Q395">
        <v>2.9475740000000001E-3</v>
      </c>
      <c r="R395">
        <v>4.3767790000000001E-2</v>
      </c>
      <c r="S395">
        <v>3.0045169999999999</v>
      </c>
      <c r="T395">
        <v>-0.14750669999999999</v>
      </c>
      <c r="U395">
        <v>-2.6947019999999999E-2</v>
      </c>
      <c r="V395">
        <v>-7.1044389999999999E-2</v>
      </c>
      <c r="W395">
        <v>1.51516999999999E-2</v>
      </c>
      <c r="X395">
        <v>0.99735810000000003</v>
      </c>
      <c r="Y395">
        <v>-1.8311029999999999E-2</v>
      </c>
      <c r="Z395">
        <v>1.7900839999999999E-3</v>
      </c>
      <c r="AA395">
        <v>0.99983069999999896</v>
      </c>
      <c r="AB395">
        <v>17</v>
      </c>
      <c r="AC395">
        <v>21.292999999999999</v>
      </c>
      <c r="AD395">
        <v>-1.0541095110550001</v>
      </c>
      <c r="AE395">
        <v>-0.18700000000001099</v>
      </c>
      <c r="AF395">
        <v>-0.39408900576516098</v>
      </c>
      <c r="AG395">
        <v>-1.0541095110550001</v>
      </c>
      <c r="AH395">
        <v>21.238111034167101</v>
      </c>
      <c r="AI395">
        <v>92.840937032717903</v>
      </c>
      <c r="AJ395">
        <v>91.063043967221503</v>
      </c>
      <c r="AK395">
        <v>21.267905710374301</v>
      </c>
    </row>
    <row r="396" spans="1:37" x14ac:dyDescent="0.2">
      <c r="A396" t="str">
        <f>"20200111155801909"</f>
        <v>20200111155801909</v>
      </c>
      <c r="B396" t="str">
        <f>"1578729481901487"</f>
        <v>1578729481901487</v>
      </c>
      <c r="C396" t="s">
        <v>37</v>
      </c>
      <c r="D396">
        <v>5.8619789999999998</v>
      </c>
      <c r="E396">
        <v>0.52101109999999995</v>
      </c>
      <c r="F396" t="s">
        <v>39</v>
      </c>
      <c r="G396">
        <v>-391.86430000000001</v>
      </c>
      <c r="H396" s="1">
        <v>-3.8598330000000001E-6</v>
      </c>
      <c r="I396">
        <v>367.43259999999998</v>
      </c>
      <c r="J396">
        <v>-413.78179999999998</v>
      </c>
      <c r="K396">
        <v>1.0541100000000001</v>
      </c>
      <c r="L396">
        <v>367.64409999999998</v>
      </c>
      <c r="M396">
        <v>0.99953150000000002</v>
      </c>
      <c r="N396">
        <v>0</v>
      </c>
      <c r="O396">
        <v>-2.808391E-2</v>
      </c>
      <c r="P396">
        <v>0.99908699999999995</v>
      </c>
      <c r="Q396">
        <v>3.4220850000000001E-3</v>
      </c>
      <c r="R396">
        <v>4.2583040000000003E-2</v>
      </c>
      <c r="S396">
        <v>3.0046080000000002</v>
      </c>
      <c r="T396">
        <v>-0.1433537</v>
      </c>
      <c r="U396">
        <v>-2.9541020000000001E-2</v>
      </c>
      <c r="V396">
        <v>-7.061299E-2</v>
      </c>
      <c r="W396">
        <v>1.562467E-2</v>
      </c>
      <c r="X396">
        <v>0.99738139999999997</v>
      </c>
      <c r="Y396">
        <v>-1.8204439999999999E-2</v>
      </c>
      <c r="Z396">
        <v>1.7730669999999999E-3</v>
      </c>
      <c r="AA396">
        <v>0.99983269999999902</v>
      </c>
      <c r="AB396">
        <v>17</v>
      </c>
      <c r="AC396">
        <v>21.917499999999901</v>
      </c>
      <c r="AD396">
        <v>-1.054113859833</v>
      </c>
      <c r="AE396">
        <v>-0.21149999999999999</v>
      </c>
      <c r="AF396">
        <v>-0.40322549797277502</v>
      </c>
      <c r="AG396">
        <v>-1.054113859833</v>
      </c>
      <c r="AH396">
        <v>21.864224702322598</v>
      </c>
      <c r="AI396">
        <v>92.759727463650094</v>
      </c>
      <c r="AJ396">
        <v>91.056543317837793</v>
      </c>
      <c r="AK396">
        <v>21.893333886490701</v>
      </c>
    </row>
    <row r="397" spans="1:37" x14ac:dyDescent="0.2">
      <c r="A397" t="str">
        <f>"20200111155801931"</f>
        <v>20200111155801931</v>
      </c>
      <c r="B397" t="str">
        <f>"1578729481921006"</f>
        <v>1578729481921006</v>
      </c>
      <c r="C397" t="s">
        <v>37</v>
      </c>
      <c r="D397">
        <v>5.8615050000000002</v>
      </c>
      <c r="E397">
        <v>0.52090630000000004</v>
      </c>
      <c r="F397" t="s">
        <v>39</v>
      </c>
      <c r="G397">
        <v>-391.44279999999998</v>
      </c>
      <c r="H397" s="1">
        <v>-4.0445839999999998E-6</v>
      </c>
      <c r="I397">
        <v>367.41050000000001</v>
      </c>
      <c r="J397">
        <v>-413.6078</v>
      </c>
      <c r="K397">
        <v>1.0541039999999999</v>
      </c>
      <c r="L397">
        <v>367.63830000000002</v>
      </c>
      <c r="M397">
        <v>0.99951039999999902</v>
      </c>
      <c r="N397">
        <v>0</v>
      </c>
      <c r="O397">
        <v>-2.8828920000000001E-2</v>
      </c>
      <c r="P397">
        <v>0.99915069999999995</v>
      </c>
      <c r="Q397">
        <v>3.465723E-3</v>
      </c>
      <c r="R397">
        <v>4.1064839999999998E-2</v>
      </c>
      <c r="S397">
        <v>3.0046390000000001</v>
      </c>
      <c r="T397">
        <v>-0.14177989999999999</v>
      </c>
      <c r="U397">
        <v>-3.1402590000000001E-2</v>
      </c>
      <c r="V397">
        <v>-6.9840559999999996E-2</v>
      </c>
      <c r="W397">
        <v>1.56671E-2</v>
      </c>
      <c r="X397">
        <v>0.99743519999999897</v>
      </c>
      <c r="Y397">
        <v>-1.8330570000000001E-2</v>
      </c>
      <c r="Z397">
        <v>1.791695E-3</v>
      </c>
      <c r="AA397">
        <v>0.99983040000000001</v>
      </c>
      <c r="AB397">
        <v>17</v>
      </c>
      <c r="AC397">
        <v>22.164999999999999</v>
      </c>
      <c r="AD397">
        <v>-1.0541080445840001</v>
      </c>
      <c r="AE397">
        <v>-0.227800000000002</v>
      </c>
      <c r="AF397">
        <v>-0.41040683384856402</v>
      </c>
      <c r="AG397">
        <v>-1.0541080445840001</v>
      </c>
      <c r="AH397">
        <v>22.112347507369499</v>
      </c>
      <c r="AI397">
        <v>92.728786645705796</v>
      </c>
      <c r="AJ397">
        <v>91.063291897905998</v>
      </c>
      <c r="AK397">
        <v>22.141262155206899</v>
      </c>
    </row>
    <row r="398" spans="1:37" x14ac:dyDescent="0.2">
      <c r="A398" t="str">
        <f>"20200111155801953"</f>
        <v>20200111155801953</v>
      </c>
      <c r="B398" t="str">
        <f>"1578729481941502"</f>
        <v>1578729481941502</v>
      </c>
      <c r="C398" t="s">
        <v>37</v>
      </c>
      <c r="D398">
        <v>5.7899129999999897</v>
      </c>
      <c r="E398">
        <v>0.52064999999999995</v>
      </c>
      <c r="F398" t="s">
        <v>39</v>
      </c>
      <c r="G398">
        <v>-391.14249999999998</v>
      </c>
      <c r="H398" s="1">
        <v>-4.180047E-6</v>
      </c>
      <c r="I398">
        <v>367.37299999999999</v>
      </c>
      <c r="J398">
        <v>-413.44110000000001</v>
      </c>
      <c r="K398">
        <v>1.054101</v>
      </c>
      <c r="L398">
        <v>367.63260000000002</v>
      </c>
      <c r="M398">
        <v>0.99948950000000003</v>
      </c>
      <c r="N398">
        <v>0</v>
      </c>
      <c r="O398">
        <v>-2.954271E-2</v>
      </c>
      <c r="P398">
        <v>0.99921800000000005</v>
      </c>
      <c r="Q398">
        <v>2.8178389999999999E-3</v>
      </c>
      <c r="R398">
        <v>3.9442270000000001E-2</v>
      </c>
      <c r="S398">
        <v>3.004486</v>
      </c>
      <c r="T398">
        <v>-0.14097460000000001</v>
      </c>
      <c r="U398">
        <v>-3.5461430000000002E-2</v>
      </c>
      <c r="V398">
        <v>-6.8933759999999997E-2</v>
      </c>
      <c r="W398">
        <v>1.501868E-2</v>
      </c>
      <c r="X398">
        <v>0.99750819999999996</v>
      </c>
      <c r="Y398">
        <v>-1.7694040000000001E-2</v>
      </c>
      <c r="Z398">
        <v>1.800137E-3</v>
      </c>
      <c r="AA398">
        <v>0.9998418</v>
      </c>
      <c r="AB398">
        <v>17</v>
      </c>
      <c r="AC398">
        <v>22.2986</v>
      </c>
      <c r="AD398">
        <v>-1.054105180047</v>
      </c>
      <c r="AE398">
        <v>-0.25959999999997702</v>
      </c>
      <c r="AF398">
        <v>-0.39843289960044098</v>
      </c>
      <c r="AG398">
        <v>-1.054105180047</v>
      </c>
      <c r="AH398">
        <v>22.2468279944184</v>
      </c>
      <c r="AI398">
        <v>92.712340783434001</v>
      </c>
      <c r="AJ398">
        <v>91.026037655781096</v>
      </c>
      <c r="AK398">
        <v>22.275350554353199</v>
      </c>
    </row>
    <row r="399" spans="1:37" x14ac:dyDescent="0.2">
      <c r="A399" t="str">
        <f>"20200111155801974"</f>
        <v>20200111155801974</v>
      </c>
      <c r="B399" t="str">
        <f>"1578729481971758"</f>
        <v>1578729481971758</v>
      </c>
      <c r="C399" t="s">
        <v>37</v>
      </c>
      <c r="D399">
        <v>5.890555</v>
      </c>
      <c r="E399">
        <v>0.52046429999999999</v>
      </c>
      <c r="F399" t="s">
        <v>39</v>
      </c>
      <c r="G399">
        <v>-390.976</v>
      </c>
      <c r="H399" s="1">
        <v>-4.2561160000000002E-6</v>
      </c>
      <c r="I399">
        <v>367.34699999999998</v>
      </c>
      <c r="J399">
        <v>-413.27190000000002</v>
      </c>
      <c r="K399">
        <v>1.054098</v>
      </c>
      <c r="L399">
        <v>367.62670000000003</v>
      </c>
      <c r="M399">
        <v>0.99946780000000002</v>
      </c>
      <c r="N399">
        <v>0</v>
      </c>
      <c r="O399">
        <v>-3.0267470000000001E-2</v>
      </c>
      <c r="P399">
        <v>0.99928050000000002</v>
      </c>
      <c r="Q399">
        <v>2.870474E-3</v>
      </c>
      <c r="R399">
        <v>3.7816580000000002E-2</v>
      </c>
      <c r="S399">
        <v>3.0042419999999899</v>
      </c>
      <c r="T399">
        <v>-0.14096400000000001</v>
      </c>
      <c r="U399">
        <v>-3.8177490000000001E-2</v>
      </c>
      <c r="V399">
        <v>-6.8033750000000004E-2</v>
      </c>
      <c r="W399">
        <v>1.506969E-2</v>
      </c>
      <c r="X399">
        <v>0.99756919999999905</v>
      </c>
      <c r="Y399">
        <v>-1.75137E-2</v>
      </c>
      <c r="Z399">
        <v>1.8298800000000001E-3</v>
      </c>
      <c r="AA399">
        <v>0.99984499999999998</v>
      </c>
      <c r="AB399">
        <v>17</v>
      </c>
      <c r="AC399">
        <v>22.2959</v>
      </c>
      <c r="AD399">
        <v>-1.0541022561160001</v>
      </c>
      <c r="AE399">
        <v>-0.27970000000004802</v>
      </c>
      <c r="AF399">
        <v>-0.39443708959198598</v>
      </c>
      <c r="AG399">
        <v>-1.0541022561160001</v>
      </c>
      <c r="AH399">
        <v>22.244436891701501</v>
      </c>
      <c r="AI399">
        <v>92.712632965165596</v>
      </c>
      <c r="AJ399">
        <v>91.015859042577304</v>
      </c>
      <c r="AK399">
        <v>22.2728912540084</v>
      </c>
    </row>
    <row r="400" spans="1:37" x14ac:dyDescent="0.2">
      <c r="A400" t="str">
        <f>"20200111155801997"</f>
        <v>20200111155801997</v>
      </c>
      <c r="B400" t="str">
        <f>"1578729481991279"</f>
        <v>1578729481991279</v>
      </c>
      <c r="C400" t="s">
        <v>37</v>
      </c>
      <c r="D400">
        <v>5.899966</v>
      </c>
      <c r="E400">
        <v>0.52026459999999997</v>
      </c>
      <c r="F400" t="s">
        <v>39</v>
      </c>
      <c r="G400">
        <v>-390.84519999999998</v>
      </c>
      <c r="H400" s="1">
        <v>-4.3172869999999996E-6</v>
      </c>
      <c r="I400">
        <v>367.3184</v>
      </c>
      <c r="J400">
        <v>-413.09339999999997</v>
      </c>
      <c r="K400">
        <v>1.0541069999999999</v>
      </c>
      <c r="L400">
        <v>367.62029999999999</v>
      </c>
      <c r="M400">
        <v>0.99944439999999901</v>
      </c>
      <c r="N400">
        <v>0</v>
      </c>
      <c r="O400">
        <v>-3.103144E-2</v>
      </c>
      <c r="P400">
        <v>0.99933019999999995</v>
      </c>
      <c r="Q400">
        <v>3.0689929999999999E-3</v>
      </c>
      <c r="R400">
        <v>3.6466430000000001E-2</v>
      </c>
      <c r="S400">
        <v>3.0041199999999999</v>
      </c>
      <c r="T400">
        <v>-0.14119979999999999</v>
      </c>
      <c r="U400">
        <v>-4.1290279999999999E-2</v>
      </c>
      <c r="V400">
        <v>-6.7448439999999998E-2</v>
      </c>
      <c r="W400">
        <v>1.5267559999999999E-2</v>
      </c>
      <c r="X400">
        <v>0.99760590000000005</v>
      </c>
      <c r="Y400">
        <v>-1.72409E-2</v>
      </c>
      <c r="Z400">
        <v>1.8624589999999999E-3</v>
      </c>
      <c r="AA400">
        <v>0.99984959999999901</v>
      </c>
      <c r="AB400">
        <v>17</v>
      </c>
      <c r="AC400">
        <v>22.248200000000001</v>
      </c>
      <c r="AD400">
        <v>-1.05411131728699</v>
      </c>
      <c r="AE400">
        <v>-0.30189999999998901</v>
      </c>
      <c r="AF400">
        <v>-0.387819743140071</v>
      </c>
      <c r="AG400">
        <v>-1.05411131728699</v>
      </c>
      <c r="AH400">
        <v>22.197033600970801</v>
      </c>
      <c r="AI400">
        <v>92.718453061926894</v>
      </c>
      <c r="AJ400">
        <v>91.000952393174202</v>
      </c>
      <c r="AK400">
        <v>22.225432628073399</v>
      </c>
    </row>
    <row r="401" spans="1:37" x14ac:dyDescent="0.2">
      <c r="A401" t="str">
        <f>"20200111155802019"</f>
        <v>20200111155802019</v>
      </c>
      <c r="B401" t="str">
        <f>"1578729482011773"</f>
        <v>1578729482011773</v>
      </c>
      <c r="C401" t="s">
        <v>37</v>
      </c>
      <c r="D401">
        <v>5.8963549999999998</v>
      </c>
      <c r="E401">
        <v>0.52007510000000001</v>
      </c>
      <c r="F401" t="s">
        <v>39</v>
      </c>
      <c r="G401">
        <v>-390.62729999999999</v>
      </c>
      <c r="H401" s="1">
        <v>-4.415389E-6</v>
      </c>
      <c r="I401">
        <v>367.29230000000001</v>
      </c>
      <c r="J401">
        <v>-412.92009999999999</v>
      </c>
      <c r="K401">
        <v>1.0541119999999999</v>
      </c>
      <c r="L401">
        <v>367.61399999999998</v>
      </c>
      <c r="M401">
        <v>0.99942109999999995</v>
      </c>
      <c r="N401">
        <v>0</v>
      </c>
      <c r="O401">
        <v>-3.1773240000000001E-2</v>
      </c>
      <c r="P401">
        <v>0.99937699999999996</v>
      </c>
      <c r="Q401">
        <v>3.1457299999999998E-3</v>
      </c>
      <c r="R401">
        <v>3.5153400000000001E-2</v>
      </c>
      <c r="S401">
        <v>3.0040589999999998</v>
      </c>
      <c r="T401">
        <v>-0.14095050000000001</v>
      </c>
      <c r="U401">
        <v>-4.3853759999999999E-2</v>
      </c>
      <c r="V401">
        <v>-6.6878010000000002E-2</v>
      </c>
      <c r="W401">
        <v>1.534289E-2</v>
      </c>
      <c r="X401">
        <v>0.99764319999999895</v>
      </c>
      <c r="Y401">
        <v>-1.7129189999999999E-2</v>
      </c>
      <c r="Z401">
        <v>1.891347E-3</v>
      </c>
      <c r="AA401">
        <v>0.999851499999999</v>
      </c>
      <c r="AB401">
        <v>17</v>
      </c>
      <c r="AC401">
        <v>22.2928</v>
      </c>
      <c r="AD401">
        <v>-1.0541164153889999</v>
      </c>
      <c r="AE401">
        <v>-0.32170000000002102</v>
      </c>
      <c r="AF401">
        <v>-0.38596653489987398</v>
      </c>
      <c r="AG401">
        <v>-1.0541164153889999</v>
      </c>
      <c r="AH401">
        <v>22.242044854067299</v>
      </c>
      <c r="AI401">
        <v>92.7129786500996</v>
      </c>
      <c r="AJ401">
        <v>90.994154732410706</v>
      </c>
      <c r="AK401">
        <v>22.270354529589302</v>
      </c>
    </row>
    <row r="402" spans="1:37" x14ac:dyDescent="0.2">
      <c r="A402" t="str">
        <f>"20200111155802042"</f>
        <v>20200111155802042</v>
      </c>
      <c r="B402" t="str">
        <f>"1578729482031294"</f>
        <v>1578729482031294</v>
      </c>
      <c r="C402" t="s">
        <v>37</v>
      </c>
      <c r="D402">
        <v>5.905964</v>
      </c>
      <c r="E402">
        <v>0.51998710000000004</v>
      </c>
      <c r="F402" t="s">
        <v>39</v>
      </c>
      <c r="G402">
        <v>-390.47910000000002</v>
      </c>
      <c r="H402" s="1">
        <v>-4.4830759999999997E-6</v>
      </c>
      <c r="I402">
        <v>367.26929999999999</v>
      </c>
      <c r="J402">
        <v>-412.75209999999998</v>
      </c>
      <c r="K402">
        <v>1.0541100000000001</v>
      </c>
      <c r="L402">
        <v>367.6078</v>
      </c>
      <c r="M402">
        <v>0.99939809999999996</v>
      </c>
      <c r="N402">
        <v>0</v>
      </c>
      <c r="O402">
        <v>-3.2490129999999999E-2</v>
      </c>
      <c r="P402">
        <v>0.99941349999999995</v>
      </c>
      <c r="Q402">
        <v>4.0324999999999996E-3</v>
      </c>
      <c r="R402">
        <v>3.4010390000000001E-2</v>
      </c>
      <c r="S402">
        <v>3.0039370000000001</v>
      </c>
      <c r="T402">
        <v>-0.1411027</v>
      </c>
      <c r="U402">
        <v>-4.6142580000000002E-2</v>
      </c>
      <c r="V402">
        <v>-6.6451289999999996E-2</v>
      </c>
      <c r="W402">
        <v>1.6229219999999999E-2</v>
      </c>
      <c r="X402">
        <v>0.99765769999999998</v>
      </c>
      <c r="Y402">
        <v>-1.7083279999999999E-2</v>
      </c>
      <c r="Z402">
        <v>1.9260099999999999E-3</v>
      </c>
      <c r="AA402">
        <v>0.99985219999999897</v>
      </c>
      <c r="AB402">
        <v>17</v>
      </c>
      <c r="AC402">
        <v>22.2729999999999</v>
      </c>
      <c r="AD402">
        <v>-1.0541144830760001</v>
      </c>
      <c r="AE402">
        <v>-0.33850000000001002</v>
      </c>
      <c r="AF402">
        <v>-0.38452382006672498</v>
      </c>
      <c r="AG402">
        <v>-1.0541144830760001</v>
      </c>
      <c r="AH402">
        <v>22.222474671116899</v>
      </c>
      <c r="AI402">
        <v>92.7153616170513</v>
      </c>
      <c r="AJ402">
        <v>90.991311450691597</v>
      </c>
      <c r="AK402">
        <v>22.250784175396198</v>
      </c>
    </row>
    <row r="403" spans="1:37" x14ac:dyDescent="0.2">
      <c r="A403" t="str">
        <f>"20200111155802063"</f>
        <v>20200111155802063</v>
      </c>
      <c r="B403" t="str">
        <f>"1578729482051790"</f>
        <v>1578729482051790</v>
      </c>
      <c r="C403" t="s">
        <v>37</v>
      </c>
      <c r="D403">
        <v>5.9340799999999998</v>
      </c>
      <c r="E403">
        <v>0.51979310000000001</v>
      </c>
      <c r="F403" t="s">
        <v>39</v>
      </c>
      <c r="G403">
        <v>-389.90499999999997</v>
      </c>
      <c r="H403" s="1">
        <v>-6.5179299999999997E-7</v>
      </c>
      <c r="I403">
        <v>367.23570000000001</v>
      </c>
      <c r="J403">
        <v>-412.58139999999997</v>
      </c>
      <c r="K403">
        <v>1.0541240000000001</v>
      </c>
      <c r="L403">
        <v>367.60140000000001</v>
      </c>
      <c r="M403">
        <v>0.99937430000000005</v>
      </c>
      <c r="N403">
        <v>0</v>
      </c>
      <c r="O403">
        <v>-3.3215439999999999E-2</v>
      </c>
      <c r="P403">
        <v>0.99942229999999999</v>
      </c>
      <c r="Q403">
        <v>5.4229539999999998E-3</v>
      </c>
      <c r="R403">
        <v>3.3552140000000001E-2</v>
      </c>
      <c r="S403">
        <v>3.0039980000000002</v>
      </c>
      <c r="T403">
        <v>-0.13859659999999999</v>
      </c>
      <c r="U403">
        <v>-4.891968E-2</v>
      </c>
      <c r="V403">
        <v>-6.6717079999999998E-2</v>
      </c>
      <c r="W403">
        <v>1.761805E-2</v>
      </c>
      <c r="X403">
        <v>0.99761639999999996</v>
      </c>
      <c r="Y403">
        <v>-1.688651E-2</v>
      </c>
      <c r="Z403">
        <v>1.9206729999999999E-3</v>
      </c>
      <c r="AA403">
        <v>0.99985559999999996</v>
      </c>
      <c r="AB403">
        <v>17</v>
      </c>
      <c r="AC403">
        <v>22.676400000000001</v>
      </c>
      <c r="AD403">
        <v>-1.0541246517930001</v>
      </c>
      <c r="AE403">
        <v>-0.36570000000000302</v>
      </c>
      <c r="AF403">
        <v>-0.38692817017551601</v>
      </c>
      <c r="AG403">
        <v>-1.0541246517930001</v>
      </c>
      <c r="AH403">
        <v>22.627151022019401</v>
      </c>
      <c r="AI403">
        <v>92.666904346727804</v>
      </c>
      <c r="AJ403">
        <v>90.979672190863695</v>
      </c>
      <c r="AK403">
        <v>22.654996260508799</v>
      </c>
    </row>
    <row r="404" spans="1:37" x14ac:dyDescent="0.2">
      <c r="A404" t="str">
        <f>"20200111155802086"</f>
        <v>20200111155802086</v>
      </c>
      <c r="B404" t="str">
        <f>"1578729482081071"</f>
        <v>1578729482081071</v>
      </c>
      <c r="C404" t="s">
        <v>37</v>
      </c>
      <c r="D404">
        <v>5.9997220000000002</v>
      </c>
      <c r="E404">
        <v>0.51954560000000005</v>
      </c>
      <c r="F404" t="s">
        <v>39</v>
      </c>
      <c r="G404">
        <v>-389.03550000000001</v>
      </c>
      <c r="H404" s="1">
        <v>-9.5197670000000003E-7</v>
      </c>
      <c r="I404">
        <v>367.21960000000001</v>
      </c>
      <c r="J404">
        <v>-412.40190000000001</v>
      </c>
      <c r="K404">
        <v>1.054136</v>
      </c>
      <c r="L404">
        <v>367.59449999999998</v>
      </c>
      <c r="M404">
        <v>0.99934899999999904</v>
      </c>
      <c r="N404">
        <v>0</v>
      </c>
      <c r="O404">
        <v>-3.3969800000000001E-2</v>
      </c>
      <c r="P404">
        <v>0.99944249999999901</v>
      </c>
      <c r="Q404">
        <v>6.5565390000000001E-3</v>
      </c>
      <c r="R404">
        <v>3.2742510000000002E-2</v>
      </c>
      <c r="S404">
        <v>3.004089</v>
      </c>
      <c r="T404">
        <v>-0.13448950000000001</v>
      </c>
      <c r="U404">
        <v>-4.8706050000000001E-2</v>
      </c>
      <c r="V404">
        <v>-6.6661020000000001E-2</v>
      </c>
      <c r="W404">
        <v>1.874988E-2</v>
      </c>
      <c r="X404">
        <v>0.99759949999999997</v>
      </c>
      <c r="Y404">
        <v>-1.771435E-2</v>
      </c>
      <c r="Z404">
        <v>1.9160150000000001E-3</v>
      </c>
      <c r="AA404">
        <v>0.99984130000000004</v>
      </c>
      <c r="AB404">
        <v>17</v>
      </c>
      <c r="AC404">
        <v>23.366399999999999</v>
      </c>
      <c r="AD404">
        <v>-1.0541369519766901</v>
      </c>
      <c r="AE404">
        <v>-0.37489999999996798</v>
      </c>
      <c r="AF404">
        <v>-0.41827587081405199</v>
      </c>
      <c r="AG404">
        <v>-1.0541369519766901</v>
      </c>
      <c r="AH404">
        <v>23.318203176105602</v>
      </c>
      <c r="AI404">
        <v>92.587970008044906</v>
      </c>
      <c r="AJ404">
        <v>91.027646598292307</v>
      </c>
      <c r="AK404">
        <v>23.345765328636599</v>
      </c>
    </row>
    <row r="405" spans="1:37" x14ac:dyDescent="0.2">
      <c r="A405" t="str">
        <f>"20200111155802109"</f>
        <v>20200111155802109</v>
      </c>
      <c r="B405" t="str">
        <f>"1578729482101565"</f>
        <v>1578729482101565</v>
      </c>
      <c r="C405" t="s">
        <v>37</v>
      </c>
      <c r="D405">
        <v>5.8704000000000001</v>
      </c>
      <c r="E405">
        <v>0.51947889999999997</v>
      </c>
      <c r="F405" t="s">
        <v>39</v>
      </c>
      <c r="G405">
        <v>-388.32729999999998</v>
      </c>
      <c r="H405" s="1">
        <v>-1.1983189999999999E-6</v>
      </c>
      <c r="I405">
        <v>367.1995</v>
      </c>
      <c r="J405">
        <v>-412.22539999999998</v>
      </c>
      <c r="K405">
        <v>1.054152</v>
      </c>
      <c r="L405">
        <v>367.58760000000001</v>
      </c>
      <c r="M405">
        <v>0.99932379999999998</v>
      </c>
      <c r="N405">
        <v>0</v>
      </c>
      <c r="O405">
        <v>-3.4697760000000001E-2</v>
      </c>
      <c r="P405">
        <v>0.99946109999999899</v>
      </c>
      <c r="Q405">
        <v>6.7447000000000002E-3</v>
      </c>
      <c r="R405">
        <v>3.212686E-2</v>
      </c>
      <c r="S405">
        <v>3.0042110000000002</v>
      </c>
      <c r="T405">
        <v>-0.13154299999999999</v>
      </c>
      <c r="U405">
        <v>-4.9285889999999999E-2</v>
      </c>
      <c r="V405">
        <v>-6.6773520000000003E-2</v>
      </c>
      <c r="W405">
        <v>1.8935810000000001E-2</v>
      </c>
      <c r="X405">
        <v>0.99758849999999999</v>
      </c>
      <c r="Y405">
        <v>-1.8251449999999999E-2</v>
      </c>
      <c r="Z405">
        <v>1.9175920000000001E-3</v>
      </c>
      <c r="AA405">
        <v>0.99983159999999904</v>
      </c>
      <c r="AB405">
        <v>17</v>
      </c>
      <c r="AC405">
        <v>23.898099999999999</v>
      </c>
      <c r="AD405">
        <v>-1.054153198319</v>
      </c>
      <c r="AE405">
        <v>-0.38810000000000799</v>
      </c>
      <c r="AF405">
        <v>-0.44054867941168702</v>
      </c>
      <c r="AG405">
        <v>-1.054153198319</v>
      </c>
      <c r="AH405">
        <v>23.850780116104499</v>
      </c>
      <c r="AI405">
        <v>92.530272209665</v>
      </c>
      <c r="AJ405">
        <v>91.058192219726607</v>
      </c>
      <c r="AK405">
        <v>23.878128784543001</v>
      </c>
    </row>
    <row r="406" spans="1:37" x14ac:dyDescent="0.2">
      <c r="A406" t="str">
        <f>"20200111155802132"</f>
        <v>20200111155802132</v>
      </c>
      <c r="B406" t="str">
        <f>"1578729482121086"</f>
        <v>1578729482121086</v>
      </c>
      <c r="C406" t="s">
        <v>37</v>
      </c>
      <c r="D406">
        <v>5.9388439999999996</v>
      </c>
      <c r="E406">
        <v>0.5192736</v>
      </c>
      <c r="F406" t="s">
        <v>39</v>
      </c>
      <c r="G406">
        <v>-387.94589999999999</v>
      </c>
      <c r="H406" s="1">
        <v>-1.332946E-6</v>
      </c>
      <c r="I406">
        <v>367.18130000000002</v>
      </c>
      <c r="J406">
        <v>-412.04750000000001</v>
      </c>
      <c r="K406">
        <v>1.0541689999999999</v>
      </c>
      <c r="L406">
        <v>367.58049999999997</v>
      </c>
      <c r="M406">
        <v>0.99929859999999904</v>
      </c>
      <c r="N406">
        <v>0</v>
      </c>
      <c r="O406">
        <v>-3.5415929999999998E-2</v>
      </c>
      <c r="P406">
        <v>0.99946919999999995</v>
      </c>
      <c r="Q406">
        <v>6.7223159999999999E-3</v>
      </c>
      <c r="R406">
        <v>3.1875859999999999E-2</v>
      </c>
      <c r="S406">
        <v>3.0041500000000001</v>
      </c>
      <c r="T406">
        <v>-0.130432399999999</v>
      </c>
      <c r="U406">
        <v>-5.026245E-2</v>
      </c>
      <c r="V406">
        <v>-6.7240190000000005E-2</v>
      </c>
      <c r="W406">
        <v>1.891054E-2</v>
      </c>
      <c r="X406">
        <v>0.99755759999999905</v>
      </c>
      <c r="Y406">
        <v>-1.8644529999999999E-2</v>
      </c>
      <c r="Z406">
        <v>1.941124E-3</v>
      </c>
      <c r="AA406">
        <v>0.9998243</v>
      </c>
      <c r="AB406">
        <v>17</v>
      </c>
      <c r="AC406">
        <v>24.101600000000001</v>
      </c>
      <c r="AD406">
        <v>-1.0541703329459999</v>
      </c>
      <c r="AE406">
        <v>-0.39919999999994998</v>
      </c>
      <c r="AF406">
        <v>-0.45382626927543002</v>
      </c>
      <c r="AG406">
        <v>-1.0541703329459999</v>
      </c>
      <c r="AH406">
        <v>24.054611503655501</v>
      </c>
      <c r="AI406">
        <v>92.508881208838503</v>
      </c>
      <c r="AJ406">
        <v>91.080842456576306</v>
      </c>
      <c r="AK406">
        <v>24.081975997939701</v>
      </c>
    </row>
    <row r="407" spans="1:37" x14ac:dyDescent="0.2">
      <c r="A407" t="str">
        <f>"20200111155802153"</f>
        <v>20200111155802153</v>
      </c>
      <c r="B407" t="str">
        <f>"1578729482141582"</f>
        <v>1578729482141582</v>
      </c>
      <c r="C407" t="s">
        <v>37</v>
      </c>
      <c r="D407">
        <v>5.8952010000000001</v>
      </c>
      <c r="E407">
        <v>0.51912400000000003</v>
      </c>
      <c r="F407" t="s">
        <v>39</v>
      </c>
      <c r="G407">
        <v>-387.83109999999999</v>
      </c>
      <c r="H407" s="1">
        <v>-1.372454E-6</v>
      </c>
      <c r="I407">
        <v>367.17970000000003</v>
      </c>
      <c r="J407">
        <v>-411.88990000000001</v>
      </c>
      <c r="K407">
        <v>1.054187</v>
      </c>
      <c r="L407">
        <v>367.57420000000002</v>
      </c>
      <c r="M407">
        <v>0.99927659999999996</v>
      </c>
      <c r="N407">
        <v>0</v>
      </c>
      <c r="O407">
        <v>-3.6035739999999997E-2</v>
      </c>
      <c r="P407">
        <v>0.99944929999999998</v>
      </c>
      <c r="Q407">
        <v>7.0610159999999998E-3</v>
      </c>
      <c r="R407">
        <v>3.2429020000000003E-2</v>
      </c>
      <c r="S407">
        <v>3.0040589999999998</v>
      </c>
      <c r="T407">
        <v>-0.13077030000000001</v>
      </c>
      <c r="U407">
        <v>-4.9713130000000001E-2</v>
      </c>
      <c r="V407">
        <v>-6.8411749999999993E-2</v>
      </c>
      <c r="W407">
        <v>1.9246650000000001E-2</v>
      </c>
      <c r="X407">
        <v>0.99747149999999996</v>
      </c>
      <c r="Y407">
        <v>-1.944531E-2</v>
      </c>
      <c r="Z407">
        <v>1.9905829999999898E-3</v>
      </c>
      <c r="AA407">
        <v>0.99980899999999995</v>
      </c>
      <c r="AB407">
        <v>17</v>
      </c>
      <c r="AC407">
        <v>24.058800000000002</v>
      </c>
      <c r="AD407">
        <v>-1.054188372454</v>
      </c>
      <c r="AE407">
        <v>-0.39449999999999302</v>
      </c>
      <c r="AF407">
        <v>-0.47189119960600501</v>
      </c>
      <c r="AG407">
        <v>-1.054188372454</v>
      </c>
      <c r="AH407">
        <v>24.011300736407101</v>
      </c>
      <c r="AI407">
        <v>92.513405796616297</v>
      </c>
      <c r="AJ407">
        <v>91.125882112644703</v>
      </c>
      <c r="AK407">
        <v>24.0390631573501</v>
      </c>
    </row>
    <row r="408" spans="1:37" x14ac:dyDescent="0.2">
      <c r="A408" t="str">
        <f>"20200111155802176"</f>
        <v>20200111155802176</v>
      </c>
      <c r="B408" t="str">
        <f>"1578729482171838"</f>
        <v>1578729482171838</v>
      </c>
      <c r="C408" t="s">
        <v>37</v>
      </c>
      <c r="D408">
        <v>5.9550700000000001</v>
      </c>
      <c r="E408">
        <v>0.51891620000000005</v>
      </c>
      <c r="F408" t="s">
        <v>39</v>
      </c>
      <c r="G408">
        <v>-387.51530000000002</v>
      </c>
      <c r="H408" s="1">
        <v>-1.477644E-6</v>
      </c>
      <c r="I408">
        <v>367.19549999999998</v>
      </c>
      <c r="J408">
        <v>-411.71269999999998</v>
      </c>
      <c r="K408">
        <v>1.054206</v>
      </c>
      <c r="L408">
        <v>367.56699999999898</v>
      </c>
      <c r="M408">
        <v>0.99925229999999998</v>
      </c>
      <c r="N408">
        <v>0</v>
      </c>
      <c r="O408">
        <v>-3.6705179999999997E-2</v>
      </c>
      <c r="P408">
        <v>0.9994094</v>
      </c>
      <c r="Q408">
        <v>8.3902159999999903E-3</v>
      </c>
      <c r="R408">
        <v>3.3327679999999998E-2</v>
      </c>
      <c r="S408">
        <v>3.0040589999999998</v>
      </c>
      <c r="T408">
        <v>-0.12992390000000001</v>
      </c>
      <c r="U408">
        <v>-4.6661380000000002E-2</v>
      </c>
      <c r="V408">
        <v>-6.9976070000000001E-2</v>
      </c>
      <c r="W408">
        <v>2.0571989999999998E-2</v>
      </c>
      <c r="X408">
        <v>0.99733649999999996</v>
      </c>
      <c r="Y408">
        <v>-2.112899E-2</v>
      </c>
      <c r="Z408">
        <v>2.0430460000000002E-3</v>
      </c>
      <c r="AA408">
        <v>0.99977469999999902</v>
      </c>
      <c r="AB408">
        <v>17</v>
      </c>
      <c r="AC408">
        <v>24.197399999999899</v>
      </c>
      <c r="AD408">
        <v>-1.054207477644</v>
      </c>
      <c r="AE408">
        <v>-0.37149999999996902</v>
      </c>
      <c r="AF408">
        <v>-0.51600664878268099</v>
      </c>
      <c r="AG408">
        <v>-1.054207477644</v>
      </c>
      <c r="AH408">
        <v>24.148903084654201</v>
      </c>
      <c r="AI408">
        <v>92.4990599073829</v>
      </c>
      <c r="AJ408">
        <v>91.224093066241196</v>
      </c>
      <c r="AK408">
        <v>24.1774096308833</v>
      </c>
    </row>
    <row r="409" spans="1:37" x14ac:dyDescent="0.2">
      <c r="A409" t="str">
        <f>"20200111155802199"</f>
        <v>20200111155802199</v>
      </c>
      <c r="B409" t="str">
        <f>"1578729482191359"</f>
        <v>1578729482191359</v>
      </c>
      <c r="C409" t="s">
        <v>37</v>
      </c>
      <c r="D409">
        <v>5.9046339999999997</v>
      </c>
      <c r="E409">
        <v>0.51881189999999999</v>
      </c>
      <c r="F409" t="s">
        <v>39</v>
      </c>
      <c r="G409">
        <v>-386.7115</v>
      </c>
      <c r="H409" s="1">
        <v>-1.81942E-6</v>
      </c>
      <c r="I409">
        <v>367.21260000000001</v>
      </c>
      <c r="J409">
        <v>-411.53570000000002</v>
      </c>
      <c r="K409">
        <v>1.05423</v>
      </c>
      <c r="L409">
        <v>367.55970000000002</v>
      </c>
      <c r="M409">
        <v>0.99922880000000003</v>
      </c>
      <c r="N409">
        <v>0</v>
      </c>
      <c r="O409">
        <v>-3.7336380000000002E-2</v>
      </c>
      <c r="P409">
        <v>0.99935609999999997</v>
      </c>
      <c r="Q409">
        <v>9.5649229999999995E-3</v>
      </c>
      <c r="R409">
        <v>3.4585049999999999E-2</v>
      </c>
      <c r="S409">
        <v>3.00430299999999</v>
      </c>
      <c r="T409">
        <v>-0.1266803</v>
      </c>
      <c r="U409">
        <v>-4.2572020000000002E-2</v>
      </c>
      <c r="V409">
        <v>-7.1861229999999998E-2</v>
      </c>
      <c r="W409">
        <v>2.174189E-2</v>
      </c>
      <c r="X409">
        <v>0.99717769999999994</v>
      </c>
      <c r="Y409">
        <v>-2.3122650000000002E-2</v>
      </c>
      <c r="Z409">
        <v>2.0605529999999901E-3</v>
      </c>
      <c r="AA409">
        <v>0.99973049999999997</v>
      </c>
      <c r="AB409">
        <v>17</v>
      </c>
      <c r="AC409">
        <v>24.824200000000001</v>
      </c>
      <c r="AD409">
        <v>-1.05423181942</v>
      </c>
      <c r="AE409">
        <v>-0.34710000000001101</v>
      </c>
      <c r="AF409">
        <v>-0.57901225777316701</v>
      </c>
      <c r="AG409">
        <v>-1.05423181942</v>
      </c>
      <c r="AH409">
        <v>24.7751754208142</v>
      </c>
      <c r="AI409">
        <v>92.435912426432296</v>
      </c>
      <c r="AJ409">
        <v>91.338796603943294</v>
      </c>
      <c r="AK409">
        <v>24.804353993923101</v>
      </c>
    </row>
    <row r="410" spans="1:37" x14ac:dyDescent="0.2">
      <c r="A410" t="str">
        <f>"20200111155802221"</f>
        <v>20200111155802221</v>
      </c>
      <c r="B410" t="str">
        <f>"1578729482211855"</f>
        <v>1578729482211855</v>
      </c>
      <c r="C410" t="s">
        <v>37</v>
      </c>
      <c r="D410">
        <v>5.8813300000000002</v>
      </c>
      <c r="E410">
        <v>0.51868400000000003</v>
      </c>
      <c r="F410" t="s">
        <v>39</v>
      </c>
      <c r="G410">
        <v>-385.60359999999997</v>
      </c>
      <c r="H410" s="1">
        <v>-2.291652E-6</v>
      </c>
      <c r="I410">
        <v>367.22980000000001</v>
      </c>
      <c r="J410">
        <v>-411.3657</v>
      </c>
      <c r="K410">
        <v>1.054263</v>
      </c>
      <c r="L410">
        <v>367.55259999999998</v>
      </c>
      <c r="M410">
        <v>0.99920789999999904</v>
      </c>
      <c r="N410">
        <v>0</v>
      </c>
      <c r="O410">
        <v>-3.7896560000000003E-2</v>
      </c>
      <c r="P410">
        <v>0.99928329999999999</v>
      </c>
      <c r="Q410">
        <v>1.0624339999999999E-2</v>
      </c>
      <c r="R410">
        <v>3.633898E-2</v>
      </c>
      <c r="S410">
        <v>3.0044559999999998</v>
      </c>
      <c r="T410">
        <v>-0.1221416</v>
      </c>
      <c r="U410">
        <v>-3.8208010000000001E-2</v>
      </c>
      <c r="V410">
        <v>-7.4170650000000005E-2</v>
      </c>
      <c r="W410">
        <v>2.279496E-2</v>
      </c>
      <c r="X410">
        <v>0.99698500000000001</v>
      </c>
      <c r="Y410">
        <v>-2.513729E-2</v>
      </c>
      <c r="Z410">
        <v>2.0504009999999999E-3</v>
      </c>
      <c r="AA410">
        <v>0.99968189999999901</v>
      </c>
      <c r="AB410">
        <v>17</v>
      </c>
      <c r="AC410">
        <v>25.7621</v>
      </c>
      <c r="AD410">
        <v>-1.0542652916519999</v>
      </c>
      <c r="AE410">
        <v>-0.322799999999972</v>
      </c>
      <c r="AF410">
        <v>-0.65270593689719103</v>
      </c>
      <c r="AG410">
        <v>-1.0542652916519999</v>
      </c>
      <c r="AH410">
        <v>25.712770979621499</v>
      </c>
      <c r="AI410">
        <v>92.347149462818805</v>
      </c>
      <c r="AJ410">
        <v>91.454112665575195</v>
      </c>
      <c r="AK410">
        <v>25.7426512192453</v>
      </c>
    </row>
    <row r="411" spans="1:37" x14ac:dyDescent="0.2">
      <c r="A411" t="str">
        <f>"20200111155802243"</f>
        <v>20200111155802243</v>
      </c>
      <c r="B411" t="str">
        <f>"1578729482231374"</f>
        <v>1578729482231374</v>
      </c>
      <c r="C411" t="s">
        <v>37</v>
      </c>
      <c r="D411">
        <v>5.872706</v>
      </c>
      <c r="E411">
        <v>0.51854690000000003</v>
      </c>
      <c r="F411" t="s">
        <v>39</v>
      </c>
      <c r="G411">
        <v>-384.88819999999998</v>
      </c>
      <c r="H411" s="1">
        <v>-2.5914179999999999E-6</v>
      </c>
      <c r="I411">
        <v>367.27010000000001</v>
      </c>
      <c r="J411">
        <v>-411.19380000000001</v>
      </c>
      <c r="K411">
        <v>1.054297</v>
      </c>
      <c r="L411">
        <v>367.54539999999997</v>
      </c>
      <c r="M411">
        <v>0.99918839999999998</v>
      </c>
      <c r="N411">
        <v>0</v>
      </c>
      <c r="O411">
        <v>-3.8405109999999999E-2</v>
      </c>
      <c r="P411">
        <v>0.99920370000000003</v>
      </c>
      <c r="Q411">
        <v>1.1263799999999999E-2</v>
      </c>
      <c r="R411">
        <v>3.8281080000000002E-2</v>
      </c>
      <c r="S411">
        <v>3.0045470000000001</v>
      </c>
      <c r="T411">
        <v>-0.11963310000000001</v>
      </c>
      <c r="U411">
        <v>-3.2043460000000003E-2</v>
      </c>
      <c r="V411">
        <v>-7.6617619999999997E-2</v>
      </c>
      <c r="W411">
        <v>2.3425640000000001E-2</v>
      </c>
      <c r="X411">
        <v>0.99678529999999999</v>
      </c>
      <c r="Y411">
        <v>-2.7696889999999998E-2</v>
      </c>
      <c r="Z411">
        <v>2.0794670000000002E-3</v>
      </c>
      <c r="AA411">
        <v>0.99961420000000001</v>
      </c>
      <c r="AB411">
        <v>17</v>
      </c>
      <c r="AC411">
        <v>26.305599999999998</v>
      </c>
      <c r="AD411">
        <v>-1.054299591418</v>
      </c>
      <c r="AE411">
        <v>-0.27529999999995802</v>
      </c>
      <c r="AF411">
        <v>-0.73406813616134503</v>
      </c>
      <c r="AG411">
        <v>-1.054299591418</v>
      </c>
      <c r="AH411">
        <v>26.254595305004301</v>
      </c>
      <c r="AI411">
        <v>92.298680217344099</v>
      </c>
      <c r="AJ411">
        <v>91.601550166616803</v>
      </c>
      <c r="AK411">
        <v>26.286007271674901</v>
      </c>
    </row>
    <row r="412" spans="1:37" x14ac:dyDescent="0.2">
      <c r="A412" t="str">
        <f>"20200111155802266"</f>
        <v>20200111155802266</v>
      </c>
      <c r="B412" t="str">
        <f>"1578729482261630"</f>
        <v>1578729482261630</v>
      </c>
      <c r="C412" t="s">
        <v>37</v>
      </c>
      <c r="D412">
        <v>5.8986000000000001</v>
      </c>
      <c r="E412">
        <v>0.51839269999999904</v>
      </c>
      <c r="F412" t="s">
        <v>39</v>
      </c>
      <c r="G412">
        <v>-384.38199999999898</v>
      </c>
      <c r="H412" s="1">
        <v>-2.79954299999999E-6</v>
      </c>
      <c r="I412">
        <v>367.320999999999</v>
      </c>
      <c r="J412">
        <v>-411.02030000000002</v>
      </c>
      <c r="K412">
        <v>1.0543480000000001</v>
      </c>
      <c r="L412">
        <v>367.53820000000002</v>
      </c>
      <c r="M412">
        <v>0.99917129999999998</v>
      </c>
      <c r="N412">
        <v>0</v>
      </c>
      <c r="O412">
        <v>-3.8847140000000002E-2</v>
      </c>
      <c r="P412">
        <v>0.99913149999999995</v>
      </c>
      <c r="Q412">
        <v>1.1997280000000001E-2</v>
      </c>
      <c r="R412">
        <v>3.990548E-2</v>
      </c>
      <c r="S412">
        <v>3.0047299999999999</v>
      </c>
      <c r="T412">
        <v>-0.1181527</v>
      </c>
      <c r="U412">
        <v>-2.5146479999999999E-2</v>
      </c>
      <c r="V412">
        <v>-7.8681299999999996E-2</v>
      </c>
      <c r="W412">
        <v>2.4148329999999999E-2</v>
      </c>
      <c r="X412">
        <v>0.99660729999999997</v>
      </c>
      <c r="Y412">
        <v>-3.0432770000000001E-2</v>
      </c>
      <c r="Z412">
        <v>2.1248019999999999E-3</v>
      </c>
      <c r="AA412">
        <v>0.99953449999999899</v>
      </c>
      <c r="AB412">
        <v>17</v>
      </c>
      <c r="AC412">
        <v>26.638300000000001</v>
      </c>
      <c r="AD412">
        <v>-1.0543507995429999</v>
      </c>
      <c r="AE412">
        <v>-0.21720000000004799</v>
      </c>
      <c r="AF412">
        <v>-0.81658295760250199</v>
      </c>
      <c r="AG412">
        <v>-1.0543507995429999</v>
      </c>
      <c r="AH412">
        <v>26.584982548374299</v>
      </c>
      <c r="AI412">
        <v>92.270070160426997</v>
      </c>
      <c r="AJ412">
        <v>91.759341063026895</v>
      </c>
      <c r="AK412">
        <v>26.618410178530802</v>
      </c>
    </row>
    <row r="413" spans="1:37" x14ac:dyDescent="0.2">
      <c r="A413" t="str">
        <f>"20200111155802287"</f>
        <v>20200111155802287</v>
      </c>
      <c r="B413" t="str">
        <f>"1578729482281151"</f>
        <v>1578729482281151</v>
      </c>
      <c r="C413" t="s">
        <v>37</v>
      </c>
      <c r="D413">
        <v>5.8733219999999999</v>
      </c>
      <c r="E413">
        <v>0.51829150000000002</v>
      </c>
      <c r="F413" t="s">
        <v>39</v>
      </c>
      <c r="G413">
        <v>-383.96249999999998</v>
      </c>
      <c r="H413" s="1">
        <v>-2.9718009999999999E-6</v>
      </c>
      <c r="I413">
        <v>367.36439999999999</v>
      </c>
      <c r="J413">
        <v>-410.84570000000002</v>
      </c>
      <c r="K413">
        <v>1.0544069999999901</v>
      </c>
      <c r="L413">
        <v>367.5308</v>
      </c>
      <c r="M413">
        <v>0.99915750000000003</v>
      </c>
      <c r="N413">
        <v>0</v>
      </c>
      <c r="O413">
        <v>-3.9201569999999998E-2</v>
      </c>
      <c r="P413">
        <v>0.99909689999999995</v>
      </c>
      <c r="Q413">
        <v>1.3213870000000001E-2</v>
      </c>
      <c r="R413">
        <v>4.0383839999999997E-2</v>
      </c>
      <c r="S413">
        <v>3.0048219999999999</v>
      </c>
      <c r="T413">
        <v>-0.1170876</v>
      </c>
      <c r="U413">
        <v>-1.928711E-2</v>
      </c>
      <c r="V413">
        <v>-7.9514329999999994E-2</v>
      </c>
      <c r="W413">
        <v>2.5353400000000002E-2</v>
      </c>
      <c r="X413">
        <v>0.99651129999999999</v>
      </c>
      <c r="Y413">
        <v>-3.2735420000000001E-2</v>
      </c>
      <c r="Z413">
        <v>2.1642720000000001E-3</v>
      </c>
      <c r="AA413">
        <v>0.99946170000000001</v>
      </c>
      <c r="AB413">
        <v>17</v>
      </c>
      <c r="AC413">
        <v>26.883199999999999</v>
      </c>
      <c r="AD413">
        <v>-1.0544099718009901</v>
      </c>
      <c r="AE413">
        <v>-0.16640000000001001</v>
      </c>
      <c r="AF413">
        <v>-0.88630591616052501</v>
      </c>
      <c r="AG413">
        <v>-1.0544099718009901</v>
      </c>
      <c r="AH413">
        <v>26.827786947318099</v>
      </c>
      <c r="AI413">
        <v>92.249506164290196</v>
      </c>
      <c r="AJ413">
        <v>91.892184607688407</v>
      </c>
      <c r="AK413">
        <v>26.863124744830898</v>
      </c>
    </row>
    <row r="414" spans="1:37" x14ac:dyDescent="0.2">
      <c r="A414" t="str">
        <f>"20200111155802310"</f>
        <v>20200111155802310</v>
      </c>
      <c r="B414" t="str">
        <f>"1578729482301645"</f>
        <v>1578729482301645</v>
      </c>
      <c r="C414" t="s">
        <v>37</v>
      </c>
      <c r="D414">
        <v>6.0714370000000004</v>
      </c>
      <c r="E414">
        <v>0.51825180000000004</v>
      </c>
      <c r="F414" t="s">
        <v>39</v>
      </c>
      <c r="G414">
        <v>-383.08960000000002</v>
      </c>
      <c r="H414" s="1">
        <v>-3.3443860000000002E-6</v>
      </c>
      <c r="I414">
        <v>367.37520000000001</v>
      </c>
      <c r="J414">
        <v>-410.67309999999998</v>
      </c>
      <c r="K414">
        <v>1.054465</v>
      </c>
      <c r="L414">
        <v>367.52370000000002</v>
      </c>
      <c r="M414">
        <v>0.9991468</v>
      </c>
      <c r="N414">
        <v>0</v>
      </c>
      <c r="O414">
        <v>-3.9473080000000001E-2</v>
      </c>
      <c r="P414">
        <v>0.999040699999999</v>
      </c>
      <c r="Q414">
        <v>1.4929059999999999E-2</v>
      </c>
      <c r="R414">
        <v>4.1165399999999998E-2</v>
      </c>
      <c r="S414">
        <v>3.004883</v>
      </c>
      <c r="T414">
        <v>-0.1141505</v>
      </c>
      <c r="U414">
        <v>-1.6845699999999901E-2</v>
      </c>
      <c r="V414">
        <v>-8.0566040000000005E-2</v>
      </c>
      <c r="W414">
        <v>2.7057029999999999E-2</v>
      </c>
      <c r="X414">
        <v>0.99638199999999999</v>
      </c>
      <c r="Y414">
        <v>-3.3820870000000003E-2</v>
      </c>
      <c r="Z414">
        <v>2.1409039999999999E-3</v>
      </c>
      <c r="AA414">
        <v>0.99942559999999903</v>
      </c>
      <c r="AB414">
        <v>17</v>
      </c>
      <c r="AC414">
        <v>27.583499999999901</v>
      </c>
      <c r="AD414">
        <v>-1.0544683443859999</v>
      </c>
      <c r="AE414">
        <v>-0.14850000000001201</v>
      </c>
      <c r="AF414">
        <v>-0.93912938799219603</v>
      </c>
      <c r="AG414">
        <v>-1.0544683443859999</v>
      </c>
      <c r="AH414">
        <v>27.527633728504401</v>
      </c>
      <c r="AI414">
        <v>92.192414530225804</v>
      </c>
      <c r="AJ414">
        <v>91.953937988276294</v>
      </c>
      <c r="AK414">
        <v>27.563825681269201</v>
      </c>
    </row>
    <row r="415" spans="1:37" x14ac:dyDescent="0.2">
      <c r="A415" t="str">
        <f>"20200111155802325"</f>
        <v>20200111155802325</v>
      </c>
      <c r="B415" t="str">
        <f>"1578729482321166"</f>
        <v>1578729482321166</v>
      </c>
      <c r="C415" t="s">
        <v>37</v>
      </c>
      <c r="D415">
        <v>6.032362</v>
      </c>
      <c r="E415">
        <v>0.51825670000000001</v>
      </c>
      <c r="F415" t="s">
        <v>39</v>
      </c>
      <c r="G415">
        <v>-381.13260000000002</v>
      </c>
      <c r="H415" s="1">
        <v>-4.1824809999999999E-6</v>
      </c>
      <c r="I415">
        <v>367.38330000000002</v>
      </c>
      <c r="J415">
        <v>-410.56130000000002</v>
      </c>
      <c r="K415">
        <v>1.0545</v>
      </c>
      <c r="L415">
        <v>367.51909999999998</v>
      </c>
      <c r="M415">
        <v>0.99914119999999995</v>
      </c>
      <c r="N415">
        <v>0</v>
      </c>
      <c r="O415">
        <v>-3.961112E-2</v>
      </c>
      <c r="P415">
        <v>0.99902669999999905</v>
      </c>
      <c r="Q415">
        <v>1.565826E-2</v>
      </c>
      <c r="R415">
        <v>4.1236719999999998E-2</v>
      </c>
      <c r="S415">
        <v>3.0050659999999998</v>
      </c>
      <c r="T415">
        <v>-0.1072678</v>
      </c>
      <c r="U415">
        <v>-1.428223E-2</v>
      </c>
      <c r="V415">
        <v>-8.0776819999999999E-2</v>
      </c>
      <c r="W415">
        <v>2.7779169999999999E-2</v>
      </c>
      <c r="X415">
        <v>0.99634500000000004</v>
      </c>
      <c r="Y415">
        <v>-3.4817290000000001E-2</v>
      </c>
      <c r="Z415">
        <v>2.0344920000000002E-3</v>
      </c>
      <c r="AA415">
        <v>0.99939159999999905</v>
      </c>
      <c r="AB415">
        <v>17</v>
      </c>
      <c r="AC415">
        <v>29.4286999999999</v>
      </c>
      <c r="AD415">
        <v>-1.054504182481</v>
      </c>
      <c r="AE415">
        <v>-0.13579999999996001</v>
      </c>
      <c r="AF415">
        <v>-1.02877564261343</v>
      </c>
      <c r="AG415">
        <v>-1.054504182481</v>
      </c>
      <c r="AH415">
        <v>29.373266139343901</v>
      </c>
      <c r="AI415">
        <v>92.054784330100006</v>
      </c>
      <c r="AJ415">
        <v>92.005919856119306</v>
      </c>
      <c r="AK415">
        <v>29.410187386115499</v>
      </c>
    </row>
    <row r="416" spans="1:37" x14ac:dyDescent="0.2">
      <c r="A416" t="str">
        <f>"20200111155802342"</f>
        <v>20200111155802342</v>
      </c>
      <c r="B416" t="str">
        <f>"1578729482330927"</f>
        <v>1578729482330927</v>
      </c>
      <c r="C416" t="s">
        <v>37</v>
      </c>
      <c r="D416">
        <v>5.9139140000000001</v>
      </c>
      <c r="E416">
        <v>0.51820600000000006</v>
      </c>
      <c r="F416" t="s">
        <v>39</v>
      </c>
      <c r="G416">
        <v>-380.30900000000003</v>
      </c>
      <c r="H416" s="1">
        <v>-4.537117E-6</v>
      </c>
      <c r="I416">
        <v>367.3759</v>
      </c>
      <c r="J416">
        <v>-410.42439999999999</v>
      </c>
      <c r="K416">
        <v>1.0545450000000001</v>
      </c>
      <c r="L416">
        <v>367.51350000000002</v>
      </c>
      <c r="M416">
        <v>0.99913739999999995</v>
      </c>
      <c r="N416">
        <v>0</v>
      </c>
      <c r="O416">
        <v>-3.970862E-2</v>
      </c>
      <c r="P416">
        <v>0.99901130000000005</v>
      </c>
      <c r="Q416">
        <v>1.659981E-2</v>
      </c>
      <c r="R416">
        <v>4.1241649999999998E-2</v>
      </c>
      <c r="S416">
        <v>3.0051570000000001</v>
      </c>
      <c r="T416">
        <v>-0.1047506</v>
      </c>
      <c r="U416">
        <v>-1.422119E-2</v>
      </c>
      <c r="V416">
        <v>-8.0881579999999995E-2</v>
      </c>
      <c r="W416">
        <v>2.871197E-2</v>
      </c>
      <c r="X416">
        <v>0.99631009999999998</v>
      </c>
      <c r="Y416">
        <v>-3.4937309999999999E-2</v>
      </c>
      <c r="Z416">
        <v>1.9922049999999999E-3</v>
      </c>
      <c r="AA416">
        <v>0.99938749999999998</v>
      </c>
      <c r="AB416">
        <v>17</v>
      </c>
      <c r="AC416">
        <v>30.115399999999902</v>
      </c>
      <c r="AD416">
        <v>-1.0545495371169999</v>
      </c>
      <c r="AE416">
        <v>-0.13760000000002001</v>
      </c>
      <c r="AF416">
        <v>-1.05714160099181</v>
      </c>
      <c r="AG416">
        <v>-1.0545495371169999</v>
      </c>
      <c r="AH416">
        <v>30.0602501182967</v>
      </c>
      <c r="AI416">
        <v>92.007940278648206</v>
      </c>
      <c r="AJ416">
        <v>92.014115003128893</v>
      </c>
      <c r="AK416">
        <v>30.097313173526601</v>
      </c>
    </row>
    <row r="417" spans="1:37" x14ac:dyDescent="0.2">
      <c r="A417" t="str">
        <f>"20200111155802367"</f>
        <v>20200111155802367</v>
      </c>
      <c r="B417" t="str">
        <f>"1578729482361182"</f>
        <v>1578729482361182</v>
      </c>
      <c r="C417" t="s">
        <v>37</v>
      </c>
      <c r="D417">
        <v>6.5233419999999898</v>
      </c>
      <c r="E417">
        <v>0.51809819999999995</v>
      </c>
      <c r="F417" t="s">
        <v>39</v>
      </c>
      <c r="G417">
        <v>-379.50209999999998</v>
      </c>
      <c r="H417" s="1">
        <v>-7.5302440000000003E-7</v>
      </c>
      <c r="I417">
        <v>367.37060000000002</v>
      </c>
      <c r="J417">
        <v>-410.24169999999998</v>
      </c>
      <c r="K417">
        <v>1.0546139999999999</v>
      </c>
      <c r="L417">
        <v>367.5061</v>
      </c>
      <c r="M417">
        <v>0.99913589999999997</v>
      </c>
      <c r="N417">
        <v>0</v>
      </c>
      <c r="O417">
        <v>-3.9747480000000002E-2</v>
      </c>
      <c r="P417">
        <v>0.99902729999999995</v>
      </c>
      <c r="Q417">
        <v>1.682724E-2</v>
      </c>
      <c r="R417">
        <v>4.076047E-2</v>
      </c>
      <c r="S417">
        <v>3.0052490000000001</v>
      </c>
      <c r="T417">
        <v>-0.102488</v>
      </c>
      <c r="U417">
        <v>-1.38854999999999E-2</v>
      </c>
      <c r="V417">
        <v>-8.0443520000000004E-2</v>
      </c>
      <c r="W417">
        <v>2.8927399999999999E-2</v>
      </c>
      <c r="X417">
        <v>0.99633930000000004</v>
      </c>
      <c r="Y417">
        <v>-3.5089780000000001E-2</v>
      </c>
      <c r="Z417">
        <v>1.9530649999999999E-3</v>
      </c>
      <c r="AA417">
        <v>0.99938229999999995</v>
      </c>
      <c r="AB417">
        <v>17</v>
      </c>
      <c r="AC417">
        <v>30.739599999999999</v>
      </c>
      <c r="AD417">
        <v>-1.0546147530244001</v>
      </c>
      <c r="AE417">
        <v>-0.135499999999979</v>
      </c>
      <c r="AF417">
        <v>-1.08524155699469</v>
      </c>
      <c r="AG417">
        <v>-1.0546147530244001</v>
      </c>
      <c r="AH417">
        <v>30.6845745569853</v>
      </c>
      <c r="AI417">
        <v>91.967225794825495</v>
      </c>
      <c r="AJ417">
        <v>92.0255732730202</v>
      </c>
      <c r="AK417">
        <v>30.7218664351226</v>
      </c>
    </row>
    <row r="418" spans="1:37" x14ac:dyDescent="0.2">
      <c r="A418" t="str">
        <f>"20200111155802389"</f>
        <v>20200111155802389</v>
      </c>
      <c r="B418" t="str">
        <f>"1578729482381677"</f>
        <v>1578729482381677</v>
      </c>
      <c r="C418" t="s">
        <v>37</v>
      </c>
      <c r="D418">
        <v>5.965541</v>
      </c>
      <c r="E418">
        <v>0.5179996</v>
      </c>
      <c r="F418" t="s">
        <v>39</v>
      </c>
      <c r="G418">
        <v>-379.0575</v>
      </c>
      <c r="H418" s="1">
        <v>-9.0872439999999997E-7</v>
      </c>
      <c r="I418">
        <v>367.35399999999998</v>
      </c>
      <c r="J418">
        <v>-410.06950000000001</v>
      </c>
      <c r="K418">
        <v>1.0546789999999999</v>
      </c>
      <c r="L418">
        <v>367.49930000000001</v>
      </c>
      <c r="M418">
        <v>0.99913920000000001</v>
      </c>
      <c r="N418">
        <v>0</v>
      </c>
      <c r="O418">
        <v>-3.9662379999999997E-2</v>
      </c>
      <c r="P418">
        <v>0.99904479999999996</v>
      </c>
      <c r="Q418">
        <v>1.7335340000000001E-2</v>
      </c>
      <c r="R418">
        <v>4.0110680000000003E-2</v>
      </c>
      <c r="S418">
        <v>3.0052490000000001</v>
      </c>
      <c r="T418">
        <v>-0.1016341</v>
      </c>
      <c r="U418">
        <v>-1.464844E-2</v>
      </c>
      <c r="V418">
        <v>-7.9714980000000005E-2</v>
      </c>
      <c r="W418">
        <v>2.9423109999999999E-2</v>
      </c>
      <c r="X418">
        <v>0.99638340000000003</v>
      </c>
      <c r="Y418">
        <v>-3.4751909999999997E-2</v>
      </c>
      <c r="Z418">
        <v>1.928211E-3</v>
      </c>
      <c r="AA418">
        <v>0.99939409999999895</v>
      </c>
      <c r="AB418">
        <v>17</v>
      </c>
      <c r="AC418">
        <v>31.012</v>
      </c>
      <c r="AD418">
        <v>-1.0546799087244001</v>
      </c>
      <c r="AE418">
        <v>-0.14529999999996299</v>
      </c>
      <c r="AF418">
        <v>-1.0836616248651301</v>
      </c>
      <c r="AG418">
        <v>-1.0546799087244001</v>
      </c>
      <c r="AH418">
        <v>30.957552999935299</v>
      </c>
      <c r="AI418">
        <v>91.950037806522403</v>
      </c>
      <c r="AJ418">
        <v>92.004806263461404</v>
      </c>
      <c r="AK418">
        <v>30.994463376075402</v>
      </c>
    </row>
    <row r="419" spans="1:37" x14ac:dyDescent="0.2">
      <c r="A419" t="str">
        <f>"20200111155802402"</f>
        <v>20200111155802402</v>
      </c>
      <c r="B419" t="str">
        <f>"1578729482391438"</f>
        <v>1578729482391438</v>
      </c>
      <c r="C419" t="s">
        <v>37</v>
      </c>
      <c r="D419">
        <v>5.9802089999999897</v>
      </c>
      <c r="E419">
        <v>0.51796239999999905</v>
      </c>
      <c r="F419" t="s">
        <v>39</v>
      </c>
      <c r="G419">
        <v>-378.74810000000002</v>
      </c>
      <c r="H419" s="1">
        <v>-1.0193129999999899E-6</v>
      </c>
      <c r="I419">
        <v>367.33409999999998</v>
      </c>
      <c r="J419">
        <v>-409.96440000000001</v>
      </c>
      <c r="K419">
        <v>1.054724</v>
      </c>
      <c r="L419">
        <v>367.49509999999998</v>
      </c>
      <c r="M419">
        <v>0.99914319999999901</v>
      </c>
      <c r="N419">
        <v>0</v>
      </c>
      <c r="O419">
        <v>-3.9564179999999997E-2</v>
      </c>
      <c r="P419">
        <v>0.99904760000000004</v>
      </c>
      <c r="Q419">
        <v>1.7631879999999999E-2</v>
      </c>
      <c r="R419">
        <v>3.9918420000000003E-2</v>
      </c>
      <c r="S419">
        <v>3.0052189999999999</v>
      </c>
      <c r="T419">
        <v>-0.1011939</v>
      </c>
      <c r="U419">
        <v>-1.5838620000000001E-2</v>
      </c>
      <c r="V419">
        <v>-7.9428289999999999E-2</v>
      </c>
      <c r="W419">
        <v>2.971242E-2</v>
      </c>
      <c r="X419">
        <v>0.99639769999999905</v>
      </c>
      <c r="Y419">
        <v>-3.4258549999999999E-2</v>
      </c>
      <c r="Z419">
        <v>1.9082719999999999E-3</v>
      </c>
      <c r="AA419">
        <v>0.99941119999999894</v>
      </c>
      <c r="AB419">
        <v>17</v>
      </c>
      <c r="AC419">
        <v>31.216299999999901</v>
      </c>
      <c r="AD419">
        <v>-1.054725019313</v>
      </c>
      <c r="AE419">
        <v>-0.161000000000001</v>
      </c>
      <c r="AF419">
        <v>-1.0730395550621501</v>
      </c>
      <c r="AG419">
        <v>-1.054725019313</v>
      </c>
      <c r="AH419">
        <v>31.162650835487401</v>
      </c>
      <c r="AI419">
        <v>91.937334533258095</v>
      </c>
      <c r="AJ419">
        <v>91.972115813686898</v>
      </c>
      <c r="AK419">
        <v>31.198952960758099</v>
      </c>
    </row>
    <row r="420" spans="1:37" x14ac:dyDescent="0.2">
      <c r="A420" t="str">
        <f>"20200111155802422"</f>
        <v>20200111155802422</v>
      </c>
      <c r="B420" t="str">
        <f>"1578729482410958"</f>
        <v>1578729482410958</v>
      </c>
      <c r="C420" t="s">
        <v>37</v>
      </c>
      <c r="D420">
        <v>6.0691699999999997</v>
      </c>
      <c r="E420">
        <v>0.51792159999999998</v>
      </c>
      <c r="F420" t="s">
        <v>39</v>
      </c>
      <c r="G420">
        <v>-378.58940000000001</v>
      </c>
      <c r="H420" s="1">
        <v>-1.0750789999999999E-6</v>
      </c>
      <c r="I420">
        <v>367.32749999999999</v>
      </c>
      <c r="J420">
        <v>-409.81599999999997</v>
      </c>
      <c r="K420">
        <v>1.0547839999999999</v>
      </c>
      <c r="L420">
        <v>367.48950000000002</v>
      </c>
      <c r="M420">
        <v>0.99915159999999903</v>
      </c>
      <c r="N420">
        <v>0</v>
      </c>
      <c r="O420">
        <v>-3.9350699999999898E-2</v>
      </c>
      <c r="P420">
        <v>0.99904709999999997</v>
      </c>
      <c r="Q420">
        <v>1.8377999999999999E-2</v>
      </c>
      <c r="R420">
        <v>3.9589470000000002E-2</v>
      </c>
      <c r="S420">
        <v>3.0053099999999899</v>
      </c>
      <c r="T420">
        <v>-0.101028699999999</v>
      </c>
      <c r="U420">
        <v>-1.6052250000000001E-2</v>
      </c>
      <c r="V420">
        <v>-7.8891059999999999E-2</v>
      </c>
      <c r="W420">
        <v>3.0447370000000001E-2</v>
      </c>
      <c r="X420">
        <v>0.99641819999999903</v>
      </c>
      <c r="Y420">
        <v>-3.3974549999999999E-2</v>
      </c>
      <c r="Z420">
        <v>1.8931569999999999E-3</v>
      </c>
      <c r="AA420">
        <v>0.99942089999999995</v>
      </c>
      <c r="AB420">
        <v>17</v>
      </c>
      <c r="AC420">
        <v>31.226599999999902</v>
      </c>
      <c r="AD420">
        <v>-1.054785075079</v>
      </c>
      <c r="AE420">
        <v>-0.16200000000003401</v>
      </c>
      <c r="AF420">
        <v>-1.0657887463070901</v>
      </c>
      <c r="AG420">
        <v>-1.054785075079</v>
      </c>
      <c r="AH420">
        <v>31.173218396273601</v>
      </c>
      <c r="AI420">
        <v>91.936804678321096</v>
      </c>
      <c r="AJ420">
        <v>91.958136621901303</v>
      </c>
      <c r="AK420">
        <v>31.209261804601201</v>
      </c>
    </row>
    <row r="421" spans="1:37" x14ac:dyDescent="0.2">
      <c r="A421" t="str">
        <f>"20200111155802444"</f>
        <v>20200111155802444</v>
      </c>
      <c r="B421" t="str">
        <f>"1578729482431454"</f>
        <v>1578729482431454</v>
      </c>
      <c r="C421" t="s">
        <v>37</v>
      </c>
      <c r="D421">
        <v>6.9577869999999997</v>
      </c>
      <c r="E421">
        <v>0.51794790000000002</v>
      </c>
      <c r="F421" t="s">
        <v>39</v>
      </c>
      <c r="G421">
        <v>-378.09820000000002</v>
      </c>
      <c r="H421" s="1">
        <v>-1.246368E-6</v>
      </c>
      <c r="I421">
        <v>367.31199999999899</v>
      </c>
      <c r="J421">
        <v>-409.65230000000003</v>
      </c>
      <c r="K421">
        <v>1.054851</v>
      </c>
      <c r="L421">
        <v>367.48329999999999</v>
      </c>
      <c r="M421">
        <v>0.99916550000000004</v>
      </c>
      <c r="N421">
        <v>0</v>
      </c>
      <c r="O421">
        <v>-3.8999029999999997E-2</v>
      </c>
      <c r="P421">
        <v>0.99904249999999895</v>
      </c>
      <c r="Q421">
        <v>1.8718780000000001E-2</v>
      </c>
      <c r="R421">
        <v>3.9548159999999999E-2</v>
      </c>
      <c r="S421">
        <v>3.0053709999999998</v>
      </c>
      <c r="T421">
        <v>-9.9944350000000001E-2</v>
      </c>
      <c r="U421">
        <v>-1.6815190000000001E-2</v>
      </c>
      <c r="V421">
        <v>-7.8503499999999907E-2</v>
      </c>
      <c r="W421">
        <v>3.0775279999999999E-2</v>
      </c>
      <c r="X421">
        <v>0.99643869999999901</v>
      </c>
      <c r="Y421">
        <v>-3.3370599999999903E-2</v>
      </c>
      <c r="Z421">
        <v>1.8510829999999999E-3</v>
      </c>
      <c r="AA421">
        <v>0.99944129999999998</v>
      </c>
      <c r="AB421">
        <v>17</v>
      </c>
      <c r="AC421">
        <v>31.554099999999998</v>
      </c>
      <c r="AD421">
        <v>-1.0548522463679999</v>
      </c>
      <c r="AE421">
        <v>-0.17130000000003001</v>
      </c>
      <c r="AF421">
        <v>-1.05831761862591</v>
      </c>
      <c r="AG421">
        <v>-1.0548522463679999</v>
      </c>
      <c r="AH421">
        <v>31.501568734153199</v>
      </c>
      <c r="AI421">
        <v>91.916792366035196</v>
      </c>
      <c r="AJ421">
        <v>91.924168784684198</v>
      </c>
      <c r="AK421">
        <v>31.536987525065602</v>
      </c>
    </row>
    <row r="422" spans="1:37" x14ac:dyDescent="0.2">
      <c r="A422" t="str">
        <f>"20200111155802467"</f>
        <v>20200111155802467</v>
      </c>
      <c r="B422" t="str">
        <f>"1578729482461711"</f>
        <v>1578729482461711</v>
      </c>
      <c r="C422" t="s">
        <v>37</v>
      </c>
      <c r="D422">
        <v>5.7744339999999896</v>
      </c>
      <c r="E422">
        <v>0.57331089999999996</v>
      </c>
      <c r="F422" t="s">
        <v>39</v>
      </c>
      <c r="G422">
        <v>-377.66239999999999</v>
      </c>
      <c r="H422" s="1">
        <v>-1.398124E-6</v>
      </c>
      <c r="I422">
        <v>367.29910000000001</v>
      </c>
      <c r="J422">
        <v>-409.4701</v>
      </c>
      <c r="K422">
        <v>1.0549360000000001</v>
      </c>
      <c r="L422">
        <v>367.47680000000003</v>
      </c>
      <c r="M422">
        <v>0.999187099999999</v>
      </c>
      <c r="N422">
        <v>0</v>
      </c>
      <c r="O422">
        <v>-3.8440700000000001E-2</v>
      </c>
      <c r="P422">
        <v>0.99903729999999902</v>
      </c>
      <c r="Q422">
        <v>1.8619630000000002E-2</v>
      </c>
      <c r="R422">
        <v>3.9721930000000003E-2</v>
      </c>
      <c r="S422">
        <v>3.0054319999999999</v>
      </c>
      <c r="T422">
        <v>-9.9102620000000002E-2</v>
      </c>
      <c r="U422">
        <v>-1.7303470000000001E-2</v>
      </c>
      <c r="V422">
        <v>-7.8126520000000005E-2</v>
      </c>
      <c r="W422">
        <v>3.066137E-2</v>
      </c>
      <c r="X422">
        <v>0.99647180000000002</v>
      </c>
      <c r="Y422">
        <v>-3.2651230000000003E-2</v>
      </c>
      <c r="Z422">
        <v>1.8052109999999999E-3</v>
      </c>
      <c r="AA422">
        <v>0.99946520000000005</v>
      </c>
      <c r="AB422">
        <v>17</v>
      </c>
      <c r="AC422">
        <v>31.807700000000001</v>
      </c>
      <c r="AD422">
        <v>-1.054937398124</v>
      </c>
      <c r="AE422">
        <v>-0.17770000000001501</v>
      </c>
      <c r="AF422">
        <v>-1.04408332354828</v>
      </c>
      <c r="AG422">
        <v>-1.054937398124</v>
      </c>
      <c r="AH422">
        <v>31.756088042869901</v>
      </c>
      <c r="AI422">
        <v>91.901639588877998</v>
      </c>
      <c r="AJ422">
        <v>91.883104321550505</v>
      </c>
      <c r="AK422">
        <v>31.7907554280639</v>
      </c>
    </row>
    <row r="423" spans="1:37" x14ac:dyDescent="0.2">
      <c r="A423" t="str">
        <f>"20200111155802481"</f>
        <v>20200111155802481</v>
      </c>
      <c r="B423" t="str">
        <f>"1578729482471470"</f>
        <v>1578729482471470</v>
      </c>
      <c r="C423" t="s">
        <v>37</v>
      </c>
      <c r="D423">
        <v>5.810441</v>
      </c>
      <c r="E423">
        <v>0.57572769999999995</v>
      </c>
      <c r="F423" t="s">
        <v>38</v>
      </c>
      <c r="G423">
        <v>-408.65</v>
      </c>
      <c r="H423">
        <v>0.9161144</v>
      </c>
      <c r="I423">
        <v>367.35789999999997</v>
      </c>
      <c r="J423">
        <v>-409.36</v>
      </c>
      <c r="K423">
        <v>1.054989</v>
      </c>
      <c r="L423">
        <v>367.47300000000001</v>
      </c>
      <c r="M423">
        <v>0.99920330000000002</v>
      </c>
      <c r="N423">
        <v>0</v>
      </c>
      <c r="O423">
        <v>-3.8017759999999998E-2</v>
      </c>
      <c r="P423">
        <v>0.99902080000000004</v>
      </c>
      <c r="Q423">
        <v>1.897275E-2</v>
      </c>
      <c r="R423">
        <v>3.9971010000000001E-2</v>
      </c>
      <c r="S423">
        <v>3.029846</v>
      </c>
      <c r="T423">
        <v>-0.51303049999999994</v>
      </c>
      <c r="U423">
        <v>-0.43841549999999901</v>
      </c>
      <c r="V423">
        <v>-7.7957490000000004E-2</v>
      </c>
      <c r="W423">
        <v>3.1005479999999998E-2</v>
      </c>
      <c r="X423">
        <v>0.99647439999999998</v>
      </c>
      <c r="Y423">
        <v>0.10454869999999999</v>
      </c>
      <c r="Z423">
        <v>-2.389787E-3</v>
      </c>
      <c r="AA423">
        <v>0.99451690000000004</v>
      </c>
      <c r="AB423">
        <v>17</v>
      </c>
      <c r="AC423">
        <v>0.71000000000003605</v>
      </c>
      <c r="AD423">
        <v>-0.13887459999999899</v>
      </c>
      <c r="AE423">
        <v>-0.11510000000004</v>
      </c>
      <c r="AF423">
        <v>8.4858739579354997E-2</v>
      </c>
      <c r="AG423">
        <v>-0.13887459999999899</v>
      </c>
      <c r="AH423">
        <v>0.68820721196808499</v>
      </c>
      <c r="AI423">
        <v>101.325087705428</v>
      </c>
      <c r="AJ423">
        <v>82.970679124564597</v>
      </c>
      <c r="AK423">
        <v>0.70718903188117999</v>
      </c>
    </row>
    <row r="424" spans="1:37" x14ac:dyDescent="0.2">
      <c r="A424" t="str">
        <f>"20200111155802500"</f>
        <v>20200111155802500</v>
      </c>
      <c r="B424" t="str">
        <f>"1578729482490989"</f>
        <v>1578729482490989</v>
      </c>
      <c r="C424" t="s">
        <v>37</v>
      </c>
      <c r="D424">
        <v>5.8384519999999904</v>
      </c>
      <c r="E424">
        <v>0.57798870000000002</v>
      </c>
      <c r="F424" t="s">
        <v>38</v>
      </c>
      <c r="G424">
        <v>-408.64499999999998</v>
      </c>
      <c r="H424">
        <v>0.92588289999999995</v>
      </c>
      <c r="I424">
        <v>367.36529999999999</v>
      </c>
      <c r="J424">
        <v>-409.21440000000001</v>
      </c>
      <c r="K424">
        <v>1.0550580000000001</v>
      </c>
      <c r="L424">
        <v>367.46820000000002</v>
      </c>
      <c r="M424">
        <v>0.99922699999999998</v>
      </c>
      <c r="N424">
        <v>0</v>
      </c>
      <c r="O424">
        <v>-3.7384920000000002E-2</v>
      </c>
      <c r="P424">
        <v>0.99898609999999899</v>
      </c>
      <c r="Q424">
        <v>1.9795139999999999E-2</v>
      </c>
      <c r="R424">
        <v>4.043629E-2</v>
      </c>
      <c r="S424">
        <v>3.031555</v>
      </c>
      <c r="T424">
        <v>-0.54769659999999998</v>
      </c>
      <c r="U424">
        <v>-0.45559690000000003</v>
      </c>
      <c r="V424">
        <v>-7.7795379999999997E-2</v>
      </c>
      <c r="W424">
        <v>3.1816659999999997E-2</v>
      </c>
      <c r="X424">
        <v>0.9964615</v>
      </c>
      <c r="Y424">
        <v>0.110385199999999</v>
      </c>
      <c r="Z424">
        <v>-3.1792859999999999E-3</v>
      </c>
      <c r="AA424">
        <v>0.99388379999999998</v>
      </c>
      <c r="AB424">
        <v>17</v>
      </c>
      <c r="AC424">
        <v>0.56940000000002999</v>
      </c>
      <c r="AD424">
        <v>-0.12917509999999999</v>
      </c>
      <c r="AE424">
        <v>-0.10290000000003301</v>
      </c>
      <c r="AF424">
        <v>7.7668613409989998E-2</v>
      </c>
      <c r="AG424">
        <v>-0.12917509999999999</v>
      </c>
      <c r="AH424">
        <v>0.54565442704220402</v>
      </c>
      <c r="AI424">
        <v>103.19044207020499</v>
      </c>
      <c r="AJ424">
        <v>81.8989205468189</v>
      </c>
      <c r="AK424">
        <v>0.56608954567258696</v>
      </c>
    </row>
    <row r="425" spans="1:37" x14ac:dyDescent="0.2">
      <c r="A425" t="str">
        <f>"20200111155802516"</f>
        <v>20200111155802516</v>
      </c>
      <c r="B425" t="str">
        <f>"1578729482511486"</f>
        <v>1578729482511486</v>
      </c>
      <c r="C425" t="s">
        <v>37</v>
      </c>
      <c r="D425">
        <v>5.8062509999999996</v>
      </c>
      <c r="E425">
        <v>0.57889969999999902</v>
      </c>
      <c r="F425" t="s">
        <v>38</v>
      </c>
      <c r="G425">
        <v>-408.4966</v>
      </c>
      <c r="H425">
        <v>0.91578379999999904</v>
      </c>
      <c r="I425">
        <v>367.35649999999998</v>
      </c>
      <c r="J425">
        <v>-409.09820000000002</v>
      </c>
      <c r="K425">
        <v>1.0551029999999999</v>
      </c>
      <c r="L425">
        <v>367.46440000000001</v>
      </c>
      <c r="M425">
        <v>0.99924820000000003</v>
      </c>
      <c r="N425">
        <v>0</v>
      </c>
      <c r="O425">
        <v>-3.6816469999999997E-2</v>
      </c>
      <c r="P425">
        <v>0.99896679999999904</v>
      </c>
      <c r="Q425">
        <v>2.008006E-2</v>
      </c>
      <c r="R425">
        <v>4.07724E-2</v>
      </c>
      <c r="S425">
        <v>3.033722</v>
      </c>
      <c r="T425">
        <v>-0.58891249999999995</v>
      </c>
      <c r="U425">
        <v>-0.47045900000000002</v>
      </c>
      <c r="V425">
        <v>-7.7567090000000005E-2</v>
      </c>
      <c r="W425">
        <v>3.209451E-2</v>
      </c>
      <c r="X425">
        <v>0.99647039999999998</v>
      </c>
      <c r="Y425">
        <v>0.115327</v>
      </c>
      <c r="Z425">
        <v>-3.9918970000000003E-3</v>
      </c>
      <c r="AA425">
        <v>0.99331959999999997</v>
      </c>
      <c r="AB425">
        <v>17</v>
      </c>
      <c r="AC425">
        <v>0.60160000000001901</v>
      </c>
      <c r="AD425">
        <v>-0.1393192</v>
      </c>
      <c r="AE425">
        <v>-0.107900000000029</v>
      </c>
      <c r="AF425">
        <v>8.14446793041321E-2</v>
      </c>
      <c r="AG425">
        <v>-0.1393192</v>
      </c>
      <c r="AH425">
        <v>0.57527452570521598</v>
      </c>
      <c r="AI425">
        <v>103.48421829926799</v>
      </c>
      <c r="AJ425">
        <v>81.9418842914734</v>
      </c>
      <c r="AK425">
        <v>0.59748125928848494</v>
      </c>
    </row>
    <row r="426" spans="1:37" x14ac:dyDescent="0.2">
      <c r="A426" t="str">
        <f>"20200111155802533"</f>
        <v>20200111155802533</v>
      </c>
      <c r="B426" t="str">
        <f>"1578729482531007"</f>
        <v>1578729482531007</v>
      </c>
      <c r="C426" t="s">
        <v>37</v>
      </c>
      <c r="D426">
        <v>5.81419</v>
      </c>
      <c r="E426">
        <v>0.57954510000000004</v>
      </c>
      <c r="F426" t="s">
        <v>38</v>
      </c>
      <c r="G426">
        <v>-408.34949999999998</v>
      </c>
      <c r="H426">
        <v>0.90322849999999999</v>
      </c>
      <c r="I426">
        <v>367.34699999999998</v>
      </c>
      <c r="J426">
        <v>-408.959</v>
      </c>
      <c r="K426">
        <v>1.0551469999999901</v>
      </c>
      <c r="L426">
        <v>367.46010000000001</v>
      </c>
      <c r="M426">
        <v>0.99927529999999998</v>
      </c>
      <c r="N426">
        <v>0</v>
      </c>
      <c r="O426">
        <v>-3.607279E-2</v>
      </c>
      <c r="P426">
        <v>0.99892939999999997</v>
      </c>
      <c r="Q426">
        <v>2.0507999999999998E-2</v>
      </c>
      <c r="R426">
        <v>4.1470550000000002E-2</v>
      </c>
      <c r="S426">
        <v>3.0349430000000002</v>
      </c>
      <c r="T426">
        <v>-0.61570059999999904</v>
      </c>
      <c r="U426">
        <v>-0.47555540000000002</v>
      </c>
      <c r="V426">
        <v>-7.7525650000000002E-2</v>
      </c>
      <c r="W426">
        <v>3.2515339999999997E-2</v>
      </c>
      <c r="X426">
        <v>0.99646000000000001</v>
      </c>
      <c r="Y426">
        <v>0.11744690000000001</v>
      </c>
      <c r="Z426">
        <v>-4.5277069999999997E-3</v>
      </c>
      <c r="AA426">
        <v>0.99306879999999997</v>
      </c>
      <c r="AB426">
        <v>17</v>
      </c>
      <c r="AC426">
        <v>0.60950000000002502</v>
      </c>
      <c r="AD426">
        <v>-0.15191849999999901</v>
      </c>
      <c r="AE426">
        <v>-0.113100000000031</v>
      </c>
      <c r="AF426">
        <v>8.5880569034838095E-2</v>
      </c>
      <c r="AG426">
        <v>-0.15191849999999901</v>
      </c>
      <c r="AH426">
        <v>0.57844320318243303</v>
      </c>
      <c r="AI426">
        <v>104.562719099246</v>
      </c>
      <c r="AJ426">
        <v>81.5550736898183</v>
      </c>
      <c r="AK426">
        <v>0.60419470544514997</v>
      </c>
    </row>
    <row r="427" spans="1:37" x14ac:dyDescent="0.2">
      <c r="A427" t="str">
        <f>"20200111155802557"</f>
        <v>20200111155802557</v>
      </c>
      <c r="B427" t="str">
        <f>"1578729482551503"</f>
        <v>1578729482551503</v>
      </c>
      <c r="C427" t="s">
        <v>37</v>
      </c>
      <c r="D427">
        <v>5.8456279999999996</v>
      </c>
      <c r="E427">
        <v>0.57992200000000005</v>
      </c>
      <c r="F427" t="s">
        <v>38</v>
      </c>
      <c r="G427">
        <v>-408.19940000000003</v>
      </c>
      <c r="H427">
        <v>0.89690969999999903</v>
      </c>
      <c r="I427">
        <v>367.34</v>
      </c>
      <c r="J427">
        <v>-408.7801</v>
      </c>
      <c r="K427">
        <v>1.055185</v>
      </c>
      <c r="L427">
        <v>367.45490000000001</v>
      </c>
      <c r="M427">
        <v>0.99931250000000005</v>
      </c>
      <c r="N427">
        <v>0</v>
      </c>
      <c r="O427">
        <v>-3.5026729999999999E-2</v>
      </c>
      <c r="P427">
        <v>0.99891350000000001</v>
      </c>
      <c r="Q427">
        <v>2.0156380000000002E-2</v>
      </c>
      <c r="R427">
        <v>4.2022829999999997E-2</v>
      </c>
      <c r="S427">
        <v>3.0360109999999998</v>
      </c>
      <c r="T427">
        <v>-0.63272490000000003</v>
      </c>
      <c r="U427">
        <v>-0.47811890000000001</v>
      </c>
      <c r="V427">
        <v>-7.7036170000000001E-2</v>
      </c>
      <c r="W427">
        <v>3.2157900000000003E-2</v>
      </c>
      <c r="X427">
        <v>0.9965096</v>
      </c>
      <c r="Y427">
        <v>0.11910610000000001</v>
      </c>
      <c r="Z427">
        <v>-5.032552E-3</v>
      </c>
      <c r="AA427">
        <v>0.9928688</v>
      </c>
      <c r="AB427">
        <v>17</v>
      </c>
      <c r="AC427">
        <v>0.58069999999997801</v>
      </c>
      <c r="AD427">
        <v>-0.15827530000000001</v>
      </c>
      <c r="AE427">
        <v>-0.114900000000034</v>
      </c>
      <c r="AF427">
        <v>8.8183721581944305E-2</v>
      </c>
      <c r="AG427">
        <v>-0.15827530000000001</v>
      </c>
      <c r="AH427">
        <v>0.54537940695439102</v>
      </c>
      <c r="AI427">
        <v>105.986502521646</v>
      </c>
      <c r="AJ427">
        <v>80.815199471372495</v>
      </c>
      <c r="AK427">
        <v>0.57468786038340502</v>
      </c>
    </row>
    <row r="428" spans="1:37" x14ac:dyDescent="0.2">
      <c r="A428" t="str">
        <f>"20200111155802578"</f>
        <v>20200111155802578</v>
      </c>
      <c r="B428" t="str">
        <f>"1578729482571021"</f>
        <v>1578729482571021</v>
      </c>
      <c r="C428" t="s">
        <v>37</v>
      </c>
      <c r="D428">
        <v>5.8548309999999999</v>
      </c>
      <c r="E428">
        <v>0.58015819999999996</v>
      </c>
      <c r="F428" t="s">
        <v>38</v>
      </c>
      <c r="G428">
        <v>-408.04509999999999</v>
      </c>
      <c r="H428">
        <v>0.89908889999999997</v>
      </c>
      <c r="I428">
        <v>367.33879999999999</v>
      </c>
      <c r="J428">
        <v>-408.61410000000001</v>
      </c>
      <c r="K428">
        <v>1.0552049999999999</v>
      </c>
      <c r="L428">
        <v>367.45030000000003</v>
      </c>
      <c r="M428">
        <v>0.99934820000000002</v>
      </c>
      <c r="N428">
        <v>0</v>
      </c>
      <c r="O428">
        <v>-3.3994259999999998E-2</v>
      </c>
      <c r="P428">
        <v>0.99887510000000002</v>
      </c>
      <c r="Q428">
        <v>2.013554E-2</v>
      </c>
      <c r="R428">
        <v>4.293454E-2</v>
      </c>
      <c r="S428">
        <v>3.036438</v>
      </c>
      <c r="T428">
        <v>-0.64485099999999995</v>
      </c>
      <c r="U428">
        <v>-0.47903440000000003</v>
      </c>
      <c r="V428">
        <v>-7.6917440000000004E-2</v>
      </c>
      <c r="W428">
        <v>3.2134070000000001E-2</v>
      </c>
      <c r="X428">
        <v>0.9965195</v>
      </c>
      <c r="Y428">
        <v>0.1202872</v>
      </c>
      <c r="Z428">
        <v>-5.464633E-3</v>
      </c>
      <c r="AA428">
        <v>0.9927241</v>
      </c>
      <c r="AB428">
        <v>17</v>
      </c>
      <c r="AC428">
        <v>0.56900000000001605</v>
      </c>
      <c r="AD428">
        <v>-0.15611609999999901</v>
      </c>
      <c r="AE428">
        <v>-0.111500000000035</v>
      </c>
      <c r="AF428">
        <v>8.5866516031809198E-2</v>
      </c>
      <c r="AG428">
        <v>-0.15611609999999901</v>
      </c>
      <c r="AH428">
        <v>0.53376647234172603</v>
      </c>
      <c r="AI428">
        <v>106.10700044546201</v>
      </c>
      <c r="AJ428">
        <v>80.861178535375402</v>
      </c>
      <c r="AK428">
        <v>0.56271835073221299</v>
      </c>
    </row>
    <row r="429" spans="1:37" x14ac:dyDescent="0.2">
      <c r="A429" t="str">
        <f>"20200111155802592"</f>
        <v>20200111155802592</v>
      </c>
      <c r="B429" t="str">
        <f>"1578729482581758"</f>
        <v>1578729482581758</v>
      </c>
      <c r="C429" t="s">
        <v>37</v>
      </c>
      <c r="D429">
        <v>5.8844959999999897</v>
      </c>
      <c r="E429">
        <v>0.58005329999999999</v>
      </c>
      <c r="F429" t="s">
        <v>38</v>
      </c>
      <c r="G429">
        <v>-407.89159999999998</v>
      </c>
      <c r="H429">
        <v>0.89954769999999995</v>
      </c>
      <c r="I429">
        <v>367.33629999999999</v>
      </c>
      <c r="J429">
        <v>-408.50979999999998</v>
      </c>
      <c r="K429">
        <v>1.0552079999999999</v>
      </c>
      <c r="L429">
        <v>367.44749999999999</v>
      </c>
      <c r="M429">
        <v>0.9993706</v>
      </c>
      <c r="N429">
        <v>0</v>
      </c>
      <c r="O429">
        <v>-3.3328789999999997E-2</v>
      </c>
      <c r="P429">
        <v>0.998841599999999</v>
      </c>
      <c r="Q429">
        <v>2.024743E-2</v>
      </c>
      <c r="R429">
        <v>4.3654989999999998E-2</v>
      </c>
      <c r="S429">
        <v>3.0370789999999999</v>
      </c>
      <c r="T429">
        <v>-0.65455779999999997</v>
      </c>
      <c r="U429">
        <v>-0.4778442</v>
      </c>
      <c r="V429">
        <v>-7.6973239999999998E-2</v>
      </c>
      <c r="W429">
        <v>3.224511E-2</v>
      </c>
      <c r="X429">
        <v>0.99651160000000005</v>
      </c>
      <c r="Y429">
        <v>0.12046179999999999</v>
      </c>
      <c r="Z429">
        <v>-5.7033179999999998E-3</v>
      </c>
      <c r="AA429">
        <v>0.99270159999999996</v>
      </c>
      <c r="AB429">
        <v>17</v>
      </c>
      <c r="AC429">
        <v>0.61820000000000097</v>
      </c>
      <c r="AD429">
        <v>-0.155660299999999</v>
      </c>
      <c r="AE429">
        <v>-0.111199999999996</v>
      </c>
      <c r="AF429">
        <v>8.5294543489736099E-2</v>
      </c>
      <c r="AG429">
        <v>-0.155660299999999</v>
      </c>
      <c r="AH429">
        <v>0.58559888873246602</v>
      </c>
      <c r="AI429">
        <v>104.737155738078</v>
      </c>
      <c r="AJ429">
        <v>81.712942902200993</v>
      </c>
      <c r="AK429">
        <v>0.611907956011288</v>
      </c>
    </row>
    <row r="430" spans="1:37" x14ac:dyDescent="0.2">
      <c r="A430" t="str">
        <f>"20200111155802612"</f>
        <v>20200111155802612</v>
      </c>
      <c r="B430" t="str">
        <f>"1578729482601216"</f>
        <v>1578729482601216</v>
      </c>
      <c r="C430" t="s">
        <v>37</v>
      </c>
      <c r="D430">
        <v>5.8844690000000002</v>
      </c>
      <c r="E430">
        <v>0.57979080000000005</v>
      </c>
      <c r="F430" t="s">
        <v>38</v>
      </c>
      <c r="G430">
        <v>-407.74349999999998</v>
      </c>
      <c r="H430">
        <v>0.88917029999999997</v>
      </c>
      <c r="I430">
        <v>367.32749999999999</v>
      </c>
      <c r="J430">
        <v>-408.35840000000002</v>
      </c>
      <c r="K430">
        <v>1.055199</v>
      </c>
      <c r="L430">
        <v>367.44369999999998</v>
      </c>
      <c r="M430">
        <v>0.99940260000000003</v>
      </c>
      <c r="N430">
        <v>0</v>
      </c>
      <c r="O430">
        <v>-3.235304E-2</v>
      </c>
      <c r="P430">
        <v>0.99877169999999904</v>
      </c>
      <c r="Q430">
        <v>1.979962E-2</v>
      </c>
      <c r="R430">
        <v>4.5424159999999998E-2</v>
      </c>
      <c r="S430">
        <v>3.037598</v>
      </c>
      <c r="T430">
        <v>-0.65825149999999999</v>
      </c>
      <c r="U430">
        <v>-0.47506709999999902</v>
      </c>
      <c r="V430">
        <v>-7.7765020000000004E-2</v>
      </c>
      <c r="W430">
        <v>3.1796650000000003E-2</v>
      </c>
      <c r="X430">
        <v>0.99646460000000003</v>
      </c>
      <c r="Y430">
        <v>0.120475</v>
      </c>
      <c r="Z430">
        <v>-5.9430790000000004E-3</v>
      </c>
      <c r="AA430">
        <v>0.99269859999999899</v>
      </c>
      <c r="AB430">
        <v>17</v>
      </c>
      <c r="AC430">
        <v>0.61490000000003397</v>
      </c>
      <c r="AD430">
        <v>-0.166028699999999</v>
      </c>
      <c r="AE430">
        <v>-0.116199999999992</v>
      </c>
      <c r="AF430">
        <v>8.9914604844291895E-2</v>
      </c>
      <c r="AG430">
        <v>-0.166028699999999</v>
      </c>
      <c r="AH430">
        <v>0.57767452008779896</v>
      </c>
      <c r="AI430">
        <v>105.853976829967</v>
      </c>
      <c r="AJ430">
        <v>81.152944140846699</v>
      </c>
      <c r="AK430">
        <v>0.60774831677814201</v>
      </c>
    </row>
    <row r="431" spans="1:37" x14ac:dyDescent="0.2">
      <c r="A431" t="str">
        <f>"20200111155802627"</f>
        <v>20200111155802627</v>
      </c>
      <c r="B431" t="str">
        <f>"1578729482621713"</f>
        <v>1578729482621713</v>
      </c>
      <c r="C431" t="s">
        <v>37</v>
      </c>
      <c r="D431">
        <v>5.8364609999999999</v>
      </c>
      <c r="E431">
        <v>0.579735</v>
      </c>
      <c r="F431" t="s">
        <v>38</v>
      </c>
      <c r="G431">
        <v>-407.5915</v>
      </c>
      <c r="H431">
        <v>0.88697610000000005</v>
      </c>
      <c r="I431">
        <v>367.3254</v>
      </c>
      <c r="J431">
        <v>-408.2405</v>
      </c>
      <c r="K431">
        <v>1.055186</v>
      </c>
      <c r="L431">
        <v>367.44069999999999</v>
      </c>
      <c r="M431">
        <v>0.99942699999999995</v>
      </c>
      <c r="N431">
        <v>0</v>
      </c>
      <c r="O431">
        <v>-3.159348E-2</v>
      </c>
      <c r="P431">
        <v>0.99871919999999903</v>
      </c>
      <c r="Q431">
        <v>1.9521529999999999E-2</v>
      </c>
      <c r="R431">
        <v>4.6683870000000002E-2</v>
      </c>
      <c r="S431">
        <v>3.0381469999999999</v>
      </c>
      <c r="T431">
        <v>-0.66647609999999902</v>
      </c>
      <c r="U431">
        <v>-0.46807860000000001</v>
      </c>
      <c r="V431">
        <v>-7.8263659999999999E-2</v>
      </c>
      <c r="W431">
        <v>3.1519739999999997E-2</v>
      </c>
      <c r="X431">
        <v>0.9964343</v>
      </c>
      <c r="Y431">
        <v>0.11894010000000001</v>
      </c>
      <c r="Z431">
        <v>-6.01361E-3</v>
      </c>
      <c r="AA431">
        <v>0.99288319999999997</v>
      </c>
      <c r="AB431">
        <v>17</v>
      </c>
      <c r="AC431">
        <v>0.64900000000000002</v>
      </c>
      <c r="AD431">
        <v>-0.168209899999999</v>
      </c>
      <c r="AE431">
        <v>-0.11529999999998999</v>
      </c>
      <c r="AF431">
        <v>8.8944627439303703E-2</v>
      </c>
      <c r="AG431">
        <v>-0.168209899999999</v>
      </c>
      <c r="AH431">
        <v>0.61243673633777396</v>
      </c>
      <c r="AI431">
        <v>105.205938169333</v>
      </c>
      <c r="AJ431">
        <v>81.736666192620305</v>
      </c>
      <c r="AK431">
        <v>0.64131464447990705</v>
      </c>
    </row>
    <row r="432" spans="1:37" x14ac:dyDescent="0.2">
      <c r="A432" t="str">
        <f>"20200111155802668"</f>
        <v>20200111155802668</v>
      </c>
      <c r="B432" t="str">
        <f>"1578729482661729"</f>
        <v>1578729482661729</v>
      </c>
      <c r="C432" t="s">
        <v>37</v>
      </c>
      <c r="D432">
        <v>5.8430910000000003</v>
      </c>
      <c r="E432">
        <v>0.58206550000000001</v>
      </c>
      <c r="F432" t="s">
        <v>38</v>
      </c>
      <c r="G432">
        <v>-407.44209999999998</v>
      </c>
      <c r="H432">
        <v>0.87899229999999995</v>
      </c>
      <c r="I432">
        <v>367.31869999999998</v>
      </c>
      <c r="J432">
        <v>-407.92669999999998</v>
      </c>
      <c r="K432">
        <v>1.055126</v>
      </c>
      <c r="L432">
        <v>367.43340000000001</v>
      </c>
      <c r="M432">
        <v>0.99948769999999998</v>
      </c>
      <c r="N432">
        <v>0</v>
      </c>
      <c r="O432">
        <v>-2.9610870000000001E-2</v>
      </c>
      <c r="P432">
        <v>0.99849030000000005</v>
      </c>
      <c r="Q432">
        <v>1.8974640000000001E-2</v>
      </c>
      <c r="R432">
        <v>5.1552210000000001E-2</v>
      </c>
      <c r="S432">
        <v>3.0386660000000001</v>
      </c>
      <c r="T432">
        <v>-0.67065229999999998</v>
      </c>
      <c r="U432">
        <v>-0.46408080000000002</v>
      </c>
      <c r="V432">
        <v>-8.1140699999999996E-2</v>
      </c>
      <c r="W432">
        <v>3.0976409999999999E-2</v>
      </c>
      <c r="X432">
        <v>0.99622119999999903</v>
      </c>
      <c r="Y432">
        <v>0.11952210000000001</v>
      </c>
      <c r="Z432">
        <v>-6.5424209999999997E-3</v>
      </c>
      <c r="AA432">
        <v>0.99280999999999997</v>
      </c>
      <c r="AB432">
        <v>17</v>
      </c>
      <c r="AC432">
        <v>0.48459999999999998</v>
      </c>
      <c r="AD432">
        <v>-0.176133699999999</v>
      </c>
      <c r="AE432">
        <v>-0.114700000000027</v>
      </c>
      <c r="AF432">
        <v>8.9147209382959294E-2</v>
      </c>
      <c r="AG432">
        <v>-0.176133699999999</v>
      </c>
      <c r="AH432">
        <v>0.43354868021494902</v>
      </c>
      <c r="AI432">
        <v>111.69934742420899</v>
      </c>
      <c r="AJ432">
        <v>78.380669328007599</v>
      </c>
      <c r="AK432">
        <v>0.47637670317993402</v>
      </c>
    </row>
    <row r="433" spans="1:37" x14ac:dyDescent="0.2">
      <c r="A433" t="str">
        <f>"20200111155802691"</f>
        <v>20200111155802691</v>
      </c>
      <c r="B433" t="str">
        <f>"1578729482681248"</f>
        <v>1578729482681248</v>
      </c>
      <c r="C433" t="s">
        <v>37</v>
      </c>
      <c r="D433">
        <v>5.838578</v>
      </c>
      <c r="E433">
        <v>0.58187339999999999</v>
      </c>
      <c r="F433" t="s">
        <v>38</v>
      </c>
      <c r="G433">
        <v>-407.1472</v>
      </c>
      <c r="H433">
        <v>0.85481759999999996</v>
      </c>
      <c r="I433">
        <v>367.31459999999998</v>
      </c>
      <c r="J433">
        <v>-407.7604</v>
      </c>
      <c r="K433">
        <v>1.0550930000000001</v>
      </c>
      <c r="L433">
        <v>367.42970000000003</v>
      </c>
      <c r="M433">
        <v>0.999517199999999</v>
      </c>
      <c r="N433">
        <v>0</v>
      </c>
      <c r="O433">
        <v>-2.8596509999999999E-2</v>
      </c>
      <c r="P433">
        <v>0.99844469999999996</v>
      </c>
      <c r="Q433">
        <v>1.8091989999999999E-2</v>
      </c>
      <c r="R433">
        <v>5.273572E-2</v>
      </c>
      <c r="S433">
        <v>3.0433650000000001</v>
      </c>
      <c r="T433">
        <v>-0.78217510000000001</v>
      </c>
      <c r="U433">
        <v>-0.46340940000000003</v>
      </c>
      <c r="V433">
        <v>-8.1307240000000003E-2</v>
      </c>
      <c r="W433">
        <v>3.0099919999999999E-2</v>
      </c>
      <c r="X433">
        <v>0.99623449999999902</v>
      </c>
      <c r="Y433">
        <v>0.1193198</v>
      </c>
      <c r="Z433">
        <v>-7.8170529999999992E-3</v>
      </c>
      <c r="AA433">
        <v>0.99282510000000002</v>
      </c>
      <c r="AB433">
        <v>17</v>
      </c>
      <c r="AC433">
        <v>0.61320000000000596</v>
      </c>
      <c r="AD433">
        <v>-0.20027539999999999</v>
      </c>
      <c r="AE433">
        <v>-0.11510000000004</v>
      </c>
      <c r="AF433">
        <v>8.8406674851396999E-2</v>
      </c>
      <c r="AG433">
        <v>-0.20027539999999999</v>
      </c>
      <c r="AH433">
        <v>0.55867416371427503</v>
      </c>
      <c r="AI433">
        <v>109.497911238691</v>
      </c>
      <c r="AJ433">
        <v>81.007865852236307</v>
      </c>
      <c r="AK433">
        <v>0.60003566327784597</v>
      </c>
    </row>
    <row r="434" spans="1:37" x14ac:dyDescent="0.2">
      <c r="A434" t="str">
        <f>"20200111155802703"</f>
        <v>20200111155802703</v>
      </c>
      <c r="B434" t="str">
        <f>"1578729482691985"</f>
        <v>1578729482691985</v>
      </c>
      <c r="C434" t="s">
        <v>37</v>
      </c>
      <c r="D434">
        <v>5.8218480000000001</v>
      </c>
      <c r="E434">
        <v>0.58191979999999999</v>
      </c>
      <c r="F434" t="s">
        <v>38</v>
      </c>
      <c r="G434">
        <v>-406.9932</v>
      </c>
      <c r="H434">
        <v>0.85726899999999995</v>
      </c>
      <c r="I434">
        <v>367.31400000000002</v>
      </c>
      <c r="J434">
        <v>-407.65289999999999</v>
      </c>
      <c r="K434">
        <v>1.0550709999999901</v>
      </c>
      <c r="L434">
        <v>367.42739999999998</v>
      </c>
      <c r="M434">
        <v>0.99953539999999996</v>
      </c>
      <c r="N434">
        <v>0</v>
      </c>
      <c r="O434">
        <v>-2.7953789999999999E-2</v>
      </c>
      <c r="P434">
        <v>0.99842160000000002</v>
      </c>
      <c r="Q434">
        <v>1.74715999999999E-2</v>
      </c>
      <c r="R434">
        <v>5.3380190000000001E-2</v>
      </c>
      <c r="S434">
        <v>3.0430599999999899</v>
      </c>
      <c r="T434">
        <v>-0.78488000000000002</v>
      </c>
      <c r="U434">
        <v>-0.45724490000000001</v>
      </c>
      <c r="V434">
        <v>-8.1307790000000005E-2</v>
      </c>
      <c r="W434">
        <v>2.9483160000000001E-2</v>
      </c>
      <c r="X434">
        <v>0.9962529</v>
      </c>
      <c r="Y434">
        <v>0.1180065</v>
      </c>
      <c r="Z434">
        <v>-7.8413619999999993E-3</v>
      </c>
      <c r="AA434">
        <v>0.99298189999999997</v>
      </c>
      <c r="AB434">
        <v>17</v>
      </c>
      <c r="AC434">
        <v>0.65969999999998596</v>
      </c>
      <c r="AD434">
        <v>-0.19780199999999901</v>
      </c>
      <c r="AE434">
        <v>-0.113399999999955</v>
      </c>
      <c r="AF434">
        <v>8.7290828416883903E-2</v>
      </c>
      <c r="AG434">
        <v>-0.19780199999999901</v>
      </c>
      <c r="AH434">
        <v>0.60939869185397799</v>
      </c>
      <c r="AI434">
        <v>107.812523453493</v>
      </c>
      <c r="AJ434">
        <v>81.848349848662906</v>
      </c>
      <c r="AK434">
        <v>0.64661587172218804</v>
      </c>
    </row>
    <row r="435" spans="1:37" x14ac:dyDescent="0.2">
      <c r="A435" t="str">
        <f>"20200111155802723"</f>
        <v>20200111155802723</v>
      </c>
      <c r="B435" t="str">
        <f>"1578729482711504"</f>
        <v>1578729482711504</v>
      </c>
      <c r="C435" t="s">
        <v>37</v>
      </c>
      <c r="D435">
        <v>5.7896099999999997</v>
      </c>
      <c r="E435">
        <v>0.58182730000000005</v>
      </c>
      <c r="F435" t="s">
        <v>38</v>
      </c>
      <c r="G435">
        <v>-406.9819</v>
      </c>
      <c r="H435">
        <v>0.88162199999999902</v>
      </c>
      <c r="I435">
        <v>367.32670000000002</v>
      </c>
      <c r="J435">
        <v>-407.51339999999999</v>
      </c>
      <c r="K435">
        <v>1.0550440000000001</v>
      </c>
      <c r="L435">
        <v>367.4246</v>
      </c>
      <c r="M435">
        <v>0.9995579</v>
      </c>
      <c r="N435">
        <v>0</v>
      </c>
      <c r="O435">
        <v>-2.7141249999999999E-2</v>
      </c>
      <c r="P435">
        <v>0.99842949999999997</v>
      </c>
      <c r="Q435">
        <v>1.6539290000000002E-2</v>
      </c>
      <c r="R435">
        <v>5.35302E-2</v>
      </c>
      <c r="S435">
        <v>3.0428769999999998</v>
      </c>
      <c r="T435">
        <v>-0.78675340000000005</v>
      </c>
      <c r="U435">
        <v>-0.45507809999999999</v>
      </c>
      <c r="V435">
        <v>-8.0644880000000002E-2</v>
      </c>
      <c r="W435">
        <v>2.8557539999999999E-2</v>
      </c>
      <c r="X435">
        <v>0.99633369999999999</v>
      </c>
      <c r="Y435">
        <v>0.1180876</v>
      </c>
      <c r="Z435">
        <v>-8.0759300000000003E-3</v>
      </c>
      <c r="AA435">
        <v>0.99297029999999997</v>
      </c>
      <c r="AB435">
        <v>17</v>
      </c>
      <c r="AC435">
        <v>0.53149999999999398</v>
      </c>
      <c r="AD435">
        <v>-0.17342199999999999</v>
      </c>
      <c r="AE435">
        <v>-9.7899999999981405E-2</v>
      </c>
      <c r="AF435">
        <v>7.5647821057146805E-2</v>
      </c>
      <c r="AG435">
        <v>-0.17342199999999999</v>
      </c>
      <c r="AH435">
        <v>0.48411235273278702</v>
      </c>
      <c r="AI435">
        <v>109.490488705609</v>
      </c>
      <c r="AJ435">
        <v>81.118732467501303</v>
      </c>
      <c r="AK435">
        <v>0.51977163541614002</v>
      </c>
    </row>
    <row r="436" spans="1:37" x14ac:dyDescent="0.2">
      <c r="A436" t="str">
        <f>"20200111155802747"</f>
        <v>20200111155802747</v>
      </c>
      <c r="B436" t="str">
        <f>"1578729482741761"</f>
        <v>1578729482741761</v>
      </c>
      <c r="C436" t="s">
        <v>37</v>
      </c>
      <c r="D436">
        <v>8.1675819999999995</v>
      </c>
      <c r="E436">
        <v>0.58208789999999999</v>
      </c>
      <c r="F436" t="s">
        <v>38</v>
      </c>
      <c r="G436">
        <v>-406.83069999999998</v>
      </c>
      <c r="H436">
        <v>0.87802329999999995</v>
      </c>
      <c r="I436">
        <v>367.32249999999999</v>
      </c>
      <c r="J436">
        <v>-407.33440000000002</v>
      </c>
      <c r="K436">
        <v>1.0550219999999999</v>
      </c>
      <c r="L436">
        <v>367.42099999999999</v>
      </c>
      <c r="M436">
        <v>0.99958499999999995</v>
      </c>
      <c r="N436">
        <v>0</v>
      </c>
      <c r="O436">
        <v>-2.611929E-2</v>
      </c>
      <c r="P436">
        <v>0.99842410000000004</v>
      </c>
      <c r="Q436">
        <v>1.596142E-2</v>
      </c>
      <c r="R436">
        <v>5.3801229999999998E-2</v>
      </c>
      <c r="S436">
        <v>3.0421749999999999</v>
      </c>
      <c r="T436">
        <v>-0.78886750000000005</v>
      </c>
      <c r="U436">
        <v>-0.45428469999999999</v>
      </c>
      <c r="V436">
        <v>-7.989454E-2</v>
      </c>
      <c r="W436">
        <v>2.798556E-2</v>
      </c>
      <c r="X436">
        <v>0.99641039999999903</v>
      </c>
      <c r="Y436">
        <v>0.118809199999999</v>
      </c>
      <c r="Z436">
        <v>-8.4494510000000002E-3</v>
      </c>
      <c r="AA436">
        <v>0.99288120000000002</v>
      </c>
      <c r="AB436">
        <v>17</v>
      </c>
      <c r="AC436">
        <v>0.50370000000003701</v>
      </c>
      <c r="AD436">
        <v>-0.17699869999999901</v>
      </c>
      <c r="AE436">
        <v>-9.8500000000001295E-2</v>
      </c>
      <c r="AF436">
        <v>7.6241581775273196E-2</v>
      </c>
      <c r="AG436">
        <v>-0.17699869999999901</v>
      </c>
      <c r="AH436">
        <v>0.45230733032212</v>
      </c>
      <c r="AI436">
        <v>111.100622264763</v>
      </c>
      <c r="AJ436">
        <v>80.432081119703199</v>
      </c>
      <c r="AK436">
        <v>0.49165357687746802</v>
      </c>
    </row>
    <row r="437" spans="1:37" x14ac:dyDescent="0.2">
      <c r="A437" t="str">
        <f>"20200111155802769"</f>
        <v>20200111155802769</v>
      </c>
      <c r="B437" t="str">
        <f>"1578729482761448"</f>
        <v>1578729482761448</v>
      </c>
      <c r="C437" t="s">
        <v>37</v>
      </c>
      <c r="D437">
        <v>5.6573190000000002</v>
      </c>
      <c r="E437">
        <v>0.58304239999999996</v>
      </c>
      <c r="F437" t="s">
        <v>38</v>
      </c>
      <c r="G437">
        <v>-406.5385</v>
      </c>
      <c r="H437">
        <v>0.8482478</v>
      </c>
      <c r="I437">
        <v>367.3014</v>
      </c>
      <c r="J437">
        <v>-407.15940000000001</v>
      </c>
      <c r="K437">
        <v>1.0550010000000001</v>
      </c>
      <c r="L437">
        <v>367.41770000000002</v>
      </c>
      <c r="M437">
        <v>0.99961009999999995</v>
      </c>
      <c r="N437">
        <v>0</v>
      </c>
      <c r="O437">
        <v>-2.5136809999999999E-2</v>
      </c>
      <c r="P437">
        <v>0.998420999999999</v>
      </c>
      <c r="Q437">
        <v>1.5869890000000001E-2</v>
      </c>
      <c r="R437">
        <v>5.3886820000000002E-2</v>
      </c>
      <c r="S437">
        <v>3.0419619999999998</v>
      </c>
      <c r="T437">
        <v>-0.79033399999999998</v>
      </c>
      <c r="U437">
        <v>-0.45642089999999902</v>
      </c>
      <c r="V437">
        <v>-7.899863E-2</v>
      </c>
      <c r="W437">
        <v>2.789929E-2</v>
      </c>
      <c r="X437">
        <v>0.99648419999999904</v>
      </c>
      <c r="Y437">
        <v>0.1203827</v>
      </c>
      <c r="Z437">
        <v>-8.9143169999999997E-3</v>
      </c>
      <c r="AA437">
        <v>0.99268749999999994</v>
      </c>
      <c r="AB437">
        <v>17</v>
      </c>
      <c r="AC437">
        <v>0.620900000000006</v>
      </c>
      <c r="AD437">
        <v>-0.2067532</v>
      </c>
      <c r="AE437">
        <v>-0.116300000000023</v>
      </c>
      <c r="AF437">
        <v>9.0915452995819199E-2</v>
      </c>
      <c r="AG437">
        <v>-0.2067532</v>
      </c>
      <c r="AH437">
        <v>0.56328614346628403</v>
      </c>
      <c r="AI437">
        <v>109.918428769634</v>
      </c>
      <c r="AJ437">
        <v>80.831422320178604</v>
      </c>
      <c r="AK437">
        <v>0.60688037101622705</v>
      </c>
    </row>
    <row r="438" spans="1:37" x14ac:dyDescent="0.2">
      <c r="A438" t="str">
        <f>"20200111155802790"</f>
        <v>20200111155802790</v>
      </c>
      <c r="B438" t="str">
        <f>"1578729482781942"</f>
        <v>1578729482781942</v>
      </c>
      <c r="C438" t="s">
        <v>37</v>
      </c>
      <c r="D438">
        <v>5.6783209999999897</v>
      </c>
      <c r="E438">
        <v>0.58387939999999905</v>
      </c>
      <c r="F438" t="s">
        <v>38</v>
      </c>
      <c r="G438">
        <v>-406.38150000000002</v>
      </c>
      <c r="H438">
        <v>0.85736270000000003</v>
      </c>
      <c r="I438">
        <v>367.29820000000001</v>
      </c>
      <c r="J438">
        <v>-406.99579999999997</v>
      </c>
      <c r="K438">
        <v>1.0549850000000001</v>
      </c>
      <c r="L438">
        <v>367.41469999999998</v>
      </c>
      <c r="M438">
        <v>0.99963279999999999</v>
      </c>
      <c r="N438">
        <v>0</v>
      </c>
      <c r="O438">
        <v>-2.422386E-2</v>
      </c>
      <c r="P438">
        <v>0.99837909999999996</v>
      </c>
      <c r="Q438">
        <v>1.569999E-2</v>
      </c>
      <c r="R438">
        <v>5.4707560000000002E-2</v>
      </c>
      <c r="S438">
        <v>3.04211399999999</v>
      </c>
      <c r="T438">
        <v>-0.773344699999999</v>
      </c>
      <c r="U438">
        <v>-0.46505740000000001</v>
      </c>
      <c r="V438">
        <v>-7.8906809999999994E-2</v>
      </c>
      <c r="W438">
        <v>2.7731499999999999E-2</v>
      </c>
      <c r="X438">
        <v>0.99649619999999905</v>
      </c>
      <c r="Y438">
        <v>0.1240256</v>
      </c>
      <c r="Z438">
        <v>-9.4066629999999991E-3</v>
      </c>
      <c r="AA438">
        <v>0.99223439999999996</v>
      </c>
      <c r="AB438">
        <v>17</v>
      </c>
      <c r="AC438">
        <v>0.61429999999995699</v>
      </c>
      <c r="AD438">
        <v>-0.1976223</v>
      </c>
      <c r="AE438">
        <v>-0.116499999999973</v>
      </c>
      <c r="AF438">
        <v>9.2357483575826294E-2</v>
      </c>
      <c r="AG438">
        <v>-0.1976223</v>
      </c>
      <c r="AH438">
        <v>0.56090736467858704</v>
      </c>
      <c r="AI438">
        <v>109.169748234118</v>
      </c>
      <c r="AJ438">
        <v>80.649731676098796</v>
      </c>
      <c r="AK438">
        <v>0.60183182865350904</v>
      </c>
    </row>
    <row r="439" spans="1:37" x14ac:dyDescent="0.2">
      <c r="A439" t="str">
        <f>"20200111155802812"</f>
        <v>20200111155802812</v>
      </c>
      <c r="B439" t="str">
        <f>"1578729482801463"</f>
        <v>1578729482801463</v>
      </c>
      <c r="C439" t="s">
        <v>37</v>
      </c>
      <c r="D439">
        <v>5.5562889999999996</v>
      </c>
      <c r="E439">
        <v>0.58402690000000002</v>
      </c>
      <c r="F439" t="s">
        <v>38</v>
      </c>
      <c r="G439">
        <v>-406.226</v>
      </c>
      <c r="H439">
        <v>0.86363159999999894</v>
      </c>
      <c r="I439">
        <v>367.29570000000001</v>
      </c>
      <c r="J439">
        <v>-406.83390000000003</v>
      </c>
      <c r="K439">
        <v>1.0549770000000001</v>
      </c>
      <c r="L439">
        <v>367.4119</v>
      </c>
      <c r="M439">
        <v>0.99965419999999905</v>
      </c>
      <c r="N439">
        <v>0</v>
      </c>
      <c r="O439">
        <v>-2.3319900000000001E-2</v>
      </c>
      <c r="P439">
        <v>0.99831340000000002</v>
      </c>
      <c r="Q439">
        <v>1.5812400000000001E-2</v>
      </c>
      <c r="R439">
        <v>5.5862759999999997E-2</v>
      </c>
      <c r="S439">
        <v>3.0424799999999999</v>
      </c>
      <c r="T439">
        <v>-0.75645689999999999</v>
      </c>
      <c r="U439">
        <v>-0.4692383</v>
      </c>
      <c r="V439">
        <v>-7.9158399999999907E-2</v>
      </c>
      <c r="W439">
        <v>2.784447E-2</v>
      </c>
      <c r="X439">
        <v>0.9964731</v>
      </c>
      <c r="Y439">
        <v>0.1262761</v>
      </c>
      <c r="Z439">
        <v>-9.6992580000000005E-3</v>
      </c>
      <c r="AA439">
        <v>0.99194769999999899</v>
      </c>
      <c r="AB439">
        <v>17</v>
      </c>
      <c r="AC439">
        <v>0.60790000000002897</v>
      </c>
      <c r="AD439">
        <v>-0.1913454</v>
      </c>
      <c r="AE439">
        <v>-0.116199999999992</v>
      </c>
      <c r="AF439">
        <v>9.3092958808088697E-2</v>
      </c>
      <c r="AG439">
        <v>-0.1913454</v>
      </c>
      <c r="AH439">
        <v>0.55718637924049896</v>
      </c>
      <c r="AI439">
        <v>108.71219466429299</v>
      </c>
      <c r="AJ439">
        <v>80.514811352646902</v>
      </c>
      <c r="AK439">
        <v>0.59643610076180098</v>
      </c>
    </row>
    <row r="440" spans="1:37" x14ac:dyDescent="0.2">
      <c r="A440" t="str">
        <f>"20200111155802834"</f>
        <v>20200111155802834</v>
      </c>
      <c r="B440" t="str">
        <f>"1578729482831720"</f>
        <v>1578729482831720</v>
      </c>
      <c r="C440" t="s">
        <v>37</v>
      </c>
      <c r="D440">
        <v>5.5075979999999998</v>
      </c>
      <c r="E440">
        <v>0.58394619999999997</v>
      </c>
      <c r="F440" t="s">
        <v>38</v>
      </c>
      <c r="G440">
        <v>-406.07209999999998</v>
      </c>
      <c r="H440">
        <v>0.86649009999999904</v>
      </c>
      <c r="I440">
        <v>367.2946</v>
      </c>
      <c r="J440">
        <v>-406.66109999999998</v>
      </c>
      <c r="K440">
        <v>1.054978</v>
      </c>
      <c r="L440">
        <v>367.40910000000002</v>
      </c>
      <c r="M440">
        <v>0.99967629999999996</v>
      </c>
      <c r="N440">
        <v>0</v>
      </c>
      <c r="O440">
        <v>-2.2352940000000002E-2</v>
      </c>
      <c r="P440">
        <v>0.99822929999999999</v>
      </c>
      <c r="Q440">
        <v>1.567992E-2</v>
      </c>
      <c r="R440">
        <v>5.73812E-2</v>
      </c>
      <c r="S440">
        <v>3.043091</v>
      </c>
      <c r="T440">
        <v>-0.75308509999999995</v>
      </c>
      <c r="U440">
        <v>-0.467010499999999</v>
      </c>
      <c r="V440">
        <v>-7.9710340000000005E-2</v>
      </c>
      <c r="W440">
        <v>2.7711010000000001E-2</v>
      </c>
      <c r="X440">
        <v>0.99643280000000001</v>
      </c>
      <c r="Y440">
        <v>0.12648860000000001</v>
      </c>
      <c r="Z440">
        <v>-9.9158730000000004E-3</v>
      </c>
      <c r="AA440">
        <v>0.99191849999999904</v>
      </c>
      <c r="AB440">
        <v>17</v>
      </c>
      <c r="AC440">
        <v>0.58899999999999797</v>
      </c>
      <c r="AD440">
        <v>-0.18848790000000001</v>
      </c>
      <c r="AE440">
        <v>-0.11450000000002</v>
      </c>
      <c r="AF440">
        <v>9.2205722640194401E-2</v>
      </c>
      <c r="AG440">
        <v>-0.18848790000000001</v>
      </c>
      <c r="AH440">
        <v>0.53829386572272597</v>
      </c>
      <c r="AI440">
        <v>109.041158217963</v>
      </c>
      <c r="AJ440">
        <v>80.279993228541798</v>
      </c>
      <c r="AK440">
        <v>0.57774550591824303</v>
      </c>
    </row>
    <row r="441" spans="1:37" x14ac:dyDescent="0.2">
      <c r="A441" t="str">
        <f>"20200111155802858"</f>
        <v>20200111155802858</v>
      </c>
      <c r="B441" t="str">
        <f>"1578729482851239"</f>
        <v>1578729482851239</v>
      </c>
      <c r="C441" t="s">
        <v>37</v>
      </c>
      <c r="D441">
        <v>5.4863839999999904</v>
      </c>
      <c r="E441">
        <v>0.58389219999999997</v>
      </c>
      <c r="F441" t="s">
        <v>38</v>
      </c>
      <c r="G441">
        <v>-405.9178</v>
      </c>
      <c r="H441">
        <v>0.86981649999999999</v>
      </c>
      <c r="I441">
        <v>367.29599999999999</v>
      </c>
      <c r="J441">
        <v>-406.48500000000001</v>
      </c>
      <c r="K441">
        <v>1.0549759999999999</v>
      </c>
      <c r="L441">
        <v>367.40629999999999</v>
      </c>
      <c r="M441">
        <v>0.99969799999999998</v>
      </c>
      <c r="N441">
        <v>0</v>
      </c>
      <c r="O441">
        <v>-2.136043E-2</v>
      </c>
      <c r="P441">
        <v>0.99815830000000005</v>
      </c>
      <c r="Q441">
        <v>1.548396E-2</v>
      </c>
      <c r="R441">
        <v>5.8653320000000002E-2</v>
      </c>
      <c r="S441">
        <v>3.043793</v>
      </c>
      <c r="T441">
        <v>-0.75844230000000001</v>
      </c>
      <c r="U441">
        <v>-0.46166990000000002</v>
      </c>
      <c r="V441">
        <v>-7.9991110000000004E-2</v>
      </c>
      <c r="W441">
        <v>2.7514150000000001E-2</v>
      </c>
      <c r="X441">
        <v>0.99641579999999996</v>
      </c>
      <c r="Y441">
        <v>0.1256893</v>
      </c>
      <c r="Z441">
        <v>-1.0127860000000001E-2</v>
      </c>
      <c r="AA441">
        <v>0.99201799999999996</v>
      </c>
      <c r="AB441">
        <v>17</v>
      </c>
      <c r="AC441">
        <v>0.56720000000001303</v>
      </c>
      <c r="AD441">
        <v>-0.18515949999999901</v>
      </c>
      <c r="AE441">
        <v>-0.110299999999995</v>
      </c>
      <c r="AF441">
        <v>8.9017685591154902E-2</v>
      </c>
      <c r="AG441">
        <v>-0.18515949999999901</v>
      </c>
      <c r="AH441">
        <v>0.516401116729864</v>
      </c>
      <c r="AI441">
        <v>109.460661415503</v>
      </c>
      <c r="AJ441">
        <v>80.2194236035551</v>
      </c>
      <c r="AK441">
        <v>0.55576820901172996</v>
      </c>
    </row>
    <row r="442" spans="1:37" x14ac:dyDescent="0.2">
      <c r="A442" t="str">
        <f>"20200111155802880"</f>
        <v>20200111155802880</v>
      </c>
      <c r="B442" t="str">
        <f>"1578729482871734"</f>
        <v>1578729482871734</v>
      </c>
      <c r="C442" t="s">
        <v>37</v>
      </c>
      <c r="D442">
        <v>5.4403300000000003</v>
      </c>
      <c r="E442">
        <v>0.58385859999999901</v>
      </c>
      <c r="F442" t="s">
        <v>38</v>
      </c>
      <c r="G442">
        <v>-405.76310000000001</v>
      </c>
      <c r="H442">
        <v>0.87438909999999903</v>
      </c>
      <c r="I442">
        <v>367.29750000000001</v>
      </c>
      <c r="J442">
        <v>-406.31490000000002</v>
      </c>
      <c r="K442">
        <v>1.0549839999999999</v>
      </c>
      <c r="L442">
        <v>367.40390000000002</v>
      </c>
      <c r="M442">
        <v>0.999718199999999</v>
      </c>
      <c r="N442">
        <v>0</v>
      </c>
      <c r="O442">
        <v>-2.0395420000000001E-2</v>
      </c>
      <c r="P442">
        <v>0.9981025</v>
      </c>
      <c r="Q442">
        <v>1.5562889999999999E-2</v>
      </c>
      <c r="R442">
        <v>5.9577499999999999E-2</v>
      </c>
      <c r="S442">
        <v>3.0441889999999998</v>
      </c>
      <c r="T442">
        <v>-0.76172969999999995</v>
      </c>
      <c r="U442">
        <v>-0.45703129999999997</v>
      </c>
      <c r="V442">
        <v>-7.9951969999999997E-2</v>
      </c>
      <c r="W442">
        <v>2.759232E-2</v>
      </c>
      <c r="X442">
        <v>0.99641669999999904</v>
      </c>
      <c r="Y442">
        <v>0.12511079999999999</v>
      </c>
      <c r="Z442">
        <v>-1.033572E-2</v>
      </c>
      <c r="AA442">
        <v>0.99208890000000005</v>
      </c>
      <c r="AB442">
        <v>17</v>
      </c>
      <c r="AC442">
        <v>0.55180000000001395</v>
      </c>
      <c r="AD442">
        <v>-0.1805949</v>
      </c>
      <c r="AE442">
        <v>-0.106400000000007</v>
      </c>
      <c r="AF442">
        <v>8.6218653973158504E-2</v>
      </c>
      <c r="AG442">
        <v>-0.1805949</v>
      </c>
      <c r="AH442">
        <v>0.50201055278031503</v>
      </c>
      <c r="AI442">
        <v>109.52207041035101</v>
      </c>
      <c r="AJ442">
        <v>80.254715536404106</v>
      </c>
      <c r="AK442">
        <v>0.54042832022549603</v>
      </c>
    </row>
    <row r="443" spans="1:37" x14ac:dyDescent="0.2">
      <c r="A443" t="str">
        <f>"20200111155802902"</f>
        <v>20200111155802902</v>
      </c>
      <c r="B443" t="str">
        <f>"1578729482891602"</f>
        <v>1578729482891602</v>
      </c>
      <c r="C443" t="s">
        <v>37</v>
      </c>
      <c r="D443">
        <v>5.414949</v>
      </c>
      <c r="E443">
        <v>0.58387939999999905</v>
      </c>
      <c r="F443" t="s">
        <v>38</v>
      </c>
      <c r="G443">
        <v>-405.60879999999997</v>
      </c>
      <c r="H443">
        <v>0.87802769999999997</v>
      </c>
      <c r="I443">
        <v>367.29849999999999</v>
      </c>
      <c r="J443">
        <v>-406.14409999999998</v>
      </c>
      <c r="K443">
        <v>1.054989</v>
      </c>
      <c r="L443">
        <v>367.40159999999997</v>
      </c>
      <c r="M443">
        <v>0.9997376</v>
      </c>
      <c r="N443">
        <v>0</v>
      </c>
      <c r="O443">
        <v>-1.942027E-2</v>
      </c>
      <c r="P443">
        <v>0.9980734</v>
      </c>
      <c r="Q443">
        <v>1.5683269999999999E-2</v>
      </c>
      <c r="R443">
        <v>6.002934E-2</v>
      </c>
      <c r="S443">
        <v>3.044708</v>
      </c>
      <c r="T443">
        <v>-0.76310310000000003</v>
      </c>
      <c r="U443">
        <v>-0.45397949999999998</v>
      </c>
      <c r="V443">
        <v>-7.943095E-2</v>
      </c>
      <c r="W443">
        <v>2.7712440000000001E-2</v>
      </c>
      <c r="X443">
        <v>0.99645509999999904</v>
      </c>
      <c r="Y443">
        <v>0.1250424</v>
      </c>
      <c r="Z443">
        <v>-1.058365E-2</v>
      </c>
      <c r="AA443">
        <v>0.9920949</v>
      </c>
      <c r="AB443">
        <v>17</v>
      </c>
      <c r="AC443">
        <v>0.53530000000000599</v>
      </c>
      <c r="AD443">
        <v>-0.17696129999999999</v>
      </c>
      <c r="AE443">
        <v>-0.103099999999983</v>
      </c>
      <c r="AF443">
        <v>8.3848467086583195E-2</v>
      </c>
      <c r="AG443">
        <v>-0.17696129999999999</v>
      </c>
      <c r="AH443">
        <v>0.48598958320910901</v>
      </c>
      <c r="AI443">
        <v>109.739219520087</v>
      </c>
      <c r="AJ443">
        <v>80.211048796555303</v>
      </c>
      <c r="AK443">
        <v>0.52395776749488399</v>
      </c>
    </row>
    <row r="444" spans="1:37" x14ac:dyDescent="0.2">
      <c r="A444" t="str">
        <f>"20200111155802924"</f>
        <v>20200111155802924</v>
      </c>
      <c r="B444" t="str">
        <f>"1578729482921858"</f>
        <v>1578729482921858</v>
      </c>
      <c r="C444" t="s">
        <v>37</v>
      </c>
      <c r="D444">
        <v>5.377345</v>
      </c>
      <c r="E444">
        <v>0.58384139999999995</v>
      </c>
      <c r="F444" t="s">
        <v>38</v>
      </c>
      <c r="G444">
        <v>-405.45440000000002</v>
      </c>
      <c r="H444">
        <v>0.88195100000000004</v>
      </c>
      <c r="I444">
        <v>367.29880000000003</v>
      </c>
      <c r="J444">
        <v>-405.97719999999998</v>
      </c>
      <c r="K444">
        <v>1.0549930000000001</v>
      </c>
      <c r="L444">
        <v>367.39949999999999</v>
      </c>
      <c r="M444">
        <v>0.99975569999999903</v>
      </c>
      <c r="N444">
        <v>0</v>
      </c>
      <c r="O444">
        <v>-1.8464560000000001E-2</v>
      </c>
      <c r="P444">
        <v>0.99801109999999904</v>
      </c>
      <c r="Q444">
        <v>1.6026260000000001E-2</v>
      </c>
      <c r="R444">
        <v>6.0970139999999999E-2</v>
      </c>
      <c r="S444">
        <v>3.0449519999999999</v>
      </c>
      <c r="T444">
        <v>-0.76429590000000003</v>
      </c>
      <c r="U444">
        <v>-0.45214840000000001</v>
      </c>
      <c r="V444">
        <v>-7.9418790000000003E-2</v>
      </c>
      <c r="W444">
        <v>2.8054679999999999E-2</v>
      </c>
      <c r="X444">
        <v>0.99644650000000001</v>
      </c>
      <c r="Y444">
        <v>0.12534709999999999</v>
      </c>
      <c r="Z444">
        <v>-1.087161E-2</v>
      </c>
      <c r="AA444">
        <v>0.99205339999999997</v>
      </c>
      <c r="AB444">
        <v>17</v>
      </c>
      <c r="AC444">
        <v>0.52279999999996096</v>
      </c>
      <c r="AD444">
        <v>-0.173042</v>
      </c>
      <c r="AE444">
        <v>-0.10069999999996</v>
      </c>
      <c r="AF444">
        <v>8.2331679622699105E-2</v>
      </c>
      <c r="AG444">
        <v>-0.173042</v>
      </c>
      <c r="AH444">
        <v>0.47445136793502701</v>
      </c>
      <c r="AI444">
        <v>109.765891312189</v>
      </c>
      <c r="AJ444">
        <v>80.155481219958702</v>
      </c>
      <c r="AK444">
        <v>0.511689495464694</v>
      </c>
    </row>
    <row r="445" spans="1:37" x14ac:dyDescent="0.2">
      <c r="A445" t="str">
        <f>"20200111155802947"</f>
        <v>20200111155802947</v>
      </c>
      <c r="B445" t="str">
        <f>"1578729482941379"</f>
        <v>1578729482941379</v>
      </c>
      <c r="C445" t="s">
        <v>37</v>
      </c>
      <c r="D445">
        <v>5.3485420000000001</v>
      </c>
      <c r="E445">
        <v>0.58381930000000004</v>
      </c>
      <c r="F445" t="s">
        <v>38</v>
      </c>
      <c r="G445">
        <v>-405.30040000000002</v>
      </c>
      <c r="H445">
        <v>0.885045999999999</v>
      </c>
      <c r="I445">
        <v>367.29939999999999</v>
      </c>
      <c r="J445">
        <v>-405.80849999999998</v>
      </c>
      <c r="K445">
        <v>1.054989</v>
      </c>
      <c r="L445">
        <v>367.39749999999998</v>
      </c>
      <c r="M445">
        <v>0.99977309999999997</v>
      </c>
      <c r="N445">
        <v>0</v>
      </c>
      <c r="O445">
        <v>-1.74979E-2</v>
      </c>
      <c r="P445">
        <v>0.99794919999999998</v>
      </c>
      <c r="Q445">
        <v>1.534254E-2</v>
      </c>
      <c r="R445">
        <v>6.2145970000000002E-2</v>
      </c>
      <c r="S445">
        <v>3.04568499999999</v>
      </c>
      <c r="T445">
        <v>-0.76516969999999995</v>
      </c>
      <c r="U445">
        <v>-0.44888309999999998</v>
      </c>
      <c r="V445">
        <v>-7.9628889999999994E-2</v>
      </c>
      <c r="W445">
        <v>2.7370200000000001E-2</v>
      </c>
      <c r="X445">
        <v>0.99644880000000002</v>
      </c>
      <c r="Y445">
        <v>0.12519910000000001</v>
      </c>
      <c r="Z445">
        <v>-1.110148E-2</v>
      </c>
      <c r="AA445">
        <v>0.99206949999999905</v>
      </c>
      <c r="AB445">
        <v>17</v>
      </c>
      <c r="AC445">
        <v>0.50809999999995603</v>
      </c>
      <c r="AD445">
        <v>-0.16994300000000001</v>
      </c>
      <c r="AE445">
        <v>-9.8099999999988002E-2</v>
      </c>
      <c r="AF445">
        <v>8.0510694707851799E-2</v>
      </c>
      <c r="AG445">
        <v>-0.16994300000000001</v>
      </c>
      <c r="AH445">
        <v>0.46011610974838202</v>
      </c>
      <c r="AI445">
        <v>109.992419016195</v>
      </c>
      <c r="AJ445">
        <v>80.074917371348604</v>
      </c>
      <c r="AK445">
        <v>0.49706079071007597</v>
      </c>
    </row>
    <row r="446" spans="1:37" x14ac:dyDescent="0.2">
      <c r="A446" t="str">
        <f>"20200111155802969"</f>
        <v>20200111155802969</v>
      </c>
      <c r="B446" t="str">
        <f>"1578729482961874"</f>
        <v>1578729482961874</v>
      </c>
      <c r="C446" t="s">
        <v>37</v>
      </c>
      <c r="D446">
        <v>5.3682160000000003</v>
      </c>
      <c r="E446">
        <v>0.58378649999999999</v>
      </c>
      <c r="F446" t="s">
        <v>38</v>
      </c>
      <c r="G446">
        <v>-405.00979999999998</v>
      </c>
      <c r="H446">
        <v>0.85364200000000001</v>
      </c>
      <c r="I446">
        <v>367.28050000000002</v>
      </c>
      <c r="J446">
        <v>-405.63170000000002</v>
      </c>
      <c r="K446">
        <v>1.0549839999999999</v>
      </c>
      <c r="L446">
        <v>367.39569999999998</v>
      </c>
      <c r="M446">
        <v>0.99979030000000002</v>
      </c>
      <c r="N446">
        <v>0</v>
      </c>
      <c r="O446">
        <v>-1.6488369999999999E-2</v>
      </c>
      <c r="P446">
        <v>0.99789539999999999</v>
      </c>
      <c r="Q446">
        <v>1.4126069999999999E-2</v>
      </c>
      <c r="R446">
        <v>6.3287940000000001E-2</v>
      </c>
      <c r="S446">
        <v>3.0457459999999998</v>
      </c>
      <c r="T446">
        <v>-0.76799689999999998</v>
      </c>
      <c r="U446">
        <v>-0.44528199999999901</v>
      </c>
      <c r="V446">
        <v>-7.9762150000000004E-2</v>
      </c>
      <c r="W446">
        <v>2.615375E-2</v>
      </c>
      <c r="X446">
        <v>0.99647070000000004</v>
      </c>
      <c r="Y446">
        <v>0.125</v>
      </c>
      <c r="Z446">
        <v>-1.1366579999999999E-2</v>
      </c>
      <c r="AA446">
        <v>0.99209169999999902</v>
      </c>
      <c r="AB446">
        <v>17</v>
      </c>
      <c r="AC446">
        <v>0.62190000000003898</v>
      </c>
      <c r="AD446">
        <v>-0.20134199999999899</v>
      </c>
      <c r="AE446">
        <v>-0.115199999999958</v>
      </c>
      <c r="AF446">
        <v>9.5274469145876298E-2</v>
      </c>
      <c r="AG446">
        <v>-0.20134199999999899</v>
      </c>
      <c r="AH446">
        <v>0.56632444144212701</v>
      </c>
      <c r="AI446">
        <v>109.32053232171</v>
      </c>
      <c r="AJ446">
        <v>80.450380341153704</v>
      </c>
      <c r="AK446">
        <v>0.60855500853231403</v>
      </c>
    </row>
    <row r="447" spans="1:37" x14ac:dyDescent="0.2">
      <c r="A447" t="str">
        <f>"20200111155802991"</f>
        <v>20200111155802991</v>
      </c>
      <c r="B447" t="str">
        <f>"1578729482981394"</f>
        <v>1578729482981394</v>
      </c>
      <c r="C447" t="s">
        <v>37</v>
      </c>
      <c r="D447">
        <v>5.3565699999999996</v>
      </c>
      <c r="E447">
        <v>0.58377609999999902</v>
      </c>
      <c r="F447" t="s">
        <v>38</v>
      </c>
      <c r="G447">
        <v>-404.85559999999998</v>
      </c>
      <c r="H447">
        <v>0.85799369999999997</v>
      </c>
      <c r="I447">
        <v>367.28280000000001</v>
      </c>
      <c r="J447">
        <v>-405.4701</v>
      </c>
      <c r="K447">
        <v>1.054986</v>
      </c>
      <c r="L447">
        <v>367.39409999999998</v>
      </c>
      <c r="M447">
        <v>0.9998051</v>
      </c>
      <c r="N447">
        <v>0</v>
      </c>
      <c r="O447">
        <v>-1.557039E-2</v>
      </c>
      <c r="P447">
        <v>0.99788889999999997</v>
      </c>
      <c r="Q447">
        <v>1.3392039999999999E-2</v>
      </c>
      <c r="R447">
        <v>6.3550280000000001E-2</v>
      </c>
      <c r="S447">
        <v>3.045258</v>
      </c>
      <c r="T447">
        <v>-0.77329389999999998</v>
      </c>
      <c r="U447">
        <v>-0.44094849999999902</v>
      </c>
      <c r="V447">
        <v>-7.9107910000000004E-2</v>
      </c>
      <c r="W447">
        <v>2.5421570000000001E-2</v>
      </c>
      <c r="X447">
        <v>0.99654189999999998</v>
      </c>
      <c r="Y447">
        <v>0.1244907</v>
      </c>
      <c r="Z447">
        <v>-1.161033E-2</v>
      </c>
      <c r="AA447">
        <v>0.9921529</v>
      </c>
      <c r="AB447">
        <v>17</v>
      </c>
      <c r="AC447">
        <v>0.61450000000002003</v>
      </c>
      <c r="AD447">
        <v>-0.19699230000000001</v>
      </c>
      <c r="AE447">
        <v>-0.11129999999997101</v>
      </c>
      <c r="AF447">
        <v>9.2512522242756204E-2</v>
      </c>
      <c r="AG447">
        <v>-0.19699230000000001</v>
      </c>
      <c r="AH447">
        <v>0.56039738502534997</v>
      </c>
      <c r="AI447">
        <v>109.127992743855</v>
      </c>
      <c r="AJ447">
        <v>80.625941588542304</v>
      </c>
      <c r="AK447">
        <v>0.60117365392559996</v>
      </c>
    </row>
    <row r="448" spans="1:37" x14ac:dyDescent="0.2">
      <c r="A448" t="str">
        <f>"20200111155803012"</f>
        <v>20200111155803012</v>
      </c>
      <c r="B448" t="str">
        <f>"1578729483001891"</f>
        <v>1578729483001891</v>
      </c>
      <c r="C448" t="s">
        <v>37</v>
      </c>
      <c r="D448">
        <v>5.3458009999999998</v>
      </c>
      <c r="E448">
        <v>0.58377469999999998</v>
      </c>
      <c r="F448" t="s">
        <v>38</v>
      </c>
      <c r="G448">
        <v>-404.70280000000002</v>
      </c>
      <c r="H448">
        <v>0.85920209999999997</v>
      </c>
      <c r="I448">
        <v>367.28300000000002</v>
      </c>
      <c r="J448">
        <v>-405.30160000000001</v>
      </c>
      <c r="K448">
        <v>1.0549839999999999</v>
      </c>
      <c r="L448">
        <v>367.39260000000002</v>
      </c>
      <c r="M448">
        <v>0.99981929999999997</v>
      </c>
      <c r="N448">
        <v>0</v>
      </c>
      <c r="O448">
        <v>-1.461871E-2</v>
      </c>
      <c r="P448">
        <v>0.99785610000000002</v>
      </c>
      <c r="Q448">
        <v>1.3314650000000001E-2</v>
      </c>
      <c r="R448">
        <v>6.4080479999999995E-2</v>
      </c>
      <c r="S448">
        <v>3.0447389999999999</v>
      </c>
      <c r="T448">
        <v>-0.77714559999999999</v>
      </c>
      <c r="U448">
        <v>-0.4390869</v>
      </c>
      <c r="V448">
        <v>-7.8688939999999999E-2</v>
      </c>
      <c r="W448">
        <v>2.5345300000000001E-2</v>
      </c>
      <c r="X448">
        <v>0.99657700000000005</v>
      </c>
      <c r="Y448">
        <v>0.12479030000000001</v>
      </c>
      <c r="Z448">
        <v>-1.194401E-2</v>
      </c>
      <c r="AA448">
        <v>0.99211130000000003</v>
      </c>
      <c r="AB448">
        <v>17</v>
      </c>
      <c r="AC448">
        <v>0.59879999999998201</v>
      </c>
      <c r="AD448">
        <v>-0.19578189999999901</v>
      </c>
      <c r="AE448">
        <v>-0.1096</v>
      </c>
      <c r="AF448">
        <v>9.1381811819165604E-2</v>
      </c>
      <c r="AG448">
        <v>-0.19578189999999901</v>
      </c>
      <c r="AH448">
        <v>0.54406279740514996</v>
      </c>
      <c r="AI448">
        <v>109.538790221364</v>
      </c>
      <c r="AJ448">
        <v>80.465488260919301</v>
      </c>
      <c r="AK448">
        <v>0.58539347059843405</v>
      </c>
    </row>
    <row r="449" spans="1:37" x14ac:dyDescent="0.2">
      <c r="A449" t="str">
        <f>"20200111155803035"</f>
        <v>20200111155803035</v>
      </c>
      <c r="B449" t="str">
        <f>"1578729483031170"</f>
        <v>1578729483031170</v>
      </c>
      <c r="C449" t="s">
        <v>37</v>
      </c>
      <c r="D449">
        <v>5.3335140000000001</v>
      </c>
      <c r="E449">
        <v>0.58387290000000003</v>
      </c>
      <c r="F449" t="s">
        <v>38</v>
      </c>
      <c r="G449">
        <v>-404.54930000000002</v>
      </c>
      <c r="H449">
        <v>0.86244789999999905</v>
      </c>
      <c r="I449">
        <v>367.28449999999998</v>
      </c>
      <c r="J449">
        <v>-405.12990000000002</v>
      </c>
      <c r="K449">
        <v>1.0549839999999999</v>
      </c>
      <c r="L449">
        <v>367.3913</v>
      </c>
      <c r="M449">
        <v>0.99983290000000002</v>
      </c>
      <c r="N449">
        <v>0</v>
      </c>
      <c r="O449">
        <v>-1.365821E-2</v>
      </c>
      <c r="P449">
        <v>0.99783330000000003</v>
      </c>
      <c r="Q449">
        <v>1.3539870000000001E-2</v>
      </c>
      <c r="R449">
        <v>6.4386079999999998E-2</v>
      </c>
      <c r="S449">
        <v>3.044861</v>
      </c>
      <c r="T449">
        <v>-0.77950160000000002</v>
      </c>
      <c r="U449">
        <v>-0.43609619999999999</v>
      </c>
      <c r="V449">
        <v>-7.803649E-2</v>
      </c>
      <c r="W449">
        <v>2.5572669999999999E-2</v>
      </c>
      <c r="X449">
        <v>0.99662240000000002</v>
      </c>
      <c r="Y449">
        <v>0.124733</v>
      </c>
      <c r="Z449">
        <v>-1.221294E-2</v>
      </c>
      <c r="AA449">
        <v>0.99211519999999997</v>
      </c>
      <c r="AB449">
        <v>17</v>
      </c>
      <c r="AC449">
        <v>0.580600000000004</v>
      </c>
      <c r="AD449">
        <v>-0.19253609999999999</v>
      </c>
      <c r="AE449">
        <v>-0.106800000000021</v>
      </c>
      <c r="AF449">
        <v>8.9354838568581493E-2</v>
      </c>
      <c r="AG449">
        <v>-0.19253609999999999</v>
      </c>
      <c r="AH449">
        <v>0.52604892377546197</v>
      </c>
      <c r="AI449">
        <v>109.84125235667599</v>
      </c>
      <c r="AJ449">
        <v>80.359733141219493</v>
      </c>
      <c r="AK449">
        <v>0.56725823677065201</v>
      </c>
    </row>
    <row r="450" spans="1:37" x14ac:dyDescent="0.2">
      <c r="A450" t="str">
        <f>"20200111155803058"</f>
        <v>20200111155803058</v>
      </c>
      <c r="B450" t="str">
        <f>"1578729483051667"</f>
        <v>1578729483051667</v>
      </c>
      <c r="C450" t="s">
        <v>37</v>
      </c>
      <c r="D450">
        <v>5.3526129999999998</v>
      </c>
      <c r="E450">
        <v>0.58393470000000003</v>
      </c>
      <c r="F450" t="s">
        <v>38</v>
      </c>
      <c r="G450">
        <v>-404.39499999999998</v>
      </c>
      <c r="H450">
        <v>0.86671980000000004</v>
      </c>
      <c r="I450">
        <v>367.28620000000001</v>
      </c>
      <c r="J450">
        <v>-404.95190000000002</v>
      </c>
      <c r="K450">
        <v>1.0549919999999999</v>
      </c>
      <c r="L450">
        <v>367.39</v>
      </c>
      <c r="M450">
        <v>0.99984589999999995</v>
      </c>
      <c r="N450">
        <v>0</v>
      </c>
      <c r="O450">
        <v>-1.2672350000000001E-2</v>
      </c>
      <c r="P450">
        <v>0.99784589999999995</v>
      </c>
      <c r="Q450">
        <v>1.3404299999999999E-2</v>
      </c>
      <c r="R450">
        <v>6.4218520000000001E-2</v>
      </c>
      <c r="S450">
        <v>3.0451969999999999</v>
      </c>
      <c r="T450">
        <v>-0.78015959999999995</v>
      </c>
      <c r="U450">
        <v>-0.43524170000000001</v>
      </c>
      <c r="V450">
        <v>-7.6885220000000004E-2</v>
      </c>
      <c r="W450">
        <v>2.544016E-2</v>
      </c>
      <c r="X450">
        <v>0.99671529999999997</v>
      </c>
      <c r="Y450">
        <v>0.12536610000000001</v>
      </c>
      <c r="Z450">
        <v>-1.254854E-2</v>
      </c>
      <c r="AA450">
        <v>0.9920312</v>
      </c>
      <c r="AB450">
        <v>17</v>
      </c>
      <c r="AC450">
        <v>0.55690000000004103</v>
      </c>
      <c r="AD450">
        <v>-0.188272199999999</v>
      </c>
      <c r="AE450">
        <v>-0.10379999999997799</v>
      </c>
      <c r="AF450">
        <v>8.7111940065025303E-2</v>
      </c>
      <c r="AG450">
        <v>-0.188272199999999</v>
      </c>
      <c r="AH450">
        <v>0.50265038761831204</v>
      </c>
      <c r="AI450">
        <v>110.25696952937101</v>
      </c>
      <c r="AJ450">
        <v>80.167999386450504</v>
      </c>
      <c r="AK450">
        <v>0.54377598656760495</v>
      </c>
    </row>
    <row r="451" spans="1:37" x14ac:dyDescent="0.2">
      <c r="A451" t="str">
        <f>"20200111155803081"</f>
        <v>20200111155803081</v>
      </c>
      <c r="B451" t="str">
        <f>"1578729483071409"</f>
        <v>1578729483071409</v>
      </c>
      <c r="C451" t="s">
        <v>37</v>
      </c>
      <c r="D451">
        <v>5.3321759999999996</v>
      </c>
      <c r="E451">
        <v>0.58399299999999998</v>
      </c>
      <c r="F451" t="s">
        <v>38</v>
      </c>
      <c r="G451">
        <v>-404.24020000000002</v>
      </c>
      <c r="H451">
        <v>0.87255569999999905</v>
      </c>
      <c r="I451">
        <v>367.2876</v>
      </c>
      <c r="J451">
        <v>-404.78730000000002</v>
      </c>
      <c r="K451">
        <v>1.0549949999999999</v>
      </c>
      <c r="L451">
        <v>367.38900000000001</v>
      </c>
      <c r="M451">
        <v>0.99985689999999905</v>
      </c>
      <c r="N451">
        <v>0</v>
      </c>
      <c r="O451">
        <v>-1.177041E-2</v>
      </c>
      <c r="P451">
        <v>0.99787939999999997</v>
      </c>
      <c r="Q451">
        <v>1.391708E-2</v>
      </c>
      <c r="R451">
        <v>6.3586790000000004E-2</v>
      </c>
      <c r="S451">
        <v>3.0450439999999999</v>
      </c>
      <c r="T451">
        <v>-0.7808986</v>
      </c>
      <c r="U451">
        <v>-0.43563839999999998</v>
      </c>
      <c r="V451">
        <v>-7.5354699999999997E-2</v>
      </c>
      <c r="W451">
        <v>2.5956400000000001E-2</v>
      </c>
      <c r="X451">
        <v>0.99681889999999995</v>
      </c>
      <c r="Y451">
        <v>0.1263281</v>
      </c>
      <c r="Z451">
        <v>-1.2907780000000001E-2</v>
      </c>
      <c r="AA451">
        <v>0.99190460000000003</v>
      </c>
      <c r="AB451">
        <v>17</v>
      </c>
      <c r="AC451">
        <v>0.54710000000000003</v>
      </c>
      <c r="AD451">
        <v>-0.1824393</v>
      </c>
      <c r="AE451">
        <v>-0.10140000000001199</v>
      </c>
      <c r="AF451">
        <v>8.5735745250364107E-2</v>
      </c>
      <c r="AG451">
        <v>-0.1824393</v>
      </c>
      <c r="AH451">
        <v>0.49503603717029798</v>
      </c>
      <c r="AI451">
        <v>109.95755750195001</v>
      </c>
      <c r="AJ451">
        <v>80.174358070143299</v>
      </c>
      <c r="AK451">
        <v>0.53450481222847601</v>
      </c>
    </row>
    <row r="452" spans="1:37" x14ac:dyDescent="0.2">
      <c r="A452" t="str">
        <f>"20200111155803101"</f>
        <v>20200111155803101</v>
      </c>
      <c r="B452" t="str">
        <f>"1578729483091905"</f>
        <v>1578729483091905</v>
      </c>
      <c r="C452" t="s">
        <v>37</v>
      </c>
      <c r="D452">
        <v>5.3493079999999997</v>
      </c>
      <c r="E452">
        <v>0.58402019999999899</v>
      </c>
      <c r="F452" t="s">
        <v>38</v>
      </c>
      <c r="G452">
        <v>-404.08659999999998</v>
      </c>
      <c r="H452">
        <v>0.87551069999999998</v>
      </c>
      <c r="I452">
        <v>367.2885</v>
      </c>
      <c r="J452">
        <v>-404.62299999999999</v>
      </c>
      <c r="K452">
        <v>1.055002</v>
      </c>
      <c r="L452">
        <v>367.38819999999998</v>
      </c>
      <c r="M452">
        <v>0.99986710000000001</v>
      </c>
      <c r="N452">
        <v>0</v>
      </c>
      <c r="O452">
        <v>-1.0879079999999999E-2</v>
      </c>
      <c r="P452">
        <v>0.99791810000000003</v>
      </c>
      <c r="Q452">
        <v>1.5081789999999999E-2</v>
      </c>
      <c r="R452">
        <v>6.2707479999999996E-2</v>
      </c>
      <c r="S452">
        <v>3.045105</v>
      </c>
      <c r="T452">
        <v>-0.77999879999999999</v>
      </c>
      <c r="U452">
        <v>-0.43704219999999999</v>
      </c>
      <c r="V452">
        <v>-7.3587920000000001E-2</v>
      </c>
      <c r="W452">
        <v>2.7125199999999999E-2</v>
      </c>
      <c r="X452">
        <v>0.99691980000000002</v>
      </c>
      <c r="Y452">
        <v>0.1275973</v>
      </c>
      <c r="Z452">
        <v>-1.327543E-2</v>
      </c>
      <c r="AA452">
        <v>0.99173719999999999</v>
      </c>
      <c r="AB452">
        <v>17</v>
      </c>
      <c r="AC452">
        <v>0.53640000000007104</v>
      </c>
      <c r="AD452">
        <v>-0.17949129999999999</v>
      </c>
      <c r="AE452">
        <v>-9.9699999999984301E-2</v>
      </c>
      <c r="AF452">
        <v>8.4691708150304204E-2</v>
      </c>
      <c r="AG452">
        <v>-0.17949129999999999</v>
      </c>
      <c r="AH452">
        <v>0.48496396055522101</v>
      </c>
      <c r="AI452">
        <v>110.031593277439</v>
      </c>
      <c r="AJ452">
        <v>80.094044197673398</v>
      </c>
      <c r="AK452">
        <v>0.52400367865360697</v>
      </c>
    </row>
    <row r="453" spans="1:37" x14ac:dyDescent="0.2">
      <c r="A453" t="str">
        <f>"20200111155803126"</f>
        <v>20200111155803126</v>
      </c>
      <c r="B453" t="str">
        <f>"1578729483121185"</f>
        <v>1578729483121185</v>
      </c>
      <c r="C453" t="s">
        <v>37</v>
      </c>
      <c r="D453">
        <v>5.3552379999999999</v>
      </c>
      <c r="E453">
        <v>0.58409270000000002</v>
      </c>
      <c r="F453" t="s">
        <v>38</v>
      </c>
      <c r="G453">
        <v>-403.93279999999999</v>
      </c>
      <c r="H453">
        <v>0.87899329999999998</v>
      </c>
      <c r="I453">
        <v>367.28809999999999</v>
      </c>
      <c r="J453">
        <v>-404.44560000000001</v>
      </c>
      <c r="K453">
        <v>1.05501</v>
      </c>
      <c r="L453">
        <v>367.38740000000001</v>
      </c>
      <c r="M453">
        <v>0.99987709999999996</v>
      </c>
      <c r="N453">
        <v>0</v>
      </c>
      <c r="O453">
        <v>-9.9268540000000006E-3</v>
      </c>
      <c r="P453">
        <v>0.99795100000000003</v>
      </c>
      <c r="Q453">
        <v>1.5649469999999999E-2</v>
      </c>
      <c r="R453">
        <v>6.2043319999999999E-2</v>
      </c>
      <c r="S453">
        <v>3.0455930000000002</v>
      </c>
      <c r="T453">
        <v>-0.77712360000000003</v>
      </c>
      <c r="U453">
        <v>-0.43890379999999901</v>
      </c>
      <c r="V453">
        <v>-7.1974259999999998E-2</v>
      </c>
      <c r="W453">
        <v>2.7696709999999999E-2</v>
      </c>
      <c r="X453">
        <v>0.99702190000000002</v>
      </c>
      <c r="Y453">
        <v>0.12906509999999999</v>
      </c>
      <c r="Z453">
        <v>-1.3646699999999999E-2</v>
      </c>
      <c r="AA453">
        <v>0.99154219999999904</v>
      </c>
      <c r="AB453">
        <v>17</v>
      </c>
      <c r="AC453">
        <v>0.51280000000002701</v>
      </c>
      <c r="AD453">
        <v>-0.176016699999999</v>
      </c>
      <c r="AE453">
        <v>-9.9300000000027894E-2</v>
      </c>
      <c r="AF453">
        <v>8.4597378842449597E-2</v>
      </c>
      <c r="AG453">
        <v>-0.176016699999999</v>
      </c>
      <c r="AH453">
        <v>0.46136770977213998</v>
      </c>
      <c r="AI453">
        <v>110.568826632998</v>
      </c>
      <c r="AJ453">
        <v>79.609544372049299</v>
      </c>
      <c r="AK453">
        <v>0.50099776327473999</v>
      </c>
    </row>
    <row r="454" spans="1:37" x14ac:dyDescent="0.2">
      <c r="A454" t="str">
        <f>"20200111155803148"</f>
        <v>20200111155803148</v>
      </c>
      <c r="B454" t="str">
        <f>"1578729483141683"</f>
        <v>1578729483141683</v>
      </c>
      <c r="C454" t="s">
        <v>37</v>
      </c>
      <c r="D454">
        <v>5.3399400000000004</v>
      </c>
      <c r="E454">
        <v>0.58412710000000001</v>
      </c>
      <c r="F454" t="s">
        <v>38</v>
      </c>
      <c r="G454">
        <v>-403.64139999999998</v>
      </c>
      <c r="H454">
        <v>0.84997819999999902</v>
      </c>
      <c r="I454">
        <v>367.27080000000001</v>
      </c>
      <c r="J454">
        <v>-404.26749999999998</v>
      </c>
      <c r="K454">
        <v>1.0550120000000001</v>
      </c>
      <c r="L454">
        <v>367.38679999999999</v>
      </c>
      <c r="M454">
        <v>0.99988589999999999</v>
      </c>
      <c r="N454">
        <v>0</v>
      </c>
      <c r="O454">
        <v>-8.9831879999999996E-3</v>
      </c>
      <c r="P454">
        <v>0.99796070000000003</v>
      </c>
      <c r="Q454">
        <v>1.5509770000000001E-2</v>
      </c>
      <c r="R454">
        <v>6.1918420000000002E-2</v>
      </c>
      <c r="S454">
        <v>3.04568499999999</v>
      </c>
      <c r="T454">
        <v>-0.77676429999999996</v>
      </c>
      <c r="U454">
        <v>-0.44012449999999997</v>
      </c>
      <c r="V454">
        <v>-7.0907639999999994E-2</v>
      </c>
      <c r="W454">
        <v>2.755991E-2</v>
      </c>
      <c r="X454">
        <v>0.99710209999999999</v>
      </c>
      <c r="Y454">
        <v>0.1303202</v>
      </c>
      <c r="Z454">
        <v>-1.403222E-2</v>
      </c>
      <c r="AA454">
        <v>0.99137260000000005</v>
      </c>
      <c r="AB454">
        <v>17</v>
      </c>
      <c r="AC454">
        <v>0.62610000000000798</v>
      </c>
      <c r="AD454">
        <v>-0.20503379999999999</v>
      </c>
      <c r="AE454">
        <v>-0.115999999999985</v>
      </c>
      <c r="AF454">
        <v>0.10000205636998601</v>
      </c>
      <c r="AG454">
        <v>-0.20503379999999999</v>
      </c>
      <c r="AH454">
        <v>0.56820399092097296</v>
      </c>
      <c r="AI454">
        <v>109.564368850387</v>
      </c>
      <c r="AJ454">
        <v>80.018351267170402</v>
      </c>
      <c r="AK454">
        <v>0.61228673488749297</v>
      </c>
    </row>
    <row r="455" spans="1:37" x14ac:dyDescent="0.2">
      <c r="A455" t="str">
        <f>"20200111155803170"</f>
        <v>20200111155803170</v>
      </c>
      <c r="B455" t="str">
        <f>"1578729483161201"</f>
        <v>1578729483161201</v>
      </c>
      <c r="C455" t="s">
        <v>37</v>
      </c>
      <c r="D455">
        <v>5.3625629999999997</v>
      </c>
      <c r="E455">
        <v>0.58419529999999997</v>
      </c>
      <c r="F455" t="s">
        <v>38</v>
      </c>
      <c r="G455">
        <v>-403.4871</v>
      </c>
      <c r="H455">
        <v>0.85571169999999996</v>
      </c>
      <c r="I455">
        <v>367.27379999999999</v>
      </c>
      <c r="J455">
        <v>-404.1019</v>
      </c>
      <c r="K455">
        <v>1.054953</v>
      </c>
      <c r="L455">
        <v>367.38639999999998</v>
      </c>
      <c r="M455">
        <v>0.99989609999999995</v>
      </c>
      <c r="N455">
        <v>0</v>
      </c>
      <c r="O455">
        <v>-8.111844E-3</v>
      </c>
      <c r="P455">
        <v>0.99794889999999903</v>
      </c>
      <c r="Q455">
        <v>1.541383E-2</v>
      </c>
      <c r="R455">
        <v>6.213399E-2</v>
      </c>
      <c r="S455">
        <v>3.0455320000000001</v>
      </c>
      <c r="T455">
        <v>-0.77785159999999998</v>
      </c>
      <c r="U455">
        <v>-0.44027709999999998</v>
      </c>
      <c r="V455">
        <v>-7.0253049999999997E-2</v>
      </c>
      <c r="W455">
        <v>2.724246E-2</v>
      </c>
      <c r="X455">
        <v>0.99715719999999997</v>
      </c>
      <c r="Y455">
        <v>0.13117429999999999</v>
      </c>
      <c r="Z455">
        <v>-1.43766E-2</v>
      </c>
      <c r="AA455">
        <v>0.99125509999999994</v>
      </c>
      <c r="AB455">
        <v>17</v>
      </c>
      <c r="AC455">
        <v>0.61480000000000201</v>
      </c>
      <c r="AD455">
        <v>-0.19924130000000001</v>
      </c>
      <c r="AE455">
        <v>-0.112599999999986</v>
      </c>
      <c r="AF455">
        <v>9.7682655134219906E-2</v>
      </c>
      <c r="AG455">
        <v>-0.19924130000000001</v>
      </c>
      <c r="AH455">
        <v>0.55890002476908096</v>
      </c>
      <c r="AI455">
        <v>109.349495506518</v>
      </c>
      <c r="AJ455">
        <v>80.086173591579495</v>
      </c>
      <c r="AK455">
        <v>0.60133870191984096</v>
      </c>
    </row>
    <row r="456" spans="1:37" x14ac:dyDescent="0.2">
      <c r="A456" t="str">
        <f>"20200111155803192"</f>
        <v>20200111155803192</v>
      </c>
      <c r="B456" t="str">
        <f>"1578729483181698"</f>
        <v>1578729483181698</v>
      </c>
      <c r="C456" t="s">
        <v>37</v>
      </c>
      <c r="D456">
        <v>5.3564290000000003</v>
      </c>
      <c r="E456">
        <v>0.58422569999999996</v>
      </c>
      <c r="F456" t="s">
        <v>38</v>
      </c>
      <c r="G456">
        <v>-403.33120000000002</v>
      </c>
      <c r="H456">
        <v>0.85806380000000004</v>
      </c>
      <c r="I456">
        <v>367.27480000000003</v>
      </c>
      <c r="J456">
        <v>-403.93699999999899</v>
      </c>
      <c r="K456">
        <v>1.0547010000000001</v>
      </c>
      <c r="L456">
        <v>367.385999999999</v>
      </c>
      <c r="M456">
        <v>0.99991359999999996</v>
      </c>
      <c r="N456">
        <v>0</v>
      </c>
      <c r="O456">
        <v>-7.2530290000000002E-3</v>
      </c>
      <c r="P456">
        <v>0.99791260000000004</v>
      </c>
      <c r="Q456">
        <v>1.6250210000000001E-2</v>
      </c>
      <c r="R456">
        <v>6.2506099999999995E-2</v>
      </c>
      <c r="S456">
        <v>3.045563</v>
      </c>
      <c r="T456">
        <v>-0.77826439999999997</v>
      </c>
      <c r="U456">
        <v>-0.43969730000000001</v>
      </c>
      <c r="V456">
        <v>-6.9767319999999994E-2</v>
      </c>
      <c r="W456">
        <v>2.7129480000000001E-2</v>
      </c>
      <c r="X456">
        <v>0.99719429999999998</v>
      </c>
      <c r="Y456">
        <v>0.1317885</v>
      </c>
      <c r="Z456">
        <v>-1.4675809999999999E-2</v>
      </c>
      <c r="AA456">
        <v>0.99116919999999897</v>
      </c>
      <c r="AB456">
        <v>17</v>
      </c>
      <c r="AC456">
        <v>0.60579999999993095</v>
      </c>
      <c r="AD456">
        <v>-0.19663720000000001</v>
      </c>
      <c r="AE456">
        <v>-0.111199999999939</v>
      </c>
      <c r="AF456">
        <v>9.6923948573391094E-2</v>
      </c>
      <c r="AG456">
        <v>-0.19663720000000001</v>
      </c>
      <c r="AH456">
        <v>0.55048268084117102</v>
      </c>
      <c r="AI456">
        <v>109.381733899381</v>
      </c>
      <c r="AJ456">
        <v>80.014233820033496</v>
      </c>
      <c r="AK456">
        <v>0.59252984915274998</v>
      </c>
    </row>
    <row r="457" spans="1:37" x14ac:dyDescent="0.2">
      <c r="A457" t="str">
        <f>"20200111155803214"</f>
        <v>20200111155803214</v>
      </c>
      <c r="B457" t="str">
        <f>"1578729483211954"</f>
        <v>1578729483211954</v>
      </c>
      <c r="C457" t="s">
        <v>37</v>
      </c>
      <c r="D457">
        <v>5.3963529999999897</v>
      </c>
      <c r="E457">
        <v>0.58421719999999999</v>
      </c>
      <c r="F457" t="s">
        <v>38</v>
      </c>
      <c r="G457">
        <v>-403.17340000000002</v>
      </c>
      <c r="H457">
        <v>0.86019659999999998</v>
      </c>
      <c r="I457">
        <v>367.27609999999999</v>
      </c>
      <c r="J457">
        <v>-403.7559</v>
      </c>
      <c r="K457">
        <v>1.0544260000000001</v>
      </c>
      <c r="L457">
        <v>367.38580000000002</v>
      </c>
      <c r="M457">
        <v>0.9999325</v>
      </c>
      <c r="N457">
        <v>0</v>
      </c>
      <c r="O457">
        <v>-6.3184640000000002E-3</v>
      </c>
      <c r="P457">
        <v>0.99783169999999899</v>
      </c>
      <c r="Q457">
        <v>1.7327990000000001E-2</v>
      </c>
      <c r="R457">
        <v>6.3498120000000005E-2</v>
      </c>
      <c r="S457">
        <v>3.0462950000000002</v>
      </c>
      <c r="T457">
        <v>-0.77606339999999996</v>
      </c>
      <c r="U457">
        <v>-0.43774409999999903</v>
      </c>
      <c r="V457">
        <v>-6.9825579999999998E-2</v>
      </c>
      <c r="W457">
        <v>2.700746E-2</v>
      </c>
      <c r="X457">
        <v>0.99719360000000001</v>
      </c>
      <c r="Y457">
        <v>0.1320441</v>
      </c>
      <c r="Z457">
        <v>-1.489789E-2</v>
      </c>
      <c r="AA457">
        <v>0.99113189999999995</v>
      </c>
      <c r="AB457">
        <v>17</v>
      </c>
      <c r="AC457">
        <v>0.58249999999998103</v>
      </c>
      <c r="AD457">
        <v>-0.1942294</v>
      </c>
      <c r="AE457">
        <v>-0.10970000000003199</v>
      </c>
      <c r="AF457">
        <v>9.5737360420638698E-2</v>
      </c>
      <c r="AG457">
        <v>-0.1942294</v>
      </c>
      <c r="AH457">
        <v>0.52663434095793005</v>
      </c>
      <c r="AI457">
        <v>109.944082514675</v>
      </c>
      <c r="AJ457">
        <v>79.696663533201104</v>
      </c>
      <c r="AK457">
        <v>0.56941586830792201</v>
      </c>
    </row>
    <row r="458" spans="1:37" x14ac:dyDescent="0.2">
      <c r="A458" t="str">
        <f>"20200111155803236"</f>
        <v>20200111155803236</v>
      </c>
      <c r="B458" t="str">
        <f>"1578729483231474"</f>
        <v>1578729483231474</v>
      </c>
      <c r="C458" t="s">
        <v>37</v>
      </c>
      <c r="D458">
        <v>5.3817269999999997</v>
      </c>
      <c r="E458">
        <v>0.58425680000000002</v>
      </c>
      <c r="F458" t="s">
        <v>38</v>
      </c>
      <c r="G458">
        <v>-403.01249999999999</v>
      </c>
      <c r="H458">
        <v>0.8660004</v>
      </c>
      <c r="I458">
        <v>367.27940000000001</v>
      </c>
      <c r="J458">
        <v>-403.58300000000003</v>
      </c>
      <c r="K458">
        <v>1.0542290000000001</v>
      </c>
      <c r="L458">
        <v>367.38560000000001</v>
      </c>
      <c r="M458">
        <v>0.99994740000000004</v>
      </c>
      <c r="N458">
        <v>0</v>
      </c>
      <c r="O458">
        <v>-5.4386199999999999E-3</v>
      </c>
      <c r="P458">
        <v>0.99773459999999903</v>
      </c>
      <c r="Q458">
        <v>1.8428360000000001E-2</v>
      </c>
      <c r="R458">
        <v>6.4699350000000003E-2</v>
      </c>
      <c r="S458">
        <v>3.047577</v>
      </c>
      <c r="T458">
        <v>-0.77256279999999999</v>
      </c>
      <c r="U458">
        <v>-0.4346313</v>
      </c>
      <c r="V458">
        <v>-7.0147379999999995E-2</v>
      </c>
      <c r="W458">
        <v>2.7050830000000001E-2</v>
      </c>
      <c r="X458">
        <v>0.9971698</v>
      </c>
      <c r="Y458">
        <v>0.1318802</v>
      </c>
      <c r="Z458">
        <v>-1.5025899999999899E-2</v>
      </c>
      <c r="AA458">
        <v>0.99115180000000003</v>
      </c>
      <c r="AB458">
        <v>18</v>
      </c>
      <c r="AC458">
        <v>0.57050000000003798</v>
      </c>
      <c r="AD458">
        <v>-0.1882286</v>
      </c>
      <c r="AE458">
        <v>-0.106200000000001</v>
      </c>
      <c r="AF458">
        <v>9.3281269542664594E-2</v>
      </c>
      <c r="AG458">
        <v>-0.1882286</v>
      </c>
      <c r="AH458">
        <v>0.51670553809567799</v>
      </c>
      <c r="AI458">
        <v>109.722299476364</v>
      </c>
      <c r="AJ458">
        <v>79.766570272938694</v>
      </c>
      <c r="AK458">
        <v>0.55777774624324705</v>
      </c>
    </row>
    <row r="459" spans="1:37" x14ac:dyDescent="0.2">
      <c r="A459" t="str">
        <f>"20200111155803258"</f>
        <v>20200111155803258</v>
      </c>
      <c r="B459" t="str">
        <f>"1578729483251970"</f>
        <v>1578729483251970</v>
      </c>
      <c r="C459" t="s">
        <v>37</v>
      </c>
      <c r="D459">
        <v>5.432283</v>
      </c>
      <c r="E459">
        <v>0.58433100000000004</v>
      </c>
      <c r="F459" t="s">
        <v>38</v>
      </c>
      <c r="G459">
        <v>-402.85079999999999</v>
      </c>
      <c r="H459">
        <v>0.86955819999999995</v>
      </c>
      <c r="I459">
        <v>367.28210000000001</v>
      </c>
      <c r="J459">
        <v>-403.39980000000003</v>
      </c>
      <c r="K459">
        <v>1.054071</v>
      </c>
      <c r="L459">
        <v>367.38560000000001</v>
      </c>
      <c r="M459">
        <v>0.99996070000000004</v>
      </c>
      <c r="N459">
        <v>0</v>
      </c>
      <c r="O459">
        <v>-4.5289550000000003E-3</v>
      </c>
      <c r="P459">
        <v>0.99765789999999999</v>
      </c>
      <c r="Q459">
        <v>1.9235889999999999E-2</v>
      </c>
      <c r="R459">
        <v>6.5646099999999999E-2</v>
      </c>
      <c r="S459">
        <v>3.048889</v>
      </c>
      <c r="T459">
        <v>-0.76898549999999999</v>
      </c>
      <c r="U459">
        <v>-0.43057250000000002</v>
      </c>
      <c r="V459">
        <v>-7.0185419999999998E-2</v>
      </c>
      <c r="W459">
        <v>2.680488E-2</v>
      </c>
      <c r="X459">
        <v>0.9971738</v>
      </c>
      <c r="Y459">
        <v>0.1314516</v>
      </c>
      <c r="Z459">
        <v>-1.51253999999999E-2</v>
      </c>
      <c r="AA459">
        <v>0.99120719999999995</v>
      </c>
      <c r="AB459">
        <v>18</v>
      </c>
      <c r="AC459">
        <v>0.54900000000003402</v>
      </c>
      <c r="AD459">
        <v>-0.18451279999999901</v>
      </c>
      <c r="AE459">
        <v>-0.103499999999996</v>
      </c>
      <c r="AF459">
        <v>9.10778024616056E-2</v>
      </c>
      <c r="AG459">
        <v>-0.18451279999999901</v>
      </c>
      <c r="AH459">
        <v>0.49542293550995897</v>
      </c>
      <c r="AI459">
        <v>110.11760888981</v>
      </c>
      <c r="AJ459">
        <v>79.583142748409898</v>
      </c>
      <c r="AK459">
        <v>0.53645505356402501</v>
      </c>
    </row>
    <row r="460" spans="1:37" x14ac:dyDescent="0.2">
      <c r="A460" t="str">
        <f>"20200111155803281"</f>
        <v>20200111155803281</v>
      </c>
      <c r="B460" t="str">
        <f>"1578729483271489"</f>
        <v>1578729483271489</v>
      </c>
      <c r="C460" t="s">
        <v>37</v>
      </c>
      <c r="D460">
        <v>5.4458919999999997</v>
      </c>
      <c r="E460">
        <v>0.58439300000000005</v>
      </c>
      <c r="F460" t="s">
        <v>38</v>
      </c>
      <c r="G460">
        <v>-402.68639999999999</v>
      </c>
      <c r="H460">
        <v>0.87482349999999998</v>
      </c>
      <c r="I460">
        <v>367.28519999999997</v>
      </c>
      <c r="J460">
        <v>-403.21870000000001</v>
      </c>
      <c r="K460">
        <v>1.053944</v>
      </c>
      <c r="L460">
        <v>367.38560000000001</v>
      </c>
      <c r="M460">
        <v>0.99997159999999996</v>
      </c>
      <c r="N460">
        <v>0</v>
      </c>
      <c r="O460">
        <v>-3.6639070000000001E-3</v>
      </c>
      <c r="P460">
        <v>0.99762569999999995</v>
      </c>
      <c r="Q460">
        <v>1.929937E-2</v>
      </c>
      <c r="R460">
        <v>6.6110730000000006E-2</v>
      </c>
      <c r="S460">
        <v>3.049957</v>
      </c>
      <c r="T460">
        <v>-0.76653769999999999</v>
      </c>
      <c r="U460">
        <v>-0.42758180000000001</v>
      </c>
      <c r="V460">
        <v>-6.9786829999999994E-2</v>
      </c>
      <c r="W460">
        <v>2.5832939999999999E-2</v>
      </c>
      <c r="X460">
        <v>0.99722739999999999</v>
      </c>
      <c r="Y460">
        <v>0.13131180000000001</v>
      </c>
      <c r="Z460">
        <v>-1.527043E-2</v>
      </c>
      <c r="AA460">
        <v>0.99122350000000004</v>
      </c>
      <c r="AB460">
        <v>18</v>
      </c>
      <c r="AC460">
        <v>0.53230000000001998</v>
      </c>
      <c r="AD460">
        <v>-0.17912049999999899</v>
      </c>
      <c r="AE460">
        <v>-0.100400000000036</v>
      </c>
      <c r="AF460">
        <v>8.8745211576418306E-2</v>
      </c>
      <c r="AG460">
        <v>-0.17912049999999899</v>
      </c>
      <c r="AH460">
        <v>0.480161422747377</v>
      </c>
      <c r="AI460">
        <v>110.14452477134699</v>
      </c>
      <c r="AJ460">
        <v>79.5285490397101</v>
      </c>
      <c r="AK460">
        <v>0.52011042865220403</v>
      </c>
    </row>
    <row r="461" spans="1:37" x14ac:dyDescent="0.2">
      <c r="A461" t="str">
        <f>"20200111155803302"</f>
        <v>20200111155803302</v>
      </c>
      <c r="B461" t="str">
        <f>"1578729483291985"</f>
        <v>1578729483291985</v>
      </c>
      <c r="C461" t="s">
        <v>37</v>
      </c>
      <c r="D461">
        <v>5.4423029999999999</v>
      </c>
      <c r="E461">
        <v>0.58443679999999998</v>
      </c>
      <c r="F461" t="s">
        <v>38</v>
      </c>
      <c r="G461">
        <v>-402.52050000000003</v>
      </c>
      <c r="H461">
        <v>0.87864299999999995</v>
      </c>
      <c r="I461">
        <v>367.28789999999998</v>
      </c>
      <c r="J461">
        <v>-403.03730000000002</v>
      </c>
      <c r="K461">
        <v>1.053841</v>
      </c>
      <c r="L461">
        <v>367.38580000000002</v>
      </c>
      <c r="M461">
        <v>0.99998039999999999</v>
      </c>
      <c r="N461">
        <v>0</v>
      </c>
      <c r="O461">
        <v>-2.8369479999999902E-3</v>
      </c>
      <c r="P461">
        <v>0.99760590000000005</v>
      </c>
      <c r="Q461">
        <v>1.9003329999999999E-2</v>
      </c>
      <c r="R461">
        <v>6.6495319999999997E-2</v>
      </c>
      <c r="S461">
        <v>3.0502009999999999</v>
      </c>
      <c r="T461">
        <v>-0.76607159999999996</v>
      </c>
      <c r="U461">
        <v>-0.42593379999999997</v>
      </c>
      <c r="V461">
        <v>-6.9346409999999997E-2</v>
      </c>
      <c r="W461">
        <v>2.451824E-2</v>
      </c>
      <c r="X461">
        <v>0.99729129999999999</v>
      </c>
      <c r="Y461">
        <v>0.13156679999999901</v>
      </c>
      <c r="Z461">
        <v>-1.5495750000000001E-2</v>
      </c>
      <c r="AA461">
        <v>0.99118619999999902</v>
      </c>
      <c r="AB461">
        <v>18</v>
      </c>
      <c r="AC461">
        <v>0.51679999999998905</v>
      </c>
      <c r="AD461">
        <v>-0.17519799999999899</v>
      </c>
      <c r="AE461">
        <v>-9.7900000000038206E-2</v>
      </c>
      <c r="AF461">
        <v>8.6803205581642007E-2</v>
      </c>
      <c r="AG461">
        <v>-0.17519799999999899</v>
      </c>
      <c r="AH461">
        <v>0.46543834829231101</v>
      </c>
      <c r="AI461">
        <v>110.30623190252901</v>
      </c>
      <c r="AJ461">
        <v>79.435829099015294</v>
      </c>
      <c r="AK461">
        <v>0.50483857990879</v>
      </c>
    </row>
    <row r="462" spans="1:37" x14ac:dyDescent="0.2">
      <c r="A462" t="str">
        <f>"20200111155803316"</f>
        <v>20200111155803316</v>
      </c>
      <c r="B462" t="str">
        <f>"1578729483311506"</f>
        <v>1578729483311506</v>
      </c>
      <c r="C462" t="s">
        <v>37</v>
      </c>
      <c r="D462">
        <v>5.4535939999999998</v>
      </c>
      <c r="E462">
        <v>0.58444689999999999</v>
      </c>
      <c r="F462" t="s">
        <v>38</v>
      </c>
      <c r="G462">
        <v>-402.35270000000003</v>
      </c>
      <c r="H462">
        <v>0.88192119999999996</v>
      </c>
      <c r="I462">
        <v>367.28980000000001</v>
      </c>
      <c r="J462">
        <v>-402.92610000000002</v>
      </c>
      <c r="K462">
        <v>1.053787</v>
      </c>
      <c r="L462">
        <v>367.385999999999</v>
      </c>
      <c r="M462">
        <v>0.99998469999999995</v>
      </c>
      <c r="N462">
        <v>0</v>
      </c>
      <c r="O462">
        <v>-2.3523389999999902E-3</v>
      </c>
      <c r="P462">
        <v>0.99756979999999995</v>
      </c>
      <c r="Q462">
        <v>1.929515E-2</v>
      </c>
      <c r="R462">
        <v>6.6949380000000003E-2</v>
      </c>
      <c r="S462">
        <v>3.0502009999999999</v>
      </c>
      <c r="T462">
        <v>-0.76630640000000005</v>
      </c>
      <c r="U462">
        <v>-0.4256897</v>
      </c>
      <c r="V462">
        <v>-6.9316950000000002E-2</v>
      </c>
      <c r="W462">
        <v>2.422937E-2</v>
      </c>
      <c r="X462">
        <v>0.99730039999999998</v>
      </c>
      <c r="Y462">
        <v>0.13194049999999999</v>
      </c>
      <c r="Z462">
        <v>-1.5665769999999999E-2</v>
      </c>
      <c r="AA462">
        <v>0.99113390000000001</v>
      </c>
      <c r="AB462">
        <v>18</v>
      </c>
      <c r="AC462">
        <v>0.57339999999999203</v>
      </c>
      <c r="AD462">
        <v>-0.17186580000000001</v>
      </c>
      <c r="AE462">
        <v>-9.6199999999953406E-2</v>
      </c>
      <c r="AF462">
        <v>8.7228891460106997E-2</v>
      </c>
      <c r="AG462">
        <v>-0.17186580000000001</v>
      </c>
      <c r="AH462">
        <v>0.52752957753713103</v>
      </c>
      <c r="AI462">
        <v>107.81891551450499</v>
      </c>
      <c r="AJ462">
        <v>80.610895653410694</v>
      </c>
      <c r="AK462">
        <v>0.561635280134273</v>
      </c>
    </row>
    <row r="463" spans="1:37" x14ac:dyDescent="0.2">
      <c r="A463" t="str">
        <f>"20200111155803330"</f>
        <v>20200111155803330</v>
      </c>
      <c r="B463" t="str">
        <f>"1578729483321267"</f>
        <v>1578729483321267</v>
      </c>
      <c r="C463" t="s">
        <v>37</v>
      </c>
      <c r="D463">
        <v>5.4646749999999997</v>
      </c>
      <c r="E463">
        <v>0.58446509999999996</v>
      </c>
      <c r="F463" t="s">
        <v>38</v>
      </c>
      <c r="G463">
        <v>-402.19</v>
      </c>
      <c r="H463">
        <v>0.86931510000000001</v>
      </c>
      <c r="I463">
        <v>367.2835</v>
      </c>
      <c r="J463">
        <v>-402.8091</v>
      </c>
      <c r="K463">
        <v>1.0537430000000001</v>
      </c>
      <c r="L463">
        <v>367.38630000000001</v>
      </c>
      <c r="M463">
        <v>0.99998869999999895</v>
      </c>
      <c r="N463">
        <v>0</v>
      </c>
      <c r="O463">
        <v>-1.852657E-3</v>
      </c>
      <c r="P463">
        <v>0.99755640000000001</v>
      </c>
      <c r="Q463">
        <v>1.9311970000000001E-2</v>
      </c>
      <c r="R463">
        <v>6.7145440000000001E-2</v>
      </c>
      <c r="S463">
        <v>3.0505979999999999</v>
      </c>
      <c r="T463">
        <v>-0.76459589999999999</v>
      </c>
      <c r="U463">
        <v>-0.42440800000000001</v>
      </c>
      <c r="V463">
        <v>-6.9014480000000003E-2</v>
      </c>
      <c r="W463">
        <v>2.3667810000000001E-2</v>
      </c>
      <c r="X463">
        <v>0.99733479999999997</v>
      </c>
      <c r="Y463">
        <v>0.13201009999999999</v>
      </c>
      <c r="Z463">
        <v>-1.5761629999999999E-2</v>
      </c>
      <c r="AA463">
        <v>0.99112299999999998</v>
      </c>
      <c r="AB463">
        <v>19</v>
      </c>
      <c r="AC463">
        <v>0.61910000000000298</v>
      </c>
      <c r="AD463">
        <v>-0.18442790000000001</v>
      </c>
      <c r="AE463">
        <v>-0.102800000000002</v>
      </c>
      <c r="AF463">
        <v>9.3571841214442203E-2</v>
      </c>
      <c r="AG463">
        <v>-0.18442790000000001</v>
      </c>
      <c r="AH463">
        <v>0.57005837610601096</v>
      </c>
      <c r="AI463">
        <v>107.70580287387</v>
      </c>
      <c r="AJ463">
        <v>80.678349247640696</v>
      </c>
      <c r="AK463">
        <v>0.606412311826939</v>
      </c>
    </row>
    <row r="464" spans="1:37" x14ac:dyDescent="0.2">
      <c r="A464" t="str">
        <f>"20200111155803341"</f>
        <v>20200111155803341</v>
      </c>
      <c r="B464" t="str">
        <f>"1578729483332003"</f>
        <v>1578729483332003</v>
      </c>
      <c r="C464" t="s">
        <v>37</v>
      </c>
      <c r="D464">
        <v>5.4592390000000002</v>
      </c>
      <c r="E464">
        <v>0.58448630000000001</v>
      </c>
      <c r="F464" t="s">
        <v>38</v>
      </c>
      <c r="G464">
        <v>-402.02429999999998</v>
      </c>
      <c r="H464">
        <v>0.85730490000000004</v>
      </c>
      <c r="I464">
        <v>367.27690000000001</v>
      </c>
      <c r="J464">
        <v>-402.70440000000002</v>
      </c>
      <c r="K464">
        <v>1.053712</v>
      </c>
      <c r="L464">
        <v>367.38659999999999</v>
      </c>
      <c r="M464">
        <v>0.99999119999999997</v>
      </c>
      <c r="N464">
        <v>0</v>
      </c>
      <c r="O464">
        <v>-1.41517799999999E-3</v>
      </c>
      <c r="P464">
        <v>0.99751699999999999</v>
      </c>
      <c r="Q464">
        <v>1.9029540000000001E-2</v>
      </c>
      <c r="R464">
        <v>6.7808019999999997E-2</v>
      </c>
      <c r="S464">
        <v>3.0507200000000001</v>
      </c>
      <c r="T464">
        <v>-0.76362240000000003</v>
      </c>
      <c r="U464">
        <v>-0.4245911</v>
      </c>
      <c r="V464">
        <v>-6.9240659999999996E-2</v>
      </c>
      <c r="W464">
        <v>2.2906039999999999E-2</v>
      </c>
      <c r="X464">
        <v>0.99733700000000003</v>
      </c>
      <c r="Y464">
        <v>0.13247919999999999</v>
      </c>
      <c r="Z464">
        <v>-1.5906389999999999E-2</v>
      </c>
      <c r="AA464">
        <v>0.9910582</v>
      </c>
      <c r="AB464">
        <v>19</v>
      </c>
      <c r="AC464">
        <v>0.68010000000003801</v>
      </c>
      <c r="AD464">
        <v>-0.196407099999999</v>
      </c>
      <c r="AE464">
        <v>-0.109699999999975</v>
      </c>
      <c r="AF464">
        <v>0.100563082466596</v>
      </c>
      <c r="AG464">
        <v>-0.196407099999999</v>
      </c>
      <c r="AH464">
        <v>0.62911641535167895</v>
      </c>
      <c r="AI464">
        <v>107.13356177006</v>
      </c>
      <c r="AJ464">
        <v>80.918207598867895</v>
      </c>
      <c r="AK464">
        <v>0.66669044282225898</v>
      </c>
    </row>
    <row r="465" spans="1:37" x14ac:dyDescent="0.2">
      <c r="A465" t="str">
        <f>"20200111155803360"</f>
        <v>20200111155803360</v>
      </c>
      <c r="B465" t="str">
        <f>"1578729483351521"</f>
        <v>1578729483351521</v>
      </c>
      <c r="C465" t="s">
        <v>37</v>
      </c>
      <c r="D465">
        <v>5.4616680000000004</v>
      </c>
      <c r="E465">
        <v>0.58453239999999995</v>
      </c>
      <c r="F465" t="s">
        <v>38</v>
      </c>
      <c r="G465">
        <v>-402.01440000000002</v>
      </c>
      <c r="H465">
        <v>0.88087649999999995</v>
      </c>
      <c r="I465">
        <v>367.29059999999998</v>
      </c>
      <c r="J465">
        <v>-402.551999999999</v>
      </c>
      <c r="K465">
        <v>1.0536749999999999</v>
      </c>
      <c r="L465">
        <v>367.38709999999998</v>
      </c>
      <c r="M465">
        <v>0.9999943</v>
      </c>
      <c r="N465">
        <v>0</v>
      </c>
      <c r="O465">
        <v>-7.8988339999999896E-4</v>
      </c>
      <c r="P465">
        <v>0.99745919999999899</v>
      </c>
      <c r="Q465">
        <v>1.9818769999999999E-2</v>
      </c>
      <c r="R465">
        <v>6.8429690000000001E-2</v>
      </c>
      <c r="S465">
        <v>3.0508120000000001</v>
      </c>
      <c r="T465">
        <v>-0.76412840000000004</v>
      </c>
      <c r="U465">
        <v>-0.4234619</v>
      </c>
      <c r="V465">
        <v>-6.9238949999999994E-2</v>
      </c>
      <c r="W465">
        <v>2.3066679999999999E-2</v>
      </c>
      <c r="X465">
        <v>0.99733340000000004</v>
      </c>
      <c r="Y465">
        <v>0.13270370000000001</v>
      </c>
      <c r="Z465">
        <v>-1.6097630000000002E-2</v>
      </c>
      <c r="AA465">
        <v>0.99102500000000004</v>
      </c>
      <c r="AB465">
        <v>19</v>
      </c>
      <c r="AC465">
        <v>0.53759999999994001</v>
      </c>
      <c r="AD465">
        <v>-0.17279849999999899</v>
      </c>
      <c r="AE465">
        <v>-9.6499999999991801E-2</v>
      </c>
      <c r="AF465">
        <v>8.7334094464782297E-2</v>
      </c>
      <c r="AG465">
        <v>-0.17279849999999899</v>
      </c>
      <c r="AH465">
        <v>0.48875661751747201</v>
      </c>
      <c r="AI465">
        <v>109.18966623545199</v>
      </c>
      <c r="AJ465">
        <v>79.868952156589501</v>
      </c>
      <c r="AK465">
        <v>0.52570866154682505</v>
      </c>
    </row>
    <row r="466" spans="1:37" x14ac:dyDescent="0.2">
      <c r="A466" t="str">
        <f>"20200111155803382"</f>
        <v>20200111155803382</v>
      </c>
      <c r="B466" t="str">
        <f>"1578729483371042"</f>
        <v>1578729483371042</v>
      </c>
      <c r="C466" t="s">
        <v>37</v>
      </c>
      <c r="D466">
        <v>5.4852160000000003</v>
      </c>
      <c r="E466">
        <v>0.58455179999999995</v>
      </c>
      <c r="F466" t="s">
        <v>38</v>
      </c>
      <c r="G466">
        <v>-401.84350000000001</v>
      </c>
      <c r="H466">
        <v>0.87713779999999997</v>
      </c>
      <c r="I466">
        <v>367.28870000000001</v>
      </c>
      <c r="J466">
        <v>-402.3623</v>
      </c>
      <c r="K466">
        <v>1.0536430000000001</v>
      </c>
      <c r="L466">
        <v>367.38780000000003</v>
      </c>
      <c r="M466">
        <v>0.99999669999999896</v>
      </c>
      <c r="N466">
        <v>0</v>
      </c>
      <c r="O466" s="1">
        <v>-2.0729339999999899E-5</v>
      </c>
      <c r="P466">
        <v>0.99735750000000001</v>
      </c>
      <c r="Q466">
        <v>2.1225480000000001E-2</v>
      </c>
      <c r="R466">
        <v>6.9482829999999995E-2</v>
      </c>
      <c r="S466">
        <v>3.0517270000000001</v>
      </c>
      <c r="T466">
        <v>-0.76069819999999999</v>
      </c>
      <c r="U466">
        <v>-0.42227170000000003</v>
      </c>
      <c r="V466">
        <v>-6.9526009999999999E-2</v>
      </c>
      <c r="W466">
        <v>2.3766010000000001E-2</v>
      </c>
      <c r="X466">
        <v>0.99729699999999999</v>
      </c>
      <c r="Y466">
        <v>0.13304969999999999</v>
      </c>
      <c r="Z466">
        <v>-1.6253529999999999E-2</v>
      </c>
      <c r="AA466">
        <v>0.99097610000000003</v>
      </c>
      <c r="AB466">
        <v>19</v>
      </c>
      <c r="AC466">
        <v>0.51879999999999804</v>
      </c>
      <c r="AD466">
        <v>-0.1765052</v>
      </c>
      <c r="AE466">
        <v>-9.9100000000021199E-2</v>
      </c>
      <c r="AF466">
        <v>8.9135189494168002E-2</v>
      </c>
      <c r="AG466">
        <v>-0.1765052</v>
      </c>
      <c r="AH466">
        <v>0.46668555347809498</v>
      </c>
      <c r="AI466">
        <v>110.379771269231</v>
      </c>
      <c r="AJ466">
        <v>79.186951032095294</v>
      </c>
      <c r="AK466">
        <v>0.50684768269999703</v>
      </c>
    </row>
    <row r="467" spans="1:37" x14ac:dyDescent="0.2">
      <c r="A467" t="str">
        <f>"20200111155803395"</f>
        <v>20200111155803395</v>
      </c>
      <c r="B467" t="str">
        <f>"1578729483391539"</f>
        <v>1578729483391539</v>
      </c>
      <c r="C467" t="s">
        <v>37</v>
      </c>
      <c r="D467">
        <v>5.5034239999999999</v>
      </c>
      <c r="E467">
        <v>0.584565</v>
      </c>
      <c r="F467" t="s">
        <v>38</v>
      </c>
      <c r="G467">
        <v>-401.66699999999997</v>
      </c>
      <c r="H467">
        <v>0.88144739999999999</v>
      </c>
      <c r="I467">
        <v>367.29219999999998</v>
      </c>
      <c r="J467">
        <v>-402.24400000000003</v>
      </c>
      <c r="K467">
        <v>1.05362</v>
      </c>
      <c r="L467">
        <v>367.38830000000002</v>
      </c>
      <c r="M467">
        <v>0.99999760000000004</v>
      </c>
      <c r="N467">
        <v>0</v>
      </c>
      <c r="O467">
        <v>4.561082E-4</v>
      </c>
      <c r="P467">
        <v>0.99729199999999996</v>
      </c>
      <c r="Q467">
        <v>2.218753E-2</v>
      </c>
      <c r="R467">
        <v>7.0118940000000005E-2</v>
      </c>
      <c r="S467">
        <v>3.0531919999999899</v>
      </c>
      <c r="T467">
        <v>-0.75627809999999995</v>
      </c>
      <c r="U467">
        <v>-0.41897579999999901</v>
      </c>
      <c r="V467">
        <v>-6.9687250000000006E-2</v>
      </c>
      <c r="W467">
        <v>2.4325659999999999E-2</v>
      </c>
      <c r="X467">
        <v>0.9972723</v>
      </c>
      <c r="Y467">
        <v>0.13245960000000001</v>
      </c>
      <c r="Z467">
        <v>-1.6199660000000001E-2</v>
      </c>
      <c r="AA467">
        <v>0.99105599999999905</v>
      </c>
      <c r="AB467">
        <v>19</v>
      </c>
      <c r="AC467">
        <v>0.57700000000005502</v>
      </c>
      <c r="AD467">
        <v>-0.17217260000000001</v>
      </c>
      <c r="AE467">
        <v>-9.6100000000035296E-2</v>
      </c>
      <c r="AF467">
        <v>8.8680341607923804E-2</v>
      </c>
      <c r="AG467">
        <v>-0.17217260000000001</v>
      </c>
      <c r="AH467">
        <v>0.530956665016594</v>
      </c>
      <c r="AI467">
        <v>107.73626622683599</v>
      </c>
      <c r="AJ467">
        <v>80.517985821912006</v>
      </c>
      <c r="AK467">
        <v>0.565174828972417</v>
      </c>
    </row>
    <row r="468" spans="1:37" x14ac:dyDescent="0.2">
      <c r="A468" t="str">
        <f>"20200111155803409"</f>
        <v>20200111155803409</v>
      </c>
      <c r="B468" t="str">
        <f>"1578729483401297"</f>
        <v>1578729483401297</v>
      </c>
      <c r="C468" t="s">
        <v>37</v>
      </c>
      <c r="D468">
        <v>5.4746329999999999</v>
      </c>
      <c r="E468">
        <v>0.58456079999999999</v>
      </c>
      <c r="F468" t="s">
        <v>38</v>
      </c>
      <c r="G468">
        <v>-401.49560000000002</v>
      </c>
      <c r="H468">
        <v>0.86910330000000002</v>
      </c>
      <c r="I468">
        <v>367.28590000000003</v>
      </c>
      <c r="J468">
        <v>-402.12189999999998</v>
      </c>
      <c r="K468">
        <v>1.0535939999999999</v>
      </c>
      <c r="L468">
        <v>367.3888</v>
      </c>
      <c r="M468">
        <v>0.99999799999999905</v>
      </c>
      <c r="N468">
        <v>0</v>
      </c>
      <c r="O468">
        <v>9.4740459999999999E-4</v>
      </c>
      <c r="P468">
        <v>0.99720140000000002</v>
      </c>
      <c r="Q468">
        <v>2.3199810000000001E-2</v>
      </c>
      <c r="R468">
        <v>7.1073230000000001E-2</v>
      </c>
      <c r="S468">
        <v>3.05423</v>
      </c>
      <c r="T468">
        <v>-0.75326879999999996</v>
      </c>
      <c r="U468">
        <v>-0.41699219999999998</v>
      </c>
      <c r="V468">
        <v>-7.0151710000000006E-2</v>
      </c>
      <c r="W468">
        <v>2.4940589999999999E-2</v>
      </c>
      <c r="X468">
        <v>0.99722449999999996</v>
      </c>
      <c r="Y468">
        <v>0.13229250000000001</v>
      </c>
      <c r="Z468">
        <v>-1.6231099999999998E-2</v>
      </c>
      <c r="AA468">
        <v>0.99107780000000001</v>
      </c>
      <c r="AB468">
        <v>20</v>
      </c>
      <c r="AC468">
        <v>0.626299999999957</v>
      </c>
      <c r="AD468">
        <v>-0.18449070000000001</v>
      </c>
      <c r="AE468">
        <v>-0.102899999999976</v>
      </c>
      <c r="AF468">
        <v>9.5430212271552101E-2</v>
      </c>
      <c r="AG468">
        <v>-0.18449070000000001</v>
      </c>
      <c r="AH468">
        <v>0.57741519104041095</v>
      </c>
      <c r="AI468">
        <v>107.49667958868901</v>
      </c>
      <c r="AJ468">
        <v>80.615478076883903</v>
      </c>
      <c r="AK468">
        <v>0.61363836797002702</v>
      </c>
    </row>
    <row r="469" spans="1:37" x14ac:dyDescent="0.2">
      <c r="A469" t="str">
        <f>"20200111155803426"</f>
        <v>20200111155803426</v>
      </c>
      <c r="B469" t="str">
        <f>"1578729483421794"</f>
        <v>1578729483421794</v>
      </c>
      <c r="C469" t="s">
        <v>37</v>
      </c>
      <c r="D469">
        <v>5.4863439999999999</v>
      </c>
      <c r="E469">
        <v>0.58455849999999998</v>
      </c>
      <c r="F469" t="s">
        <v>38</v>
      </c>
      <c r="G469">
        <v>-401.32139999999998</v>
      </c>
      <c r="H469">
        <v>0.85709789999999997</v>
      </c>
      <c r="I469">
        <v>367.2801</v>
      </c>
      <c r="J469">
        <v>-401.96429999999998</v>
      </c>
      <c r="K469">
        <v>1.0535559999999999</v>
      </c>
      <c r="L469">
        <v>367.3897</v>
      </c>
      <c r="M469">
        <v>0.999997899999999</v>
      </c>
      <c r="N469">
        <v>0</v>
      </c>
      <c r="O469">
        <v>1.5813929999999999E-3</v>
      </c>
      <c r="P469">
        <v>0.99707500000000004</v>
      </c>
      <c r="Q469">
        <v>2.330465E-2</v>
      </c>
      <c r="R469">
        <v>7.2790209999999994E-2</v>
      </c>
      <c r="S469">
        <v>3.0553889999999999</v>
      </c>
      <c r="T469">
        <v>-0.75003140000000001</v>
      </c>
      <c r="U469">
        <v>-0.41412349999999998</v>
      </c>
      <c r="V469">
        <v>-7.1236519999999998E-2</v>
      </c>
      <c r="W469">
        <v>2.456353E-2</v>
      </c>
      <c r="X469">
        <v>0.99715699999999996</v>
      </c>
      <c r="Y469">
        <v>0.1319825</v>
      </c>
      <c r="Z469">
        <v>-1.6273760000000002E-2</v>
      </c>
      <c r="AA469">
        <v>0.99111839999999995</v>
      </c>
      <c r="AB469">
        <v>20</v>
      </c>
      <c r="AC469">
        <v>0.64289999999999703</v>
      </c>
      <c r="AD469">
        <v>-0.1964581</v>
      </c>
      <c r="AE469">
        <v>-0.1096</v>
      </c>
      <c r="AF469">
        <v>0.101413973335696</v>
      </c>
      <c r="AG469">
        <v>-0.1964581</v>
      </c>
      <c r="AH469">
        <v>0.58925531359647199</v>
      </c>
      <c r="AI469">
        <v>108.188971377775</v>
      </c>
      <c r="AJ469">
        <v>80.234757927628806</v>
      </c>
      <c r="AK469">
        <v>0.62936666867972901</v>
      </c>
    </row>
    <row r="470" spans="1:37" x14ac:dyDescent="0.2">
      <c r="A470" t="str">
        <f>"20200111155803440"</f>
        <v>20200111155803440</v>
      </c>
      <c r="B470" t="str">
        <f>"1578729483431554"</f>
        <v>1578729483431554</v>
      </c>
      <c r="C470" t="s">
        <v>37</v>
      </c>
      <c r="D470">
        <v>5.5000849999999897</v>
      </c>
      <c r="E470">
        <v>0.58456090000000005</v>
      </c>
      <c r="F470" t="s">
        <v>38</v>
      </c>
      <c r="G470">
        <v>-401.1422</v>
      </c>
      <c r="H470">
        <v>0.85198240000000003</v>
      </c>
      <c r="I470">
        <v>367.27960000000002</v>
      </c>
      <c r="J470">
        <v>-401.83580000000001</v>
      </c>
      <c r="K470">
        <v>1.0535299999999901</v>
      </c>
      <c r="L470">
        <v>367.3904</v>
      </c>
      <c r="M470">
        <v>0.99999740000000004</v>
      </c>
      <c r="N470">
        <v>0</v>
      </c>
      <c r="O470">
        <v>2.0982029999999999E-3</v>
      </c>
      <c r="P470">
        <v>0.9970099</v>
      </c>
      <c r="Q470">
        <v>2.3518009999999999E-2</v>
      </c>
      <c r="R470">
        <v>7.3610289999999995E-2</v>
      </c>
      <c r="S470">
        <v>3.0562130000000001</v>
      </c>
      <c r="T470">
        <v>-0.74943119999999996</v>
      </c>
      <c r="U470">
        <v>-0.40905759999999902</v>
      </c>
      <c r="V470">
        <v>-7.1541569999999999E-2</v>
      </c>
      <c r="W470">
        <v>2.440956E-2</v>
      </c>
      <c r="X470">
        <v>0.99713890000000005</v>
      </c>
      <c r="Y470">
        <v>0.13086969999999901</v>
      </c>
      <c r="Z470">
        <v>-1.6249079999999999E-2</v>
      </c>
      <c r="AA470">
        <v>0.99126639999999999</v>
      </c>
      <c r="AB470">
        <v>20</v>
      </c>
      <c r="AC470">
        <v>0.69360000000000299</v>
      </c>
      <c r="AD470">
        <v>-0.20154759999999899</v>
      </c>
      <c r="AE470">
        <v>-0.110799999999983</v>
      </c>
      <c r="AF470">
        <v>0.103715480246564</v>
      </c>
      <c r="AG470">
        <v>-0.20154759999999899</v>
      </c>
      <c r="AH470">
        <v>0.640619498874473</v>
      </c>
      <c r="AI470">
        <v>107.253211746643</v>
      </c>
      <c r="AJ470">
        <v>80.8036811479124</v>
      </c>
      <c r="AK470">
        <v>0.67953784165910602</v>
      </c>
    </row>
    <row r="471" spans="1:37" x14ac:dyDescent="0.2">
      <c r="A471" t="str">
        <f>"20200111155803454"</f>
        <v>20200111155803454</v>
      </c>
      <c r="B471" t="str">
        <f>"1578729483441315"</f>
        <v>1578729483441315</v>
      </c>
      <c r="C471" t="s">
        <v>37</v>
      </c>
      <c r="D471">
        <v>5.5229200000000001</v>
      </c>
      <c r="E471">
        <v>0.58456669999999999</v>
      </c>
      <c r="F471" t="s">
        <v>38</v>
      </c>
      <c r="G471">
        <v>-401.13049999999998</v>
      </c>
      <c r="H471">
        <v>0.880833599999999</v>
      </c>
      <c r="I471">
        <v>367.29640000000001</v>
      </c>
      <c r="J471">
        <v>-401.71890000000002</v>
      </c>
      <c r="K471">
        <v>1.053509</v>
      </c>
      <c r="L471">
        <v>367.39109999999999</v>
      </c>
      <c r="M471">
        <v>0.99999660000000001</v>
      </c>
      <c r="N471">
        <v>0</v>
      </c>
      <c r="O471">
        <v>2.569174E-3</v>
      </c>
      <c r="P471">
        <v>0.99694229999999995</v>
      </c>
      <c r="Q471">
        <v>2.3733879999999999E-2</v>
      </c>
      <c r="R471">
        <v>7.4451450000000002E-2</v>
      </c>
      <c r="S471">
        <v>3.056702</v>
      </c>
      <c r="T471">
        <v>-0.74848909999999902</v>
      </c>
      <c r="U471">
        <v>-0.407196</v>
      </c>
      <c r="V471">
        <v>-7.1913089999999999E-2</v>
      </c>
      <c r="W471">
        <v>2.4306589999999999E-2</v>
      </c>
      <c r="X471">
        <v>0.99711469999999902</v>
      </c>
      <c r="Y471">
        <v>0.13072329999999999</v>
      </c>
      <c r="Z471">
        <v>-1.6322960000000001E-2</v>
      </c>
      <c r="AA471">
        <v>0.99128449999999901</v>
      </c>
      <c r="AB471">
        <v>20</v>
      </c>
      <c r="AC471">
        <v>0.58840000000003501</v>
      </c>
      <c r="AD471">
        <v>-0.17267540000000001</v>
      </c>
      <c r="AE471">
        <v>-9.4699999999988904E-2</v>
      </c>
      <c r="AF471">
        <v>8.8760170614267497E-2</v>
      </c>
      <c r="AG471">
        <v>-0.17267540000000001</v>
      </c>
      <c r="AH471">
        <v>0.54260433017363296</v>
      </c>
      <c r="AI471">
        <v>107.435430273961</v>
      </c>
      <c r="AJ471">
        <v>80.709738468650002</v>
      </c>
      <c r="AK471">
        <v>0.57629386668245197</v>
      </c>
    </row>
    <row r="472" spans="1:37" x14ac:dyDescent="0.2">
      <c r="A472" t="str">
        <f>"20200111155803471"</f>
        <v>20200111155803471</v>
      </c>
      <c r="B472" t="str">
        <f>"1578729483461810"</f>
        <v>1578729483461810</v>
      </c>
      <c r="C472" t="s">
        <v>37</v>
      </c>
      <c r="D472">
        <v>5.5417339999999999</v>
      </c>
      <c r="E472">
        <v>0.58456439999999998</v>
      </c>
      <c r="F472" t="s">
        <v>38</v>
      </c>
      <c r="G472">
        <v>-400.95310000000001</v>
      </c>
      <c r="H472">
        <v>0.86635519999999999</v>
      </c>
      <c r="I472">
        <v>367.28930000000003</v>
      </c>
      <c r="J472">
        <v>-401.55279999999999</v>
      </c>
      <c r="K472">
        <v>1.053474</v>
      </c>
      <c r="L472">
        <v>367.3922</v>
      </c>
      <c r="M472">
        <v>0.99999490000000002</v>
      </c>
      <c r="N472">
        <v>0</v>
      </c>
      <c r="O472">
        <v>3.2432390000000002E-3</v>
      </c>
      <c r="P472">
        <v>0.99685480000000004</v>
      </c>
      <c r="Q472">
        <v>2.440925E-2</v>
      </c>
      <c r="R472">
        <v>7.5397569999999997E-2</v>
      </c>
      <c r="S472">
        <v>3.0572509999999999</v>
      </c>
      <c r="T472">
        <v>-0.74739019999999901</v>
      </c>
      <c r="U472">
        <v>-0.4048157</v>
      </c>
      <c r="V472">
        <v>-7.2188420000000003E-2</v>
      </c>
      <c r="W472">
        <v>2.454541E-2</v>
      </c>
      <c r="X472">
        <v>0.997088999999999</v>
      </c>
      <c r="Y472">
        <v>0.13060539999999901</v>
      </c>
      <c r="Z472">
        <v>-1.644524E-2</v>
      </c>
      <c r="AA472">
        <v>0.99129799999999901</v>
      </c>
      <c r="AB472">
        <v>20</v>
      </c>
      <c r="AC472">
        <v>0.59969999999998402</v>
      </c>
      <c r="AD472">
        <v>-0.1871188</v>
      </c>
      <c r="AE472">
        <v>-0.102899999999976</v>
      </c>
      <c r="AF472">
        <v>9.5785730245734196E-2</v>
      </c>
      <c r="AG472">
        <v>-0.1871188</v>
      </c>
      <c r="AH472">
        <v>0.547577342958256</v>
      </c>
      <c r="AI472">
        <v>108.60374885858501</v>
      </c>
      <c r="AJ472">
        <v>80.077846519351795</v>
      </c>
      <c r="AK472">
        <v>0.58654010771077802</v>
      </c>
    </row>
    <row r="473" spans="1:37" x14ac:dyDescent="0.2">
      <c r="A473" t="str">
        <f>"20200111155803488"</f>
        <v>20200111155803488</v>
      </c>
      <c r="B473" t="str">
        <f>"1578729483481330"</f>
        <v>1578729483481330</v>
      </c>
      <c r="C473" t="s">
        <v>37</v>
      </c>
      <c r="D473">
        <v>8.0513680000000001</v>
      </c>
      <c r="E473">
        <v>0.58457199999999998</v>
      </c>
      <c r="F473" t="s">
        <v>38</v>
      </c>
      <c r="G473">
        <v>-400.7688</v>
      </c>
      <c r="H473">
        <v>0.86253959999999996</v>
      </c>
      <c r="I473">
        <v>367.28879999999998</v>
      </c>
      <c r="J473">
        <v>-401.40370000000001</v>
      </c>
      <c r="K473">
        <v>1.05345</v>
      </c>
      <c r="L473">
        <v>367.39330000000001</v>
      </c>
      <c r="M473">
        <v>0.99999249999999995</v>
      </c>
      <c r="N473">
        <v>0</v>
      </c>
      <c r="O473">
        <v>3.8551240000000001E-3</v>
      </c>
      <c r="P473">
        <v>0.99682800000000005</v>
      </c>
      <c r="Q473">
        <v>2.468472E-2</v>
      </c>
      <c r="R473">
        <v>7.5664590000000004E-2</v>
      </c>
      <c r="S473">
        <v>3.0581049999999999</v>
      </c>
      <c r="T473">
        <v>-0.74497559999999996</v>
      </c>
      <c r="U473">
        <v>-0.40237430000000002</v>
      </c>
      <c r="V473">
        <v>-7.1845790000000007E-2</v>
      </c>
      <c r="W473">
        <v>2.4445310000000001E-2</v>
      </c>
      <c r="X473">
        <v>0.99711609999999995</v>
      </c>
      <c r="Y473">
        <v>0.130412</v>
      </c>
      <c r="Z473">
        <v>-1.6513199999999999E-2</v>
      </c>
      <c r="AA473">
        <v>0.99132229999999999</v>
      </c>
      <c r="AB473">
        <v>21</v>
      </c>
      <c r="AC473">
        <v>0.63490000000001601</v>
      </c>
      <c r="AD473">
        <v>-0.19091039999999901</v>
      </c>
      <c r="AE473">
        <v>-0.10450000000003</v>
      </c>
      <c r="AF473">
        <v>9.8293854936858202E-2</v>
      </c>
      <c r="AG473">
        <v>-0.19091039999999901</v>
      </c>
      <c r="AH473">
        <v>0.58315612655441196</v>
      </c>
      <c r="AI473">
        <v>107.89115588155499</v>
      </c>
      <c r="AJ473">
        <v>80.4324432363196</v>
      </c>
      <c r="AK473">
        <v>0.62143344831482406</v>
      </c>
    </row>
    <row r="474" spans="1:37" x14ac:dyDescent="0.2">
      <c r="A474" t="str">
        <f>"20200111155803504"</f>
        <v>20200111155803504</v>
      </c>
      <c r="B474" t="str">
        <f>"1578729483501826"</f>
        <v>1578729483501826</v>
      </c>
      <c r="C474" t="s">
        <v>37</v>
      </c>
      <c r="D474">
        <v>5.9590430000000003</v>
      </c>
      <c r="E474">
        <v>0.58798609999999996</v>
      </c>
      <c r="F474" t="s">
        <v>38</v>
      </c>
      <c r="G474">
        <v>-400.5838</v>
      </c>
      <c r="H474">
        <v>0.85410200000000003</v>
      </c>
      <c r="I474">
        <v>367.28489999999999</v>
      </c>
      <c r="J474">
        <v>-401.24299999999999</v>
      </c>
      <c r="K474">
        <v>1.0534299999999901</v>
      </c>
      <c r="L474">
        <v>367.39460000000003</v>
      </c>
      <c r="M474">
        <v>0.99998969999999898</v>
      </c>
      <c r="N474">
        <v>0</v>
      </c>
      <c r="O474">
        <v>4.5270529999999996E-3</v>
      </c>
      <c r="P474">
        <v>0.99676439999999999</v>
      </c>
      <c r="Q474">
        <v>2.5267290000000001E-2</v>
      </c>
      <c r="R474">
        <v>7.6304629999999998E-2</v>
      </c>
      <c r="S474">
        <v>3.0584410000000002</v>
      </c>
      <c r="T474">
        <v>-0.74394490000000002</v>
      </c>
      <c r="U474">
        <v>-0.40191650000000001</v>
      </c>
      <c r="V474">
        <v>-7.181738E-2</v>
      </c>
      <c r="W474">
        <v>2.464599E-2</v>
      </c>
      <c r="X474">
        <v>0.99711319999999903</v>
      </c>
      <c r="Y474">
        <v>0.13089589999999901</v>
      </c>
      <c r="Z474">
        <v>-1.6707630000000001E-2</v>
      </c>
      <c r="AA474">
        <v>0.99125529999999995</v>
      </c>
      <c r="AB474">
        <v>21</v>
      </c>
      <c r="AC474">
        <v>0.65920000000005496</v>
      </c>
      <c r="AD474">
        <v>-0.19932799999999901</v>
      </c>
      <c r="AE474">
        <v>-0.10970000000003199</v>
      </c>
      <c r="AF474">
        <v>0.10347687770184701</v>
      </c>
      <c r="AG474">
        <v>-0.19932799999999901</v>
      </c>
      <c r="AH474">
        <v>0.60488098636017795</v>
      </c>
      <c r="AI474">
        <v>107.99452445280799</v>
      </c>
      <c r="AJ474">
        <v>80.292391110929003</v>
      </c>
      <c r="AK474">
        <v>0.64522873731955299</v>
      </c>
    </row>
    <row r="475" spans="1:37" x14ac:dyDescent="0.2">
      <c r="A475" t="str">
        <f>"20200111155803520"</f>
        <v>20200111155803520</v>
      </c>
      <c r="B475" t="str">
        <f>"1578729483511587"</f>
        <v>1578729483511587</v>
      </c>
      <c r="C475" t="s">
        <v>37</v>
      </c>
      <c r="D475">
        <v>8.1261700000000001</v>
      </c>
      <c r="E475">
        <v>0.58734919999999902</v>
      </c>
      <c r="F475" t="s">
        <v>38</v>
      </c>
      <c r="G475">
        <v>-400.55380000000002</v>
      </c>
      <c r="H475">
        <v>0.92191199999999995</v>
      </c>
      <c r="I475">
        <v>367.29570000000001</v>
      </c>
      <c r="J475">
        <v>-401.09829999999999</v>
      </c>
      <c r="K475">
        <v>1.053428</v>
      </c>
      <c r="L475">
        <v>367.39580000000001</v>
      </c>
      <c r="M475">
        <v>0.99998670000000001</v>
      </c>
      <c r="N475">
        <v>0</v>
      </c>
      <c r="O475">
        <v>5.1166859999999996E-3</v>
      </c>
      <c r="P475">
        <v>0.99672159999999999</v>
      </c>
      <c r="Q475">
        <v>2.509728E-2</v>
      </c>
      <c r="R475">
        <v>7.6920719999999998E-2</v>
      </c>
      <c r="S475">
        <v>3.057922</v>
      </c>
      <c r="T475">
        <v>-0.58413539999999997</v>
      </c>
      <c r="U475">
        <v>-0.43609619999999999</v>
      </c>
      <c r="V475">
        <v>-7.184567E-2</v>
      </c>
      <c r="W475">
        <v>2.4247000000000001E-2</v>
      </c>
      <c r="X475">
        <v>0.99712099999999904</v>
      </c>
      <c r="Y475">
        <v>0.1436105</v>
      </c>
      <c r="Z475">
        <v>-1.4490960000000001E-2</v>
      </c>
      <c r="AA475">
        <v>0.98952819999999997</v>
      </c>
      <c r="AB475">
        <v>21</v>
      </c>
      <c r="AC475">
        <v>0.54449999999997001</v>
      </c>
      <c r="AD475">
        <v>-0.13151599999999899</v>
      </c>
      <c r="AE475">
        <v>-0.100099999999997</v>
      </c>
      <c r="AF475">
        <v>9.7388865977834096E-2</v>
      </c>
      <c r="AG475">
        <v>-0.13151599999999899</v>
      </c>
      <c r="AH475">
        <v>0.51492252426944896</v>
      </c>
      <c r="AI475">
        <v>104.088008212218</v>
      </c>
      <c r="AJ475">
        <v>79.289982564486607</v>
      </c>
      <c r="AK475">
        <v>0.54030200395007799</v>
      </c>
    </row>
    <row r="476" spans="1:37" x14ac:dyDescent="0.2">
      <c r="A476" t="str">
        <f>"20200111155803539"</f>
        <v>20200111155803539</v>
      </c>
      <c r="B476" t="str">
        <f>"1578729483531105"</f>
        <v>1578729483531105</v>
      </c>
      <c r="C476" t="s">
        <v>37</v>
      </c>
      <c r="D476">
        <v>5.7451800000000004</v>
      </c>
      <c r="E476">
        <v>0.58629909999999996</v>
      </c>
      <c r="F476" t="s">
        <v>38</v>
      </c>
      <c r="G476">
        <v>-400.36880000000002</v>
      </c>
      <c r="H476">
        <v>0.91047429999999996</v>
      </c>
      <c r="I476">
        <v>367.29340000000002</v>
      </c>
      <c r="J476">
        <v>-400.9101</v>
      </c>
      <c r="K476">
        <v>1.0535920000000001</v>
      </c>
      <c r="L476">
        <v>367.39749999999998</v>
      </c>
      <c r="M476">
        <v>0.99998209999999998</v>
      </c>
      <c r="N476">
        <v>0</v>
      </c>
      <c r="O476">
        <v>5.8647639999999997E-3</v>
      </c>
      <c r="P476">
        <v>0.99662899999999999</v>
      </c>
      <c r="Q476">
        <v>2.5478170000000001E-2</v>
      </c>
      <c r="R476">
        <v>7.7986159999999999E-2</v>
      </c>
      <c r="S476">
        <v>3.05804399999999</v>
      </c>
      <c r="T476">
        <v>-0.59939969999999998</v>
      </c>
      <c r="U476">
        <v>-0.42868040000000002</v>
      </c>
      <c r="V476">
        <v>-7.2166350000000004E-2</v>
      </c>
      <c r="W476">
        <v>2.4121150000000001E-2</v>
      </c>
      <c r="X476">
        <v>0.99710089999999996</v>
      </c>
      <c r="Y476">
        <v>0.14187139999999901</v>
      </c>
      <c r="Z476">
        <v>-1.4841160000000001E-2</v>
      </c>
      <c r="AA476">
        <v>0.98977380000000004</v>
      </c>
      <c r="AB476">
        <v>21</v>
      </c>
      <c r="AC476">
        <v>0.54129999999997802</v>
      </c>
      <c r="AD476">
        <v>-0.14311769999999999</v>
      </c>
      <c r="AE476">
        <v>-0.104099999999959</v>
      </c>
      <c r="AF476">
        <v>0.100498021054629</v>
      </c>
      <c r="AG476">
        <v>-0.14311769999999999</v>
      </c>
      <c r="AH476">
        <v>0.506533646480684</v>
      </c>
      <c r="AI476">
        <v>105.490249550106</v>
      </c>
      <c r="AJ476">
        <v>78.778051967929301</v>
      </c>
      <c r="AK476">
        <v>0.53587205871010402</v>
      </c>
    </row>
    <row r="477" spans="1:37" x14ac:dyDescent="0.2">
      <c r="A477" t="str">
        <f>"20200111155803574"</f>
        <v>20200111155803574</v>
      </c>
      <c r="B477" t="str">
        <f>"1578729483561362"</f>
        <v>1578729483561362</v>
      </c>
      <c r="C477" t="s">
        <v>37</v>
      </c>
      <c r="D477">
        <v>5.865551</v>
      </c>
      <c r="E477">
        <v>0.58633519999999995</v>
      </c>
      <c r="F477" t="s">
        <v>38</v>
      </c>
      <c r="G477">
        <v>-400.1782</v>
      </c>
      <c r="H477">
        <v>0.90700569999999903</v>
      </c>
      <c r="I477">
        <v>367.29739999999998</v>
      </c>
      <c r="J477">
        <v>-400.58539999999999</v>
      </c>
      <c r="K477">
        <v>1.054557</v>
      </c>
      <c r="L477">
        <v>367.4008</v>
      </c>
      <c r="M477">
        <v>0.99997099999999906</v>
      </c>
      <c r="N477">
        <v>0</v>
      </c>
      <c r="O477">
        <v>7.103608E-3</v>
      </c>
      <c r="P477">
        <v>0.99645419999999996</v>
      </c>
      <c r="Q477">
        <v>2.6862899999999999E-2</v>
      </c>
      <c r="R477">
        <v>7.9734299999999994E-2</v>
      </c>
      <c r="S477">
        <v>3.0584410000000002</v>
      </c>
      <c r="T477">
        <v>-0.61284719999999904</v>
      </c>
      <c r="U477">
        <v>-0.41690059999999901</v>
      </c>
      <c r="V477">
        <v>-7.2680439999999999E-2</v>
      </c>
      <c r="W477">
        <v>2.4044880000000001E-2</v>
      </c>
      <c r="X477">
        <v>0.99706539999999999</v>
      </c>
      <c r="Y477">
        <v>0.13924039999999999</v>
      </c>
      <c r="Z477">
        <v>-1.515466E-2</v>
      </c>
      <c r="AA477">
        <v>0.99014259999999998</v>
      </c>
      <c r="AB477">
        <v>22</v>
      </c>
      <c r="AC477">
        <v>0.40719999999998802</v>
      </c>
      <c r="AD477">
        <v>-0.1475513</v>
      </c>
      <c r="AE477">
        <v>-0.103400000000021</v>
      </c>
      <c r="AF477">
        <v>9.4618913455302503E-2</v>
      </c>
      <c r="AG477">
        <v>-0.1475513</v>
      </c>
      <c r="AH477">
        <v>0.36182475805803599</v>
      </c>
      <c r="AI477">
        <v>111.530761516764</v>
      </c>
      <c r="AJ477">
        <v>75.3450537190148</v>
      </c>
      <c r="AK477">
        <v>0.40204636605609101</v>
      </c>
    </row>
    <row r="478" spans="1:37" x14ac:dyDescent="0.2">
      <c r="A478" t="str">
        <f>"20200111155803594"</f>
        <v>20200111155803594</v>
      </c>
      <c r="B478" t="str">
        <f>"1578729483581858"</f>
        <v>1578729483581858</v>
      </c>
      <c r="C478" t="s">
        <v>37</v>
      </c>
      <c r="D478">
        <v>5.7617260000000003</v>
      </c>
      <c r="E478">
        <v>0.56693649999999995</v>
      </c>
      <c r="F478" t="s">
        <v>38</v>
      </c>
      <c r="G478">
        <v>-399.7919</v>
      </c>
      <c r="H478">
        <v>0.89677299999999904</v>
      </c>
      <c r="I478">
        <v>367.29360000000003</v>
      </c>
      <c r="J478">
        <v>-400.38139999999999</v>
      </c>
      <c r="K478">
        <v>1.0555649999999901</v>
      </c>
      <c r="L478">
        <v>367.40300000000002</v>
      </c>
      <c r="M478">
        <v>0.99996169999999995</v>
      </c>
      <c r="N478">
        <v>0</v>
      </c>
      <c r="O478">
        <v>7.8511339999999992E-3</v>
      </c>
      <c r="P478">
        <v>0.99631769999999997</v>
      </c>
      <c r="Q478">
        <v>2.8151329999999999E-2</v>
      </c>
      <c r="R478">
        <v>8.0985699999999994E-2</v>
      </c>
      <c r="S478">
        <v>3.060028</v>
      </c>
      <c r="T478">
        <v>-0.60867369999999898</v>
      </c>
      <c r="U478">
        <v>-0.4116821</v>
      </c>
      <c r="V478">
        <v>-7.3187459999999996E-2</v>
      </c>
      <c r="W478">
        <v>2.4189800000000001E-2</v>
      </c>
      <c r="X478">
        <v>0.99702479999999905</v>
      </c>
      <c r="Y478">
        <v>0.13829759999999999</v>
      </c>
      <c r="Z478">
        <v>-1.5101689999999999E-2</v>
      </c>
      <c r="AA478">
        <v>0.99027559999999903</v>
      </c>
      <c r="AB478">
        <v>22</v>
      </c>
      <c r="AC478">
        <v>0.58949999999998604</v>
      </c>
      <c r="AD478">
        <v>-0.15879199999999899</v>
      </c>
      <c r="AE478">
        <v>-0.109399999999993</v>
      </c>
      <c r="AF478">
        <v>0.106551095426226</v>
      </c>
      <c r="AG478">
        <v>-0.15879199999999899</v>
      </c>
      <c r="AH478">
        <v>0.55004137210431903</v>
      </c>
      <c r="AI478">
        <v>105.82390825759499</v>
      </c>
      <c r="AJ478">
        <v>79.036753088875102</v>
      </c>
      <c r="AK478">
        <v>0.58233456554366703</v>
      </c>
    </row>
    <row r="479" spans="1:37" x14ac:dyDescent="0.2">
      <c r="A479" t="str">
        <f>"20200111155803608"</f>
        <v>20200111155803608</v>
      </c>
      <c r="B479" t="str">
        <f>"1578729483601379"</f>
        <v>1578729483601379</v>
      </c>
      <c r="C479" t="s">
        <v>37</v>
      </c>
      <c r="D479">
        <v>5.7418019999999999</v>
      </c>
      <c r="E479">
        <v>0.55541419999999997</v>
      </c>
      <c r="F479" t="s">
        <v>38</v>
      </c>
      <c r="G479">
        <v>-399.58640000000003</v>
      </c>
      <c r="H479">
        <v>0.91496169999999999</v>
      </c>
      <c r="I479">
        <v>367.3356</v>
      </c>
      <c r="J479">
        <v>-400.23390000000001</v>
      </c>
      <c r="K479">
        <v>1.0564389999999999</v>
      </c>
      <c r="L479">
        <v>367.40469999999999</v>
      </c>
      <c r="M479">
        <v>0.99995349999999905</v>
      </c>
      <c r="N479">
        <v>0</v>
      </c>
      <c r="O479">
        <v>8.380864E-3</v>
      </c>
      <c r="P479">
        <v>0.99625359999999996</v>
      </c>
      <c r="Q479">
        <v>2.8934250000000002E-2</v>
      </c>
      <c r="R479">
        <v>8.1495670000000006E-2</v>
      </c>
      <c r="S479">
        <v>3.0472410000000001</v>
      </c>
      <c r="T479">
        <v>-0.53923809999999905</v>
      </c>
      <c r="U479">
        <v>-0.25720209999999999</v>
      </c>
      <c r="V479">
        <v>-7.3169540000000005E-2</v>
      </c>
      <c r="W479">
        <v>2.4102559999999999E-2</v>
      </c>
      <c r="X479">
        <v>0.99702819999999903</v>
      </c>
      <c r="Y479">
        <v>9.09219E-2</v>
      </c>
      <c r="Z479">
        <v>-9.4381090000000001E-3</v>
      </c>
      <c r="AA479">
        <v>0.99581330000000001</v>
      </c>
      <c r="AB479">
        <v>22</v>
      </c>
      <c r="AC479">
        <v>0.64749999999997898</v>
      </c>
      <c r="AD479">
        <v>-0.141477299999999</v>
      </c>
      <c r="AE479">
        <v>-6.9099999999991696E-2</v>
      </c>
      <c r="AF479">
        <v>7.1164994712766994E-2</v>
      </c>
      <c r="AG479">
        <v>-0.141477299999999</v>
      </c>
      <c r="AH479">
        <v>0.61773859983665103</v>
      </c>
      <c r="AI479">
        <v>102.81772315278801</v>
      </c>
      <c r="AJ479">
        <v>83.428356232259702</v>
      </c>
      <c r="AK479">
        <v>0.63771565812351205</v>
      </c>
    </row>
    <row r="480" spans="1:37" x14ac:dyDescent="0.2">
      <c r="A480" t="str">
        <f>"20200111155803620"</f>
        <v>20200111155803620</v>
      </c>
      <c r="B480" t="str">
        <f>"1578729483611139"</f>
        <v>1578729483611139</v>
      </c>
      <c r="C480" t="s">
        <v>37</v>
      </c>
      <c r="D480">
        <v>5.8805959999999997</v>
      </c>
      <c r="E480">
        <v>0.55261610000000005</v>
      </c>
      <c r="F480" t="s">
        <v>38</v>
      </c>
      <c r="G480">
        <v>-399.3766</v>
      </c>
      <c r="H480">
        <v>0.93544859999999896</v>
      </c>
      <c r="I480">
        <v>367.35660000000001</v>
      </c>
      <c r="J480">
        <v>-400.10480000000001</v>
      </c>
      <c r="K480">
        <v>1.0572919999999999</v>
      </c>
      <c r="L480">
        <v>367.40629999999999</v>
      </c>
      <c r="M480">
        <v>0.9999458</v>
      </c>
      <c r="N480">
        <v>0</v>
      </c>
      <c r="O480">
        <v>8.8353839999999999E-3</v>
      </c>
      <c r="P480">
        <v>0.99618689999999999</v>
      </c>
      <c r="Q480">
        <v>2.9602730000000001E-2</v>
      </c>
      <c r="R480">
        <v>8.2071649999999996E-2</v>
      </c>
      <c r="S480">
        <v>3.0375669999999899</v>
      </c>
      <c r="T480">
        <v>-0.42898159999999902</v>
      </c>
      <c r="U480">
        <v>-0.1694946</v>
      </c>
      <c r="V480">
        <v>-7.3292399999999994E-2</v>
      </c>
      <c r="W480">
        <v>2.3995309999999999E-2</v>
      </c>
      <c r="X480">
        <v>0.99702179999999996</v>
      </c>
      <c r="Y480">
        <v>6.3813659999999994E-2</v>
      </c>
      <c r="Z480">
        <v>-5.721126E-3</v>
      </c>
      <c r="AA480">
        <v>0.99794539999999998</v>
      </c>
      <c r="AB480">
        <v>22</v>
      </c>
      <c r="AC480">
        <v>0.72820000000001495</v>
      </c>
      <c r="AD480">
        <v>-0.1218434</v>
      </c>
      <c r="AE480">
        <v>-4.9699999999972898E-2</v>
      </c>
      <c r="AF480">
        <v>5.4610280049971302E-2</v>
      </c>
      <c r="AG480">
        <v>-0.1218434</v>
      </c>
      <c r="AH480">
        <v>0.70800280192822895</v>
      </c>
      <c r="AI480">
        <v>99.736276991449301</v>
      </c>
      <c r="AJ480">
        <v>85.589345932457505</v>
      </c>
      <c r="AK480">
        <v>0.720483215868988</v>
      </c>
    </row>
    <row r="481" spans="1:37" x14ac:dyDescent="0.2">
      <c r="A481" t="str">
        <f>"20200111155803639"</f>
        <v>20200111155803639</v>
      </c>
      <c r="B481" t="str">
        <f>"1578729483631633"</f>
        <v>1578729483631633</v>
      </c>
      <c r="C481" t="s">
        <v>37</v>
      </c>
      <c r="D481">
        <v>5.8123420000000001</v>
      </c>
      <c r="E481">
        <v>0.55095740000000004</v>
      </c>
      <c r="F481" t="s">
        <v>38</v>
      </c>
      <c r="G481">
        <v>-399.36419999999998</v>
      </c>
      <c r="H481">
        <v>0.96186589999999905</v>
      </c>
      <c r="I481">
        <v>367.37009999999998</v>
      </c>
      <c r="J481">
        <v>-399.92140000000001</v>
      </c>
      <c r="K481">
        <v>1.058573</v>
      </c>
      <c r="L481">
        <v>367.4085</v>
      </c>
      <c r="M481">
        <v>0.99993319999999997</v>
      </c>
      <c r="N481">
        <v>0</v>
      </c>
      <c r="O481">
        <v>9.4703410000000002E-3</v>
      </c>
      <c r="P481">
        <v>0.99611620000000001</v>
      </c>
      <c r="Q481">
        <v>3.0386400000000001E-2</v>
      </c>
      <c r="R481">
        <v>8.2641930000000002E-2</v>
      </c>
      <c r="S481">
        <v>3.0352480000000002</v>
      </c>
      <c r="T481">
        <v>-0.39138479999999998</v>
      </c>
      <c r="U481">
        <v>-0.14718629999999999</v>
      </c>
      <c r="V481">
        <v>-7.3229719999999998E-2</v>
      </c>
      <c r="W481">
        <v>2.3687840000000002E-2</v>
      </c>
      <c r="X481">
        <v>0.99703379999999997</v>
      </c>
      <c r="Y481">
        <v>5.7340769999999999E-2</v>
      </c>
      <c r="Z481">
        <v>-4.8950840000000001E-3</v>
      </c>
      <c r="AA481">
        <v>0.99834269999999903</v>
      </c>
      <c r="AB481">
        <v>22</v>
      </c>
      <c r="AC481">
        <v>0.55720000000002201</v>
      </c>
      <c r="AD481">
        <v>-9.6707100000000004E-2</v>
      </c>
      <c r="AE481">
        <v>-3.8400000000024102E-2</v>
      </c>
      <c r="AF481">
        <v>4.2403981414884703E-2</v>
      </c>
      <c r="AG481">
        <v>-9.6707100000000004E-2</v>
      </c>
      <c r="AH481">
        <v>0.54060384816250995</v>
      </c>
      <c r="AI481">
        <v>100.111787942755</v>
      </c>
      <c r="AJ481">
        <v>85.515006393552099</v>
      </c>
      <c r="AK481">
        <v>0.55082018978824498</v>
      </c>
    </row>
    <row r="482" spans="1:37" x14ac:dyDescent="0.2">
      <c r="A482" t="str">
        <f>"20200111155803654"</f>
        <v>20200111155803654</v>
      </c>
      <c r="B482" t="str">
        <f>"1578729483651153"</f>
        <v>1578729483651153</v>
      </c>
      <c r="C482" t="s">
        <v>37</v>
      </c>
      <c r="D482">
        <v>6.3100860000000001</v>
      </c>
      <c r="E482">
        <v>0.54881259999999998</v>
      </c>
      <c r="F482" t="s">
        <v>38</v>
      </c>
      <c r="G482">
        <v>-399.15559999999999</v>
      </c>
      <c r="H482">
        <v>0.97542669999999998</v>
      </c>
      <c r="I482">
        <v>367.3741</v>
      </c>
      <c r="J482">
        <v>-399.77370000000002</v>
      </c>
      <c r="K482">
        <v>1.0596289999999999</v>
      </c>
      <c r="L482">
        <v>367.41050000000001</v>
      </c>
      <c r="M482">
        <v>0.99992209999999904</v>
      </c>
      <c r="N482">
        <v>0</v>
      </c>
      <c r="O482">
        <v>9.9726869999999992E-3</v>
      </c>
      <c r="P482">
        <v>0.99605689999999902</v>
      </c>
      <c r="Q482">
        <v>3.1244149999999998E-2</v>
      </c>
      <c r="R482">
        <v>8.3032990000000001E-2</v>
      </c>
      <c r="S482">
        <v>3.0329899999999999</v>
      </c>
      <c r="T482">
        <v>-0.32948640000000001</v>
      </c>
      <c r="U482">
        <v>-0.13571169999999999</v>
      </c>
      <c r="V482">
        <v>-7.3119890000000007E-2</v>
      </c>
      <c r="W482">
        <v>2.3688310000000001E-2</v>
      </c>
      <c r="X482">
        <v>0.99704179999999998</v>
      </c>
      <c r="Y482">
        <v>5.4283900000000003E-2</v>
      </c>
      <c r="Z482">
        <v>-4.0181779999999999E-3</v>
      </c>
      <c r="AA482">
        <v>0.99851749999999995</v>
      </c>
      <c r="AB482">
        <v>23</v>
      </c>
      <c r="AC482">
        <v>0.61810000000002596</v>
      </c>
      <c r="AD482">
        <v>-8.4202300000000105E-2</v>
      </c>
      <c r="AE482">
        <v>-3.6400000000014601E-2</v>
      </c>
      <c r="AF482">
        <v>4.1789630914400702E-2</v>
      </c>
      <c r="AG482">
        <v>-8.4202300000000105E-2</v>
      </c>
      <c r="AH482">
        <v>0.60648992322608597</v>
      </c>
      <c r="AI482">
        <v>97.885697141349098</v>
      </c>
      <c r="AJ482">
        <v>86.058317149008005</v>
      </c>
      <c r="AK482">
        <v>0.61373155984684002</v>
      </c>
    </row>
    <row r="483" spans="1:37" x14ac:dyDescent="0.2">
      <c r="A483" t="str">
        <f>"20200111155803672"</f>
        <v>20200111155803672</v>
      </c>
      <c r="B483" t="str">
        <f>"1578729483661889"</f>
        <v>1578729483661889</v>
      </c>
      <c r="C483" t="s">
        <v>37</v>
      </c>
      <c r="D483">
        <v>5.8579650000000001</v>
      </c>
      <c r="E483">
        <v>0.54836149999999995</v>
      </c>
      <c r="F483" t="s">
        <v>38</v>
      </c>
      <c r="G483">
        <v>-398.9495</v>
      </c>
      <c r="H483">
        <v>0.97928680000000001</v>
      </c>
      <c r="I483">
        <v>367.37790000000001</v>
      </c>
      <c r="J483">
        <v>-399.58170000000001</v>
      </c>
      <c r="K483">
        <v>1.0609899999999901</v>
      </c>
      <c r="L483">
        <v>367.41300000000001</v>
      </c>
      <c r="M483">
        <v>0.99990689999999904</v>
      </c>
      <c r="N483">
        <v>0</v>
      </c>
      <c r="O483">
        <v>1.061308E-2</v>
      </c>
      <c r="P483">
        <v>0.9960154</v>
      </c>
      <c r="Q483">
        <v>3.1669259999999998E-2</v>
      </c>
      <c r="R483">
        <v>8.3367930000000007E-2</v>
      </c>
      <c r="S483">
        <v>3.0310359999999998</v>
      </c>
      <c r="T483">
        <v>-0.29583530000000002</v>
      </c>
      <c r="U483">
        <v>-0.11853030000000001</v>
      </c>
      <c r="V483">
        <v>-7.2815270000000001E-2</v>
      </c>
      <c r="W483">
        <v>2.3043319999999999E-2</v>
      </c>
      <c r="X483">
        <v>0.99707919999999906</v>
      </c>
      <c r="Y483">
        <v>4.9394090000000002E-2</v>
      </c>
      <c r="Z483">
        <v>-3.4369439999999999E-3</v>
      </c>
      <c r="AA483">
        <v>0.99877349999999998</v>
      </c>
      <c r="AB483">
        <v>23</v>
      </c>
      <c r="AC483">
        <v>0.63220000000001098</v>
      </c>
      <c r="AD483">
        <v>-8.1703199999999795E-2</v>
      </c>
      <c r="AE483">
        <v>-3.5099999999999902E-2</v>
      </c>
      <c r="AF483">
        <v>4.1123130067373899E-2</v>
      </c>
      <c r="AG483">
        <v>-8.1703199999999795E-2</v>
      </c>
      <c r="AH483">
        <v>0.621444375161053</v>
      </c>
      <c r="AI483">
        <v>97.473734269186295</v>
      </c>
      <c r="AJ483">
        <v>86.214059195655594</v>
      </c>
      <c r="AK483">
        <v>0.62813982212250297</v>
      </c>
    </row>
    <row r="484" spans="1:37" x14ac:dyDescent="0.2">
      <c r="A484" t="str">
        <f>"20200111155803697"</f>
        <v>20200111155803697</v>
      </c>
      <c r="B484" t="str">
        <f>"1578729483691170"</f>
        <v>1578729483691170</v>
      </c>
      <c r="C484" t="s">
        <v>37</v>
      </c>
      <c r="D484">
        <v>8.0624920000000007</v>
      </c>
      <c r="E484">
        <v>0.54758379999999995</v>
      </c>
      <c r="F484" t="s">
        <v>38</v>
      </c>
      <c r="G484">
        <v>-398.74149999999997</v>
      </c>
      <c r="H484">
        <v>0.98268519999999904</v>
      </c>
      <c r="I484">
        <v>367.38080000000002</v>
      </c>
      <c r="J484">
        <v>-399.34300000000002</v>
      </c>
      <c r="K484">
        <v>1.0626519999999999</v>
      </c>
      <c r="L484">
        <v>367.41629999999998</v>
      </c>
      <c r="M484">
        <v>0.99988690000000002</v>
      </c>
      <c r="N484">
        <v>0</v>
      </c>
      <c r="O484">
        <v>1.13899E-2</v>
      </c>
      <c r="P484">
        <v>0.99602009999999996</v>
      </c>
      <c r="Q484">
        <v>3.0387250000000001E-2</v>
      </c>
      <c r="R484">
        <v>8.3788870000000001E-2</v>
      </c>
      <c r="S484">
        <v>3.0306090000000001</v>
      </c>
      <c r="T484">
        <v>-0.2827249</v>
      </c>
      <c r="U484">
        <v>-0.11502080000000001</v>
      </c>
      <c r="V484">
        <v>-7.2458880000000003E-2</v>
      </c>
      <c r="W484">
        <v>2.0521459999999998E-2</v>
      </c>
      <c r="X484">
        <v>0.9971603</v>
      </c>
      <c r="Y484">
        <v>4.9043459999999997E-2</v>
      </c>
      <c r="Z484">
        <v>-3.3418269999999999E-3</v>
      </c>
      <c r="AA484">
        <v>0.99879099999999998</v>
      </c>
      <c r="AB484">
        <v>23</v>
      </c>
      <c r="AC484">
        <v>0.601500000000044</v>
      </c>
      <c r="AD484">
        <v>-7.9966800000000199E-2</v>
      </c>
      <c r="AE484">
        <v>-3.5499999999956303E-2</v>
      </c>
      <c r="AF484">
        <v>4.1616060669744298E-2</v>
      </c>
      <c r="AG484">
        <v>-7.9966800000000199E-2</v>
      </c>
      <c r="AH484">
        <v>0.59065332798355696</v>
      </c>
      <c r="AI484">
        <v>97.691386546360107</v>
      </c>
      <c r="AJ484">
        <v>85.969732869178102</v>
      </c>
      <c r="AK484">
        <v>0.59749304553773697</v>
      </c>
    </row>
    <row r="485" spans="1:37" x14ac:dyDescent="0.2">
      <c r="A485" t="str">
        <f>"20200111155803709"</f>
        <v>20200111155803709</v>
      </c>
      <c r="B485" t="str">
        <f>"1578729483701906"</f>
        <v>1578729483701906</v>
      </c>
      <c r="C485" t="s">
        <v>37</v>
      </c>
      <c r="D485">
        <v>6.4670269999999999</v>
      </c>
      <c r="E485">
        <v>0.54704750000000002</v>
      </c>
      <c r="F485" t="s">
        <v>38</v>
      </c>
      <c r="G485">
        <v>-398.53089999999997</v>
      </c>
      <c r="H485">
        <v>0.98743179999999997</v>
      </c>
      <c r="I485">
        <v>367.38709999999998</v>
      </c>
      <c r="J485">
        <v>-399.18770000000001</v>
      </c>
      <c r="K485">
        <v>1.063693</v>
      </c>
      <c r="L485">
        <v>367.41849999999999</v>
      </c>
      <c r="M485">
        <v>0.99987359999999903</v>
      </c>
      <c r="N485">
        <v>0</v>
      </c>
      <c r="O485">
        <v>1.1883090000000001E-2</v>
      </c>
      <c r="P485">
        <v>0.99597979999999997</v>
      </c>
      <c r="Q485">
        <v>3.015783E-2</v>
      </c>
      <c r="R485">
        <v>8.4351259999999997E-2</v>
      </c>
      <c r="S485">
        <v>3.0296630000000002</v>
      </c>
      <c r="T485">
        <v>-0.2808389</v>
      </c>
      <c r="U485">
        <v>-0.1082458</v>
      </c>
      <c r="V485">
        <v>-7.2528759999999998E-2</v>
      </c>
      <c r="W485">
        <v>1.9542230000000001E-2</v>
      </c>
      <c r="X485">
        <v>0.99717489999999998</v>
      </c>
      <c r="Y485">
        <v>4.7326E-2</v>
      </c>
      <c r="Z485">
        <v>-3.287005E-3</v>
      </c>
      <c r="AA485">
        <v>0.99887409999999999</v>
      </c>
      <c r="AB485">
        <v>23</v>
      </c>
      <c r="AC485">
        <v>0.65680000000003202</v>
      </c>
      <c r="AD485">
        <v>-7.6261199999999904E-2</v>
      </c>
      <c r="AE485">
        <v>-3.14000000000191E-2</v>
      </c>
      <c r="AF485">
        <v>3.8682716524710399E-2</v>
      </c>
      <c r="AG485">
        <v>-7.6261199999999904E-2</v>
      </c>
      <c r="AH485">
        <v>0.64766877955503099</v>
      </c>
      <c r="AI485">
        <v>96.703660350739398</v>
      </c>
      <c r="AJ485">
        <v>86.582008127772994</v>
      </c>
      <c r="AK485">
        <v>0.65328934722179099</v>
      </c>
    </row>
    <row r="486" spans="1:37" x14ac:dyDescent="0.2">
      <c r="A486" t="str">
        <f>"20200111155803729"</f>
        <v>20200111155803729</v>
      </c>
      <c r="B486" t="str">
        <f>"1578729483721426"</f>
        <v>1578729483721426</v>
      </c>
      <c r="C486" t="s">
        <v>37</v>
      </c>
      <c r="D486">
        <v>5.8576829999999998</v>
      </c>
      <c r="E486">
        <v>0.54641680000000004</v>
      </c>
      <c r="F486" t="s">
        <v>38</v>
      </c>
      <c r="G486">
        <v>-398.32089999999999</v>
      </c>
      <c r="H486">
        <v>0.98609360000000001</v>
      </c>
      <c r="I486">
        <v>367.3888</v>
      </c>
      <c r="J486">
        <v>-398.9896</v>
      </c>
      <c r="K486">
        <v>1.0649500000000001</v>
      </c>
      <c r="L486">
        <v>367.42149999999998</v>
      </c>
      <c r="M486">
        <v>0.99985619999999997</v>
      </c>
      <c r="N486">
        <v>0</v>
      </c>
      <c r="O486">
        <v>1.249951E-2</v>
      </c>
      <c r="P486">
        <v>0.9959633</v>
      </c>
      <c r="Q486">
        <v>2.9100230000000001E-2</v>
      </c>
      <c r="R486">
        <v>8.49158E-2</v>
      </c>
      <c r="S486">
        <v>3.02905299999999</v>
      </c>
      <c r="T486">
        <v>-0.27131379999999999</v>
      </c>
      <c r="U486">
        <v>-0.10305789999999999</v>
      </c>
      <c r="V486">
        <v>-7.247671E-2</v>
      </c>
      <c r="W486">
        <v>1.759898E-2</v>
      </c>
      <c r="X486">
        <v>0.99721479999999996</v>
      </c>
      <c r="Y486">
        <v>4.6258899999999999E-2</v>
      </c>
      <c r="Z486">
        <v>-3.1841230000000001E-3</v>
      </c>
      <c r="AA486">
        <v>0.99892440000000005</v>
      </c>
      <c r="AB486">
        <v>24</v>
      </c>
      <c r="AC486">
        <v>0.66870000000000096</v>
      </c>
      <c r="AD486">
        <v>-7.8856399999999993E-2</v>
      </c>
      <c r="AE486">
        <v>-3.2699999999976997E-2</v>
      </c>
      <c r="AF486">
        <v>4.0494629750194099E-2</v>
      </c>
      <c r="AG486">
        <v>-7.8856399999999993E-2</v>
      </c>
      <c r="AH486">
        <v>0.65909528799394701</v>
      </c>
      <c r="AI486">
        <v>96.809910705076305</v>
      </c>
      <c r="AJ486">
        <v>86.484182803774004</v>
      </c>
      <c r="AK486">
        <v>0.665029883174726</v>
      </c>
    </row>
    <row r="487" spans="1:37" x14ac:dyDescent="0.2">
      <c r="A487" t="str">
        <f>"20200111155803742"</f>
        <v>20200111155803742</v>
      </c>
      <c r="B487" t="str">
        <f>"1578729483731185"</f>
        <v>1578729483731185</v>
      </c>
      <c r="C487" t="s">
        <v>37</v>
      </c>
      <c r="D487">
        <v>5.8185830000000003</v>
      </c>
      <c r="E487">
        <v>0.54582830000000004</v>
      </c>
      <c r="F487" t="s">
        <v>38</v>
      </c>
      <c r="G487">
        <v>-398.10680000000002</v>
      </c>
      <c r="H487">
        <v>0.989228199999999</v>
      </c>
      <c r="I487">
        <v>367.39260000000002</v>
      </c>
      <c r="J487">
        <v>-398.84219999999999</v>
      </c>
      <c r="K487">
        <v>1.0658430000000001</v>
      </c>
      <c r="L487">
        <v>367.42380000000003</v>
      </c>
      <c r="M487">
        <v>0.99984329999999999</v>
      </c>
      <c r="N487">
        <v>0</v>
      </c>
      <c r="O487">
        <v>1.2949489999999999E-2</v>
      </c>
      <c r="P487">
        <v>0.99592749999999997</v>
      </c>
      <c r="Q487">
        <v>2.8844430000000001E-2</v>
      </c>
      <c r="R487">
        <v>8.5420850000000006E-2</v>
      </c>
      <c r="S487">
        <v>3.0281370000000001</v>
      </c>
      <c r="T487">
        <v>-0.26013900000000001</v>
      </c>
      <c r="U487">
        <v>-9.7595210000000002E-2</v>
      </c>
      <c r="V487">
        <v>-7.2532470000000002E-2</v>
      </c>
      <c r="W487">
        <v>1.6731260000000001E-2</v>
      </c>
      <c r="X487">
        <v>0.99722569999999999</v>
      </c>
      <c r="Y487">
        <v>4.4940720000000003E-2</v>
      </c>
      <c r="Z487">
        <v>-3.0365609999999901E-3</v>
      </c>
      <c r="AA487">
        <v>0.99898509999999996</v>
      </c>
      <c r="AB487">
        <v>24</v>
      </c>
      <c r="AC487">
        <v>0.73539999999996997</v>
      </c>
      <c r="AD487">
        <v>-7.6614800000000205E-2</v>
      </c>
      <c r="AE487">
        <v>-3.1200000000012499E-2</v>
      </c>
      <c r="AF487">
        <v>4.0284679751524097E-2</v>
      </c>
      <c r="AG487">
        <v>-7.6614800000000205E-2</v>
      </c>
      <c r="AH487">
        <v>0.72705718827599997</v>
      </c>
      <c r="AI487">
        <v>96.006288095207594</v>
      </c>
      <c r="AJ487">
        <v>86.828606490482002</v>
      </c>
      <c r="AK487">
        <v>0.73219180412343099</v>
      </c>
    </row>
    <row r="488" spans="1:37" x14ac:dyDescent="0.2">
      <c r="A488" t="str">
        <f>"20200111155803756"</f>
        <v>20200111155803756</v>
      </c>
      <c r="B488" t="str">
        <f>"1578729483751682"</f>
        <v>1578729483751682</v>
      </c>
      <c r="C488" t="s">
        <v>37</v>
      </c>
      <c r="D488">
        <v>5.8475589999999897</v>
      </c>
      <c r="E488">
        <v>0.54477880000000001</v>
      </c>
      <c r="F488" t="s">
        <v>38</v>
      </c>
      <c r="G488">
        <v>-398.10090000000002</v>
      </c>
      <c r="H488">
        <v>1.002038</v>
      </c>
      <c r="I488">
        <v>367.40109999999999</v>
      </c>
      <c r="J488">
        <v>-398.69380000000001</v>
      </c>
      <c r="K488">
        <v>1.066762</v>
      </c>
      <c r="L488">
        <v>367.42610000000002</v>
      </c>
      <c r="M488">
        <v>0.99983419999999901</v>
      </c>
      <c r="N488">
        <v>0</v>
      </c>
      <c r="O488">
        <v>1.341493E-2</v>
      </c>
      <c r="P488">
        <v>0.9959036</v>
      </c>
      <c r="Q488">
        <v>2.9172739999999999E-2</v>
      </c>
      <c r="R488">
        <v>8.5588399999999995E-2</v>
      </c>
      <c r="S488">
        <v>3.0276489999999998</v>
      </c>
      <c r="T488">
        <v>-0.2611078</v>
      </c>
      <c r="U488">
        <v>-9.1186519999999993E-2</v>
      </c>
      <c r="V488">
        <v>-7.2236099999999998E-2</v>
      </c>
      <c r="W488">
        <v>1.682233E-2</v>
      </c>
      <c r="X488">
        <v>0.99724570000000001</v>
      </c>
      <c r="Y488">
        <v>4.3301079999999999E-2</v>
      </c>
      <c r="Z488">
        <v>-3.0179220000000001E-3</v>
      </c>
      <c r="AA488">
        <v>0.99905750000000004</v>
      </c>
      <c r="AB488">
        <v>24</v>
      </c>
      <c r="AC488">
        <v>0.59289999999998599</v>
      </c>
      <c r="AD488">
        <v>-6.4724000000000004E-2</v>
      </c>
      <c r="AE488">
        <v>-2.5000000000034099E-2</v>
      </c>
      <c r="AF488">
        <v>3.25646797508903E-2</v>
      </c>
      <c r="AG488">
        <v>-6.4724000000000004E-2</v>
      </c>
      <c r="AH488">
        <v>0.58554566449094703</v>
      </c>
      <c r="AI488">
        <v>96.297998354824799</v>
      </c>
      <c r="AJ488">
        <v>86.816817608767806</v>
      </c>
      <c r="AK488">
        <v>0.59001133866004896</v>
      </c>
    </row>
    <row r="489" spans="1:37" x14ac:dyDescent="0.2">
      <c r="A489" t="str">
        <f>"20200111155803773"</f>
        <v>20200111155803773</v>
      </c>
      <c r="B489" t="str">
        <f>"1578729483761442"</f>
        <v>1578729483761442</v>
      </c>
      <c r="C489" t="s">
        <v>37</v>
      </c>
      <c r="D489">
        <v>6.0867009999999997</v>
      </c>
      <c r="E489">
        <v>0.54479719999999998</v>
      </c>
      <c r="F489" t="s">
        <v>38</v>
      </c>
      <c r="G489">
        <v>-397.88929999999999</v>
      </c>
      <c r="H489">
        <v>0.99945569999999895</v>
      </c>
      <c r="I489">
        <v>367.40379999999999</v>
      </c>
      <c r="J489">
        <v>-398.52050000000003</v>
      </c>
      <c r="K489">
        <v>1.0680099999999999</v>
      </c>
      <c r="L489">
        <v>367.4289</v>
      </c>
      <c r="M489">
        <v>0.999828099999999</v>
      </c>
      <c r="N489">
        <v>0</v>
      </c>
      <c r="O489">
        <v>1.3965780000000001E-2</v>
      </c>
      <c r="P489">
        <v>0.99587079999999994</v>
      </c>
      <c r="Q489">
        <v>2.9599480000000001E-2</v>
      </c>
      <c r="R489">
        <v>8.5821930000000005E-2</v>
      </c>
      <c r="S489">
        <v>3.0268549999999999</v>
      </c>
      <c r="T489">
        <v>-0.25355079999999902</v>
      </c>
      <c r="U489">
        <v>-8.2794190000000004E-2</v>
      </c>
      <c r="V489">
        <v>-7.1920159999999997E-2</v>
      </c>
      <c r="W489">
        <v>1.7370130000000001E-2</v>
      </c>
      <c r="X489">
        <v>0.99725909999999995</v>
      </c>
      <c r="Y489">
        <v>4.1109130000000001E-2</v>
      </c>
      <c r="Z489">
        <v>-2.8861899999999998E-3</v>
      </c>
      <c r="AA489">
        <v>0.99915049999999905</v>
      </c>
      <c r="AB489">
        <v>24</v>
      </c>
      <c r="AC489">
        <v>0.63120000000003496</v>
      </c>
      <c r="AD489">
        <v>-6.8554300000000207E-2</v>
      </c>
      <c r="AE489">
        <v>-2.5100000000009001E-2</v>
      </c>
      <c r="AF489">
        <v>3.3518645364487801E-2</v>
      </c>
      <c r="AG489">
        <v>-6.8554300000000207E-2</v>
      </c>
      <c r="AH489">
        <v>0.62344530395688402</v>
      </c>
      <c r="AI489">
        <v>96.266079702436002</v>
      </c>
      <c r="AJ489">
        <v>86.922537211370894</v>
      </c>
      <c r="AK489">
        <v>0.62809811228935597</v>
      </c>
    </row>
    <row r="490" spans="1:37" x14ac:dyDescent="0.2">
      <c r="A490" t="str">
        <f>"20200111155803787"</f>
        <v>20200111155803787</v>
      </c>
      <c r="B490" t="str">
        <f>"1578729483781939"</f>
        <v>1578729483781939</v>
      </c>
      <c r="C490" t="s">
        <v>37</v>
      </c>
      <c r="D490">
        <v>5.9604860000000004</v>
      </c>
      <c r="E490">
        <v>0.54461219999999999</v>
      </c>
      <c r="F490" t="s">
        <v>38</v>
      </c>
      <c r="G490">
        <v>-397.6764</v>
      </c>
      <c r="H490">
        <v>0.99897159999999996</v>
      </c>
      <c r="I490">
        <v>367.40570000000002</v>
      </c>
      <c r="J490">
        <v>-398.36250000000001</v>
      </c>
      <c r="K490">
        <v>1.069339</v>
      </c>
      <c r="L490">
        <v>367.43150000000003</v>
      </c>
      <c r="M490">
        <v>0.9998264</v>
      </c>
      <c r="N490">
        <v>0</v>
      </c>
      <c r="O490">
        <v>1.447063E-2</v>
      </c>
      <c r="P490">
        <v>0.99584599999999901</v>
      </c>
      <c r="Q490">
        <v>2.9586890000000001E-2</v>
      </c>
      <c r="R490">
        <v>8.6114330000000003E-2</v>
      </c>
      <c r="S490">
        <v>3.0268549999999999</v>
      </c>
      <c r="T490">
        <v>-0.24784059999999999</v>
      </c>
      <c r="U490">
        <v>-8.1909179999999998E-2</v>
      </c>
      <c r="V490">
        <v>-7.1709889999999998E-2</v>
      </c>
      <c r="W490">
        <v>1.7805419999999999E-2</v>
      </c>
      <c r="X490">
        <v>0.997266599999999</v>
      </c>
      <c r="Y490">
        <v>4.1327799999999998E-2</v>
      </c>
      <c r="Z490">
        <v>-2.8716140000000002E-3</v>
      </c>
      <c r="AA490">
        <v>0.99914150000000002</v>
      </c>
      <c r="AB490">
        <v>24</v>
      </c>
      <c r="AC490">
        <v>0.68610000000001004</v>
      </c>
      <c r="AD490">
        <v>-7.0367399999999899E-2</v>
      </c>
      <c r="AE490">
        <v>-2.5800000000003799E-2</v>
      </c>
      <c r="AF490">
        <v>3.5354913643136102E-2</v>
      </c>
      <c r="AG490">
        <v>-7.0367399999999899E-2</v>
      </c>
      <c r="AH490">
        <v>0.67852753442418201</v>
      </c>
      <c r="AI490">
        <v>95.912788714962105</v>
      </c>
      <c r="AJ490">
        <v>87.017280818177198</v>
      </c>
      <c r="AK490">
        <v>0.68308210039001405</v>
      </c>
    </row>
    <row r="491" spans="1:37" x14ac:dyDescent="0.2">
      <c r="A491" t="str">
        <f>"20200111155803800"</f>
        <v>20200111155803800</v>
      </c>
      <c r="B491" t="str">
        <f>"1578729483791697"</f>
        <v>1578729483791697</v>
      </c>
      <c r="C491" t="s">
        <v>37</v>
      </c>
      <c r="D491">
        <v>8.0070580000000007</v>
      </c>
      <c r="E491">
        <v>0.5439678</v>
      </c>
      <c r="F491" t="s">
        <v>38</v>
      </c>
      <c r="G491">
        <v>-397.4631</v>
      </c>
      <c r="H491">
        <v>0.99685029999999997</v>
      </c>
      <c r="I491">
        <v>367.40769999999998</v>
      </c>
      <c r="J491">
        <v>-398.22179999999997</v>
      </c>
      <c r="K491">
        <v>1.0706910000000001</v>
      </c>
      <c r="L491">
        <v>367.43380000000002</v>
      </c>
      <c r="M491">
        <v>0.99982610000000005</v>
      </c>
      <c r="N491">
        <v>0</v>
      </c>
      <c r="O491">
        <v>1.490935E-2</v>
      </c>
      <c r="P491">
        <v>0.99580930000000001</v>
      </c>
      <c r="Q491">
        <v>2.9569789999999999E-2</v>
      </c>
      <c r="R491">
        <v>8.6542359999999999E-2</v>
      </c>
      <c r="S491">
        <v>3.0267029999999999</v>
      </c>
      <c r="T491">
        <v>-0.2439665</v>
      </c>
      <c r="U491">
        <v>-8.0139160000000001E-2</v>
      </c>
      <c r="V491">
        <v>-7.1701619999999994E-2</v>
      </c>
      <c r="W491">
        <v>1.832603E-2</v>
      </c>
      <c r="X491">
        <v>0.99725779999999997</v>
      </c>
      <c r="Y491">
        <v>4.11884E-2</v>
      </c>
      <c r="Z491">
        <v>-2.8567229999999998E-3</v>
      </c>
      <c r="AA491">
        <v>0.99914729999999996</v>
      </c>
      <c r="AB491">
        <v>24</v>
      </c>
      <c r="AC491">
        <v>0.75869999999997595</v>
      </c>
      <c r="AD491">
        <v>-7.3840699999999898E-2</v>
      </c>
      <c r="AE491">
        <v>-2.6100000000042201E-2</v>
      </c>
      <c r="AF491">
        <v>3.70589172023785E-2</v>
      </c>
      <c r="AG491">
        <v>-7.3840699999999898E-2</v>
      </c>
      <c r="AH491">
        <v>0.751120141151846</v>
      </c>
      <c r="AI491">
        <v>95.607783198997893</v>
      </c>
      <c r="AJ491">
        <v>87.175419693657901</v>
      </c>
      <c r="AK491">
        <v>0.75565023573388201</v>
      </c>
    </row>
    <row r="492" spans="1:37" x14ac:dyDescent="0.2">
      <c r="A492" t="str">
        <f>"20200111155803818"</f>
        <v>20200111155803818</v>
      </c>
      <c r="B492" t="str">
        <f>"1578729483811218"</f>
        <v>1578729483811218</v>
      </c>
      <c r="C492" t="s">
        <v>37</v>
      </c>
      <c r="D492">
        <v>5.8901849999999998</v>
      </c>
      <c r="E492">
        <v>0.54295680000000002</v>
      </c>
      <c r="F492" t="s">
        <v>38</v>
      </c>
      <c r="G492">
        <v>-397.45659999999998</v>
      </c>
      <c r="H492">
        <v>1.0110479999999999</v>
      </c>
      <c r="I492">
        <v>367.41520000000003</v>
      </c>
      <c r="J492">
        <v>-398.0308</v>
      </c>
      <c r="K492">
        <v>1.0725439999999999</v>
      </c>
      <c r="L492">
        <v>367.43709999999999</v>
      </c>
      <c r="M492">
        <v>0.99982169999999904</v>
      </c>
      <c r="N492">
        <v>0</v>
      </c>
      <c r="O492">
        <v>1.5493639999999999E-2</v>
      </c>
      <c r="P492">
        <v>0.99575089999999999</v>
      </c>
      <c r="Q492">
        <v>3.0422129999999999E-2</v>
      </c>
      <c r="R492">
        <v>8.6917910000000001E-2</v>
      </c>
      <c r="S492">
        <v>3.026062</v>
      </c>
      <c r="T492">
        <v>-0.23588909999999999</v>
      </c>
      <c r="U492">
        <v>-7.3791499999999996E-2</v>
      </c>
      <c r="V492">
        <v>-7.1497329999999998E-2</v>
      </c>
      <c r="W492">
        <v>1.958323E-2</v>
      </c>
      <c r="X492">
        <v>0.99724849999999998</v>
      </c>
      <c r="Y492">
        <v>3.9697740000000002E-2</v>
      </c>
      <c r="Z492">
        <v>-2.75055E-3</v>
      </c>
      <c r="AA492">
        <v>0.99920799999999999</v>
      </c>
      <c r="AB492">
        <v>24</v>
      </c>
      <c r="AC492">
        <v>0.57420000000001803</v>
      </c>
      <c r="AD492">
        <v>-6.1496000000000002E-2</v>
      </c>
      <c r="AE492">
        <v>-2.1899999999959601E-2</v>
      </c>
      <c r="AF492">
        <v>3.0445630080683499E-2</v>
      </c>
      <c r="AG492">
        <v>-6.1496000000000002E-2</v>
      </c>
      <c r="AH492">
        <v>0.56729426550009898</v>
      </c>
      <c r="AI492">
        <v>96.1780136084421</v>
      </c>
      <c r="AJ492">
        <v>86.9279890245014</v>
      </c>
      <c r="AK492">
        <v>0.57142932903055199</v>
      </c>
    </row>
    <row r="493" spans="1:37" x14ac:dyDescent="0.2">
      <c r="A493" t="str">
        <f>"20200111155803840"</f>
        <v>20200111155803840</v>
      </c>
      <c r="B493" t="str">
        <f>"1578729483831713"</f>
        <v>1578729483831713</v>
      </c>
      <c r="C493" t="s">
        <v>37</v>
      </c>
      <c r="D493">
        <v>5.8182960000000001</v>
      </c>
      <c r="E493">
        <v>0.54228869999999996</v>
      </c>
      <c r="F493" t="s">
        <v>38</v>
      </c>
      <c r="G493">
        <v>-397.23669999999998</v>
      </c>
      <c r="H493">
        <v>1.015144</v>
      </c>
      <c r="I493">
        <v>367.41980000000001</v>
      </c>
      <c r="J493">
        <v>-397.7894</v>
      </c>
      <c r="K493">
        <v>1.0749139999999999</v>
      </c>
      <c r="L493">
        <v>367.44139999999999</v>
      </c>
      <c r="M493">
        <v>0.99981160000000002</v>
      </c>
      <c r="N493">
        <v>0</v>
      </c>
      <c r="O493">
        <v>1.6211380000000001E-2</v>
      </c>
      <c r="P493">
        <v>0.99563400000000002</v>
      </c>
      <c r="Q493">
        <v>3.096086E-2</v>
      </c>
      <c r="R493">
        <v>8.806042E-2</v>
      </c>
      <c r="S493">
        <v>3.0252379999999999</v>
      </c>
      <c r="T493">
        <v>-0.21909339999999899</v>
      </c>
      <c r="U493">
        <v>-6.5124509999999997E-2</v>
      </c>
      <c r="V493">
        <v>-7.1927669999999999E-2</v>
      </c>
      <c r="W493">
        <v>2.0249240000000002E-2</v>
      </c>
      <c r="X493">
        <v>0.99720429999999904</v>
      </c>
      <c r="Y493">
        <v>3.7586960000000003E-2</v>
      </c>
      <c r="Z493">
        <v>-2.5315899999999998E-3</v>
      </c>
      <c r="AA493">
        <v>0.99929020000000002</v>
      </c>
      <c r="AB493">
        <v>24</v>
      </c>
      <c r="AC493">
        <v>0.55270000000001496</v>
      </c>
      <c r="AD493">
        <v>-5.9769999999999802E-2</v>
      </c>
      <c r="AE493">
        <v>-2.1599999999978001E-2</v>
      </c>
      <c r="AF493">
        <v>3.0205002903888299E-2</v>
      </c>
      <c r="AG493">
        <v>-5.9769999999999802E-2</v>
      </c>
      <c r="AH493">
        <v>0.54590276275181504</v>
      </c>
      <c r="AI493">
        <v>96.238865455794397</v>
      </c>
      <c r="AJ493">
        <v>86.8330324126796</v>
      </c>
      <c r="AK493">
        <v>0.54999511041507299</v>
      </c>
    </row>
    <row r="494" spans="1:37" x14ac:dyDescent="0.2">
      <c r="A494" t="str">
        <f>"20200111155803855"</f>
        <v>20200111155803855</v>
      </c>
      <c r="B494" t="str">
        <f>"1578729483851233"</f>
        <v>1578729483851233</v>
      </c>
      <c r="C494" t="s">
        <v>37</v>
      </c>
      <c r="D494">
        <v>5.8747509999999998</v>
      </c>
      <c r="E494">
        <v>0.54171139999999995</v>
      </c>
      <c r="F494" t="s">
        <v>38</v>
      </c>
      <c r="G494">
        <v>-397.01249999999999</v>
      </c>
      <c r="H494">
        <v>1.0200260000000001</v>
      </c>
      <c r="I494">
        <v>367.42680000000001</v>
      </c>
      <c r="J494">
        <v>-397.62439999999998</v>
      </c>
      <c r="K494">
        <v>1.0765769999999999</v>
      </c>
      <c r="L494">
        <v>367.44450000000001</v>
      </c>
      <c r="M494">
        <v>0.9998049</v>
      </c>
      <c r="N494">
        <v>0</v>
      </c>
      <c r="O494">
        <v>1.667161E-2</v>
      </c>
      <c r="P494">
        <v>0.99559759999999997</v>
      </c>
      <c r="Q494">
        <v>3.0867490000000001E-2</v>
      </c>
      <c r="R494">
        <v>8.8504570000000005E-2</v>
      </c>
      <c r="S494">
        <v>3.02475</v>
      </c>
      <c r="T494">
        <v>-0.2138757</v>
      </c>
      <c r="U494">
        <v>-5.6488040000000003E-2</v>
      </c>
      <c r="V494">
        <v>-7.1914399999999906E-2</v>
      </c>
      <c r="W494">
        <v>2.0212999999999998E-2</v>
      </c>
      <c r="X494">
        <v>0.99720599999999904</v>
      </c>
      <c r="Y494">
        <v>3.5209579999999997E-2</v>
      </c>
      <c r="Z494">
        <v>-2.4204740000000001E-3</v>
      </c>
      <c r="AA494">
        <v>0.99937699999999996</v>
      </c>
      <c r="AB494">
        <v>24</v>
      </c>
      <c r="AC494">
        <v>0.61189999999999101</v>
      </c>
      <c r="AD494">
        <v>-5.6550999999999997E-2</v>
      </c>
      <c r="AE494">
        <v>-1.7699999999990699E-2</v>
      </c>
      <c r="AF494">
        <v>2.7663388937649198E-2</v>
      </c>
      <c r="AG494">
        <v>-5.6550999999999997E-2</v>
      </c>
      <c r="AH494">
        <v>0.60634524835949899</v>
      </c>
      <c r="AI494">
        <v>95.322792273837194</v>
      </c>
      <c r="AJ494">
        <v>87.387796638394306</v>
      </c>
      <c r="AK494">
        <v>0.60960465786988405</v>
      </c>
    </row>
    <row r="495" spans="1:37" x14ac:dyDescent="0.2">
      <c r="A495" t="str">
        <f>"20200111155803867"</f>
        <v>20200111155803867</v>
      </c>
      <c r="B495" t="str">
        <f>"1578729483861970"</f>
        <v>1578729483861970</v>
      </c>
      <c r="C495" t="s">
        <v>37</v>
      </c>
      <c r="D495">
        <v>5.928471</v>
      </c>
      <c r="E495">
        <v>0.5415643</v>
      </c>
      <c r="F495" t="s">
        <v>38</v>
      </c>
      <c r="G495">
        <v>-396.7885</v>
      </c>
      <c r="H495">
        <v>1.017809</v>
      </c>
      <c r="I495">
        <v>367.43020000000001</v>
      </c>
      <c r="J495">
        <v>-397.47</v>
      </c>
      <c r="K495">
        <v>1.078155</v>
      </c>
      <c r="L495">
        <v>367.44749999999999</v>
      </c>
      <c r="M495">
        <v>0.99979910000000005</v>
      </c>
      <c r="N495">
        <v>0</v>
      </c>
      <c r="O495">
        <v>1.7085619999999999E-2</v>
      </c>
      <c r="P495">
        <v>0.99558069999999899</v>
      </c>
      <c r="Q495">
        <v>3.056567E-2</v>
      </c>
      <c r="R495">
        <v>8.8796940000000005E-2</v>
      </c>
      <c r="S495">
        <v>3.0243530000000001</v>
      </c>
      <c r="T495">
        <v>-0.21290719999999999</v>
      </c>
      <c r="U495">
        <v>-5.0537110000000003E-2</v>
      </c>
      <c r="V495">
        <v>-7.1794380000000005E-2</v>
      </c>
      <c r="W495">
        <v>2.00328E-2</v>
      </c>
      <c r="X495">
        <v>0.9972183</v>
      </c>
      <c r="Y495">
        <v>3.366388E-2</v>
      </c>
      <c r="Z495">
        <v>-2.384663E-3</v>
      </c>
      <c r="AA495">
        <v>0.99943040000000005</v>
      </c>
      <c r="AB495">
        <v>25</v>
      </c>
      <c r="AC495">
        <v>0.68150000000002797</v>
      </c>
      <c r="AD495">
        <v>-6.0345999999999997E-2</v>
      </c>
      <c r="AE495">
        <v>-1.7299999999977399E-2</v>
      </c>
      <c r="AF495">
        <v>2.8716942685000899E-2</v>
      </c>
      <c r="AG495">
        <v>-6.0345999999999997E-2</v>
      </c>
      <c r="AH495">
        <v>0.67580937990023804</v>
      </c>
      <c r="AI495">
        <v>95.098083286226398</v>
      </c>
      <c r="AJ495">
        <v>87.566813313039702</v>
      </c>
      <c r="AK495">
        <v>0.67910575058257105</v>
      </c>
    </row>
    <row r="496" spans="1:37" x14ac:dyDescent="0.2">
      <c r="A496" t="str">
        <f>"20200111155803883"</f>
        <v>20200111155803883</v>
      </c>
      <c r="B496" t="str">
        <f>"1578729483871730"</f>
        <v>1578729483871730</v>
      </c>
      <c r="C496" t="s">
        <v>37</v>
      </c>
      <c r="D496">
        <v>5.8739290000000004</v>
      </c>
      <c r="E496">
        <v>0.54149539999999996</v>
      </c>
      <c r="F496" t="s">
        <v>38</v>
      </c>
      <c r="G496">
        <v>-396.56279999999998</v>
      </c>
      <c r="H496">
        <v>1.0140450000000001</v>
      </c>
      <c r="I496">
        <v>367.43270000000001</v>
      </c>
      <c r="J496">
        <v>-397.28910000000002</v>
      </c>
      <c r="K496">
        <v>1.0800319999999899</v>
      </c>
      <c r="L496">
        <v>367.450999999999</v>
      </c>
      <c r="M496">
        <v>0.99979419999999897</v>
      </c>
      <c r="N496">
        <v>0</v>
      </c>
      <c r="O496">
        <v>1.755526E-2</v>
      </c>
      <c r="P496">
        <v>0.99559819999999999</v>
      </c>
      <c r="Q496">
        <v>3.0057299999999999E-2</v>
      </c>
      <c r="R496">
        <v>8.8776889999999997E-2</v>
      </c>
      <c r="S496">
        <v>3.0242</v>
      </c>
      <c r="T496">
        <v>-0.21393599999999999</v>
      </c>
      <c r="U496">
        <v>-4.8492430000000003E-2</v>
      </c>
      <c r="V496">
        <v>-7.1306770000000005E-2</v>
      </c>
      <c r="W496">
        <v>1.9833050000000001E-2</v>
      </c>
      <c r="X496">
        <v>0.99725719999999995</v>
      </c>
      <c r="Y496">
        <v>3.3456710000000001E-2</v>
      </c>
      <c r="Z496">
        <v>-2.4221469999999999E-3</v>
      </c>
      <c r="AA496">
        <v>0.99943719999999903</v>
      </c>
      <c r="AB496">
        <v>25</v>
      </c>
      <c r="AC496">
        <v>0.72630000000003703</v>
      </c>
      <c r="AD496">
        <v>-6.5986999999999796E-2</v>
      </c>
      <c r="AE496">
        <v>-1.8299999999953801E-2</v>
      </c>
      <c r="AF496">
        <v>3.07941980996604E-2</v>
      </c>
      <c r="AG496">
        <v>-6.5986999999999796E-2</v>
      </c>
      <c r="AH496">
        <v>0.719927991754715</v>
      </c>
      <c r="AI496">
        <v>95.2322133332612</v>
      </c>
      <c r="AJ496">
        <v>87.550723488063298</v>
      </c>
      <c r="AK496">
        <v>0.723601326779864</v>
      </c>
    </row>
    <row r="497" spans="1:37" x14ac:dyDescent="0.2">
      <c r="A497" t="str">
        <f>"20200111155803898"</f>
        <v>20200111155803898</v>
      </c>
      <c r="B497" t="str">
        <f>"1578729483891250"</f>
        <v>1578729483891250</v>
      </c>
      <c r="C497" t="s">
        <v>37</v>
      </c>
      <c r="D497">
        <v>5.8901690000000002</v>
      </c>
      <c r="E497">
        <v>0.54156139999999997</v>
      </c>
      <c r="F497" t="s">
        <v>38</v>
      </c>
      <c r="G497">
        <v>-396.55650000000003</v>
      </c>
      <c r="H497">
        <v>1.027768</v>
      </c>
      <c r="I497">
        <v>367.4393</v>
      </c>
      <c r="J497">
        <v>-397.13420000000002</v>
      </c>
      <c r="K497">
        <v>1.081612</v>
      </c>
      <c r="L497">
        <v>367.45420000000001</v>
      </c>
      <c r="M497">
        <v>0.99979069999999903</v>
      </c>
      <c r="N497">
        <v>0</v>
      </c>
      <c r="O497">
        <v>1.7964089999999999E-2</v>
      </c>
      <c r="P497">
        <v>0.99563599999999997</v>
      </c>
      <c r="Q497">
        <v>2.9411630000000001E-2</v>
      </c>
      <c r="R497">
        <v>8.8567709999999994E-2</v>
      </c>
      <c r="S497">
        <v>3.02401699999999</v>
      </c>
      <c r="T497">
        <v>-0.21596750000000001</v>
      </c>
      <c r="U497">
        <v>-4.7576899999999998E-2</v>
      </c>
      <c r="V497">
        <v>-7.0689420000000003E-2</v>
      </c>
      <c r="W497">
        <v>1.95532E-2</v>
      </c>
      <c r="X497">
        <v>0.99730669999999899</v>
      </c>
      <c r="Y497">
        <v>3.3560060000000003E-2</v>
      </c>
      <c r="Z497">
        <v>-2.478081E-3</v>
      </c>
      <c r="AA497">
        <v>0.99943359999999903</v>
      </c>
      <c r="AB497">
        <v>25</v>
      </c>
      <c r="AC497">
        <v>0.577699999999992</v>
      </c>
      <c r="AD497">
        <v>-5.3844000000000003E-2</v>
      </c>
      <c r="AE497">
        <v>-1.4900000000011401E-2</v>
      </c>
      <c r="AF497">
        <v>2.5058409839933501E-2</v>
      </c>
      <c r="AG497">
        <v>-5.3844000000000003E-2</v>
      </c>
      <c r="AH497">
        <v>0.57237021590875703</v>
      </c>
      <c r="AI497">
        <v>95.368999103878295</v>
      </c>
      <c r="AJ497">
        <v>87.493187370334496</v>
      </c>
      <c r="AK497">
        <v>0.57544310257326303</v>
      </c>
    </row>
    <row r="498" spans="1:37" x14ac:dyDescent="0.2">
      <c r="A498" t="str">
        <f>"20200111155803911"</f>
        <v>20200111155803911</v>
      </c>
      <c r="B498" t="str">
        <f>"1578729483901986"</f>
        <v>1578729483901986</v>
      </c>
      <c r="C498" t="s">
        <v>37</v>
      </c>
      <c r="D498">
        <v>5.8732240000000004</v>
      </c>
      <c r="E498">
        <v>0.54147389999999995</v>
      </c>
      <c r="F498" t="s">
        <v>38</v>
      </c>
      <c r="G498">
        <v>-396.32870000000003</v>
      </c>
      <c r="H498">
        <v>1.0236160000000001</v>
      </c>
      <c r="I498">
        <v>367.44080000000002</v>
      </c>
      <c r="J498">
        <v>-396.97570000000002</v>
      </c>
      <c r="K498">
        <v>1.0831770000000001</v>
      </c>
      <c r="L498">
        <v>367.45749999999998</v>
      </c>
      <c r="M498">
        <v>0.99978659999999997</v>
      </c>
      <c r="N498">
        <v>0</v>
      </c>
      <c r="O498">
        <v>1.839346E-2</v>
      </c>
      <c r="P498">
        <v>0.995625599999999</v>
      </c>
      <c r="Q498">
        <v>2.8589099999999899E-2</v>
      </c>
      <c r="R498">
        <v>8.8952569999999995E-2</v>
      </c>
      <c r="S498">
        <v>3.023895</v>
      </c>
      <c r="T498">
        <v>-0.21838560000000001</v>
      </c>
      <c r="U498">
        <v>-4.8370360000000001E-2</v>
      </c>
      <c r="V498">
        <v>-7.0645799999999995E-2</v>
      </c>
      <c r="W498">
        <v>1.911697E-2</v>
      </c>
      <c r="X498">
        <v>0.99731829999999999</v>
      </c>
      <c r="Y498">
        <v>3.4246140000000001E-2</v>
      </c>
      <c r="Z498">
        <v>-2.5615539999999902E-3</v>
      </c>
      <c r="AA498">
        <v>0.99941019999999903</v>
      </c>
      <c r="AB498">
        <v>26</v>
      </c>
      <c r="AC498">
        <v>0.64699999999999103</v>
      </c>
      <c r="AD498">
        <v>-5.9560999999999899E-2</v>
      </c>
      <c r="AE498">
        <v>-1.6699999999957499E-2</v>
      </c>
      <c r="AF498">
        <v>2.83581079023549E-2</v>
      </c>
      <c r="AG498">
        <v>-5.9560999999999899E-2</v>
      </c>
      <c r="AH498">
        <v>0.641153496142985</v>
      </c>
      <c r="AI498">
        <v>95.3021986183644</v>
      </c>
      <c r="AJ498">
        <v>87.467468196637597</v>
      </c>
      <c r="AK498">
        <v>0.64453820726251299</v>
      </c>
    </row>
    <row r="499" spans="1:37" x14ac:dyDescent="0.2">
      <c r="A499" t="str">
        <f>"20200111155803930"</f>
        <v>20200111155803930</v>
      </c>
      <c r="B499" t="str">
        <f>"1578729483921505"</f>
        <v>1578729483921505</v>
      </c>
      <c r="C499" t="s">
        <v>37</v>
      </c>
      <c r="D499">
        <v>6.093998</v>
      </c>
      <c r="E499">
        <v>0.54139169999999903</v>
      </c>
      <c r="F499" t="s">
        <v>38</v>
      </c>
      <c r="G499">
        <v>-396.09879999999998</v>
      </c>
      <c r="H499">
        <v>1.0189809999999999</v>
      </c>
      <c r="I499">
        <v>367.44400000000002</v>
      </c>
      <c r="J499">
        <v>-396.75450000000001</v>
      </c>
      <c r="K499">
        <v>1.0852310000000001</v>
      </c>
      <c r="L499">
        <v>367.4622</v>
      </c>
      <c r="M499">
        <v>0.99977969999999905</v>
      </c>
      <c r="N499">
        <v>0</v>
      </c>
      <c r="O499">
        <v>1.902131E-2</v>
      </c>
      <c r="P499">
        <v>0.9956353</v>
      </c>
      <c r="Q499">
        <v>2.6802759999999998E-2</v>
      </c>
      <c r="R499">
        <v>8.9400569999999999E-2</v>
      </c>
      <c r="S499">
        <v>3.023682</v>
      </c>
      <c r="T499">
        <v>-0.22136829999999999</v>
      </c>
      <c r="U499">
        <v>-4.6417239999999999E-2</v>
      </c>
      <c r="V499">
        <v>-7.0466239999999999E-2</v>
      </c>
      <c r="W499">
        <v>1.7861680000000001E-2</v>
      </c>
      <c r="X499">
        <v>0.99735419999999997</v>
      </c>
      <c r="Y499">
        <v>3.4223990000000003E-2</v>
      </c>
      <c r="Z499">
        <v>-2.6417259999999901E-3</v>
      </c>
      <c r="AA499">
        <v>0.99941069999999999</v>
      </c>
      <c r="AB499">
        <v>26</v>
      </c>
      <c r="AC499">
        <v>0.65570000000002404</v>
      </c>
      <c r="AD499">
        <v>-6.62500000000001E-2</v>
      </c>
      <c r="AE499">
        <v>-1.81999999999789E-2</v>
      </c>
      <c r="AF499">
        <v>3.0359782145830402E-2</v>
      </c>
      <c r="AG499">
        <v>-6.62500000000001E-2</v>
      </c>
      <c r="AH499">
        <v>0.64861883911176599</v>
      </c>
      <c r="AI499">
        <v>95.825638291854901</v>
      </c>
      <c r="AJ499">
        <v>87.320122988252905</v>
      </c>
      <c r="AK499">
        <v>0.652699913683644</v>
      </c>
    </row>
    <row r="500" spans="1:37" x14ac:dyDescent="0.2">
      <c r="A500" t="str">
        <f>"20200111155803943"</f>
        <v>20200111155803943</v>
      </c>
      <c r="B500" t="str">
        <f>"1578729483931266"</f>
        <v>1578729483931266</v>
      </c>
      <c r="C500" t="s">
        <v>37</v>
      </c>
      <c r="D500">
        <v>5.8932859999999998</v>
      </c>
      <c r="E500">
        <v>0.54135469999999997</v>
      </c>
      <c r="F500" t="s">
        <v>38</v>
      </c>
      <c r="G500">
        <v>-395.86439999999999</v>
      </c>
      <c r="H500">
        <v>1.0185850000000001</v>
      </c>
      <c r="I500">
        <v>367.4486</v>
      </c>
      <c r="J500">
        <v>-396.59089999999998</v>
      </c>
      <c r="K500">
        <v>1.0866639999999901</v>
      </c>
      <c r="L500">
        <v>367.46570000000003</v>
      </c>
      <c r="M500">
        <v>0.99977359999999904</v>
      </c>
      <c r="N500">
        <v>0</v>
      </c>
      <c r="O500">
        <v>1.9506289999999999E-2</v>
      </c>
      <c r="P500">
        <v>0.99561319999999998</v>
      </c>
      <c r="Q500">
        <v>2.5785619999999999E-2</v>
      </c>
      <c r="R500">
        <v>8.9944319999999994E-2</v>
      </c>
      <c r="S500">
        <v>3.023285</v>
      </c>
      <c r="T500">
        <v>-0.2268066</v>
      </c>
      <c r="U500">
        <v>-4.4677729999999999E-2</v>
      </c>
      <c r="V500">
        <v>-7.0525560000000001E-2</v>
      </c>
      <c r="W500">
        <v>1.720708E-2</v>
      </c>
      <c r="X500">
        <v>0.99736150000000001</v>
      </c>
      <c r="Y500">
        <v>3.4127640000000001E-2</v>
      </c>
      <c r="Z500">
        <v>-2.739525E-3</v>
      </c>
      <c r="AA500">
        <v>0.99941369999999896</v>
      </c>
      <c r="AB500">
        <v>26</v>
      </c>
      <c r="AC500">
        <v>0.72649999999998705</v>
      </c>
      <c r="AD500">
        <v>-6.8078999999999695E-2</v>
      </c>
      <c r="AE500">
        <v>-1.71000000000276E-2</v>
      </c>
      <c r="AF500">
        <v>3.0996541011561001E-2</v>
      </c>
      <c r="AG500">
        <v>-6.8078999999999695E-2</v>
      </c>
      <c r="AH500">
        <v>0.71971174108374103</v>
      </c>
      <c r="AI500">
        <v>95.398671209411106</v>
      </c>
      <c r="AJ500">
        <v>87.533909697366596</v>
      </c>
      <c r="AK500">
        <v>0.72358864422368596</v>
      </c>
    </row>
    <row r="501" spans="1:37" x14ac:dyDescent="0.2">
      <c r="A501" t="str">
        <f>"20200111155803962"</f>
        <v>20200111155803962</v>
      </c>
      <c r="B501" t="str">
        <f>"1578729483951761"</f>
        <v>1578729483951761</v>
      </c>
      <c r="C501" t="s">
        <v>37</v>
      </c>
      <c r="D501">
        <v>5.920458</v>
      </c>
      <c r="E501">
        <v>0.54117309999999996</v>
      </c>
      <c r="F501" t="s">
        <v>38</v>
      </c>
      <c r="G501">
        <v>-395.85860000000002</v>
      </c>
      <c r="H501">
        <v>1.031099</v>
      </c>
      <c r="I501">
        <v>367.45499999999998</v>
      </c>
      <c r="J501">
        <v>-396.3768</v>
      </c>
      <c r="K501">
        <v>1.0883769999999999</v>
      </c>
      <c r="L501">
        <v>367.47050000000002</v>
      </c>
      <c r="M501">
        <v>0.99976379999999998</v>
      </c>
      <c r="N501">
        <v>0</v>
      </c>
      <c r="O501">
        <v>2.0170670000000002E-2</v>
      </c>
      <c r="P501">
        <v>0.99558489999999999</v>
      </c>
      <c r="Q501">
        <v>2.392654E-2</v>
      </c>
      <c r="R501">
        <v>9.0766529999999998E-2</v>
      </c>
      <c r="S501">
        <v>3.02300999999999</v>
      </c>
      <c r="T501">
        <v>-0.22989699999999999</v>
      </c>
      <c r="U501">
        <v>-4.2816159999999999E-2</v>
      </c>
      <c r="V501">
        <v>-7.0684659999999996E-2</v>
      </c>
      <c r="W501">
        <v>1.5761979999999998E-2</v>
      </c>
      <c r="X501">
        <v>0.99737419999999999</v>
      </c>
      <c r="Y501">
        <v>3.4171529999999999E-2</v>
      </c>
      <c r="Z501">
        <v>-2.8291169999999999E-3</v>
      </c>
      <c r="AA501">
        <v>0.99941199999999997</v>
      </c>
      <c r="AB501">
        <v>26</v>
      </c>
      <c r="AC501">
        <v>0.51819999999997801</v>
      </c>
      <c r="AD501">
        <v>-5.72780000000001E-2</v>
      </c>
      <c r="AE501">
        <v>-1.55000000000313E-2</v>
      </c>
      <c r="AF501">
        <v>2.56366945319099E-2</v>
      </c>
      <c r="AG501">
        <v>-5.72780000000001E-2</v>
      </c>
      <c r="AH501">
        <v>0.51153780495385903</v>
      </c>
      <c r="AI501">
        <v>96.380978375475493</v>
      </c>
      <c r="AJ501">
        <v>87.130913023031297</v>
      </c>
      <c r="AK501">
        <v>0.515372617906244</v>
      </c>
    </row>
    <row r="502" spans="1:37" x14ac:dyDescent="0.2">
      <c r="A502" t="str">
        <f>"20200111155803975"</f>
        <v>20200111155803975</v>
      </c>
      <c r="B502" t="str">
        <f>"1578729483971282"</f>
        <v>1578729483971282</v>
      </c>
      <c r="C502" t="s">
        <v>37</v>
      </c>
      <c r="D502">
        <v>5.9024099999999997</v>
      </c>
      <c r="E502">
        <v>0.54108009999999995</v>
      </c>
      <c r="F502" t="s">
        <v>38</v>
      </c>
      <c r="G502">
        <v>-395.62220000000002</v>
      </c>
      <c r="H502">
        <v>1.0296270000000001</v>
      </c>
      <c r="I502">
        <v>367.46080000000001</v>
      </c>
      <c r="J502">
        <v>-396.22390000000001</v>
      </c>
      <c r="K502">
        <v>1.0895079999999999</v>
      </c>
      <c r="L502">
        <v>367.47399999999999</v>
      </c>
      <c r="M502">
        <v>0.99975599999999998</v>
      </c>
      <c r="N502">
        <v>0</v>
      </c>
      <c r="O502">
        <v>2.0654860000000001E-2</v>
      </c>
      <c r="P502">
        <v>0.99555049999999901</v>
      </c>
      <c r="Q502">
        <v>2.335839E-2</v>
      </c>
      <c r="R502">
        <v>9.1288949999999994E-2</v>
      </c>
      <c r="S502">
        <v>3.0224609999999998</v>
      </c>
      <c r="T502">
        <v>-0.23532839999999999</v>
      </c>
      <c r="U502">
        <v>-3.8696290000000001E-2</v>
      </c>
      <c r="V502">
        <v>-7.072399E-2</v>
      </c>
      <c r="W502">
        <v>1.546399E-2</v>
      </c>
      <c r="X502">
        <v>0.99737600000000004</v>
      </c>
      <c r="Y502">
        <v>3.3289689999999997E-2</v>
      </c>
      <c r="Z502">
        <v>-2.89966099999999E-3</v>
      </c>
      <c r="AA502">
        <v>0.99944159999999904</v>
      </c>
      <c r="AB502">
        <v>26</v>
      </c>
      <c r="AC502">
        <v>0.60169999999999302</v>
      </c>
      <c r="AD502">
        <v>-5.9880999999999802E-2</v>
      </c>
      <c r="AE502">
        <v>-1.31999999999834E-2</v>
      </c>
      <c r="AF502">
        <v>2.5374402624413098E-2</v>
      </c>
      <c r="AG502">
        <v>-5.9880999999999802E-2</v>
      </c>
      <c r="AH502">
        <v>0.59540482269017103</v>
      </c>
      <c r="AI502">
        <v>95.737861438883698</v>
      </c>
      <c r="AJ502">
        <v>87.559699022519894</v>
      </c>
      <c r="AK502">
        <v>0.59894615563693199</v>
      </c>
    </row>
    <row r="503" spans="1:37" x14ac:dyDescent="0.2">
      <c r="A503" t="str">
        <f>"20200111155803996"</f>
        <v>20200111155803996</v>
      </c>
      <c r="B503" t="str">
        <f>"1578729483991778"</f>
        <v>1578729483991778</v>
      </c>
      <c r="C503" t="s">
        <v>37</v>
      </c>
      <c r="D503">
        <v>8.2107240000000008</v>
      </c>
      <c r="E503">
        <v>0.54125459999999903</v>
      </c>
      <c r="F503" t="s">
        <v>38</v>
      </c>
      <c r="G503">
        <v>-395.38529999999997</v>
      </c>
      <c r="H503">
        <v>1.023631</v>
      </c>
      <c r="I503">
        <v>367.46350000000001</v>
      </c>
      <c r="J503">
        <v>-395.96050000000002</v>
      </c>
      <c r="K503">
        <v>1.091324</v>
      </c>
      <c r="L503">
        <v>367.48009999999999</v>
      </c>
      <c r="M503">
        <v>0.99974229999999997</v>
      </c>
      <c r="N503">
        <v>0</v>
      </c>
      <c r="O503">
        <v>2.1477650000000001E-2</v>
      </c>
      <c r="P503">
        <v>0.99543930000000003</v>
      </c>
      <c r="Q503">
        <v>2.2611240000000001E-2</v>
      </c>
      <c r="R503">
        <v>9.2679010000000006E-2</v>
      </c>
      <c r="S503">
        <v>3.0223080000000002</v>
      </c>
      <c r="T503">
        <v>-0.23780660000000001</v>
      </c>
      <c r="U503">
        <v>-3.6132810000000001E-2</v>
      </c>
      <c r="V503">
        <v>-7.1295919999999999E-2</v>
      </c>
      <c r="W503">
        <v>1.517697E-2</v>
      </c>
      <c r="X503">
        <v>0.99733969999999905</v>
      </c>
      <c r="Y503">
        <v>3.3259289999999997E-2</v>
      </c>
      <c r="Z503">
        <v>-2.9936939999999999E-3</v>
      </c>
      <c r="AA503">
        <v>0.99944230000000001</v>
      </c>
      <c r="AB503">
        <v>27</v>
      </c>
      <c r="AC503">
        <v>0.575200000000052</v>
      </c>
      <c r="AD503">
        <v>-6.7692999999999906E-2</v>
      </c>
      <c r="AE503">
        <v>-1.6599999999982601E-2</v>
      </c>
      <c r="AF503">
        <v>2.8555287168246599E-2</v>
      </c>
      <c r="AG503">
        <v>-6.7692999999999906E-2</v>
      </c>
      <c r="AH503">
        <v>0.56686620867855897</v>
      </c>
      <c r="AI503">
        <v>96.801253037293193</v>
      </c>
      <c r="AJ503">
        <v>87.116223138353803</v>
      </c>
      <c r="AK503">
        <v>0.57160742228899097</v>
      </c>
    </row>
    <row r="504" spans="1:37" x14ac:dyDescent="0.2">
      <c r="A504" t="str">
        <f>"20200111155804012"</f>
        <v>20200111155804012</v>
      </c>
      <c r="B504" t="str">
        <f>"1578729484002021"</f>
        <v>1578729484002021</v>
      </c>
      <c r="C504" t="s">
        <v>37</v>
      </c>
      <c r="D504">
        <v>7.987628</v>
      </c>
      <c r="E504">
        <v>0.54125459999999903</v>
      </c>
      <c r="F504" t="s">
        <v>38</v>
      </c>
      <c r="G504">
        <v>-395.14190000000002</v>
      </c>
      <c r="H504">
        <v>1.0268699999999999</v>
      </c>
      <c r="I504">
        <v>367.47089999999997</v>
      </c>
      <c r="J504">
        <v>-395.77940000000001</v>
      </c>
      <c r="K504">
        <v>1.0924849999999999</v>
      </c>
      <c r="L504">
        <v>367.48450000000003</v>
      </c>
      <c r="M504">
        <v>0.99973369999999995</v>
      </c>
      <c r="N504">
        <v>0</v>
      </c>
      <c r="O504">
        <v>2.199659E-2</v>
      </c>
      <c r="P504">
        <v>0.99538189999999904</v>
      </c>
      <c r="Q504">
        <v>2.2023830000000001E-2</v>
      </c>
      <c r="R504">
        <v>9.3435829999999997E-2</v>
      </c>
      <c r="S504">
        <v>3.0222470000000001</v>
      </c>
      <c r="T504">
        <v>-0.23815629999999999</v>
      </c>
      <c r="U504">
        <v>-3.3355709999999997E-2</v>
      </c>
      <c r="V504">
        <v>-7.1537279999999995E-2</v>
      </c>
      <c r="W504">
        <v>1.4963850000000001E-2</v>
      </c>
      <c r="X504">
        <v>0.99732569999999998</v>
      </c>
      <c r="Y504">
        <v>3.2859140000000002E-2</v>
      </c>
      <c r="Z504">
        <v>-3.0232340000000001E-3</v>
      </c>
      <c r="AA504">
        <v>0.99945539999999999</v>
      </c>
      <c r="AB504">
        <v>27</v>
      </c>
      <c r="AC504">
        <v>0.63749999999998797</v>
      </c>
      <c r="AD504">
        <v>-6.5614999999999701E-2</v>
      </c>
      <c r="AE504">
        <v>-1.36000000000535E-2</v>
      </c>
      <c r="AF504">
        <v>2.73304787126834E-2</v>
      </c>
      <c r="AG504">
        <v>-6.5614999999999701E-2</v>
      </c>
      <c r="AH504">
        <v>0.63037168247687403</v>
      </c>
      <c r="AI504">
        <v>95.936945081977896</v>
      </c>
      <c r="AJ504">
        <v>87.517431304955394</v>
      </c>
      <c r="AK504">
        <v>0.63436640938844602</v>
      </c>
    </row>
    <row r="505" spans="1:37" x14ac:dyDescent="0.2">
      <c r="A505" t="str">
        <f>"20200111155804025"</f>
        <v>20200111155804025</v>
      </c>
      <c r="B505" t="str">
        <f>"1578729484021539"</f>
        <v>1578729484021539</v>
      </c>
      <c r="C505" t="s">
        <v>37</v>
      </c>
      <c r="D505">
        <v>5.7315139999999998</v>
      </c>
      <c r="E505">
        <v>0.58248820000000001</v>
      </c>
      <c r="F505" t="s">
        <v>38</v>
      </c>
      <c r="G505">
        <v>-394.90010000000001</v>
      </c>
      <c r="H505">
        <v>1.022869</v>
      </c>
      <c r="I505">
        <v>367.47480000000002</v>
      </c>
      <c r="J505">
        <v>-395.61009999999999</v>
      </c>
      <c r="K505">
        <v>1.0935299999999999</v>
      </c>
      <c r="L505">
        <v>367.48869999999999</v>
      </c>
      <c r="M505">
        <v>0.99972689999999997</v>
      </c>
      <c r="N505">
        <v>0</v>
      </c>
      <c r="O505">
        <v>2.2434289999999999E-2</v>
      </c>
      <c r="P505">
        <v>0.99531939999999997</v>
      </c>
      <c r="Q505">
        <v>2.1429589999999998E-2</v>
      </c>
      <c r="R505">
        <v>9.423397E-2</v>
      </c>
      <c r="S505">
        <v>3.022186</v>
      </c>
      <c r="T505">
        <v>-0.23983769999999999</v>
      </c>
      <c r="U505">
        <v>-3.1097409999999999E-2</v>
      </c>
      <c r="V505">
        <v>-7.1900779999999997E-2</v>
      </c>
      <c r="W505">
        <v>1.4790299999999999E-2</v>
      </c>
      <c r="X505">
        <v>0.99730209999999997</v>
      </c>
      <c r="Y505">
        <v>3.2547310000000003E-2</v>
      </c>
      <c r="Z505">
        <v>-3.0668990000000001E-3</v>
      </c>
      <c r="AA505">
        <v>0.99946550000000001</v>
      </c>
      <c r="AB505">
        <v>27</v>
      </c>
      <c r="AC505">
        <v>0.70999999999997898</v>
      </c>
      <c r="AD505">
        <v>-7.0660999999999793E-2</v>
      </c>
      <c r="AE505">
        <v>-1.3899999999978201E-2</v>
      </c>
      <c r="AF505">
        <v>2.95327861442501E-2</v>
      </c>
      <c r="AG505">
        <v>-7.0660999999999793E-2</v>
      </c>
      <c r="AH505">
        <v>0.702553515631127</v>
      </c>
      <c r="AI505">
        <v>95.738311959116501</v>
      </c>
      <c r="AJ505">
        <v>87.592911655958005</v>
      </c>
      <c r="AK505">
        <v>0.70671536328574203</v>
      </c>
    </row>
    <row r="506" spans="1:37" x14ac:dyDescent="0.2">
      <c r="A506" t="str">
        <f>"20200111155804040"</f>
        <v>20200111155804040</v>
      </c>
      <c r="B506" t="str">
        <f>"1578729484031299"</f>
        <v>1578729484031299</v>
      </c>
      <c r="C506" t="s">
        <v>37</v>
      </c>
      <c r="D506">
        <v>5.7335760000000002</v>
      </c>
      <c r="E506">
        <v>0.58387309999999903</v>
      </c>
      <c r="F506" t="s">
        <v>38</v>
      </c>
      <c r="G506">
        <v>-394.69920000000002</v>
      </c>
      <c r="H506">
        <v>0.92234740000000004</v>
      </c>
      <c r="I506">
        <v>367.3879</v>
      </c>
      <c r="J506">
        <v>-395.42169999999999</v>
      </c>
      <c r="K506">
        <v>1.094632</v>
      </c>
      <c r="L506">
        <v>367.49360000000001</v>
      </c>
      <c r="M506">
        <v>0.99972280000000002</v>
      </c>
      <c r="N506">
        <v>0</v>
      </c>
      <c r="O506">
        <v>2.2811290000000001E-2</v>
      </c>
      <c r="P506">
        <v>0.9952744</v>
      </c>
      <c r="Q506">
        <v>2.0687879999999999E-2</v>
      </c>
      <c r="R506">
        <v>9.4874650000000005E-2</v>
      </c>
      <c r="S506">
        <v>3.0585019999999998</v>
      </c>
      <c r="T506">
        <v>-0.5749109</v>
      </c>
      <c r="U506">
        <v>-0.33834839999999999</v>
      </c>
      <c r="V506">
        <v>-7.2168070000000001E-2</v>
      </c>
      <c r="W506">
        <v>1.476264E-2</v>
      </c>
      <c r="X506">
        <v>0.99728320000000004</v>
      </c>
      <c r="Y506">
        <v>0.1299545</v>
      </c>
      <c r="Z506">
        <v>-1.631113E-2</v>
      </c>
      <c r="AA506">
        <v>0.99138579999999998</v>
      </c>
      <c r="AB506">
        <v>27</v>
      </c>
      <c r="AC506">
        <v>0.72249999999996795</v>
      </c>
      <c r="AD506">
        <v>-0.17228460000000001</v>
      </c>
      <c r="AE506">
        <v>-0.10570000000001301</v>
      </c>
      <c r="AF506">
        <v>0.115712247578578</v>
      </c>
      <c r="AG506">
        <v>-0.17228460000000001</v>
      </c>
      <c r="AH506">
        <v>0.68193743800554396</v>
      </c>
      <c r="AI506">
        <v>103.986599996145</v>
      </c>
      <c r="AJ506">
        <v>80.369685199234993</v>
      </c>
      <c r="AK506">
        <v>0.71281833379228599</v>
      </c>
    </row>
    <row r="507" spans="1:37" x14ac:dyDescent="0.2">
      <c r="A507" t="str">
        <f>"20200111155804055"</f>
        <v>20200111155804055</v>
      </c>
      <c r="B507" t="str">
        <f>"1578729484051796"</f>
        <v>1578729484051796</v>
      </c>
      <c r="C507" t="s">
        <v>37</v>
      </c>
      <c r="D507">
        <v>5.7001429999999997</v>
      </c>
      <c r="E507">
        <v>0.58534649999999999</v>
      </c>
      <c r="F507" t="s">
        <v>38</v>
      </c>
      <c r="G507">
        <v>-394.68889999999999</v>
      </c>
      <c r="H507">
        <v>0.94857999999999998</v>
      </c>
      <c r="I507">
        <v>367.41059999999999</v>
      </c>
      <c r="J507">
        <v>-395.2475</v>
      </c>
      <c r="K507">
        <v>1.095593</v>
      </c>
      <c r="L507">
        <v>367.4982</v>
      </c>
      <c r="M507">
        <v>0.99971909999999897</v>
      </c>
      <c r="N507">
        <v>0</v>
      </c>
      <c r="O507">
        <v>2.315739E-2</v>
      </c>
      <c r="P507">
        <v>0.99523159999999899</v>
      </c>
      <c r="Q507">
        <v>1.9776169999999999E-2</v>
      </c>
      <c r="R507">
        <v>9.5514059999999998E-2</v>
      </c>
      <c r="S507">
        <v>3.0598749999999999</v>
      </c>
      <c r="T507">
        <v>-0.60992179999999996</v>
      </c>
      <c r="U507">
        <v>-0.3458252</v>
      </c>
      <c r="V507">
        <v>-7.2463040000000006E-2</v>
      </c>
      <c r="W507">
        <v>1.4628189999999999E-2</v>
      </c>
      <c r="X507">
        <v>0.99726380000000003</v>
      </c>
      <c r="Y507">
        <v>0.1322642</v>
      </c>
      <c r="Z507">
        <v>-1.757152E-2</v>
      </c>
      <c r="AA507">
        <v>0.99105880000000002</v>
      </c>
      <c r="AB507">
        <v>27</v>
      </c>
      <c r="AC507">
        <v>0.55860000000001198</v>
      </c>
      <c r="AD507">
        <v>-0.147013</v>
      </c>
      <c r="AE507">
        <v>-8.7600000000008907E-2</v>
      </c>
      <c r="AF507">
        <v>9.4147826598665899E-2</v>
      </c>
      <c r="AG507">
        <v>-0.147013</v>
      </c>
      <c r="AH507">
        <v>0.52118830852391695</v>
      </c>
      <c r="AI507">
        <v>105.513600919211</v>
      </c>
      <c r="AJ507">
        <v>79.760472298095493</v>
      </c>
      <c r="AK507">
        <v>0.54964887734286705</v>
      </c>
    </row>
    <row r="508" spans="1:37" x14ac:dyDescent="0.2">
      <c r="A508" t="str">
        <f>"20200111155804069"</f>
        <v>20200111155804069</v>
      </c>
      <c r="B508" t="str">
        <f>"1578729484061557"</f>
        <v>1578729484061557</v>
      </c>
      <c r="C508" t="s">
        <v>37</v>
      </c>
      <c r="D508">
        <v>5.7073080000000003</v>
      </c>
      <c r="E508">
        <v>0.58586669999999996</v>
      </c>
      <c r="F508" t="s">
        <v>38</v>
      </c>
      <c r="G508">
        <v>-394.45299999999997</v>
      </c>
      <c r="H508">
        <v>0.92798630000000004</v>
      </c>
      <c r="I508">
        <v>367.40629999999999</v>
      </c>
      <c r="J508">
        <v>-395.07369999999997</v>
      </c>
      <c r="K508">
        <v>1.0964780000000001</v>
      </c>
      <c r="L508">
        <v>367.50290000000001</v>
      </c>
      <c r="M508">
        <v>0.9997144</v>
      </c>
      <c r="N508">
        <v>0</v>
      </c>
      <c r="O508">
        <v>2.3522399999999999E-2</v>
      </c>
      <c r="P508">
        <v>0.99522449999999996</v>
      </c>
      <c r="Q508">
        <v>1.9213259999999999E-2</v>
      </c>
      <c r="R508">
        <v>9.570331E-2</v>
      </c>
      <c r="S508">
        <v>3.061096</v>
      </c>
      <c r="T508">
        <v>-0.64590259999999999</v>
      </c>
      <c r="U508">
        <v>-0.35321039999999998</v>
      </c>
      <c r="V508">
        <v>-7.2289190000000003E-2</v>
      </c>
      <c r="W508">
        <v>1.489328E-2</v>
      </c>
      <c r="X508">
        <v>0.99727250000000001</v>
      </c>
      <c r="Y508">
        <v>0.13452510000000001</v>
      </c>
      <c r="Z508">
        <v>-1.8888060000000002E-2</v>
      </c>
      <c r="AA508">
        <v>0.99073020000000001</v>
      </c>
      <c r="AB508">
        <v>27</v>
      </c>
      <c r="AC508">
        <v>0.62069999999994196</v>
      </c>
      <c r="AD508">
        <v>-0.168491699999999</v>
      </c>
      <c r="AE508">
        <v>-9.66000000000235E-2</v>
      </c>
      <c r="AF508">
        <v>0.10371219375063601</v>
      </c>
      <c r="AG508">
        <v>-0.168491699999999</v>
      </c>
      <c r="AH508">
        <v>0.57676097284397199</v>
      </c>
      <c r="AI508">
        <v>106.041153729127</v>
      </c>
      <c r="AJ508">
        <v>79.806108971620205</v>
      </c>
      <c r="AK508">
        <v>0.60975314012917103</v>
      </c>
    </row>
    <row r="509" spans="1:37" x14ac:dyDescent="0.2">
      <c r="A509" t="str">
        <f>"20200111155804085"</f>
        <v>20200111155804085</v>
      </c>
      <c r="B509" t="str">
        <f>"1578729484082052"</f>
        <v>1578729484082052</v>
      </c>
      <c r="C509" t="s">
        <v>37</v>
      </c>
      <c r="D509">
        <v>5.7352879999999997</v>
      </c>
      <c r="E509">
        <v>0.58667389999999997</v>
      </c>
      <c r="F509" t="s">
        <v>38</v>
      </c>
      <c r="G509">
        <v>-394.21379999999999</v>
      </c>
      <c r="H509">
        <v>0.91208489999999998</v>
      </c>
      <c r="I509">
        <v>367.40269999999998</v>
      </c>
      <c r="J509">
        <v>-394.87380000000002</v>
      </c>
      <c r="K509">
        <v>1.0973820000000001</v>
      </c>
      <c r="L509">
        <v>367.50830000000002</v>
      </c>
      <c r="M509">
        <v>0.999706599999999</v>
      </c>
      <c r="N509">
        <v>0</v>
      </c>
      <c r="O509">
        <v>2.4000480000000001E-2</v>
      </c>
      <c r="P509">
        <v>0.99519089999999999</v>
      </c>
      <c r="Q509">
        <v>1.837068E-2</v>
      </c>
      <c r="R509">
        <v>9.6216199999999905E-2</v>
      </c>
      <c r="S509">
        <v>3.0613709999999998</v>
      </c>
      <c r="T509">
        <v>-0.65650459999999899</v>
      </c>
      <c r="U509">
        <v>-0.35656739999999998</v>
      </c>
      <c r="V509">
        <v>-7.2324749999999993E-2</v>
      </c>
      <c r="W509">
        <v>1.5008189999999999E-2</v>
      </c>
      <c r="X509">
        <v>0.99726819999999905</v>
      </c>
      <c r="Y509">
        <v>0.13590720000000001</v>
      </c>
      <c r="Z509">
        <v>-1.9435609999999999E-2</v>
      </c>
      <c r="AA509">
        <v>0.99053089999999999</v>
      </c>
      <c r="AB509">
        <v>27</v>
      </c>
      <c r="AC509">
        <v>0.66000000000002501</v>
      </c>
      <c r="AD509">
        <v>-0.18529709999999999</v>
      </c>
      <c r="AE509">
        <v>-0.105600000000038</v>
      </c>
      <c r="AF509">
        <v>0.112744982398364</v>
      </c>
      <c r="AG509">
        <v>-0.18529709999999999</v>
      </c>
      <c r="AH509">
        <v>0.61036583514911302</v>
      </c>
      <c r="AI509">
        <v>106.62211880823</v>
      </c>
      <c r="AJ509">
        <v>79.534457464428897</v>
      </c>
      <c r="AK509">
        <v>0.64775990848592302</v>
      </c>
    </row>
    <row r="510" spans="1:37" x14ac:dyDescent="0.2">
      <c r="A510" t="str">
        <f>"20200111155804099"</f>
        <v>20200111155804099</v>
      </c>
      <c r="B510" t="str">
        <f>"1578729484091812"</f>
        <v>1578729484091812</v>
      </c>
      <c r="C510" t="s">
        <v>37</v>
      </c>
      <c r="D510">
        <v>5.7066759999999999</v>
      </c>
      <c r="E510">
        <v>0.58692949999999999</v>
      </c>
      <c r="F510" t="s">
        <v>38</v>
      </c>
      <c r="G510">
        <v>-393.97230000000002</v>
      </c>
      <c r="H510">
        <v>0.89986900000000003</v>
      </c>
      <c r="I510">
        <v>367.40179999999998</v>
      </c>
      <c r="J510">
        <v>-394.69639999999998</v>
      </c>
      <c r="K510">
        <v>1.098047</v>
      </c>
      <c r="L510">
        <v>367.51319999999998</v>
      </c>
      <c r="M510">
        <v>0.99969699999999995</v>
      </c>
      <c r="N510">
        <v>0</v>
      </c>
      <c r="O510">
        <v>2.4494499999999999E-2</v>
      </c>
      <c r="P510">
        <v>0.99518499999999999</v>
      </c>
      <c r="Q510">
        <v>1.7520569999999999E-2</v>
      </c>
      <c r="R510">
        <v>9.6437770000000006E-2</v>
      </c>
      <c r="S510">
        <v>3.0617070000000002</v>
      </c>
      <c r="T510">
        <v>-0.67093659999999999</v>
      </c>
      <c r="U510">
        <v>-0.36029050000000001</v>
      </c>
      <c r="V510">
        <v>-7.2051850000000001E-2</v>
      </c>
      <c r="W510">
        <v>1.4943349999999999E-2</v>
      </c>
      <c r="X510">
        <v>0.99728890000000003</v>
      </c>
      <c r="Y510">
        <v>0.13736989999999999</v>
      </c>
      <c r="Z510">
        <v>-2.0114239999999999E-2</v>
      </c>
      <c r="AA510">
        <v>0.99031559999999896</v>
      </c>
      <c r="AB510">
        <v>27</v>
      </c>
      <c r="AC510">
        <v>0.72409999999996399</v>
      </c>
      <c r="AD510">
        <v>-0.19817799999999999</v>
      </c>
      <c r="AE510">
        <v>-0.111400000000003</v>
      </c>
      <c r="AF510">
        <v>0.120300291173663</v>
      </c>
      <c r="AG510">
        <v>-0.19817799999999999</v>
      </c>
      <c r="AH510">
        <v>0.67198266107360505</v>
      </c>
      <c r="AI510">
        <v>106.188017882173</v>
      </c>
      <c r="AJ510">
        <v>79.850261728864396</v>
      </c>
      <c r="AK510">
        <v>0.71084975664624905</v>
      </c>
    </row>
    <row r="511" spans="1:37" x14ac:dyDescent="0.2">
      <c r="A511" t="str">
        <f>"20200111155804114"</f>
        <v>20200111155804114</v>
      </c>
      <c r="B511" t="str">
        <f>"1578729484111331"</f>
        <v>1578729484111331</v>
      </c>
      <c r="C511" t="s">
        <v>37</v>
      </c>
      <c r="D511">
        <v>5.7241390000000001</v>
      </c>
      <c r="E511">
        <v>0.58727700000000005</v>
      </c>
      <c r="F511" t="s">
        <v>38</v>
      </c>
      <c r="G511">
        <v>-393.95890000000003</v>
      </c>
      <c r="H511">
        <v>0.93492109999999995</v>
      </c>
      <c r="I511">
        <v>367.42570000000001</v>
      </c>
      <c r="J511">
        <v>-394.5274</v>
      </c>
      <c r="K511">
        <v>1.0986149999999999</v>
      </c>
      <c r="L511">
        <v>367.51780000000002</v>
      </c>
      <c r="M511">
        <v>0.99968670000000004</v>
      </c>
      <c r="N511">
        <v>0</v>
      </c>
      <c r="O511">
        <v>2.4974409999999999E-2</v>
      </c>
      <c r="P511">
        <v>0.99516680000000002</v>
      </c>
      <c r="Q511">
        <v>1.6821639999999999E-2</v>
      </c>
      <c r="R511">
        <v>9.6748810000000005E-2</v>
      </c>
      <c r="S511">
        <v>3.0614619999999899</v>
      </c>
      <c r="T511">
        <v>-0.67737499999999995</v>
      </c>
      <c r="U511">
        <v>-0.36151119999999998</v>
      </c>
      <c r="V511">
        <v>-7.1882539999999995E-2</v>
      </c>
      <c r="W511">
        <v>1.495527E-2</v>
      </c>
      <c r="X511">
        <v>0.99730099999999999</v>
      </c>
      <c r="Y511">
        <v>0.13814109999999999</v>
      </c>
      <c r="Z511">
        <v>-2.0492509999999999E-2</v>
      </c>
      <c r="AA511">
        <v>0.99020049999999904</v>
      </c>
      <c r="AB511">
        <v>27</v>
      </c>
      <c r="AC511">
        <v>0.56849999999997103</v>
      </c>
      <c r="AD511">
        <v>-0.163693899999999</v>
      </c>
      <c r="AE511">
        <v>-9.2100000000016197E-2</v>
      </c>
      <c r="AF511">
        <v>9.8325608764473701E-2</v>
      </c>
      <c r="AG511">
        <v>-0.163693899999999</v>
      </c>
      <c r="AH511">
        <v>0.52371229471769398</v>
      </c>
      <c r="AI511">
        <v>107.07681295099999</v>
      </c>
      <c r="AJ511">
        <v>79.366653141161294</v>
      </c>
      <c r="AK511">
        <v>0.55743895259892495</v>
      </c>
    </row>
    <row r="512" spans="1:37" x14ac:dyDescent="0.2">
      <c r="A512" t="str">
        <f>"20200111155804131"</f>
        <v>20200111155804131</v>
      </c>
      <c r="B512" t="str">
        <f>"1578729484121091"</f>
        <v>1578729484121091</v>
      </c>
      <c r="C512" t="s">
        <v>37</v>
      </c>
      <c r="D512">
        <v>5.6997849999999897</v>
      </c>
      <c r="E512">
        <v>0.58751929999999997</v>
      </c>
      <c r="F512" t="s">
        <v>38</v>
      </c>
      <c r="G512">
        <v>-393.7192</v>
      </c>
      <c r="H512">
        <v>0.91742579999999996</v>
      </c>
      <c r="I512">
        <v>367.42219999999998</v>
      </c>
      <c r="J512">
        <v>-394.30450000000002</v>
      </c>
      <c r="K512">
        <v>1.0992899999999901</v>
      </c>
      <c r="L512">
        <v>367.524</v>
      </c>
      <c r="M512">
        <v>0.99967199999999901</v>
      </c>
      <c r="N512">
        <v>0</v>
      </c>
      <c r="O512">
        <v>2.5598360000000001E-2</v>
      </c>
      <c r="P512">
        <v>0.99519760000000002</v>
      </c>
      <c r="Q512">
        <v>1.5398510000000001E-2</v>
      </c>
      <c r="R512">
        <v>9.6669409999999997E-2</v>
      </c>
      <c r="S512">
        <v>3.0614319999999999</v>
      </c>
      <c r="T512">
        <v>-0.68632299999999902</v>
      </c>
      <c r="U512">
        <v>-0.36248779999999903</v>
      </c>
      <c r="V512">
        <v>-7.1177359999999995E-2</v>
      </c>
      <c r="W512">
        <v>1.441888E-2</v>
      </c>
      <c r="X512">
        <v>0.99735949999999995</v>
      </c>
      <c r="Y512">
        <v>0.13893449999999999</v>
      </c>
      <c r="Z512">
        <v>-2.0981900000000001E-2</v>
      </c>
      <c r="AA512">
        <v>0.9900793</v>
      </c>
      <c r="AB512">
        <v>28</v>
      </c>
      <c r="AC512">
        <v>0.58530000000001703</v>
      </c>
      <c r="AD512">
        <v>-0.181864199999999</v>
      </c>
      <c r="AE512">
        <v>-0.101800000000025</v>
      </c>
      <c r="AF512">
        <v>0.106746003353139</v>
      </c>
      <c r="AG512">
        <v>-0.181864199999999</v>
      </c>
      <c r="AH512">
        <v>0.53259211156250097</v>
      </c>
      <c r="AI512">
        <v>108.511127607066</v>
      </c>
      <c r="AJ512">
        <v>78.6665281507712</v>
      </c>
      <c r="AK512">
        <v>0.57282078678423698</v>
      </c>
    </row>
    <row r="513" spans="1:37" x14ac:dyDescent="0.2">
      <c r="A513" t="str">
        <f>"20200111155804146"</f>
        <v>20200111155804146</v>
      </c>
      <c r="B513" t="str">
        <f>"1578729484141589"</f>
        <v>1578729484141589</v>
      </c>
      <c r="C513" t="s">
        <v>37</v>
      </c>
      <c r="D513">
        <v>5.7193129999999996</v>
      </c>
      <c r="E513">
        <v>0.5878871</v>
      </c>
      <c r="F513" t="s">
        <v>38</v>
      </c>
      <c r="G513">
        <v>-393.4742</v>
      </c>
      <c r="H513">
        <v>0.91113899999999903</v>
      </c>
      <c r="I513">
        <v>367.42509999999999</v>
      </c>
      <c r="J513">
        <v>-394.12450000000001</v>
      </c>
      <c r="K513">
        <v>1.0997790000000001</v>
      </c>
      <c r="L513">
        <v>367.52910000000003</v>
      </c>
      <c r="M513">
        <v>0.99966010000000005</v>
      </c>
      <c r="N513">
        <v>0</v>
      </c>
      <c r="O513">
        <v>2.6075020000000001E-2</v>
      </c>
      <c r="P513">
        <v>0.99517819999999901</v>
      </c>
      <c r="Q513">
        <v>1.4856660000000001E-2</v>
      </c>
      <c r="R513">
        <v>9.6953349999999994E-2</v>
      </c>
      <c r="S513">
        <v>3.0605470000000001</v>
      </c>
      <c r="T513">
        <v>-0.69360940000000004</v>
      </c>
      <c r="U513">
        <v>-0.36410520000000002</v>
      </c>
      <c r="V513">
        <v>-7.0984610000000004E-2</v>
      </c>
      <c r="W513">
        <v>1.455906E-2</v>
      </c>
      <c r="X513">
        <v>0.99737109999999995</v>
      </c>
      <c r="Y513">
        <v>0.13983419999999999</v>
      </c>
      <c r="Z513">
        <v>-2.141125E-2</v>
      </c>
      <c r="AA513">
        <v>0.98994340000000003</v>
      </c>
      <c r="AB513">
        <v>28</v>
      </c>
      <c r="AC513">
        <v>0.65030000000001498</v>
      </c>
      <c r="AD513">
        <v>-0.18864</v>
      </c>
      <c r="AE513">
        <v>-0.104000000000041</v>
      </c>
      <c r="AF513">
        <v>0.111752100499744</v>
      </c>
      <c r="AG513">
        <v>-0.18864</v>
      </c>
      <c r="AH513">
        <v>0.59827903253431403</v>
      </c>
      <c r="AI513">
        <v>107.220495018227</v>
      </c>
      <c r="AJ513">
        <v>79.419688906646797</v>
      </c>
      <c r="AK513">
        <v>0.63719022460824104</v>
      </c>
    </row>
    <row r="514" spans="1:37" x14ac:dyDescent="0.2">
      <c r="A514" t="str">
        <f>"20200111155804164"</f>
        <v>20200111155804164</v>
      </c>
      <c r="B514" t="str">
        <f>"1578729484161108"</f>
        <v>1578729484161108</v>
      </c>
      <c r="C514" t="s">
        <v>37</v>
      </c>
      <c r="D514">
        <v>5.7408149999999996</v>
      </c>
      <c r="E514">
        <v>0.58811080000000004</v>
      </c>
      <c r="F514" t="s">
        <v>38</v>
      </c>
      <c r="G514">
        <v>-393.23180000000002</v>
      </c>
      <c r="H514">
        <v>0.89595259999999999</v>
      </c>
      <c r="I514">
        <v>367.42230000000001</v>
      </c>
      <c r="J514">
        <v>-393.90199999999999</v>
      </c>
      <c r="K514">
        <v>1.1003179999999999</v>
      </c>
      <c r="L514">
        <v>367.53530000000001</v>
      </c>
      <c r="M514">
        <v>0.99964609999999998</v>
      </c>
      <c r="N514">
        <v>0</v>
      </c>
      <c r="O514">
        <v>2.6599680000000001E-2</v>
      </c>
      <c r="P514">
        <v>0.99517230000000001</v>
      </c>
      <c r="Q514">
        <v>1.4045169999999999E-2</v>
      </c>
      <c r="R514">
        <v>9.7132960000000004E-2</v>
      </c>
      <c r="S514">
        <v>3.0606080000000002</v>
      </c>
      <c r="T514">
        <v>-0.69889060000000003</v>
      </c>
      <c r="U514">
        <v>-0.36572270000000001</v>
      </c>
      <c r="V514">
        <v>-7.0640300000000003E-2</v>
      </c>
      <c r="W514">
        <v>1.4536169999999999E-2</v>
      </c>
      <c r="X514">
        <v>0.9973959</v>
      </c>
      <c r="Y514">
        <v>0.14076759999999999</v>
      </c>
      <c r="Z514">
        <v>-2.1791990000000001E-2</v>
      </c>
      <c r="AA514">
        <v>0.98980279999999998</v>
      </c>
      <c r="AB514">
        <v>28</v>
      </c>
      <c r="AC514">
        <v>0.67019999999996505</v>
      </c>
      <c r="AD514">
        <v>-0.2043654</v>
      </c>
      <c r="AE514">
        <v>-0.112999999999999</v>
      </c>
      <c r="AF514">
        <v>0.119942715905157</v>
      </c>
      <c r="AG514">
        <v>-0.2043654</v>
      </c>
      <c r="AH514">
        <v>0.61165536341147797</v>
      </c>
      <c r="AI514">
        <v>108.152976351132</v>
      </c>
      <c r="AJ514">
        <v>78.905348625836794</v>
      </c>
      <c r="AK514">
        <v>0.655952555758336</v>
      </c>
    </row>
    <row r="515" spans="1:37" x14ac:dyDescent="0.2">
      <c r="A515" t="str">
        <f>"20200111155804186"</f>
        <v>20200111155804186</v>
      </c>
      <c r="B515" t="str">
        <f>"1578729484181604"</f>
        <v>1578729484181604</v>
      </c>
      <c r="C515" t="s">
        <v>37</v>
      </c>
      <c r="D515">
        <v>5.7208839999999999</v>
      </c>
      <c r="E515">
        <v>0.58833409999999997</v>
      </c>
      <c r="F515" t="s">
        <v>38</v>
      </c>
      <c r="G515">
        <v>-393.21390000000002</v>
      </c>
      <c r="H515">
        <v>0.94210819999999995</v>
      </c>
      <c r="I515">
        <v>367.45269999999999</v>
      </c>
      <c r="J515">
        <v>-393.62819999999999</v>
      </c>
      <c r="K515">
        <v>1.100886</v>
      </c>
      <c r="L515">
        <v>367.54309999999998</v>
      </c>
      <c r="M515">
        <v>0.99963019999999903</v>
      </c>
      <c r="N515">
        <v>0</v>
      </c>
      <c r="O515">
        <v>2.7161009999999999E-2</v>
      </c>
      <c r="P515">
        <v>0.99514369999999996</v>
      </c>
      <c r="Q515">
        <v>1.3543599999999999E-2</v>
      </c>
      <c r="R515">
        <v>9.7498870000000001E-2</v>
      </c>
      <c r="S515">
        <v>3.0602719999999999</v>
      </c>
      <c r="T515">
        <v>-0.70362910000000001</v>
      </c>
      <c r="U515">
        <v>-0.3665466</v>
      </c>
      <c r="V515">
        <v>-7.0446350000000005E-2</v>
      </c>
      <c r="W515">
        <v>1.492189E-2</v>
      </c>
      <c r="X515">
        <v>0.99740399999999996</v>
      </c>
      <c r="Y515">
        <v>0.141507299999999</v>
      </c>
      <c r="Z515">
        <v>-2.214872E-2</v>
      </c>
      <c r="AA515">
        <v>0.98968940000000005</v>
      </c>
      <c r="AB515">
        <v>28</v>
      </c>
      <c r="AC515">
        <v>0.41429999999996803</v>
      </c>
      <c r="AD515">
        <v>-0.158777799999999</v>
      </c>
      <c r="AE515">
        <v>-9.0399999999988198E-2</v>
      </c>
      <c r="AF515">
        <v>8.9124204322201597E-2</v>
      </c>
      <c r="AG515">
        <v>-0.158777799999999</v>
      </c>
      <c r="AH515">
        <v>0.36106964010957898</v>
      </c>
      <c r="AI515">
        <v>113.11906102351099</v>
      </c>
      <c r="AJ515">
        <v>76.134620102582701</v>
      </c>
      <c r="AK515">
        <v>0.40438199586253398</v>
      </c>
    </row>
    <row r="516" spans="1:37" x14ac:dyDescent="0.2">
      <c r="A516" t="str">
        <f>"20200111155804200"</f>
        <v>20200111155804200</v>
      </c>
      <c r="B516" t="str">
        <f>"1578729484191364"</f>
        <v>1578729484191364</v>
      </c>
      <c r="C516" t="s">
        <v>37</v>
      </c>
      <c r="D516">
        <v>5.7370539999999997</v>
      </c>
      <c r="E516">
        <v>0.58836009999999905</v>
      </c>
      <c r="F516" t="s">
        <v>38</v>
      </c>
      <c r="G516">
        <v>-392.73489999999998</v>
      </c>
      <c r="H516">
        <v>0.89406140000000001</v>
      </c>
      <c r="I516">
        <v>367.43599999999998</v>
      </c>
      <c r="J516">
        <v>-393.44970000000001</v>
      </c>
      <c r="K516">
        <v>1.1011949999999999</v>
      </c>
      <c r="L516">
        <v>367.54829999999998</v>
      </c>
      <c r="M516">
        <v>0.99962050000000002</v>
      </c>
      <c r="N516">
        <v>0</v>
      </c>
      <c r="O516">
        <v>2.7480359999999999E-2</v>
      </c>
      <c r="P516">
        <v>0.99513189999999996</v>
      </c>
      <c r="Q516">
        <v>1.311885E-2</v>
      </c>
      <c r="R516">
        <v>9.7676689999999997E-2</v>
      </c>
      <c r="S516">
        <v>3.060181</v>
      </c>
      <c r="T516">
        <v>-0.70858759999999998</v>
      </c>
      <c r="U516">
        <v>-0.366394</v>
      </c>
      <c r="V516">
        <v>-7.0304989999999998E-2</v>
      </c>
      <c r="W516">
        <v>1.501868E-2</v>
      </c>
      <c r="X516">
        <v>0.99741250000000004</v>
      </c>
      <c r="Y516">
        <v>0.14170379999999999</v>
      </c>
      <c r="Z516">
        <v>-2.2396679999999999E-2</v>
      </c>
      <c r="AA516">
        <v>0.98965569999999903</v>
      </c>
      <c r="AB516">
        <v>28</v>
      </c>
      <c r="AC516">
        <v>0.71480000000002497</v>
      </c>
      <c r="AD516">
        <v>-0.2071336</v>
      </c>
      <c r="AE516">
        <v>-0.11230000000000399</v>
      </c>
      <c r="AF516">
        <v>0.121910191069491</v>
      </c>
      <c r="AG516">
        <v>-0.2071336</v>
      </c>
      <c r="AH516">
        <v>0.65755790971109296</v>
      </c>
      <c r="AI516">
        <v>107.20912681968601</v>
      </c>
      <c r="AJ516">
        <v>79.496711615185902</v>
      </c>
      <c r="AK516">
        <v>0.70010629732861396</v>
      </c>
    </row>
    <row r="517" spans="1:37" x14ac:dyDescent="0.2">
      <c r="A517" t="str">
        <f>"20200111155804212"</f>
        <v>20200111155804212</v>
      </c>
      <c r="B517" t="str">
        <f>"1578729484201123"</f>
        <v>1578729484201123</v>
      </c>
      <c r="C517" t="s">
        <v>37</v>
      </c>
      <c r="D517">
        <v>5.7258969999999998</v>
      </c>
      <c r="E517">
        <v>0.58844099999999999</v>
      </c>
      <c r="F517" t="s">
        <v>38</v>
      </c>
      <c r="G517">
        <v>-392.72059999999999</v>
      </c>
      <c r="H517">
        <v>0.93167979999999995</v>
      </c>
      <c r="I517">
        <v>367.46100000000001</v>
      </c>
      <c r="J517">
        <v>-393.29539999999997</v>
      </c>
      <c r="K517">
        <v>1.10144</v>
      </c>
      <c r="L517">
        <v>367.55279999999999</v>
      </c>
      <c r="M517">
        <v>0.99961239999999996</v>
      </c>
      <c r="N517">
        <v>0</v>
      </c>
      <c r="O517">
        <v>2.773985E-2</v>
      </c>
      <c r="P517">
        <v>0.995137099999999</v>
      </c>
      <c r="Q517">
        <v>1.2438309999999999E-2</v>
      </c>
      <c r="R517">
        <v>9.7712610000000005E-2</v>
      </c>
      <c r="S517">
        <v>3.0599369999999899</v>
      </c>
      <c r="T517">
        <v>-0.71146109999999996</v>
      </c>
      <c r="U517">
        <v>-0.36566159999999998</v>
      </c>
      <c r="V517">
        <v>-7.0081710000000005E-2</v>
      </c>
      <c r="W517">
        <v>1.4760260000000001E-2</v>
      </c>
      <c r="X517">
        <v>0.99743210000000004</v>
      </c>
      <c r="Y517">
        <v>0.1416935</v>
      </c>
      <c r="Z517">
        <v>-2.254542E-2</v>
      </c>
      <c r="AA517">
        <v>0.98965380000000003</v>
      </c>
      <c r="AB517">
        <v>28</v>
      </c>
      <c r="AC517">
        <v>0.57479999999998199</v>
      </c>
      <c r="AD517">
        <v>-0.169760199999999</v>
      </c>
      <c r="AE517">
        <v>-9.1799999999977899E-2</v>
      </c>
      <c r="AF517">
        <v>9.9266474098039195E-2</v>
      </c>
      <c r="AG517">
        <v>-0.169760199999999</v>
      </c>
      <c r="AH517">
        <v>0.52719196934760304</v>
      </c>
      <c r="AI517">
        <v>107.559844329478</v>
      </c>
      <c r="AJ517">
        <v>79.336467329450898</v>
      </c>
      <c r="AK517">
        <v>0.56267551122160997</v>
      </c>
    </row>
    <row r="518" spans="1:37" x14ac:dyDescent="0.2">
      <c r="A518" t="str">
        <f>"20200111155804230"</f>
        <v>20200111155804230</v>
      </c>
      <c r="B518" t="str">
        <f>"1578729484221619"</f>
        <v>1578729484221619</v>
      </c>
      <c r="C518" t="s">
        <v>37</v>
      </c>
      <c r="D518">
        <v>5.7937349999999999</v>
      </c>
      <c r="E518">
        <v>0.58836160000000004</v>
      </c>
      <c r="F518" t="s">
        <v>38</v>
      </c>
      <c r="G518">
        <v>-392.47899999999998</v>
      </c>
      <c r="H518">
        <v>0.91069439999999902</v>
      </c>
      <c r="I518">
        <v>367.4547</v>
      </c>
      <c r="J518">
        <v>-393.0761</v>
      </c>
      <c r="K518">
        <v>1.1017509999999999</v>
      </c>
      <c r="L518">
        <v>367.55919999999998</v>
      </c>
      <c r="M518">
        <v>0.99960130000000003</v>
      </c>
      <c r="N518">
        <v>0</v>
      </c>
      <c r="O518">
        <v>2.8086E-2</v>
      </c>
      <c r="P518">
        <v>0.99515379999999998</v>
      </c>
      <c r="Q518">
        <v>1.1453700000000001E-2</v>
      </c>
      <c r="R518">
        <v>9.7661170000000005E-2</v>
      </c>
      <c r="S518">
        <v>3.0595699999999999</v>
      </c>
      <c r="T518">
        <v>-0.71501630000000005</v>
      </c>
      <c r="U518">
        <v>-0.3660583</v>
      </c>
      <c r="V518">
        <v>-6.9683579999999995E-2</v>
      </c>
      <c r="W518">
        <v>1.4332589999999999E-2</v>
      </c>
      <c r="X518">
        <v>0.99746619999999997</v>
      </c>
      <c r="Y518">
        <v>0.14211109999999999</v>
      </c>
      <c r="Z518">
        <v>-2.2785199999999999E-2</v>
      </c>
      <c r="AA518">
        <v>0.98958840000000003</v>
      </c>
      <c r="AB518">
        <v>28</v>
      </c>
      <c r="AC518">
        <v>0.597099999999954</v>
      </c>
      <c r="AD518">
        <v>-0.19105659999999999</v>
      </c>
      <c r="AE518">
        <v>-0.104499999999973</v>
      </c>
      <c r="AF518">
        <v>0.110274268467284</v>
      </c>
      <c r="AG518">
        <v>-0.19105659999999999</v>
      </c>
      <c r="AH518">
        <v>0.54025965156603095</v>
      </c>
      <c r="AI518">
        <v>109.11090712554</v>
      </c>
      <c r="AJ518">
        <v>78.463628526529604</v>
      </c>
      <c r="AK518">
        <v>0.58356107632346699</v>
      </c>
    </row>
    <row r="519" spans="1:37" x14ac:dyDescent="0.2">
      <c r="A519" t="str">
        <f>"20200111155804243"</f>
        <v>20200111155804243</v>
      </c>
      <c r="B519" t="str">
        <f>"1578729484231381"</f>
        <v>1578729484231381</v>
      </c>
      <c r="C519" t="s">
        <v>37</v>
      </c>
      <c r="D519">
        <v>5.8398269999999997</v>
      </c>
      <c r="E519">
        <v>0.58274519999999996</v>
      </c>
      <c r="F519" t="s">
        <v>38</v>
      </c>
      <c r="G519">
        <v>-392.23169999999999</v>
      </c>
      <c r="H519">
        <v>0.90297759999999905</v>
      </c>
      <c r="I519">
        <v>367.45830000000001</v>
      </c>
      <c r="J519">
        <v>-392.91800000000001</v>
      </c>
      <c r="K519">
        <v>1.1019509999999999</v>
      </c>
      <c r="L519">
        <v>367.56389999999999</v>
      </c>
      <c r="M519">
        <v>0.99959339999999997</v>
      </c>
      <c r="N519">
        <v>0</v>
      </c>
      <c r="O519">
        <v>2.832221E-2</v>
      </c>
      <c r="P519">
        <v>0.99515549999999997</v>
      </c>
      <c r="Q519">
        <v>1.0551629999999999E-2</v>
      </c>
      <c r="R519">
        <v>9.7745230000000002E-2</v>
      </c>
      <c r="S519">
        <v>3.058716</v>
      </c>
      <c r="T519">
        <v>-0.72002319999999997</v>
      </c>
      <c r="U519">
        <v>-0.36477659999999901</v>
      </c>
      <c r="V519">
        <v>-6.9530960000000003E-2</v>
      </c>
      <c r="W519">
        <v>1.380287E-2</v>
      </c>
      <c r="X519">
        <v>0.99748429999999999</v>
      </c>
      <c r="Y519">
        <v>0.14190239999999901</v>
      </c>
      <c r="Z519">
        <v>-2.2977850000000001E-2</v>
      </c>
      <c r="AA519">
        <v>0.98961399999999999</v>
      </c>
      <c r="AB519">
        <v>28</v>
      </c>
      <c r="AC519">
        <v>0.68630000000001701</v>
      </c>
      <c r="AD519">
        <v>-0.19897339999999999</v>
      </c>
      <c r="AE519">
        <v>-0.105599999999981</v>
      </c>
      <c r="AF519">
        <v>0.11551061915305</v>
      </c>
      <c r="AG519">
        <v>-0.19897339999999999</v>
      </c>
      <c r="AH519">
        <v>0.63120515061008697</v>
      </c>
      <c r="AI519">
        <v>107.22753552672501</v>
      </c>
      <c r="AJ519">
        <v>79.629614091782599</v>
      </c>
      <c r="AK519">
        <v>0.671828147074372</v>
      </c>
    </row>
    <row r="520" spans="1:37" x14ac:dyDescent="0.2">
      <c r="A520" t="str">
        <f>"20200111155804255"</f>
        <v>20200111155804255</v>
      </c>
      <c r="B520" t="str">
        <f>"1578729484251877"</f>
        <v>1578729484251877</v>
      </c>
      <c r="C520" t="s">
        <v>37</v>
      </c>
      <c r="D520">
        <v>5.849183</v>
      </c>
      <c r="E520">
        <v>0.58256109999999905</v>
      </c>
      <c r="F520" t="s">
        <v>38</v>
      </c>
      <c r="G520">
        <v>-392.2242</v>
      </c>
      <c r="H520">
        <v>0.92573609999999995</v>
      </c>
      <c r="I520">
        <v>367.49180000000001</v>
      </c>
      <c r="J520">
        <v>-392.75330000000002</v>
      </c>
      <c r="K520">
        <v>1.102128</v>
      </c>
      <c r="L520">
        <v>367.56880000000001</v>
      </c>
      <c r="M520">
        <v>0.99958539999999996</v>
      </c>
      <c r="N520">
        <v>0</v>
      </c>
      <c r="O520">
        <v>2.855599E-2</v>
      </c>
      <c r="P520">
        <v>0.99514749999999996</v>
      </c>
      <c r="Q520">
        <v>1.0345190000000001E-2</v>
      </c>
      <c r="R520">
        <v>9.784938E-2</v>
      </c>
      <c r="S520">
        <v>3.053925</v>
      </c>
      <c r="T520">
        <v>-0.77579089999999995</v>
      </c>
      <c r="U520">
        <v>-0.31655879999999997</v>
      </c>
      <c r="V520">
        <v>-6.9401899999999905E-2</v>
      </c>
      <c r="W520">
        <v>1.3948769999999999E-2</v>
      </c>
      <c r="X520">
        <v>0.99749120000000002</v>
      </c>
      <c r="Y520">
        <v>0.12658649999999999</v>
      </c>
      <c r="Z520">
        <v>-2.2911129999999998E-2</v>
      </c>
      <c r="AA520">
        <v>0.99169089999999904</v>
      </c>
      <c r="AB520">
        <v>28</v>
      </c>
      <c r="AC520">
        <v>0.52910000000002799</v>
      </c>
      <c r="AD520">
        <v>-0.17639189999999999</v>
      </c>
      <c r="AE520">
        <v>-7.6999999999998098E-2</v>
      </c>
      <c r="AF520">
        <v>8.3039803579619195E-2</v>
      </c>
      <c r="AG520">
        <v>-0.17639189999999999</v>
      </c>
      <c r="AH520">
        <v>0.47498866606468199</v>
      </c>
      <c r="AI520">
        <v>110.09312692081799</v>
      </c>
      <c r="AJ520">
        <v>80.0834941290194</v>
      </c>
      <c r="AK520">
        <v>0.51344322398300102</v>
      </c>
    </row>
    <row r="521" spans="1:37" x14ac:dyDescent="0.2">
      <c r="A521" t="str">
        <f>"20200111155804269"</f>
        <v>20200111155804269</v>
      </c>
      <c r="B521" t="str">
        <f>"1578729484261636"</f>
        <v>1578729484261636</v>
      </c>
      <c r="C521" t="s">
        <v>37</v>
      </c>
      <c r="D521">
        <v>5.8094720000000004</v>
      </c>
      <c r="E521">
        <v>0.58251730000000002</v>
      </c>
      <c r="F521" t="s">
        <v>38</v>
      </c>
      <c r="G521">
        <v>-391.98160000000001</v>
      </c>
      <c r="H521">
        <v>0.90573989999999904</v>
      </c>
      <c r="I521">
        <v>367.48919999999998</v>
      </c>
      <c r="J521">
        <v>-392.59089999999998</v>
      </c>
      <c r="K521">
        <v>1.1022909999999999</v>
      </c>
      <c r="L521">
        <v>367.57369999999997</v>
      </c>
      <c r="M521">
        <v>0.99957790000000002</v>
      </c>
      <c r="N521">
        <v>0</v>
      </c>
      <c r="O521">
        <v>2.87812E-2</v>
      </c>
      <c r="P521">
        <v>0.99515350000000002</v>
      </c>
      <c r="Q521">
        <v>9.7782979999999995E-3</v>
      </c>
      <c r="R521">
        <v>9.7848530000000003E-2</v>
      </c>
      <c r="S521">
        <v>3.0536189999999999</v>
      </c>
      <c r="T521">
        <v>-0.77708900000000003</v>
      </c>
      <c r="U521">
        <v>-0.3142395</v>
      </c>
      <c r="V521">
        <v>-6.9175739999999999E-2</v>
      </c>
      <c r="W521">
        <v>1.371228E-2</v>
      </c>
      <c r="X521">
        <v>0.99751029999999996</v>
      </c>
      <c r="Y521">
        <v>0.1260665</v>
      </c>
      <c r="Z521">
        <v>-2.294268E-2</v>
      </c>
      <c r="AA521">
        <v>0.99175639999999998</v>
      </c>
      <c r="AB521">
        <v>28</v>
      </c>
      <c r="AC521">
        <v>0.60929999999996198</v>
      </c>
      <c r="AD521">
        <v>-0.19655110000000001</v>
      </c>
      <c r="AE521">
        <v>-8.4499999999991304E-2</v>
      </c>
      <c r="AF521">
        <v>9.2552172469077806E-2</v>
      </c>
      <c r="AG521">
        <v>-0.19655110000000001</v>
      </c>
      <c r="AH521">
        <v>0.55041914339234199</v>
      </c>
      <c r="AI521">
        <v>109.399708562247</v>
      </c>
      <c r="AJ521">
        <v>80.455087631908498</v>
      </c>
      <c r="AK521">
        <v>0.59174274220535605</v>
      </c>
    </row>
    <row r="522" spans="1:37" x14ac:dyDescent="0.2">
      <c r="A522" t="str">
        <f>"20200111155804287"</f>
        <v>20200111155804287</v>
      </c>
      <c r="B522" t="str">
        <f>"1578729484281157"</f>
        <v>1578729484281157</v>
      </c>
      <c r="C522" t="s">
        <v>37</v>
      </c>
      <c r="D522">
        <v>5.8613349999999897</v>
      </c>
      <c r="E522">
        <v>0.58240159999999996</v>
      </c>
      <c r="F522" t="s">
        <v>38</v>
      </c>
      <c r="G522">
        <v>-391.738</v>
      </c>
      <c r="H522">
        <v>0.884926199999999</v>
      </c>
      <c r="I522">
        <v>367.48590000000002</v>
      </c>
      <c r="J522">
        <v>-392.3682</v>
      </c>
      <c r="K522">
        <v>1.1024849999999999</v>
      </c>
      <c r="L522">
        <v>367.5804</v>
      </c>
      <c r="M522">
        <v>0.99956739999999999</v>
      </c>
      <c r="N522">
        <v>0</v>
      </c>
      <c r="O522">
        <v>2.9080580000000002E-2</v>
      </c>
      <c r="P522">
        <v>0.9952105</v>
      </c>
      <c r="Q522">
        <v>8.3099719999999901E-3</v>
      </c>
      <c r="R522">
        <v>9.7401950000000001E-2</v>
      </c>
      <c r="S522">
        <v>3.0531619999999999</v>
      </c>
      <c r="T522">
        <v>-0.77814289999999997</v>
      </c>
      <c r="U522">
        <v>-0.31384279999999998</v>
      </c>
      <c r="V522">
        <v>-6.8427989999999994E-2</v>
      </c>
      <c r="W522">
        <v>1.265761E-2</v>
      </c>
      <c r="X522">
        <v>0.99757580000000001</v>
      </c>
      <c r="Y522">
        <v>0.1262221</v>
      </c>
      <c r="Z522">
        <v>-2.3070719999999999E-2</v>
      </c>
      <c r="AA522">
        <v>0.99173369999999905</v>
      </c>
      <c r="AB522">
        <v>28</v>
      </c>
      <c r="AC522">
        <v>0.63019999999994503</v>
      </c>
      <c r="AD522">
        <v>-0.2175588</v>
      </c>
      <c r="AE522">
        <v>-9.4499999999982195E-2</v>
      </c>
      <c r="AF522">
        <v>0.101012995025062</v>
      </c>
      <c r="AG522">
        <v>-0.2175588</v>
      </c>
      <c r="AH522">
        <v>0.56171354240411897</v>
      </c>
      <c r="AI522">
        <v>110.866746864698</v>
      </c>
      <c r="AJ522">
        <v>79.805456347925102</v>
      </c>
      <c r="AK522">
        <v>0.61078438121939305</v>
      </c>
    </row>
    <row r="523" spans="1:37" x14ac:dyDescent="0.2">
      <c r="A523" t="str">
        <f>"20200111155804300"</f>
        <v>20200111155804300</v>
      </c>
      <c r="B523" t="str">
        <f>"1578729484291893"</f>
        <v>1578729484291893</v>
      </c>
      <c r="C523" t="s">
        <v>37</v>
      </c>
      <c r="D523">
        <v>5.8251799999999996</v>
      </c>
      <c r="E523">
        <v>0.58225939999999998</v>
      </c>
      <c r="F523" t="s">
        <v>38</v>
      </c>
      <c r="G523">
        <v>-391.48899999999998</v>
      </c>
      <c r="H523">
        <v>0.87704289999999996</v>
      </c>
      <c r="I523">
        <v>367.4896</v>
      </c>
      <c r="J523">
        <v>-392.19479999999999</v>
      </c>
      <c r="K523">
        <v>1.1026119999999999</v>
      </c>
      <c r="L523">
        <v>367.58569999999997</v>
      </c>
      <c r="M523">
        <v>0.99955949999999905</v>
      </c>
      <c r="N523">
        <v>0</v>
      </c>
      <c r="O523">
        <v>2.9308069999999999E-2</v>
      </c>
      <c r="P523">
        <v>0.9952242</v>
      </c>
      <c r="Q523">
        <v>7.3012240000000003E-3</v>
      </c>
      <c r="R523">
        <v>9.734421E-2</v>
      </c>
      <c r="S523">
        <v>3.0517270000000001</v>
      </c>
      <c r="T523">
        <v>-0.78256890000000001</v>
      </c>
      <c r="U523">
        <v>-0.31414789999999998</v>
      </c>
      <c r="V523">
        <v>-6.8142229999999998E-2</v>
      </c>
      <c r="W523">
        <v>1.193811E-2</v>
      </c>
      <c r="X523">
        <v>0.99760419999999905</v>
      </c>
      <c r="Y523">
        <v>0.12651680000000001</v>
      </c>
      <c r="Z523">
        <v>-2.3302659999999999E-2</v>
      </c>
      <c r="AA523">
        <v>0.99169069999999904</v>
      </c>
      <c r="AB523">
        <v>28</v>
      </c>
      <c r="AC523">
        <v>0.70579999999995302</v>
      </c>
      <c r="AD523">
        <v>-0.22556909999999999</v>
      </c>
      <c r="AE523">
        <v>-9.6099999999978494E-2</v>
      </c>
      <c r="AF523">
        <v>0.106104338485696</v>
      </c>
      <c r="AG523">
        <v>-0.22556909999999999</v>
      </c>
      <c r="AH523">
        <v>0.63863714568598595</v>
      </c>
      <c r="AI523">
        <v>109.209754175624</v>
      </c>
      <c r="AJ523">
        <v>80.566938967283605</v>
      </c>
      <c r="AK523">
        <v>0.68556323805338404</v>
      </c>
    </row>
    <row r="524" spans="1:37" x14ac:dyDescent="0.2">
      <c r="A524" t="str">
        <f>"20200111155804314"</f>
        <v>20200111155804314</v>
      </c>
      <c r="B524" t="str">
        <f>"1578729484311918"</f>
        <v>1578729484311918</v>
      </c>
      <c r="C524" t="s">
        <v>37</v>
      </c>
      <c r="D524">
        <v>5.8209070000000001</v>
      </c>
      <c r="E524">
        <v>0.58217919999999901</v>
      </c>
      <c r="F524" t="s">
        <v>38</v>
      </c>
      <c r="G524">
        <v>-391.47370000000001</v>
      </c>
      <c r="H524">
        <v>0.91695990000000005</v>
      </c>
      <c r="I524">
        <v>367.51139999999998</v>
      </c>
      <c r="J524">
        <v>-392.01799999999997</v>
      </c>
      <c r="K524">
        <v>1.102725</v>
      </c>
      <c r="L524">
        <v>367.59109999999998</v>
      </c>
      <c r="M524">
        <v>0.99955149999999904</v>
      </c>
      <c r="N524">
        <v>0</v>
      </c>
      <c r="O524">
        <v>2.9537000000000001E-2</v>
      </c>
      <c r="P524">
        <v>0.99523930000000005</v>
      </c>
      <c r="Q524">
        <v>6.4703299999999998E-3</v>
      </c>
      <c r="R524">
        <v>9.724903E-2</v>
      </c>
      <c r="S524">
        <v>3.0507200000000001</v>
      </c>
      <c r="T524">
        <v>-0.78548719999999905</v>
      </c>
      <c r="U524">
        <v>-0.31323240000000002</v>
      </c>
      <c r="V524">
        <v>-6.7817279999999994E-2</v>
      </c>
      <c r="W524">
        <v>1.13792999999999E-2</v>
      </c>
      <c r="X524">
        <v>0.99763289999999905</v>
      </c>
      <c r="Y524">
        <v>0.12643769999999999</v>
      </c>
      <c r="Z524">
        <v>-2.344251E-2</v>
      </c>
      <c r="AA524">
        <v>0.99169750000000001</v>
      </c>
      <c r="AB524">
        <v>28</v>
      </c>
      <c r="AC524">
        <v>0.54430000000002099</v>
      </c>
      <c r="AD524">
        <v>-0.18576509999999899</v>
      </c>
      <c r="AE524">
        <v>-7.9700000000002505E-2</v>
      </c>
      <c r="AF524">
        <v>8.59420078271768E-2</v>
      </c>
      <c r="AG524">
        <v>-0.18576509999999899</v>
      </c>
      <c r="AH524">
        <v>0.48625792877830398</v>
      </c>
      <c r="AI524">
        <v>110.616267976651</v>
      </c>
      <c r="AJ524">
        <v>79.976961630443299</v>
      </c>
      <c r="AK524">
        <v>0.52758077522512403</v>
      </c>
    </row>
    <row r="525" spans="1:37" x14ac:dyDescent="0.2">
      <c r="A525" t="str">
        <f>"20200111155804331"</f>
        <v>20200111155804331</v>
      </c>
      <c r="B525" t="str">
        <f>"1578729484321678"</f>
        <v>1578729484321678</v>
      </c>
      <c r="C525" t="s">
        <v>37</v>
      </c>
      <c r="D525">
        <v>8.1341750000000008</v>
      </c>
      <c r="E525">
        <v>0.58217919999999901</v>
      </c>
      <c r="F525" t="s">
        <v>38</v>
      </c>
      <c r="G525">
        <v>-391.22809999999998</v>
      </c>
      <c r="H525">
        <v>0.89885020000000004</v>
      </c>
      <c r="I525">
        <v>367.5102</v>
      </c>
      <c r="J525">
        <v>-391.8125</v>
      </c>
      <c r="K525">
        <v>1.1028420000000001</v>
      </c>
      <c r="L525">
        <v>367.59750000000003</v>
      </c>
      <c r="M525">
        <v>0.99954209999999999</v>
      </c>
      <c r="N525">
        <v>0</v>
      </c>
      <c r="O525">
        <v>2.980118E-2</v>
      </c>
      <c r="P525">
        <v>0.99528069999999902</v>
      </c>
      <c r="Q525">
        <v>4.3466149999999999E-3</v>
      </c>
      <c r="R525">
        <v>9.6939999999999998E-2</v>
      </c>
      <c r="S525">
        <v>3.0500180000000001</v>
      </c>
      <c r="T525">
        <v>-0.78719790000000001</v>
      </c>
      <c r="U525">
        <v>-0.31262209999999901</v>
      </c>
      <c r="V525">
        <v>-6.7242010000000005E-2</v>
      </c>
      <c r="W525">
        <v>9.5478679999999993E-3</v>
      </c>
      <c r="X525">
        <v>0.99769099999999999</v>
      </c>
      <c r="Y525">
        <v>0.1264922</v>
      </c>
      <c r="Z525">
        <v>-2.3571249999999998E-2</v>
      </c>
      <c r="AA525">
        <v>0.99168750000000006</v>
      </c>
      <c r="AB525">
        <v>28</v>
      </c>
      <c r="AC525">
        <v>0.58440000000001602</v>
      </c>
      <c r="AD525">
        <v>-0.2039918</v>
      </c>
      <c r="AE525">
        <v>-8.7300000000027397E-2</v>
      </c>
      <c r="AF525">
        <v>9.3529946838336597E-2</v>
      </c>
      <c r="AG525">
        <v>-0.2039918</v>
      </c>
      <c r="AH525">
        <v>0.51960933609282101</v>
      </c>
      <c r="AI525">
        <v>111.12540584448099</v>
      </c>
      <c r="AJ525">
        <v>79.795997831253203</v>
      </c>
      <c r="AK525">
        <v>0.56599855792894405</v>
      </c>
    </row>
    <row r="526" spans="1:37" x14ac:dyDescent="0.2">
      <c r="A526" t="str">
        <f>"20200111155804344"</f>
        <v>20200111155804344</v>
      </c>
      <c r="B526" t="str">
        <f>"1578729484331440"</f>
        <v>1578729484331440</v>
      </c>
      <c r="C526" t="s">
        <v>37</v>
      </c>
      <c r="D526">
        <v>5.9219749999999998</v>
      </c>
      <c r="E526">
        <v>0.58271619999999902</v>
      </c>
      <c r="F526" t="s">
        <v>38</v>
      </c>
      <c r="G526">
        <v>-390.97980000000001</v>
      </c>
      <c r="H526">
        <v>0.88607179999999997</v>
      </c>
      <c r="I526">
        <v>367.51150000000001</v>
      </c>
      <c r="J526">
        <v>-391.6377</v>
      </c>
      <c r="K526">
        <v>1.1029389999999999</v>
      </c>
      <c r="L526">
        <v>367.60289999999998</v>
      </c>
      <c r="M526">
        <v>0.99953429999999999</v>
      </c>
      <c r="N526">
        <v>0</v>
      </c>
      <c r="O526">
        <v>3.0024249999999999E-2</v>
      </c>
      <c r="P526">
        <v>0.99527840000000001</v>
      </c>
      <c r="Q526">
        <v>3.3152359999999901E-3</v>
      </c>
      <c r="R526">
        <v>9.7007360000000001E-2</v>
      </c>
      <c r="S526">
        <v>3.0482480000000001</v>
      </c>
      <c r="T526">
        <v>-0.79367410000000005</v>
      </c>
      <c r="U526">
        <v>-0.31365969999999999</v>
      </c>
      <c r="V526">
        <v>-6.7086460000000001E-2</v>
      </c>
      <c r="W526">
        <v>8.7453840000000001E-3</v>
      </c>
      <c r="X526">
        <v>0.99770890000000001</v>
      </c>
      <c r="Y526">
        <v>0.12699379999999999</v>
      </c>
      <c r="Z526">
        <v>-2.3892969999999999E-2</v>
      </c>
      <c r="AA526">
        <v>0.99161569999999899</v>
      </c>
      <c r="AB526">
        <v>28</v>
      </c>
      <c r="AC526">
        <v>0.65789999999998305</v>
      </c>
      <c r="AD526">
        <v>-0.21686719999999901</v>
      </c>
      <c r="AE526">
        <v>-9.1399999999964607E-2</v>
      </c>
      <c r="AF526">
        <v>0.10040830681277101</v>
      </c>
      <c r="AG526">
        <v>-0.21686719999999901</v>
      </c>
      <c r="AH526">
        <v>0.59177472024658495</v>
      </c>
      <c r="AI526">
        <v>109.86505547931</v>
      </c>
      <c r="AJ526">
        <v>80.370154338565499</v>
      </c>
      <c r="AK526">
        <v>0.63820884515632603</v>
      </c>
    </row>
    <row r="527" spans="1:37" x14ac:dyDescent="0.2">
      <c r="A527" t="str">
        <f>"20200111155804357"</f>
        <v>20200111155804357</v>
      </c>
      <c r="B527" t="str">
        <f>"1578729484351935"</f>
        <v>1578729484351935</v>
      </c>
      <c r="C527" t="s">
        <v>37</v>
      </c>
      <c r="D527">
        <v>5.692577</v>
      </c>
      <c r="E527">
        <v>0.58247859999999996</v>
      </c>
      <c r="F527" t="s">
        <v>38</v>
      </c>
      <c r="G527">
        <v>-390.96109999999999</v>
      </c>
      <c r="H527">
        <v>0.93209739999999996</v>
      </c>
      <c r="I527">
        <v>367.5317</v>
      </c>
      <c r="J527">
        <v>-391.47030000000001</v>
      </c>
      <c r="K527">
        <v>1.103019</v>
      </c>
      <c r="L527">
        <v>367.60820000000001</v>
      </c>
      <c r="M527">
        <v>0.99952680000000005</v>
      </c>
      <c r="N527">
        <v>0</v>
      </c>
      <c r="O527">
        <v>3.023725E-2</v>
      </c>
      <c r="P527">
        <v>0.99527659999999996</v>
      </c>
      <c r="Q527">
        <v>2.7347229999999901E-3</v>
      </c>
      <c r="R527">
        <v>9.7042149999999994E-2</v>
      </c>
      <c r="S527">
        <v>3.047974</v>
      </c>
      <c r="T527">
        <v>-0.76971840000000002</v>
      </c>
      <c r="U527">
        <v>-0.31945800000000002</v>
      </c>
      <c r="V527">
        <v>-6.6908289999999995E-2</v>
      </c>
      <c r="W527">
        <v>8.3596369999999996E-3</v>
      </c>
      <c r="X527">
        <v>0.9977241</v>
      </c>
      <c r="Y527">
        <v>0.12930549999999999</v>
      </c>
      <c r="Z527">
        <v>-2.35333E-2</v>
      </c>
      <c r="AA527">
        <v>0.99132549999999997</v>
      </c>
      <c r="AB527">
        <v>28</v>
      </c>
      <c r="AC527">
        <v>0.50920000000002097</v>
      </c>
      <c r="AD527">
        <v>-0.17092160000000001</v>
      </c>
      <c r="AE527">
        <v>-7.6500000000009893E-2</v>
      </c>
      <c r="AF527">
        <v>8.2744809061725003E-2</v>
      </c>
      <c r="AG527">
        <v>-0.17092160000000001</v>
      </c>
      <c r="AH527">
        <v>0.456368828403865</v>
      </c>
      <c r="AI527">
        <v>110.229692141039</v>
      </c>
      <c r="AJ527">
        <v>79.723270881097903</v>
      </c>
      <c r="AK527">
        <v>0.49430092485442301</v>
      </c>
    </row>
    <row r="528" spans="1:37" x14ac:dyDescent="0.2">
      <c r="A528" t="str">
        <f>"20200111155804376"</f>
        <v>20200111155804376</v>
      </c>
      <c r="B528" t="str">
        <f>"1578729484371455"</f>
        <v>1578729484371455</v>
      </c>
      <c r="C528" t="s">
        <v>37</v>
      </c>
      <c r="D528">
        <v>5.8869939999999996</v>
      </c>
      <c r="E528">
        <v>0.55862679999999998</v>
      </c>
      <c r="F528" t="s">
        <v>38</v>
      </c>
      <c r="G528">
        <v>-390.71440000000001</v>
      </c>
      <c r="H528">
        <v>0.91519589999999995</v>
      </c>
      <c r="I528">
        <v>367.529</v>
      </c>
      <c r="J528">
        <v>-391.24439999999998</v>
      </c>
      <c r="K528">
        <v>1.1031169999999999</v>
      </c>
      <c r="L528">
        <v>367.61529999999999</v>
      </c>
      <c r="M528">
        <v>0.99951650000000003</v>
      </c>
      <c r="N528">
        <v>0</v>
      </c>
      <c r="O528">
        <v>3.052562E-2</v>
      </c>
      <c r="P528">
        <v>0.99525110000000006</v>
      </c>
      <c r="Q528">
        <v>1.757853E-3</v>
      </c>
      <c r="R528">
        <v>9.7326969999999999E-2</v>
      </c>
      <c r="S528">
        <v>3.0473330000000001</v>
      </c>
      <c r="T528">
        <v>-0.75714269999999995</v>
      </c>
      <c r="U528">
        <v>-0.318573</v>
      </c>
      <c r="V528">
        <v>-6.6905329999999999E-2</v>
      </c>
      <c r="W528">
        <v>7.6267619999999996E-3</v>
      </c>
      <c r="X528">
        <v>0.99773020000000001</v>
      </c>
      <c r="Y528">
        <v>0.1294708</v>
      </c>
      <c r="Z528">
        <v>-2.3255789999999998E-2</v>
      </c>
      <c r="AA528">
        <v>0.99131049999999998</v>
      </c>
      <c r="AB528">
        <v>28</v>
      </c>
      <c r="AC528">
        <v>0.52999999999997205</v>
      </c>
      <c r="AD528">
        <v>-0.18792109999999901</v>
      </c>
      <c r="AE528">
        <v>-8.6299999999994201E-2</v>
      </c>
      <c r="AF528">
        <v>9.1261696777855006E-2</v>
      </c>
      <c r="AG528">
        <v>-0.18792109999999901</v>
      </c>
      <c r="AH528">
        <v>0.46960537710139699</v>
      </c>
      <c r="AI528">
        <v>111.44584750935999</v>
      </c>
      <c r="AJ528">
        <v>79.002391504866907</v>
      </c>
      <c r="AK528">
        <v>0.51397689376714994</v>
      </c>
    </row>
    <row r="529" spans="1:37" x14ac:dyDescent="0.2">
      <c r="A529" t="str">
        <f>"20200111155804390"</f>
        <v>20200111155804390</v>
      </c>
      <c r="B529" t="str">
        <f>"1578729484381216"</f>
        <v>1578729484381216</v>
      </c>
      <c r="C529" t="s">
        <v>37</v>
      </c>
      <c r="D529">
        <v>6.3448250000000002</v>
      </c>
      <c r="E529">
        <v>0.55698289999999995</v>
      </c>
      <c r="F529" t="s">
        <v>38</v>
      </c>
      <c r="G529">
        <v>-390.42450000000002</v>
      </c>
      <c r="H529">
        <v>0.99321649999999995</v>
      </c>
      <c r="I529">
        <v>367.57459999999998</v>
      </c>
      <c r="J529">
        <v>-391.05869999999999</v>
      </c>
      <c r="K529">
        <v>1.103189</v>
      </c>
      <c r="L529">
        <v>367.62119999999999</v>
      </c>
      <c r="M529">
        <v>0.99950810000000001</v>
      </c>
      <c r="N529">
        <v>0</v>
      </c>
      <c r="O529">
        <v>3.0763289999999999E-2</v>
      </c>
      <c r="P529">
        <v>0.99523280000000003</v>
      </c>
      <c r="Q529">
        <v>1.500646E-3</v>
      </c>
      <c r="R529">
        <v>9.7517880000000001E-2</v>
      </c>
      <c r="S529">
        <v>3.0295719999999999</v>
      </c>
      <c r="T529">
        <v>-0.40635349999999998</v>
      </c>
      <c r="U529">
        <v>-0.14916989999999999</v>
      </c>
      <c r="V529">
        <v>-6.6859699999999994E-2</v>
      </c>
      <c r="W529">
        <v>7.5523789999999997E-3</v>
      </c>
      <c r="X529">
        <v>0.9977338</v>
      </c>
      <c r="Y529">
        <v>7.8901739999999998E-2</v>
      </c>
      <c r="Z529">
        <v>-9.3705409999999996E-3</v>
      </c>
      <c r="AA529">
        <v>0.99683829999999995</v>
      </c>
      <c r="AB529">
        <v>28</v>
      </c>
      <c r="AC529">
        <v>0.63419999999996401</v>
      </c>
      <c r="AD529">
        <v>-0.109972499999999</v>
      </c>
      <c r="AE529">
        <v>-4.6600000000012097E-2</v>
      </c>
      <c r="AF529">
        <v>6.4169255199354194E-2</v>
      </c>
      <c r="AG529">
        <v>-0.109972499999999</v>
      </c>
      <c r="AH529">
        <v>0.61410014608132202</v>
      </c>
      <c r="AI529">
        <v>100.09901346945</v>
      </c>
      <c r="AJ529">
        <v>84.034632568934398</v>
      </c>
      <c r="AK529">
        <v>0.62716077164168305</v>
      </c>
    </row>
    <row r="530" spans="1:37" x14ac:dyDescent="0.2">
      <c r="A530" t="str">
        <f>"20200111155804410"</f>
        <v>20200111155804410</v>
      </c>
      <c r="B530" t="str">
        <f>"1578729484401709"</f>
        <v>1578729484401709</v>
      </c>
      <c r="C530" t="s">
        <v>37</v>
      </c>
      <c r="D530">
        <v>5.8336069999999998</v>
      </c>
      <c r="E530">
        <v>0.55574239999999997</v>
      </c>
      <c r="F530" t="s">
        <v>38</v>
      </c>
      <c r="G530">
        <v>-390.15980000000002</v>
      </c>
      <c r="H530">
        <v>1.0131190000000001</v>
      </c>
      <c r="I530">
        <v>367.57909999999998</v>
      </c>
      <c r="J530">
        <v>-390.80360000000002</v>
      </c>
      <c r="K530">
        <v>1.1032789999999999</v>
      </c>
      <c r="L530">
        <v>367.62939999999998</v>
      </c>
      <c r="M530">
        <v>0.99949659999999996</v>
      </c>
      <c r="N530">
        <v>0</v>
      </c>
      <c r="O530">
        <v>3.1091069999999998E-2</v>
      </c>
      <c r="P530">
        <v>0.99518479999999998</v>
      </c>
      <c r="Q530">
        <v>2.2665599999999999E-4</v>
      </c>
      <c r="R530">
        <v>9.8016619999999999E-2</v>
      </c>
      <c r="S530">
        <v>3.0287169999999999</v>
      </c>
      <c r="T530">
        <v>-0.30352319999999999</v>
      </c>
      <c r="U530">
        <v>-0.1418152</v>
      </c>
      <c r="V530">
        <v>-6.7030980000000004E-2</v>
      </c>
      <c r="W530">
        <v>6.503361E-3</v>
      </c>
      <c r="X530">
        <v>0.99772969999999905</v>
      </c>
      <c r="Y530">
        <v>7.7265600000000004E-2</v>
      </c>
      <c r="Z530">
        <v>-6.9663909999999997E-3</v>
      </c>
      <c r="AA530">
        <v>0.99698619999999905</v>
      </c>
      <c r="AB530">
        <v>28</v>
      </c>
      <c r="AC530">
        <v>0.64379999999999804</v>
      </c>
      <c r="AD530">
        <v>-9.0160000000000004E-2</v>
      </c>
      <c r="AE530">
        <v>-5.0299999999992899E-2</v>
      </c>
      <c r="AF530">
        <v>6.8948486122575606E-2</v>
      </c>
      <c r="AG530">
        <v>-9.0160000000000004E-2</v>
      </c>
      <c r="AH530">
        <v>0.62965093035517095</v>
      </c>
      <c r="AI530">
        <v>98.101040673992998</v>
      </c>
      <c r="AJ530">
        <v>83.750854748737893</v>
      </c>
      <c r="AK530">
        <v>0.63979919774545502</v>
      </c>
    </row>
    <row r="531" spans="1:37" x14ac:dyDescent="0.2">
      <c r="A531" t="str">
        <f>"20200111155804424"</f>
        <v>20200111155804424</v>
      </c>
      <c r="B531" t="str">
        <f>"1578729484411471"</f>
        <v>1578729484411471</v>
      </c>
      <c r="C531" t="s">
        <v>37</v>
      </c>
      <c r="D531">
        <v>5.748678</v>
      </c>
      <c r="E531">
        <v>0.55428189999999999</v>
      </c>
      <c r="F531" t="s">
        <v>38</v>
      </c>
      <c r="G531">
        <v>-389.89710000000002</v>
      </c>
      <c r="H531">
        <v>1.028122</v>
      </c>
      <c r="I531">
        <v>367.589</v>
      </c>
      <c r="J531">
        <v>-390.62529999999998</v>
      </c>
      <c r="K531">
        <v>1.1033329999999999</v>
      </c>
      <c r="L531">
        <v>367.6352</v>
      </c>
      <c r="M531">
        <v>0.9994885</v>
      </c>
      <c r="N531">
        <v>0</v>
      </c>
      <c r="O531">
        <v>3.1320000000000001E-2</v>
      </c>
      <c r="P531">
        <v>0.99520330000000001</v>
      </c>
      <c r="Q531">
        <v>-4.5324679999999998E-4</v>
      </c>
      <c r="R531">
        <v>9.7829440000000004E-2</v>
      </c>
      <c r="S531">
        <v>3.0278019999999999</v>
      </c>
      <c r="T531">
        <v>-0.25115670000000001</v>
      </c>
      <c r="U531">
        <v>-0.13406370000000001</v>
      </c>
      <c r="V531">
        <v>-6.6614909999999999E-2</v>
      </c>
      <c r="W531">
        <v>5.9697909999999899E-3</v>
      </c>
      <c r="X531">
        <v>0.99776089999999995</v>
      </c>
      <c r="Y531">
        <v>7.5137540000000003E-2</v>
      </c>
      <c r="Z531">
        <v>-5.7019469999999997E-3</v>
      </c>
      <c r="AA531">
        <v>0.99715689999999901</v>
      </c>
      <c r="AB531">
        <v>29</v>
      </c>
      <c r="AC531">
        <v>0.72819999999995799</v>
      </c>
      <c r="AD531">
        <v>-7.5210999999999903E-2</v>
      </c>
      <c r="AE531">
        <v>-4.6199999999998902E-2</v>
      </c>
      <c r="AF531">
        <v>6.8259794347482403E-2</v>
      </c>
      <c r="AG531">
        <v>-7.5210999999999903E-2</v>
      </c>
      <c r="AH531">
        <v>0.71875912015892596</v>
      </c>
      <c r="AI531">
        <v>95.947128625940394</v>
      </c>
      <c r="AJ531">
        <v>84.574950991529207</v>
      </c>
      <c r="AK531">
        <v>0.72589997028309206</v>
      </c>
    </row>
    <row r="532" spans="1:37" x14ac:dyDescent="0.2">
      <c r="A532" t="str">
        <f>"20200111155804437"</f>
        <v>20200111155804437</v>
      </c>
      <c r="B532" t="str">
        <f>"1578729484431967"</f>
        <v>1578729484431967</v>
      </c>
      <c r="C532" t="s">
        <v>37</v>
      </c>
      <c r="D532">
        <v>5.8528510000000002</v>
      </c>
      <c r="E532">
        <v>0.55075989999999997</v>
      </c>
      <c r="F532" t="s">
        <v>38</v>
      </c>
      <c r="G532">
        <v>-389.89069999999998</v>
      </c>
      <c r="H532">
        <v>1.0422180000000001</v>
      </c>
      <c r="I532">
        <v>367.60500000000002</v>
      </c>
      <c r="J532">
        <v>-390.44380000000001</v>
      </c>
      <c r="K532">
        <v>1.1033819999999901</v>
      </c>
      <c r="L532">
        <v>367.64109999999999</v>
      </c>
      <c r="M532">
        <v>0.99948019999999904</v>
      </c>
      <c r="N532">
        <v>0</v>
      </c>
      <c r="O532">
        <v>3.1552990000000003E-2</v>
      </c>
      <c r="P532">
        <v>0.99521859999999995</v>
      </c>
      <c r="Q532">
        <v>-1.1163950000000001E-3</v>
      </c>
      <c r="R532">
        <v>9.7667749999999998E-2</v>
      </c>
      <c r="S532">
        <v>3.02648899999999</v>
      </c>
      <c r="T532">
        <v>-0.2519518</v>
      </c>
      <c r="U532">
        <v>-0.1230469</v>
      </c>
      <c r="V532">
        <v>-6.622024E-2</v>
      </c>
      <c r="W532">
        <v>5.441942E-3</v>
      </c>
      <c r="X532">
        <v>0.99779019999999996</v>
      </c>
      <c r="Y532">
        <v>7.1773550000000005E-2</v>
      </c>
      <c r="Z532">
        <v>-5.6024369999999896E-3</v>
      </c>
      <c r="AA532">
        <v>0.99740519999999999</v>
      </c>
      <c r="AB532">
        <v>29</v>
      </c>
      <c r="AC532">
        <v>0.55310000000002801</v>
      </c>
      <c r="AD532">
        <v>-6.1163999999999698E-2</v>
      </c>
      <c r="AE532">
        <v>-3.60999999999762E-2</v>
      </c>
      <c r="AF532">
        <v>5.2890322299639303E-2</v>
      </c>
      <c r="AG532">
        <v>-6.1163999999999698E-2</v>
      </c>
      <c r="AH532">
        <v>0.545048476340249</v>
      </c>
      <c r="AI532">
        <v>96.373117423802</v>
      </c>
      <c r="AJ532">
        <v>84.457495027948298</v>
      </c>
      <c r="AK532">
        <v>0.55101384978037204</v>
      </c>
    </row>
    <row r="533" spans="1:37" x14ac:dyDescent="0.2">
      <c r="A533" t="str">
        <f>"20200111155804454"</f>
        <v>20200111155804454</v>
      </c>
      <c r="B533" t="str">
        <f>"1578729484441727"</f>
        <v>1578729484441727</v>
      </c>
      <c r="C533" t="s">
        <v>37</v>
      </c>
      <c r="D533">
        <v>5.8968020000000001</v>
      </c>
      <c r="E533">
        <v>0.54902019999999996</v>
      </c>
      <c r="F533" t="s">
        <v>38</v>
      </c>
      <c r="G533">
        <v>-389.6379</v>
      </c>
      <c r="H533">
        <v>1.0353270000000001</v>
      </c>
      <c r="I533">
        <v>367.61540000000002</v>
      </c>
      <c r="J533">
        <v>-390.25029999999998</v>
      </c>
      <c r="K533">
        <v>1.1034280000000001</v>
      </c>
      <c r="L533">
        <v>367.64749999999998</v>
      </c>
      <c r="M533">
        <v>0.99947149999999996</v>
      </c>
      <c r="N533">
        <v>0</v>
      </c>
      <c r="O533">
        <v>3.1797760000000001E-2</v>
      </c>
      <c r="P533">
        <v>0.99522509999999997</v>
      </c>
      <c r="Q533">
        <v>-2.0400750000000001E-3</v>
      </c>
      <c r="R533">
        <v>9.7585740000000004E-2</v>
      </c>
      <c r="S533">
        <v>3.0234679999999998</v>
      </c>
      <c r="T533">
        <v>-0.25564730000000002</v>
      </c>
      <c r="U533">
        <v>-9.5062259999999996E-2</v>
      </c>
      <c r="V533">
        <v>-6.5893140000000003E-2</v>
      </c>
      <c r="W533">
        <v>4.6575540000000004E-3</v>
      </c>
      <c r="X533">
        <v>0.99781580000000003</v>
      </c>
      <c r="Y533">
        <v>6.2855330000000001E-2</v>
      </c>
      <c r="Z533">
        <v>-5.3352069999999998E-3</v>
      </c>
      <c r="AA533">
        <v>0.99800840000000002</v>
      </c>
      <c r="AB533">
        <v>29</v>
      </c>
      <c r="AC533">
        <v>0.61239999999997896</v>
      </c>
      <c r="AD533">
        <v>-6.8100999999999898E-2</v>
      </c>
      <c r="AE533">
        <v>-3.20999999999571E-2</v>
      </c>
      <c r="AF533">
        <v>5.0929085368489002E-2</v>
      </c>
      <c r="AG533">
        <v>-6.8100999999999898E-2</v>
      </c>
      <c r="AH533">
        <v>0.603625471606974</v>
      </c>
      <c r="AI533">
        <v>96.414290117617099</v>
      </c>
      <c r="AJ533">
        <v>85.177262891264107</v>
      </c>
      <c r="AK533">
        <v>0.60958611197288004</v>
      </c>
    </row>
    <row r="534" spans="1:37" x14ac:dyDescent="0.2">
      <c r="A534" t="str">
        <f>"20200111155804468"</f>
        <v>20200111155804468</v>
      </c>
      <c r="B534" t="str">
        <f>"1578729484461246"</f>
        <v>1578729484461246</v>
      </c>
      <c r="C534" t="s">
        <v>37</v>
      </c>
      <c r="D534">
        <v>5.802422</v>
      </c>
      <c r="E534">
        <v>0.54627320000000001</v>
      </c>
      <c r="F534" t="s">
        <v>38</v>
      </c>
      <c r="G534">
        <v>-389.38479999999998</v>
      </c>
      <c r="H534">
        <v>1.0281450000000001</v>
      </c>
      <c r="I534">
        <v>367.62400000000002</v>
      </c>
      <c r="J534">
        <v>-390.06540000000001</v>
      </c>
      <c r="K534">
        <v>1.1034679999999999</v>
      </c>
      <c r="L534">
        <v>367.65359999999998</v>
      </c>
      <c r="M534">
        <v>0.9994634</v>
      </c>
      <c r="N534">
        <v>0</v>
      </c>
      <c r="O534">
        <v>3.202758E-2</v>
      </c>
      <c r="P534">
        <v>0.99521209999999904</v>
      </c>
      <c r="Q534">
        <v>-2.3757309999999998E-3</v>
      </c>
      <c r="R534">
        <v>9.7711619999999999E-2</v>
      </c>
      <c r="S534">
        <v>3.0218509999999998</v>
      </c>
      <c r="T534">
        <v>-0.26292789999999999</v>
      </c>
      <c r="U534">
        <v>-8.1329349999999995E-2</v>
      </c>
      <c r="V534">
        <v>-6.5789500000000001E-2</v>
      </c>
      <c r="W534">
        <v>4.4496559999999998E-3</v>
      </c>
      <c r="X534">
        <v>0.99782359999999903</v>
      </c>
      <c r="Y534">
        <v>5.8564890000000001E-2</v>
      </c>
      <c r="Z534">
        <v>-5.32351099999999E-3</v>
      </c>
      <c r="AA534">
        <v>0.99826939999999997</v>
      </c>
      <c r="AB534">
        <v>29</v>
      </c>
      <c r="AC534">
        <v>0.68060000000002596</v>
      </c>
      <c r="AD534">
        <v>-7.5323000000000001E-2</v>
      </c>
      <c r="AE534">
        <v>-2.9599999999959398E-2</v>
      </c>
      <c r="AF534">
        <v>5.0762722042880598E-2</v>
      </c>
      <c r="AG534">
        <v>-7.5323000000000001E-2</v>
      </c>
      <c r="AH534">
        <v>0.67109857341409695</v>
      </c>
      <c r="AI534">
        <v>96.385891167132101</v>
      </c>
      <c r="AJ534">
        <v>85.674314113466806</v>
      </c>
      <c r="AK534">
        <v>0.67721761902407596</v>
      </c>
    </row>
    <row r="535" spans="1:37" x14ac:dyDescent="0.2">
      <c r="A535" t="str">
        <f>"20200111155804480"</f>
        <v>20200111155804480</v>
      </c>
      <c r="B535" t="str">
        <f>"1578729484471983"</f>
        <v>1578729484471983</v>
      </c>
      <c r="C535" t="s">
        <v>37</v>
      </c>
      <c r="D535">
        <v>5.7756610000000004</v>
      </c>
      <c r="E535">
        <v>0.54548019999999997</v>
      </c>
      <c r="F535" t="s">
        <v>38</v>
      </c>
      <c r="G535">
        <v>-389.13159999999999</v>
      </c>
      <c r="H535">
        <v>1.0202869999999999</v>
      </c>
      <c r="I535">
        <v>367.6354</v>
      </c>
      <c r="J535">
        <v>-389.89330000000001</v>
      </c>
      <c r="K535">
        <v>1.103502</v>
      </c>
      <c r="L535">
        <v>367.65929999999997</v>
      </c>
      <c r="M535">
        <v>0.99945589999999995</v>
      </c>
      <c r="N535">
        <v>0</v>
      </c>
      <c r="O535">
        <v>3.2234649999999997E-2</v>
      </c>
      <c r="P535">
        <v>0.99519400000000002</v>
      </c>
      <c r="Q535">
        <v>-2.581337E-3</v>
      </c>
      <c r="R535">
        <v>9.7890779999999997E-2</v>
      </c>
      <c r="S535">
        <v>3.0196230000000002</v>
      </c>
      <c r="T535">
        <v>-0.26893240000000002</v>
      </c>
      <c r="U535">
        <v>-5.9051510000000001E-2</v>
      </c>
      <c r="V535">
        <v>-6.5762409999999993E-2</v>
      </c>
      <c r="W535">
        <v>4.359534E-3</v>
      </c>
      <c r="X535">
        <v>0.99782579999999998</v>
      </c>
      <c r="Y535">
        <v>5.144021E-2</v>
      </c>
      <c r="Z535">
        <v>-5.1507810000000001E-3</v>
      </c>
      <c r="AA535">
        <v>0.99866279999999996</v>
      </c>
      <c r="AB535">
        <v>29</v>
      </c>
      <c r="AC535">
        <v>0.76170000000001803</v>
      </c>
      <c r="AD535">
        <v>-8.3214999999999803E-2</v>
      </c>
      <c r="AE535">
        <v>-2.3899999999969099E-2</v>
      </c>
      <c r="AF535">
        <v>4.7870521962496297E-2</v>
      </c>
      <c r="AG535">
        <v>-8.3214999999999803E-2</v>
      </c>
      <c r="AH535">
        <v>0.75157226145367195</v>
      </c>
      <c r="AI535">
        <v>96.305450154787906</v>
      </c>
      <c r="AJ535">
        <v>86.355534989940494</v>
      </c>
      <c r="AK535">
        <v>0.757678815385879</v>
      </c>
    </row>
    <row r="536" spans="1:37" x14ac:dyDescent="0.2">
      <c r="A536" t="str">
        <f>"20200111155804499"</f>
        <v>20200111155804499</v>
      </c>
      <c r="B536" t="str">
        <f>"1578729484491502"</f>
        <v>1578729484491502</v>
      </c>
      <c r="C536" t="s">
        <v>37</v>
      </c>
      <c r="D536">
        <v>5.8105929999999999</v>
      </c>
      <c r="E536">
        <v>0.54386690000000004</v>
      </c>
      <c r="F536" t="s">
        <v>38</v>
      </c>
      <c r="G536">
        <v>-389.12520000000001</v>
      </c>
      <c r="H536">
        <v>1.0339430000000001</v>
      </c>
      <c r="I536">
        <v>367.64609999999999</v>
      </c>
      <c r="J536">
        <v>-389.66269999999997</v>
      </c>
      <c r="K536">
        <v>1.103539</v>
      </c>
      <c r="L536">
        <v>367.6671</v>
      </c>
      <c r="M536">
        <v>0.99944630000000001</v>
      </c>
      <c r="N536">
        <v>0</v>
      </c>
      <c r="O536">
        <v>3.2500750000000002E-2</v>
      </c>
      <c r="P536">
        <v>0.99513830000000003</v>
      </c>
      <c r="Q536">
        <v>-2.784843E-3</v>
      </c>
      <c r="R536">
        <v>9.844957E-2</v>
      </c>
      <c r="S536">
        <v>3.0188290000000002</v>
      </c>
      <c r="T536">
        <v>-0.27334399999999998</v>
      </c>
      <c r="U536">
        <v>-5.1910400000000002E-2</v>
      </c>
      <c r="V536">
        <v>-6.605693E-2</v>
      </c>
      <c r="W536">
        <v>4.3051749999999996E-3</v>
      </c>
      <c r="X536">
        <v>0.99780650000000004</v>
      </c>
      <c r="Y536">
        <v>4.9345939999999998E-2</v>
      </c>
      <c r="Z536">
        <v>-5.1658140000000003E-3</v>
      </c>
      <c r="AA536">
        <v>0.9987684</v>
      </c>
      <c r="AB536">
        <v>29</v>
      </c>
      <c r="AC536">
        <v>0.53749999999996501</v>
      </c>
      <c r="AD536">
        <v>-6.9595999999999894E-2</v>
      </c>
      <c r="AE536">
        <v>-2.1000000000015E-2</v>
      </c>
      <c r="AF536">
        <v>3.7825315517076803E-2</v>
      </c>
      <c r="AG536">
        <v>-6.9595999999999894E-2</v>
      </c>
      <c r="AH536">
        <v>0.52769992761007301</v>
      </c>
      <c r="AI536">
        <v>97.494117332521299</v>
      </c>
      <c r="AJ536">
        <v>85.900074062658504</v>
      </c>
      <c r="AK536">
        <v>0.53361181706334304</v>
      </c>
    </row>
    <row r="537" spans="1:37" x14ac:dyDescent="0.2">
      <c r="A537" t="str">
        <f>"20200111155804515"</f>
        <v>20200111155804515</v>
      </c>
      <c r="B537" t="str">
        <f>"1578729484512000"</f>
        <v>1578729484512000</v>
      </c>
      <c r="C537" t="s">
        <v>37</v>
      </c>
      <c r="D537">
        <v>5.7670309999999896</v>
      </c>
      <c r="E537">
        <v>0.54320769999999996</v>
      </c>
      <c r="F537" t="s">
        <v>38</v>
      </c>
      <c r="G537">
        <v>-388.86950000000002</v>
      </c>
      <c r="H537">
        <v>1.0300290000000001</v>
      </c>
      <c r="I537">
        <v>367.65690000000001</v>
      </c>
      <c r="J537">
        <v>-389.45190000000002</v>
      </c>
      <c r="K537">
        <v>1.103569</v>
      </c>
      <c r="L537">
        <v>367.67410000000001</v>
      </c>
      <c r="M537">
        <v>0.99943780000000004</v>
      </c>
      <c r="N537">
        <v>0</v>
      </c>
      <c r="O537">
        <v>3.2727630000000001E-2</v>
      </c>
      <c r="P537">
        <v>0.99510849999999995</v>
      </c>
      <c r="Q537">
        <v>-3.0668809999999901E-3</v>
      </c>
      <c r="R537">
        <v>9.8739399999999894E-2</v>
      </c>
      <c r="S537">
        <v>3.017639</v>
      </c>
      <c r="T537">
        <v>-0.27990759999999998</v>
      </c>
      <c r="U537">
        <v>-3.7384029999999999E-2</v>
      </c>
      <c r="V537">
        <v>-6.6120719999999994E-2</v>
      </c>
      <c r="W537">
        <v>4.1626019999999996E-3</v>
      </c>
      <c r="X537">
        <v>0.997803</v>
      </c>
      <c r="Y537">
        <v>4.4774269999999998E-2</v>
      </c>
      <c r="Z537">
        <v>-5.1009719999999996E-3</v>
      </c>
      <c r="AA537">
        <v>0.99898410000000004</v>
      </c>
      <c r="AB537">
        <v>29</v>
      </c>
      <c r="AC537">
        <v>0.58240000000000602</v>
      </c>
      <c r="AD537">
        <v>-7.3539999999999897E-2</v>
      </c>
      <c r="AE537">
        <v>-1.7200000000002501E-2</v>
      </c>
      <c r="AF537">
        <v>3.5683412307214703E-2</v>
      </c>
      <c r="AG537">
        <v>-7.3539999999999897E-2</v>
      </c>
      <c r="AH537">
        <v>0.57240641938405501</v>
      </c>
      <c r="AI537">
        <v>97.306949302364004</v>
      </c>
      <c r="AJ537">
        <v>86.432837640208803</v>
      </c>
      <c r="AK537">
        <v>0.57821323615597098</v>
      </c>
    </row>
    <row r="538" spans="1:37" x14ac:dyDescent="0.2">
      <c r="A538" t="str">
        <f>"20200111155804532"</f>
        <v>20200111155804532</v>
      </c>
      <c r="B538" t="str">
        <f>"1578729484521758"</f>
        <v>1578729484521758</v>
      </c>
      <c r="C538" t="s">
        <v>37</v>
      </c>
      <c r="D538">
        <v>5.7751039999999998</v>
      </c>
      <c r="E538">
        <v>0.54265640000000004</v>
      </c>
      <c r="F538" t="s">
        <v>38</v>
      </c>
      <c r="G538">
        <v>-388.61309999999997</v>
      </c>
      <c r="H538">
        <v>1.0264599999999999</v>
      </c>
      <c r="I538">
        <v>367.6653</v>
      </c>
      <c r="J538">
        <v>-389.231999999999</v>
      </c>
      <c r="K538">
        <v>1.1035999999999999</v>
      </c>
      <c r="L538">
        <v>367.6816</v>
      </c>
      <c r="M538">
        <v>0.99942949999999997</v>
      </c>
      <c r="N538">
        <v>0</v>
      </c>
      <c r="O538">
        <v>3.2944500000000002E-2</v>
      </c>
      <c r="P538">
        <v>0.99507420000000002</v>
      </c>
      <c r="Q538">
        <v>-3.9213410000000001E-3</v>
      </c>
      <c r="R538">
        <v>9.905659E-2</v>
      </c>
      <c r="S538">
        <v>3.017029</v>
      </c>
      <c r="T538">
        <v>-0.27739609999999998</v>
      </c>
      <c r="U538">
        <v>-3.143311E-2</v>
      </c>
      <c r="V538">
        <v>-6.6221760000000005E-2</v>
      </c>
      <c r="W538">
        <v>3.461179E-3</v>
      </c>
      <c r="X538">
        <v>0.99779889999999904</v>
      </c>
      <c r="Y538">
        <v>4.3035530000000002E-2</v>
      </c>
      <c r="Z538">
        <v>-4.9965790000000001E-3</v>
      </c>
      <c r="AA538">
        <v>0.99906099999999998</v>
      </c>
      <c r="AB538">
        <v>29</v>
      </c>
      <c r="AC538">
        <v>0.61889999999999601</v>
      </c>
      <c r="AD538">
        <v>-7.7139999999999903E-2</v>
      </c>
      <c r="AE538">
        <v>-1.6300000000001001E-2</v>
      </c>
      <c r="AF538">
        <v>3.6120317499289997E-2</v>
      </c>
      <c r="AG538">
        <v>-7.7139999999999903E-2</v>
      </c>
      <c r="AH538">
        <v>0.60857914455608497</v>
      </c>
      <c r="AI538">
        <v>97.211403832398005</v>
      </c>
      <c r="AJ538">
        <v>86.603372294933294</v>
      </c>
      <c r="AK538">
        <v>0.61451105126341399</v>
      </c>
    </row>
    <row r="539" spans="1:37" x14ac:dyDescent="0.2">
      <c r="A539" t="str">
        <f>"20200111155804555"</f>
        <v>20200111155804555</v>
      </c>
      <c r="B539" t="str">
        <f>"1578729484552014"</f>
        <v>1578729484552014</v>
      </c>
      <c r="C539" t="s">
        <v>37</v>
      </c>
      <c r="D539">
        <v>5.8126379999999997</v>
      </c>
      <c r="E539">
        <v>0.54141030000000001</v>
      </c>
      <c r="F539" t="s">
        <v>38</v>
      </c>
      <c r="G539">
        <v>-388.3569</v>
      </c>
      <c r="H539">
        <v>1.0217129999999901</v>
      </c>
      <c r="I539">
        <v>367.67360000000002</v>
      </c>
      <c r="J539">
        <v>-388.9359</v>
      </c>
      <c r="K539">
        <v>1.103629</v>
      </c>
      <c r="L539">
        <v>367.69159999999999</v>
      </c>
      <c r="M539">
        <v>0.99941959999999996</v>
      </c>
      <c r="N539">
        <v>0</v>
      </c>
      <c r="O539">
        <v>3.3196049999999998E-2</v>
      </c>
      <c r="P539">
        <v>0.99500419999999901</v>
      </c>
      <c r="Q539">
        <v>-4.8462380000000001E-3</v>
      </c>
      <c r="R539">
        <v>9.9716750000000007E-2</v>
      </c>
      <c r="S539">
        <v>3.016327</v>
      </c>
      <c r="T539">
        <v>-0.28252659999999902</v>
      </c>
      <c r="U539">
        <v>-2.6214600000000001E-2</v>
      </c>
      <c r="V539">
        <v>-6.663202E-2</v>
      </c>
      <c r="W539">
        <v>2.7611859999999901E-3</v>
      </c>
      <c r="X539">
        <v>0.99777380000000004</v>
      </c>
      <c r="Y539">
        <v>4.1554389999999997E-2</v>
      </c>
      <c r="Z539">
        <v>-5.0440839999999999E-3</v>
      </c>
      <c r="AA539">
        <v>0.99912350000000005</v>
      </c>
      <c r="AB539">
        <v>29</v>
      </c>
      <c r="AC539">
        <v>0.57900000000000695</v>
      </c>
      <c r="AD539">
        <v>-8.1916000000000294E-2</v>
      </c>
      <c r="AE539">
        <v>-1.7999999999972201E-2</v>
      </c>
      <c r="AF539">
        <v>3.6481637385233599E-2</v>
      </c>
      <c r="AG539">
        <v>-8.1916000000000294E-2</v>
      </c>
      <c r="AH539">
        <v>0.56675012730379903</v>
      </c>
      <c r="AI539">
        <v>98.207613546457793</v>
      </c>
      <c r="AJ539">
        <v>86.316958840857794</v>
      </c>
      <c r="AK539">
        <v>0.57380035528150397</v>
      </c>
    </row>
    <row r="540" spans="1:37" x14ac:dyDescent="0.2">
      <c r="A540" t="str">
        <f>"20200111155804570"</f>
        <v>20200111155804570</v>
      </c>
      <c r="B540" t="str">
        <f>"1578729484561775"</f>
        <v>1578729484561775</v>
      </c>
      <c r="C540" t="s">
        <v>37</v>
      </c>
      <c r="D540">
        <v>5.763452</v>
      </c>
      <c r="E540">
        <v>0.54109350000000001</v>
      </c>
      <c r="F540" t="s">
        <v>38</v>
      </c>
      <c r="G540">
        <v>-388.09750000000003</v>
      </c>
      <c r="H540">
        <v>1.02321</v>
      </c>
      <c r="I540">
        <v>367.68770000000001</v>
      </c>
      <c r="J540">
        <v>-388.74029999999999</v>
      </c>
      <c r="K540">
        <v>1.1036440000000001</v>
      </c>
      <c r="L540">
        <v>367.69830000000002</v>
      </c>
      <c r="M540">
        <v>0.99941369999999896</v>
      </c>
      <c r="N540">
        <v>0</v>
      </c>
      <c r="O540">
        <v>3.3336150000000002E-2</v>
      </c>
      <c r="P540">
        <v>0.99494329999999997</v>
      </c>
      <c r="Q540">
        <v>-5.6025909999999996E-3</v>
      </c>
      <c r="R540">
        <v>0.1002827</v>
      </c>
      <c r="S540">
        <v>3.0150450000000002</v>
      </c>
      <c r="T540">
        <v>-0.2892091</v>
      </c>
      <c r="U540">
        <v>-1.3916019999999999E-2</v>
      </c>
      <c r="V540">
        <v>-6.7058889999999996E-2</v>
      </c>
      <c r="W540">
        <v>2.167525E-3</v>
      </c>
      <c r="X540">
        <v>0.99774660000000004</v>
      </c>
      <c r="Y540">
        <v>3.7624049999999999E-2</v>
      </c>
      <c r="Z540">
        <v>-4.9903909999999899E-3</v>
      </c>
      <c r="AA540">
        <v>0.99927949999999999</v>
      </c>
      <c r="AB540">
        <v>29</v>
      </c>
      <c r="AC540">
        <v>0.64279999999996495</v>
      </c>
      <c r="AD540">
        <v>-8.0434000000000103E-2</v>
      </c>
      <c r="AE540">
        <v>-1.06000000000108E-2</v>
      </c>
      <c r="AF540">
        <v>3.1529690675504297E-2</v>
      </c>
      <c r="AG540">
        <v>-8.0434000000000103E-2</v>
      </c>
      <c r="AH540">
        <v>0.63219333932974997</v>
      </c>
      <c r="AI540">
        <v>97.241883948611502</v>
      </c>
      <c r="AJ540">
        <v>87.144825007543403</v>
      </c>
      <c r="AK540">
        <v>0.63806909347106999</v>
      </c>
    </row>
    <row r="541" spans="1:37" x14ac:dyDescent="0.2">
      <c r="A541" t="str">
        <f>"20200111155804589"</f>
        <v>20200111155804589</v>
      </c>
      <c r="B541" t="str">
        <f>"1578729484581294"</f>
        <v>1578729484581294</v>
      </c>
      <c r="C541" t="s">
        <v>37</v>
      </c>
      <c r="D541">
        <v>5.7132379999999996</v>
      </c>
      <c r="E541">
        <v>0.54060299999999994</v>
      </c>
      <c r="F541" t="s">
        <v>38</v>
      </c>
      <c r="G541">
        <v>-387.84160000000003</v>
      </c>
      <c r="H541">
        <v>1.016491</v>
      </c>
      <c r="I541">
        <v>367.69490000000002</v>
      </c>
      <c r="J541">
        <v>-388.505</v>
      </c>
      <c r="K541">
        <v>1.103658</v>
      </c>
      <c r="L541">
        <v>367.7063</v>
      </c>
      <c r="M541">
        <v>0.9994075</v>
      </c>
      <c r="N541">
        <v>0</v>
      </c>
      <c r="O541">
        <v>3.3472620000000002E-2</v>
      </c>
      <c r="P541">
        <v>0.99485440000000003</v>
      </c>
      <c r="Q541">
        <v>-6.3546189999999997E-3</v>
      </c>
      <c r="R541">
        <v>0.10111530000000001</v>
      </c>
      <c r="S541">
        <v>3.01464799999999</v>
      </c>
      <c r="T541">
        <v>-0.29259409999999902</v>
      </c>
      <c r="U541">
        <v>-1.0284420000000001E-2</v>
      </c>
      <c r="V541">
        <v>-6.7757360000000003E-2</v>
      </c>
      <c r="W541">
        <v>1.6286999999999901E-3</v>
      </c>
      <c r="X541">
        <v>0.99770049999999899</v>
      </c>
      <c r="Y541">
        <v>3.6554030000000001E-2</v>
      </c>
      <c r="Z541">
        <v>-5.010596E-3</v>
      </c>
      <c r="AA541">
        <v>0.99931909999999902</v>
      </c>
      <c r="AB541">
        <v>29</v>
      </c>
      <c r="AC541">
        <v>0.66339999999996702</v>
      </c>
      <c r="AD541">
        <v>-8.7166999999999994E-2</v>
      </c>
      <c r="AE541">
        <v>-1.13999999999805E-2</v>
      </c>
      <c r="AF541">
        <v>3.30299838938009E-2</v>
      </c>
      <c r="AG541">
        <v>-8.7166999999999994E-2</v>
      </c>
      <c r="AH541">
        <v>0.65140380786750596</v>
      </c>
      <c r="AI541">
        <v>97.612040749608397</v>
      </c>
      <c r="AJ541">
        <v>87.097254817403595</v>
      </c>
      <c r="AK541">
        <v>0.65803950233197395</v>
      </c>
    </row>
    <row r="542" spans="1:37" x14ac:dyDescent="0.2">
      <c r="A542" t="str">
        <f>"20200111155804601"</f>
        <v>20200111155804601</v>
      </c>
      <c r="B542" t="str">
        <f>"1578729484591055"</f>
        <v>1578729484591055</v>
      </c>
      <c r="C542" t="s">
        <v>37</v>
      </c>
      <c r="D542">
        <v>5.7589199999999998</v>
      </c>
      <c r="E542">
        <v>0.54044989999999904</v>
      </c>
      <c r="F542" t="s">
        <v>38</v>
      </c>
      <c r="G542">
        <v>-387.58409999999998</v>
      </c>
      <c r="H542">
        <v>1.013096</v>
      </c>
      <c r="I542">
        <v>367.70510000000002</v>
      </c>
      <c r="J542">
        <v>-388.33069999999998</v>
      </c>
      <c r="K542">
        <v>1.1036760000000001</v>
      </c>
      <c r="L542">
        <v>367.7122</v>
      </c>
      <c r="M542">
        <v>0.99940359999999995</v>
      </c>
      <c r="N542">
        <v>0</v>
      </c>
      <c r="O542">
        <v>3.3548939999999999E-2</v>
      </c>
      <c r="P542">
        <v>0.99481580000000003</v>
      </c>
      <c r="Q542">
        <v>-6.979903E-3</v>
      </c>
      <c r="R542">
        <v>0.101454499999999</v>
      </c>
      <c r="S542">
        <v>3.0139770000000001</v>
      </c>
      <c r="T542">
        <v>-0.29642469999999999</v>
      </c>
      <c r="U542">
        <v>-3.7231450000000002E-3</v>
      </c>
      <c r="V542">
        <v>-6.8021429999999994E-2</v>
      </c>
      <c r="W542">
        <v>1.1814269999999899E-3</v>
      </c>
      <c r="X542">
        <v>0.99768319999999999</v>
      </c>
      <c r="Y542">
        <v>3.4456569999999999E-2</v>
      </c>
      <c r="Z542">
        <v>-4.9815850000000002E-3</v>
      </c>
      <c r="AA542">
        <v>0.9993938</v>
      </c>
      <c r="AB542">
        <v>29</v>
      </c>
      <c r="AC542">
        <v>0.74660000000000004</v>
      </c>
      <c r="AD542">
        <v>-9.0580000000000105E-2</v>
      </c>
      <c r="AE542">
        <v>-7.0999999999799002E-3</v>
      </c>
      <c r="AF542">
        <v>3.1678238673642299E-2</v>
      </c>
      <c r="AG542">
        <v>-9.0580000000000105E-2</v>
      </c>
      <c r="AH542">
        <v>0.73512194777099005</v>
      </c>
      <c r="AI542">
        <v>97.017996418965694</v>
      </c>
      <c r="AJ542">
        <v>87.532508513526395</v>
      </c>
      <c r="AK542">
        <v>0.74135856729390903</v>
      </c>
    </row>
    <row r="543" spans="1:37" x14ac:dyDescent="0.2">
      <c r="A543" t="str">
        <f>"20200111155804615"</f>
        <v>20200111155804615</v>
      </c>
      <c r="B543" t="str">
        <f>"1578729484611301"</f>
        <v>1578729484611301</v>
      </c>
      <c r="C543" t="s">
        <v>37</v>
      </c>
      <c r="D543">
        <v>5.7491139999999996</v>
      </c>
      <c r="E543">
        <v>0.53999509999999995</v>
      </c>
      <c r="F543" t="s">
        <v>38</v>
      </c>
      <c r="G543">
        <v>-387.57659999999998</v>
      </c>
      <c r="H543">
        <v>1.028853</v>
      </c>
      <c r="I543">
        <v>367.71190000000001</v>
      </c>
      <c r="J543">
        <v>-388.1712</v>
      </c>
      <c r="K543">
        <v>1.1036900000000001</v>
      </c>
      <c r="L543">
        <v>367.71769999999998</v>
      </c>
      <c r="M543">
        <v>0.99940039999999997</v>
      </c>
      <c r="N543">
        <v>0</v>
      </c>
      <c r="O543">
        <v>3.3597040000000002E-2</v>
      </c>
      <c r="P543">
        <v>0.99477590000000005</v>
      </c>
      <c r="Q543">
        <v>-7.0862009999999899E-3</v>
      </c>
      <c r="R543">
        <v>0.10183739999999999</v>
      </c>
      <c r="S543">
        <v>3.0136720000000001</v>
      </c>
      <c r="T543">
        <v>-0.29902049999999902</v>
      </c>
      <c r="U543">
        <v>-1.403809E-3</v>
      </c>
      <c r="V543">
        <v>-6.8357299999999996E-2</v>
      </c>
      <c r="W543">
        <v>1.254383E-3</v>
      </c>
      <c r="X543">
        <v>0.99766010000000005</v>
      </c>
      <c r="Y543">
        <v>3.3733199999999998E-2</v>
      </c>
      <c r="Z543">
        <v>-4.9944580000000002E-3</v>
      </c>
      <c r="AA543">
        <v>0.99941840000000004</v>
      </c>
      <c r="AB543">
        <v>29</v>
      </c>
      <c r="AC543">
        <v>0.59460000000001401</v>
      </c>
      <c r="AD543">
        <v>-7.4837000000000001E-2</v>
      </c>
      <c r="AE543">
        <v>-5.7999999999651603E-3</v>
      </c>
      <c r="AF543">
        <v>2.5372340129450499E-2</v>
      </c>
      <c r="AG543">
        <v>-7.4837000000000001E-2</v>
      </c>
      <c r="AH543">
        <v>0.58480638761473203</v>
      </c>
      <c r="AI543">
        <v>97.285660165558696</v>
      </c>
      <c r="AJ543">
        <v>87.515730109751203</v>
      </c>
      <c r="AK543">
        <v>0.59012104114972597</v>
      </c>
    </row>
    <row r="544" spans="1:37" x14ac:dyDescent="0.2">
      <c r="A544" t="str">
        <f>"20200111155804632"</f>
        <v>20200111155804632</v>
      </c>
      <c r="B544" t="str">
        <f>"1578729484621060"</f>
        <v>1578729484621060</v>
      </c>
      <c r="C544" t="s">
        <v>37</v>
      </c>
      <c r="D544">
        <v>5.7401160000000004</v>
      </c>
      <c r="E544">
        <v>0.53983130000000001</v>
      </c>
      <c r="F544" t="s">
        <v>38</v>
      </c>
      <c r="G544">
        <v>-387.32190000000003</v>
      </c>
      <c r="H544">
        <v>1.019209</v>
      </c>
      <c r="I544">
        <v>367.71809999999999</v>
      </c>
      <c r="J544">
        <v>-387.93389999999999</v>
      </c>
      <c r="K544">
        <v>1.1037189999999999</v>
      </c>
      <c r="L544">
        <v>367.72570000000002</v>
      </c>
      <c r="M544">
        <v>0.99939630000000002</v>
      </c>
      <c r="N544">
        <v>0</v>
      </c>
      <c r="O544">
        <v>3.3643380000000001E-2</v>
      </c>
      <c r="P544">
        <v>0.99473040000000001</v>
      </c>
      <c r="Q544">
        <v>-7.527499E-3</v>
      </c>
      <c r="R544">
        <v>0.1022486</v>
      </c>
      <c r="S544">
        <v>3.013306</v>
      </c>
      <c r="T544">
        <v>-0.29995699999999997</v>
      </c>
      <c r="U544">
        <v>3.1738280000000001E-3</v>
      </c>
      <c r="V544">
        <v>-6.8723610000000004E-2</v>
      </c>
      <c r="W544">
        <v>1.1103789999999899E-3</v>
      </c>
      <c r="X544">
        <v>0.9976351</v>
      </c>
      <c r="Y544">
        <v>3.2266259999999998E-2</v>
      </c>
      <c r="Z544">
        <v>-4.9423829999999998E-3</v>
      </c>
      <c r="AA544">
        <v>0.99946710000000005</v>
      </c>
      <c r="AB544">
        <v>29</v>
      </c>
      <c r="AC544">
        <v>0.61199999999996602</v>
      </c>
      <c r="AD544">
        <v>-8.4510000000000002E-2</v>
      </c>
      <c r="AE544">
        <v>-7.6000000000249202E-3</v>
      </c>
      <c r="AF544">
        <v>2.7658891282570802E-2</v>
      </c>
      <c r="AG544">
        <v>-8.4510000000000002E-2</v>
      </c>
      <c r="AH544">
        <v>0.59995934498796999</v>
      </c>
      <c r="AI544">
        <v>98.009509908712005</v>
      </c>
      <c r="AJ544">
        <v>87.360460365218202</v>
      </c>
      <c r="AK544">
        <v>0.60651312434717797</v>
      </c>
    </row>
    <row r="545" spans="1:37" x14ac:dyDescent="0.2">
      <c r="A545" t="str">
        <f>"20200111155804646"</f>
        <v>20200111155804646</v>
      </c>
      <c r="B545" t="str">
        <f>"1578729484641556"</f>
        <v>1578729484641556</v>
      </c>
      <c r="C545" t="s">
        <v>37</v>
      </c>
      <c r="D545">
        <v>5.8875539999999997</v>
      </c>
      <c r="E545">
        <v>0.53983199999999998</v>
      </c>
      <c r="F545" t="s">
        <v>38</v>
      </c>
      <c r="G545">
        <v>-387.06389999999999</v>
      </c>
      <c r="H545">
        <v>1.016743</v>
      </c>
      <c r="I545">
        <v>367.72719999999998</v>
      </c>
      <c r="J545">
        <v>-387.76740000000001</v>
      </c>
      <c r="K545">
        <v>1.103747</v>
      </c>
      <c r="L545">
        <v>367.73140000000001</v>
      </c>
      <c r="M545">
        <v>0.99939369999999905</v>
      </c>
      <c r="N545">
        <v>0</v>
      </c>
      <c r="O545">
        <v>3.3661169999999997E-2</v>
      </c>
      <c r="P545">
        <v>0.99471019999999899</v>
      </c>
      <c r="Q545">
        <v>-7.5234880000000001E-3</v>
      </c>
      <c r="R545">
        <v>0.1024461</v>
      </c>
      <c r="S545">
        <v>3.0129999999999999</v>
      </c>
      <c r="T545">
        <v>-0.3013728</v>
      </c>
      <c r="U545">
        <v>5.64575199999999E-3</v>
      </c>
      <c r="V545">
        <v>-6.8903420000000007E-2</v>
      </c>
      <c r="W545">
        <v>1.3449829999999999E-3</v>
      </c>
      <c r="X545">
        <v>0.99762240000000002</v>
      </c>
      <c r="Y545">
        <v>3.1464779999999998E-2</v>
      </c>
      <c r="Z545">
        <v>-4.9278780000000001E-3</v>
      </c>
      <c r="AA545">
        <v>0.99949270000000001</v>
      </c>
      <c r="AB545">
        <v>29</v>
      </c>
      <c r="AC545">
        <v>0.703500000000019</v>
      </c>
      <c r="AD545">
        <v>-8.7003999999999998E-2</v>
      </c>
      <c r="AE545">
        <v>-4.20000000002573E-3</v>
      </c>
      <c r="AF545">
        <v>2.7459215624128501E-2</v>
      </c>
      <c r="AG545">
        <v>-8.7003999999999998E-2</v>
      </c>
      <c r="AH545">
        <v>0.69237046679618197</v>
      </c>
      <c r="AI545">
        <v>97.156738224920403</v>
      </c>
      <c r="AJ545">
        <v>87.728855950735294</v>
      </c>
      <c r="AK545">
        <v>0.698355617024919</v>
      </c>
    </row>
    <row r="546" spans="1:37" x14ac:dyDescent="0.2">
      <c r="A546" t="str">
        <f>"20200111155804658"</f>
        <v>20200111155804658</v>
      </c>
      <c r="B546" t="str">
        <f>"1578729484651317"</f>
        <v>1578729484651317</v>
      </c>
      <c r="C546" t="s">
        <v>37</v>
      </c>
      <c r="D546">
        <v>5.677162</v>
      </c>
      <c r="E546">
        <v>0.53970479999999998</v>
      </c>
      <c r="F546" t="s">
        <v>38</v>
      </c>
      <c r="G546">
        <v>-386.80919999999998</v>
      </c>
      <c r="H546">
        <v>1.007979</v>
      </c>
      <c r="I546">
        <v>367.73329999999999</v>
      </c>
      <c r="J546">
        <v>-387.5917</v>
      </c>
      <c r="K546">
        <v>1.1037840000000001</v>
      </c>
      <c r="L546">
        <v>367.7373</v>
      </c>
      <c r="M546">
        <v>0.99939129999999998</v>
      </c>
      <c r="N546">
        <v>0</v>
      </c>
      <c r="O546">
        <v>3.3662449999999997E-2</v>
      </c>
      <c r="P546">
        <v>0.99469479999999999</v>
      </c>
      <c r="Q546">
        <v>-7.9543400000000007E-3</v>
      </c>
      <c r="R546">
        <v>0.10256369999999999</v>
      </c>
      <c r="S546">
        <v>3.0130619999999899</v>
      </c>
      <c r="T546">
        <v>-0.3011298</v>
      </c>
      <c r="U546">
        <v>6.0729979999999996E-3</v>
      </c>
      <c r="V546">
        <v>-6.9020440000000002E-2</v>
      </c>
      <c r="W546">
        <v>1.1819039999999999E-3</v>
      </c>
      <c r="X546">
        <v>0.99761460000000002</v>
      </c>
      <c r="Y546">
        <v>3.1325690000000003E-2</v>
      </c>
      <c r="Z546">
        <v>-4.9170259999999997E-3</v>
      </c>
      <c r="AA546">
        <v>0.99949709999999903</v>
      </c>
      <c r="AB546">
        <v>29</v>
      </c>
      <c r="AC546">
        <v>0.78250000000002695</v>
      </c>
      <c r="AD546">
        <v>-9.5804999999999904E-2</v>
      </c>
      <c r="AE546">
        <v>-4.0000000000190898E-3</v>
      </c>
      <c r="AF546">
        <v>2.9891634521731599E-2</v>
      </c>
      <c r="AG546">
        <v>-9.5804999999999904E-2</v>
      </c>
      <c r="AH546">
        <v>0.77037406689560906</v>
      </c>
      <c r="AI546">
        <v>97.083725935747296</v>
      </c>
      <c r="AJ546">
        <v>87.777955090062605</v>
      </c>
      <c r="AK546">
        <v>0.77688371767251097</v>
      </c>
    </row>
    <row r="547" spans="1:37" x14ac:dyDescent="0.2">
      <c r="A547" t="str">
        <f>"20200111155804671"</f>
        <v>20200111155804671</v>
      </c>
      <c r="B547" t="str">
        <f>"1578729484661077"</f>
        <v>1578729484661077</v>
      </c>
      <c r="C547" t="s">
        <v>37</v>
      </c>
      <c r="D547">
        <v>5.7622070000000001</v>
      </c>
      <c r="E547">
        <v>0.53960249999999998</v>
      </c>
      <c r="F547" t="s">
        <v>38</v>
      </c>
      <c r="G547">
        <v>-386.80110000000002</v>
      </c>
      <c r="H547">
        <v>1.0249509999999999</v>
      </c>
      <c r="I547">
        <v>367.73910000000001</v>
      </c>
      <c r="J547">
        <v>-387.43310000000002</v>
      </c>
      <c r="K547">
        <v>1.103818</v>
      </c>
      <c r="L547">
        <v>367.74270000000001</v>
      </c>
      <c r="M547">
        <v>0.99938919999999998</v>
      </c>
      <c r="N547">
        <v>0</v>
      </c>
      <c r="O547">
        <v>3.3657140000000002E-2</v>
      </c>
      <c r="P547">
        <v>0.99467469999999902</v>
      </c>
      <c r="Q547">
        <v>-7.9752429999999999E-3</v>
      </c>
      <c r="R547">
        <v>0.10275570000000001</v>
      </c>
      <c r="S547">
        <v>3.01287799999999</v>
      </c>
      <c r="T547">
        <v>-0.30042529999999901</v>
      </c>
      <c r="U547">
        <v>7.0800780000000001E-3</v>
      </c>
      <c r="V547">
        <v>-6.921832E-2</v>
      </c>
      <c r="W547">
        <v>1.407925E-3</v>
      </c>
      <c r="X547">
        <v>0.99760059999999995</v>
      </c>
      <c r="Y547">
        <v>3.0989389999999999E-2</v>
      </c>
      <c r="Z547">
        <v>-4.8886219999999996E-3</v>
      </c>
      <c r="AA547">
        <v>0.99950779999999995</v>
      </c>
      <c r="AB547">
        <v>29</v>
      </c>
      <c r="AC547">
        <v>0.632000000000005</v>
      </c>
      <c r="AD547">
        <v>-7.8867000000000007E-2</v>
      </c>
      <c r="AE547">
        <v>-3.6000000000058199E-3</v>
      </c>
      <c r="AF547">
        <v>2.4488874192018499E-2</v>
      </c>
      <c r="AG547">
        <v>-7.8867000000000007E-2</v>
      </c>
      <c r="AH547">
        <v>0.62183752079194299</v>
      </c>
      <c r="AI547">
        <v>97.222632547252601</v>
      </c>
      <c r="AJ547">
        <v>87.744773509285295</v>
      </c>
      <c r="AK547">
        <v>0.62729706751495495</v>
      </c>
    </row>
    <row r="548" spans="1:37" x14ac:dyDescent="0.2">
      <c r="A548" t="str">
        <f>"20200111155804690"</f>
        <v>20200111155804690</v>
      </c>
      <c r="B548" t="str">
        <f>"1578729484681572"</f>
        <v>1578729484681572</v>
      </c>
      <c r="C548" t="s">
        <v>37</v>
      </c>
      <c r="D548">
        <v>5.8498839999999896</v>
      </c>
      <c r="E548">
        <v>0.53953119999999999</v>
      </c>
      <c r="F548" t="s">
        <v>38</v>
      </c>
      <c r="G548">
        <v>-386.546999999999</v>
      </c>
      <c r="H548">
        <v>1.015312</v>
      </c>
      <c r="I548">
        <v>367.74509999999998</v>
      </c>
      <c r="J548">
        <v>-387.195999999999</v>
      </c>
      <c r="K548">
        <v>1.103869</v>
      </c>
      <c r="L548">
        <v>367.75069999999999</v>
      </c>
      <c r="M548">
        <v>0.99938629999999995</v>
      </c>
      <c r="N548">
        <v>0</v>
      </c>
      <c r="O548">
        <v>3.3634360000000002E-2</v>
      </c>
      <c r="P548">
        <v>0.9946874</v>
      </c>
      <c r="Q548">
        <v>-8.5200740000000007E-3</v>
      </c>
      <c r="R548">
        <v>0.102588</v>
      </c>
      <c r="S548">
        <v>3.0127259999999998</v>
      </c>
      <c r="T548">
        <v>-0.30099179999999998</v>
      </c>
      <c r="U548">
        <v>8.6975100000000003E-3</v>
      </c>
      <c r="V548">
        <v>-6.9072759999999997E-2</v>
      </c>
      <c r="W548">
        <v>1.241032E-3</v>
      </c>
      <c r="X548">
        <v>0.99761089999999997</v>
      </c>
      <c r="Y548">
        <v>3.0431659999999999E-2</v>
      </c>
      <c r="Z548">
        <v>-4.8679819999999999E-3</v>
      </c>
      <c r="AA548">
        <v>0.999525</v>
      </c>
      <c r="AB548">
        <v>29</v>
      </c>
      <c r="AC548">
        <v>0.64900000000000002</v>
      </c>
      <c r="AD548">
        <v>-8.8556999999999997E-2</v>
      </c>
      <c r="AE548">
        <v>-5.6000000000153696E-3</v>
      </c>
      <c r="AF548">
        <v>2.69252913131738E-2</v>
      </c>
      <c r="AG548">
        <v>-8.8556999999999997E-2</v>
      </c>
      <c r="AH548">
        <v>0.63659256650399698</v>
      </c>
      <c r="AI548">
        <v>97.912660215942395</v>
      </c>
      <c r="AJ548">
        <v>87.578063769912902</v>
      </c>
      <c r="AK548">
        <v>0.643286413108069</v>
      </c>
    </row>
    <row r="549" spans="1:37" x14ac:dyDescent="0.2">
      <c r="A549" t="str">
        <f>"20200111155804704"</f>
        <v>20200111155804704</v>
      </c>
      <c r="B549" t="str">
        <f>"1578729484701092"</f>
        <v>1578729484701092</v>
      </c>
      <c r="C549" t="s">
        <v>37</v>
      </c>
      <c r="D549">
        <v>5.7995739999999998</v>
      </c>
      <c r="E549">
        <v>0.53943469999999905</v>
      </c>
      <c r="F549" t="s">
        <v>38</v>
      </c>
      <c r="G549">
        <v>-386.28969999999998</v>
      </c>
      <c r="H549">
        <v>1.0129030000000001</v>
      </c>
      <c r="I549">
        <v>367.75290000000001</v>
      </c>
      <c r="J549">
        <v>-387.00380000000001</v>
      </c>
      <c r="K549">
        <v>1.103904</v>
      </c>
      <c r="L549">
        <v>367.75709999999998</v>
      </c>
      <c r="M549">
        <v>0.9993843</v>
      </c>
      <c r="N549">
        <v>0</v>
      </c>
      <c r="O549">
        <v>3.3602220000000002E-2</v>
      </c>
      <c r="P549">
        <v>0.99470139999999996</v>
      </c>
      <c r="Q549">
        <v>-8.6448529999999992E-3</v>
      </c>
      <c r="R549">
        <v>0.1024422</v>
      </c>
      <c r="S549">
        <v>3.012543</v>
      </c>
      <c r="T549">
        <v>-0.30254749999999903</v>
      </c>
      <c r="U549">
        <v>8.6669920000000001E-3</v>
      </c>
      <c r="V549">
        <v>-6.8958569999999997E-2</v>
      </c>
      <c r="W549">
        <v>1.4284289999999999E-3</v>
      </c>
      <c r="X549">
        <v>0.99761849999999996</v>
      </c>
      <c r="Y549">
        <v>3.0406519999999999E-2</v>
      </c>
      <c r="Z549">
        <v>-4.8888459999999996E-3</v>
      </c>
      <c r="AA549">
        <v>0.99952569999999996</v>
      </c>
      <c r="AB549">
        <v>29</v>
      </c>
      <c r="AC549">
        <v>0.71410000000003004</v>
      </c>
      <c r="AD549">
        <v>-9.1000999999999804E-2</v>
      </c>
      <c r="AE549">
        <v>-4.1999999999688901E-3</v>
      </c>
      <c r="AF549">
        <v>2.7743666697652498E-2</v>
      </c>
      <c r="AG549">
        <v>-9.1000999999999804E-2</v>
      </c>
      <c r="AH549">
        <v>0.70215329382144198</v>
      </c>
      <c r="AI549">
        <v>97.378834468955404</v>
      </c>
      <c r="AJ549">
        <v>87.737291040758805</v>
      </c>
      <c r="AK549">
        <v>0.70856907995419205</v>
      </c>
    </row>
    <row r="550" spans="1:37" x14ac:dyDescent="0.2">
      <c r="A550" t="str">
        <f>"20200111155804722"</f>
        <v>20200111155804722</v>
      </c>
      <c r="B550" t="str">
        <f>"1578729484711828"</f>
        <v>1578729484711828</v>
      </c>
      <c r="C550" t="s">
        <v>37</v>
      </c>
      <c r="D550">
        <v>5.8637139999999999</v>
      </c>
      <c r="E550">
        <v>0.53937400000000002</v>
      </c>
      <c r="F550" t="s">
        <v>38</v>
      </c>
      <c r="G550">
        <v>-386.28089999999997</v>
      </c>
      <c r="H550">
        <v>1.0311429999999999</v>
      </c>
      <c r="I550">
        <v>367.75889999999998</v>
      </c>
      <c r="J550">
        <v>-386.77789999999999</v>
      </c>
      <c r="K550">
        <v>1.103936</v>
      </c>
      <c r="L550">
        <v>367.7647</v>
      </c>
      <c r="M550">
        <v>0.99938269999999996</v>
      </c>
      <c r="N550">
        <v>0</v>
      </c>
      <c r="O550">
        <v>3.354352E-2</v>
      </c>
      <c r="P550">
        <v>0.9947241</v>
      </c>
      <c r="Q550">
        <v>-8.2942269999999995E-3</v>
      </c>
      <c r="R550">
        <v>0.1022515</v>
      </c>
      <c r="S550">
        <v>3.0124209999999998</v>
      </c>
      <c r="T550">
        <v>-0.30340329999999999</v>
      </c>
      <c r="U550">
        <v>8.8500980000000007E-3</v>
      </c>
      <c r="V550">
        <v>-6.8825289999999997E-2</v>
      </c>
      <c r="W550">
        <v>2.139869E-3</v>
      </c>
      <c r="X550">
        <v>0.99762640000000002</v>
      </c>
      <c r="Y550">
        <v>3.028612E-2</v>
      </c>
      <c r="Z550">
        <v>-4.8908709999999998E-3</v>
      </c>
      <c r="AA550">
        <v>0.99952929999999995</v>
      </c>
      <c r="AB550">
        <v>29</v>
      </c>
      <c r="AC550">
        <v>0.49700000000001399</v>
      </c>
      <c r="AD550">
        <v>-7.2793000000000094E-2</v>
      </c>
      <c r="AE550">
        <v>-5.8000000000220098E-3</v>
      </c>
      <c r="AF550">
        <v>2.19969611466646E-2</v>
      </c>
      <c r="AG550">
        <v>-7.2793000000000094E-2</v>
      </c>
      <c r="AH550">
        <v>0.486099371740569</v>
      </c>
      <c r="AI550">
        <v>98.508133281552404</v>
      </c>
      <c r="AJ550">
        <v>87.409019872331598</v>
      </c>
      <c r="AK550">
        <v>0.49201146973954102</v>
      </c>
    </row>
    <row r="551" spans="1:37" x14ac:dyDescent="0.2">
      <c r="A551" t="str">
        <f>"20200111155804738"</f>
        <v>20200111155804738</v>
      </c>
      <c r="B551" t="str">
        <f>"1578729484731348"</f>
        <v>1578729484731348</v>
      </c>
      <c r="C551" t="s">
        <v>37</v>
      </c>
      <c r="D551">
        <v>5.810727</v>
      </c>
      <c r="E551">
        <v>0.53930029999999995</v>
      </c>
      <c r="F551" t="s">
        <v>38</v>
      </c>
      <c r="G551">
        <v>-386.02420000000001</v>
      </c>
      <c r="H551">
        <v>1.0282370000000001</v>
      </c>
      <c r="I551">
        <v>367.76659999999998</v>
      </c>
      <c r="J551">
        <v>-386.56979999999999</v>
      </c>
      <c r="K551">
        <v>1.1039600000000001</v>
      </c>
      <c r="L551">
        <v>367.77170000000001</v>
      </c>
      <c r="M551">
        <v>0.99938179999999999</v>
      </c>
      <c r="N551">
        <v>0</v>
      </c>
      <c r="O551">
        <v>3.346971E-2</v>
      </c>
      <c r="P551">
        <v>0.99476390000000003</v>
      </c>
      <c r="Q551">
        <v>-7.8103390000000003E-3</v>
      </c>
      <c r="R551">
        <v>0.101901399999999</v>
      </c>
      <c r="S551">
        <v>3.012451</v>
      </c>
      <c r="T551">
        <v>-0.30283880000000002</v>
      </c>
      <c r="U551">
        <v>8.9416500000000006E-3</v>
      </c>
      <c r="V551">
        <v>-6.8547339999999998E-2</v>
      </c>
      <c r="W551">
        <v>2.9404759999999901E-3</v>
      </c>
      <c r="X551">
        <v>0.99764349999999902</v>
      </c>
      <c r="Y551">
        <v>3.018417E-2</v>
      </c>
      <c r="Z551">
        <v>-4.8692689999999999E-3</v>
      </c>
      <c r="AA551">
        <v>0.99953250000000005</v>
      </c>
      <c r="AB551">
        <v>29</v>
      </c>
      <c r="AC551">
        <v>0.54559999999997899</v>
      </c>
      <c r="AD551">
        <v>-7.5722999999999901E-2</v>
      </c>
      <c r="AE551">
        <v>-5.1000000000271904E-3</v>
      </c>
      <c r="AF551">
        <v>2.2917862542559599E-2</v>
      </c>
      <c r="AG551">
        <v>-7.5722999999999901E-2</v>
      </c>
      <c r="AH551">
        <v>0.53482259342462801</v>
      </c>
      <c r="AI551">
        <v>98.051382333111107</v>
      </c>
      <c r="AJ551">
        <v>87.546300435605801</v>
      </c>
      <c r="AK551">
        <v>0.54064258765839401</v>
      </c>
    </row>
    <row r="552" spans="1:37" x14ac:dyDescent="0.2">
      <c r="A552" t="str">
        <f>"20200111155804756"</f>
        <v>20200111155804756</v>
      </c>
      <c r="B552" t="str">
        <f>"1578729484751845"</f>
        <v>1578729484751845</v>
      </c>
      <c r="C552" t="s">
        <v>37</v>
      </c>
      <c r="D552">
        <v>5.7862200000000001</v>
      </c>
      <c r="E552">
        <v>0.53907340000000004</v>
      </c>
      <c r="F552" t="s">
        <v>38</v>
      </c>
      <c r="G552">
        <v>-385.76859999999999</v>
      </c>
      <c r="H552">
        <v>1.0237889999999901</v>
      </c>
      <c r="I552">
        <v>367.77350000000001</v>
      </c>
      <c r="J552">
        <v>-386.34370000000001</v>
      </c>
      <c r="K552">
        <v>1.103977</v>
      </c>
      <c r="L552">
        <v>367.77910000000003</v>
      </c>
      <c r="M552">
        <v>0.99938169999999904</v>
      </c>
      <c r="N552">
        <v>0</v>
      </c>
      <c r="O552">
        <v>3.3368399999999999E-2</v>
      </c>
      <c r="P552">
        <v>0.99484409999999901</v>
      </c>
      <c r="Q552">
        <v>-7.2358680000000003E-3</v>
      </c>
      <c r="R552">
        <v>0.1011577</v>
      </c>
      <c r="S552">
        <v>3.0125730000000002</v>
      </c>
      <c r="T552">
        <v>-0.30169499999999999</v>
      </c>
      <c r="U552">
        <v>8.1481929999999998E-3</v>
      </c>
      <c r="V552">
        <v>-6.7902050000000005E-2</v>
      </c>
      <c r="W552">
        <v>3.839786E-3</v>
      </c>
      <c r="X552">
        <v>0.99768459999999903</v>
      </c>
      <c r="Y552">
        <v>3.0348440000000001E-2</v>
      </c>
      <c r="Z552">
        <v>-4.8488799999999999E-3</v>
      </c>
      <c r="AA552">
        <v>0.99952759999999996</v>
      </c>
      <c r="AB552">
        <v>29</v>
      </c>
      <c r="AC552">
        <v>0.57510000000002004</v>
      </c>
      <c r="AD552">
        <v>-8.0188000000000106E-2</v>
      </c>
      <c r="AE552">
        <v>-5.6000000000153696E-3</v>
      </c>
      <c r="AF552">
        <v>2.43155378340238E-2</v>
      </c>
      <c r="AG552">
        <v>-8.0188000000000106E-2</v>
      </c>
      <c r="AH552">
        <v>0.56363587937635495</v>
      </c>
      <c r="AI552">
        <v>98.089659563184</v>
      </c>
      <c r="AJ552">
        <v>87.529762694881796</v>
      </c>
      <c r="AK552">
        <v>0.56983047061781</v>
      </c>
    </row>
    <row r="553" spans="1:37" x14ac:dyDescent="0.2">
      <c r="A553" t="str">
        <f>"20200111155804770"</f>
        <v>20200111155804770</v>
      </c>
      <c r="B553" t="str">
        <f>"1578729484761605"</f>
        <v>1578729484761605</v>
      </c>
      <c r="C553" t="s">
        <v>37</v>
      </c>
      <c r="D553">
        <v>5.8447209999999998</v>
      </c>
      <c r="E553">
        <v>0.53902669999999997</v>
      </c>
      <c r="F553" t="s">
        <v>38</v>
      </c>
      <c r="G553">
        <v>-385.51240000000001</v>
      </c>
      <c r="H553">
        <v>1.02122</v>
      </c>
      <c r="I553">
        <v>367.78140000000002</v>
      </c>
      <c r="J553">
        <v>-386.15469999999999</v>
      </c>
      <c r="K553">
        <v>1.103985</v>
      </c>
      <c r="L553">
        <v>367.78530000000001</v>
      </c>
      <c r="M553">
        <v>0.99938229999999995</v>
      </c>
      <c r="N553">
        <v>0</v>
      </c>
      <c r="O553">
        <v>3.3267129999999999E-2</v>
      </c>
      <c r="P553">
        <v>0.99487409999999998</v>
      </c>
      <c r="Q553">
        <v>-6.95231699999999E-3</v>
      </c>
      <c r="R553">
        <v>0.1008829</v>
      </c>
      <c r="S553">
        <v>3.012543</v>
      </c>
      <c r="T553">
        <v>-0.29992429999999998</v>
      </c>
      <c r="U553">
        <v>8.2397459999999992E-3</v>
      </c>
      <c r="V553">
        <v>-6.7727319999999994E-2</v>
      </c>
      <c r="W553">
        <v>4.3776539999999999E-3</v>
      </c>
      <c r="X553">
        <v>0.99769430000000003</v>
      </c>
      <c r="Y553">
        <v>3.0221689999999999E-2</v>
      </c>
      <c r="Z553">
        <v>-4.8042689999999999E-3</v>
      </c>
      <c r="AA553">
        <v>0.99953169999999902</v>
      </c>
      <c r="AB553">
        <v>29</v>
      </c>
      <c r="AC553">
        <v>0.642299999999977</v>
      </c>
      <c r="AD553">
        <v>-8.2764999999999894E-2</v>
      </c>
      <c r="AE553">
        <v>-3.8999999999873498E-3</v>
      </c>
      <c r="AF553">
        <v>2.4854024058858101E-2</v>
      </c>
      <c r="AG553">
        <v>-8.2764999999999894E-2</v>
      </c>
      <c r="AH553">
        <v>0.631332315662404</v>
      </c>
      <c r="AI553">
        <v>97.462927837041306</v>
      </c>
      <c r="AJ553">
        <v>87.745568105237993</v>
      </c>
      <c r="AK553">
        <v>0.63721916209148299</v>
      </c>
    </row>
    <row r="554" spans="1:37" x14ac:dyDescent="0.2">
      <c r="A554" t="str">
        <f>"20200111155804784"</f>
        <v>20200111155804784</v>
      </c>
      <c r="B554" t="str">
        <f>"1578729484771365"</f>
        <v>1578729484771365</v>
      </c>
      <c r="C554" t="s">
        <v>37</v>
      </c>
      <c r="D554">
        <v>5.8145910000000001</v>
      </c>
      <c r="E554">
        <v>0.53899490000000005</v>
      </c>
      <c r="F554" t="s">
        <v>38</v>
      </c>
      <c r="G554">
        <v>-385.25810000000001</v>
      </c>
      <c r="H554">
        <v>1.01501</v>
      </c>
      <c r="I554">
        <v>367.78719999999998</v>
      </c>
      <c r="J554">
        <v>-385.97539999999998</v>
      </c>
      <c r="K554">
        <v>1.1039889999999899</v>
      </c>
      <c r="L554">
        <v>367.7912</v>
      </c>
      <c r="M554">
        <v>0.99938320000000003</v>
      </c>
      <c r="N554">
        <v>0</v>
      </c>
      <c r="O554">
        <v>3.3158239999999999E-2</v>
      </c>
      <c r="P554">
        <v>0.99488940000000003</v>
      </c>
      <c r="Q554">
        <v>-7.4789990000000001E-3</v>
      </c>
      <c r="R554">
        <v>0.100694899999999</v>
      </c>
      <c r="S554">
        <v>3.0126040000000001</v>
      </c>
      <c r="T554">
        <v>-0.29919519999999999</v>
      </c>
      <c r="U554">
        <v>7.4157709999999998E-3</v>
      </c>
      <c r="V554">
        <v>-6.7647479999999996E-2</v>
      </c>
      <c r="W554">
        <v>4.0791559999999996E-3</v>
      </c>
      <c r="X554">
        <v>0.9977009</v>
      </c>
      <c r="Y554">
        <v>3.0387560000000001E-2</v>
      </c>
      <c r="Z554">
        <v>-4.7899989999999996E-3</v>
      </c>
      <c r="AA554">
        <v>0.99952669999999999</v>
      </c>
      <c r="AB554">
        <v>29</v>
      </c>
      <c r="AC554">
        <v>0.71729999999996596</v>
      </c>
      <c r="AD554">
        <v>-8.8978999999999905E-2</v>
      </c>
      <c r="AE554">
        <v>-4.0000000000190898E-3</v>
      </c>
      <c r="AF554">
        <v>2.7362759937921199E-2</v>
      </c>
      <c r="AG554">
        <v>-8.8978999999999905E-2</v>
      </c>
      <c r="AH554">
        <v>0.70591087373893102</v>
      </c>
      <c r="AI554">
        <v>97.178823726474306</v>
      </c>
      <c r="AJ554">
        <v>87.780192622342</v>
      </c>
      <c r="AK554">
        <v>0.71202257319222795</v>
      </c>
    </row>
    <row r="555" spans="1:37" x14ac:dyDescent="0.2">
      <c r="A555" t="str">
        <f>"20200111155804800"</f>
        <v>20200111155804800</v>
      </c>
      <c r="B555" t="str">
        <f>"1578729484791860"</f>
        <v>1578729484791860</v>
      </c>
      <c r="C555" t="s">
        <v>37</v>
      </c>
      <c r="D555">
        <v>5.8468029999999898</v>
      </c>
      <c r="E555">
        <v>0.53893429999999998</v>
      </c>
      <c r="F555" t="s">
        <v>38</v>
      </c>
      <c r="G555">
        <v>-385.25009999999997</v>
      </c>
      <c r="H555">
        <v>1.0316419999999999</v>
      </c>
      <c r="I555">
        <v>367.79250000000002</v>
      </c>
      <c r="J555">
        <v>-385.76780000000002</v>
      </c>
      <c r="K555">
        <v>1.1039889999999899</v>
      </c>
      <c r="L555">
        <v>367.798</v>
      </c>
      <c r="M555">
        <v>0.99938539999999998</v>
      </c>
      <c r="N555">
        <v>0</v>
      </c>
      <c r="O555">
        <v>3.300906E-2</v>
      </c>
      <c r="P555">
        <v>0.99490590000000001</v>
      </c>
      <c r="Q555">
        <v>-7.8298280000000005E-3</v>
      </c>
      <c r="R555">
        <v>0.1005038</v>
      </c>
      <c r="S555">
        <v>3.0124819999999999</v>
      </c>
      <c r="T555">
        <v>-0.30077179999999998</v>
      </c>
      <c r="U555">
        <v>6.8664549999999996E-3</v>
      </c>
      <c r="V555">
        <v>-6.7604700000000004E-2</v>
      </c>
      <c r="W555">
        <v>3.968531E-3</v>
      </c>
      <c r="X555">
        <v>0.99770429999999999</v>
      </c>
      <c r="Y555">
        <v>3.041787E-2</v>
      </c>
      <c r="Z555">
        <v>-4.80198E-3</v>
      </c>
      <c r="AA555">
        <v>0.99952569999999996</v>
      </c>
      <c r="AB555">
        <v>29</v>
      </c>
      <c r="AC555">
        <v>0.51770000000004701</v>
      </c>
      <c r="AD555">
        <v>-7.2346999999999898E-2</v>
      </c>
      <c r="AE555">
        <v>-5.4999999999836204E-3</v>
      </c>
      <c r="AF555">
        <v>2.2154373804870699E-2</v>
      </c>
      <c r="AG555">
        <v>-7.2346999999999898E-2</v>
      </c>
      <c r="AH555">
        <v>0.50732964869286601</v>
      </c>
      <c r="AI555">
        <v>98.108237252232897</v>
      </c>
      <c r="AJ555">
        <v>87.499562306577999</v>
      </c>
      <c r="AK555">
        <v>0.51294081250229295</v>
      </c>
    </row>
    <row r="556" spans="1:37" x14ac:dyDescent="0.2">
      <c r="A556" t="str">
        <f>"20200111155804814"</f>
        <v>20200111155804814</v>
      </c>
      <c r="B556" t="str">
        <f>"1578729484801621"</f>
        <v>1578729484801621</v>
      </c>
      <c r="C556" t="s">
        <v>37</v>
      </c>
      <c r="D556">
        <v>6.1848650000000003</v>
      </c>
      <c r="E556">
        <v>0.53893429999999998</v>
      </c>
      <c r="F556" t="s">
        <v>38</v>
      </c>
      <c r="G556">
        <v>-384.99579999999997</v>
      </c>
      <c r="H556">
        <v>1.0265739999999901</v>
      </c>
      <c r="I556">
        <v>367.79950000000002</v>
      </c>
      <c r="J556">
        <v>-385.59930000000003</v>
      </c>
      <c r="K556">
        <v>1.103993</v>
      </c>
      <c r="L556">
        <v>367.80340000000001</v>
      </c>
      <c r="M556">
        <v>0.99938769999999999</v>
      </c>
      <c r="N556">
        <v>0</v>
      </c>
      <c r="O556">
        <v>3.2874590000000002E-2</v>
      </c>
      <c r="P556">
        <v>0.99490979999999996</v>
      </c>
      <c r="Q556">
        <v>-8.2144899999999996E-3</v>
      </c>
      <c r="R556">
        <v>0.1004345</v>
      </c>
      <c r="S556">
        <v>3.0123289999999998</v>
      </c>
      <c r="T556">
        <v>-0.30218279999999997</v>
      </c>
      <c r="U556">
        <v>6.6223139999999998E-3</v>
      </c>
      <c r="V556">
        <v>-6.7669450000000006E-2</v>
      </c>
      <c r="W556">
        <v>3.7658759999999901E-3</v>
      </c>
      <c r="X556">
        <v>0.9977007</v>
      </c>
      <c r="Y556">
        <v>3.036231E-2</v>
      </c>
      <c r="Z556">
        <v>-4.8084159999999898E-3</v>
      </c>
      <c r="AA556">
        <v>0.99952739999999995</v>
      </c>
      <c r="AB556">
        <v>29</v>
      </c>
      <c r="AC556">
        <v>0.60350000000005299</v>
      </c>
      <c r="AD556">
        <v>-7.7419000000000099E-2</v>
      </c>
      <c r="AE556">
        <v>-3.8999999999873498E-3</v>
      </c>
      <c r="AF556">
        <v>2.3354805238925601E-2</v>
      </c>
      <c r="AG556">
        <v>-7.7419000000000099E-2</v>
      </c>
      <c r="AH556">
        <v>0.59328251650235997</v>
      </c>
      <c r="AI556">
        <v>97.4289777731953</v>
      </c>
      <c r="AJ556">
        <v>87.745692530877193</v>
      </c>
      <c r="AK556">
        <v>0.5987681461769</v>
      </c>
    </row>
    <row r="557" spans="1:37" x14ac:dyDescent="0.2">
      <c r="A557" t="str">
        <f>"20200111155804827"</f>
        <v>20200111155804827</v>
      </c>
      <c r="B557" t="str">
        <f>"1578729484821140"</f>
        <v>1578729484821140</v>
      </c>
      <c r="C557" t="s">
        <v>37</v>
      </c>
      <c r="D557">
        <v>5.8635710000000003</v>
      </c>
      <c r="E557">
        <v>0.5389022</v>
      </c>
      <c r="F557" t="s">
        <v>38</v>
      </c>
      <c r="G557">
        <v>-384.74340000000001</v>
      </c>
      <c r="H557">
        <v>1.0178579999999999</v>
      </c>
      <c r="I557">
        <v>367.80509999999998</v>
      </c>
      <c r="J557">
        <v>-385.4212</v>
      </c>
      <c r="K557">
        <v>1.1039909999999999</v>
      </c>
      <c r="L557">
        <v>367.8091</v>
      </c>
      <c r="M557">
        <v>0.99939069999999997</v>
      </c>
      <c r="N557">
        <v>0</v>
      </c>
      <c r="O557">
        <v>3.2722630000000003E-2</v>
      </c>
      <c r="P557">
        <v>0.99491209999999997</v>
      </c>
      <c r="Q557">
        <v>-8.1621039999999999E-3</v>
      </c>
      <c r="R557">
        <v>0.1004167</v>
      </c>
      <c r="S557">
        <v>3.0122070000000001</v>
      </c>
      <c r="T557">
        <v>-0.3032743</v>
      </c>
      <c r="U557">
        <v>6.3476560000000001E-3</v>
      </c>
      <c r="V557">
        <v>-6.7802589999999996E-2</v>
      </c>
      <c r="W557">
        <v>4.0000030000000002E-3</v>
      </c>
      <c r="X557">
        <v>0.99769069999999904</v>
      </c>
      <c r="Y557">
        <v>3.0300219999999999E-2</v>
      </c>
      <c r="Z557">
        <v>-4.8075269999999998E-3</v>
      </c>
      <c r="AA557">
        <v>0.99952929999999995</v>
      </c>
      <c r="AB557">
        <v>29</v>
      </c>
      <c r="AC557">
        <v>0.67779999999998997</v>
      </c>
      <c r="AD557">
        <v>-8.6133000000000001E-2</v>
      </c>
      <c r="AE557">
        <v>-4.0000000000190898E-3</v>
      </c>
      <c r="AF557">
        <v>2.57628707327122E-2</v>
      </c>
      <c r="AG557">
        <v>-8.6133000000000001E-2</v>
      </c>
      <c r="AH557">
        <v>0.66654268039625697</v>
      </c>
      <c r="AI557">
        <v>97.3577251897309</v>
      </c>
      <c r="AJ557">
        <v>87.786534315769003</v>
      </c>
      <c r="AK557">
        <v>0.67257844448600701</v>
      </c>
    </row>
    <row r="558" spans="1:37" x14ac:dyDescent="0.2">
      <c r="A558" t="str">
        <f>"20200111155804845"</f>
        <v>20200111155804845</v>
      </c>
      <c r="B558" t="str">
        <f>"1578729484841637"</f>
        <v>1578729484841637</v>
      </c>
      <c r="C558" t="s">
        <v>37</v>
      </c>
      <c r="D558">
        <v>5.8885160000000001</v>
      </c>
      <c r="E558">
        <v>0.53684509999999996</v>
      </c>
      <c r="F558" t="s">
        <v>39</v>
      </c>
      <c r="G558">
        <v>-363.03730000000002</v>
      </c>
      <c r="H558" s="1">
        <v>-3.2916439999999999E-6</v>
      </c>
      <c r="I558">
        <v>367.79910000000001</v>
      </c>
      <c r="J558">
        <v>-385.19869999999997</v>
      </c>
      <c r="K558">
        <v>1.1039920000000001</v>
      </c>
      <c r="L558">
        <v>367.81619999999998</v>
      </c>
      <c r="M558">
        <v>0.99939480000000003</v>
      </c>
      <c r="N558">
        <v>0</v>
      </c>
      <c r="O558">
        <v>3.2516410000000003E-2</v>
      </c>
      <c r="P558">
        <v>0.99488809999999905</v>
      </c>
      <c r="Q558">
        <v>-8.1371629999999993E-3</v>
      </c>
      <c r="R558">
        <v>0.10065739999999999</v>
      </c>
      <c r="S558">
        <v>3.0142519999999999</v>
      </c>
      <c r="T558">
        <v>-0.14866499999999999</v>
      </c>
      <c r="U558">
        <v>-1.34277299999999E-3</v>
      </c>
      <c r="V558">
        <v>-6.8249710000000005E-2</v>
      </c>
      <c r="W558">
        <v>4.2326969999999997E-3</v>
      </c>
      <c r="X558">
        <v>0.99765930000000003</v>
      </c>
      <c r="Y558">
        <v>3.2884650000000001E-2</v>
      </c>
      <c r="Z558">
        <v>-2.4131249999999999E-3</v>
      </c>
      <c r="AA558">
        <v>0.99945620000000002</v>
      </c>
      <c r="AB558">
        <v>29</v>
      </c>
      <c r="AC558">
        <v>22.161399999999901</v>
      </c>
      <c r="AD558">
        <v>-1.1039952916439999</v>
      </c>
      <c r="AE558">
        <v>-1.7099999999970798E-2</v>
      </c>
      <c r="AF558">
        <v>0.73592884088337696</v>
      </c>
      <c r="AG558">
        <v>-1.1039952916439999</v>
      </c>
      <c r="AH558">
        <v>22.094293016595401</v>
      </c>
      <c r="AI558">
        <v>92.8589615263094</v>
      </c>
      <c r="AJ558">
        <v>88.092266031565501</v>
      </c>
      <c r="AK558">
        <v>22.134095435910499</v>
      </c>
    </row>
    <row r="559" spans="1:37" x14ac:dyDescent="0.2">
      <c r="A559" t="str">
        <f>"20200111155804859"</f>
        <v>20200111155804859</v>
      </c>
      <c r="B559" t="str">
        <f>"1578729484851396"</f>
        <v>1578729484851396</v>
      </c>
      <c r="C559" t="s">
        <v>37</v>
      </c>
      <c r="D559">
        <v>5.8856349999999997</v>
      </c>
      <c r="E559">
        <v>0.53693359999999901</v>
      </c>
      <c r="F559" t="s">
        <v>38</v>
      </c>
      <c r="G559">
        <v>-384.23790000000002</v>
      </c>
      <c r="H559">
        <v>1.004505</v>
      </c>
      <c r="I559">
        <v>367.82350000000002</v>
      </c>
      <c r="J559">
        <v>-385.01819999999998</v>
      </c>
      <c r="K559">
        <v>1.10399</v>
      </c>
      <c r="L559">
        <v>367.82190000000003</v>
      </c>
      <c r="M559">
        <v>0.99939880000000003</v>
      </c>
      <c r="N559">
        <v>0</v>
      </c>
      <c r="O559">
        <v>3.2336490000000002E-2</v>
      </c>
      <c r="P559">
        <v>0.99487159999999997</v>
      </c>
      <c r="Q559">
        <v>-8.1293319999999995E-3</v>
      </c>
      <c r="R559">
        <v>0.100819899999999</v>
      </c>
      <c r="S559">
        <v>3.0104060000000001</v>
      </c>
      <c r="T559">
        <v>-0.31202929999999901</v>
      </c>
      <c r="U559">
        <v>2.4353030000000001E-2</v>
      </c>
      <c r="V559">
        <v>-6.859171E-2</v>
      </c>
      <c r="W559">
        <v>4.3905280000000003E-3</v>
      </c>
      <c r="X559">
        <v>0.9976351</v>
      </c>
      <c r="Y559">
        <v>2.3951360000000001E-2</v>
      </c>
      <c r="Z559">
        <v>-4.580336E-3</v>
      </c>
      <c r="AA559">
        <v>0.9997026</v>
      </c>
      <c r="AB559">
        <v>29</v>
      </c>
      <c r="AC559">
        <v>0.78029999999995403</v>
      </c>
      <c r="AD559">
        <v>-9.9485000000000004E-2</v>
      </c>
      <c r="AE559">
        <v>1.59999999999627E-3</v>
      </c>
      <c r="AF559">
        <v>2.3256929111885701E-2</v>
      </c>
      <c r="AG559">
        <v>-9.9485000000000004E-2</v>
      </c>
      <c r="AH559">
        <v>0.76746832272839804</v>
      </c>
      <c r="AI559">
        <v>97.382571635143705</v>
      </c>
      <c r="AJ559">
        <v>88.264272045058306</v>
      </c>
      <c r="AK559">
        <v>0.77423883677341898</v>
      </c>
    </row>
    <row r="560" spans="1:37" x14ac:dyDescent="0.2">
      <c r="A560" t="str">
        <f>"20200111155804871"</f>
        <v>20200111155804871</v>
      </c>
      <c r="B560" t="str">
        <f>"1578729484861158"</f>
        <v>1578729484861158</v>
      </c>
      <c r="C560" t="s">
        <v>37</v>
      </c>
      <c r="D560">
        <v>5.8941470000000002</v>
      </c>
      <c r="E560">
        <v>0.53687410000000002</v>
      </c>
      <c r="F560" t="s">
        <v>38</v>
      </c>
      <c r="G560">
        <v>-384.22930000000002</v>
      </c>
      <c r="H560">
        <v>1.022224</v>
      </c>
      <c r="I560">
        <v>367.82760000000002</v>
      </c>
      <c r="J560">
        <v>-384.86369999999999</v>
      </c>
      <c r="K560">
        <v>1.1039829999999999</v>
      </c>
      <c r="L560">
        <v>367.82679999999999</v>
      </c>
      <c r="M560">
        <v>0.99940229999999997</v>
      </c>
      <c r="N560">
        <v>0</v>
      </c>
      <c r="O560">
        <v>3.2178369999999998E-2</v>
      </c>
      <c r="P560">
        <v>0.99486600000000003</v>
      </c>
      <c r="Q560">
        <v>-7.8521449999999996E-3</v>
      </c>
      <c r="R560">
        <v>0.1008978</v>
      </c>
      <c r="S560">
        <v>3.0104679999999999</v>
      </c>
      <c r="T560">
        <v>-0.31237769999999998</v>
      </c>
      <c r="U560">
        <v>2.401733E-2</v>
      </c>
      <c r="V560">
        <v>-6.8827520000000003E-2</v>
      </c>
      <c r="W560">
        <v>4.7882059999999997E-3</v>
      </c>
      <c r="X560">
        <v>0.99761710000000003</v>
      </c>
      <c r="Y560">
        <v>2.3905309999999999E-2</v>
      </c>
      <c r="Z560">
        <v>-4.5665999999999997E-3</v>
      </c>
      <c r="AA560">
        <v>0.99970380000000003</v>
      </c>
      <c r="AB560">
        <v>29</v>
      </c>
      <c r="AC560">
        <v>0.63439999999997099</v>
      </c>
      <c r="AD560">
        <v>-8.1758999999999901E-2</v>
      </c>
      <c r="AE560">
        <v>8.0000000002655703E-4</v>
      </c>
      <c r="AF560">
        <v>1.9295521685470201E-2</v>
      </c>
      <c r="AG560">
        <v>-8.1758999999999901E-2</v>
      </c>
      <c r="AH560">
        <v>0.62373749254101196</v>
      </c>
      <c r="AI560">
        <v>97.464178218470295</v>
      </c>
      <c r="AJ560">
        <v>88.228101560852394</v>
      </c>
      <c r="AK560">
        <v>0.6293689782945</v>
      </c>
    </row>
    <row r="561" spans="1:37" x14ac:dyDescent="0.2">
      <c r="A561" t="str">
        <f>"20200111155804884"</f>
        <v>20200111155804884</v>
      </c>
      <c r="B561" t="str">
        <f>"1578729484881653"</f>
        <v>1578729484881653</v>
      </c>
      <c r="C561" t="s">
        <v>37</v>
      </c>
      <c r="D561">
        <v>5.8667540000000002</v>
      </c>
      <c r="E561">
        <v>0.53698330000000005</v>
      </c>
      <c r="F561" t="s">
        <v>38</v>
      </c>
      <c r="G561">
        <v>-383.97859999999997</v>
      </c>
      <c r="H561">
        <v>1.012175</v>
      </c>
      <c r="I561">
        <v>367.8338</v>
      </c>
      <c r="J561">
        <v>-384.6909</v>
      </c>
      <c r="K561">
        <v>1.1039840000000001</v>
      </c>
      <c r="L561">
        <v>367.83210000000003</v>
      </c>
      <c r="M561">
        <v>0.99940659999999903</v>
      </c>
      <c r="N561">
        <v>0</v>
      </c>
      <c r="O561">
        <v>3.1997369999999997E-2</v>
      </c>
      <c r="P561">
        <v>0.99487979999999998</v>
      </c>
      <c r="Q561">
        <v>-7.6782179999999997E-3</v>
      </c>
      <c r="R561">
        <v>0.100774399999999</v>
      </c>
      <c r="S561">
        <v>3.0104980000000001</v>
      </c>
      <c r="T561">
        <v>-0.31237569999999998</v>
      </c>
      <c r="U561">
        <v>2.4749759999999999E-2</v>
      </c>
      <c r="V561">
        <v>-6.8883550000000002E-2</v>
      </c>
      <c r="W561">
        <v>5.0900399999999997E-3</v>
      </c>
      <c r="X561">
        <v>0.99761169999999999</v>
      </c>
      <c r="Y561">
        <v>2.3484430000000001E-2</v>
      </c>
      <c r="Z561">
        <v>-4.5260220000000002E-3</v>
      </c>
      <c r="AA561">
        <v>0.99971399999999999</v>
      </c>
      <c r="AB561">
        <v>29</v>
      </c>
      <c r="AC561">
        <v>0.71230000000002702</v>
      </c>
      <c r="AD561">
        <v>-9.1809000000000002E-2</v>
      </c>
      <c r="AE561">
        <v>1.6999999999711599E-3</v>
      </c>
      <c r="AF561">
        <v>2.07497399148758E-2</v>
      </c>
      <c r="AG561">
        <v>-9.1809000000000002E-2</v>
      </c>
      <c r="AH561">
        <v>0.70035477414331004</v>
      </c>
      <c r="AI561">
        <v>97.465038569079795</v>
      </c>
      <c r="AJ561">
        <v>88.3029674514205</v>
      </c>
      <c r="AK561">
        <v>0.70665143731040603</v>
      </c>
    </row>
    <row r="562" spans="1:37" x14ac:dyDescent="0.2">
      <c r="A562" t="str">
        <f>"20200111155804900"</f>
        <v>20200111155804900</v>
      </c>
      <c r="B562" t="str">
        <f>"1578729484891412"</f>
        <v>1578729484891412</v>
      </c>
      <c r="C562" t="s">
        <v>37</v>
      </c>
      <c r="D562">
        <v>5.8865160000000003</v>
      </c>
      <c r="E562">
        <v>0.55691309999999905</v>
      </c>
      <c r="F562" t="s">
        <v>38</v>
      </c>
      <c r="G562">
        <v>-383.97019999999998</v>
      </c>
      <c r="H562">
        <v>1.0295239999999899</v>
      </c>
      <c r="I562">
        <v>367.83760000000001</v>
      </c>
      <c r="J562">
        <v>-384.4864</v>
      </c>
      <c r="K562">
        <v>1.1039870000000001</v>
      </c>
      <c r="L562">
        <v>367.83839999999998</v>
      </c>
      <c r="M562">
        <v>0.99941190000000002</v>
      </c>
      <c r="N562">
        <v>0</v>
      </c>
      <c r="O562">
        <v>3.1776400000000003E-2</v>
      </c>
      <c r="P562">
        <v>0.99491949999999996</v>
      </c>
      <c r="Q562">
        <v>-7.5926539999999999E-3</v>
      </c>
      <c r="R562">
        <v>0.100387899999999</v>
      </c>
      <c r="S562">
        <v>3.0105900000000001</v>
      </c>
      <c r="T562">
        <v>-0.31117319999999998</v>
      </c>
      <c r="U562">
        <v>2.377319E-2</v>
      </c>
      <c r="V562">
        <v>-6.8717E-2</v>
      </c>
      <c r="W562">
        <v>5.3093819999999996E-3</v>
      </c>
      <c r="X562">
        <v>0.99762209999999996</v>
      </c>
      <c r="Y562">
        <v>2.359087E-2</v>
      </c>
      <c r="Z562">
        <v>-4.4912859999999997E-3</v>
      </c>
      <c r="AA562">
        <v>0.99971160000000003</v>
      </c>
      <c r="AB562">
        <v>29</v>
      </c>
      <c r="AC562">
        <v>0.51620000000002597</v>
      </c>
      <c r="AD562">
        <v>-7.4463000000000099E-2</v>
      </c>
      <c r="AE562">
        <v>-7.9999999996971296E-4</v>
      </c>
      <c r="AF562">
        <v>1.68532428509434E-2</v>
      </c>
      <c r="AG562">
        <v>-7.4463000000000099E-2</v>
      </c>
      <c r="AH562">
        <v>0.505397217374846</v>
      </c>
      <c r="AI562">
        <v>98.376817629252301</v>
      </c>
      <c r="AJ562">
        <v>88.090092363453806</v>
      </c>
      <c r="AK562">
        <v>0.51113121357810898</v>
      </c>
    </row>
    <row r="563" spans="1:37" x14ac:dyDescent="0.2">
      <c r="A563" t="str">
        <f>"20200111155804914"</f>
        <v>20200111155804914</v>
      </c>
      <c r="B563" t="str">
        <f>"1578729484911691"</f>
        <v>1578729484911691</v>
      </c>
      <c r="C563" t="s">
        <v>37</v>
      </c>
      <c r="D563">
        <v>5.7474559999999997</v>
      </c>
      <c r="E563">
        <v>0.57219519999999902</v>
      </c>
      <c r="F563" t="s">
        <v>38</v>
      </c>
      <c r="G563">
        <v>-383.71019999999999</v>
      </c>
      <c r="H563">
        <v>1.0371569999999899</v>
      </c>
      <c r="I563">
        <v>367.80259999999998</v>
      </c>
      <c r="J563">
        <v>-384.31</v>
      </c>
      <c r="K563">
        <v>1.1039889999999899</v>
      </c>
      <c r="L563">
        <v>367.84379999999999</v>
      </c>
      <c r="M563">
        <v>0.99941679999999999</v>
      </c>
      <c r="N563">
        <v>0</v>
      </c>
      <c r="O563">
        <v>3.1582529999999998E-2</v>
      </c>
      <c r="P563">
        <v>0.99496079999999998</v>
      </c>
      <c r="Q563">
        <v>-7.4592510000000001E-3</v>
      </c>
      <c r="R563">
        <v>9.9987690000000004E-2</v>
      </c>
      <c r="S563">
        <v>3.0272830000000002</v>
      </c>
      <c r="T563">
        <v>-0.26082240000000001</v>
      </c>
      <c r="U563">
        <v>-0.13851930000000001</v>
      </c>
      <c r="V563">
        <v>-6.8508529999999998E-2</v>
      </c>
      <c r="W563">
        <v>5.5477969999999897E-3</v>
      </c>
      <c r="X563">
        <v>0.9976351</v>
      </c>
      <c r="Y563">
        <v>7.6837569999999994E-2</v>
      </c>
      <c r="Z563">
        <v>-6.0172189999999999E-3</v>
      </c>
      <c r="AA563">
        <v>0.99702549999999901</v>
      </c>
      <c r="AB563">
        <v>29</v>
      </c>
      <c r="AC563">
        <v>0.59980000000001599</v>
      </c>
      <c r="AD563">
        <v>-6.6832000000000003E-2</v>
      </c>
      <c r="AE563">
        <v>-4.1200000000003401E-2</v>
      </c>
      <c r="AF563">
        <v>5.9390358073823903E-2</v>
      </c>
      <c r="AG563">
        <v>-6.6832000000000003E-2</v>
      </c>
      <c r="AH563">
        <v>0.59089772727717804</v>
      </c>
      <c r="AI563">
        <v>96.420794986767504</v>
      </c>
      <c r="AJ563">
        <v>84.260550948581297</v>
      </c>
      <c r="AK563">
        <v>0.597623506028228</v>
      </c>
    </row>
    <row r="564" spans="1:37" x14ac:dyDescent="0.2">
      <c r="A564" t="str">
        <f>"20200111155804930"</f>
        <v>20200111155804930</v>
      </c>
      <c r="B564" t="str">
        <f>"1578729484921449"</f>
        <v>1578729484921449</v>
      </c>
      <c r="C564" t="s">
        <v>37</v>
      </c>
      <c r="D564">
        <v>5.6843709999999996</v>
      </c>
      <c r="E564">
        <v>0.57674250000000005</v>
      </c>
      <c r="F564" t="s">
        <v>38</v>
      </c>
      <c r="G564">
        <v>-383.45119999999997</v>
      </c>
      <c r="H564">
        <v>1.0421049999999901</v>
      </c>
      <c r="I564">
        <v>367.76949999999999</v>
      </c>
      <c r="J564">
        <v>-384.12360000000001</v>
      </c>
      <c r="K564">
        <v>1.103988</v>
      </c>
      <c r="L564">
        <v>367.84949999999998</v>
      </c>
      <c r="M564">
        <v>0.99942199999999903</v>
      </c>
      <c r="N564">
        <v>0</v>
      </c>
      <c r="O564">
        <v>3.1374850000000003E-2</v>
      </c>
      <c r="P564">
        <v>0.99499119999999996</v>
      </c>
      <c r="Q564">
        <v>-7.6968840000000002E-3</v>
      </c>
      <c r="R564">
        <v>9.9667850000000002E-2</v>
      </c>
      <c r="S564">
        <v>3.0399780000000001</v>
      </c>
      <c r="T564">
        <v>-0.21905450000000001</v>
      </c>
      <c r="U564">
        <v>-0.26315309999999997</v>
      </c>
      <c r="V564">
        <v>-6.8395369999999997E-2</v>
      </c>
      <c r="W564">
        <v>5.413808E-3</v>
      </c>
      <c r="X564">
        <v>0.99764359999999996</v>
      </c>
      <c r="Y564">
        <v>0.1170775</v>
      </c>
      <c r="Z564">
        <v>-6.45924699999999E-3</v>
      </c>
      <c r="AA564">
        <v>0.99310180000000003</v>
      </c>
      <c r="AB564">
        <v>29</v>
      </c>
      <c r="AC564">
        <v>0.67240000000003797</v>
      </c>
      <c r="AD564">
        <v>-6.1883000000000098E-2</v>
      </c>
      <c r="AE564">
        <v>-7.9999999999984001E-2</v>
      </c>
      <c r="AF564">
        <v>0.100221826607822</v>
      </c>
      <c r="AG564">
        <v>-6.1883000000000098E-2</v>
      </c>
      <c r="AH564">
        <v>0.66401297204381005</v>
      </c>
      <c r="AI564">
        <v>95.265035243381604</v>
      </c>
      <c r="AJ564">
        <v>81.416930818601998</v>
      </c>
      <c r="AK564">
        <v>0.67437908275691805</v>
      </c>
    </row>
    <row r="565" spans="1:37" x14ac:dyDescent="0.2">
      <c r="A565" t="str">
        <f>"20200111155804945"</f>
        <v>20200111155804945</v>
      </c>
      <c r="B565" t="str">
        <f>"1578729484941946"</f>
        <v>1578729484941946</v>
      </c>
      <c r="C565" t="s">
        <v>37</v>
      </c>
      <c r="D565">
        <v>5.6550459999999996</v>
      </c>
      <c r="E565">
        <v>0.58182080000000003</v>
      </c>
      <c r="F565" t="s">
        <v>38</v>
      </c>
      <c r="G565">
        <v>-383.19549999999998</v>
      </c>
      <c r="H565">
        <v>1.0400209999999901</v>
      </c>
      <c r="I565">
        <v>367.75720000000001</v>
      </c>
      <c r="J565">
        <v>-383.9162</v>
      </c>
      <c r="K565">
        <v>1.1039889999999899</v>
      </c>
      <c r="L565">
        <v>367.85579999999999</v>
      </c>
      <c r="M565">
        <v>0.99942779999999998</v>
      </c>
      <c r="N565">
        <v>0</v>
      </c>
      <c r="O565">
        <v>3.114142E-2</v>
      </c>
      <c r="P565">
        <v>0.99506219999999901</v>
      </c>
      <c r="Q565">
        <v>-7.1759780000000004E-3</v>
      </c>
      <c r="R565">
        <v>9.8993780000000003E-2</v>
      </c>
      <c r="S565">
        <v>3.0435789999999998</v>
      </c>
      <c r="T565">
        <v>-0.2100766</v>
      </c>
      <c r="U565">
        <v>-0.30120849999999999</v>
      </c>
      <c r="V565">
        <v>-6.7951750000000005E-2</v>
      </c>
      <c r="W565">
        <v>6.0394079999999996E-3</v>
      </c>
      <c r="X565">
        <v>0.99767039999999996</v>
      </c>
      <c r="Y565">
        <v>0.12905139999999901</v>
      </c>
      <c r="Z565">
        <v>-6.5801119999999999E-3</v>
      </c>
      <c r="AA565">
        <v>0.9916161</v>
      </c>
      <c r="AB565">
        <v>29</v>
      </c>
      <c r="AC565">
        <v>0.72070000000002199</v>
      </c>
      <c r="AD565">
        <v>-6.3967999999999997E-2</v>
      </c>
      <c r="AE565">
        <v>-9.8599999999976207E-2</v>
      </c>
      <c r="AF565">
        <v>0.12006922007411699</v>
      </c>
      <c r="AG565">
        <v>-6.3967999999999997E-2</v>
      </c>
      <c r="AH565">
        <v>0.71177523433628398</v>
      </c>
      <c r="AI565">
        <v>95.064266894364806</v>
      </c>
      <c r="AJ565">
        <v>80.424930962507105</v>
      </c>
      <c r="AK565">
        <v>0.72466026995253296</v>
      </c>
    </row>
    <row r="566" spans="1:37" x14ac:dyDescent="0.2">
      <c r="A566" t="str">
        <f>"20200111155804957"</f>
        <v>20200111155804957</v>
      </c>
      <c r="B566" t="str">
        <f>"1578729484951706"</f>
        <v>1578729484951706</v>
      </c>
      <c r="C566" t="s">
        <v>37</v>
      </c>
      <c r="D566">
        <v>5.706944</v>
      </c>
      <c r="E566">
        <v>0.58323789999999998</v>
      </c>
      <c r="F566" t="s">
        <v>39</v>
      </c>
      <c r="G566">
        <v>-366.68099999999998</v>
      </c>
      <c r="H566" s="1">
        <v>-2.101618E-6</v>
      </c>
      <c r="I566">
        <v>365.91030000000001</v>
      </c>
      <c r="J566">
        <v>-383.7534</v>
      </c>
      <c r="K566">
        <v>1.103993</v>
      </c>
      <c r="L566">
        <v>367.86059999999998</v>
      </c>
      <c r="M566">
        <v>0.99943269999999995</v>
      </c>
      <c r="N566">
        <v>0</v>
      </c>
      <c r="O566">
        <v>3.0956819999999999E-2</v>
      </c>
      <c r="P566">
        <v>0.99508240000000003</v>
      </c>
      <c r="Q566">
        <v>-6.9766899999999998E-3</v>
      </c>
      <c r="R566">
        <v>9.8806870000000005E-2</v>
      </c>
      <c r="S566">
        <v>3.0476679999999998</v>
      </c>
      <c r="T566">
        <v>-0.19521529999999901</v>
      </c>
      <c r="U566">
        <v>-0.34399409999999903</v>
      </c>
      <c r="V566">
        <v>-6.7948300000000003E-2</v>
      </c>
      <c r="W566">
        <v>6.3111999999999899E-3</v>
      </c>
      <c r="X566">
        <v>0.99766889999999997</v>
      </c>
      <c r="Y566">
        <v>0.14251820000000001</v>
      </c>
      <c r="Z566">
        <v>-6.5207930000000004E-3</v>
      </c>
      <c r="AA566">
        <v>0.9897707</v>
      </c>
      <c r="AB566">
        <v>28</v>
      </c>
      <c r="AC566">
        <v>17.072399999999998</v>
      </c>
      <c r="AD566">
        <v>-1.1039951016180001</v>
      </c>
      <c r="AE566">
        <v>-1.9502999999999699</v>
      </c>
      <c r="AF566">
        <v>2.4677326146051501</v>
      </c>
      <c r="AG566">
        <v>-1.1039951016180001</v>
      </c>
      <c r="AH566">
        <v>16.933936558956201</v>
      </c>
      <c r="AI566">
        <v>93.691197640562706</v>
      </c>
      <c r="AJ566">
        <v>81.708817911232302</v>
      </c>
      <c r="AK566">
        <v>17.1483735912283</v>
      </c>
    </row>
    <row r="567" spans="1:37" x14ac:dyDescent="0.2">
      <c r="A567" t="str">
        <f>"20200111155804971"</f>
        <v>20200111155804971</v>
      </c>
      <c r="B567" t="str">
        <f>"1578729484961466"</f>
        <v>1578729484961466</v>
      </c>
      <c r="C567" t="s">
        <v>37</v>
      </c>
      <c r="D567">
        <v>5.6605939999999997</v>
      </c>
      <c r="E567">
        <v>0.58444859999999998</v>
      </c>
      <c r="F567" t="s">
        <v>39</v>
      </c>
      <c r="G567">
        <v>-366.12360000000001</v>
      </c>
      <c r="H567" s="1">
        <v>-2.3221030000000001E-6</v>
      </c>
      <c r="I567">
        <v>365.80070000000001</v>
      </c>
      <c r="J567">
        <v>-383.59679999999997</v>
      </c>
      <c r="K567">
        <v>1.103998</v>
      </c>
      <c r="L567">
        <v>367.86529999999999</v>
      </c>
      <c r="M567">
        <v>0.99943719999999903</v>
      </c>
      <c r="N567">
        <v>0</v>
      </c>
      <c r="O567">
        <v>3.0779250000000001E-2</v>
      </c>
      <c r="P567">
        <v>0.99513770000000001</v>
      </c>
      <c r="Q567">
        <v>-6.997306E-3</v>
      </c>
      <c r="R567">
        <v>9.8245399999999997E-2</v>
      </c>
      <c r="S567">
        <v>3.048889</v>
      </c>
      <c r="T567">
        <v>-0.19092379999999901</v>
      </c>
      <c r="U567">
        <v>-0.35623169999999998</v>
      </c>
      <c r="V567">
        <v>-6.7562940000000002E-2</v>
      </c>
      <c r="W567">
        <v>6.3564989999999998E-3</v>
      </c>
      <c r="X567">
        <v>0.99769479999999999</v>
      </c>
      <c r="Y567">
        <v>0.146227</v>
      </c>
      <c r="Z567">
        <v>-6.4783169999999999E-3</v>
      </c>
      <c r="AA567">
        <v>0.9892299</v>
      </c>
      <c r="AB567">
        <v>28</v>
      </c>
      <c r="AC567">
        <v>17.473199999999899</v>
      </c>
      <c r="AD567">
        <v>-1.1040003221029999</v>
      </c>
      <c r="AE567">
        <v>-2.06459999999998</v>
      </c>
      <c r="AF567">
        <v>2.59127944917768</v>
      </c>
      <c r="AG567">
        <v>-1.1040003221029999</v>
      </c>
      <c r="AH567">
        <v>17.333125778730398</v>
      </c>
      <c r="AI567">
        <v>93.604472485935602</v>
      </c>
      <c r="AJ567">
        <v>81.497327835395495</v>
      </c>
      <c r="AK567">
        <v>17.5604896046843</v>
      </c>
    </row>
    <row r="568" spans="1:37" x14ac:dyDescent="0.2">
      <c r="A568" t="str">
        <f>"20200111155804983"</f>
        <v>20200111155804983</v>
      </c>
      <c r="B568" t="str">
        <f>"1578729484971227"</f>
        <v>1578729484971227</v>
      </c>
      <c r="C568" t="s">
        <v>37</v>
      </c>
      <c r="D568">
        <v>5.6781779999999999</v>
      </c>
      <c r="E568">
        <v>0.58539319999999995</v>
      </c>
      <c r="F568" t="s">
        <v>39</v>
      </c>
      <c r="G568">
        <v>-365.64850000000001</v>
      </c>
      <c r="H568" s="1">
        <v>-2.5434769999999999E-6</v>
      </c>
      <c r="I568">
        <v>365.70170000000002</v>
      </c>
      <c r="J568">
        <v>-383.4271</v>
      </c>
      <c r="K568">
        <v>1.104006</v>
      </c>
      <c r="L568">
        <v>367.87029999999999</v>
      </c>
      <c r="M568">
        <v>0.99944230000000001</v>
      </c>
      <c r="N568">
        <v>0</v>
      </c>
      <c r="O568">
        <v>3.058607E-2</v>
      </c>
      <c r="P568">
        <v>0.99515929999999997</v>
      </c>
      <c r="Q568">
        <v>-6.840914E-3</v>
      </c>
      <c r="R568">
        <v>9.8037730000000003E-2</v>
      </c>
      <c r="S568">
        <v>3.0496829999999999</v>
      </c>
      <c r="T568">
        <v>-0.187585</v>
      </c>
      <c r="U568">
        <v>-0.36761470000000002</v>
      </c>
      <c r="V568">
        <v>-6.7546679999999998E-2</v>
      </c>
      <c r="W568">
        <v>6.5786999999999903E-3</v>
      </c>
      <c r="X568">
        <v>0.99769439999999998</v>
      </c>
      <c r="Y568">
        <v>0.14965249999999999</v>
      </c>
      <c r="Z568">
        <v>-6.4552709999999899E-3</v>
      </c>
      <c r="AA568">
        <v>0.98871759999999997</v>
      </c>
      <c r="AB568">
        <v>28</v>
      </c>
      <c r="AC568">
        <v>17.778599999999901</v>
      </c>
      <c r="AD568">
        <v>-1.1040085434769999</v>
      </c>
      <c r="AE568">
        <v>-2.1685999999999601</v>
      </c>
      <c r="AF568">
        <v>2.70114831620171</v>
      </c>
      <c r="AG568">
        <v>-1.1040085434769999</v>
      </c>
      <c r="AH568">
        <v>17.636932700928298</v>
      </c>
      <c r="AI568">
        <v>93.540659321182304</v>
      </c>
      <c r="AJ568">
        <v>81.292640961542403</v>
      </c>
      <c r="AK568">
        <v>17.876700819425999</v>
      </c>
    </row>
    <row r="569" spans="1:37" x14ac:dyDescent="0.2">
      <c r="A569" t="str">
        <f>"20200111155805001"</f>
        <v>20200111155805001</v>
      </c>
      <c r="B569" t="str">
        <f>"1578729484991722"</f>
        <v>1578729484991722</v>
      </c>
      <c r="C569" t="s">
        <v>37</v>
      </c>
      <c r="D569">
        <v>5.8296049999999999</v>
      </c>
      <c r="E569">
        <v>0.58634189999999997</v>
      </c>
      <c r="F569" t="s">
        <v>39</v>
      </c>
      <c r="G569">
        <v>-365.0616</v>
      </c>
      <c r="H569" s="1">
        <v>-2.8119929999999999E-6</v>
      </c>
      <c r="I569">
        <v>365.60730000000001</v>
      </c>
      <c r="J569">
        <v>-383.21120000000002</v>
      </c>
      <c r="K569">
        <v>1.1040190000000001</v>
      </c>
      <c r="L569">
        <v>367.8766</v>
      </c>
      <c r="M569">
        <v>0.99944880000000003</v>
      </c>
      <c r="N569">
        <v>0</v>
      </c>
      <c r="O569">
        <v>3.0339229999999998E-2</v>
      </c>
      <c r="P569">
        <v>0.99521119999999996</v>
      </c>
      <c r="Q569">
        <v>-6.5430999999999996E-3</v>
      </c>
      <c r="R569">
        <v>9.7530450000000005E-2</v>
      </c>
      <c r="S569">
        <v>3.0503230000000001</v>
      </c>
      <c r="T569">
        <v>-0.18336369999999999</v>
      </c>
      <c r="U569">
        <v>-0.37585449999999998</v>
      </c>
      <c r="V569">
        <v>-6.7284369999999996E-2</v>
      </c>
      <c r="W569">
        <v>6.9506250000000002E-3</v>
      </c>
      <c r="X569">
        <v>0.99770959999999997</v>
      </c>
      <c r="Y569">
        <v>0.15202639999999901</v>
      </c>
      <c r="Z569">
        <v>-6.3641879999999998E-3</v>
      </c>
      <c r="AA569">
        <v>0.98835589999999995</v>
      </c>
      <c r="AB569">
        <v>28</v>
      </c>
      <c r="AC569">
        <v>18.1496</v>
      </c>
      <c r="AD569">
        <v>-1.1040218119930001</v>
      </c>
      <c r="AE569">
        <v>-2.2692999999999799</v>
      </c>
      <c r="AF569">
        <v>2.8087173127940899</v>
      </c>
      <c r="AG569">
        <v>-1.1040218119930001</v>
      </c>
      <c r="AH569">
        <v>18.006785907042801</v>
      </c>
      <c r="AI569">
        <v>93.466679600202696</v>
      </c>
      <c r="AJ569">
        <v>81.134384105479896</v>
      </c>
      <c r="AK569">
        <v>18.2579324077679</v>
      </c>
    </row>
    <row r="570" spans="1:37" x14ac:dyDescent="0.2">
      <c r="A570" t="str">
        <f>"20200111155805015"</f>
        <v>20200111155805015</v>
      </c>
      <c r="B570" t="str">
        <f>"1578729485011242"</f>
        <v>1578729485011242</v>
      </c>
      <c r="C570" t="s">
        <v>37</v>
      </c>
      <c r="D570">
        <v>5.7722709999999999</v>
      </c>
      <c r="E570">
        <v>0.58684519999999996</v>
      </c>
      <c r="F570" t="s">
        <v>39</v>
      </c>
      <c r="G570">
        <v>-364.42250000000001</v>
      </c>
      <c r="H570" s="1">
        <v>-3.1043449999999998E-6</v>
      </c>
      <c r="I570">
        <v>365.50479999999999</v>
      </c>
      <c r="J570">
        <v>-383.03769999999997</v>
      </c>
      <c r="K570">
        <v>1.104025</v>
      </c>
      <c r="L570">
        <v>367.88170000000002</v>
      </c>
      <c r="M570">
        <v>0.99945409999999901</v>
      </c>
      <c r="N570">
        <v>0</v>
      </c>
      <c r="O570">
        <v>3.0138910000000001E-2</v>
      </c>
      <c r="P570">
        <v>0.99524650000000003</v>
      </c>
      <c r="Q570">
        <v>-6.4579709999999999E-3</v>
      </c>
      <c r="R570">
        <v>9.7173510000000005E-2</v>
      </c>
      <c r="S570">
        <v>3.050964</v>
      </c>
      <c r="T570">
        <v>-0.17927399999999999</v>
      </c>
      <c r="U570">
        <v>-0.38513179999999902</v>
      </c>
      <c r="V570">
        <v>-6.7126829999999998E-2</v>
      </c>
      <c r="W570">
        <v>7.0903349999999997E-3</v>
      </c>
      <c r="X570">
        <v>0.99771919999999903</v>
      </c>
      <c r="Y570">
        <v>0.1547721</v>
      </c>
      <c r="Z570">
        <v>-6.2886089999999997E-3</v>
      </c>
      <c r="AA570">
        <v>0.98793019999999998</v>
      </c>
      <c r="AB570">
        <v>28</v>
      </c>
      <c r="AC570">
        <v>18.615199999999898</v>
      </c>
      <c r="AD570">
        <v>-1.104028104345</v>
      </c>
      <c r="AE570">
        <v>-2.3769000000000302</v>
      </c>
      <c r="AF570">
        <v>2.9267836530287998</v>
      </c>
      <c r="AG570">
        <v>-1.104028104345</v>
      </c>
      <c r="AH570">
        <v>18.471169520130001</v>
      </c>
      <c r="AI570">
        <v>93.378469885658305</v>
      </c>
      <c r="AJ570">
        <v>80.996254443658401</v>
      </c>
      <c r="AK570">
        <v>18.734167823743899</v>
      </c>
    </row>
    <row r="571" spans="1:37" x14ac:dyDescent="0.2">
      <c r="A571" t="str">
        <f>"20200111155805027"</f>
        <v>20200111155805027</v>
      </c>
      <c r="B571" t="str">
        <f>"1578729485021978"</f>
        <v>1578729485021978</v>
      </c>
      <c r="C571" t="s">
        <v>37</v>
      </c>
      <c r="D571">
        <v>5.8249360000000001</v>
      </c>
      <c r="E571">
        <v>0.58713879999999996</v>
      </c>
      <c r="F571" t="s">
        <v>39</v>
      </c>
      <c r="G571">
        <v>-363.8365</v>
      </c>
      <c r="H571" s="1">
        <v>-3.369802E-6</v>
      </c>
      <c r="I571">
        <v>365.42540000000002</v>
      </c>
      <c r="J571">
        <v>-382.86849999999998</v>
      </c>
      <c r="K571">
        <v>1.1040289999999999</v>
      </c>
      <c r="L571">
        <v>367.88659999999999</v>
      </c>
      <c r="M571">
        <v>0.9994594</v>
      </c>
      <c r="N571">
        <v>0</v>
      </c>
      <c r="O571">
        <v>2.9941470000000001E-2</v>
      </c>
      <c r="P571">
        <v>0.99528899999999998</v>
      </c>
      <c r="Q571">
        <v>-6.2290109999999996E-3</v>
      </c>
      <c r="R571">
        <v>9.6753270000000002E-2</v>
      </c>
      <c r="S571">
        <v>3.0513309999999998</v>
      </c>
      <c r="T571">
        <v>-0.1754445</v>
      </c>
      <c r="U571">
        <v>-0.39031979999999999</v>
      </c>
      <c r="V571">
        <v>-6.6902139999999999E-2</v>
      </c>
      <c r="W571">
        <v>7.3683230000000004E-3</v>
      </c>
      <c r="X571">
        <v>0.99773230000000002</v>
      </c>
      <c r="Y571">
        <v>0.15622649999999999</v>
      </c>
      <c r="Z571">
        <v>-6.1834280000000004E-3</v>
      </c>
      <c r="AA571">
        <v>0.98770190000000002</v>
      </c>
      <c r="AB571">
        <v>28</v>
      </c>
      <c r="AC571">
        <v>19.031999999999901</v>
      </c>
      <c r="AD571">
        <v>-1.104032369802</v>
      </c>
      <c r="AE571">
        <v>-2.4611999999999599</v>
      </c>
      <c r="AF571">
        <v>3.0199995666358501</v>
      </c>
      <c r="AG571">
        <v>-1.104032369802</v>
      </c>
      <c r="AH571">
        <v>18.887255133287901</v>
      </c>
      <c r="AI571">
        <v>93.303482464914893</v>
      </c>
      <c r="AJ571">
        <v>80.9155242653421</v>
      </c>
      <c r="AK571">
        <v>19.1590107084359</v>
      </c>
    </row>
    <row r="572" spans="1:37" x14ac:dyDescent="0.2">
      <c r="A572" t="str">
        <f>"20200111155805046"</f>
        <v>20200111155805046</v>
      </c>
      <c r="B572" t="str">
        <f>"1578729485041498"</f>
        <v>1578729485041498</v>
      </c>
      <c r="C572" t="s">
        <v>37</v>
      </c>
      <c r="D572">
        <v>5.7939939999999996</v>
      </c>
      <c r="E572">
        <v>0.5874064</v>
      </c>
      <c r="F572" t="s">
        <v>39</v>
      </c>
      <c r="G572">
        <v>-363.56060000000002</v>
      </c>
      <c r="H572" s="1">
        <v>-3.4940119999999998E-6</v>
      </c>
      <c r="I572">
        <v>365.39260000000002</v>
      </c>
      <c r="J572">
        <v>-382.64109999999999</v>
      </c>
      <c r="K572">
        <v>1.104034</v>
      </c>
      <c r="L572">
        <v>367.89319999999998</v>
      </c>
      <c r="M572">
        <v>0.99946659999999898</v>
      </c>
      <c r="N572">
        <v>0</v>
      </c>
      <c r="O572">
        <v>2.9671449999999999E-2</v>
      </c>
      <c r="P572">
        <v>0.99532140000000002</v>
      </c>
      <c r="Q572">
        <v>-6.0174109999999899E-3</v>
      </c>
      <c r="R572">
        <v>9.6431970000000006E-2</v>
      </c>
      <c r="S572">
        <v>3.0513919999999999</v>
      </c>
      <c r="T572">
        <v>-0.17447879999999999</v>
      </c>
      <c r="U572">
        <v>-0.3941345</v>
      </c>
      <c r="V572">
        <v>-6.684872E-2</v>
      </c>
      <c r="W572">
        <v>7.639636E-3</v>
      </c>
      <c r="X572">
        <v>0.99773389999999995</v>
      </c>
      <c r="Y572">
        <v>0.15717419999999999</v>
      </c>
      <c r="Z572">
        <v>-6.1604329999999999E-3</v>
      </c>
      <c r="AA572">
        <v>0.98755170000000003</v>
      </c>
      <c r="AB572">
        <v>28</v>
      </c>
      <c r="AC572">
        <v>19.080499999999901</v>
      </c>
      <c r="AD572">
        <v>-1.1040374940119999</v>
      </c>
      <c r="AE572">
        <v>-2.50059999999996</v>
      </c>
      <c r="AF572">
        <v>3.0556399876409301</v>
      </c>
      <c r="AG572">
        <v>-1.1040374940119999</v>
      </c>
      <c r="AH572">
        <v>18.935567872818002</v>
      </c>
      <c r="AI572">
        <v>93.294328802723697</v>
      </c>
      <c r="AJ572">
        <v>80.833181757293502</v>
      </c>
      <c r="AK572">
        <v>19.2122764186952</v>
      </c>
    </row>
    <row r="573" spans="1:37" x14ac:dyDescent="0.2">
      <c r="A573" t="str">
        <f>"20200111155805059"</f>
        <v>20200111155805059</v>
      </c>
      <c r="B573" t="str">
        <f>"1578729485051259"</f>
        <v>1578729485051259</v>
      </c>
      <c r="C573" t="s">
        <v>37</v>
      </c>
      <c r="D573">
        <v>5.8320339999999904</v>
      </c>
      <c r="E573">
        <v>0.58754980000000001</v>
      </c>
      <c r="F573" t="s">
        <v>39</v>
      </c>
      <c r="G573">
        <v>-362.99009999999998</v>
      </c>
      <c r="H573" s="1">
        <v>-3.7491639999999999E-6</v>
      </c>
      <c r="I573">
        <v>365.334</v>
      </c>
      <c r="J573">
        <v>-382.46550000000002</v>
      </c>
      <c r="K573">
        <v>1.104034</v>
      </c>
      <c r="L573">
        <v>367.89819999999997</v>
      </c>
      <c r="M573">
        <v>0.99947249999999999</v>
      </c>
      <c r="N573">
        <v>0</v>
      </c>
      <c r="O573">
        <v>2.945687E-2</v>
      </c>
      <c r="P573">
        <v>0.99534840000000002</v>
      </c>
      <c r="Q573">
        <v>-5.611993E-3</v>
      </c>
      <c r="R573">
        <v>9.6179429999999996E-2</v>
      </c>
      <c r="S573">
        <v>3.0516049999999999</v>
      </c>
      <c r="T573">
        <v>-0.17144499999999999</v>
      </c>
      <c r="U573">
        <v>-0.39739989999999997</v>
      </c>
      <c r="V573">
        <v>-6.6809939999999998E-2</v>
      </c>
      <c r="W573">
        <v>8.085465E-3</v>
      </c>
      <c r="X573">
        <v>0.99773289999999903</v>
      </c>
      <c r="Y573">
        <v>0.15800210000000001</v>
      </c>
      <c r="Z573">
        <v>-6.0637959999999998E-3</v>
      </c>
      <c r="AA573">
        <v>0.98742009999999902</v>
      </c>
      <c r="AB573">
        <v>28</v>
      </c>
      <c r="AC573">
        <v>19.4754</v>
      </c>
      <c r="AD573">
        <v>-1.1040377491640001</v>
      </c>
      <c r="AE573">
        <v>-2.5641999999999698</v>
      </c>
      <c r="AF573">
        <v>3.1269474376543802</v>
      </c>
      <c r="AG573">
        <v>-1.1040377491640001</v>
      </c>
      <c r="AH573">
        <v>19.330344807385298</v>
      </c>
      <c r="AI573">
        <v>93.226994882547302</v>
      </c>
      <c r="AJ573">
        <v>80.811221994091298</v>
      </c>
      <c r="AK573">
        <v>19.612723676272999</v>
      </c>
    </row>
    <row r="574" spans="1:37" x14ac:dyDescent="0.2">
      <c r="A574" t="str">
        <f>"20200111155805072"</f>
        <v>20200111155805072</v>
      </c>
      <c r="B574" t="str">
        <f>"1578729485061995"</f>
        <v>1578729485061995</v>
      </c>
      <c r="C574" t="s">
        <v>37</v>
      </c>
      <c r="D574">
        <v>5.8561389999999998</v>
      </c>
      <c r="E574">
        <v>0.5875823</v>
      </c>
      <c r="F574" t="s">
        <v>39</v>
      </c>
      <c r="G574">
        <v>-362.55279999999999</v>
      </c>
      <c r="H574" s="1">
        <v>-3.9440400000000001E-6</v>
      </c>
      <c r="I574">
        <v>365.29300000000001</v>
      </c>
      <c r="J574">
        <v>-382.31330000000003</v>
      </c>
      <c r="K574">
        <v>1.104036</v>
      </c>
      <c r="L574">
        <v>367.90249999999997</v>
      </c>
      <c r="M574">
        <v>0.99947759999999997</v>
      </c>
      <c r="N574">
        <v>0</v>
      </c>
      <c r="O574">
        <v>2.9267080000000001E-2</v>
      </c>
      <c r="P574">
        <v>0.99536959999999997</v>
      </c>
      <c r="Q574">
        <v>-5.514344E-3</v>
      </c>
      <c r="R574">
        <v>9.5963789999999993E-2</v>
      </c>
      <c r="S574">
        <v>3.0516359999999998</v>
      </c>
      <c r="T574">
        <v>-0.1691936</v>
      </c>
      <c r="U574">
        <v>-0.399231</v>
      </c>
      <c r="V574">
        <v>-6.6782770000000005E-2</v>
      </c>
      <c r="W574">
        <v>8.2156369999999996E-3</v>
      </c>
      <c r="X574">
        <v>0.99773369999999995</v>
      </c>
      <c r="Y574">
        <v>0.15840309999999999</v>
      </c>
      <c r="Z574">
        <v>-5.98458699999999E-3</v>
      </c>
      <c r="AA574">
        <v>0.98735640000000002</v>
      </c>
      <c r="AB574">
        <v>28</v>
      </c>
      <c r="AC574">
        <v>19.7605</v>
      </c>
      <c r="AD574">
        <v>-1.1040399440399999</v>
      </c>
      <c r="AE574">
        <v>-2.6094999999999602</v>
      </c>
      <c r="AF574">
        <v>3.1770211204493601</v>
      </c>
      <c r="AG574">
        <v>-1.1040399440399999</v>
      </c>
      <c r="AH574">
        <v>19.615472266511802</v>
      </c>
      <c r="AI574">
        <v>93.180090270496507</v>
      </c>
      <c r="AJ574">
        <v>80.799977625618595</v>
      </c>
      <c r="AK574">
        <v>19.901736598501</v>
      </c>
    </row>
    <row r="575" spans="1:37" x14ac:dyDescent="0.2">
      <c r="A575" t="str">
        <f>"20200111155805087"</f>
        <v>20200111155805087</v>
      </c>
      <c r="B575" t="str">
        <f>"1578729485081513"</f>
        <v>1578729485081513</v>
      </c>
      <c r="C575" t="s">
        <v>37</v>
      </c>
      <c r="D575">
        <v>5.8302339999999999</v>
      </c>
      <c r="E575">
        <v>0.5876865</v>
      </c>
      <c r="F575" t="s">
        <v>39</v>
      </c>
      <c r="G575">
        <v>-362.3381</v>
      </c>
      <c r="H575" s="1">
        <v>-4.037865E-6</v>
      </c>
      <c r="I575">
        <v>365.2833</v>
      </c>
      <c r="J575">
        <v>-382.12009999999998</v>
      </c>
      <c r="K575">
        <v>1.104033</v>
      </c>
      <c r="L575">
        <v>367.90780000000001</v>
      </c>
      <c r="M575">
        <v>0.99948419999999905</v>
      </c>
      <c r="N575">
        <v>0</v>
      </c>
      <c r="O575">
        <v>2.901981E-2</v>
      </c>
      <c r="P575">
        <v>0.99540130000000004</v>
      </c>
      <c r="Q575">
        <v>-5.152589E-3</v>
      </c>
      <c r="R575">
        <v>9.5654840000000005E-2</v>
      </c>
      <c r="S575">
        <v>3.0516049999999999</v>
      </c>
      <c r="T575">
        <v>-0.16866239999999999</v>
      </c>
      <c r="U575">
        <v>-0.40011599999999897</v>
      </c>
      <c r="V575">
        <v>-6.6719260000000002E-2</v>
      </c>
      <c r="W575">
        <v>8.6161669999999992E-3</v>
      </c>
      <c r="X575">
        <v>0.99773459999999903</v>
      </c>
      <c r="Y575">
        <v>0.1584438</v>
      </c>
      <c r="Z575">
        <v>-5.9532839999999997E-3</v>
      </c>
      <c r="AA575">
        <v>0.98734999999999995</v>
      </c>
      <c r="AB575">
        <v>28</v>
      </c>
      <c r="AC575">
        <v>19.781999999999901</v>
      </c>
      <c r="AD575">
        <v>-1.104037037865</v>
      </c>
      <c r="AE575">
        <v>-2.62450000000001</v>
      </c>
      <c r="AF575">
        <v>3.1877612218479001</v>
      </c>
      <c r="AG575">
        <v>-1.104037037865</v>
      </c>
      <c r="AH575">
        <v>19.637389193737199</v>
      </c>
      <c r="AI575">
        <v>93.176356576229097</v>
      </c>
      <c r="AJ575">
        <v>80.779535952011102</v>
      </c>
      <c r="AK575">
        <v>19.925053920499199</v>
      </c>
    </row>
    <row r="576" spans="1:37" x14ac:dyDescent="0.2">
      <c r="A576" t="str">
        <f>"20200111155805102"</f>
        <v>20200111155805102</v>
      </c>
      <c r="B576" t="str">
        <f>"1578729485091274"</f>
        <v>1578729485091274</v>
      </c>
      <c r="C576" t="s">
        <v>37</v>
      </c>
      <c r="D576">
        <v>5.8696390000000003</v>
      </c>
      <c r="E576">
        <v>0.58766059999999998</v>
      </c>
      <c r="F576" t="s">
        <v>39</v>
      </c>
      <c r="G576">
        <v>-361.89819999999997</v>
      </c>
      <c r="H576" s="1">
        <v>-4.23377599999999E-6</v>
      </c>
      <c r="I576">
        <v>365.24279999999999</v>
      </c>
      <c r="J576">
        <v>-381.9298</v>
      </c>
      <c r="K576">
        <v>1.1040319999999999</v>
      </c>
      <c r="L576">
        <v>367.91309999999999</v>
      </c>
      <c r="M576">
        <v>0.99949120000000002</v>
      </c>
      <c r="N576">
        <v>0</v>
      </c>
      <c r="O576">
        <v>2.8763940000000002E-2</v>
      </c>
      <c r="P576">
        <v>0.99544290000000002</v>
      </c>
      <c r="Q576">
        <v>-4.39811299999999E-3</v>
      </c>
      <c r="R576">
        <v>9.5258120000000002E-2</v>
      </c>
      <c r="S576">
        <v>3.0516049999999999</v>
      </c>
      <c r="T576">
        <v>-0.166604799999999</v>
      </c>
      <c r="U576">
        <v>-0.40216059999999998</v>
      </c>
      <c r="V576">
        <v>-6.6576529999999995E-2</v>
      </c>
      <c r="W576">
        <v>9.4057769999999902E-3</v>
      </c>
      <c r="X576">
        <v>0.99773699999999999</v>
      </c>
      <c r="Y576">
        <v>0.15884799999999999</v>
      </c>
      <c r="Z576">
        <v>-5.8775859999999997E-3</v>
      </c>
      <c r="AA576">
        <v>0.98728559999999999</v>
      </c>
      <c r="AB576">
        <v>28</v>
      </c>
      <c r="AC576">
        <v>20.031600000000001</v>
      </c>
      <c r="AD576">
        <v>-1.1040362337759999</v>
      </c>
      <c r="AE576">
        <v>-2.6702999999999899</v>
      </c>
      <c r="AF576">
        <v>3.2357798864426299</v>
      </c>
      <c r="AG576">
        <v>-1.1040362337759999</v>
      </c>
      <c r="AH576">
        <v>19.8871392522001</v>
      </c>
      <c r="AI576">
        <v>93.136358259305396</v>
      </c>
      <c r="AJ576">
        <v>80.758550278174198</v>
      </c>
      <c r="AK576">
        <v>20.178886865121999</v>
      </c>
    </row>
    <row r="577" spans="1:37" x14ac:dyDescent="0.2">
      <c r="A577" t="str">
        <f>"20200111155805124"</f>
        <v>20200111155805124</v>
      </c>
      <c r="B577" t="str">
        <f>"1578729485111770"</f>
        <v>1578729485111770</v>
      </c>
      <c r="C577" t="s">
        <v>37</v>
      </c>
      <c r="D577">
        <v>5.8655939999999998</v>
      </c>
      <c r="E577">
        <v>0.58773549999999997</v>
      </c>
      <c r="F577" t="s">
        <v>39</v>
      </c>
      <c r="G577">
        <v>-361.31319999999999</v>
      </c>
      <c r="H577" s="1">
        <v>-4.4942990000000001E-6</v>
      </c>
      <c r="I577">
        <v>365.18880000000001</v>
      </c>
      <c r="J577">
        <v>-381.65710000000001</v>
      </c>
      <c r="K577">
        <v>1.1040299999999901</v>
      </c>
      <c r="L577">
        <v>367.9205</v>
      </c>
      <c r="M577">
        <v>0.99950169999999905</v>
      </c>
      <c r="N577">
        <v>0</v>
      </c>
      <c r="O577">
        <v>2.837603E-2</v>
      </c>
      <c r="P577">
        <v>0.99546780000000001</v>
      </c>
      <c r="Q577">
        <v>-3.7972000000000001E-3</v>
      </c>
      <c r="R577">
        <v>9.5023120000000003E-2</v>
      </c>
      <c r="S577">
        <v>3.0516049999999999</v>
      </c>
      <c r="T577">
        <v>-0.1634149</v>
      </c>
      <c r="U577">
        <v>-0.4032288</v>
      </c>
      <c r="V577">
        <v>-6.6726930000000004E-2</v>
      </c>
      <c r="W577">
        <v>1.005138E-2</v>
      </c>
      <c r="X577">
        <v>0.99772070000000002</v>
      </c>
      <c r="Y577">
        <v>0.1588155</v>
      </c>
      <c r="Z577">
        <v>-5.7435319999999896E-3</v>
      </c>
      <c r="AA577">
        <v>0.98729159999999905</v>
      </c>
      <c r="AB577">
        <v>28</v>
      </c>
      <c r="AC577">
        <v>20.343900000000001</v>
      </c>
      <c r="AD577">
        <v>-1.1040344942989999</v>
      </c>
      <c r="AE577">
        <v>-2.73169999999998</v>
      </c>
      <c r="AF577">
        <v>3.2983921051516898</v>
      </c>
      <c r="AG577">
        <v>-1.1040344942989999</v>
      </c>
      <c r="AH577">
        <v>20.199747897024199</v>
      </c>
      <c r="AI577">
        <v>93.087625604158006</v>
      </c>
      <c r="AJ577">
        <v>80.7260884288374</v>
      </c>
      <c r="AK577">
        <v>20.497026558680702</v>
      </c>
    </row>
    <row r="578" spans="1:37" x14ac:dyDescent="0.2">
      <c r="A578" t="str">
        <f>"20200111155805138"</f>
        <v>20200111155805138</v>
      </c>
      <c r="B578" t="str">
        <f>"1578729485132266"</f>
        <v>1578729485132266</v>
      </c>
      <c r="C578" t="s">
        <v>37</v>
      </c>
      <c r="D578">
        <v>5.8521049999999999</v>
      </c>
      <c r="E578">
        <v>0.58770069999999996</v>
      </c>
      <c r="F578" t="s">
        <v>39</v>
      </c>
      <c r="G578">
        <v>-360.7527</v>
      </c>
      <c r="H578" s="1">
        <v>-4.7419180000000004E-6</v>
      </c>
      <c r="I578">
        <v>365.14819999999997</v>
      </c>
      <c r="J578">
        <v>-381.4794</v>
      </c>
      <c r="K578">
        <v>1.1040239999999999</v>
      </c>
      <c r="L578">
        <v>367.92529999999999</v>
      </c>
      <c r="M578">
        <v>0.99950899999999998</v>
      </c>
      <c r="N578">
        <v>0</v>
      </c>
      <c r="O578">
        <v>2.8103510000000002E-2</v>
      </c>
      <c r="P578">
        <v>0.99543579999999998</v>
      </c>
      <c r="Q578">
        <v>-3.6594420000000002E-3</v>
      </c>
      <c r="R578">
        <v>9.5363009999999998E-2</v>
      </c>
      <c r="S578">
        <v>3.051666</v>
      </c>
      <c r="T578">
        <v>-0.16116900000000001</v>
      </c>
      <c r="U578">
        <v>-0.40469359999999999</v>
      </c>
      <c r="V578">
        <v>-6.7339090000000004E-2</v>
      </c>
      <c r="W578">
        <v>1.0214930000000001E-2</v>
      </c>
      <c r="X578">
        <v>0.99767790000000001</v>
      </c>
      <c r="Y578">
        <v>0.15901689999999999</v>
      </c>
      <c r="Z578">
        <v>-5.655378E-3</v>
      </c>
      <c r="AA578">
        <v>0.98725969999999996</v>
      </c>
      <c r="AB578">
        <v>28</v>
      </c>
      <c r="AC578">
        <v>20.726699999999902</v>
      </c>
      <c r="AD578">
        <v>-1.1040287419179999</v>
      </c>
      <c r="AE578">
        <v>-2.7771000000000101</v>
      </c>
      <c r="AF578">
        <v>3.3492167790487701</v>
      </c>
      <c r="AG578">
        <v>-1.1040287419179999</v>
      </c>
      <c r="AH578">
        <v>20.583088191331299</v>
      </c>
      <c r="AI578">
        <v>93.030488606083594</v>
      </c>
      <c r="AJ578">
        <v>80.758005146323001</v>
      </c>
      <c r="AK578">
        <v>20.8829991138286</v>
      </c>
    </row>
    <row r="579" spans="1:37" x14ac:dyDescent="0.2">
      <c r="A579" t="str">
        <f>"20200111155805151"</f>
        <v>20200111155805151</v>
      </c>
      <c r="B579" t="str">
        <f>"1578729485142026"</f>
        <v>1578729485142026</v>
      </c>
      <c r="C579" t="s">
        <v>37</v>
      </c>
      <c r="D579">
        <v>5.8777710000000001</v>
      </c>
      <c r="E579">
        <v>0.58770599999999995</v>
      </c>
      <c r="F579" t="s">
        <v>39</v>
      </c>
      <c r="G579">
        <v>-360.57420000000002</v>
      </c>
      <c r="H579" s="1">
        <v>-4.8158230000000001E-6</v>
      </c>
      <c r="I579">
        <v>365.16340000000002</v>
      </c>
      <c r="J579">
        <v>-381.31049999999999</v>
      </c>
      <c r="K579">
        <v>1.104015</v>
      </c>
      <c r="L579">
        <v>367.92970000000003</v>
      </c>
      <c r="M579">
        <v>0.99951639999999997</v>
      </c>
      <c r="N579">
        <v>0</v>
      </c>
      <c r="O579">
        <v>2.7832860000000001E-2</v>
      </c>
      <c r="P579">
        <v>0.99543579999999998</v>
      </c>
      <c r="Q579">
        <v>-2.901917E-3</v>
      </c>
      <c r="R579">
        <v>9.5389630000000003E-2</v>
      </c>
      <c r="S579">
        <v>3.0517880000000002</v>
      </c>
      <c r="T579">
        <v>-0.16116759999999999</v>
      </c>
      <c r="U579">
        <v>-0.40316770000000002</v>
      </c>
      <c r="V579">
        <v>-6.7634899999999998E-2</v>
      </c>
      <c r="W579">
        <v>1.099547E-2</v>
      </c>
      <c r="X579">
        <v>0.99764959999999903</v>
      </c>
      <c r="Y579">
        <v>0.1582606</v>
      </c>
      <c r="Z579">
        <v>-5.6211880000000001E-3</v>
      </c>
      <c r="AA579">
        <v>0.98738139999999996</v>
      </c>
      <c r="AB579">
        <v>28</v>
      </c>
      <c r="AC579">
        <v>20.7362999999999</v>
      </c>
      <c r="AD579">
        <v>-1.1040198158229999</v>
      </c>
      <c r="AE579">
        <v>-2.7663000000000002</v>
      </c>
      <c r="AF579">
        <v>3.3331512058337398</v>
      </c>
      <c r="AG579">
        <v>-1.1040198158229999</v>
      </c>
      <c r="AH579">
        <v>20.593908879034799</v>
      </c>
      <c r="AI579">
        <v>93.029288633023299</v>
      </c>
      <c r="AJ579">
        <v>80.806328267791997</v>
      </c>
      <c r="AK579">
        <v>20.8910947447153</v>
      </c>
    </row>
    <row r="580" spans="1:37" x14ac:dyDescent="0.2">
      <c r="A580" t="str">
        <f>"20200111155805169"</f>
        <v>20200111155805169</v>
      </c>
      <c r="B580" t="str">
        <f>"1578729485161545"</f>
        <v>1578729485161545</v>
      </c>
      <c r="C580" t="s">
        <v>37</v>
      </c>
      <c r="D580">
        <v>5.8582089999999898</v>
      </c>
      <c r="E580">
        <v>0.58775599999999995</v>
      </c>
      <c r="F580" t="s">
        <v>39</v>
      </c>
      <c r="G580">
        <v>-360.10329999999999</v>
      </c>
      <c r="H580" s="1">
        <v>-5.024111E-6</v>
      </c>
      <c r="I580">
        <v>365.12810000000002</v>
      </c>
      <c r="J580">
        <v>-381.09539999999998</v>
      </c>
      <c r="K580">
        <v>1.104004</v>
      </c>
      <c r="L580">
        <v>367.93540000000002</v>
      </c>
      <c r="M580">
        <v>0.99952609999999997</v>
      </c>
      <c r="N580">
        <v>0</v>
      </c>
      <c r="O580">
        <v>2.7469810000000001E-2</v>
      </c>
      <c r="P580">
        <v>0.99537900000000001</v>
      </c>
      <c r="Q580">
        <v>-2.1548119999999999E-3</v>
      </c>
      <c r="R580">
        <v>9.6001569999999994E-2</v>
      </c>
      <c r="S580">
        <v>3.0519099999999999</v>
      </c>
      <c r="T580">
        <v>-0.15887770000000001</v>
      </c>
      <c r="U580">
        <v>-0.40316770000000002</v>
      </c>
      <c r="V580">
        <v>-6.860948E-2</v>
      </c>
      <c r="W580">
        <v>1.176933E-2</v>
      </c>
      <c r="X580">
        <v>0.99757419999999997</v>
      </c>
      <c r="Y580">
        <v>0.15790499999999999</v>
      </c>
      <c r="Z580">
        <v>-5.513179E-3</v>
      </c>
      <c r="AA580">
        <v>0.98743890000000001</v>
      </c>
      <c r="AB580">
        <v>28</v>
      </c>
      <c r="AC580">
        <v>20.992099999999901</v>
      </c>
      <c r="AD580">
        <v>-1.1040090241110001</v>
      </c>
      <c r="AE580">
        <v>-2.8072999999999899</v>
      </c>
      <c r="AF580">
        <v>3.3737775489797301</v>
      </c>
      <c r="AG580">
        <v>-1.1040090241110001</v>
      </c>
      <c r="AH580">
        <v>20.850396849858299</v>
      </c>
      <c r="AI580">
        <v>92.992083267453907</v>
      </c>
      <c r="AJ580">
        <v>80.808702345421906</v>
      </c>
      <c r="AK580">
        <v>21.1504198462323</v>
      </c>
    </row>
    <row r="581" spans="1:37" x14ac:dyDescent="0.2">
      <c r="A581" t="str">
        <f>"20200111155805182"</f>
        <v>20200111155805182</v>
      </c>
      <c r="B581" t="str">
        <f>"1578729485171306"</f>
        <v>1578729485171306</v>
      </c>
      <c r="C581" t="s">
        <v>37</v>
      </c>
      <c r="D581">
        <v>5.8509659999999997</v>
      </c>
      <c r="E581">
        <v>0.58777489999999999</v>
      </c>
      <c r="F581" t="s">
        <v>39</v>
      </c>
      <c r="G581">
        <v>-359.69690000000003</v>
      </c>
      <c r="H581" s="1">
        <v>-1.2858609999999901E-6</v>
      </c>
      <c r="I581">
        <v>365.1189</v>
      </c>
      <c r="J581">
        <v>-380.92899999999997</v>
      </c>
      <c r="K581">
        <v>1.1039920000000001</v>
      </c>
      <c r="L581">
        <v>367.93959999999998</v>
      </c>
      <c r="M581">
        <v>0.99953400000000003</v>
      </c>
      <c r="N581">
        <v>0</v>
      </c>
      <c r="O581">
        <v>2.7173760000000002E-2</v>
      </c>
      <c r="P581">
        <v>0.99538320000000002</v>
      </c>
      <c r="Q581">
        <v>-1.751889E-3</v>
      </c>
      <c r="R581">
        <v>9.5965499999999995E-2</v>
      </c>
      <c r="S581">
        <v>3.0523069999999999</v>
      </c>
      <c r="T581">
        <v>-0.15747610000000001</v>
      </c>
      <c r="U581">
        <v>-0.40173340000000002</v>
      </c>
      <c r="V581">
        <v>-6.8867910000000004E-2</v>
      </c>
      <c r="W581">
        <v>1.2191769999999999E-2</v>
      </c>
      <c r="X581">
        <v>0.99755130000000003</v>
      </c>
      <c r="Y581">
        <v>0.1571456</v>
      </c>
      <c r="Z581">
        <v>-5.4293639999999999E-3</v>
      </c>
      <c r="AA581">
        <v>0.98756049999999995</v>
      </c>
      <c r="AB581">
        <v>28</v>
      </c>
      <c r="AC581">
        <v>21.232099999999999</v>
      </c>
      <c r="AD581">
        <v>-1.103993285861</v>
      </c>
      <c r="AE581">
        <v>-2.82069999999998</v>
      </c>
      <c r="AF581">
        <v>3.3876698127733298</v>
      </c>
      <c r="AG581">
        <v>-1.103993285861</v>
      </c>
      <c r="AH581">
        <v>21.091566788667201</v>
      </c>
      <c r="AI581">
        <v>92.958442385799799</v>
      </c>
      <c r="AJ581">
        <v>80.875242404458007</v>
      </c>
      <c r="AK581">
        <v>21.390401995671201</v>
      </c>
    </row>
    <row r="582" spans="1:37" x14ac:dyDescent="0.2">
      <c r="A582" t="str">
        <f>"20200111155805194"</f>
        <v>20200111155805194</v>
      </c>
      <c r="B582" t="str">
        <f>"1578729485191802"</f>
        <v>1578729485191802</v>
      </c>
      <c r="C582" t="s">
        <v>37</v>
      </c>
      <c r="D582">
        <v>5.8795580000000003</v>
      </c>
      <c r="E582">
        <v>0.58781879999999997</v>
      </c>
      <c r="F582" t="s">
        <v>39</v>
      </c>
      <c r="G582">
        <v>-359.46420000000001</v>
      </c>
      <c r="H582" s="1">
        <v>-1.366354E-6</v>
      </c>
      <c r="I582">
        <v>365.11410000000001</v>
      </c>
      <c r="J582">
        <v>-380.77550000000002</v>
      </c>
      <c r="K582">
        <v>1.1039809999999901</v>
      </c>
      <c r="L582">
        <v>367.94349999999997</v>
      </c>
      <c r="M582">
        <v>0.99954149999999997</v>
      </c>
      <c r="N582">
        <v>0</v>
      </c>
      <c r="O582">
        <v>2.6888209999999999E-2</v>
      </c>
      <c r="P582">
        <v>0.99539230000000001</v>
      </c>
      <c r="Q582">
        <v>-1.6171600000000001E-3</v>
      </c>
      <c r="R582">
        <v>9.5874790000000001E-2</v>
      </c>
      <c r="S582">
        <v>3.052368</v>
      </c>
      <c r="T582">
        <v>-0.1569902</v>
      </c>
      <c r="U582">
        <v>-0.4017944</v>
      </c>
      <c r="V582">
        <v>-6.9061380000000006E-2</v>
      </c>
      <c r="W582">
        <v>1.234244E-2</v>
      </c>
      <c r="X582">
        <v>0.99753609999999904</v>
      </c>
      <c r="Y582">
        <v>0.15688250000000001</v>
      </c>
      <c r="Z582">
        <v>-5.391163E-3</v>
      </c>
      <c r="AA582">
        <v>0.9876026</v>
      </c>
      <c r="AB582">
        <v>28</v>
      </c>
      <c r="AC582">
        <v>21.311299999999999</v>
      </c>
      <c r="AD582">
        <v>-1.1039823663539901</v>
      </c>
      <c r="AE582">
        <v>-2.8293999999999602</v>
      </c>
      <c r="AF582">
        <v>3.3925089050367498</v>
      </c>
      <c r="AG582">
        <v>-1.1039823663539901</v>
      </c>
      <c r="AH582">
        <v>21.171677999939199</v>
      </c>
      <c r="AI582">
        <v>92.947413139873007</v>
      </c>
      <c r="AJ582">
        <v>80.896423424542604</v>
      </c>
      <c r="AK582">
        <v>21.470161691731199</v>
      </c>
    </row>
    <row r="583" spans="1:37" x14ac:dyDescent="0.2">
      <c r="A583" t="str">
        <f>"20200111155805213"</f>
        <v>20200111155805213</v>
      </c>
      <c r="B583" t="str">
        <f>"1578729485202068"</f>
        <v>1578729485202068</v>
      </c>
      <c r="C583" t="s">
        <v>37</v>
      </c>
      <c r="D583">
        <v>5.8702559999999897</v>
      </c>
      <c r="E583">
        <v>0.5878795</v>
      </c>
      <c r="F583" t="s">
        <v>39</v>
      </c>
      <c r="G583">
        <v>-359.44970000000001</v>
      </c>
      <c r="H583" s="1">
        <v>-1.3662799999999901E-6</v>
      </c>
      <c r="I583">
        <v>365.13290000000001</v>
      </c>
      <c r="J583">
        <v>-380.54399999999998</v>
      </c>
      <c r="K583">
        <v>1.103966</v>
      </c>
      <c r="L583">
        <v>367.94929999999999</v>
      </c>
      <c r="M583">
        <v>0.99955309999999897</v>
      </c>
      <c r="N583">
        <v>0</v>
      </c>
      <c r="O583">
        <v>2.6442179999999999E-2</v>
      </c>
      <c r="P583">
        <v>0.99541740000000001</v>
      </c>
      <c r="Q583">
        <v>-1.53895299999999E-3</v>
      </c>
      <c r="R583">
        <v>9.5614519999999995E-2</v>
      </c>
      <c r="S583">
        <v>3.0523989999999999</v>
      </c>
      <c r="T583">
        <v>-0.15801399999999999</v>
      </c>
      <c r="U583">
        <v>-0.40228269999999999</v>
      </c>
      <c r="V583">
        <v>-6.9245379999999995E-2</v>
      </c>
      <c r="W583">
        <v>1.244257E-2</v>
      </c>
      <c r="X583">
        <v>0.99752209999999997</v>
      </c>
      <c r="Y583">
        <v>0.1565937</v>
      </c>
      <c r="Z583">
        <v>-5.3957390000000001E-3</v>
      </c>
      <c r="AA583">
        <v>0.98764839999999998</v>
      </c>
      <c r="AB583">
        <v>28</v>
      </c>
      <c r="AC583">
        <v>21.0943</v>
      </c>
      <c r="AD583">
        <v>-1.10396736627999</v>
      </c>
      <c r="AE583">
        <v>-2.8163999999999798</v>
      </c>
      <c r="AF583">
        <v>3.3641955989289398</v>
      </c>
      <c r="AG583">
        <v>-1.10396736627999</v>
      </c>
      <c r="AH583">
        <v>20.9560517548605</v>
      </c>
      <c r="AI583">
        <v>92.977507365525398</v>
      </c>
      <c r="AJ583">
        <v>80.879795275203705</v>
      </c>
      <c r="AK583">
        <v>21.2530623940658</v>
      </c>
    </row>
    <row r="584" spans="1:37" x14ac:dyDescent="0.2">
      <c r="A584" t="str">
        <f>"20200111155805226"</f>
        <v>20200111155805226</v>
      </c>
      <c r="B584" t="str">
        <f>"1578729485221588"</f>
        <v>1578729485221588</v>
      </c>
      <c r="C584" t="s">
        <v>37</v>
      </c>
      <c r="D584">
        <v>5.9021939999999997</v>
      </c>
      <c r="E584">
        <v>0.5879337</v>
      </c>
      <c r="F584" t="s">
        <v>39</v>
      </c>
      <c r="G584">
        <v>-359.30669999999998</v>
      </c>
      <c r="H584" s="1">
        <v>-1.412629E-6</v>
      </c>
      <c r="I584">
        <v>365.14159999999998</v>
      </c>
      <c r="J584">
        <v>-380.37090000000001</v>
      </c>
      <c r="K584">
        <v>1.103961</v>
      </c>
      <c r="L584">
        <v>367.95350000000002</v>
      </c>
      <c r="M584">
        <v>0.99956199999999995</v>
      </c>
      <c r="N584">
        <v>0</v>
      </c>
      <c r="O584">
        <v>2.6097160000000001E-2</v>
      </c>
      <c r="P584">
        <v>0.99543760000000003</v>
      </c>
      <c r="Q584">
        <v>-1.51385E-3</v>
      </c>
      <c r="R584">
        <v>9.5403379999999996E-2</v>
      </c>
      <c r="S584">
        <v>3.052368</v>
      </c>
      <c r="T584">
        <v>-0.1586688</v>
      </c>
      <c r="U584">
        <v>-0.4035339</v>
      </c>
      <c r="V584">
        <v>-6.9377090000000002E-2</v>
      </c>
      <c r="W584">
        <v>1.248262E-2</v>
      </c>
      <c r="X584">
        <v>0.99751239999999997</v>
      </c>
      <c r="Y584">
        <v>0.1566504</v>
      </c>
      <c r="Z584">
        <v>-5.4015859999999999E-3</v>
      </c>
      <c r="AA584">
        <v>0.98763939999999995</v>
      </c>
      <c r="AB584">
        <v>28</v>
      </c>
      <c r="AC584">
        <v>21.0642</v>
      </c>
      <c r="AD584">
        <v>-1.103962412629</v>
      </c>
      <c r="AE584">
        <v>-2.8119000000000298</v>
      </c>
      <c r="AF584">
        <v>3.3516664480018998</v>
      </c>
      <c r="AG584">
        <v>-1.103962412629</v>
      </c>
      <c r="AH584">
        <v>20.927159403423101</v>
      </c>
      <c r="AI584">
        <v>92.981772830361507</v>
      </c>
      <c r="AJ584">
        <v>80.9008579500926</v>
      </c>
      <c r="AK584">
        <v>21.222591775828</v>
      </c>
    </row>
    <row r="585" spans="1:37" x14ac:dyDescent="0.2">
      <c r="A585" t="str">
        <f>"20200111155805239"</f>
        <v>20200111155805239</v>
      </c>
      <c r="B585" t="str">
        <f>"1578729485231349"</f>
        <v>1578729485231349</v>
      </c>
      <c r="C585" t="s">
        <v>37</v>
      </c>
      <c r="D585">
        <v>6.0006490000000001</v>
      </c>
      <c r="E585">
        <v>0.58792129999999998</v>
      </c>
      <c r="F585" t="s">
        <v>39</v>
      </c>
      <c r="G585">
        <v>-359.27359999999999</v>
      </c>
      <c r="H585" s="1">
        <v>-1.419489E-6</v>
      </c>
      <c r="I585">
        <v>365.15809999999999</v>
      </c>
      <c r="J585">
        <v>-380.20740000000001</v>
      </c>
      <c r="K585">
        <v>1.1039540000000001</v>
      </c>
      <c r="L585">
        <v>367.95740000000001</v>
      </c>
      <c r="M585">
        <v>0.99957050000000003</v>
      </c>
      <c r="N585">
        <v>0</v>
      </c>
      <c r="O585">
        <v>2.575966E-2</v>
      </c>
      <c r="P585">
        <v>0.99548239999999999</v>
      </c>
      <c r="Q585">
        <v>-1.5704320000000001E-3</v>
      </c>
      <c r="R585">
        <v>9.4932649999999993E-2</v>
      </c>
      <c r="S585">
        <v>3.0522770000000001</v>
      </c>
      <c r="T585">
        <v>-0.15971629999999901</v>
      </c>
      <c r="U585">
        <v>-0.40441890000000003</v>
      </c>
      <c r="V585">
        <v>-6.9242040000000005E-2</v>
      </c>
      <c r="W585">
        <v>1.24377999999999E-2</v>
      </c>
      <c r="X585">
        <v>0.99752240000000003</v>
      </c>
      <c r="Y585">
        <v>0.1565995</v>
      </c>
      <c r="Z585">
        <v>-5.41835199999999E-3</v>
      </c>
      <c r="AA585">
        <v>0.98764730000000001</v>
      </c>
      <c r="AB585">
        <v>28</v>
      </c>
      <c r="AC585">
        <v>20.933800000000002</v>
      </c>
      <c r="AD585">
        <v>-1.103955419489</v>
      </c>
      <c r="AE585">
        <v>-2.7993000000000099</v>
      </c>
      <c r="AF585">
        <v>3.3285768563377802</v>
      </c>
      <c r="AG585">
        <v>-1.103955419489</v>
      </c>
      <c r="AH585">
        <v>20.797912321092799</v>
      </c>
      <c r="AI585">
        <v>93.000303826282305</v>
      </c>
      <c r="AJ585">
        <v>80.907276352584205</v>
      </c>
      <c r="AK585">
        <v>21.091498248645799</v>
      </c>
    </row>
    <row r="586" spans="1:37" x14ac:dyDescent="0.2">
      <c r="A586" t="str">
        <f>"20200111155805251"</f>
        <v>20200111155805251</v>
      </c>
      <c r="B586" t="str">
        <f>"1578729485242085"</f>
        <v>1578729485242085</v>
      </c>
      <c r="C586" t="s">
        <v>37</v>
      </c>
      <c r="D586">
        <v>5.9012890000000002</v>
      </c>
      <c r="E586">
        <v>0.58792339999999998</v>
      </c>
      <c r="F586" t="s">
        <v>39</v>
      </c>
      <c r="G586">
        <v>-359.11619999999999</v>
      </c>
      <c r="H586" s="1">
        <v>-1.4747269999999999E-6</v>
      </c>
      <c r="I586">
        <v>365.15190000000001</v>
      </c>
      <c r="J586">
        <v>-380.05939999999998</v>
      </c>
      <c r="K586">
        <v>1.103952</v>
      </c>
      <c r="L586">
        <v>367.96080000000001</v>
      </c>
      <c r="M586">
        <v>0.99957839999999998</v>
      </c>
      <c r="N586">
        <v>0</v>
      </c>
      <c r="O586">
        <v>2.5449590000000001E-2</v>
      </c>
      <c r="P586">
        <v>0.99554819999999999</v>
      </c>
      <c r="Q586">
        <v>-2.041902E-3</v>
      </c>
      <c r="R586">
        <v>9.4232560000000007E-2</v>
      </c>
      <c r="S586">
        <v>3.0520939999999999</v>
      </c>
      <c r="T586">
        <v>-0.15975149999999999</v>
      </c>
      <c r="U586">
        <v>-0.40597529999999998</v>
      </c>
      <c r="V586">
        <v>-6.885049E-2</v>
      </c>
      <c r="W586">
        <v>1.197578E-2</v>
      </c>
      <c r="X586">
        <v>0.99755509999999903</v>
      </c>
      <c r="Y586">
        <v>0.15679579999999901</v>
      </c>
      <c r="Z586">
        <v>-5.408642E-3</v>
      </c>
      <c r="AA586">
        <v>0.98761620000000006</v>
      </c>
      <c r="AB586">
        <v>28</v>
      </c>
      <c r="AC586">
        <v>20.943199999999901</v>
      </c>
      <c r="AD586">
        <v>-1.1039534747269999</v>
      </c>
      <c r="AE586">
        <v>-2.8088999999999902</v>
      </c>
      <c r="AF586">
        <v>3.33194363398745</v>
      </c>
      <c r="AG586">
        <v>-1.1039534747269999</v>
      </c>
      <c r="AH586">
        <v>20.808128544478901</v>
      </c>
      <c r="AI586">
        <v>92.998789291653196</v>
      </c>
      <c r="AJ586">
        <v>80.902627119464995</v>
      </c>
      <c r="AK586">
        <v>21.1021035723453</v>
      </c>
    </row>
    <row r="587" spans="1:37" x14ac:dyDescent="0.2">
      <c r="A587" t="str">
        <f>"20200111155805270"</f>
        <v>20200111155805270</v>
      </c>
      <c r="B587" t="str">
        <f>"1578729485261604"</f>
        <v>1578729485261604</v>
      </c>
      <c r="C587" t="s">
        <v>37</v>
      </c>
      <c r="D587">
        <v>5.8904579999999997</v>
      </c>
      <c r="E587">
        <v>0.5879877</v>
      </c>
      <c r="F587" t="s">
        <v>39</v>
      </c>
      <c r="G587">
        <v>-359.26190000000003</v>
      </c>
      <c r="H587" s="1">
        <v>-1.417502E-6</v>
      </c>
      <c r="I587">
        <v>365.18049999999999</v>
      </c>
      <c r="J587">
        <v>-379.82810000000001</v>
      </c>
      <c r="K587">
        <v>1.1039459999999901</v>
      </c>
      <c r="L587">
        <v>367.96620000000001</v>
      </c>
      <c r="M587">
        <v>0.999590599999999</v>
      </c>
      <c r="N587">
        <v>0</v>
      </c>
      <c r="O587">
        <v>2.4957380000000001E-2</v>
      </c>
      <c r="P587">
        <v>0.99566960000000004</v>
      </c>
      <c r="Q587">
        <v>-2.161151E-3</v>
      </c>
      <c r="R587">
        <v>9.293672E-2</v>
      </c>
      <c r="S587">
        <v>3.0516969999999999</v>
      </c>
      <c r="T587">
        <v>-0.16198650000000001</v>
      </c>
      <c r="U587">
        <v>-0.40795900000000002</v>
      </c>
      <c r="V587">
        <v>-6.8042850000000002E-2</v>
      </c>
      <c r="W587">
        <v>1.1869930000000001E-2</v>
      </c>
      <c r="X587">
        <v>0.99761180000000005</v>
      </c>
      <c r="Y587">
        <v>0.1569506</v>
      </c>
      <c r="Z587">
        <v>-5.46275699999999E-3</v>
      </c>
      <c r="AA587">
        <v>0.98759129999999995</v>
      </c>
      <c r="AB587">
        <v>28</v>
      </c>
      <c r="AC587">
        <v>20.566199999999899</v>
      </c>
      <c r="AD587">
        <v>-1.1039474175020001</v>
      </c>
      <c r="AE587">
        <v>-2.7857000000000198</v>
      </c>
      <c r="AF587">
        <v>3.2888553877238298</v>
      </c>
      <c r="AG587">
        <v>-1.1039474175020001</v>
      </c>
      <c r="AH587">
        <v>20.432450734441101</v>
      </c>
      <c r="AI587">
        <v>93.053407408755405</v>
      </c>
      <c r="AJ587">
        <v>80.855968609390601</v>
      </c>
      <c r="AK587">
        <v>20.724871837416298</v>
      </c>
    </row>
    <row r="588" spans="1:37" x14ac:dyDescent="0.2">
      <c r="A588" t="str">
        <f>"20200111155805284"</f>
        <v>20200111155805284</v>
      </c>
      <c r="B588" t="str">
        <f>"1578729485271365"</f>
        <v>1578729485271365</v>
      </c>
      <c r="C588" t="s">
        <v>37</v>
      </c>
      <c r="D588">
        <v>5.9080129999999897</v>
      </c>
      <c r="E588">
        <v>0.58802690000000002</v>
      </c>
      <c r="F588" t="s">
        <v>39</v>
      </c>
      <c r="G588">
        <v>-359.24520000000001</v>
      </c>
      <c r="H588" s="1">
        <v>-1.4225210000000001E-6</v>
      </c>
      <c r="I588">
        <v>365.18299999999999</v>
      </c>
      <c r="J588">
        <v>-379.65620000000001</v>
      </c>
      <c r="K588">
        <v>1.1039410000000001</v>
      </c>
      <c r="L588">
        <v>367.9701</v>
      </c>
      <c r="M588">
        <v>0.99959979999999904</v>
      </c>
      <c r="N588">
        <v>0</v>
      </c>
      <c r="O588">
        <v>2.458782E-2</v>
      </c>
      <c r="P588">
        <v>0.99573049999999996</v>
      </c>
      <c r="Q588">
        <v>-2.3378169999999998E-3</v>
      </c>
      <c r="R588">
        <v>9.2279829999999993E-2</v>
      </c>
      <c r="S588">
        <v>3.0512079999999999</v>
      </c>
      <c r="T588">
        <v>-0.1636483</v>
      </c>
      <c r="U588">
        <v>-0.41256709999999902</v>
      </c>
      <c r="V588">
        <v>-6.7753759999999996E-2</v>
      </c>
      <c r="W588">
        <v>1.1701619999999999E-2</v>
      </c>
      <c r="X588">
        <v>0.99763349999999995</v>
      </c>
      <c r="Y588">
        <v>0.15806489999999901</v>
      </c>
      <c r="Z588">
        <v>-5.529043E-3</v>
      </c>
      <c r="AA588">
        <v>0.98741319999999999</v>
      </c>
      <c r="AB588">
        <v>28</v>
      </c>
      <c r="AC588">
        <v>20.411000000000001</v>
      </c>
      <c r="AD588">
        <v>-1.1039424225209999</v>
      </c>
      <c r="AE588">
        <v>-2.78709999999995</v>
      </c>
      <c r="AF588">
        <v>3.2787526854858502</v>
      </c>
      <c r="AG588">
        <v>-1.1039424225209999</v>
      </c>
      <c r="AH588">
        <v>20.278059808893399</v>
      </c>
      <c r="AI588">
        <v>93.076245591800898</v>
      </c>
      <c r="AJ588">
        <v>80.815353890541502</v>
      </c>
      <c r="AK588">
        <v>20.571062628310699</v>
      </c>
    </row>
    <row r="589" spans="1:37" x14ac:dyDescent="0.2">
      <c r="A589" t="str">
        <f>"20200111155805302"</f>
        <v>20200111155805302</v>
      </c>
      <c r="B589" t="str">
        <f>"1578729485291861"</f>
        <v>1578729485291861</v>
      </c>
      <c r="C589" t="s">
        <v>37</v>
      </c>
      <c r="D589">
        <v>5.9048600000000002</v>
      </c>
      <c r="E589">
        <v>0.58805879999999999</v>
      </c>
      <c r="F589" t="s">
        <v>39</v>
      </c>
      <c r="G589">
        <v>-359.22280000000001</v>
      </c>
      <c r="H589" s="1">
        <v>-1.4274770000000001E-6</v>
      </c>
      <c r="I589">
        <v>365.19299999999998</v>
      </c>
      <c r="J589">
        <v>-379.42680000000001</v>
      </c>
      <c r="K589">
        <v>1.103942</v>
      </c>
      <c r="L589">
        <v>367.9753</v>
      </c>
      <c r="M589">
        <v>0.99961169999999999</v>
      </c>
      <c r="N589">
        <v>0</v>
      </c>
      <c r="O589">
        <v>2.409246E-2</v>
      </c>
      <c r="P589">
        <v>0.995784</v>
      </c>
      <c r="Q589">
        <v>-2.5527499999999999E-3</v>
      </c>
      <c r="R589">
        <v>9.1692659999999995E-2</v>
      </c>
      <c r="S589">
        <v>3.0509029999999999</v>
      </c>
      <c r="T589">
        <v>-0.164828799999999</v>
      </c>
      <c r="U589">
        <v>-0.41464229999999902</v>
      </c>
      <c r="V589">
        <v>-6.7659739999999996E-2</v>
      </c>
      <c r="W589">
        <v>1.149612E-2</v>
      </c>
      <c r="X589">
        <v>0.99764219999999904</v>
      </c>
      <c r="Y589">
        <v>0.15824489999999999</v>
      </c>
      <c r="Z589">
        <v>-5.5473700000000003E-3</v>
      </c>
      <c r="AA589">
        <v>0.98738429999999999</v>
      </c>
      <c r="AB589">
        <v>28</v>
      </c>
      <c r="AC589">
        <v>20.204000000000001</v>
      </c>
      <c r="AD589">
        <v>-1.1039434274769999</v>
      </c>
      <c r="AE589">
        <v>-2.7822999999999598</v>
      </c>
      <c r="AF589">
        <v>3.2587560205304702</v>
      </c>
      <c r="AG589">
        <v>-1.1039434274769999</v>
      </c>
      <c r="AH589">
        <v>20.072284541587599</v>
      </c>
      <c r="AI589">
        <v>93.107399857639194</v>
      </c>
      <c r="AJ589">
        <v>80.778429853442702</v>
      </c>
      <c r="AK589">
        <v>20.365038389624299</v>
      </c>
    </row>
    <row r="590" spans="1:37" x14ac:dyDescent="0.2">
      <c r="A590" t="str">
        <f>"20200111155805315"</f>
        <v>20200111155805315</v>
      </c>
      <c r="B590" t="str">
        <f>"1578729485311381"</f>
        <v>1578729485311381</v>
      </c>
      <c r="C590" t="s">
        <v>37</v>
      </c>
      <c r="D590">
        <v>5.8884259999999999</v>
      </c>
      <c r="E590">
        <v>0.58804239999999997</v>
      </c>
      <c r="F590" t="s">
        <v>39</v>
      </c>
      <c r="G590">
        <v>-359.08640000000003</v>
      </c>
      <c r="H590" s="1">
        <v>-1.472887E-6</v>
      </c>
      <c r="I590">
        <v>365.1968</v>
      </c>
      <c r="J590">
        <v>-379.26920000000001</v>
      </c>
      <c r="K590">
        <v>1.1039459999999901</v>
      </c>
      <c r="L590">
        <v>367.97859999999997</v>
      </c>
      <c r="M590">
        <v>0.99961979999999995</v>
      </c>
      <c r="N590">
        <v>0</v>
      </c>
      <c r="O590">
        <v>2.375184E-2</v>
      </c>
      <c r="P590">
        <v>0.99580069999999998</v>
      </c>
      <c r="Q590">
        <v>-2.5641969999999998E-3</v>
      </c>
      <c r="R590">
        <v>9.1512609999999994E-2</v>
      </c>
      <c r="S590">
        <v>3.0505979999999999</v>
      </c>
      <c r="T590">
        <v>-0.165565299999999</v>
      </c>
      <c r="U590">
        <v>-0.41668699999999997</v>
      </c>
      <c r="V590">
        <v>-6.7819589999999999E-2</v>
      </c>
      <c r="W590">
        <v>1.14904E-2</v>
      </c>
      <c r="X590">
        <v>0.99763139999999995</v>
      </c>
      <c r="Y590">
        <v>0.15856909999999999</v>
      </c>
      <c r="Z590">
        <v>-5.5627740000000004E-3</v>
      </c>
      <c r="AA590">
        <v>0.98733219999999999</v>
      </c>
      <c r="AB590">
        <v>28</v>
      </c>
      <c r="AC590">
        <v>20.182799999999901</v>
      </c>
      <c r="AD590">
        <v>-1.10394747288699</v>
      </c>
      <c r="AE590">
        <v>-2.7817999999999699</v>
      </c>
      <c r="AF590">
        <v>3.2508959674417599</v>
      </c>
      <c r="AG590">
        <v>-1.10394747288699</v>
      </c>
      <c r="AH590">
        <v>20.052151879707399</v>
      </c>
      <c r="AI590">
        <v>93.110637355537193</v>
      </c>
      <c r="AJ590">
        <v>80.791212849381907</v>
      </c>
      <c r="AK590">
        <v>20.343938154174399</v>
      </c>
    </row>
    <row r="591" spans="1:37" x14ac:dyDescent="0.2">
      <c r="A591" t="str">
        <f>"20200111155805327"</f>
        <v>20200111155805327</v>
      </c>
      <c r="B591" t="str">
        <f>"1578729485322117"</f>
        <v>1578729485322117</v>
      </c>
      <c r="C591" t="s">
        <v>37</v>
      </c>
      <c r="D591">
        <v>5.9162189999999999</v>
      </c>
      <c r="E591">
        <v>0.58804679999999998</v>
      </c>
      <c r="F591" t="s">
        <v>39</v>
      </c>
      <c r="G591">
        <v>-358.91340000000002</v>
      </c>
      <c r="H591" s="1">
        <v>-1.532564E-6</v>
      </c>
      <c r="I591">
        <v>365.19380000000001</v>
      </c>
      <c r="J591">
        <v>-379.11489999999998</v>
      </c>
      <c r="K591">
        <v>1.1039459999999901</v>
      </c>
      <c r="L591">
        <v>367.981999999999</v>
      </c>
      <c r="M591">
        <v>0.9996275</v>
      </c>
      <c r="N591">
        <v>0</v>
      </c>
      <c r="O591">
        <v>2.3418620000000001E-2</v>
      </c>
      <c r="P591">
        <v>0.99579850000000003</v>
      </c>
      <c r="Q591">
        <v>-2.3365510000000001E-3</v>
      </c>
      <c r="R591">
        <v>9.1542719999999994E-2</v>
      </c>
      <c r="S591">
        <v>3.0505979999999999</v>
      </c>
      <c r="T591">
        <v>-0.1654407</v>
      </c>
      <c r="U591">
        <v>-0.41732789999999997</v>
      </c>
      <c r="V591">
        <v>-6.8182359999999997E-2</v>
      </c>
      <c r="W591">
        <v>1.172308E-2</v>
      </c>
      <c r="X591">
        <v>0.99760400000000005</v>
      </c>
      <c r="Y591">
        <v>0.15844469999999999</v>
      </c>
      <c r="Z591">
        <v>-5.5371730000000003E-3</v>
      </c>
      <c r="AA591">
        <v>0.98735229999999996</v>
      </c>
      <c r="AB591">
        <v>28</v>
      </c>
      <c r="AC591">
        <v>20.2014999999999</v>
      </c>
      <c r="AD591">
        <v>-1.10394753256399</v>
      </c>
      <c r="AE591">
        <v>-2.7881999999999598</v>
      </c>
      <c r="AF591">
        <v>3.2510458701316698</v>
      </c>
      <c r="AG591">
        <v>-1.10394753256399</v>
      </c>
      <c r="AH591">
        <v>20.071836842777302</v>
      </c>
      <c r="AI591">
        <v>93.107667032660203</v>
      </c>
      <c r="AJ591">
        <v>80.799672670847997</v>
      </c>
      <c r="AK591">
        <v>20.363364988317301</v>
      </c>
    </row>
    <row r="592" spans="1:37" x14ac:dyDescent="0.2">
      <c r="A592" t="str">
        <f>"20200111155805340"</f>
        <v>20200111155805340</v>
      </c>
      <c r="B592" t="str">
        <f>"1578729485331876"</f>
        <v>1578729485331876</v>
      </c>
      <c r="C592" t="s">
        <v>37</v>
      </c>
      <c r="D592">
        <v>5.8759379999999997</v>
      </c>
      <c r="E592">
        <v>0.58802149999999997</v>
      </c>
      <c r="F592" t="s">
        <v>39</v>
      </c>
      <c r="G592">
        <v>-358.6737</v>
      </c>
      <c r="H592" s="1">
        <v>-1.616573E-6</v>
      </c>
      <c r="I592">
        <v>365.18459999999999</v>
      </c>
      <c r="J592">
        <v>-378.94420000000002</v>
      </c>
      <c r="K592">
        <v>1.10395</v>
      </c>
      <c r="L592">
        <v>367.98559999999998</v>
      </c>
      <c r="M592">
        <v>0.99963609999999903</v>
      </c>
      <c r="N592">
        <v>0</v>
      </c>
      <c r="O592">
        <v>2.3050910000000001E-2</v>
      </c>
      <c r="P592">
        <v>0.99579499999999999</v>
      </c>
      <c r="Q592">
        <v>-2.1158829999999998E-3</v>
      </c>
      <c r="R592">
        <v>9.1585669999999994E-2</v>
      </c>
      <c r="S592">
        <v>3.0506899999999999</v>
      </c>
      <c r="T592">
        <v>-0.16475519999999999</v>
      </c>
      <c r="U592">
        <v>-0.41748049999999998</v>
      </c>
      <c r="V592">
        <v>-6.8591739999999998E-2</v>
      </c>
      <c r="W592">
        <v>1.1947650000000001E-2</v>
      </c>
      <c r="X592">
        <v>0.9975733</v>
      </c>
      <c r="Y592">
        <v>0.15812909999999999</v>
      </c>
      <c r="Z592">
        <v>-5.485841E-3</v>
      </c>
      <c r="AA592">
        <v>0.98740319999999904</v>
      </c>
      <c r="AB592">
        <v>28</v>
      </c>
      <c r="AC592">
        <v>20.270499999999998</v>
      </c>
      <c r="AD592">
        <v>-1.1039516165729999</v>
      </c>
      <c r="AE592">
        <v>-2.8009999999999802</v>
      </c>
      <c r="AF592">
        <v>3.2580725646905901</v>
      </c>
      <c r="AG592">
        <v>-1.1039516165729999</v>
      </c>
      <c r="AH592">
        <v>20.141919367917499</v>
      </c>
      <c r="AI592">
        <v>93.096991298150201</v>
      </c>
      <c r="AJ592">
        <v>80.811660393962995</v>
      </c>
      <c r="AK592">
        <v>20.4335670364284</v>
      </c>
    </row>
    <row r="593" spans="1:37" x14ac:dyDescent="0.2">
      <c r="A593" t="str">
        <f>"20200111155805359"</f>
        <v>20200111155805359</v>
      </c>
      <c r="B593" t="str">
        <f>"1578729485351396"</f>
        <v>1578729485351396</v>
      </c>
      <c r="C593" t="s">
        <v>37</v>
      </c>
      <c r="D593">
        <v>5.9171930000000001</v>
      </c>
      <c r="E593">
        <v>0.58801340000000002</v>
      </c>
      <c r="F593" t="s">
        <v>39</v>
      </c>
      <c r="G593">
        <v>-358.43759999999997</v>
      </c>
      <c r="H593" s="1">
        <v>-1.697844E-6</v>
      </c>
      <c r="I593">
        <v>365.18119999999999</v>
      </c>
      <c r="J593">
        <v>-378.72460000000001</v>
      </c>
      <c r="K593">
        <v>1.103953</v>
      </c>
      <c r="L593">
        <v>367.99020000000002</v>
      </c>
      <c r="M593">
        <v>0.999646699999999</v>
      </c>
      <c r="N593">
        <v>0</v>
      </c>
      <c r="O593">
        <v>2.2579789999999999E-2</v>
      </c>
      <c r="P593">
        <v>0.99574359999999995</v>
      </c>
      <c r="Q593">
        <v>-2.0519660000000001E-3</v>
      </c>
      <c r="R593">
        <v>9.2143439999999993E-2</v>
      </c>
      <c r="S593">
        <v>3.0507200000000001</v>
      </c>
      <c r="T593">
        <v>-0.16423189999999999</v>
      </c>
      <c r="U593">
        <v>-0.41720580000000002</v>
      </c>
      <c r="V593">
        <v>-6.962103E-2</v>
      </c>
      <c r="W593">
        <v>1.2016789999999999E-2</v>
      </c>
      <c r="X593">
        <v>0.99750110000000003</v>
      </c>
      <c r="Y593">
        <v>0.15757829999999901</v>
      </c>
      <c r="Z593">
        <v>-5.42842699999999E-3</v>
      </c>
      <c r="AA593">
        <v>0.98749159999999903</v>
      </c>
      <c r="AB593">
        <v>28</v>
      </c>
      <c r="AC593">
        <v>20.286999999999999</v>
      </c>
      <c r="AD593">
        <v>-1.103954697844</v>
      </c>
      <c r="AE593">
        <v>-2.8090000000000201</v>
      </c>
      <c r="AF593">
        <v>3.2569419180769899</v>
      </c>
      <c r="AG593">
        <v>-1.103954697844</v>
      </c>
      <c r="AH593">
        <v>20.159819674018401</v>
      </c>
      <c r="AI593">
        <v>93.094352547781398</v>
      </c>
      <c r="AJ593">
        <v>80.822811546534496</v>
      </c>
      <c r="AK593">
        <v>20.451032148074098</v>
      </c>
    </row>
    <row r="594" spans="1:37" x14ac:dyDescent="0.2">
      <c r="A594" t="str">
        <f>"20200111155805371"</f>
        <v>20200111155805371</v>
      </c>
      <c r="B594" t="str">
        <f>"1578729485362132"</f>
        <v>1578729485362132</v>
      </c>
      <c r="C594" t="s">
        <v>37</v>
      </c>
      <c r="D594">
        <v>5.8792770000000001</v>
      </c>
      <c r="E594">
        <v>0.58805600000000002</v>
      </c>
      <c r="F594" t="s">
        <v>39</v>
      </c>
      <c r="G594">
        <v>-358.26209999999998</v>
      </c>
      <c r="H594" s="1">
        <v>-1.751081E-6</v>
      </c>
      <c r="I594">
        <v>365.2056</v>
      </c>
      <c r="J594">
        <v>-378.5659</v>
      </c>
      <c r="K594">
        <v>1.1039559999999999</v>
      </c>
      <c r="L594">
        <v>367.99340000000001</v>
      </c>
      <c r="M594">
        <v>0.9996543</v>
      </c>
      <c r="N594">
        <v>0</v>
      </c>
      <c r="O594">
        <v>2.2240119999999999E-2</v>
      </c>
      <c r="P594">
        <v>0.99571909999999897</v>
      </c>
      <c r="Q594">
        <v>-2.1678270000000002E-3</v>
      </c>
      <c r="R594">
        <v>9.2407340000000004E-2</v>
      </c>
      <c r="S594">
        <v>3.0509029999999999</v>
      </c>
      <c r="T594">
        <v>-0.16459499999999999</v>
      </c>
      <c r="U594">
        <v>-0.41516110000000001</v>
      </c>
      <c r="V594">
        <v>-7.0224220000000004E-2</v>
      </c>
      <c r="W594">
        <v>1.190474E-2</v>
      </c>
      <c r="X594">
        <v>0.99746019999999902</v>
      </c>
      <c r="Y594">
        <v>0.1565858</v>
      </c>
      <c r="Z594">
        <v>-5.3954600000000004E-3</v>
      </c>
      <c r="AA594">
        <v>0.98764959999999902</v>
      </c>
      <c r="AB594">
        <v>28</v>
      </c>
      <c r="AC594">
        <v>20.303799999999999</v>
      </c>
      <c r="AD594">
        <v>-1.1039577510809999</v>
      </c>
      <c r="AE594">
        <v>-2.7877999999999998</v>
      </c>
      <c r="AF594">
        <v>3.2293433873983002</v>
      </c>
      <c r="AG594">
        <v>-1.1039577510809999</v>
      </c>
      <c r="AH594">
        <v>20.178220610615199</v>
      </c>
      <c r="AI594">
        <v>93.092277595555103</v>
      </c>
      <c r="AJ594">
        <v>80.907430436585599</v>
      </c>
      <c r="AK594">
        <v>20.464798275100598</v>
      </c>
    </row>
    <row r="595" spans="1:37" x14ac:dyDescent="0.2">
      <c r="A595" t="str">
        <f>"20200111155805386"</f>
        <v>20200111155805386</v>
      </c>
      <c r="B595" t="str">
        <f>"1578729485381653"</f>
        <v>1578729485381653</v>
      </c>
      <c r="C595" t="s">
        <v>37</v>
      </c>
      <c r="D595">
        <v>5.8910710000000002</v>
      </c>
      <c r="E595">
        <v>0.58806759999999902</v>
      </c>
      <c r="F595" t="s">
        <v>39</v>
      </c>
      <c r="G595">
        <v>-358.1927</v>
      </c>
      <c r="H595" s="1">
        <v>-1.7694519999999999E-6</v>
      </c>
      <c r="I595">
        <v>365.2253</v>
      </c>
      <c r="J595">
        <v>-378.39139999999998</v>
      </c>
      <c r="K595">
        <v>1.1039600000000001</v>
      </c>
      <c r="L595">
        <v>367.99689999999998</v>
      </c>
      <c r="M595">
        <v>0.99966239999999995</v>
      </c>
      <c r="N595">
        <v>0</v>
      </c>
      <c r="O595">
        <v>2.1868019999999998E-2</v>
      </c>
      <c r="P595">
        <v>0.99570340000000002</v>
      </c>
      <c r="Q595">
        <v>-1.95604E-3</v>
      </c>
      <c r="R595">
        <v>9.2580090000000004E-2</v>
      </c>
      <c r="S595">
        <v>3.0509949999999999</v>
      </c>
      <c r="T595">
        <v>-0.16532269999999999</v>
      </c>
      <c r="U595">
        <v>-0.41452029999999901</v>
      </c>
      <c r="V595">
        <v>-7.0768150000000002E-2</v>
      </c>
      <c r="W595">
        <v>1.21193E-2</v>
      </c>
      <c r="X595">
        <v>0.99741919999999995</v>
      </c>
      <c r="Y595">
        <v>0.1560096</v>
      </c>
      <c r="Z595">
        <v>-5.383596E-3</v>
      </c>
      <c r="AA595">
        <v>0.98774089999999903</v>
      </c>
      <c r="AB595">
        <v>28</v>
      </c>
      <c r="AC595">
        <v>20.198699999999899</v>
      </c>
      <c r="AD595">
        <v>-1.1039617694520001</v>
      </c>
      <c r="AE595">
        <v>-2.7715999999999701</v>
      </c>
      <c r="AF595">
        <v>3.2032941724817801</v>
      </c>
      <c r="AG595">
        <v>-1.1039617694520001</v>
      </c>
      <c r="AH595">
        <v>20.074395872179799</v>
      </c>
      <c r="AI595">
        <v>93.108478019953495</v>
      </c>
      <c r="AJ595">
        <v>80.933683382072402</v>
      </c>
      <c r="AK595">
        <v>20.3583200381774</v>
      </c>
    </row>
    <row r="596" spans="1:37" x14ac:dyDescent="0.2">
      <c r="A596" t="str">
        <f>"20200111155805398"</f>
        <v>20200111155805398</v>
      </c>
      <c r="B596" t="str">
        <f>"1578729485391413"</f>
        <v>1578729485391413</v>
      </c>
      <c r="C596" t="s">
        <v>37</v>
      </c>
      <c r="D596">
        <v>5.8910679999999997</v>
      </c>
      <c r="E596">
        <v>0.58809869999999898</v>
      </c>
      <c r="F596" t="s">
        <v>39</v>
      </c>
      <c r="G596">
        <v>-358.05779999999999</v>
      </c>
      <c r="H596" s="1">
        <v>-1.812447E-6</v>
      </c>
      <c r="I596">
        <v>365.2362</v>
      </c>
      <c r="J596">
        <v>-378.22930000000002</v>
      </c>
      <c r="K596">
        <v>1.103966</v>
      </c>
      <c r="L596">
        <v>368</v>
      </c>
      <c r="M596">
        <v>0.9996699</v>
      </c>
      <c r="N596">
        <v>0</v>
      </c>
      <c r="O596">
        <v>2.1523219999999999E-2</v>
      </c>
      <c r="P596">
        <v>0.99568330000000005</v>
      </c>
      <c r="Q596">
        <v>-2.2848009999999999E-3</v>
      </c>
      <c r="R596">
        <v>9.2788990000000002E-2</v>
      </c>
      <c r="S596">
        <v>3.0511469999999998</v>
      </c>
      <c r="T596">
        <v>-0.1656532</v>
      </c>
      <c r="U596">
        <v>-0.41424559999999999</v>
      </c>
      <c r="V596">
        <v>-7.132202E-2</v>
      </c>
      <c r="W596">
        <v>1.179269E-2</v>
      </c>
      <c r="X596">
        <v>0.99738369999999998</v>
      </c>
      <c r="Y596">
        <v>0.15557509999999999</v>
      </c>
      <c r="Z596">
        <v>-5.3637440000000002E-3</v>
      </c>
      <c r="AA596">
        <v>0.98780949999999901</v>
      </c>
      <c r="AB596">
        <v>28</v>
      </c>
      <c r="AC596">
        <v>20.171500000000002</v>
      </c>
      <c r="AD596">
        <v>-1.103967812447</v>
      </c>
      <c r="AE596">
        <v>-2.7637999999999998</v>
      </c>
      <c r="AF596">
        <v>3.1879850776988699</v>
      </c>
      <c r="AG596">
        <v>-1.103967812447</v>
      </c>
      <c r="AH596">
        <v>20.048390748513501</v>
      </c>
      <c r="AI596">
        <v>93.112787791906598</v>
      </c>
      <c r="AJ596">
        <v>80.964786407623095</v>
      </c>
      <c r="AK596">
        <v>20.330272142586601</v>
      </c>
    </row>
    <row r="597" spans="1:37" x14ac:dyDescent="0.2">
      <c r="A597" t="str">
        <f>"20200111155805413"</f>
        <v>20200111155805413</v>
      </c>
      <c r="B597" t="str">
        <f>"1578729485402149"</f>
        <v>1578729485402149</v>
      </c>
      <c r="C597" t="s">
        <v>37</v>
      </c>
      <c r="D597">
        <v>5.8987980000000002</v>
      </c>
      <c r="E597">
        <v>0.58812730000000002</v>
      </c>
      <c r="F597" t="s">
        <v>39</v>
      </c>
      <c r="G597">
        <v>-358.05869999999999</v>
      </c>
      <c r="H597" s="1">
        <v>-1.8046549999999899E-6</v>
      </c>
      <c r="I597">
        <v>365.26429999999999</v>
      </c>
      <c r="J597">
        <v>-378.0421</v>
      </c>
      <c r="K597">
        <v>1.10397099999999</v>
      </c>
      <c r="L597">
        <v>368.00360000000001</v>
      </c>
      <c r="M597">
        <v>0.99967839999999997</v>
      </c>
      <c r="N597">
        <v>0</v>
      </c>
      <c r="O597">
        <v>2.112551E-2</v>
      </c>
      <c r="P597">
        <v>0.99563829999999998</v>
      </c>
      <c r="Q597">
        <v>-2.3033620000000002E-3</v>
      </c>
      <c r="R597">
        <v>9.3272099999999997E-2</v>
      </c>
      <c r="S597">
        <v>3.05117799999999</v>
      </c>
      <c r="T597">
        <v>-0.16699449999999999</v>
      </c>
      <c r="U597">
        <v>-0.41381839999999998</v>
      </c>
      <c r="V597">
        <v>-7.2202799999999998E-2</v>
      </c>
      <c r="W597">
        <v>1.177695E-2</v>
      </c>
      <c r="X597">
        <v>0.9973204</v>
      </c>
      <c r="Y597">
        <v>0.15504219999999999</v>
      </c>
      <c r="Z597">
        <v>-5.3709350000000003E-3</v>
      </c>
      <c r="AA597">
        <v>0.98789319999999903</v>
      </c>
      <c r="AB597">
        <v>28</v>
      </c>
      <c r="AC597">
        <v>19.9834</v>
      </c>
      <c r="AD597">
        <v>-1.1039728046549999</v>
      </c>
      <c r="AE597">
        <v>-2.7393000000000098</v>
      </c>
      <c r="AF597">
        <v>3.1514489380629902</v>
      </c>
      <c r="AG597">
        <v>-1.1039728046549999</v>
      </c>
      <c r="AH597">
        <v>19.8615660786792</v>
      </c>
      <c r="AI597">
        <v>93.142190552654796</v>
      </c>
      <c r="AJ597">
        <v>80.983999637844306</v>
      </c>
      <c r="AK597">
        <v>20.140312645546899</v>
      </c>
    </row>
    <row r="598" spans="1:37" x14ac:dyDescent="0.2">
      <c r="A598" t="str">
        <f>"20200111155805427"</f>
        <v>20200111155805427</v>
      </c>
      <c r="B598" t="str">
        <f>"1578729485421669"</f>
        <v>1578729485421669</v>
      </c>
      <c r="C598" t="s">
        <v>37</v>
      </c>
      <c r="D598">
        <v>5.9426509999999997</v>
      </c>
      <c r="E598">
        <v>0.58812259999999905</v>
      </c>
      <c r="F598" t="s">
        <v>39</v>
      </c>
      <c r="G598">
        <v>-357.94409999999999</v>
      </c>
      <c r="H598" s="1">
        <v>-1.8378E-6</v>
      </c>
      <c r="I598">
        <v>365.28640000000001</v>
      </c>
      <c r="J598">
        <v>-377.87029999999999</v>
      </c>
      <c r="K598">
        <v>1.1039729999999901</v>
      </c>
      <c r="L598">
        <v>368.00689999999997</v>
      </c>
      <c r="M598">
        <v>0.99968609999999902</v>
      </c>
      <c r="N598">
        <v>0</v>
      </c>
      <c r="O598">
        <v>2.0761350000000001E-2</v>
      </c>
      <c r="P598">
        <v>0.9956528</v>
      </c>
      <c r="Q598">
        <v>-2.3135920000000002E-3</v>
      </c>
      <c r="R598">
        <v>9.3115089999999998E-2</v>
      </c>
      <c r="S598">
        <v>3.0513919999999999</v>
      </c>
      <c r="T598">
        <v>-0.16761019999999999</v>
      </c>
      <c r="U598">
        <v>-0.41253659999999998</v>
      </c>
      <c r="V598">
        <v>-7.2409199999999896E-2</v>
      </c>
      <c r="W598">
        <v>1.176837E-2</v>
      </c>
      <c r="X598">
        <v>0.99730560000000001</v>
      </c>
      <c r="Y598">
        <v>0.1542654</v>
      </c>
      <c r="Z598">
        <v>-5.3493519999999999E-3</v>
      </c>
      <c r="AA598">
        <v>0.98801499999999998</v>
      </c>
      <c r="AB598">
        <v>28</v>
      </c>
      <c r="AC598">
        <v>19.926199999999898</v>
      </c>
      <c r="AD598">
        <v>-1.1039748377999901</v>
      </c>
      <c r="AE598">
        <v>-2.7204999999999502</v>
      </c>
      <c r="AF598">
        <v>3.12423461520005</v>
      </c>
      <c r="AG598">
        <v>-1.1039748377999901</v>
      </c>
      <c r="AH598">
        <v>19.805735972300699</v>
      </c>
      <c r="AI598">
        <v>93.151485857505406</v>
      </c>
      <c r="AJ598">
        <v>81.035804038256302</v>
      </c>
      <c r="AK598">
        <v>20.081005447382299</v>
      </c>
    </row>
    <row r="599" spans="1:37" x14ac:dyDescent="0.2">
      <c r="A599" t="str">
        <f>"20200111155805452"</f>
        <v>20200111155805452</v>
      </c>
      <c r="B599" t="str">
        <f>"1578729485442166"</f>
        <v>1578729485442166</v>
      </c>
      <c r="C599" t="s">
        <v>37</v>
      </c>
      <c r="D599">
        <v>6.3016449999999997</v>
      </c>
      <c r="E599">
        <v>0.58812259999999905</v>
      </c>
      <c r="F599" t="s">
        <v>39</v>
      </c>
      <c r="G599">
        <v>-357.88080000000002</v>
      </c>
      <c r="H599" s="1">
        <v>-1.8552090000000001E-6</v>
      </c>
      <c r="I599">
        <v>365.30189999999999</v>
      </c>
      <c r="J599">
        <v>-377.5598</v>
      </c>
      <c r="K599">
        <v>1.103979</v>
      </c>
      <c r="L599">
        <v>368.01249999999999</v>
      </c>
      <c r="M599">
        <v>0.99969929999999996</v>
      </c>
      <c r="N599">
        <v>0</v>
      </c>
      <c r="O599">
        <v>2.0103719999999999E-2</v>
      </c>
      <c r="P599">
        <v>0.99567850000000002</v>
      </c>
      <c r="Q599">
        <v>-2.506135E-3</v>
      </c>
      <c r="R599">
        <v>9.2834199999999895E-2</v>
      </c>
      <c r="S599">
        <v>3.0513309999999998</v>
      </c>
      <c r="T599">
        <v>-0.1685171</v>
      </c>
      <c r="U599">
        <v>-0.41290280000000001</v>
      </c>
      <c r="V599">
        <v>-7.2784089999999996E-2</v>
      </c>
      <c r="W599">
        <v>1.1578130000000001E-2</v>
      </c>
      <c r="X599">
        <v>0.99728050000000001</v>
      </c>
      <c r="Y599">
        <v>0.1537335</v>
      </c>
      <c r="Z599">
        <v>-5.3275589999999999E-3</v>
      </c>
      <c r="AA599">
        <v>0.98809799999999903</v>
      </c>
      <c r="AB599">
        <v>28</v>
      </c>
      <c r="AC599">
        <v>19.678999999999899</v>
      </c>
      <c r="AD599">
        <v>-1.103980855209</v>
      </c>
      <c r="AE599">
        <v>-2.7105999999999901</v>
      </c>
      <c r="AF599">
        <v>3.0961495779672101</v>
      </c>
      <c r="AG599">
        <v>-1.103980855209</v>
      </c>
      <c r="AH599">
        <v>19.560111198485501</v>
      </c>
      <c r="AI599">
        <v>93.190728949928499</v>
      </c>
      <c r="AJ599">
        <v>81.005337054572706</v>
      </c>
      <c r="AK599">
        <v>19.834385950538799</v>
      </c>
    </row>
    <row r="600" spans="1:37" x14ac:dyDescent="0.2">
      <c r="A600" t="str">
        <f>"20200111155805470"</f>
        <v>20200111155805470</v>
      </c>
      <c r="B600" t="str">
        <f>"1578729485461684"</f>
        <v>1578729485461684</v>
      </c>
      <c r="C600" t="s">
        <v>37</v>
      </c>
      <c r="D600">
        <v>6.1301990000000002</v>
      </c>
      <c r="E600">
        <v>0.51440070000000004</v>
      </c>
      <c r="F600" t="s">
        <v>39</v>
      </c>
      <c r="G600">
        <v>-357.6053</v>
      </c>
      <c r="H600" s="1">
        <v>-1.9480459999999998E-6</v>
      </c>
      <c r="I600">
        <v>365.30540000000002</v>
      </c>
      <c r="J600">
        <v>-377.34089999999998</v>
      </c>
      <c r="K600">
        <v>1.1039859999999999</v>
      </c>
      <c r="L600">
        <v>368.01639999999998</v>
      </c>
      <c r="M600">
        <v>0.99970870000000001</v>
      </c>
      <c r="N600">
        <v>0</v>
      </c>
      <c r="O600">
        <v>1.9639449999999999E-2</v>
      </c>
      <c r="P600">
        <v>0.99570800000000004</v>
      </c>
      <c r="Q600">
        <v>-2.6993159999999898E-3</v>
      </c>
      <c r="R600">
        <v>9.2511650000000001E-2</v>
      </c>
      <c r="S600">
        <v>3.0512079999999999</v>
      </c>
      <c r="T600">
        <v>-0.1688066</v>
      </c>
      <c r="U600">
        <v>-0.41394039999999999</v>
      </c>
      <c r="V600">
        <v>-7.2924059999999999E-2</v>
      </c>
      <c r="W600">
        <v>1.138597E-2</v>
      </c>
      <c r="X600">
        <v>0.99727250000000001</v>
      </c>
      <c r="Y600">
        <v>0.15360979999999999</v>
      </c>
      <c r="Z600">
        <v>-5.3078169999999899E-3</v>
      </c>
      <c r="AA600">
        <v>0.98811729999999998</v>
      </c>
      <c r="AB600">
        <v>28</v>
      </c>
      <c r="AC600">
        <v>19.735599999999899</v>
      </c>
      <c r="AD600">
        <v>-1.103987948046</v>
      </c>
      <c r="AE600">
        <v>-2.7109999999999501</v>
      </c>
      <c r="AF600">
        <v>3.0886256782002501</v>
      </c>
      <c r="AG600">
        <v>-1.103987948046</v>
      </c>
      <c r="AH600">
        <v>19.6182931129674</v>
      </c>
      <c r="AI600">
        <v>93.181723189929798</v>
      </c>
      <c r="AJ600">
        <v>81.053019309452395</v>
      </c>
      <c r="AK600">
        <v>19.8905963368566</v>
      </c>
    </row>
    <row r="601" spans="1:37" x14ac:dyDescent="0.2">
      <c r="A601" t="str">
        <f>"20200111155805483"</f>
        <v>20200111155805483</v>
      </c>
      <c r="B601" t="str">
        <f>"1578729485471445"</f>
        <v>1578729485471445</v>
      </c>
      <c r="C601" t="s">
        <v>37</v>
      </c>
      <c r="D601">
        <v>6.0580579999999999</v>
      </c>
      <c r="E601">
        <v>0.51400649999999903</v>
      </c>
      <c r="F601" t="s">
        <v>38</v>
      </c>
      <c r="G601">
        <v>-376.44420000000002</v>
      </c>
      <c r="H601">
        <v>1.021528</v>
      </c>
      <c r="I601">
        <v>368.06920000000002</v>
      </c>
      <c r="J601">
        <v>-377.1807</v>
      </c>
      <c r="K601">
        <v>1.103988</v>
      </c>
      <c r="L601">
        <v>368.01929999999999</v>
      </c>
      <c r="M601">
        <v>0.99971509999999997</v>
      </c>
      <c r="N601">
        <v>0</v>
      </c>
      <c r="O601">
        <v>1.9300270000000001E-2</v>
      </c>
      <c r="P601">
        <v>0.99575069999999999</v>
      </c>
      <c r="Q601">
        <v>-2.9961300000000001E-3</v>
      </c>
      <c r="R601">
        <v>9.20406E-2</v>
      </c>
      <c r="S601">
        <v>2.9957579999999999</v>
      </c>
      <c r="T601">
        <v>-0.2755975</v>
      </c>
      <c r="U601">
        <v>0.1767273</v>
      </c>
      <c r="V601">
        <v>-7.2791140000000004E-2</v>
      </c>
      <c r="W601">
        <v>1.108988E-2</v>
      </c>
      <c r="X601">
        <v>0.99728549999999905</v>
      </c>
      <c r="Y601">
        <v>-3.9525400000000002E-2</v>
      </c>
      <c r="Z601" s="1">
        <v>4.2575299999999999E-5</v>
      </c>
      <c r="AA601">
        <v>0.99921859999999996</v>
      </c>
      <c r="AB601">
        <v>28</v>
      </c>
      <c r="AC601">
        <v>0.73649999999997795</v>
      </c>
      <c r="AD601">
        <v>-8.2459999999999894E-2</v>
      </c>
      <c r="AE601">
        <v>4.9900000000036401E-2</v>
      </c>
      <c r="AF601">
        <v>-3.5234983317116997E-2</v>
      </c>
      <c r="AG601">
        <v>-8.2459999999999894E-2</v>
      </c>
      <c r="AH601">
        <v>0.728238851746972</v>
      </c>
      <c r="AI601">
        <v>96.452719522435899</v>
      </c>
      <c r="AJ601">
        <v>92.770028945423206</v>
      </c>
      <c r="AK601">
        <v>0.73373904137854495</v>
      </c>
    </row>
    <row r="602" spans="1:37" x14ac:dyDescent="0.2">
      <c r="A602" t="str">
        <f>"20200111155805503"</f>
        <v>20200111155805503</v>
      </c>
      <c r="B602" t="str">
        <f>"1578729485491940"</f>
        <v>1578729485491940</v>
      </c>
      <c r="C602" t="s">
        <v>37</v>
      </c>
      <c r="D602">
        <v>6.0984780000000001</v>
      </c>
      <c r="E602">
        <v>0.51112939999999996</v>
      </c>
      <c r="F602" t="s">
        <v>39</v>
      </c>
      <c r="G602">
        <v>-364.97859999999997</v>
      </c>
      <c r="H602" s="1">
        <v>-2.2908569999999998E-6</v>
      </c>
      <c r="I602">
        <v>368.74590000000001</v>
      </c>
      <c r="J602">
        <v>-376.93880000000001</v>
      </c>
      <c r="K602">
        <v>1.103993</v>
      </c>
      <c r="L602">
        <v>368.02330000000001</v>
      </c>
      <c r="M602">
        <v>0.99972499999999997</v>
      </c>
      <c r="N602">
        <v>0</v>
      </c>
      <c r="O602">
        <v>1.8787709999999999E-2</v>
      </c>
      <c r="P602">
        <v>0.99577879999999996</v>
      </c>
      <c r="Q602">
        <v>-3.523272E-3</v>
      </c>
      <c r="R602">
        <v>9.1719270000000006E-2</v>
      </c>
      <c r="S602">
        <v>2.9954830000000001</v>
      </c>
      <c r="T602">
        <v>-0.27101550000000002</v>
      </c>
      <c r="U602">
        <v>0.1784058</v>
      </c>
      <c r="V602">
        <v>-7.2981309999999994E-2</v>
      </c>
      <c r="W602">
        <v>1.0562999999999999E-2</v>
      </c>
      <c r="X602">
        <v>0.99727739999999998</v>
      </c>
      <c r="Y602">
        <v>-4.0597349999999997E-2</v>
      </c>
      <c r="Z602">
        <v>1.3645040000000001E-4</v>
      </c>
      <c r="AA602">
        <v>0.99917559999999905</v>
      </c>
      <c r="AB602">
        <v>28</v>
      </c>
      <c r="AC602">
        <v>11.9602</v>
      </c>
      <c r="AD602">
        <v>-1.1039952908570001</v>
      </c>
      <c r="AE602">
        <v>0.72259999999999902</v>
      </c>
      <c r="AF602">
        <v>-0.49355555987045802</v>
      </c>
      <c r="AG602">
        <v>-1.1039952908570001</v>
      </c>
      <c r="AH602">
        <v>11.8708895831913</v>
      </c>
      <c r="AI602">
        <v>95.308676699365407</v>
      </c>
      <c r="AJ602">
        <v>92.380813387580503</v>
      </c>
      <c r="AK602">
        <v>11.932326771809199</v>
      </c>
    </row>
    <row r="603" spans="1:37" x14ac:dyDescent="0.2">
      <c r="A603" t="str">
        <f>"20200111155805517"</f>
        <v>20200111155805517</v>
      </c>
      <c r="B603" t="str">
        <f>"1578729485512437"</f>
        <v>1578729485512437</v>
      </c>
      <c r="C603" t="s">
        <v>37</v>
      </c>
      <c r="D603">
        <v>5.9337919999999897</v>
      </c>
      <c r="E603">
        <v>0.50951120000000005</v>
      </c>
      <c r="F603" t="s">
        <v>39</v>
      </c>
      <c r="G603">
        <v>-362.01560000000001</v>
      </c>
      <c r="H603" s="1">
        <v>-3.515668E-6</v>
      </c>
      <c r="I603">
        <v>369.00699999999898</v>
      </c>
      <c r="J603">
        <v>-376.76740000000001</v>
      </c>
      <c r="K603">
        <v>1.103993</v>
      </c>
      <c r="L603">
        <v>368.02620000000002</v>
      </c>
      <c r="M603">
        <v>0.99973159999999905</v>
      </c>
      <c r="N603">
        <v>0</v>
      </c>
      <c r="O603">
        <v>1.8424329999999999E-2</v>
      </c>
      <c r="P603">
        <v>0.99579569999999995</v>
      </c>
      <c r="Q603">
        <v>-3.3542699999999999E-3</v>
      </c>
      <c r="R603">
        <v>9.1540259999999998E-2</v>
      </c>
      <c r="S603">
        <v>2.993744</v>
      </c>
      <c r="T603">
        <v>-0.221471999999999</v>
      </c>
      <c r="U603">
        <v>0.19735720000000001</v>
      </c>
      <c r="V603">
        <v>-7.316425E-2</v>
      </c>
      <c r="W603">
        <v>1.073227E-2</v>
      </c>
      <c r="X603">
        <v>0.99726219999999999</v>
      </c>
      <c r="Y603">
        <v>-4.7304449999999998E-2</v>
      </c>
      <c r="Z603">
        <v>3.8593569999999998E-4</v>
      </c>
      <c r="AA603">
        <v>0.9988804</v>
      </c>
      <c r="AB603">
        <v>28</v>
      </c>
      <c r="AC603">
        <v>14.751799999999999</v>
      </c>
      <c r="AD603">
        <v>-1.1039965156680001</v>
      </c>
      <c r="AE603">
        <v>0.98079999999993095</v>
      </c>
      <c r="AF603">
        <v>-0.70488414236423402</v>
      </c>
      <c r="AG603">
        <v>-1.1039965156680001</v>
      </c>
      <c r="AH603">
        <v>14.685480299724301</v>
      </c>
      <c r="AI603">
        <v>94.294258791709694</v>
      </c>
      <c r="AJ603">
        <v>92.748014563917906</v>
      </c>
      <c r="AK603">
        <v>14.7437784029181</v>
      </c>
    </row>
    <row r="604" spans="1:37" x14ac:dyDescent="0.2">
      <c r="A604" t="str">
        <f>"20200111155805531"</f>
        <v>20200111155805531</v>
      </c>
      <c r="B604" t="str">
        <f>"1578729485521222"</f>
        <v>1578729485521222</v>
      </c>
      <c r="C604" t="s">
        <v>37</v>
      </c>
      <c r="D604">
        <v>6.1039830000000004</v>
      </c>
      <c r="E604">
        <v>0.50935580000000003</v>
      </c>
      <c r="F604" t="s">
        <v>39</v>
      </c>
      <c r="G604">
        <v>-362.22190000000001</v>
      </c>
      <c r="H604" s="1">
        <v>-3.4201399999999999E-6</v>
      </c>
      <c r="I604">
        <v>369.04660000000001</v>
      </c>
      <c r="J604">
        <v>-376.58640000000003</v>
      </c>
      <c r="K604">
        <v>1.1039950000000001</v>
      </c>
      <c r="L604">
        <v>368.02910000000003</v>
      </c>
      <c r="M604">
        <v>0.99973860000000003</v>
      </c>
      <c r="N604">
        <v>0</v>
      </c>
      <c r="O604">
        <v>1.8040509999999999E-2</v>
      </c>
      <c r="P604">
        <v>0.99583809999999995</v>
      </c>
      <c r="Q604">
        <v>-3.3248329999999902E-3</v>
      </c>
      <c r="R604">
        <v>9.1080839999999996E-2</v>
      </c>
      <c r="S604">
        <v>2.9925839999999999</v>
      </c>
      <c r="T604">
        <v>-0.22713449999999999</v>
      </c>
      <c r="U604">
        <v>0.20996090000000001</v>
      </c>
      <c r="V604">
        <v>-7.3087189999999996E-2</v>
      </c>
      <c r="W604">
        <v>1.076183E-2</v>
      </c>
      <c r="X604">
        <v>0.99726749999999997</v>
      </c>
      <c r="Y604">
        <v>-5.18821E-2</v>
      </c>
      <c r="Z604">
        <v>5.9818719999999998E-4</v>
      </c>
      <c r="AA604">
        <v>0.99865309999999896</v>
      </c>
      <c r="AB604">
        <v>28</v>
      </c>
      <c r="AC604">
        <v>14.3645</v>
      </c>
      <c r="AD604">
        <v>-1.1039984201399999</v>
      </c>
      <c r="AE604">
        <v>1.0174999999999801</v>
      </c>
      <c r="AF604">
        <v>-0.75373592865710703</v>
      </c>
      <c r="AG604">
        <v>-1.1039984201399999</v>
      </c>
      <c r="AH604">
        <v>14.2964942082035</v>
      </c>
      <c r="AI604">
        <v>94.409609537946295</v>
      </c>
      <c r="AJ604">
        <v>93.017938570106395</v>
      </c>
      <c r="AK604">
        <v>14.358853610473799</v>
      </c>
    </row>
    <row r="605" spans="1:37" x14ac:dyDescent="0.2">
      <c r="A605" t="str">
        <f>"20200111155805550"</f>
        <v>20200111155805550</v>
      </c>
      <c r="B605" t="str">
        <f>"1578729485541716"</f>
        <v>1578729485541716</v>
      </c>
      <c r="C605" t="s">
        <v>37</v>
      </c>
      <c r="D605">
        <v>5.9724349999999999</v>
      </c>
      <c r="E605">
        <v>0.50975230000000005</v>
      </c>
      <c r="F605" t="s">
        <v>39</v>
      </c>
      <c r="G605">
        <v>-362.32920000000001</v>
      </c>
      <c r="H605" s="1">
        <v>-3.3766969999999999E-6</v>
      </c>
      <c r="I605">
        <v>369.03210000000001</v>
      </c>
      <c r="J605">
        <v>-376.36599999999999</v>
      </c>
      <c r="K605">
        <v>1.1040000000000001</v>
      </c>
      <c r="L605">
        <v>368.03250000000003</v>
      </c>
      <c r="M605">
        <v>0.99974699999999905</v>
      </c>
      <c r="N605">
        <v>0</v>
      </c>
      <c r="O605">
        <v>1.7573419999999999E-2</v>
      </c>
      <c r="P605">
        <v>0.995861199999999</v>
      </c>
      <c r="Q605">
        <v>-2.8494109999999901E-3</v>
      </c>
      <c r="R605">
        <v>9.0843099999999996E-2</v>
      </c>
      <c r="S605">
        <v>2.9925540000000002</v>
      </c>
      <c r="T605">
        <v>-0.2317255</v>
      </c>
      <c r="U605">
        <v>0.2105408</v>
      </c>
      <c r="V605">
        <v>-7.3314589999999999E-2</v>
      </c>
      <c r="W605">
        <v>1.123673E-2</v>
      </c>
      <c r="X605">
        <v>0.99724559999999995</v>
      </c>
      <c r="Y605">
        <v>-5.2534640000000001E-2</v>
      </c>
      <c r="Z605">
        <v>6.7149919999999995E-4</v>
      </c>
      <c r="AA605">
        <v>0.99861889999999998</v>
      </c>
      <c r="AB605">
        <v>27</v>
      </c>
      <c r="AC605">
        <v>14.0367999999999</v>
      </c>
      <c r="AD605">
        <v>-1.1040033766970001</v>
      </c>
      <c r="AE605">
        <v>0.99959999999998606</v>
      </c>
      <c r="AF605">
        <v>-0.74814211119631602</v>
      </c>
      <c r="AG605">
        <v>-1.1040033766970001</v>
      </c>
      <c r="AH605">
        <v>13.9662418754385</v>
      </c>
      <c r="AI605">
        <v>94.513273978810403</v>
      </c>
      <c r="AJ605">
        <v>93.066283347114805</v>
      </c>
      <c r="AK605">
        <v>14.029770211858599</v>
      </c>
    </row>
    <row r="606" spans="1:37" x14ac:dyDescent="0.2">
      <c r="A606" t="str">
        <f>"20200111155805566"</f>
        <v>20200111155805566</v>
      </c>
      <c r="B606" t="str">
        <f>"1578729485562213"</f>
        <v>1578729485562213</v>
      </c>
      <c r="C606" t="s">
        <v>37</v>
      </c>
      <c r="D606">
        <v>6.0920649999999998</v>
      </c>
      <c r="E606">
        <v>0.51028609999999996</v>
      </c>
      <c r="F606" t="s">
        <v>39</v>
      </c>
      <c r="G606">
        <v>-362.47019999999998</v>
      </c>
      <c r="H606" s="1">
        <v>-3.3231660000000001E-6</v>
      </c>
      <c r="I606">
        <v>368.99299999999999</v>
      </c>
      <c r="J606">
        <v>-376.17750000000001</v>
      </c>
      <c r="K606">
        <v>1.1040000000000001</v>
      </c>
      <c r="L606">
        <v>368.03539999999998</v>
      </c>
      <c r="M606">
        <v>0.99975389999999997</v>
      </c>
      <c r="N606">
        <v>0</v>
      </c>
      <c r="O606">
        <v>1.7173219999999999E-2</v>
      </c>
      <c r="P606">
        <v>0.99588949999999998</v>
      </c>
      <c r="Q606">
        <v>-2.801741E-3</v>
      </c>
      <c r="R606">
        <v>9.0533740000000001E-2</v>
      </c>
      <c r="S606">
        <v>2.9929199999999998</v>
      </c>
      <c r="T606">
        <v>-0.23778079999999999</v>
      </c>
      <c r="U606">
        <v>0.2068787</v>
      </c>
      <c r="V606">
        <v>-7.3403940000000001E-2</v>
      </c>
      <c r="W606">
        <v>1.1283939999999999E-2</v>
      </c>
      <c r="X606">
        <v>0.99723850000000003</v>
      </c>
      <c r="Y606">
        <v>-5.1705679999999997E-2</v>
      </c>
      <c r="Z606">
        <v>6.8779270000000003E-4</v>
      </c>
      <c r="AA606">
        <v>0.998662099999999</v>
      </c>
      <c r="AB606">
        <v>27</v>
      </c>
      <c r="AC606">
        <v>13.7073</v>
      </c>
      <c r="AD606">
        <v>-1.104003323166</v>
      </c>
      <c r="AE606">
        <v>0.95760000000006995</v>
      </c>
      <c r="AF606">
        <v>-0.71740592444574502</v>
      </c>
      <c r="AG606">
        <v>-1.104003323166</v>
      </c>
      <c r="AH606">
        <v>13.6337139297692</v>
      </c>
      <c r="AI606">
        <v>94.623112582957305</v>
      </c>
      <c r="AJ606">
        <v>93.012125481901293</v>
      </c>
      <c r="AK606">
        <v>13.6971402167304</v>
      </c>
    </row>
    <row r="607" spans="1:37" x14ac:dyDescent="0.2">
      <c r="A607" t="str">
        <f>"20200111155805581"</f>
        <v>20200111155805581</v>
      </c>
      <c r="B607" t="str">
        <f>"1578729485571972"</f>
        <v>1578729485571972</v>
      </c>
      <c r="C607" t="s">
        <v>37</v>
      </c>
      <c r="D607">
        <v>5.9655500000000004</v>
      </c>
      <c r="E607">
        <v>0.51041629999999905</v>
      </c>
      <c r="F607" t="s">
        <v>39</v>
      </c>
      <c r="G607">
        <v>-362.58920000000001</v>
      </c>
      <c r="H607" s="1">
        <v>-3.27937299999999E-6</v>
      </c>
      <c r="I607">
        <v>368.95209999999997</v>
      </c>
      <c r="J607">
        <v>-375.96499999999997</v>
      </c>
      <c r="K607">
        <v>1.1040030000000001</v>
      </c>
      <c r="L607">
        <v>368.03859999999997</v>
      </c>
      <c r="M607">
        <v>0.99976160000000003</v>
      </c>
      <c r="N607">
        <v>0</v>
      </c>
      <c r="O607">
        <v>1.6722109999999998E-2</v>
      </c>
      <c r="P607">
        <v>0.99593069999999895</v>
      </c>
      <c r="Q607">
        <v>-2.8631989999999999E-3</v>
      </c>
      <c r="R607">
        <v>9.007838E-2</v>
      </c>
      <c r="S607">
        <v>2.993347</v>
      </c>
      <c r="T607">
        <v>-0.24319650000000001</v>
      </c>
      <c r="U607">
        <v>0.2019348</v>
      </c>
      <c r="V607">
        <v>-7.3397820000000003E-2</v>
      </c>
      <c r="W607">
        <v>1.122243E-2</v>
      </c>
      <c r="X607">
        <v>0.9972396</v>
      </c>
      <c r="Y607">
        <v>-5.0502209999999999E-2</v>
      </c>
      <c r="Z607">
        <v>6.9112769999999995E-4</v>
      </c>
      <c r="AA607">
        <v>0.99872369999999899</v>
      </c>
      <c r="AB607">
        <v>27</v>
      </c>
      <c r="AC607">
        <v>13.3757999999999</v>
      </c>
      <c r="AD607">
        <v>-1.1040062793730001</v>
      </c>
      <c r="AE607">
        <v>0.91349999999999898</v>
      </c>
      <c r="AF607">
        <v>-0.68503350546097197</v>
      </c>
      <c r="AG607">
        <v>-1.1040062793730001</v>
      </c>
      <c r="AH607">
        <v>13.299028122279401</v>
      </c>
      <c r="AI607">
        <v>94.739219779649801</v>
      </c>
      <c r="AJ607">
        <v>92.948701972579698</v>
      </c>
      <c r="AK607">
        <v>13.3623444711502</v>
      </c>
    </row>
    <row r="608" spans="1:37" x14ac:dyDescent="0.2">
      <c r="A608" t="str">
        <f>"20200111155805595"</f>
        <v>20200111155805595</v>
      </c>
      <c r="B608" t="str">
        <f>"1578729485591493"</f>
        <v>1578729485591493</v>
      </c>
      <c r="C608" t="s">
        <v>37</v>
      </c>
      <c r="D608">
        <v>5.9722580000000001</v>
      </c>
      <c r="E608">
        <v>0.51069290000000001</v>
      </c>
      <c r="F608" t="s">
        <v>39</v>
      </c>
      <c r="G608">
        <v>-362.50830000000002</v>
      </c>
      <c r="H608" s="1">
        <v>-3.31699799999999E-6</v>
      </c>
      <c r="I608">
        <v>368.93560000000002</v>
      </c>
      <c r="J608">
        <v>-375.81130000000002</v>
      </c>
      <c r="K608">
        <v>1.1040080000000001</v>
      </c>
      <c r="L608">
        <v>368.04070000000002</v>
      </c>
      <c r="M608">
        <v>0.99976710000000002</v>
      </c>
      <c r="N608">
        <v>0</v>
      </c>
      <c r="O608">
        <v>1.6395799999999999E-2</v>
      </c>
      <c r="P608">
        <v>0.99596969999999996</v>
      </c>
      <c r="Q608">
        <v>-2.786448E-3</v>
      </c>
      <c r="R608">
        <v>8.9648850000000002E-2</v>
      </c>
      <c r="S608">
        <v>2.9935</v>
      </c>
      <c r="T608">
        <v>-0.24558769999999999</v>
      </c>
      <c r="U608">
        <v>0.19955439999999999</v>
      </c>
      <c r="V608">
        <v>-7.3293129999999998E-2</v>
      </c>
      <c r="W608">
        <v>1.129872E-2</v>
      </c>
      <c r="X608">
        <v>0.99724639999999998</v>
      </c>
      <c r="Y608">
        <v>-5.0032439999999997E-2</v>
      </c>
      <c r="Z608">
        <v>7.0535319999999999E-4</v>
      </c>
      <c r="AA608">
        <v>0.9987473</v>
      </c>
      <c r="AB608">
        <v>27</v>
      </c>
      <c r="AC608">
        <v>13.3029999999999</v>
      </c>
      <c r="AD608">
        <v>-1.1040113169979999</v>
      </c>
      <c r="AE608">
        <v>0.89490000000000602</v>
      </c>
      <c r="AF608">
        <v>-0.67203721859569998</v>
      </c>
      <c r="AG608">
        <v>-1.1040113169979999</v>
      </c>
      <c r="AH608">
        <v>13.225210086473901</v>
      </c>
      <c r="AI608">
        <v>94.765740711840394</v>
      </c>
      <c r="AJ608">
        <v>92.908975017679793</v>
      </c>
      <c r="AK608">
        <v>13.288214960731599</v>
      </c>
    </row>
    <row r="609" spans="1:37" x14ac:dyDescent="0.2">
      <c r="A609" t="str">
        <f>"20200111155805609"</f>
        <v>20200111155805609</v>
      </c>
      <c r="B609" t="str">
        <f>"1578729485602229"</f>
        <v>1578729485602229</v>
      </c>
      <c r="C609" t="s">
        <v>37</v>
      </c>
      <c r="D609">
        <v>6.4230070000000001</v>
      </c>
      <c r="E609">
        <v>0.51077099999999998</v>
      </c>
      <c r="F609" t="s">
        <v>39</v>
      </c>
      <c r="G609">
        <v>-362.50560000000002</v>
      </c>
      <c r="H609" s="1">
        <v>-3.3219060000000001E-6</v>
      </c>
      <c r="I609">
        <v>368.91430000000003</v>
      </c>
      <c r="J609">
        <v>-375.64490000000001</v>
      </c>
      <c r="K609">
        <v>1.1040099999999999</v>
      </c>
      <c r="L609">
        <v>368.04309999999998</v>
      </c>
      <c r="M609">
        <v>0.99977269999999896</v>
      </c>
      <c r="N609">
        <v>0</v>
      </c>
      <c r="O609">
        <v>1.6042500000000001E-2</v>
      </c>
      <c r="P609">
        <v>0.99598580000000003</v>
      </c>
      <c r="Q609">
        <v>-3.068E-3</v>
      </c>
      <c r="R609">
        <v>8.9458419999999997E-2</v>
      </c>
      <c r="S609">
        <v>2.9937740000000002</v>
      </c>
      <c r="T609">
        <v>-0.24840000000000001</v>
      </c>
      <c r="U609">
        <v>0.19656370000000001</v>
      </c>
      <c r="V609">
        <v>-7.3455519999999996E-2</v>
      </c>
      <c r="W609">
        <v>1.1016450000000001E-2</v>
      </c>
      <c r="X609">
        <v>0.99723759999999995</v>
      </c>
      <c r="Y609">
        <v>-4.9384339999999999E-2</v>
      </c>
      <c r="Z609">
        <v>7.1577100000000003E-4</v>
      </c>
      <c r="AA609">
        <v>0.99877959999999999</v>
      </c>
      <c r="AB609">
        <v>27</v>
      </c>
      <c r="AC609">
        <v>13.139299999999899</v>
      </c>
      <c r="AD609">
        <v>-1.104013321906</v>
      </c>
      <c r="AE609">
        <v>0.87120000000004405</v>
      </c>
      <c r="AF609">
        <v>-0.65567108784231798</v>
      </c>
      <c r="AG609">
        <v>-1.104013321906</v>
      </c>
      <c r="AH609">
        <v>13.059787971450501</v>
      </c>
      <c r="AI609">
        <v>94.825978981941105</v>
      </c>
      <c r="AJ609">
        <v>92.874140848458495</v>
      </c>
      <c r="AK609">
        <v>13.1227593077683</v>
      </c>
    </row>
    <row r="610" spans="1:37" x14ac:dyDescent="0.2">
      <c r="A610" t="str">
        <f>"20200111155805621"</f>
        <v>20200111155805621</v>
      </c>
      <c r="B610" t="str">
        <f>"1578729485611989"</f>
        <v>1578729485611989</v>
      </c>
      <c r="C610" t="s">
        <v>37</v>
      </c>
      <c r="D610">
        <v>6.0032500000000004</v>
      </c>
      <c r="E610">
        <v>0.51083590000000001</v>
      </c>
      <c r="F610" t="s">
        <v>39</v>
      </c>
      <c r="G610">
        <v>-361.80889999999999</v>
      </c>
      <c r="H610" s="1">
        <v>-3.61591299999999E-6</v>
      </c>
      <c r="I610">
        <v>368.94189999999998</v>
      </c>
      <c r="J610">
        <v>-375.48239999999998</v>
      </c>
      <c r="K610">
        <v>1.1040099999999999</v>
      </c>
      <c r="L610">
        <v>368.0453</v>
      </c>
      <c r="M610">
        <v>0.99977830000000001</v>
      </c>
      <c r="N610">
        <v>0</v>
      </c>
      <c r="O610">
        <v>1.5697059999999999E-2</v>
      </c>
      <c r="P610">
        <v>0.9960215</v>
      </c>
      <c r="Q610">
        <v>-2.9746159999999998E-3</v>
      </c>
      <c r="R610">
        <v>8.9066259999999994E-2</v>
      </c>
      <c r="S610">
        <v>2.9938660000000001</v>
      </c>
      <c r="T610">
        <v>-0.23888679999999901</v>
      </c>
      <c r="U610">
        <v>0.19448850000000001</v>
      </c>
      <c r="V610">
        <v>-7.3406940000000004E-2</v>
      </c>
      <c r="W610">
        <v>1.1108949999999999E-2</v>
      </c>
      <c r="X610">
        <v>0.99724020000000002</v>
      </c>
      <c r="Y610">
        <v>-4.9046600000000003E-2</v>
      </c>
      <c r="Z610">
        <v>7.0248399999999996E-4</v>
      </c>
      <c r="AA610">
        <v>0.99879619999999902</v>
      </c>
      <c r="AB610">
        <v>27</v>
      </c>
      <c r="AC610">
        <v>13.673499999999899</v>
      </c>
      <c r="AD610">
        <v>-1.1040136159129901</v>
      </c>
      <c r="AE610">
        <v>0.89659999999997797</v>
      </c>
      <c r="AF610">
        <v>-0.67743722976427301</v>
      </c>
      <c r="AG610">
        <v>-1.1040136159129901</v>
      </c>
      <c r="AH610">
        <v>13.597625237154899</v>
      </c>
      <c r="AI610">
        <v>94.636032296589207</v>
      </c>
      <c r="AJ610">
        <v>92.852132493671803</v>
      </c>
      <c r="AK610">
        <v>13.6591793075025</v>
      </c>
    </row>
    <row r="611" spans="1:37" x14ac:dyDescent="0.2">
      <c r="A611" t="str">
        <f>"20200111155805639"</f>
        <v>20200111155805639</v>
      </c>
      <c r="B611" t="str">
        <f>"1578729485631508"</f>
        <v>1578729485631508</v>
      </c>
      <c r="C611" t="s">
        <v>37</v>
      </c>
      <c r="D611">
        <v>6.0287949999999997</v>
      </c>
      <c r="E611">
        <v>0.5106214</v>
      </c>
      <c r="F611" t="s">
        <v>39</v>
      </c>
      <c r="G611">
        <v>-361.72910000000002</v>
      </c>
      <c r="H611" s="1">
        <v>-3.6520310000000002E-6</v>
      </c>
      <c r="I611">
        <v>368.93119999999999</v>
      </c>
      <c r="J611">
        <v>-375.27609999999999</v>
      </c>
      <c r="K611">
        <v>1.1040140000000001</v>
      </c>
      <c r="L611">
        <v>368.04809999999998</v>
      </c>
      <c r="M611">
        <v>0.99978500000000003</v>
      </c>
      <c r="N611">
        <v>0</v>
      </c>
      <c r="O611">
        <v>1.5258829999999999E-2</v>
      </c>
      <c r="P611">
        <v>0.99601859999999998</v>
      </c>
      <c r="Q611">
        <v>-2.9973389999999999E-3</v>
      </c>
      <c r="R611">
        <v>8.9094850000000003E-2</v>
      </c>
      <c r="S611">
        <v>2.994049</v>
      </c>
      <c r="T611">
        <v>-0.24033769999999999</v>
      </c>
      <c r="U611">
        <v>0.19287109999999999</v>
      </c>
      <c r="V611">
        <v>-7.3872980000000005E-2</v>
      </c>
      <c r="W611">
        <v>1.108511E-2</v>
      </c>
      <c r="X611">
        <v>0.99720599999999904</v>
      </c>
      <c r="Y611">
        <v>-4.8940789999999998E-2</v>
      </c>
      <c r="Z611">
        <v>7.3754569999999995E-4</v>
      </c>
      <c r="AA611">
        <v>0.99880139999999995</v>
      </c>
      <c r="AB611">
        <v>27</v>
      </c>
      <c r="AC611">
        <v>13.546999999999899</v>
      </c>
      <c r="AD611">
        <v>-1.1040176520310001</v>
      </c>
      <c r="AE611">
        <v>0.88310000000001299</v>
      </c>
      <c r="AF611">
        <v>-0.67182239627788798</v>
      </c>
      <c r="AG611">
        <v>-1.1040176520310001</v>
      </c>
      <c r="AH611">
        <v>13.469817746747299</v>
      </c>
      <c r="AI611">
        <v>94.679830606787704</v>
      </c>
      <c r="AJ611">
        <v>92.855325717794798</v>
      </c>
      <c r="AK611">
        <v>13.5316736008051</v>
      </c>
    </row>
    <row r="612" spans="1:37" x14ac:dyDescent="0.2">
      <c r="A612" t="str">
        <f>"20200111155805653"</f>
        <v>20200111155805653</v>
      </c>
      <c r="B612" t="str">
        <f>"1578729485641268"</f>
        <v>1578729485641268</v>
      </c>
      <c r="C612" t="s">
        <v>37</v>
      </c>
      <c r="D612">
        <v>6.0887449999999896</v>
      </c>
      <c r="E612">
        <v>0.51037279999999996</v>
      </c>
      <c r="F612" t="s">
        <v>39</v>
      </c>
      <c r="G612">
        <v>-361.54689999999999</v>
      </c>
      <c r="H612" s="1">
        <v>-3.7284359999999999E-6</v>
      </c>
      <c r="I612">
        <v>368.94119999999998</v>
      </c>
      <c r="J612">
        <v>-375.09379999999999</v>
      </c>
      <c r="K612">
        <v>1.1040140000000001</v>
      </c>
      <c r="L612">
        <v>368.0505</v>
      </c>
      <c r="M612">
        <v>0.99979099999999999</v>
      </c>
      <c r="N612">
        <v>0</v>
      </c>
      <c r="O612">
        <v>1.4871199999999999E-2</v>
      </c>
      <c r="P612">
        <v>0.99604389999999998</v>
      </c>
      <c r="Q612">
        <v>-2.8628429999999999E-3</v>
      </c>
      <c r="R612">
        <v>8.8818889999999998E-2</v>
      </c>
      <c r="S612">
        <v>2.9938349999999998</v>
      </c>
      <c r="T612">
        <v>-0.2407435</v>
      </c>
      <c r="U612">
        <v>0.1947632</v>
      </c>
      <c r="V612">
        <v>-7.3983179999999996E-2</v>
      </c>
      <c r="W612">
        <v>1.121862E-2</v>
      </c>
      <c r="X612">
        <v>0.99719639999999998</v>
      </c>
      <c r="Y612">
        <v>-4.9956300000000002E-2</v>
      </c>
      <c r="Z612">
        <v>8.1062789999999897E-4</v>
      </c>
      <c r="AA612">
        <v>0.9987511</v>
      </c>
      <c r="AB612">
        <v>27</v>
      </c>
      <c r="AC612">
        <v>13.5468999999999</v>
      </c>
      <c r="AD612">
        <v>-1.104017728436</v>
      </c>
      <c r="AE612">
        <v>0.89069999999998095</v>
      </c>
      <c r="AF612">
        <v>-0.68459576359334195</v>
      </c>
      <c r="AG612">
        <v>-1.104017728436</v>
      </c>
      <c r="AH612">
        <v>13.4695743761175</v>
      </c>
      <c r="AI612">
        <v>94.679693001464997</v>
      </c>
      <c r="AJ612">
        <v>92.909574127210306</v>
      </c>
      <c r="AK612">
        <v>13.532071547918701</v>
      </c>
    </row>
    <row r="613" spans="1:37" x14ac:dyDescent="0.2">
      <c r="A613" t="str">
        <f>"20200111155805671"</f>
        <v>20200111155805671</v>
      </c>
      <c r="B613" t="str">
        <f>"1578729485661763"</f>
        <v>1578729485661763</v>
      </c>
      <c r="C613" t="s">
        <v>37</v>
      </c>
      <c r="D613">
        <v>5.9961129999999896</v>
      </c>
      <c r="E613">
        <v>0.51059480000000002</v>
      </c>
      <c r="F613" t="s">
        <v>39</v>
      </c>
      <c r="G613">
        <v>-361.24119999999999</v>
      </c>
      <c r="H613" s="1">
        <v>-3.8568549999999997E-6</v>
      </c>
      <c r="I613">
        <v>368.95639999999997</v>
      </c>
      <c r="J613">
        <v>-374.8775</v>
      </c>
      <c r="K613">
        <v>1.104009</v>
      </c>
      <c r="L613">
        <v>368.0532</v>
      </c>
      <c r="M613">
        <v>0.99979759999999995</v>
      </c>
      <c r="N613">
        <v>0</v>
      </c>
      <c r="O613">
        <v>1.4411749999999999E-2</v>
      </c>
      <c r="P613">
        <v>0.99601450000000002</v>
      </c>
      <c r="Q613">
        <v>-2.7179769999999999E-3</v>
      </c>
      <c r="R613">
        <v>8.9151599999999998E-2</v>
      </c>
      <c r="S613">
        <v>2.993744</v>
      </c>
      <c r="T613">
        <v>-0.23859330000000001</v>
      </c>
      <c r="U613">
        <v>0.195800799999999</v>
      </c>
      <c r="V613">
        <v>-7.4774740000000006E-2</v>
      </c>
      <c r="W613">
        <v>1.136214E-2</v>
      </c>
      <c r="X613">
        <v>0.99713569999999996</v>
      </c>
      <c r="Y613">
        <v>-5.075992E-2</v>
      </c>
      <c r="Z613">
        <v>8.7187739999999999E-4</v>
      </c>
      <c r="AA613">
        <v>0.99871049999999995</v>
      </c>
      <c r="AB613">
        <v>27</v>
      </c>
      <c r="AC613">
        <v>13.6363</v>
      </c>
      <c r="AD613">
        <v>-1.1040128568550001</v>
      </c>
      <c r="AE613">
        <v>0.90319999999996903</v>
      </c>
      <c r="AF613">
        <v>-0.70198265466083698</v>
      </c>
      <c r="AG613">
        <v>-1.1040128568550001</v>
      </c>
      <c r="AH613">
        <v>13.5594113612534</v>
      </c>
      <c r="AI613">
        <v>94.648580024407593</v>
      </c>
      <c r="AJ613">
        <v>92.963607089116493</v>
      </c>
      <c r="AK613">
        <v>13.6223808675001</v>
      </c>
    </row>
    <row r="614" spans="1:37" x14ac:dyDescent="0.2">
      <c r="A614" t="str">
        <f>"20200111155805687"</f>
        <v>20200111155805687</v>
      </c>
      <c r="B614" t="str">
        <f>"1578729485681284"</f>
        <v>1578729485681284</v>
      </c>
      <c r="C614" t="s">
        <v>37</v>
      </c>
      <c r="D614">
        <v>6.1476300000000004</v>
      </c>
      <c r="E614">
        <v>0.51119049999999999</v>
      </c>
      <c r="F614" t="s">
        <v>39</v>
      </c>
      <c r="G614">
        <v>-361.14530000000002</v>
      </c>
      <c r="H614" s="1">
        <v>-3.8994859999999997E-6</v>
      </c>
      <c r="I614">
        <v>368.94810000000001</v>
      </c>
      <c r="J614">
        <v>-374.69029999999998</v>
      </c>
      <c r="K614">
        <v>1.104007</v>
      </c>
      <c r="L614">
        <v>368.05549999999999</v>
      </c>
      <c r="M614">
        <v>0.99980329999999995</v>
      </c>
      <c r="N614">
        <v>0</v>
      </c>
      <c r="O614">
        <v>1.401405E-2</v>
      </c>
      <c r="P614">
        <v>0.99599989999999905</v>
      </c>
      <c r="Q614">
        <v>-2.51863E-3</v>
      </c>
      <c r="R614">
        <v>8.9318350000000005E-2</v>
      </c>
      <c r="S614">
        <v>2.9938959999999999</v>
      </c>
      <c r="T614">
        <v>-0.240694299999999</v>
      </c>
      <c r="U614">
        <v>0.19512939999999901</v>
      </c>
      <c r="V614">
        <v>-7.5337989999999994E-2</v>
      </c>
      <c r="W614">
        <v>1.1560010000000001E-2</v>
      </c>
      <c r="X614">
        <v>0.99709110000000001</v>
      </c>
      <c r="Y614">
        <v>-5.092704E-2</v>
      </c>
      <c r="Z614">
        <v>9.1807309999999997E-4</v>
      </c>
      <c r="AA614">
        <v>0.99870190000000003</v>
      </c>
      <c r="AB614">
        <v>27</v>
      </c>
      <c r="AC614">
        <v>13.5449999999999</v>
      </c>
      <c r="AD614">
        <v>-1.1040108994859901</v>
      </c>
      <c r="AE614">
        <v>0.89260000000001505</v>
      </c>
      <c r="AF614">
        <v>-0.69805592887072598</v>
      </c>
      <c r="AG614">
        <v>-1.1040108994859901</v>
      </c>
      <c r="AH614">
        <v>13.4670996350481</v>
      </c>
      <c r="AI614">
        <v>94.680279654615106</v>
      </c>
      <c r="AJ614">
        <v>92.967223637171202</v>
      </c>
      <c r="AK614">
        <v>13.530295441206301</v>
      </c>
    </row>
    <row r="615" spans="1:37" x14ac:dyDescent="0.2">
      <c r="A615" t="str">
        <f>"20200111155805699"</f>
        <v>20200111155805699</v>
      </c>
      <c r="B615" t="str">
        <f>"1578729485692020"</f>
        <v>1578729485692020</v>
      </c>
      <c r="C615" t="s">
        <v>37</v>
      </c>
      <c r="D615">
        <v>5.9664199999999896</v>
      </c>
      <c r="E615">
        <v>0.5112333</v>
      </c>
      <c r="F615" t="s">
        <v>39</v>
      </c>
      <c r="G615">
        <v>-360.91219999999998</v>
      </c>
      <c r="H615" s="1">
        <v>-4.0021719999999996E-6</v>
      </c>
      <c r="I615">
        <v>368.93290000000002</v>
      </c>
      <c r="J615">
        <v>-374.52760000000001</v>
      </c>
      <c r="K615">
        <v>1.104009</v>
      </c>
      <c r="L615">
        <v>368.0573</v>
      </c>
      <c r="M615">
        <v>0.99980809999999998</v>
      </c>
      <c r="N615">
        <v>0</v>
      </c>
      <c r="O615">
        <v>1.366791E-2</v>
      </c>
      <c r="P615">
        <v>0.99597239999999998</v>
      </c>
      <c r="Q615">
        <v>-2.5004020000000001E-3</v>
      </c>
      <c r="R615">
        <v>8.9625689999999994E-2</v>
      </c>
      <c r="S615">
        <v>2.9942929999999999</v>
      </c>
      <c r="T615">
        <v>-0.23992469999999999</v>
      </c>
      <c r="U615">
        <v>0.19070429999999999</v>
      </c>
      <c r="V615">
        <v>-7.5990760000000004E-2</v>
      </c>
      <c r="W615">
        <v>1.1577169999999999E-2</v>
      </c>
      <c r="X615">
        <v>0.99704130000000002</v>
      </c>
      <c r="Y615">
        <v>-4.9797639999999997E-2</v>
      </c>
      <c r="Z615">
        <v>8.9759439999999996E-4</v>
      </c>
      <c r="AA615">
        <v>0.99875890000000001</v>
      </c>
      <c r="AB615">
        <v>27</v>
      </c>
      <c r="AC615">
        <v>13.615399999999999</v>
      </c>
      <c r="AD615">
        <v>-1.104013002172</v>
      </c>
      <c r="AE615">
        <v>0.87560000000001903</v>
      </c>
      <c r="AF615">
        <v>-0.68492107998155605</v>
      </c>
      <c r="AG615">
        <v>-1.104013002172</v>
      </c>
      <c r="AH615">
        <v>13.537456228136699</v>
      </c>
      <c r="AI615">
        <v>94.656364996732506</v>
      </c>
      <c r="AJ615">
        <v>92.896382671098195</v>
      </c>
      <c r="AK615">
        <v>13.599657448755201</v>
      </c>
    </row>
    <row r="616" spans="1:37" x14ac:dyDescent="0.2">
      <c r="A616" t="str">
        <f>"20200111155805717"</f>
        <v>20200111155805717</v>
      </c>
      <c r="B616" t="str">
        <f>"1578729485711540"</f>
        <v>1578729485711540</v>
      </c>
      <c r="C616" t="s">
        <v>37</v>
      </c>
      <c r="D616">
        <v>5.9283669999999997</v>
      </c>
      <c r="E616">
        <v>0.51127159999999905</v>
      </c>
      <c r="F616" t="s">
        <v>39</v>
      </c>
      <c r="G616">
        <v>-360.80930000000001</v>
      </c>
      <c r="H616" s="1">
        <v>-4.0459209999999996E-6</v>
      </c>
      <c r="I616">
        <v>368.93520000000001</v>
      </c>
      <c r="J616">
        <v>-374.32870000000003</v>
      </c>
      <c r="K616">
        <v>1.1040080000000001</v>
      </c>
      <c r="L616">
        <v>368.05959999999999</v>
      </c>
      <c r="M616">
        <v>0.99981390000000003</v>
      </c>
      <c r="N616">
        <v>0</v>
      </c>
      <c r="O616">
        <v>1.324464E-2</v>
      </c>
      <c r="P616">
        <v>0.99591439999999998</v>
      </c>
      <c r="Q616">
        <v>-2.7884749999999999E-3</v>
      </c>
      <c r="R616">
        <v>9.0261320000000006E-2</v>
      </c>
      <c r="S616">
        <v>2.9942929999999999</v>
      </c>
      <c r="T616">
        <v>-0.24096979999999901</v>
      </c>
      <c r="U616">
        <v>0.19161989999999901</v>
      </c>
      <c r="V616">
        <v>-7.7049740000000005E-2</v>
      </c>
      <c r="W616">
        <v>1.128728E-2</v>
      </c>
      <c r="X616">
        <v>0.99696340000000006</v>
      </c>
      <c r="Y616">
        <v>-5.0519889999999998E-2</v>
      </c>
      <c r="Z616">
        <v>9.6443679999999902E-4</v>
      </c>
      <c r="AA616">
        <v>0.99872260000000002</v>
      </c>
      <c r="AB616">
        <v>27</v>
      </c>
      <c r="AC616">
        <v>13.519399999999999</v>
      </c>
      <c r="AD616">
        <v>-1.1040120459210001</v>
      </c>
      <c r="AE616">
        <v>0.87560000000001903</v>
      </c>
      <c r="AF616">
        <v>-0.69185158963851801</v>
      </c>
      <c r="AG616">
        <v>-1.1040120459210001</v>
      </c>
      <c r="AH616">
        <v>13.440557154936201</v>
      </c>
      <c r="AI616">
        <v>94.689572365611099</v>
      </c>
      <c r="AJ616">
        <v>92.946694853655103</v>
      </c>
      <c r="AK616">
        <v>13.5035579702066</v>
      </c>
    </row>
    <row r="617" spans="1:37" x14ac:dyDescent="0.2">
      <c r="A617" t="str">
        <f>"20200111155805731"</f>
        <v>20200111155805731</v>
      </c>
      <c r="B617" t="str">
        <f>"1578729485721301"</f>
        <v>1578729485721301</v>
      </c>
      <c r="C617" t="s">
        <v>37</v>
      </c>
      <c r="D617">
        <v>5.9566359999999996</v>
      </c>
      <c r="E617">
        <v>0.5113067</v>
      </c>
      <c r="F617" t="s">
        <v>39</v>
      </c>
      <c r="G617">
        <v>-360.74720000000002</v>
      </c>
      <c r="H617" s="1">
        <v>-4.0724799999999998E-6</v>
      </c>
      <c r="I617">
        <v>368.93560000000002</v>
      </c>
      <c r="J617">
        <v>-374.1542</v>
      </c>
      <c r="K617">
        <v>1.1040129999999999</v>
      </c>
      <c r="L617">
        <v>368.06150000000002</v>
      </c>
      <c r="M617">
        <v>0.99981869999999995</v>
      </c>
      <c r="N617">
        <v>0</v>
      </c>
      <c r="O617">
        <v>1.287406E-2</v>
      </c>
      <c r="P617">
        <v>0.99589150000000004</v>
      </c>
      <c r="Q617">
        <v>-3.1350420000000002E-3</v>
      </c>
      <c r="R617">
        <v>9.0500910000000004E-2</v>
      </c>
      <c r="S617">
        <v>2.99411</v>
      </c>
      <c r="T617">
        <v>-0.243383399999999</v>
      </c>
      <c r="U617">
        <v>0.19314579999999901</v>
      </c>
      <c r="V617">
        <v>-7.7658989999999997E-2</v>
      </c>
      <c r="W617">
        <v>1.093968E-2</v>
      </c>
      <c r="X617">
        <v>0.99691989999999997</v>
      </c>
      <c r="Y617">
        <v>-5.1394309999999999E-2</v>
      </c>
      <c r="Z617">
        <v>1.0395910000000001E-3</v>
      </c>
      <c r="AA617">
        <v>0.99867790000000001</v>
      </c>
      <c r="AB617">
        <v>27</v>
      </c>
      <c r="AC617">
        <v>13.406999999999901</v>
      </c>
      <c r="AD617">
        <v>-1.10401707247999</v>
      </c>
      <c r="AE617">
        <v>0.87409999999999799</v>
      </c>
      <c r="AF617">
        <v>-0.69670374118974499</v>
      </c>
      <c r="AG617">
        <v>-1.10401707247999</v>
      </c>
      <c r="AH617">
        <v>13.3271552019898</v>
      </c>
      <c r="AI617">
        <v>94.729122187817495</v>
      </c>
      <c r="AJ617">
        <v>92.992527580775004</v>
      </c>
      <c r="AK617">
        <v>13.3909415493175</v>
      </c>
    </row>
    <row r="618" spans="1:37" x14ac:dyDescent="0.2">
      <c r="A618" t="str">
        <f>"20200111155805745"</f>
        <v>20200111155805745</v>
      </c>
      <c r="B618" t="str">
        <f>"1578729485741796"</f>
        <v>1578729485741796</v>
      </c>
      <c r="C618" t="s">
        <v>37</v>
      </c>
      <c r="D618">
        <v>5.9470109999999998</v>
      </c>
      <c r="E618">
        <v>0.51137999999999995</v>
      </c>
      <c r="F618" t="s">
        <v>39</v>
      </c>
      <c r="G618">
        <v>-360.67039999999997</v>
      </c>
      <c r="H618" s="1">
        <v>-4.1056920000000001E-6</v>
      </c>
      <c r="I618">
        <v>368.9341</v>
      </c>
      <c r="J618">
        <v>-373.98140000000001</v>
      </c>
      <c r="K618">
        <v>1.104015</v>
      </c>
      <c r="L618">
        <v>368.0634</v>
      </c>
      <c r="M618">
        <v>0.99982340000000003</v>
      </c>
      <c r="N618">
        <v>0</v>
      </c>
      <c r="O618">
        <v>1.2506939999999999E-2</v>
      </c>
      <c r="P618">
        <v>0.99589280000000002</v>
      </c>
      <c r="Q618">
        <v>-3.5495929999999898E-3</v>
      </c>
      <c r="R618">
        <v>9.0471640000000006E-2</v>
      </c>
      <c r="S618">
        <v>2.9939580000000001</v>
      </c>
      <c r="T618">
        <v>-0.24513470000000001</v>
      </c>
      <c r="U618">
        <v>0.19375609999999999</v>
      </c>
      <c r="V618">
        <v>-7.7996389999999999E-2</v>
      </c>
      <c r="W618">
        <v>1.052343E-2</v>
      </c>
      <c r="X618">
        <v>0.99689810000000001</v>
      </c>
      <c r="Y618">
        <v>-5.1962050000000003E-2</v>
      </c>
      <c r="Z618">
        <v>1.1002449999999999E-3</v>
      </c>
      <c r="AA618">
        <v>0.99864850000000005</v>
      </c>
      <c r="AB618">
        <v>27</v>
      </c>
      <c r="AC618">
        <v>13.311</v>
      </c>
      <c r="AD618">
        <v>-1.1040191056919999</v>
      </c>
      <c r="AE618">
        <v>0.87069999999999903</v>
      </c>
      <c r="AF618">
        <v>-0.69934525582728002</v>
      </c>
      <c r="AG618">
        <v>-1.1040191056919999</v>
      </c>
      <c r="AH618">
        <v>13.2302252174679</v>
      </c>
      <c r="AI618">
        <v>94.763474682244194</v>
      </c>
      <c r="AJ618">
        <v>93.025819542062905</v>
      </c>
      <c r="AK618">
        <v>13.294615499423299</v>
      </c>
    </row>
    <row r="619" spans="1:37" x14ac:dyDescent="0.2">
      <c r="A619" t="str">
        <f>"20200111155805760"</f>
        <v>20200111155805760</v>
      </c>
      <c r="B619" t="str">
        <f>"1578729485751556"</f>
        <v>1578729485751556</v>
      </c>
      <c r="C619" t="s">
        <v>37</v>
      </c>
      <c r="D619">
        <v>5.9527359999999998</v>
      </c>
      <c r="E619">
        <v>0.51141890000000001</v>
      </c>
      <c r="F619" t="s">
        <v>39</v>
      </c>
      <c r="G619">
        <v>-360.62450000000001</v>
      </c>
      <c r="H619" s="1">
        <v>-4.1272019999999997E-6</v>
      </c>
      <c r="I619">
        <v>368.92399999999998</v>
      </c>
      <c r="J619">
        <v>-373.79379999999998</v>
      </c>
      <c r="K619">
        <v>1.1040239999999999</v>
      </c>
      <c r="L619">
        <v>368.0652</v>
      </c>
      <c r="M619">
        <v>0.9998283</v>
      </c>
      <c r="N619">
        <v>0</v>
      </c>
      <c r="O619">
        <v>1.211039E-2</v>
      </c>
      <c r="P619">
        <v>0.99589660000000002</v>
      </c>
      <c r="Q619">
        <v>-3.3939500000000002E-3</v>
      </c>
      <c r="R619">
        <v>9.0436069999999993E-2</v>
      </c>
      <c r="S619">
        <v>2.9939879999999999</v>
      </c>
      <c r="T619">
        <v>-0.24746669999999901</v>
      </c>
      <c r="U619">
        <v>0.1929321</v>
      </c>
      <c r="V619">
        <v>-7.8356560000000006E-2</v>
      </c>
      <c r="W619">
        <v>1.067744E-2</v>
      </c>
      <c r="X619">
        <v>0.99686819999999898</v>
      </c>
      <c r="Y619">
        <v>-5.2079529999999999E-2</v>
      </c>
      <c r="Z619">
        <v>1.1481989999999999E-3</v>
      </c>
      <c r="AA619">
        <v>0.99864229999999998</v>
      </c>
      <c r="AB619">
        <v>27</v>
      </c>
      <c r="AC619">
        <v>13.1692999999999</v>
      </c>
      <c r="AD619">
        <v>-1.1040281272019901</v>
      </c>
      <c r="AE619">
        <v>0.85880000000002998</v>
      </c>
      <c r="AF619">
        <v>-0.69437651344456597</v>
      </c>
      <c r="AG619">
        <v>-1.1040281272019901</v>
      </c>
      <c r="AH619">
        <v>13.087147834815299</v>
      </c>
      <c r="AI619">
        <v>94.815297575116006</v>
      </c>
      <c r="AJ619">
        <v>93.037145583085604</v>
      </c>
      <c r="AK619">
        <v>13.1519760986092</v>
      </c>
    </row>
    <row r="620" spans="1:37" x14ac:dyDescent="0.2">
      <c r="A620" t="str">
        <f>"20200111155805775"</f>
        <v>20200111155805775</v>
      </c>
      <c r="B620" t="str">
        <f>"1578729485772052"</f>
        <v>1578729485772052</v>
      </c>
      <c r="C620" t="s">
        <v>37</v>
      </c>
      <c r="D620">
        <v>6.0582479999999999</v>
      </c>
      <c r="E620">
        <v>0.51137949999999999</v>
      </c>
      <c r="F620" t="s">
        <v>39</v>
      </c>
      <c r="G620">
        <v>-360.42770000000002</v>
      </c>
      <c r="H620" s="1">
        <v>-4.2115780000000003E-6</v>
      </c>
      <c r="I620">
        <v>368.92410000000001</v>
      </c>
      <c r="J620">
        <v>-373.62049999999999</v>
      </c>
      <c r="K620">
        <v>1.1040270000000001</v>
      </c>
      <c r="L620">
        <v>368.06689999999998</v>
      </c>
      <c r="M620">
        <v>0.99983259999999996</v>
      </c>
      <c r="N620">
        <v>0</v>
      </c>
      <c r="O620">
        <v>1.1744660000000001E-2</v>
      </c>
      <c r="P620">
        <v>0.99592539999999996</v>
      </c>
      <c r="Q620">
        <v>-3.7431459999999902E-3</v>
      </c>
      <c r="R620">
        <v>9.0102059999999998E-2</v>
      </c>
      <c r="S620">
        <v>2.9940799999999999</v>
      </c>
      <c r="T620">
        <v>-0.24730679999999899</v>
      </c>
      <c r="U620">
        <v>0.19241329999999901</v>
      </c>
      <c r="V620">
        <v>-7.8386800000000006E-2</v>
      </c>
      <c r="W620">
        <v>1.0326510000000001E-2</v>
      </c>
      <c r="X620">
        <v>0.99686960000000002</v>
      </c>
      <c r="Y620">
        <v>-5.2268839999999997E-2</v>
      </c>
      <c r="Z620">
        <v>1.1853499999999999E-3</v>
      </c>
      <c r="AA620">
        <v>0.99863239999999998</v>
      </c>
      <c r="AB620">
        <v>27</v>
      </c>
      <c r="AC620">
        <v>13.192799999999901</v>
      </c>
      <c r="AD620">
        <v>-1.104031211578</v>
      </c>
      <c r="AE620">
        <v>0.85720000000003405</v>
      </c>
      <c r="AF620">
        <v>-0.69731782543838405</v>
      </c>
      <c r="AG620">
        <v>-1.104031211578</v>
      </c>
      <c r="AH620">
        <v>13.1105303787967</v>
      </c>
      <c r="AI620">
        <v>94.806730289235304</v>
      </c>
      <c r="AJ620">
        <v>93.044557012681196</v>
      </c>
      <c r="AK620">
        <v>13.175399192402599</v>
      </c>
    </row>
    <row r="621" spans="1:37" x14ac:dyDescent="0.2">
      <c r="A621" t="str">
        <f>"20200111155805789"</f>
        <v>20200111155805789</v>
      </c>
      <c r="B621" t="str">
        <f>"1578729485781812"</f>
        <v>1578729485781812</v>
      </c>
      <c r="C621" t="s">
        <v>37</v>
      </c>
      <c r="D621">
        <v>5.9544509999999997</v>
      </c>
      <c r="E621">
        <v>0.51138679999999903</v>
      </c>
      <c r="F621" t="s">
        <v>39</v>
      </c>
      <c r="G621">
        <v>-360.33139999999997</v>
      </c>
      <c r="H621" s="1">
        <v>-4.2538139999999998E-6</v>
      </c>
      <c r="I621">
        <v>368.91899999999998</v>
      </c>
      <c r="J621">
        <v>-373.4391</v>
      </c>
      <c r="K621">
        <v>1.1040270000000001</v>
      </c>
      <c r="L621">
        <v>368.0686</v>
      </c>
      <c r="M621">
        <v>0.99983699999999998</v>
      </c>
      <c r="N621">
        <v>0</v>
      </c>
      <c r="O621">
        <v>1.1362239999999999E-2</v>
      </c>
      <c r="P621">
        <v>0.99595650000000002</v>
      </c>
      <c r="Q621">
        <v>-3.7478120000000001E-3</v>
      </c>
      <c r="R621">
        <v>8.9760809999999996E-2</v>
      </c>
      <c r="S621">
        <v>2.9939269999999998</v>
      </c>
      <c r="T621">
        <v>-0.24872610000000001</v>
      </c>
      <c r="U621">
        <v>0.19198609999999999</v>
      </c>
      <c r="V621">
        <v>-7.842673E-2</v>
      </c>
      <c r="W621">
        <v>1.0320309999999999E-2</v>
      </c>
      <c r="X621">
        <v>0.99686649999999999</v>
      </c>
      <c r="Y621">
        <v>-5.2508399999999997E-2</v>
      </c>
      <c r="Z621">
        <v>1.233797E-3</v>
      </c>
      <c r="AA621">
        <v>0.9986197</v>
      </c>
      <c r="AB621">
        <v>27</v>
      </c>
      <c r="AC621">
        <v>13.107699999999999</v>
      </c>
      <c r="AD621">
        <v>-1.104031253814</v>
      </c>
      <c r="AE621">
        <v>0.85040000000003502</v>
      </c>
      <c r="AF621">
        <v>-0.69647728723996805</v>
      </c>
      <c r="AG621">
        <v>-1.104031253814</v>
      </c>
      <c r="AH621">
        <v>13.0245046089111</v>
      </c>
      <c r="AI621">
        <v>94.8382548706401</v>
      </c>
      <c r="AJ621">
        <v>93.060940816737201</v>
      </c>
      <c r="AK621">
        <v>13.0897549987991</v>
      </c>
    </row>
    <row r="622" spans="1:37" x14ac:dyDescent="0.2">
      <c r="A622" t="str">
        <f>"20200111155805805"</f>
        <v>20200111155805805</v>
      </c>
      <c r="B622" t="str">
        <f>"1578729485801333"</f>
        <v>1578729485801333</v>
      </c>
      <c r="C622" t="s">
        <v>37</v>
      </c>
      <c r="D622">
        <v>6.1622620000000001</v>
      </c>
      <c r="E622">
        <v>0.51114820000000005</v>
      </c>
      <c r="F622" t="s">
        <v>39</v>
      </c>
      <c r="G622">
        <v>-360.17540000000002</v>
      </c>
      <c r="H622" s="1">
        <v>-4.3217679999999998E-6</v>
      </c>
      <c r="I622">
        <v>368.91309999999999</v>
      </c>
      <c r="J622">
        <v>-373.2561</v>
      </c>
      <c r="K622">
        <v>1.1040299999999901</v>
      </c>
      <c r="L622">
        <v>368.07029999999997</v>
      </c>
      <c r="M622">
        <v>0.99984130000000004</v>
      </c>
      <c r="N622">
        <v>0</v>
      </c>
      <c r="O622">
        <v>1.097745E-2</v>
      </c>
      <c r="P622">
        <v>0.99595549999999999</v>
      </c>
      <c r="Q622">
        <v>-3.7446100000000002E-3</v>
      </c>
      <c r="R622">
        <v>8.9769600000000005E-2</v>
      </c>
      <c r="S622">
        <v>2.994049</v>
      </c>
      <c r="T622">
        <v>-0.2492142</v>
      </c>
      <c r="U622">
        <v>0.19064329999999999</v>
      </c>
      <c r="V622">
        <v>-7.8819349999999996E-2</v>
      </c>
      <c r="W622">
        <v>1.0321260000000001E-2</v>
      </c>
      <c r="X622">
        <v>0.99683549999999999</v>
      </c>
      <c r="Y622">
        <v>-5.2442450000000002E-2</v>
      </c>
      <c r="Z622">
        <v>1.265377E-3</v>
      </c>
      <c r="AA622">
        <v>0.99862309999999999</v>
      </c>
      <c r="AB622">
        <v>27</v>
      </c>
      <c r="AC622">
        <v>13.080699999999901</v>
      </c>
      <c r="AD622">
        <v>-1.10403432176799</v>
      </c>
      <c r="AE622">
        <v>0.84280000000001098</v>
      </c>
      <c r="AF622">
        <v>-0.69421741721104102</v>
      </c>
      <c r="AG622">
        <v>-1.10403432176799</v>
      </c>
      <c r="AH622">
        <v>12.9969612195486</v>
      </c>
      <c r="AI622">
        <v>94.848488339324902</v>
      </c>
      <c r="AJ622">
        <v>93.057481269399702</v>
      </c>
      <c r="AK622">
        <v>13.062229156941401</v>
      </c>
    </row>
    <row r="623" spans="1:37" x14ac:dyDescent="0.2">
      <c r="A623" t="str">
        <f>"20200111155805817"</f>
        <v>20200111155805817</v>
      </c>
      <c r="B623" t="str">
        <f>"1578729485812069"</f>
        <v>1578729485812069</v>
      </c>
      <c r="C623" t="s">
        <v>37</v>
      </c>
      <c r="D623">
        <v>5.9512999999999998</v>
      </c>
      <c r="E623">
        <v>0.51108710000000002</v>
      </c>
      <c r="F623" t="s">
        <v>39</v>
      </c>
      <c r="G623">
        <v>-359.93</v>
      </c>
      <c r="H623" s="1">
        <v>-1.93165E-7</v>
      </c>
      <c r="I623">
        <v>368.92750000000001</v>
      </c>
      <c r="J623">
        <v>-373.0942</v>
      </c>
      <c r="K623">
        <v>1.1040319999999999</v>
      </c>
      <c r="L623">
        <v>368.07170000000002</v>
      </c>
      <c r="M623">
        <v>0.99984519999999899</v>
      </c>
      <c r="N623">
        <v>0</v>
      </c>
      <c r="O623">
        <v>1.063746E-2</v>
      </c>
      <c r="P623">
        <v>0.99596980000000002</v>
      </c>
      <c r="Q623">
        <v>-3.670441E-3</v>
      </c>
      <c r="R623">
        <v>8.9615769999999997E-2</v>
      </c>
      <c r="S623">
        <v>2.9938660000000001</v>
      </c>
      <c r="T623">
        <v>-0.24803130000000001</v>
      </c>
      <c r="U623">
        <v>0.1925964</v>
      </c>
      <c r="V623">
        <v>-7.9004679999999994E-2</v>
      </c>
      <c r="W623">
        <v>1.039374E-2</v>
      </c>
      <c r="X623">
        <v>0.99682000000000004</v>
      </c>
      <c r="Y623">
        <v>-5.3431480000000003E-2</v>
      </c>
      <c r="Z623">
        <v>1.328386E-3</v>
      </c>
      <c r="AA623">
        <v>0.99857059999999997</v>
      </c>
      <c r="AB623">
        <v>27</v>
      </c>
      <c r="AC623">
        <v>13.1641999999999</v>
      </c>
      <c r="AD623">
        <v>-1.1040321931649999</v>
      </c>
      <c r="AE623">
        <v>0.85579999999998702</v>
      </c>
      <c r="AF623">
        <v>-0.71072627375615605</v>
      </c>
      <c r="AG623">
        <v>-1.1040321931649999</v>
      </c>
      <c r="AH623">
        <v>13.0809412218587</v>
      </c>
      <c r="AI623">
        <v>94.817261903677803</v>
      </c>
      <c r="AJ623">
        <v>93.109991474004801</v>
      </c>
      <c r="AK623">
        <v>13.146674186632699</v>
      </c>
    </row>
    <row r="624" spans="1:37" x14ac:dyDescent="0.2">
      <c r="A624" t="str">
        <f>"20200111155805830"</f>
        <v>20200111155805830</v>
      </c>
      <c r="B624" t="str">
        <f>"1578729485821829"</f>
        <v>1578729485821829</v>
      </c>
      <c r="C624" t="s">
        <v>37</v>
      </c>
      <c r="D624">
        <v>5.8593440000000001</v>
      </c>
      <c r="E624">
        <v>0.51112460000000004</v>
      </c>
      <c r="F624" t="s">
        <v>39</v>
      </c>
      <c r="G624">
        <v>-359.71339999999998</v>
      </c>
      <c r="H624" s="1">
        <v>-2.6555860000000001E-7</v>
      </c>
      <c r="I624">
        <v>368.93239999999997</v>
      </c>
      <c r="J624">
        <v>-372.94880000000001</v>
      </c>
      <c r="K624">
        <v>1.1040299999999901</v>
      </c>
      <c r="L624">
        <v>368.0729</v>
      </c>
      <c r="M624">
        <v>0.99984839999999997</v>
      </c>
      <c r="N624">
        <v>0</v>
      </c>
      <c r="O624">
        <v>1.0332630000000001E-2</v>
      </c>
      <c r="P624">
        <v>0.99601240000000002</v>
      </c>
      <c r="Q624">
        <v>-3.6911829999999998E-3</v>
      </c>
      <c r="R624">
        <v>8.9141199999999907E-2</v>
      </c>
      <c r="S624">
        <v>2.9938959999999999</v>
      </c>
      <c r="T624">
        <v>-0.24702080000000001</v>
      </c>
      <c r="U624">
        <v>0.1925964</v>
      </c>
      <c r="V624">
        <v>-7.8833570000000006E-2</v>
      </c>
      <c r="W624">
        <v>1.037132E-2</v>
      </c>
      <c r="X624">
        <v>0.99683389999999905</v>
      </c>
      <c r="Y624">
        <v>-5.373439E-2</v>
      </c>
      <c r="Z624">
        <v>1.360521E-3</v>
      </c>
      <c r="AA624">
        <v>0.99855430000000001</v>
      </c>
      <c r="AB624">
        <v>27</v>
      </c>
      <c r="AC624">
        <v>13.2354</v>
      </c>
      <c r="AD624">
        <v>-1.1040302655585901</v>
      </c>
      <c r="AE624">
        <v>0.85949999999996796</v>
      </c>
      <c r="AF624">
        <v>-0.71771128205326296</v>
      </c>
      <c r="AG624">
        <v>-1.1040302655585901</v>
      </c>
      <c r="AH624">
        <v>13.152443975384999</v>
      </c>
      <c r="AI624">
        <v>94.791125942532901</v>
      </c>
      <c r="AJ624">
        <v>93.1234562586408</v>
      </c>
      <c r="AK624">
        <v>13.2181986230083</v>
      </c>
    </row>
    <row r="625" spans="1:37" x14ac:dyDescent="0.2">
      <c r="A625" t="str">
        <f>"20200111155805843"</f>
        <v>20200111155805843</v>
      </c>
      <c r="B625" t="str">
        <f>"1578729485831588"</f>
        <v>1578729485831588</v>
      </c>
      <c r="C625" t="s">
        <v>37</v>
      </c>
      <c r="D625">
        <v>6.0544229999999999</v>
      </c>
      <c r="E625">
        <v>0.51090939999999996</v>
      </c>
      <c r="F625" t="s">
        <v>39</v>
      </c>
      <c r="G625">
        <v>-359.59190000000001</v>
      </c>
      <c r="H625" s="1">
        <v>-3.0916170000000002E-7</v>
      </c>
      <c r="I625">
        <v>368.92399999999998</v>
      </c>
      <c r="J625">
        <v>-372.79239999999999</v>
      </c>
      <c r="K625">
        <v>1.104033</v>
      </c>
      <c r="L625">
        <v>368.07409999999999</v>
      </c>
      <c r="M625">
        <v>0.99985179999999996</v>
      </c>
      <c r="N625">
        <v>0</v>
      </c>
      <c r="O625">
        <v>1.000527E-2</v>
      </c>
      <c r="P625">
        <v>0.99604699999999902</v>
      </c>
      <c r="Q625">
        <v>-3.5975259999999898E-3</v>
      </c>
      <c r="R625">
        <v>8.8757710000000004E-2</v>
      </c>
      <c r="S625">
        <v>2.994049</v>
      </c>
      <c r="T625">
        <v>-0.24747459999999999</v>
      </c>
      <c r="U625">
        <v>0.19079589999999999</v>
      </c>
      <c r="V625">
        <v>-7.8775990000000004E-2</v>
      </c>
      <c r="W625">
        <v>1.046335E-2</v>
      </c>
      <c r="X625">
        <v>0.99683739999999998</v>
      </c>
      <c r="Y625">
        <v>-5.3459310000000003E-2</v>
      </c>
      <c r="Z625">
        <v>1.378612E-3</v>
      </c>
      <c r="AA625">
        <v>0.99856909999999899</v>
      </c>
      <c r="AB625">
        <v>27</v>
      </c>
      <c r="AC625">
        <v>13.2004999999999</v>
      </c>
      <c r="AD625">
        <v>-1.1040333091617001</v>
      </c>
      <c r="AE625">
        <v>0.84990000000004695</v>
      </c>
      <c r="AF625">
        <v>-0.71280448413925401</v>
      </c>
      <c r="AG625">
        <v>-1.1040333091617001</v>
      </c>
      <c r="AH625">
        <v>13.1169698843403</v>
      </c>
      <c r="AI625">
        <v>94.804094690514304</v>
      </c>
      <c r="AJ625">
        <v>93.1105170012993</v>
      </c>
      <c r="AK625">
        <v>13.1826355000447</v>
      </c>
    </row>
    <row r="626" spans="1:37" x14ac:dyDescent="0.2">
      <c r="A626" t="str">
        <f>"20200111155805861"</f>
        <v>20200111155805861</v>
      </c>
      <c r="B626" t="str">
        <f>"1578729485852084"</f>
        <v>1578729485852084</v>
      </c>
      <c r="C626" t="s">
        <v>37</v>
      </c>
      <c r="D626">
        <v>5.9344809999999999</v>
      </c>
      <c r="E626">
        <v>0.51091589999999998</v>
      </c>
      <c r="F626" t="s">
        <v>39</v>
      </c>
      <c r="G626">
        <v>-359.32040000000001</v>
      </c>
      <c r="H626" s="1">
        <v>-3.9845909999999899E-7</v>
      </c>
      <c r="I626">
        <v>368.93560000000002</v>
      </c>
      <c r="J626">
        <v>-372.57889999999998</v>
      </c>
      <c r="K626">
        <v>1.104039</v>
      </c>
      <c r="L626">
        <v>368.07580000000002</v>
      </c>
      <c r="M626">
        <v>0.99985609999999903</v>
      </c>
      <c r="N626">
        <v>0</v>
      </c>
      <c r="O626">
        <v>9.5588219999999998E-3</v>
      </c>
      <c r="P626">
        <v>0.99616269999999996</v>
      </c>
      <c r="Q626">
        <v>-3.8300359999999898E-3</v>
      </c>
      <c r="R626">
        <v>8.7437799999999996E-2</v>
      </c>
      <c r="S626">
        <v>2.9939269999999998</v>
      </c>
      <c r="T626">
        <v>-0.2453516</v>
      </c>
      <c r="U626">
        <v>0.19146729999999901</v>
      </c>
      <c r="V626">
        <v>-7.7900129999999998E-2</v>
      </c>
      <c r="W626">
        <v>1.0223039999999999E-2</v>
      </c>
      <c r="X626">
        <v>0.99690869999999998</v>
      </c>
      <c r="Y626">
        <v>-5.4129539999999997E-2</v>
      </c>
      <c r="Z626">
        <v>1.430745E-3</v>
      </c>
      <c r="AA626">
        <v>0.99853289999999995</v>
      </c>
      <c r="AB626">
        <v>27</v>
      </c>
      <c r="AC626">
        <v>13.2584999999999</v>
      </c>
      <c r="AD626">
        <v>-1.1040393984590999</v>
      </c>
      <c r="AE626">
        <v>0.859800000000007</v>
      </c>
      <c r="AF626">
        <v>-0.72798594668796202</v>
      </c>
      <c r="AG626">
        <v>-1.1040393984590999</v>
      </c>
      <c r="AH626">
        <v>13.1751405127441</v>
      </c>
      <c r="AI626">
        <v>94.782771322945607</v>
      </c>
      <c r="AJ626">
        <v>93.162634325054299</v>
      </c>
      <c r="AK626">
        <v>13.241344118422299</v>
      </c>
    </row>
    <row r="627" spans="1:37" x14ac:dyDescent="0.2">
      <c r="A627" t="str">
        <f>"20200111155805883"</f>
        <v>20200111155805883</v>
      </c>
      <c r="B627" t="str">
        <f>"1578729485871604"</f>
        <v>1578729485871604</v>
      </c>
      <c r="C627" t="s">
        <v>37</v>
      </c>
      <c r="D627">
        <v>5.88957</v>
      </c>
      <c r="E627">
        <v>0.51095979999999996</v>
      </c>
      <c r="F627" t="s">
        <v>39</v>
      </c>
      <c r="G627">
        <v>-359.0027</v>
      </c>
      <c r="H627" s="1">
        <v>-5.3253980000000004E-7</v>
      </c>
      <c r="I627">
        <v>368.9264</v>
      </c>
      <c r="J627">
        <v>-372.31540000000001</v>
      </c>
      <c r="K627">
        <v>1.1040190000000001</v>
      </c>
      <c r="L627">
        <v>368.07760000000002</v>
      </c>
      <c r="M627">
        <v>0.99986229999999998</v>
      </c>
      <c r="N627">
        <v>0</v>
      </c>
      <c r="O627">
        <v>9.0019169999999999E-3</v>
      </c>
      <c r="P627">
        <v>0.99627969999999899</v>
      </c>
      <c r="Q627">
        <v>-4.1468959999999997E-3</v>
      </c>
      <c r="R627">
        <v>8.6078619999999995E-2</v>
      </c>
      <c r="S627">
        <v>2.9941709999999899</v>
      </c>
      <c r="T627">
        <v>-0.24348989999999901</v>
      </c>
      <c r="U627">
        <v>0.18762210000000001</v>
      </c>
      <c r="V627">
        <v>-7.7095590000000006E-2</v>
      </c>
      <c r="W627">
        <v>9.8396779999999993E-3</v>
      </c>
      <c r="X627">
        <v>0.9969751</v>
      </c>
      <c r="Y627">
        <v>-5.3406090000000003E-2</v>
      </c>
      <c r="Z627">
        <v>1.4356929999999901E-3</v>
      </c>
      <c r="AA627">
        <v>0.99857189999999996</v>
      </c>
      <c r="AB627">
        <v>27</v>
      </c>
      <c r="AC627">
        <v>13.3127</v>
      </c>
      <c r="AD627">
        <v>-1.1040195325397999</v>
      </c>
      <c r="AE627">
        <v>0.84879999999998201</v>
      </c>
      <c r="AF627">
        <v>-0.72395539654739705</v>
      </c>
      <c r="AG627">
        <v>-1.1040195325397999</v>
      </c>
      <c r="AH627">
        <v>13.229188637929299</v>
      </c>
      <c r="AI627">
        <v>94.763373864326994</v>
      </c>
      <c r="AJ627">
        <v>93.132335434642101</v>
      </c>
      <c r="AK627">
        <v>13.294901374675099</v>
      </c>
    </row>
    <row r="628" spans="1:37" x14ac:dyDescent="0.2">
      <c r="A628" t="str">
        <f>"20200111155805895"</f>
        <v>20200111155805895</v>
      </c>
      <c r="B628" t="str">
        <f>"1578729485892101"</f>
        <v>1578729485892101</v>
      </c>
      <c r="C628" t="s">
        <v>37</v>
      </c>
      <c r="D628">
        <v>5.8908500000000004</v>
      </c>
      <c r="E628">
        <v>0.51093459999999902</v>
      </c>
      <c r="F628" t="s">
        <v>39</v>
      </c>
      <c r="G628">
        <v>-358.80970000000002</v>
      </c>
      <c r="H628" s="1">
        <v>-6.1930750000000004E-7</v>
      </c>
      <c r="I628">
        <v>368.90410000000003</v>
      </c>
      <c r="J628">
        <v>-372.1755</v>
      </c>
      <c r="K628">
        <v>1.103998</v>
      </c>
      <c r="L628">
        <v>368.07859999999999</v>
      </c>
      <c r="M628">
        <v>0.99986609999999998</v>
      </c>
      <c r="N628">
        <v>0</v>
      </c>
      <c r="O628">
        <v>8.7099569999999904E-3</v>
      </c>
      <c r="P628">
        <v>0.99632749999999903</v>
      </c>
      <c r="Q628">
        <v>-4.0723460000000001E-3</v>
      </c>
      <c r="R628">
        <v>8.5530640000000005E-2</v>
      </c>
      <c r="S628">
        <v>2.994354</v>
      </c>
      <c r="T628">
        <v>-0.2447705</v>
      </c>
      <c r="U628">
        <v>0.18325810000000001</v>
      </c>
      <c r="V628">
        <v>-7.6838420000000004E-2</v>
      </c>
      <c r="W628">
        <v>9.8334800000000003E-3</v>
      </c>
      <c r="X628">
        <v>0.99699509999999902</v>
      </c>
      <c r="Y628">
        <v>-5.2245409999999999E-2</v>
      </c>
      <c r="Z628">
        <v>1.419682E-3</v>
      </c>
      <c r="AA628">
        <v>0.99863329999999995</v>
      </c>
      <c r="AB628">
        <v>27</v>
      </c>
      <c r="AC628">
        <v>13.365799999999901</v>
      </c>
      <c r="AD628">
        <v>-1.1039986193075</v>
      </c>
      <c r="AE628">
        <v>0.82550000000003299</v>
      </c>
      <c r="AF628">
        <v>-0.704255401083976</v>
      </c>
      <c r="AG628">
        <v>-1.1039986193075</v>
      </c>
      <c r="AH628">
        <v>13.282209397168501</v>
      </c>
      <c r="AI628">
        <v>94.744788349830301</v>
      </c>
      <c r="AJ628">
        <v>93.035120946324298</v>
      </c>
      <c r="AK628">
        <v>13.346605377084501</v>
      </c>
    </row>
    <row r="629" spans="1:37" x14ac:dyDescent="0.2">
      <c r="A629" t="str">
        <f>"20200111155805907"</f>
        <v>20200111155805907</v>
      </c>
      <c r="B629" t="str">
        <f>"1578729485901860"</f>
        <v>1578729485901860</v>
      </c>
      <c r="C629" t="s">
        <v>37</v>
      </c>
      <c r="D629">
        <v>5.9747570000000003</v>
      </c>
      <c r="E629">
        <v>0.51101549999999996</v>
      </c>
      <c r="F629" t="s">
        <v>39</v>
      </c>
      <c r="G629">
        <v>-358.72620000000001</v>
      </c>
      <c r="H629" s="1">
        <v>-6.5662789999999998E-7</v>
      </c>
      <c r="I629">
        <v>368.8956</v>
      </c>
      <c r="J629">
        <v>-372.01330000000002</v>
      </c>
      <c r="K629">
        <v>1.1039699999999999</v>
      </c>
      <c r="L629">
        <v>368.07960000000003</v>
      </c>
      <c r="M629">
        <v>0.9998705</v>
      </c>
      <c r="N629">
        <v>0</v>
      </c>
      <c r="O629">
        <v>8.372338E-3</v>
      </c>
      <c r="P629">
        <v>0.99638059999999995</v>
      </c>
      <c r="Q629">
        <v>-3.8838809999999901E-3</v>
      </c>
      <c r="R629">
        <v>8.4918270000000004E-2</v>
      </c>
      <c r="S629">
        <v>2.9944459999999999</v>
      </c>
      <c r="T629">
        <v>-0.24579980000000001</v>
      </c>
      <c r="U629">
        <v>0.181915299999999</v>
      </c>
      <c r="V629">
        <v>-7.6562149999999995E-2</v>
      </c>
      <c r="W629">
        <v>9.9092950000000003E-3</v>
      </c>
      <c r="X629">
        <v>0.997015599999999</v>
      </c>
      <c r="Y629">
        <v>-5.2132640000000001E-2</v>
      </c>
      <c r="Z629">
        <v>1.448632E-3</v>
      </c>
      <c r="AA629">
        <v>0.9986391</v>
      </c>
      <c r="AB629">
        <v>27</v>
      </c>
      <c r="AC629">
        <v>13.287100000000001</v>
      </c>
      <c r="AD629">
        <v>-1.1039706566278999</v>
      </c>
      <c r="AE629">
        <v>0.81599999999997397</v>
      </c>
      <c r="AF629">
        <v>-0.69990332975707303</v>
      </c>
      <c r="AG629">
        <v>-1.1039706566278999</v>
      </c>
      <c r="AH629">
        <v>13.2026676078998</v>
      </c>
      <c r="AI629">
        <v>94.773124692166604</v>
      </c>
      <c r="AJ629">
        <v>93.0345385878081</v>
      </c>
      <c r="AK629">
        <v>13.2672170347209</v>
      </c>
    </row>
    <row r="630" spans="1:37" x14ac:dyDescent="0.2">
      <c r="A630" t="str">
        <f>"20200111155805922"</f>
        <v>20200111155805922</v>
      </c>
      <c r="B630" t="str">
        <f>"1578729485911621"</f>
        <v>1578729485911621</v>
      </c>
      <c r="C630" t="s">
        <v>37</v>
      </c>
      <c r="D630">
        <v>6.1470940000000001</v>
      </c>
      <c r="E630">
        <v>0.51128609999999997</v>
      </c>
      <c r="F630" t="s">
        <v>39</v>
      </c>
      <c r="G630">
        <v>-358.56699999999898</v>
      </c>
      <c r="H630" s="1">
        <v>-7.2687290000000003E-7</v>
      </c>
      <c r="I630">
        <v>368.88459999999998</v>
      </c>
      <c r="J630">
        <v>-371.84300000000002</v>
      </c>
      <c r="K630">
        <v>1.103939</v>
      </c>
      <c r="L630">
        <v>368.0806</v>
      </c>
      <c r="M630">
        <v>0.99987539999999997</v>
      </c>
      <c r="N630">
        <v>0</v>
      </c>
      <c r="O630">
        <v>8.0171089999999997E-3</v>
      </c>
      <c r="P630">
        <v>0.99645409999999901</v>
      </c>
      <c r="Q630">
        <v>-3.44211E-3</v>
      </c>
      <c r="R630">
        <v>8.4069290000000005E-2</v>
      </c>
      <c r="S630">
        <v>2.9946290000000002</v>
      </c>
      <c r="T630">
        <v>-0.24586350000000001</v>
      </c>
      <c r="U630">
        <v>0.1792908</v>
      </c>
      <c r="V630">
        <v>-7.6066540000000002E-2</v>
      </c>
      <c r="W630">
        <v>1.020015E-2</v>
      </c>
      <c r="X630">
        <v>0.99705059999999901</v>
      </c>
      <c r="Y630">
        <v>-5.1612190000000002E-2</v>
      </c>
      <c r="Z630">
        <v>1.456735E-3</v>
      </c>
      <c r="AA630">
        <v>0.99866619999999995</v>
      </c>
      <c r="AB630">
        <v>27</v>
      </c>
      <c r="AC630">
        <v>13.276</v>
      </c>
      <c r="AD630">
        <v>-1.1039397268729001</v>
      </c>
      <c r="AE630">
        <v>0.80399999999997296</v>
      </c>
      <c r="AF630">
        <v>-0.69275666336735298</v>
      </c>
      <c r="AG630">
        <v>-1.1039397268729001</v>
      </c>
      <c r="AH630">
        <v>13.191143699170301</v>
      </c>
      <c r="AI630">
        <v>94.777265991149207</v>
      </c>
      <c r="AJ630">
        <v>93.006229316574604</v>
      </c>
      <c r="AK630">
        <v>13.2553712436645</v>
      </c>
    </row>
    <row r="631" spans="1:37" x14ac:dyDescent="0.2">
      <c r="A631" t="str">
        <f>"20200111155805940"</f>
        <v>20200111155805940</v>
      </c>
      <c r="B631" t="str">
        <f>"1578729485932116"</f>
        <v>1578729485932116</v>
      </c>
      <c r="C631" t="s">
        <v>37</v>
      </c>
      <c r="D631">
        <v>5.9656969999999996</v>
      </c>
      <c r="E631">
        <v>0.57038849999999996</v>
      </c>
      <c r="F631" t="s">
        <v>39</v>
      </c>
      <c r="G631">
        <v>-358.23849999999999</v>
      </c>
      <c r="H631" s="1">
        <v>-8.6971259999999998E-7</v>
      </c>
      <c r="I631">
        <v>368.87369999999999</v>
      </c>
      <c r="J631">
        <v>-371.6241</v>
      </c>
      <c r="K631">
        <v>1.103899</v>
      </c>
      <c r="L631">
        <v>368.08179999999999</v>
      </c>
      <c r="M631">
        <v>0.99988189999999999</v>
      </c>
      <c r="N631">
        <v>0</v>
      </c>
      <c r="O631">
        <v>7.555628E-3</v>
      </c>
      <c r="P631">
        <v>0.9965347</v>
      </c>
      <c r="Q631">
        <v>-2.4359799999999999E-3</v>
      </c>
      <c r="R631">
        <v>8.3142779999999999E-2</v>
      </c>
      <c r="S631">
        <v>2.9951479999999999</v>
      </c>
      <c r="T631">
        <v>-0.24304009999999901</v>
      </c>
      <c r="U631">
        <v>0.17462159999999999</v>
      </c>
      <c r="V631">
        <v>-7.559855E-2</v>
      </c>
      <c r="W631">
        <v>1.098593E-2</v>
      </c>
      <c r="X631">
        <v>0.99707780000000001</v>
      </c>
      <c r="Y631">
        <v>-5.0516789999999999E-2</v>
      </c>
      <c r="Z631">
        <v>1.4329E-3</v>
      </c>
      <c r="AA631">
        <v>0.9987222</v>
      </c>
      <c r="AB631">
        <v>27</v>
      </c>
      <c r="AC631">
        <v>13.3856</v>
      </c>
      <c r="AD631">
        <v>-1.1038998697125999</v>
      </c>
      <c r="AE631">
        <v>0.79189999999999805</v>
      </c>
      <c r="AF631">
        <v>-0.68608183452261695</v>
      </c>
      <c r="AG631">
        <v>-1.1038998697125999</v>
      </c>
      <c r="AH631">
        <v>13.3010544590321</v>
      </c>
      <c r="AI631">
        <v>94.738029226860903</v>
      </c>
      <c r="AJ631">
        <v>92.952757377994104</v>
      </c>
      <c r="AK631">
        <v>13.3644061943714</v>
      </c>
    </row>
    <row r="632" spans="1:37" x14ac:dyDescent="0.2">
      <c r="A632" t="str">
        <f>"20200111155805954"</f>
        <v>20200111155805954</v>
      </c>
      <c r="B632" t="str">
        <f>"1578729485951637"</f>
        <v>1578729485951637</v>
      </c>
      <c r="C632" t="s">
        <v>37</v>
      </c>
      <c r="D632">
        <v>5.6561669999999999</v>
      </c>
      <c r="E632">
        <v>0.58635990000000004</v>
      </c>
      <c r="F632" t="s">
        <v>38</v>
      </c>
      <c r="G632">
        <v>-370.88310000000001</v>
      </c>
      <c r="H632">
        <v>0.96439240000000004</v>
      </c>
      <c r="I632">
        <v>368.01280000000003</v>
      </c>
      <c r="J632">
        <v>-371.45359999999999</v>
      </c>
      <c r="K632">
        <v>1.103866</v>
      </c>
      <c r="L632">
        <v>368.08280000000002</v>
      </c>
      <c r="M632">
        <v>0.99988729999999904</v>
      </c>
      <c r="N632">
        <v>0</v>
      </c>
      <c r="O632">
        <v>7.1927329999999998E-3</v>
      </c>
      <c r="P632">
        <v>0.99658740000000001</v>
      </c>
      <c r="Q632">
        <v>-1.8415079999999999E-3</v>
      </c>
      <c r="R632">
        <v>8.252487E-2</v>
      </c>
      <c r="S632">
        <v>3.0324709999999899</v>
      </c>
      <c r="T632">
        <v>-0.57104969999999999</v>
      </c>
      <c r="U632">
        <v>-0.28106690000000001</v>
      </c>
      <c r="V632">
        <v>-7.5342419999999993E-2</v>
      </c>
      <c r="W632">
        <v>1.138073E-2</v>
      </c>
      <c r="X632">
        <v>0.9970928</v>
      </c>
      <c r="Y632">
        <v>9.7623459999999995E-2</v>
      </c>
      <c r="Z632">
        <v>-1.043286E-2</v>
      </c>
      <c r="AA632">
        <v>0.99516870000000002</v>
      </c>
      <c r="AB632">
        <v>27</v>
      </c>
      <c r="AC632">
        <v>0.57049999999998102</v>
      </c>
      <c r="AD632">
        <v>-0.139473599999999</v>
      </c>
      <c r="AE632">
        <v>-6.9999999999993096E-2</v>
      </c>
      <c r="AF632">
        <v>6.9981352351268497E-2</v>
      </c>
      <c r="AG632">
        <v>-0.139473599999999</v>
      </c>
      <c r="AH632">
        <v>0.53828629207537304</v>
      </c>
      <c r="AI632">
        <v>104.410106567567</v>
      </c>
      <c r="AJ632">
        <v>82.592655117411994</v>
      </c>
      <c r="AK632">
        <v>0.56044839816893499</v>
      </c>
    </row>
    <row r="633" spans="1:37" x14ac:dyDescent="0.2">
      <c r="A633" t="str">
        <f>"20200111155805973"</f>
        <v>20200111155805973</v>
      </c>
      <c r="B633" t="str">
        <f>"1578729485961396"</f>
        <v>1578729485961396</v>
      </c>
      <c r="C633" t="s">
        <v>37</v>
      </c>
      <c r="D633">
        <v>5.7012589999999896</v>
      </c>
      <c r="E633">
        <v>0.58634390000000003</v>
      </c>
      <c r="F633" t="s">
        <v>38</v>
      </c>
      <c r="G633">
        <v>-370.65550000000002</v>
      </c>
      <c r="H633">
        <v>0.93292699999999995</v>
      </c>
      <c r="I633">
        <v>367.97609999999997</v>
      </c>
      <c r="J633">
        <v>-371.23219999999998</v>
      </c>
      <c r="K633">
        <v>1.103818</v>
      </c>
      <c r="L633">
        <v>368.0838</v>
      </c>
      <c r="M633">
        <v>0.99989439999999996</v>
      </c>
      <c r="N633">
        <v>0</v>
      </c>
      <c r="O633">
        <v>6.7188300000000003E-3</v>
      </c>
      <c r="P633">
        <v>0.99662539999999999</v>
      </c>
      <c r="Q633">
        <v>-1.385545E-3</v>
      </c>
      <c r="R633">
        <v>8.2074399999999895E-2</v>
      </c>
      <c r="S633">
        <v>3.0426639999999998</v>
      </c>
      <c r="T633">
        <v>-0.65179989999999999</v>
      </c>
      <c r="U633">
        <v>-0.4054565</v>
      </c>
      <c r="V633">
        <v>-7.5364630000000002E-2</v>
      </c>
      <c r="W633">
        <v>1.15376E-2</v>
      </c>
      <c r="X633">
        <v>0.99708929999999996</v>
      </c>
      <c r="Y633">
        <v>0.13557369999999999</v>
      </c>
      <c r="Z633">
        <v>-1.571469E-2</v>
      </c>
      <c r="AA633">
        <v>0.99064259999999904</v>
      </c>
      <c r="AB633">
        <v>27</v>
      </c>
      <c r="AC633">
        <v>0.57669999999995902</v>
      </c>
      <c r="AD633">
        <v>-0.17089099999999899</v>
      </c>
      <c r="AE633">
        <v>-0.107700000000022</v>
      </c>
      <c r="AF633">
        <v>0.102846178467775</v>
      </c>
      <c r="AG633">
        <v>-0.17089099999999899</v>
      </c>
      <c r="AH633">
        <v>0.53091532851733902</v>
      </c>
      <c r="AI633">
        <v>107.536819206221</v>
      </c>
      <c r="AJ633">
        <v>79.036744902892295</v>
      </c>
      <c r="AK633">
        <v>0.56714385861181504</v>
      </c>
    </row>
    <row r="634" spans="1:37" x14ac:dyDescent="0.2">
      <c r="A634" t="str">
        <f>"20200111155805986"</f>
        <v>20200111155805986</v>
      </c>
      <c r="B634" t="str">
        <f>"1578729485981893"</f>
        <v>1578729485981893</v>
      </c>
      <c r="C634" t="s">
        <v>37</v>
      </c>
      <c r="D634">
        <v>5.652711</v>
      </c>
      <c r="E634">
        <v>0.58599979999999996</v>
      </c>
      <c r="F634" t="s">
        <v>38</v>
      </c>
      <c r="G634">
        <v>-370.41750000000002</v>
      </c>
      <c r="H634">
        <v>0.923585199999999</v>
      </c>
      <c r="I634">
        <v>367.97480000000002</v>
      </c>
      <c r="J634">
        <v>-371.06220000000002</v>
      </c>
      <c r="K634">
        <v>1.103775</v>
      </c>
      <c r="L634">
        <v>368.08460000000002</v>
      </c>
      <c r="M634">
        <v>0.99990020000000002</v>
      </c>
      <c r="N634">
        <v>0</v>
      </c>
      <c r="O634">
        <v>6.3547050000000004E-3</v>
      </c>
      <c r="P634">
        <v>0.996658499999999</v>
      </c>
      <c r="Q634">
        <v>-9.7885729999999996E-4</v>
      </c>
      <c r="R634">
        <v>8.1675689999999995E-2</v>
      </c>
      <c r="S634">
        <v>3.04260299999999</v>
      </c>
      <c r="T634">
        <v>-0.67315970000000003</v>
      </c>
      <c r="U634">
        <v>-0.40539550000000002</v>
      </c>
      <c r="V634">
        <v>-7.532838E-2</v>
      </c>
      <c r="W634">
        <v>1.1685890000000001E-2</v>
      </c>
      <c r="X634">
        <v>0.99709029999999998</v>
      </c>
      <c r="Y634">
        <v>0.13500909999999999</v>
      </c>
      <c r="Z634">
        <v>-1.607745E-2</v>
      </c>
      <c r="AA634">
        <v>0.99071390000000004</v>
      </c>
      <c r="AB634">
        <v>27</v>
      </c>
      <c r="AC634">
        <v>0.64470000000000005</v>
      </c>
      <c r="AD634">
        <v>-0.18018980000000001</v>
      </c>
      <c r="AE634">
        <v>-0.109800000000007</v>
      </c>
      <c r="AF634">
        <v>0.105858730468479</v>
      </c>
      <c r="AG634">
        <v>-0.18018980000000001</v>
      </c>
      <c r="AH634">
        <v>0.59855028379430297</v>
      </c>
      <c r="AI634">
        <v>106.512098524815</v>
      </c>
      <c r="AJ634">
        <v>79.970464839675699</v>
      </c>
      <c r="AK634">
        <v>0.63398491864608197</v>
      </c>
    </row>
    <row r="635" spans="1:37" x14ac:dyDescent="0.2">
      <c r="A635" t="str">
        <f>"20200111155806000"</f>
        <v>20200111155806000</v>
      </c>
      <c r="B635" t="str">
        <f>"1578729485991653"</f>
        <v>1578729485991653</v>
      </c>
      <c r="C635" t="s">
        <v>37</v>
      </c>
      <c r="D635">
        <v>8.0952289999999998</v>
      </c>
      <c r="E635">
        <v>0.58599979999999996</v>
      </c>
      <c r="F635" t="s">
        <v>38</v>
      </c>
      <c r="G635">
        <v>-370.18290000000002</v>
      </c>
      <c r="H635">
        <v>0.90382229999999997</v>
      </c>
      <c r="I635">
        <v>367.96800000000002</v>
      </c>
      <c r="J635">
        <v>-370.89839999999998</v>
      </c>
      <c r="K635">
        <v>1.103731</v>
      </c>
      <c r="L635">
        <v>368.08530000000002</v>
      </c>
      <c r="M635">
        <v>0.99990579999999996</v>
      </c>
      <c r="N635">
        <v>0</v>
      </c>
      <c r="O635">
        <v>6.00469E-3</v>
      </c>
      <c r="P635">
        <v>0.99668279999999998</v>
      </c>
      <c r="Q635">
        <v>-5.1296129999999895E-4</v>
      </c>
      <c r="R635">
        <v>8.1383369999999997E-2</v>
      </c>
      <c r="S635">
        <v>3.042389</v>
      </c>
      <c r="T635">
        <v>-0.69177599999999995</v>
      </c>
      <c r="U635">
        <v>-0.4025879</v>
      </c>
      <c r="V635">
        <v>-7.5384779999999998E-2</v>
      </c>
      <c r="W635">
        <v>1.1877560000000001E-2</v>
      </c>
      <c r="X635">
        <v>0.99708379999999996</v>
      </c>
      <c r="Y635">
        <v>0.13362939999999901</v>
      </c>
      <c r="Z635">
        <v>-1.6280849999999999E-2</v>
      </c>
      <c r="AA635">
        <v>0.99089769999999899</v>
      </c>
      <c r="AB635">
        <v>27</v>
      </c>
      <c r="AC635">
        <v>0.71549999999996305</v>
      </c>
      <c r="AD635">
        <v>-0.19990869999999999</v>
      </c>
      <c r="AE635">
        <v>-0.1173</v>
      </c>
      <c r="AF635">
        <v>0.11300404167489</v>
      </c>
      <c r="AG635">
        <v>-0.19990869999999999</v>
      </c>
      <c r="AH635">
        <v>0.66428406158870201</v>
      </c>
      <c r="AI635">
        <v>106.524383354371</v>
      </c>
      <c r="AJ635">
        <v>80.345604636122602</v>
      </c>
      <c r="AK635">
        <v>0.70285611347652999</v>
      </c>
    </row>
    <row r="636" spans="1:37" x14ac:dyDescent="0.2">
      <c r="A636" t="str">
        <f>"20200111155806018"</f>
        <v>20200111155806018</v>
      </c>
      <c r="B636" t="str">
        <f>"1578729486012149"</f>
        <v>1578729486012149</v>
      </c>
      <c r="C636" t="s">
        <v>37</v>
      </c>
      <c r="D636">
        <v>5.739922</v>
      </c>
      <c r="E636">
        <v>0.58561940000000001</v>
      </c>
      <c r="F636" t="s">
        <v>38</v>
      </c>
      <c r="G636">
        <v>-370.16820000000001</v>
      </c>
      <c r="H636">
        <v>0.93805839999999996</v>
      </c>
      <c r="I636">
        <v>367.98829999999998</v>
      </c>
      <c r="J636">
        <v>-370.67869999999999</v>
      </c>
      <c r="K636">
        <v>1.103669</v>
      </c>
      <c r="L636">
        <v>368.08609999999999</v>
      </c>
      <c r="M636">
        <v>0.99991319999999995</v>
      </c>
      <c r="N636">
        <v>0</v>
      </c>
      <c r="O636">
        <v>5.5372310000000001E-3</v>
      </c>
      <c r="P636">
        <v>0.99673269999999903</v>
      </c>
      <c r="Q636">
        <v>3.5041199999999998E-4</v>
      </c>
      <c r="R636">
        <v>8.0771129999999997E-2</v>
      </c>
      <c r="S636">
        <v>3.04260299999999</v>
      </c>
      <c r="T636">
        <v>-0.69038189999999999</v>
      </c>
      <c r="U636">
        <v>-0.40335079999999901</v>
      </c>
      <c r="V636">
        <v>-7.5237910000000005E-2</v>
      </c>
      <c r="W636">
        <v>1.235293E-2</v>
      </c>
      <c r="X636">
        <v>0.99708909999999995</v>
      </c>
      <c r="Y636">
        <v>0.13343260000000001</v>
      </c>
      <c r="Z636">
        <v>-1.6121199999999999E-2</v>
      </c>
      <c r="AA636">
        <v>0.99092669999999905</v>
      </c>
      <c r="AB636">
        <v>27</v>
      </c>
      <c r="AC636">
        <v>0.51049999999997897</v>
      </c>
      <c r="AD636">
        <v>-0.165610599999999</v>
      </c>
      <c r="AE636">
        <v>-9.7800000000006507E-2</v>
      </c>
      <c r="AF636">
        <v>9.1351859186382597E-2</v>
      </c>
      <c r="AG636">
        <v>-0.165610599999999</v>
      </c>
      <c r="AH636">
        <v>0.46295376179262399</v>
      </c>
      <c r="AI636">
        <v>109.33896441670601</v>
      </c>
      <c r="AJ636">
        <v>78.8375729984798</v>
      </c>
      <c r="AK636">
        <v>0.50009820892211798</v>
      </c>
    </row>
    <row r="637" spans="1:37" x14ac:dyDescent="0.2">
      <c r="A637" t="str">
        <f>"20200111155806033"</f>
        <v>20200111155806033</v>
      </c>
      <c r="B637" t="str">
        <f>"1578729486021909"</f>
        <v>1578729486021909</v>
      </c>
      <c r="C637" t="s">
        <v>37</v>
      </c>
      <c r="D637">
        <v>5.7123949999999999</v>
      </c>
      <c r="E637">
        <v>0.58576219999999901</v>
      </c>
      <c r="F637" t="s">
        <v>38</v>
      </c>
      <c r="G637">
        <v>-369.9248</v>
      </c>
      <c r="H637">
        <v>0.93712399999999996</v>
      </c>
      <c r="I637">
        <v>367.98590000000002</v>
      </c>
      <c r="J637">
        <v>-370.50049999999999</v>
      </c>
      <c r="K637">
        <v>1.1036189999999999</v>
      </c>
      <c r="L637">
        <v>368.08670000000001</v>
      </c>
      <c r="M637">
        <v>0.99991919999999901</v>
      </c>
      <c r="N637">
        <v>0</v>
      </c>
      <c r="O637">
        <v>5.1589440000000004E-3</v>
      </c>
      <c r="P637">
        <v>0.99677130000000003</v>
      </c>
      <c r="Q637">
        <v>1.019657E-3</v>
      </c>
      <c r="R637">
        <v>8.0287739999999996E-2</v>
      </c>
      <c r="S637">
        <v>3.0427249999999999</v>
      </c>
      <c r="T637">
        <v>-0.67230230000000002</v>
      </c>
      <c r="U637">
        <v>-0.40277099999999999</v>
      </c>
      <c r="V637">
        <v>-7.5131089999999998E-2</v>
      </c>
      <c r="W637">
        <v>1.268478E-2</v>
      </c>
      <c r="X637">
        <v>0.99709300000000001</v>
      </c>
      <c r="Y637">
        <v>0.1330624</v>
      </c>
      <c r="Z637">
        <v>-1.5586040000000001E-2</v>
      </c>
      <c r="AA637">
        <v>0.99098509999999995</v>
      </c>
      <c r="AB637">
        <v>27</v>
      </c>
      <c r="AC637">
        <v>0.575699999999983</v>
      </c>
      <c r="AD637">
        <v>-0.166495</v>
      </c>
      <c r="AE637">
        <v>-0.10079999999999199</v>
      </c>
      <c r="AF637">
        <v>9.5979958699109205E-2</v>
      </c>
      <c r="AG637">
        <v>-0.166495</v>
      </c>
      <c r="AH637">
        <v>0.53199977550822197</v>
      </c>
      <c r="AI637">
        <v>107.118226881626</v>
      </c>
      <c r="AJ637">
        <v>79.773077859198906</v>
      </c>
      <c r="AK637">
        <v>0.56564697350704596</v>
      </c>
    </row>
    <row r="638" spans="1:37" x14ac:dyDescent="0.2">
      <c r="A638" t="str">
        <f>"20200111155806048"</f>
        <v>20200111155806048</v>
      </c>
      <c r="B638" t="str">
        <f>"1578729486041428"</f>
        <v>1578729486041428</v>
      </c>
      <c r="C638" t="s">
        <v>37</v>
      </c>
      <c r="D638">
        <v>5.6725440000000003</v>
      </c>
      <c r="E638">
        <v>0.59457510000000002</v>
      </c>
      <c r="F638" t="s">
        <v>38</v>
      </c>
      <c r="G638">
        <v>-369.68520000000001</v>
      </c>
      <c r="H638">
        <v>0.92600759999999904</v>
      </c>
      <c r="I638">
        <v>367.97789999999998</v>
      </c>
      <c r="J638">
        <v>-370.31779999999998</v>
      </c>
      <c r="K638">
        <v>1.1035649999999999</v>
      </c>
      <c r="L638">
        <v>368.0872</v>
      </c>
      <c r="M638">
        <v>0.99992530000000002</v>
      </c>
      <c r="N638">
        <v>0</v>
      </c>
      <c r="O638">
        <v>4.7724170000000002E-3</v>
      </c>
      <c r="P638">
        <v>0.99680820000000003</v>
      </c>
      <c r="Q638">
        <v>1.6570650000000001E-3</v>
      </c>
      <c r="R638">
        <v>7.981866E-2</v>
      </c>
      <c r="S638">
        <v>3.0430599999999899</v>
      </c>
      <c r="T638">
        <v>-0.66289569999999998</v>
      </c>
      <c r="U638">
        <v>-0.40554809999999902</v>
      </c>
      <c r="V638">
        <v>-7.5047160000000002E-2</v>
      </c>
      <c r="W638">
        <v>1.295751E-2</v>
      </c>
      <c r="X638">
        <v>0.99709579999999998</v>
      </c>
      <c r="Y638">
        <v>0.1336407</v>
      </c>
      <c r="Z638">
        <v>-1.53495E-2</v>
      </c>
      <c r="AA638">
        <v>0.99091090000000004</v>
      </c>
      <c r="AB638">
        <v>27</v>
      </c>
      <c r="AC638">
        <v>0.63259999999996797</v>
      </c>
      <c r="AD638">
        <v>-0.177557399999999</v>
      </c>
      <c r="AE638">
        <v>-0.10930000000001799</v>
      </c>
      <c r="AF638">
        <v>0.104336549545093</v>
      </c>
      <c r="AG638">
        <v>-0.177557399999999</v>
      </c>
      <c r="AH638">
        <v>0.58715553005797505</v>
      </c>
      <c r="AI638">
        <v>106.580289890111</v>
      </c>
      <c r="AJ638">
        <v>79.9238153550112</v>
      </c>
      <c r="AK638">
        <v>0.62222533084357601</v>
      </c>
    </row>
    <row r="639" spans="1:37" x14ac:dyDescent="0.2">
      <c r="A639" t="str">
        <f>"20200111155806061"</f>
        <v>20200111155806061</v>
      </c>
      <c r="B639" t="str">
        <f>"1578729486051188"</f>
        <v>1578729486051188</v>
      </c>
      <c r="C639" t="s">
        <v>37</v>
      </c>
      <c r="D639">
        <v>5.6815129999999998</v>
      </c>
      <c r="E639">
        <v>0.59350609999999904</v>
      </c>
      <c r="F639" t="s">
        <v>38</v>
      </c>
      <c r="G639">
        <v>-369.42149999999998</v>
      </c>
      <c r="H639">
        <v>0.96162559999999997</v>
      </c>
      <c r="I639">
        <v>367.9436</v>
      </c>
      <c r="J639">
        <v>-370.14749999999998</v>
      </c>
      <c r="K639">
        <v>1.103505</v>
      </c>
      <c r="L639">
        <v>368.08769999999998</v>
      </c>
      <c r="M639">
        <v>0.99993099999999902</v>
      </c>
      <c r="N639">
        <v>0</v>
      </c>
      <c r="O639">
        <v>4.411781E-3</v>
      </c>
      <c r="P639">
        <v>0.99686960000000002</v>
      </c>
      <c r="Q639">
        <v>3.1910969999999999E-3</v>
      </c>
      <c r="R639">
        <v>7.9000959999999995E-2</v>
      </c>
      <c r="S639">
        <v>3.0493769999999998</v>
      </c>
      <c r="T639">
        <v>-0.48305150000000002</v>
      </c>
      <c r="U639">
        <v>-0.48696899999999999</v>
      </c>
      <c r="V639">
        <v>-7.4587619999999993E-2</v>
      </c>
      <c r="W639">
        <v>1.41309E-2</v>
      </c>
      <c r="X639">
        <v>0.99711439999999996</v>
      </c>
      <c r="Y639">
        <v>0.16005139999999901</v>
      </c>
      <c r="Z639">
        <v>-1.321079E-2</v>
      </c>
      <c r="AA639">
        <v>0.98702029999999996</v>
      </c>
      <c r="AB639">
        <v>27</v>
      </c>
      <c r="AC639">
        <v>0.72599999999999898</v>
      </c>
      <c r="AD639">
        <v>-0.14187939999999999</v>
      </c>
      <c r="AE639">
        <v>-0.14409999999997999</v>
      </c>
      <c r="AF639">
        <v>0.14208113659060101</v>
      </c>
      <c r="AG639">
        <v>-0.14187939999999999</v>
      </c>
      <c r="AH639">
        <v>0.69964936795987998</v>
      </c>
      <c r="AI639">
        <v>101.239952881991</v>
      </c>
      <c r="AJ639">
        <v>78.520772434249906</v>
      </c>
      <c r="AK639">
        <v>0.72789151087637904</v>
      </c>
    </row>
    <row r="640" spans="1:37" x14ac:dyDescent="0.2">
      <c r="A640" t="str">
        <f>"20200111155806075"</f>
        <v>20200111155806075</v>
      </c>
      <c r="B640" t="str">
        <f>"1578729486071685"</f>
        <v>1578729486071685</v>
      </c>
      <c r="C640" t="s">
        <v>37</v>
      </c>
      <c r="D640">
        <v>5.6569120000000002</v>
      </c>
      <c r="E640">
        <v>0.5934142</v>
      </c>
      <c r="F640" t="s">
        <v>38</v>
      </c>
      <c r="G640">
        <v>-369.41329999999999</v>
      </c>
      <c r="H640">
        <v>0.98087139999999995</v>
      </c>
      <c r="I640">
        <v>367.97179999999997</v>
      </c>
      <c r="J640">
        <v>-369.98880000000003</v>
      </c>
      <c r="K640">
        <v>1.103456</v>
      </c>
      <c r="L640">
        <v>368.0881</v>
      </c>
      <c r="M640">
        <v>0.99993600000000005</v>
      </c>
      <c r="N640">
        <v>0</v>
      </c>
      <c r="O640">
        <v>4.07636299999999E-3</v>
      </c>
      <c r="P640">
        <v>0.99690009999999996</v>
      </c>
      <c r="Q640">
        <v>4.0850959999999999E-3</v>
      </c>
      <c r="R640">
        <v>7.8573320000000002E-2</v>
      </c>
      <c r="S640">
        <v>3.0490719999999998</v>
      </c>
      <c r="T640">
        <v>-0.50943549999999904</v>
      </c>
      <c r="U640">
        <v>-0.47940059999999901</v>
      </c>
      <c r="V640">
        <v>-7.4493359999999995E-2</v>
      </c>
      <c r="W640">
        <v>1.468302E-2</v>
      </c>
      <c r="X640">
        <v>0.99711340000000004</v>
      </c>
      <c r="Y640">
        <v>0.15716429999999901</v>
      </c>
      <c r="Z640">
        <v>-1.363347E-2</v>
      </c>
      <c r="AA640">
        <v>0.98747839999999998</v>
      </c>
      <c r="AB640">
        <v>27</v>
      </c>
      <c r="AC640">
        <v>0.57550000000003299</v>
      </c>
      <c r="AD640">
        <v>-0.1225846</v>
      </c>
      <c r="AE640">
        <v>-0.116300000000023</v>
      </c>
      <c r="AF640">
        <v>0.113689270424463</v>
      </c>
      <c r="AG640">
        <v>-0.1225846</v>
      </c>
      <c r="AH640">
        <v>0.55100231171868796</v>
      </c>
      <c r="AI640">
        <v>102.291835148967</v>
      </c>
      <c r="AJ640">
        <v>78.341666757226903</v>
      </c>
      <c r="AK640">
        <v>0.57580880671117296</v>
      </c>
    </row>
    <row r="641" spans="1:37" x14ac:dyDescent="0.2">
      <c r="A641" t="str">
        <f>"20200111155806088"</f>
        <v>20200111155806088</v>
      </c>
      <c r="B641" t="str">
        <f>"1578729486081446"</f>
        <v>1578729486081446</v>
      </c>
      <c r="C641" t="s">
        <v>37</v>
      </c>
      <c r="D641">
        <v>5.6902059999999999</v>
      </c>
      <c r="E641">
        <v>0.5864045</v>
      </c>
      <c r="F641" t="s">
        <v>38</v>
      </c>
      <c r="G641">
        <v>-369.17169999999999</v>
      </c>
      <c r="H641">
        <v>0.96960630000000003</v>
      </c>
      <c r="I641">
        <v>367.95949999999999</v>
      </c>
      <c r="J641">
        <v>-369.81630000000001</v>
      </c>
      <c r="K641">
        <v>1.103405</v>
      </c>
      <c r="L641">
        <v>368.08839999999998</v>
      </c>
      <c r="M641">
        <v>0.99994130000000003</v>
      </c>
      <c r="N641">
        <v>0</v>
      </c>
      <c r="O641">
        <v>3.711977E-3</v>
      </c>
      <c r="P641">
        <v>0.99695029999999996</v>
      </c>
      <c r="Q641">
        <v>4.7281249999999997E-3</v>
      </c>
      <c r="R641">
        <v>7.7898010000000004E-2</v>
      </c>
      <c r="S641">
        <v>3.049194</v>
      </c>
      <c r="T641">
        <v>-0.49947239999999998</v>
      </c>
      <c r="U641">
        <v>-0.47985839999999902</v>
      </c>
      <c r="V641">
        <v>-7.4181620000000004E-2</v>
      </c>
      <c r="W641">
        <v>1.4952399999999999E-2</v>
      </c>
      <c r="X641">
        <v>0.99713269999999998</v>
      </c>
      <c r="Y641">
        <v>0.1570337</v>
      </c>
      <c r="Z641">
        <v>-1.330014E-2</v>
      </c>
      <c r="AA641">
        <v>0.98750369999999998</v>
      </c>
      <c r="AB641">
        <v>27</v>
      </c>
      <c r="AC641">
        <v>0.64460000000002504</v>
      </c>
      <c r="AD641">
        <v>-0.13379869999999899</v>
      </c>
      <c r="AE641">
        <v>-0.128899999999987</v>
      </c>
      <c r="AF641">
        <v>0.12606916988658001</v>
      </c>
      <c r="AG641">
        <v>-0.13379869999999899</v>
      </c>
      <c r="AH641">
        <v>0.61849402687627397</v>
      </c>
      <c r="AI641">
        <v>101.967905823915</v>
      </c>
      <c r="AJ641">
        <v>78.479084754429195</v>
      </c>
      <c r="AK641">
        <v>0.64523669222945701</v>
      </c>
    </row>
    <row r="642" spans="1:37" x14ac:dyDescent="0.2">
      <c r="A642" t="str">
        <f>"20200111155806100"</f>
        <v>20200111155806100</v>
      </c>
      <c r="B642" t="str">
        <f>"1578729486092181"</f>
        <v>1578729486092181</v>
      </c>
      <c r="C642" t="s">
        <v>37</v>
      </c>
      <c r="D642">
        <v>5.6579470000000001</v>
      </c>
      <c r="E642">
        <v>0.58647059999999995</v>
      </c>
      <c r="F642" t="s">
        <v>38</v>
      </c>
      <c r="G642">
        <v>-368.9554</v>
      </c>
      <c r="H642">
        <v>0.90206309999999901</v>
      </c>
      <c r="I642">
        <v>367.9708</v>
      </c>
      <c r="J642">
        <v>-369.65780000000001</v>
      </c>
      <c r="K642">
        <v>1.103367</v>
      </c>
      <c r="L642">
        <v>368.08859999999999</v>
      </c>
      <c r="M642">
        <v>0.99994609999999995</v>
      </c>
      <c r="N642">
        <v>0</v>
      </c>
      <c r="O642">
        <v>3.376619E-3</v>
      </c>
      <c r="P642">
        <v>0.99700560000000005</v>
      </c>
      <c r="Q642">
        <v>5.2690559999999899E-3</v>
      </c>
      <c r="R642">
        <v>7.7152509999999994E-2</v>
      </c>
      <c r="S642">
        <v>3.0449519999999999</v>
      </c>
      <c r="T642">
        <v>-0.71219639999999995</v>
      </c>
      <c r="U642">
        <v>-0.41436769999999901</v>
      </c>
      <c r="V642">
        <v>-7.3769660000000001E-2</v>
      </c>
      <c r="W642">
        <v>1.51516999999999E-2</v>
      </c>
      <c r="X642">
        <v>0.99716019999999905</v>
      </c>
      <c r="Y642">
        <v>0.13453019999999999</v>
      </c>
      <c r="Z642">
        <v>-1.6230890000000001E-2</v>
      </c>
      <c r="AA642">
        <v>0.99077649999999995</v>
      </c>
      <c r="AB642">
        <v>28</v>
      </c>
      <c r="AC642">
        <v>0.70240000000001102</v>
      </c>
      <c r="AD642">
        <v>-0.20130390000000001</v>
      </c>
      <c r="AE642">
        <v>-0.117799999999988</v>
      </c>
      <c r="AF642">
        <v>0.111281016517138</v>
      </c>
      <c r="AG642">
        <v>-0.20130390000000001</v>
      </c>
      <c r="AH642">
        <v>0.65006497006026198</v>
      </c>
      <c r="AI642">
        <v>106.973627257179</v>
      </c>
      <c r="AJ642">
        <v>80.286009628651897</v>
      </c>
      <c r="AK642">
        <v>0.68955869227481104</v>
      </c>
    </row>
    <row r="643" spans="1:37" x14ac:dyDescent="0.2">
      <c r="A643" t="str">
        <f>"20200111155806119"</f>
        <v>20200111155806119</v>
      </c>
      <c r="B643" t="str">
        <f>"1578729486112677"</f>
        <v>1578729486112677</v>
      </c>
      <c r="C643" t="s">
        <v>37</v>
      </c>
      <c r="D643">
        <v>8.1216899999999992</v>
      </c>
      <c r="E643">
        <v>0.58690330000000002</v>
      </c>
      <c r="F643" t="s">
        <v>38</v>
      </c>
      <c r="G643">
        <v>-368.94189999999998</v>
      </c>
      <c r="H643">
        <v>0.93427559999999998</v>
      </c>
      <c r="I643">
        <v>367.99029999999999</v>
      </c>
      <c r="J643">
        <v>-369.4323</v>
      </c>
      <c r="K643">
        <v>1.1033090000000001</v>
      </c>
      <c r="L643">
        <v>368.08890000000002</v>
      </c>
      <c r="M643">
        <v>0.99995210000000001</v>
      </c>
      <c r="N643">
        <v>0</v>
      </c>
      <c r="O643">
        <v>2.9004459999999901E-3</v>
      </c>
      <c r="P643">
        <v>0.99707950000000001</v>
      </c>
      <c r="Q643">
        <v>6.4623730000000004E-3</v>
      </c>
      <c r="R643">
        <v>7.6098150000000003E-2</v>
      </c>
      <c r="S643">
        <v>3.0449830000000002</v>
      </c>
      <c r="T643">
        <v>-0.71911619999999998</v>
      </c>
      <c r="U643">
        <v>-0.4162903</v>
      </c>
      <c r="V643">
        <v>-7.3189210000000005E-2</v>
      </c>
      <c r="W643">
        <v>1.587069E-2</v>
      </c>
      <c r="X643">
        <v>0.99719179999999996</v>
      </c>
      <c r="Y643">
        <v>0.13461219999999999</v>
      </c>
      <c r="Z643">
        <v>-1.6282660000000001E-2</v>
      </c>
      <c r="AA643">
        <v>0.9907646</v>
      </c>
      <c r="AB643">
        <v>28</v>
      </c>
      <c r="AC643">
        <v>0.49040000000002198</v>
      </c>
      <c r="AD643">
        <v>-0.1690334</v>
      </c>
      <c r="AE643">
        <v>-9.8600000000033106E-2</v>
      </c>
      <c r="AF643">
        <v>8.9770958386935301E-2</v>
      </c>
      <c r="AG643">
        <v>-0.1690334</v>
      </c>
      <c r="AH643">
        <v>0.43988129756479599</v>
      </c>
      <c r="AI643">
        <v>110.631852971049</v>
      </c>
      <c r="AJ643">
        <v>78.465471253510501</v>
      </c>
      <c r="AK643">
        <v>0.47971519804208501</v>
      </c>
    </row>
    <row r="644" spans="1:37" x14ac:dyDescent="0.2">
      <c r="A644" t="str">
        <f>"20200111155806140"</f>
        <v>20200111155806140</v>
      </c>
      <c r="B644" t="str">
        <f>"1578729486131220"</f>
        <v>1578729486131220</v>
      </c>
      <c r="C644" t="s">
        <v>37</v>
      </c>
      <c r="D644">
        <v>5.7295220000000002</v>
      </c>
      <c r="E644">
        <v>0.58689729999999996</v>
      </c>
      <c r="F644" t="s">
        <v>38</v>
      </c>
      <c r="G644">
        <v>-368.69479999999999</v>
      </c>
      <c r="H644">
        <v>0.93005260000000001</v>
      </c>
      <c r="I644">
        <v>367.98630000000003</v>
      </c>
      <c r="J644">
        <v>-369.16309999999999</v>
      </c>
      <c r="K644">
        <v>1.103251</v>
      </c>
      <c r="L644">
        <v>368.08909999999997</v>
      </c>
      <c r="M644">
        <v>0.99995849999999897</v>
      </c>
      <c r="N644">
        <v>0</v>
      </c>
      <c r="O644">
        <v>2.3334150000000001E-3</v>
      </c>
      <c r="P644">
        <v>0.99711719999999904</v>
      </c>
      <c r="Q644">
        <v>7.6153409999999899E-3</v>
      </c>
      <c r="R644">
        <v>7.5493009999999999E-2</v>
      </c>
      <c r="S644">
        <v>3.04568499999999</v>
      </c>
      <c r="T644">
        <v>-0.71558820000000001</v>
      </c>
      <c r="U644">
        <v>-0.42337039999999998</v>
      </c>
      <c r="V644">
        <v>-7.3148539999999998E-2</v>
      </c>
      <c r="W644">
        <v>1.6481909999999999E-2</v>
      </c>
      <c r="X644">
        <v>0.99718490000000004</v>
      </c>
      <c r="Y644">
        <v>0.136289299999999</v>
      </c>
      <c r="Z644">
        <v>-1.6261439999999999E-2</v>
      </c>
      <c r="AA644">
        <v>0.99053559999999996</v>
      </c>
      <c r="AB644">
        <v>28</v>
      </c>
      <c r="AC644">
        <v>0.46829999999999899</v>
      </c>
      <c r="AD644">
        <v>-0.173198399999999</v>
      </c>
      <c r="AE644">
        <v>-0.102799999999945</v>
      </c>
      <c r="AF644">
        <v>9.1899852086204006E-2</v>
      </c>
      <c r="AG644">
        <v>-0.173198399999999</v>
      </c>
      <c r="AH644">
        <v>0.414029289099279</v>
      </c>
      <c r="AI644">
        <v>112.21435653799099</v>
      </c>
      <c r="AJ644">
        <v>77.485258241506202</v>
      </c>
      <c r="AK644">
        <v>0.45810863428676002</v>
      </c>
    </row>
    <row r="645" spans="1:37" x14ac:dyDescent="0.2">
      <c r="A645" t="str">
        <f>"20200111155806176"</f>
        <v>20200111155806176</v>
      </c>
      <c r="B645" t="str">
        <f>"1578729486171236"</f>
        <v>1578729486171236</v>
      </c>
      <c r="C645" t="s">
        <v>37</v>
      </c>
      <c r="D645">
        <v>5.7694169999999998</v>
      </c>
      <c r="E645">
        <v>0.58589040000000003</v>
      </c>
      <c r="F645" t="s">
        <v>38</v>
      </c>
      <c r="G645">
        <v>-368.44209999999998</v>
      </c>
      <c r="H645">
        <v>0.93605859999999996</v>
      </c>
      <c r="I645">
        <v>367.98820000000001</v>
      </c>
      <c r="J645">
        <v>-368.75619999999998</v>
      </c>
      <c r="K645">
        <v>1.103175</v>
      </c>
      <c r="L645">
        <v>368.08909999999997</v>
      </c>
      <c r="M645">
        <v>0.99996640000000003</v>
      </c>
      <c r="N645">
        <v>0</v>
      </c>
      <c r="O645">
        <v>1.478135E-3</v>
      </c>
      <c r="P645">
        <v>0.99717099999999903</v>
      </c>
      <c r="Q645">
        <v>8.6462069999999995E-3</v>
      </c>
      <c r="R645">
        <v>7.466768E-2</v>
      </c>
      <c r="S645">
        <v>3.046265</v>
      </c>
      <c r="T645">
        <v>-0.70632240000000002</v>
      </c>
      <c r="U645">
        <v>-0.4253845</v>
      </c>
      <c r="V645">
        <v>-7.3175779999999996E-2</v>
      </c>
      <c r="W645">
        <v>1.6767500000000001E-2</v>
      </c>
      <c r="X645">
        <v>0.99717809999999996</v>
      </c>
      <c r="Y645">
        <v>0.1361802</v>
      </c>
      <c r="Z645">
        <v>-1.5845379999999999E-2</v>
      </c>
      <c r="AA645">
        <v>0.99055740000000003</v>
      </c>
      <c r="AB645">
        <v>28</v>
      </c>
      <c r="AC645">
        <v>0.31409999999999599</v>
      </c>
      <c r="AD645">
        <v>-0.1671164</v>
      </c>
      <c r="AE645">
        <v>-0.100899999999967</v>
      </c>
      <c r="AF645">
        <v>8.06656457279947E-2</v>
      </c>
      <c r="AG645">
        <v>-0.1671164</v>
      </c>
      <c r="AH645">
        <v>0.24984189389096201</v>
      </c>
      <c r="AI645">
        <v>122.478132442858</v>
      </c>
      <c r="AJ645">
        <v>72.106455931464495</v>
      </c>
      <c r="AK645">
        <v>0.31121666005003201</v>
      </c>
    </row>
    <row r="646" spans="1:37" x14ac:dyDescent="0.2">
      <c r="A646" t="str">
        <f>"20200111155806190"</f>
        <v>20200111155806190</v>
      </c>
      <c r="B646" t="str">
        <f>"1578729486181972"</f>
        <v>1578729486181972</v>
      </c>
      <c r="C646" t="s">
        <v>37</v>
      </c>
      <c r="D646">
        <v>5.7563659999999999</v>
      </c>
      <c r="E646">
        <v>0.58568450000000005</v>
      </c>
      <c r="F646" t="s">
        <v>38</v>
      </c>
      <c r="G646">
        <v>-367.94940000000003</v>
      </c>
      <c r="H646">
        <v>0.91164539999999905</v>
      </c>
      <c r="I646">
        <v>367.97809999999998</v>
      </c>
      <c r="J646">
        <v>-368.54340000000002</v>
      </c>
      <c r="K646">
        <v>1.1031420000000001</v>
      </c>
      <c r="L646">
        <v>368.089</v>
      </c>
      <c r="M646">
        <v>0.99996969999999996</v>
      </c>
      <c r="N646">
        <v>0</v>
      </c>
      <c r="O646">
        <v>1.0325289999999999E-3</v>
      </c>
      <c r="P646">
        <v>0.99718779999999996</v>
      </c>
      <c r="Q646">
        <v>8.8178830000000003E-3</v>
      </c>
      <c r="R646">
        <v>7.4421899999999999E-2</v>
      </c>
      <c r="S646">
        <v>3.0460509999999998</v>
      </c>
      <c r="T646">
        <v>-0.72305419999999998</v>
      </c>
      <c r="U646">
        <v>-0.41802979999999901</v>
      </c>
      <c r="V646">
        <v>-7.3374270000000005E-2</v>
      </c>
      <c r="W646">
        <v>1.6588700000000001E-2</v>
      </c>
      <c r="X646">
        <v>0.99716649999999996</v>
      </c>
      <c r="Y646">
        <v>0.13331979999999999</v>
      </c>
      <c r="Z646">
        <v>-1.5777300000000001E-2</v>
      </c>
      <c r="AA646">
        <v>0.99094749999999998</v>
      </c>
      <c r="AB646">
        <v>28</v>
      </c>
      <c r="AC646">
        <v>0.59399999999999398</v>
      </c>
      <c r="AD646">
        <v>-0.19149659999999999</v>
      </c>
      <c r="AE646">
        <v>-0.110900000000015</v>
      </c>
      <c r="AF646">
        <v>0.10133598140788801</v>
      </c>
      <c r="AG646">
        <v>-0.19149659999999999</v>
      </c>
      <c r="AH646">
        <v>0.53968402740830301</v>
      </c>
      <c r="AI646">
        <v>109.225526402798</v>
      </c>
      <c r="AJ646">
        <v>79.365451073251705</v>
      </c>
      <c r="AK646">
        <v>0.58154860362578997</v>
      </c>
    </row>
    <row r="647" spans="1:37" x14ac:dyDescent="0.2">
      <c r="A647" t="str">
        <f>"20200111155806208"</f>
        <v>20200111155806208</v>
      </c>
      <c r="B647" t="str">
        <f>"1578729486201493"</f>
        <v>1578729486201493</v>
      </c>
      <c r="C647" t="s">
        <v>37</v>
      </c>
      <c r="D647">
        <v>5.7572460000000003</v>
      </c>
      <c r="E647">
        <v>0.58536790000000005</v>
      </c>
      <c r="F647" t="s">
        <v>38</v>
      </c>
      <c r="G647">
        <v>-367.69979999999998</v>
      </c>
      <c r="H647">
        <v>0.90162770000000003</v>
      </c>
      <c r="I647">
        <v>367.97340000000003</v>
      </c>
      <c r="J647">
        <v>-368.31150000000002</v>
      </c>
      <c r="K647">
        <v>1.1031120000000001</v>
      </c>
      <c r="L647">
        <v>368.08879999999999</v>
      </c>
      <c r="M647">
        <v>0.99997289999999905</v>
      </c>
      <c r="N647">
        <v>0</v>
      </c>
      <c r="O647">
        <v>5.475101E-4</v>
      </c>
      <c r="P647">
        <v>0.99720779999999998</v>
      </c>
      <c r="Q647">
        <v>9.1475919999999995E-3</v>
      </c>
      <c r="R647">
        <v>7.4115879999999995E-2</v>
      </c>
      <c r="S647">
        <v>3.0460210000000001</v>
      </c>
      <c r="T647">
        <v>-0.72766839999999999</v>
      </c>
      <c r="U647">
        <v>-0.41717529999999903</v>
      </c>
      <c r="V647">
        <v>-7.3551649999999996E-2</v>
      </c>
      <c r="W647">
        <v>1.6570109999999999E-2</v>
      </c>
      <c r="X647">
        <v>0.99715379999999998</v>
      </c>
      <c r="Y647">
        <v>0.1325559</v>
      </c>
      <c r="Z647">
        <v>-1.5672370000000001E-2</v>
      </c>
      <c r="AA647">
        <v>0.99105159999999903</v>
      </c>
      <c r="AB647">
        <v>28</v>
      </c>
      <c r="AC647">
        <v>0.61170000000004099</v>
      </c>
      <c r="AD647">
        <v>-0.20148430000000001</v>
      </c>
      <c r="AE647">
        <v>-0.115399999999965</v>
      </c>
      <c r="AF647">
        <v>0.104759721921778</v>
      </c>
      <c r="AG647">
        <v>-0.20148430000000001</v>
      </c>
      <c r="AH647">
        <v>0.55363499767901603</v>
      </c>
      <c r="AI647">
        <v>109.676263709886</v>
      </c>
      <c r="AJ647">
        <v>79.285081972611493</v>
      </c>
      <c r="AK647">
        <v>0.59839972688718901</v>
      </c>
    </row>
    <row r="648" spans="1:37" x14ac:dyDescent="0.2">
      <c r="A648" t="str">
        <f>"20200111155806230"</f>
        <v>20200111155806230</v>
      </c>
      <c r="B648" t="str">
        <f>"1578729486221988"</f>
        <v>1578729486221988</v>
      </c>
      <c r="C648" t="s">
        <v>37</v>
      </c>
      <c r="D648">
        <v>5.7456969999999998</v>
      </c>
      <c r="E648">
        <v>0.58587990000000001</v>
      </c>
      <c r="F648" t="s">
        <v>38</v>
      </c>
      <c r="G648">
        <v>-367.4479</v>
      </c>
      <c r="H648">
        <v>0.89491430000000005</v>
      </c>
      <c r="I648">
        <v>367.97059999999999</v>
      </c>
      <c r="J648">
        <v>-368.02859999999998</v>
      </c>
      <c r="K648">
        <v>1.1030770000000001</v>
      </c>
      <c r="L648">
        <v>368.0883</v>
      </c>
      <c r="M648">
        <v>0.99997559999999996</v>
      </c>
      <c r="N648">
        <v>0</v>
      </c>
      <c r="O648" s="1">
        <v>-4.2955669999999997E-5</v>
      </c>
      <c r="P648">
        <v>0.99723869999999903</v>
      </c>
      <c r="Q648">
        <v>9.3301029999999993E-3</v>
      </c>
      <c r="R648">
        <v>7.367688E-2</v>
      </c>
      <c r="S648">
        <v>3.0459900000000002</v>
      </c>
      <c r="T648">
        <v>-0.73428959999999999</v>
      </c>
      <c r="U648">
        <v>-0.4151917</v>
      </c>
      <c r="V648">
        <v>-7.3701660000000002E-2</v>
      </c>
      <c r="W648">
        <v>1.6374159999999999E-2</v>
      </c>
      <c r="X648">
        <v>0.99714590000000003</v>
      </c>
      <c r="Y648">
        <v>0.1313231</v>
      </c>
      <c r="Z648">
        <v>-1.552632E-2</v>
      </c>
      <c r="AA648">
        <v>0.99121800000000004</v>
      </c>
      <c r="AB648">
        <v>28</v>
      </c>
      <c r="AC648">
        <v>0.58069999999997801</v>
      </c>
      <c r="AD648">
        <v>-0.20816270000000001</v>
      </c>
      <c r="AE648">
        <v>-0.117700000000013</v>
      </c>
      <c r="AF648">
        <v>0.104746318183451</v>
      </c>
      <c r="AG648">
        <v>-0.20816270000000001</v>
      </c>
      <c r="AH648">
        <v>0.516904084299324</v>
      </c>
      <c r="AI648">
        <v>111.538571978356</v>
      </c>
      <c r="AJ648">
        <v>78.5446053940273</v>
      </c>
      <c r="AK648">
        <v>0.56700382115961201</v>
      </c>
    </row>
    <row r="649" spans="1:37" x14ac:dyDescent="0.2">
      <c r="A649" t="str">
        <f>"20200111155806243"</f>
        <v>20200111155806243</v>
      </c>
      <c r="B649" t="str">
        <f>"1578729486231749"</f>
        <v>1578729486231749</v>
      </c>
      <c r="C649" t="s">
        <v>37</v>
      </c>
      <c r="D649">
        <v>5.7362890000000002</v>
      </c>
      <c r="E649">
        <v>0.58608059999999995</v>
      </c>
      <c r="F649" t="s">
        <v>38</v>
      </c>
      <c r="G649">
        <v>-367.18869999999998</v>
      </c>
      <c r="H649">
        <v>0.90303729999999904</v>
      </c>
      <c r="I649">
        <v>367.97210000000001</v>
      </c>
      <c r="J649">
        <v>-367.8623</v>
      </c>
      <c r="K649">
        <v>1.103059</v>
      </c>
      <c r="L649">
        <v>368.08800000000002</v>
      </c>
      <c r="M649">
        <v>0.99997709999999995</v>
      </c>
      <c r="N649">
        <v>0</v>
      </c>
      <c r="O649">
        <v>-3.8953970000000002E-4</v>
      </c>
      <c r="P649">
        <v>0.99724609999999902</v>
      </c>
      <c r="Q649">
        <v>9.5775700000000005E-3</v>
      </c>
      <c r="R649">
        <v>7.3542579999999996E-2</v>
      </c>
      <c r="S649">
        <v>3.0462039999999999</v>
      </c>
      <c r="T649">
        <v>-0.72556909999999997</v>
      </c>
      <c r="U649">
        <v>-0.42129519999999998</v>
      </c>
      <c r="V649">
        <v>-7.3912720000000001E-2</v>
      </c>
      <c r="W649">
        <v>1.641755E-2</v>
      </c>
      <c r="X649">
        <v>0.99712959999999995</v>
      </c>
      <c r="Y649">
        <v>0.13297149999999999</v>
      </c>
      <c r="Z649">
        <v>-1.545557E-2</v>
      </c>
      <c r="AA649">
        <v>0.99099930000000003</v>
      </c>
      <c r="AB649">
        <v>28</v>
      </c>
      <c r="AC649">
        <v>0.67360000000002096</v>
      </c>
      <c r="AD649">
        <v>-0.2000217</v>
      </c>
      <c r="AE649">
        <v>-0.11590000000001</v>
      </c>
      <c r="AF649">
        <v>0.106515540771202</v>
      </c>
      <c r="AG649">
        <v>-0.2000217</v>
      </c>
      <c r="AH649">
        <v>0.62050472570867898</v>
      </c>
      <c r="AI649">
        <v>107.625379639968</v>
      </c>
      <c r="AJ649">
        <v>80.259567566262703</v>
      </c>
      <c r="AK649">
        <v>0.66059091389715197</v>
      </c>
    </row>
    <row r="650" spans="1:37" x14ac:dyDescent="0.2">
      <c r="A650" t="str">
        <f>"20200111155806257"</f>
        <v>20200111155806257</v>
      </c>
      <c r="B650" t="str">
        <f>"1578729486251268"</f>
        <v>1578729486251268</v>
      </c>
      <c r="C650" t="s">
        <v>37</v>
      </c>
      <c r="D650">
        <v>5.7088460000000003</v>
      </c>
      <c r="E650">
        <v>0.58559349999999999</v>
      </c>
      <c r="F650" t="s">
        <v>38</v>
      </c>
      <c r="G650">
        <v>-367.1728</v>
      </c>
      <c r="H650">
        <v>0.9401716</v>
      </c>
      <c r="I650">
        <v>367.991999999999</v>
      </c>
      <c r="J650">
        <v>-367.69940000000003</v>
      </c>
      <c r="K650">
        <v>1.103046</v>
      </c>
      <c r="L650">
        <v>368.08760000000001</v>
      </c>
      <c r="M650">
        <v>0.99997800000000003</v>
      </c>
      <c r="N650">
        <v>0</v>
      </c>
      <c r="O650">
        <v>-7.2933589999999999E-4</v>
      </c>
      <c r="P650">
        <v>0.99726489999999901</v>
      </c>
      <c r="Q650">
        <v>9.8797209999999993E-3</v>
      </c>
      <c r="R650">
        <v>7.3248709999999995E-2</v>
      </c>
      <c r="S650">
        <v>3.0464169999999999</v>
      </c>
      <c r="T650">
        <v>-0.71971619999999903</v>
      </c>
      <c r="U650">
        <v>-0.4236145</v>
      </c>
      <c r="V650">
        <v>-7.3957739999999994E-2</v>
      </c>
      <c r="W650">
        <v>1.6544369999999999E-2</v>
      </c>
      <c r="X650">
        <v>0.99712409999999996</v>
      </c>
      <c r="Y650">
        <v>0.1334215</v>
      </c>
      <c r="Z650">
        <v>-1.530576E-2</v>
      </c>
      <c r="AA650">
        <v>0.99094119999999997</v>
      </c>
      <c r="AB650">
        <v>28</v>
      </c>
      <c r="AC650">
        <v>0.52660000000003004</v>
      </c>
      <c r="AD650">
        <v>-0.162874399999999</v>
      </c>
      <c r="AE650">
        <v>-9.5600000000047203E-2</v>
      </c>
      <c r="AF650">
        <v>8.7145304117478797E-2</v>
      </c>
      <c r="AG650">
        <v>-0.162874399999999</v>
      </c>
      <c r="AH650">
        <v>0.48202855018075202</v>
      </c>
      <c r="AI650">
        <v>108.392147093348</v>
      </c>
      <c r="AJ650">
        <v>79.752262550907801</v>
      </c>
      <c r="AK650">
        <v>0.51621109770562401</v>
      </c>
    </row>
    <row r="651" spans="1:37" x14ac:dyDescent="0.2">
      <c r="A651" t="str">
        <f>"20200111155806274"</f>
        <v>20200111155806274</v>
      </c>
      <c r="B651" t="str">
        <f>"1578729486271764"</f>
        <v>1578729486271764</v>
      </c>
      <c r="C651" t="s">
        <v>37</v>
      </c>
      <c r="D651">
        <v>8.2230139999999992</v>
      </c>
      <c r="E651">
        <v>0.55420819999999904</v>
      </c>
      <c r="F651" t="s">
        <v>38</v>
      </c>
      <c r="G651">
        <v>-366.92430000000002</v>
      </c>
      <c r="H651">
        <v>0.92100869999999901</v>
      </c>
      <c r="I651">
        <v>367.97989999999999</v>
      </c>
      <c r="J651">
        <v>-367.46539999999999</v>
      </c>
      <c r="K651">
        <v>1.103035</v>
      </c>
      <c r="L651">
        <v>368.08699999999999</v>
      </c>
      <c r="M651">
        <v>0.99997909999999901</v>
      </c>
      <c r="N651">
        <v>0</v>
      </c>
      <c r="O651">
        <v>-1.216899E-3</v>
      </c>
      <c r="P651">
        <v>0.99727619999999895</v>
      </c>
      <c r="Q651">
        <v>1.022175E-2</v>
      </c>
      <c r="R651">
        <v>7.3047169999999995E-2</v>
      </c>
      <c r="S651">
        <v>3.046265</v>
      </c>
      <c r="T651">
        <v>-0.7153834</v>
      </c>
      <c r="U651">
        <v>-0.42117309999999902</v>
      </c>
      <c r="V651">
        <v>-7.4242390000000005E-2</v>
      </c>
      <c r="W651">
        <v>1.665879E-2</v>
      </c>
      <c r="X651">
        <v>0.99710109999999996</v>
      </c>
      <c r="Y651">
        <v>0.13225190000000001</v>
      </c>
      <c r="Z651">
        <v>-1.4970249999999999E-2</v>
      </c>
      <c r="AA651">
        <v>0.99110309999999902</v>
      </c>
      <c r="AB651">
        <v>29</v>
      </c>
      <c r="AC651">
        <v>0.54109999999997105</v>
      </c>
      <c r="AD651">
        <v>-0.1820263</v>
      </c>
      <c r="AE651">
        <v>-0.107100000000002</v>
      </c>
      <c r="AF651">
        <v>9.5988400772702001E-2</v>
      </c>
      <c r="AG651">
        <v>-0.1820263</v>
      </c>
      <c r="AH651">
        <v>0.48807864645528498</v>
      </c>
      <c r="AI651">
        <v>110.09934277409199</v>
      </c>
      <c r="AJ651">
        <v>78.873870181949002</v>
      </c>
      <c r="AK651">
        <v>0.52968680566936299</v>
      </c>
    </row>
    <row r="652" spans="1:37" x14ac:dyDescent="0.2">
      <c r="A652" t="str">
        <f>"20200111155806288"</f>
        <v>20200111155806288</v>
      </c>
      <c r="B652" t="str">
        <f>"1578729486281524"</f>
        <v>1578729486281524</v>
      </c>
      <c r="C652" t="s">
        <v>37</v>
      </c>
      <c r="D652">
        <v>5.7768090000000001</v>
      </c>
      <c r="E652">
        <v>0.54796299999999998</v>
      </c>
      <c r="F652" t="s">
        <v>38</v>
      </c>
      <c r="G652">
        <v>-366.62889999999999</v>
      </c>
      <c r="H652">
        <v>1.000275</v>
      </c>
      <c r="I652">
        <v>368.03410000000002</v>
      </c>
      <c r="J652">
        <v>-367.28579999999999</v>
      </c>
      <c r="K652">
        <v>1.1030249999999999</v>
      </c>
      <c r="L652">
        <v>368.08640000000003</v>
      </c>
      <c r="M652">
        <v>0.99997939999999996</v>
      </c>
      <c r="N652">
        <v>0</v>
      </c>
      <c r="O652">
        <v>-1.5905470000000001E-3</v>
      </c>
      <c r="P652">
        <v>0.99728719999999904</v>
      </c>
      <c r="Q652">
        <v>1.0343420000000001E-2</v>
      </c>
      <c r="R652">
        <v>7.2879029999999997E-2</v>
      </c>
      <c r="S652">
        <v>3.0260009999999999</v>
      </c>
      <c r="T652">
        <v>-0.37190640000000003</v>
      </c>
      <c r="U652">
        <v>-0.1904602</v>
      </c>
      <c r="V652">
        <v>-7.4445919999999999E-2</v>
      </c>
      <c r="W652">
        <v>1.6626370000000001E-2</v>
      </c>
      <c r="X652">
        <v>0.99708649999999999</v>
      </c>
      <c r="Y652">
        <v>6.0785770000000003E-2</v>
      </c>
      <c r="Z652">
        <v>-3.5231949999999998E-3</v>
      </c>
      <c r="AA652">
        <v>0.99814459999999905</v>
      </c>
      <c r="AB652">
        <v>29</v>
      </c>
      <c r="AC652">
        <v>0.65690000000000703</v>
      </c>
      <c r="AD652">
        <v>-0.10274999999999899</v>
      </c>
      <c r="AE652">
        <v>-5.23000000000024E-2</v>
      </c>
      <c r="AF652">
        <v>5.0038545506378103E-2</v>
      </c>
      <c r="AG652">
        <v>-0.10274999999999899</v>
      </c>
      <c r="AH652">
        <v>0.64138890045526697</v>
      </c>
      <c r="AI652">
        <v>99.074293435826505</v>
      </c>
      <c r="AJ652">
        <v>85.539052868420995</v>
      </c>
      <c r="AK652">
        <v>0.65149147359241</v>
      </c>
    </row>
    <row r="653" spans="1:37" x14ac:dyDescent="0.2">
      <c r="A653" t="str">
        <f>"20200111155806301"</f>
        <v>20200111155806301</v>
      </c>
      <c r="B653" t="str">
        <f>"1578729486291285"</f>
        <v>1578729486291285</v>
      </c>
      <c r="C653" t="s">
        <v>37</v>
      </c>
      <c r="D653">
        <v>5.691916</v>
      </c>
      <c r="E653">
        <v>0.54396180000000005</v>
      </c>
      <c r="F653" t="s">
        <v>38</v>
      </c>
      <c r="G653">
        <v>-366.36919999999998</v>
      </c>
      <c r="H653">
        <v>1.000985</v>
      </c>
      <c r="I653">
        <v>368.0428</v>
      </c>
      <c r="J653">
        <v>-367.11829999999998</v>
      </c>
      <c r="K653">
        <v>1.103016</v>
      </c>
      <c r="L653">
        <v>368.08580000000001</v>
      </c>
      <c r="M653">
        <v>0.99997959999999997</v>
      </c>
      <c r="N653">
        <v>0</v>
      </c>
      <c r="O653">
        <v>-1.9393889999999999E-3</v>
      </c>
      <c r="P653">
        <v>0.99730640000000004</v>
      </c>
      <c r="Q653">
        <v>1.006399E-2</v>
      </c>
      <c r="R653">
        <v>7.2657689999999997E-2</v>
      </c>
      <c r="S653">
        <v>3.0221559999999998</v>
      </c>
      <c r="T653">
        <v>-0.33640300000000001</v>
      </c>
      <c r="U653">
        <v>-0.14343259999999999</v>
      </c>
      <c r="V653">
        <v>-7.4573349999999997E-2</v>
      </c>
      <c r="W653">
        <v>1.622111E-2</v>
      </c>
      <c r="X653">
        <v>0.99708359999999996</v>
      </c>
      <c r="Y653">
        <v>4.520308E-2</v>
      </c>
      <c r="Z653">
        <v>-2.2915909999999999E-3</v>
      </c>
      <c r="AA653">
        <v>0.99897519999999995</v>
      </c>
      <c r="AB653">
        <v>29</v>
      </c>
      <c r="AC653">
        <v>0.74909999999999799</v>
      </c>
      <c r="AD653">
        <v>-0.102030999999999</v>
      </c>
      <c r="AE653">
        <v>-4.3000000000006297E-2</v>
      </c>
      <c r="AF653">
        <v>4.0792803764381602E-2</v>
      </c>
      <c r="AG653">
        <v>-0.102030999999999</v>
      </c>
      <c r="AH653">
        <v>0.73558050391817198</v>
      </c>
      <c r="AI653">
        <v>97.885039109598793</v>
      </c>
      <c r="AJ653">
        <v>86.825821425631602</v>
      </c>
      <c r="AK653">
        <v>0.74374260032922102</v>
      </c>
    </row>
    <row r="654" spans="1:37" x14ac:dyDescent="0.2">
      <c r="A654" t="str">
        <f>"20200111155806319"</f>
        <v>20200111155806319</v>
      </c>
      <c r="B654" t="str">
        <f>"1578729486311780"</f>
        <v>1578729486311780</v>
      </c>
      <c r="C654" t="s">
        <v>37</v>
      </c>
      <c r="D654">
        <v>5.7038669999999998</v>
      </c>
      <c r="E654">
        <v>0.54066539999999996</v>
      </c>
      <c r="F654" t="s">
        <v>38</v>
      </c>
      <c r="G654">
        <v>-366.35750000000002</v>
      </c>
      <c r="H654">
        <v>1.024702</v>
      </c>
      <c r="I654">
        <v>368.05720000000002</v>
      </c>
      <c r="J654">
        <v>-366.8809</v>
      </c>
      <c r="K654">
        <v>1.103003</v>
      </c>
      <c r="L654">
        <v>368.0849</v>
      </c>
      <c r="M654">
        <v>0.99997959999999997</v>
      </c>
      <c r="N654">
        <v>0</v>
      </c>
      <c r="O654">
        <v>-2.4339349999999999E-3</v>
      </c>
      <c r="P654">
        <v>0.99731630000000004</v>
      </c>
      <c r="Q654">
        <v>9.2239249999999991E-3</v>
      </c>
      <c r="R654">
        <v>7.2630429999999996E-2</v>
      </c>
      <c r="S654">
        <v>3.019501</v>
      </c>
      <c r="T654">
        <v>-0.31079879999999999</v>
      </c>
      <c r="U654">
        <v>-0.11361689999999899</v>
      </c>
      <c r="V654">
        <v>-7.5039990000000001E-2</v>
      </c>
      <c r="W654">
        <v>1.5225600000000001E-2</v>
      </c>
      <c r="X654">
        <v>0.99706430000000001</v>
      </c>
      <c r="Y654">
        <v>3.4996960000000001E-2</v>
      </c>
      <c r="Z654">
        <v>-1.5459720000000001E-3</v>
      </c>
      <c r="AA654">
        <v>0.99938629999999995</v>
      </c>
      <c r="AB654">
        <v>29</v>
      </c>
      <c r="AC654">
        <v>0.52339999999998099</v>
      </c>
      <c r="AD654">
        <v>-7.8300999999999898E-2</v>
      </c>
      <c r="AE654">
        <v>-2.76999999999816E-2</v>
      </c>
      <c r="AF654">
        <v>2.5849078138535399E-2</v>
      </c>
      <c r="AG654">
        <v>-7.8300999999999898E-2</v>
      </c>
      <c r="AH654">
        <v>0.51203827407382796</v>
      </c>
      <c r="AI654">
        <v>98.683440011947297</v>
      </c>
      <c r="AJ654">
        <v>87.110007339324099</v>
      </c>
      <c r="AK654">
        <v>0.51863514685963696</v>
      </c>
    </row>
    <row r="655" spans="1:37" x14ac:dyDescent="0.2">
      <c r="A655" t="str">
        <f>"20200111155806332"</f>
        <v>20200111155806332</v>
      </c>
      <c r="B655" t="str">
        <f>"1578729486321541"</f>
        <v>1578729486321541</v>
      </c>
      <c r="C655" t="s">
        <v>37</v>
      </c>
      <c r="D655">
        <v>5.927657</v>
      </c>
      <c r="E655">
        <v>0.54098690000000005</v>
      </c>
      <c r="F655" t="s">
        <v>38</v>
      </c>
      <c r="G655">
        <v>-366.09500000000003</v>
      </c>
      <c r="H655">
        <v>1.0290239999999999</v>
      </c>
      <c r="I655">
        <v>368.0616</v>
      </c>
      <c r="J655">
        <v>-366.71730000000002</v>
      </c>
      <c r="K655">
        <v>1.1029959999999901</v>
      </c>
      <c r="L655">
        <v>368.08420000000001</v>
      </c>
      <c r="M655">
        <v>0.99997909999999901</v>
      </c>
      <c r="N655">
        <v>0</v>
      </c>
      <c r="O655">
        <v>-2.7740899999999999E-3</v>
      </c>
      <c r="P655">
        <v>0.99733359999999904</v>
      </c>
      <c r="Q655">
        <v>9.0111310000000003E-3</v>
      </c>
      <c r="R655">
        <v>7.241939E-2</v>
      </c>
      <c r="S655">
        <v>3.0171809999999999</v>
      </c>
      <c r="T655">
        <v>-0.28416009999999903</v>
      </c>
      <c r="U655">
        <v>-8.9019780000000007E-2</v>
      </c>
      <c r="V655">
        <v>-7.5168239999999997E-2</v>
      </c>
      <c r="W655">
        <v>1.492046E-2</v>
      </c>
      <c r="X655">
        <v>0.99705919999999904</v>
      </c>
      <c r="Y655">
        <v>2.6613009999999999E-2</v>
      </c>
      <c r="Z655">
        <v>-9.8954429999999899E-4</v>
      </c>
      <c r="AA655">
        <v>0.99964529999999996</v>
      </c>
      <c r="AB655">
        <v>29</v>
      </c>
      <c r="AC655">
        <v>0.62229999999999497</v>
      </c>
      <c r="AD655">
        <v>-7.3971999999999899E-2</v>
      </c>
      <c r="AE655">
        <v>-2.2600000000011201E-2</v>
      </c>
      <c r="AF655">
        <v>2.0583115763430599E-2</v>
      </c>
      <c r="AG655">
        <v>-7.3971999999999899E-2</v>
      </c>
      <c r="AH655">
        <v>0.61370027845346597</v>
      </c>
      <c r="AI655">
        <v>96.869130705193797</v>
      </c>
      <c r="AJ655">
        <v>88.079056179910495</v>
      </c>
      <c r="AK655">
        <v>0.61848488519315703</v>
      </c>
    </row>
    <row r="656" spans="1:37" x14ac:dyDescent="0.2">
      <c r="A656" t="str">
        <f>"20200111155806345"</f>
        <v>20200111155806345</v>
      </c>
      <c r="B656" t="str">
        <f>"1578729486342036"</f>
        <v>1578729486342036</v>
      </c>
      <c r="C656" t="s">
        <v>37</v>
      </c>
      <c r="D656">
        <v>5.6992699999999896</v>
      </c>
      <c r="E656">
        <v>0.54021519999999901</v>
      </c>
      <c r="F656" t="s">
        <v>38</v>
      </c>
      <c r="G656">
        <v>-365.83589999999998</v>
      </c>
      <c r="H656">
        <v>1.0243629999999999</v>
      </c>
      <c r="I656">
        <v>368.0566</v>
      </c>
      <c r="J656">
        <v>-366.54020000000003</v>
      </c>
      <c r="K656">
        <v>1.1029879999999901</v>
      </c>
      <c r="L656">
        <v>368.08330000000001</v>
      </c>
      <c r="M656">
        <v>0.99997860000000005</v>
      </c>
      <c r="N656">
        <v>0</v>
      </c>
      <c r="O656">
        <v>-3.1428670000000001E-3</v>
      </c>
      <c r="P656">
        <v>0.99735090000000004</v>
      </c>
      <c r="Q656">
        <v>8.8174340000000007E-3</v>
      </c>
      <c r="R656">
        <v>7.2207240000000006E-2</v>
      </c>
      <c r="S656">
        <v>3.0171809999999999</v>
      </c>
      <c r="T656">
        <v>-0.26937709999999998</v>
      </c>
      <c r="U656">
        <v>-9.3078610000000006E-2</v>
      </c>
      <c r="V656">
        <v>-7.5324970000000005E-2</v>
      </c>
      <c r="W656">
        <v>1.4637249999999999E-2</v>
      </c>
      <c r="X656">
        <v>0.99705159999999904</v>
      </c>
      <c r="Y656">
        <v>2.7596099999999998E-2</v>
      </c>
      <c r="Z656">
        <v>-9.4919259999999995E-4</v>
      </c>
      <c r="AA656">
        <v>0.99961869999999997</v>
      </c>
      <c r="AB656">
        <v>29</v>
      </c>
      <c r="AC656">
        <v>0.704300000000046</v>
      </c>
      <c r="AD656">
        <v>-7.8624999999999903E-2</v>
      </c>
      <c r="AE656">
        <v>-2.6700000000005199E-2</v>
      </c>
      <c r="AF656">
        <v>2.41853327753432E-2</v>
      </c>
      <c r="AG656">
        <v>-7.8624999999999903E-2</v>
      </c>
      <c r="AH656">
        <v>0.695722424351636</v>
      </c>
      <c r="AI656">
        <v>96.4438956474484</v>
      </c>
      <c r="AJ656">
        <v>88.0090339832132</v>
      </c>
      <c r="AK656">
        <v>0.700568706617825</v>
      </c>
    </row>
    <row r="657" spans="1:37" x14ac:dyDescent="0.2">
      <c r="A657" t="str">
        <f>"20200111155806359"</f>
        <v>20200111155806359</v>
      </c>
      <c r="B657" t="str">
        <f>"1578729486351797"</f>
        <v>1578729486351797</v>
      </c>
      <c r="C657" t="s">
        <v>37</v>
      </c>
      <c r="D657">
        <v>5.8397370000000004</v>
      </c>
      <c r="E657">
        <v>0.53862399999999999</v>
      </c>
      <c r="F657" t="s">
        <v>38</v>
      </c>
      <c r="G657">
        <v>-365.57470000000001</v>
      </c>
      <c r="H657">
        <v>1.0216529999999999</v>
      </c>
      <c r="I657">
        <v>368.05470000000003</v>
      </c>
      <c r="J657">
        <v>-366.34930000000003</v>
      </c>
      <c r="K657">
        <v>1.1029799999999901</v>
      </c>
      <c r="L657">
        <v>368.08240000000001</v>
      </c>
      <c r="M657">
        <v>0.99997780000000003</v>
      </c>
      <c r="N657">
        <v>0</v>
      </c>
      <c r="O657">
        <v>-3.5407709999999998E-3</v>
      </c>
      <c r="P657">
        <v>0.99738249999999995</v>
      </c>
      <c r="Q657">
        <v>8.7314360000000004E-3</v>
      </c>
      <c r="R657">
        <v>7.1778199999999903E-2</v>
      </c>
      <c r="S657">
        <v>3.0166019999999998</v>
      </c>
      <c r="T657">
        <v>-0.2542719</v>
      </c>
      <c r="U657">
        <v>-8.880615E-2</v>
      </c>
      <c r="V657">
        <v>-7.5292339999999999E-2</v>
      </c>
      <c r="W657">
        <v>1.447181E-2</v>
      </c>
      <c r="X657">
        <v>0.99705650000000001</v>
      </c>
      <c r="Y657">
        <v>2.5808020000000001E-2</v>
      </c>
      <c r="Z657">
        <v>-7.8766809999999997E-4</v>
      </c>
      <c r="AA657">
        <v>0.99966659999999996</v>
      </c>
      <c r="AB657">
        <v>29</v>
      </c>
      <c r="AC657">
        <v>0.77460000000002005</v>
      </c>
      <c r="AD657">
        <v>-8.1326999999999705E-2</v>
      </c>
      <c r="AE657">
        <v>-2.76999999999816E-2</v>
      </c>
      <c r="AF657">
        <v>2.46853333351169E-2</v>
      </c>
      <c r="AG657">
        <v>-8.1326999999999705E-2</v>
      </c>
      <c r="AH657">
        <v>0.76625727303778901</v>
      </c>
      <c r="AI657">
        <v>96.055309891408001</v>
      </c>
      <c r="AJ657">
        <v>88.154828049244301</v>
      </c>
      <c r="AK657">
        <v>0.77095632502378098</v>
      </c>
    </row>
    <row r="658" spans="1:37" x14ac:dyDescent="0.2">
      <c r="A658" t="str">
        <f>"20200111155806385"</f>
        <v>20200111155806385</v>
      </c>
      <c r="B658" t="str">
        <f>"1578729486382052"</f>
        <v>1578729486382052</v>
      </c>
      <c r="C658" t="s">
        <v>37</v>
      </c>
      <c r="D658">
        <v>5.6781480000000002</v>
      </c>
      <c r="E658">
        <v>0.53634979999999999</v>
      </c>
      <c r="F658" t="s">
        <v>38</v>
      </c>
      <c r="G658">
        <v>-365.56720000000001</v>
      </c>
      <c r="H658">
        <v>1.0369930000000001</v>
      </c>
      <c r="I658">
        <v>368.06209999999999</v>
      </c>
      <c r="J658">
        <v>-366.01760000000002</v>
      </c>
      <c r="K658">
        <v>1.1029679999999999</v>
      </c>
      <c r="L658">
        <v>368.08049999999997</v>
      </c>
      <c r="M658">
        <v>0.99997559999999996</v>
      </c>
      <c r="N658">
        <v>0</v>
      </c>
      <c r="O658">
        <v>-4.2312349999999999E-3</v>
      </c>
      <c r="P658">
        <v>0.99740019999999996</v>
      </c>
      <c r="Q658">
        <v>8.7842100000000006E-3</v>
      </c>
      <c r="R658">
        <v>7.1522749999999996E-2</v>
      </c>
      <c r="S658">
        <v>3.015625</v>
      </c>
      <c r="T658">
        <v>-0.25465399999999999</v>
      </c>
      <c r="U658">
        <v>-7.7056879999999994E-2</v>
      </c>
      <c r="V658">
        <v>-7.5725529999999999E-2</v>
      </c>
      <c r="W658">
        <v>1.441078E-2</v>
      </c>
      <c r="X658">
        <v>0.99702449999999998</v>
      </c>
      <c r="Y658">
        <v>2.125351E-2</v>
      </c>
      <c r="Z658">
        <v>-5.39022E-4</v>
      </c>
      <c r="AA658">
        <v>0.99977399999999905</v>
      </c>
      <c r="AB658">
        <v>29</v>
      </c>
      <c r="AC658">
        <v>0.45040000000000102</v>
      </c>
      <c r="AD658">
        <v>-6.5974999999999895E-2</v>
      </c>
      <c r="AE658">
        <v>-1.8399999999985501E-2</v>
      </c>
      <c r="AF658">
        <v>1.6148149608184101E-2</v>
      </c>
      <c r="AG658">
        <v>-6.5974999999999895E-2</v>
      </c>
      <c r="AH658">
        <v>0.44102663399970199</v>
      </c>
      <c r="AI658">
        <v>98.502407775018895</v>
      </c>
      <c r="AJ658">
        <v>87.903057062208902</v>
      </c>
      <c r="AK658">
        <v>0.44622634980228898</v>
      </c>
    </row>
    <row r="659" spans="1:37" x14ac:dyDescent="0.2">
      <c r="A659" t="str">
        <f>"20200111155806398"</f>
        <v>20200111155806398</v>
      </c>
      <c r="B659" t="str">
        <f>"1578729486391813"</f>
        <v>1578729486391813</v>
      </c>
      <c r="C659" t="s">
        <v>37</v>
      </c>
      <c r="D659">
        <v>5.6472720000000001</v>
      </c>
      <c r="E659">
        <v>0.53589209999999998</v>
      </c>
      <c r="F659" t="s">
        <v>38</v>
      </c>
      <c r="G659">
        <v>-365.0471</v>
      </c>
      <c r="H659">
        <v>1.020154</v>
      </c>
      <c r="I659">
        <v>368.06099999999998</v>
      </c>
      <c r="J659">
        <v>-365.84289999999999</v>
      </c>
      <c r="K659">
        <v>1.102954</v>
      </c>
      <c r="L659">
        <v>368.07940000000002</v>
      </c>
      <c r="M659">
        <v>0.99997429999999998</v>
      </c>
      <c r="N659">
        <v>0</v>
      </c>
      <c r="O659">
        <v>-4.5946889999999999E-3</v>
      </c>
      <c r="P659">
        <v>0.9973573</v>
      </c>
      <c r="Q659">
        <v>8.5156450000000005E-3</v>
      </c>
      <c r="R659">
        <v>7.2154209999999996E-2</v>
      </c>
      <c r="S659">
        <v>3.0144039999999999</v>
      </c>
      <c r="T659">
        <v>-0.25727039999999901</v>
      </c>
      <c r="U659">
        <v>-5.9906010000000003E-2</v>
      </c>
      <c r="V659">
        <v>-7.6719460000000003E-2</v>
      </c>
      <c r="W659">
        <v>1.409848E-2</v>
      </c>
      <c r="X659">
        <v>0.99695299999999998</v>
      </c>
      <c r="Y659">
        <v>1.523659E-2</v>
      </c>
      <c r="Z659">
        <v>-2.5756189999999999E-4</v>
      </c>
      <c r="AA659">
        <v>0.99988390000000005</v>
      </c>
      <c r="AB659">
        <v>29</v>
      </c>
      <c r="AC659">
        <v>0.79579999999998496</v>
      </c>
      <c r="AD659">
        <v>-8.2799999999999901E-2</v>
      </c>
      <c r="AE659">
        <v>-1.8400000000042299E-2</v>
      </c>
      <c r="AF659">
        <v>1.45854843354545E-2</v>
      </c>
      <c r="AG659">
        <v>-8.2799999999999901E-2</v>
      </c>
      <c r="AH659">
        <v>0.78735706848268305</v>
      </c>
      <c r="AI659">
        <v>96.002248062652598</v>
      </c>
      <c r="AJ659">
        <v>88.938739288772794</v>
      </c>
      <c r="AK659">
        <v>0.79183314507725899</v>
      </c>
    </row>
    <row r="660" spans="1:37" x14ac:dyDescent="0.2">
      <c r="A660" t="str">
        <f>"20200111155806410"</f>
        <v>20200111155806410</v>
      </c>
      <c r="B660" t="str">
        <f>"1578729486401573"</f>
        <v>1578729486401573</v>
      </c>
      <c r="C660" t="s">
        <v>37</v>
      </c>
      <c r="D660">
        <v>5.6814799999999996</v>
      </c>
      <c r="E660">
        <v>0.53545180000000003</v>
      </c>
      <c r="F660" t="s">
        <v>38</v>
      </c>
      <c r="G660">
        <v>-365.0403</v>
      </c>
      <c r="H660">
        <v>1.0342610000000001</v>
      </c>
      <c r="I660">
        <v>368.06479999999999</v>
      </c>
      <c r="J660">
        <v>-365.68290000000002</v>
      </c>
      <c r="K660">
        <v>1.1029469999999999</v>
      </c>
      <c r="L660">
        <v>368.07839999999999</v>
      </c>
      <c r="M660">
        <v>0.999973</v>
      </c>
      <c r="N660">
        <v>0</v>
      </c>
      <c r="O660">
        <v>-4.9276509999999999E-3</v>
      </c>
      <c r="P660">
        <v>0.99735090000000004</v>
      </c>
      <c r="Q660">
        <v>8.4946640000000007E-3</v>
      </c>
      <c r="R660">
        <v>7.2246610000000003E-2</v>
      </c>
      <c r="S660">
        <v>3.0140689999999899</v>
      </c>
      <c r="T660">
        <v>-0.25795449999999998</v>
      </c>
      <c r="U660">
        <v>-5.4321290000000001E-2</v>
      </c>
      <c r="V660">
        <v>-7.7143550000000005E-2</v>
      </c>
      <c r="W660">
        <v>1.404031E-2</v>
      </c>
      <c r="X660">
        <v>0.99692109999999901</v>
      </c>
      <c r="Y660">
        <v>1.306278E-2</v>
      </c>
      <c r="Z660">
        <v>-1.3699179999999999E-4</v>
      </c>
      <c r="AA660">
        <v>0.99991459999999999</v>
      </c>
      <c r="AB660">
        <v>29</v>
      </c>
      <c r="AC660">
        <v>0.64260000000001505</v>
      </c>
      <c r="AD660">
        <v>-6.8685999999999803E-2</v>
      </c>
      <c r="AE660">
        <v>-1.35999999999967E-2</v>
      </c>
      <c r="AF660">
        <v>1.0315478048189599E-2</v>
      </c>
      <c r="AG660">
        <v>-6.8685999999999803E-2</v>
      </c>
      <c r="AH660">
        <v>0.63540300593425003</v>
      </c>
      <c r="AI660">
        <v>96.168814376392604</v>
      </c>
      <c r="AJ660">
        <v>89.069910853145998</v>
      </c>
      <c r="AK660">
        <v>0.63918788758364598</v>
      </c>
    </row>
    <row r="661" spans="1:37" x14ac:dyDescent="0.2">
      <c r="A661" t="str">
        <f>"20200111155806424"</f>
        <v>20200111155806424</v>
      </c>
      <c r="B661" t="str">
        <f>"1578729486411333"</f>
        <v>1578729486411333</v>
      </c>
      <c r="C661" t="s">
        <v>37</v>
      </c>
      <c r="D661">
        <v>5.6070310000000001</v>
      </c>
      <c r="E661">
        <v>0.53488709999999995</v>
      </c>
      <c r="F661" t="s">
        <v>38</v>
      </c>
      <c r="G661">
        <v>-364.779</v>
      </c>
      <c r="H661">
        <v>1.0252709999999901</v>
      </c>
      <c r="I661">
        <v>368.06299999999999</v>
      </c>
      <c r="J661">
        <v>-365.50540000000001</v>
      </c>
      <c r="K661">
        <v>1.10294</v>
      </c>
      <c r="L661">
        <v>368.0772</v>
      </c>
      <c r="M661">
        <v>0.99997119999999995</v>
      </c>
      <c r="N661">
        <v>0</v>
      </c>
      <c r="O661">
        <v>-5.2968579999999998E-3</v>
      </c>
      <c r="P661">
        <v>0.99732330000000002</v>
      </c>
      <c r="Q661">
        <v>8.2224719999999998E-3</v>
      </c>
      <c r="R661">
        <v>7.2654150000000001E-2</v>
      </c>
      <c r="S661">
        <v>3.013855</v>
      </c>
      <c r="T661">
        <v>-0.2591386</v>
      </c>
      <c r="U661">
        <v>-5.059814E-2</v>
      </c>
      <c r="V661">
        <v>-7.7919180000000005E-2</v>
      </c>
      <c r="W661">
        <v>1.373278E-2</v>
      </c>
      <c r="X661">
        <v>0.99686509999999995</v>
      </c>
      <c r="Y661">
        <v>1.146696E-2</v>
      </c>
      <c r="Z661" s="1">
        <v>-3.7470099999999999E-5</v>
      </c>
      <c r="AA661">
        <v>0.99993430000000005</v>
      </c>
      <c r="AB661">
        <v>30</v>
      </c>
      <c r="AC661">
        <v>0.72640000000001204</v>
      </c>
      <c r="AD661">
        <v>-7.7669000000000196E-2</v>
      </c>
      <c r="AE661">
        <v>-1.41999999999598E-2</v>
      </c>
      <c r="AF661">
        <v>1.0235137111104201E-2</v>
      </c>
      <c r="AG661">
        <v>-7.7669000000000196E-2</v>
      </c>
      <c r="AH661">
        <v>0.71825664545592205</v>
      </c>
      <c r="AI661">
        <v>96.171101438059793</v>
      </c>
      <c r="AJ661">
        <v>89.183592001669993</v>
      </c>
      <c r="AK661">
        <v>0.72251632530640897</v>
      </c>
    </row>
    <row r="662" spans="1:37" x14ac:dyDescent="0.2">
      <c r="A662" t="str">
        <f>"20200111155806441"</f>
        <v>20200111155806441</v>
      </c>
      <c r="B662" t="str">
        <f>"1578729486431827"</f>
        <v>1578729486431827</v>
      </c>
      <c r="C662" t="s">
        <v>37</v>
      </c>
      <c r="D662">
        <v>5.6598090000000001</v>
      </c>
      <c r="E662">
        <v>0.5343542</v>
      </c>
      <c r="F662" t="s">
        <v>38</v>
      </c>
      <c r="G662">
        <v>-364.77199999999999</v>
      </c>
      <c r="H662">
        <v>1.039317</v>
      </c>
      <c r="I662">
        <v>368.06599999999997</v>
      </c>
      <c r="J662">
        <v>-365.27409999999998</v>
      </c>
      <c r="K662">
        <v>1.1029370000000001</v>
      </c>
      <c r="L662">
        <v>368.07549999999998</v>
      </c>
      <c r="M662">
        <v>0.99996890000000005</v>
      </c>
      <c r="N662">
        <v>0</v>
      </c>
      <c r="O662">
        <v>-5.7778819999999998E-3</v>
      </c>
      <c r="P662">
        <v>0.99719939999999996</v>
      </c>
      <c r="Q662">
        <v>8.1644649999999992E-3</v>
      </c>
      <c r="R662">
        <v>7.4344389999999996E-2</v>
      </c>
      <c r="S662">
        <v>3.0134889999999999</v>
      </c>
      <c r="T662">
        <v>-0.2616832</v>
      </c>
      <c r="U662">
        <v>-4.4952390000000002E-2</v>
      </c>
      <c r="V662">
        <v>-8.0088569999999998E-2</v>
      </c>
      <c r="W662">
        <v>1.3638849999999999E-2</v>
      </c>
      <c r="X662">
        <v>0.99669439999999998</v>
      </c>
      <c r="Y662">
        <v>9.1252360000000001E-3</v>
      </c>
      <c r="Z662">
        <v>1.0532609999999999E-4</v>
      </c>
      <c r="AA662">
        <v>0.99995829999999997</v>
      </c>
      <c r="AB662">
        <v>30</v>
      </c>
      <c r="AC662">
        <v>0.502099999999984</v>
      </c>
      <c r="AD662">
        <v>-6.3619999999999996E-2</v>
      </c>
      <c r="AE662">
        <v>-9.5000000000027198E-3</v>
      </c>
      <c r="AF662">
        <v>6.49449410231249E-3</v>
      </c>
      <c r="AG662">
        <v>-6.3619999999999996E-2</v>
      </c>
      <c r="AH662">
        <v>0.49421479281511799</v>
      </c>
      <c r="AI662">
        <v>97.334687007205503</v>
      </c>
      <c r="AJ662">
        <v>89.247117467073494</v>
      </c>
      <c r="AK662">
        <v>0.49833517264079902</v>
      </c>
    </row>
    <row r="663" spans="1:37" x14ac:dyDescent="0.2">
      <c r="A663" t="str">
        <f>"20200111155806454"</f>
        <v>20200111155806454</v>
      </c>
      <c r="B663" t="str">
        <f>"1578729486451348"</f>
        <v>1578729486451348</v>
      </c>
      <c r="C663" t="s">
        <v>37</v>
      </c>
      <c r="D663">
        <v>5.624441</v>
      </c>
      <c r="E663">
        <v>0.53428290000000001</v>
      </c>
      <c r="F663" t="s">
        <v>38</v>
      </c>
      <c r="G663">
        <v>-364.50699999999898</v>
      </c>
      <c r="H663">
        <v>1.0357689999999999</v>
      </c>
      <c r="I663">
        <v>368.06639999999999</v>
      </c>
      <c r="J663">
        <v>-365.10109999999997</v>
      </c>
      <c r="K663">
        <v>1.1029309999999899</v>
      </c>
      <c r="L663">
        <v>368.07409999999999</v>
      </c>
      <c r="M663">
        <v>0.99996689999999999</v>
      </c>
      <c r="N663">
        <v>0</v>
      </c>
      <c r="O663">
        <v>-6.1356769999999904E-3</v>
      </c>
      <c r="P663">
        <v>0.9971409</v>
      </c>
      <c r="Q663">
        <v>7.8122879999999997E-3</v>
      </c>
      <c r="R663">
        <v>7.516167E-2</v>
      </c>
      <c r="S663">
        <v>3.013245</v>
      </c>
      <c r="T663">
        <v>-0.26395959999999902</v>
      </c>
      <c r="U663">
        <v>-3.5003659999999999E-2</v>
      </c>
      <c r="V663">
        <v>-8.1262340000000002E-2</v>
      </c>
      <c r="W663">
        <v>1.326314E-2</v>
      </c>
      <c r="X663">
        <v>0.9966045</v>
      </c>
      <c r="Y663">
        <v>5.4827469999999996E-3</v>
      </c>
      <c r="Z663">
        <v>2.9676250000000001E-4</v>
      </c>
      <c r="AA663">
        <v>0.99998489999999995</v>
      </c>
      <c r="AB663">
        <v>30</v>
      </c>
      <c r="AC663">
        <v>0.59410000000002505</v>
      </c>
      <c r="AD663">
        <v>-6.7161999999999694E-2</v>
      </c>
      <c r="AE663">
        <v>-7.6999999999998103E-3</v>
      </c>
      <c r="AF663">
        <v>4.0034422304951797E-3</v>
      </c>
      <c r="AG663">
        <v>-6.7161999999999694E-2</v>
      </c>
      <c r="AH663">
        <v>0.58664010758668605</v>
      </c>
      <c r="AI663">
        <v>96.530970655308806</v>
      </c>
      <c r="AJ663">
        <v>89.608999146879299</v>
      </c>
      <c r="AK663">
        <v>0.59048571330982402</v>
      </c>
    </row>
    <row r="664" spans="1:37" x14ac:dyDescent="0.2">
      <c r="A664" t="str">
        <f>"20200111155806467"</f>
        <v>20200111155806467</v>
      </c>
      <c r="B664" t="str">
        <f>"1578729486462085"</f>
        <v>1578729486462085</v>
      </c>
      <c r="C664" t="s">
        <v>37</v>
      </c>
      <c r="D664">
        <v>5.612082</v>
      </c>
      <c r="E664">
        <v>0.53417099999999995</v>
      </c>
      <c r="F664" t="s">
        <v>38</v>
      </c>
      <c r="G664">
        <v>-364.24329999999998</v>
      </c>
      <c r="H664">
        <v>1.027579</v>
      </c>
      <c r="I664">
        <v>368.06470000000002</v>
      </c>
      <c r="J664">
        <v>-364.91430000000003</v>
      </c>
      <c r="K664">
        <v>1.1029199999999999</v>
      </c>
      <c r="L664">
        <v>368.07260000000002</v>
      </c>
      <c r="M664">
        <v>0.99996450000000003</v>
      </c>
      <c r="N664">
        <v>0</v>
      </c>
      <c r="O664">
        <v>-6.5190990000000004E-3</v>
      </c>
      <c r="P664">
        <v>0.99708209999999997</v>
      </c>
      <c r="Q664">
        <v>7.0671550000000003E-3</v>
      </c>
      <c r="R664">
        <v>7.6011029999999993E-2</v>
      </c>
      <c r="S664">
        <v>3.0130619999999899</v>
      </c>
      <c r="T664">
        <v>-0.26487519999999998</v>
      </c>
      <c r="U664">
        <v>-3.1982419999999998E-2</v>
      </c>
      <c r="V664">
        <v>-8.2494390000000001E-2</v>
      </c>
      <c r="W664">
        <v>1.249597E-2</v>
      </c>
      <c r="X664">
        <v>0.99651319999999999</v>
      </c>
      <c r="Y664">
        <v>4.10425799999999E-3</v>
      </c>
      <c r="Z664">
        <v>3.919204E-4</v>
      </c>
      <c r="AA664">
        <v>0.99999150000000003</v>
      </c>
      <c r="AB664">
        <v>30</v>
      </c>
      <c r="AC664">
        <v>0.671000000000049</v>
      </c>
      <c r="AD664">
        <v>-7.5341000000000102E-2</v>
      </c>
      <c r="AE664">
        <v>-7.9000000000064505E-3</v>
      </c>
      <c r="AF664">
        <v>3.48156771528677E-3</v>
      </c>
      <c r="AG664">
        <v>-7.5341000000000102E-2</v>
      </c>
      <c r="AH664">
        <v>0.66268383081583104</v>
      </c>
      <c r="AI664">
        <v>96.486059451732004</v>
      </c>
      <c r="AJ664">
        <v>89.698985712939503</v>
      </c>
      <c r="AK664">
        <v>0.66696195335228903</v>
      </c>
    </row>
    <row r="665" spans="1:37" x14ac:dyDescent="0.2">
      <c r="A665" t="str">
        <f>"20200111155806480"</f>
        <v>20200111155806480</v>
      </c>
      <c r="B665" t="str">
        <f>"1578729486471844"</f>
        <v>1578729486471844</v>
      </c>
      <c r="C665" t="s">
        <v>37</v>
      </c>
      <c r="D665">
        <v>5.6038699999999997</v>
      </c>
      <c r="E665">
        <v>0.5339623</v>
      </c>
      <c r="F665" t="s">
        <v>38</v>
      </c>
      <c r="G665">
        <v>-363.97840000000002</v>
      </c>
      <c r="H665">
        <v>1.0196959999999999</v>
      </c>
      <c r="I665">
        <v>368.06380000000001</v>
      </c>
      <c r="J665">
        <v>-364.73649999999998</v>
      </c>
      <c r="K665">
        <v>1.102911</v>
      </c>
      <c r="L665">
        <v>368.0711</v>
      </c>
      <c r="M665">
        <v>0.99996229999999997</v>
      </c>
      <c r="N665">
        <v>0</v>
      </c>
      <c r="O665">
        <v>-6.879395E-3</v>
      </c>
      <c r="P665">
        <v>0.9970329</v>
      </c>
      <c r="Q665">
        <v>6.4717589999999997E-3</v>
      </c>
      <c r="R665">
        <v>7.6706700000000003E-2</v>
      </c>
      <c r="S665">
        <v>3.012848</v>
      </c>
      <c r="T665">
        <v>-0.26795259999999999</v>
      </c>
      <c r="U665">
        <v>-2.8259280000000001E-2</v>
      </c>
      <c r="V665">
        <v>-8.354984E-2</v>
      </c>
      <c r="W665">
        <v>1.18827999999999E-2</v>
      </c>
      <c r="X665">
        <v>0.99643269999999995</v>
      </c>
      <c r="Y665">
        <v>2.516983E-3</v>
      </c>
      <c r="Z665">
        <v>4.9890890000000004E-4</v>
      </c>
      <c r="AA665">
        <v>0.99999669999999896</v>
      </c>
      <c r="AB665">
        <v>30</v>
      </c>
      <c r="AC665">
        <v>0.75809999999995603</v>
      </c>
      <c r="AD665">
        <v>-8.3214999999999997E-2</v>
      </c>
      <c r="AE665">
        <v>-7.2999999999865299E-3</v>
      </c>
      <c r="AF665">
        <v>2.0596700787574298E-3</v>
      </c>
      <c r="AG665">
        <v>-8.3214999999999997E-2</v>
      </c>
      <c r="AH665">
        <v>0.74910714137491796</v>
      </c>
      <c r="AI665">
        <v>96.338722894921105</v>
      </c>
      <c r="AJ665">
        <v>89.842465651694894</v>
      </c>
      <c r="AK665">
        <v>0.75371777723809497</v>
      </c>
    </row>
    <row r="666" spans="1:37" x14ac:dyDescent="0.2">
      <c r="A666" t="str">
        <f>"20200111155806498"</f>
        <v>20200111155806498</v>
      </c>
      <c r="B666" t="str">
        <f>"1578729486491365"</f>
        <v>1578729486491365</v>
      </c>
      <c r="C666" t="s">
        <v>37</v>
      </c>
      <c r="D666">
        <v>5.7951769999999998</v>
      </c>
      <c r="E666">
        <v>0.533605</v>
      </c>
      <c r="F666" t="s">
        <v>38</v>
      </c>
      <c r="G666">
        <v>-363.97129999999999</v>
      </c>
      <c r="H666">
        <v>1.0343209999999901</v>
      </c>
      <c r="I666">
        <v>368.06479999999999</v>
      </c>
      <c r="J666">
        <v>-364.50850000000003</v>
      </c>
      <c r="K666">
        <v>1.102903</v>
      </c>
      <c r="L666">
        <v>368.06920000000002</v>
      </c>
      <c r="M666">
        <v>0.99995919999999905</v>
      </c>
      <c r="N666">
        <v>0</v>
      </c>
      <c r="O666">
        <v>-7.3314519999999996E-3</v>
      </c>
      <c r="P666">
        <v>0.99690789999999996</v>
      </c>
      <c r="Q666">
        <v>5.1678569999999997E-3</v>
      </c>
      <c r="R666">
        <v>7.8412910000000002E-2</v>
      </c>
      <c r="S666">
        <v>3.0125730000000002</v>
      </c>
      <c r="T666">
        <v>-0.27011109999999999</v>
      </c>
      <c r="U666">
        <v>-2.4566649999999999E-2</v>
      </c>
      <c r="V666">
        <v>-8.5707099999999994E-2</v>
      </c>
      <c r="W666">
        <v>1.0560140000000001E-2</v>
      </c>
      <c r="X666">
        <v>0.99626440000000005</v>
      </c>
      <c r="Y666">
        <v>8.4890929999999903E-4</v>
      </c>
      <c r="Z666">
        <v>6.180399E-4</v>
      </c>
      <c r="AA666">
        <v>0.99999950000000004</v>
      </c>
      <c r="AB666">
        <v>30</v>
      </c>
      <c r="AC666">
        <v>0.53720000000004098</v>
      </c>
      <c r="AD666">
        <v>-6.8582000000000101E-2</v>
      </c>
      <c r="AE666">
        <v>-4.4000000000323702E-3</v>
      </c>
      <c r="AF666">
        <v>4.53972307504125E-4</v>
      </c>
      <c r="AG666">
        <v>-6.8582000000000101E-2</v>
      </c>
      <c r="AH666">
        <v>0.52860295084979303</v>
      </c>
      <c r="AI666">
        <v>97.3923718798236</v>
      </c>
      <c r="AJ666">
        <v>89.9507935194097</v>
      </c>
      <c r="AK666">
        <v>0.53303356035240801</v>
      </c>
    </row>
    <row r="667" spans="1:37" x14ac:dyDescent="0.2">
      <c r="A667" t="str">
        <f>"20200111155806512"</f>
        <v>20200111155806512</v>
      </c>
      <c r="B667" t="str">
        <f>"1578729486502101"</f>
        <v>1578729486502101</v>
      </c>
      <c r="C667" t="s">
        <v>37</v>
      </c>
      <c r="D667">
        <v>5.7238550000000004</v>
      </c>
      <c r="E667">
        <v>0.5334333</v>
      </c>
      <c r="F667" t="s">
        <v>38</v>
      </c>
      <c r="G667">
        <v>-363.70370000000003</v>
      </c>
      <c r="H667">
        <v>1.0296639999999999</v>
      </c>
      <c r="I667">
        <v>368.06439999999998</v>
      </c>
      <c r="J667">
        <v>-364.33319999999998</v>
      </c>
      <c r="K667">
        <v>1.102903</v>
      </c>
      <c r="L667">
        <v>368.0675</v>
      </c>
      <c r="M667">
        <v>0.99995659999999897</v>
      </c>
      <c r="N667">
        <v>0</v>
      </c>
      <c r="O667">
        <v>-7.6682390000000003E-3</v>
      </c>
      <c r="P667">
        <v>0.99686529999999995</v>
      </c>
      <c r="Q667">
        <v>4.8484039999999997E-3</v>
      </c>
      <c r="R667">
        <v>7.8969460000000005E-2</v>
      </c>
      <c r="S667">
        <v>3.0120849999999999</v>
      </c>
      <c r="T667">
        <v>-0.27425349999999998</v>
      </c>
      <c r="U667">
        <v>-1.6754149999999999E-2</v>
      </c>
      <c r="V667">
        <v>-8.6599510000000005E-2</v>
      </c>
      <c r="W667">
        <v>1.022733E-2</v>
      </c>
      <c r="X667">
        <v>0.99619069999999899</v>
      </c>
      <c r="Y667">
        <v>-2.065903E-3</v>
      </c>
      <c r="Z667">
        <v>7.9061210000000003E-4</v>
      </c>
      <c r="AA667">
        <v>0.99999760000000004</v>
      </c>
      <c r="AB667">
        <v>30</v>
      </c>
      <c r="AC667">
        <v>0.62949999999994999</v>
      </c>
      <c r="AD667">
        <v>-7.3238999999999999E-2</v>
      </c>
      <c r="AE667">
        <v>-3.1000000000176399E-3</v>
      </c>
      <c r="AF667">
        <v>-1.7042468842125801E-3</v>
      </c>
      <c r="AG667">
        <v>-7.3238999999999999E-2</v>
      </c>
      <c r="AH667">
        <v>0.62109822349663302</v>
      </c>
      <c r="AI667">
        <v>96.725154003385995</v>
      </c>
      <c r="AJ667">
        <v>90.157214921822998</v>
      </c>
      <c r="AK667">
        <v>0.62540375663175796</v>
      </c>
    </row>
    <row r="668" spans="1:37" x14ac:dyDescent="0.2">
      <c r="A668" t="str">
        <f>"20200111155806526"</f>
        <v>20200111155806526</v>
      </c>
      <c r="B668" t="str">
        <f>"1578729486521913"</f>
        <v>1578729486521913</v>
      </c>
      <c r="C668" t="s">
        <v>37</v>
      </c>
      <c r="D668">
        <v>5.5538980000000002</v>
      </c>
      <c r="E668">
        <v>0.53312169999999903</v>
      </c>
      <c r="F668" t="s">
        <v>38</v>
      </c>
      <c r="G668">
        <v>-363.43650000000002</v>
      </c>
      <c r="H668">
        <v>1.022376</v>
      </c>
      <c r="I668">
        <v>368.06310000000002</v>
      </c>
      <c r="J668">
        <v>-364.13170000000002</v>
      </c>
      <c r="K668">
        <v>1.102905</v>
      </c>
      <c r="L668">
        <v>368.06560000000002</v>
      </c>
      <c r="M668">
        <v>0.9999538</v>
      </c>
      <c r="N668">
        <v>0</v>
      </c>
      <c r="O668">
        <v>-8.0421829999999996E-3</v>
      </c>
      <c r="P668">
        <v>0.99683690000000003</v>
      </c>
      <c r="Q668">
        <v>4.8319230000000001E-3</v>
      </c>
      <c r="R668">
        <v>7.9329819999999995E-2</v>
      </c>
      <c r="S668">
        <v>3.01187099999999</v>
      </c>
      <c r="T668">
        <v>-0.270578599999999</v>
      </c>
      <c r="U668">
        <v>-1.434326E-2</v>
      </c>
      <c r="V668">
        <v>-8.7332950000000006E-2</v>
      </c>
      <c r="W668">
        <v>1.0197289999999999E-2</v>
      </c>
      <c r="X668">
        <v>0.99612699999999998</v>
      </c>
      <c r="Y668">
        <v>-3.2347550000000002E-3</v>
      </c>
      <c r="Z668">
        <v>8.6604149999999996E-4</v>
      </c>
      <c r="AA668">
        <v>0.99999439999999995</v>
      </c>
      <c r="AB668">
        <v>30</v>
      </c>
      <c r="AC668">
        <v>0.69519999999999904</v>
      </c>
      <c r="AD668">
        <v>-8.0529000000000003E-2</v>
      </c>
      <c r="AE668">
        <v>-2.4999999999977202E-3</v>
      </c>
      <c r="AF668">
        <v>-3.0501577335456899E-3</v>
      </c>
      <c r="AG668">
        <v>-8.0529000000000003E-2</v>
      </c>
      <c r="AH668">
        <v>0.68599314343006101</v>
      </c>
      <c r="AI668">
        <v>96.695265301601296</v>
      </c>
      <c r="AJ668">
        <v>90.2547547522842</v>
      </c>
      <c r="AK668">
        <v>0.690710370659263</v>
      </c>
    </row>
    <row r="669" spans="1:37" x14ac:dyDescent="0.2">
      <c r="A669" t="str">
        <f>"20200111155806543"</f>
        <v>20200111155806543</v>
      </c>
      <c r="B669" t="str">
        <f>"1578729486531671"</f>
        <v>1578729486531671</v>
      </c>
      <c r="C669" t="s">
        <v>37</v>
      </c>
      <c r="D669">
        <v>5.6304980000000002</v>
      </c>
      <c r="E669">
        <v>0.53307539999999998</v>
      </c>
      <c r="F669" t="s">
        <v>38</v>
      </c>
      <c r="G669">
        <v>-363.16750000000002</v>
      </c>
      <c r="H669">
        <v>1.016364</v>
      </c>
      <c r="I669">
        <v>368.06199999999899</v>
      </c>
      <c r="J669">
        <v>-363.90440000000001</v>
      </c>
      <c r="K669">
        <v>1.10291299999999</v>
      </c>
      <c r="L669">
        <v>368.0634</v>
      </c>
      <c r="M669">
        <v>0.99995059999999902</v>
      </c>
      <c r="N669">
        <v>0</v>
      </c>
      <c r="O669">
        <v>-8.4340739999999997E-3</v>
      </c>
      <c r="P669">
        <v>0.99689249999999996</v>
      </c>
      <c r="Q669">
        <v>4.5804790000000001E-3</v>
      </c>
      <c r="R669">
        <v>7.8641900000000001E-2</v>
      </c>
      <c r="S669">
        <v>3.0117189999999998</v>
      </c>
      <c r="T669">
        <v>-0.27042240000000001</v>
      </c>
      <c r="U669">
        <v>-1.077271E-2</v>
      </c>
      <c r="V669">
        <v>-8.7036299999999997E-2</v>
      </c>
      <c r="W669">
        <v>9.9340869999999994E-3</v>
      </c>
      <c r="X669">
        <v>0.99615560000000003</v>
      </c>
      <c r="Y669">
        <v>-4.8041020000000002E-3</v>
      </c>
      <c r="Z669">
        <v>9.7102089999999896E-4</v>
      </c>
      <c r="AA669">
        <v>0.99998799999999899</v>
      </c>
      <c r="AB669">
        <v>30</v>
      </c>
      <c r="AC669">
        <v>0.73689999999999101</v>
      </c>
      <c r="AD669">
        <v>-8.6548999999999696E-2</v>
      </c>
      <c r="AE669">
        <v>-1.40000000004647E-3</v>
      </c>
      <c r="AF669">
        <v>-4.7496854398008104E-3</v>
      </c>
      <c r="AG669">
        <v>-8.6548999999999696E-2</v>
      </c>
      <c r="AH669">
        <v>0.72685895401991796</v>
      </c>
      <c r="AI669">
        <v>96.790243382898296</v>
      </c>
      <c r="AJ669">
        <v>90.374395960702103</v>
      </c>
      <c r="AK669">
        <v>0.73200903543037399</v>
      </c>
    </row>
    <row r="670" spans="1:37" x14ac:dyDescent="0.2">
      <c r="A670" t="str">
        <f>"20200111155806559"</f>
        <v>20200111155806559</v>
      </c>
      <c r="B670" t="str">
        <f>"1578729486552167"</f>
        <v>1578729486552167</v>
      </c>
      <c r="C670" t="s">
        <v>37</v>
      </c>
      <c r="D670">
        <v>5.6189679999999997</v>
      </c>
      <c r="E670">
        <v>0.53293080000000004</v>
      </c>
      <c r="F670" t="s">
        <v>38</v>
      </c>
      <c r="G670">
        <v>-363.15780000000001</v>
      </c>
      <c r="H670">
        <v>1.035776</v>
      </c>
      <c r="I670">
        <v>368.06009999999998</v>
      </c>
      <c r="J670">
        <v>-363.69540000000001</v>
      </c>
      <c r="K670">
        <v>1.102929</v>
      </c>
      <c r="L670">
        <v>368.06130000000002</v>
      </c>
      <c r="M670">
        <v>0.99994780000000005</v>
      </c>
      <c r="N670">
        <v>0</v>
      </c>
      <c r="O670">
        <v>-8.7630060000000003E-3</v>
      </c>
      <c r="P670">
        <v>0.99693449999999995</v>
      </c>
      <c r="Q670">
        <v>4.5398490000000003E-3</v>
      </c>
      <c r="R670">
        <v>7.8110579999999999E-2</v>
      </c>
      <c r="S670">
        <v>3.0115660000000002</v>
      </c>
      <c r="T670">
        <v>-0.27097019999999999</v>
      </c>
      <c r="U670">
        <v>-1.272583E-2</v>
      </c>
      <c r="V670">
        <v>-8.6833530000000006E-2</v>
      </c>
      <c r="W670">
        <v>9.8859299999999994E-3</v>
      </c>
      <c r="X670">
        <v>0.9961738</v>
      </c>
      <c r="Y670">
        <v>-4.4840840000000002E-3</v>
      </c>
      <c r="Z670">
        <v>9.8819519999999994E-4</v>
      </c>
      <c r="AA670">
        <v>0.99998940000000003</v>
      </c>
      <c r="AB670">
        <v>30</v>
      </c>
      <c r="AC670">
        <v>0.53759999999999697</v>
      </c>
      <c r="AD670">
        <v>-6.7153000000000004E-2</v>
      </c>
      <c r="AE670">
        <v>-1.20000000003983E-3</v>
      </c>
      <c r="AF670">
        <v>-3.4571607973763298E-3</v>
      </c>
      <c r="AG670">
        <v>-6.7153000000000004E-2</v>
      </c>
      <c r="AH670">
        <v>0.5293306879295</v>
      </c>
      <c r="AI670">
        <v>97.229994914541294</v>
      </c>
      <c r="AJ670">
        <v>90.374204464054699</v>
      </c>
      <c r="AK670">
        <v>0.53358453365300695</v>
      </c>
    </row>
    <row r="671" spans="1:37" x14ac:dyDescent="0.2">
      <c r="A671" t="str">
        <f>"20200111155806577"</f>
        <v>20200111155806577</v>
      </c>
      <c r="B671" t="str">
        <f>"1578729486571688"</f>
        <v>1578729486571688</v>
      </c>
      <c r="C671" t="s">
        <v>37</v>
      </c>
      <c r="D671">
        <v>5.629607</v>
      </c>
      <c r="E671">
        <v>0.53283440000000004</v>
      </c>
      <c r="F671" t="s">
        <v>38</v>
      </c>
      <c r="G671">
        <v>-362.88819999999998</v>
      </c>
      <c r="H671">
        <v>1.0303020000000001</v>
      </c>
      <c r="I671">
        <v>368.05770000000001</v>
      </c>
      <c r="J671">
        <v>-363.44170000000003</v>
      </c>
      <c r="K671">
        <v>1.1029659999999999</v>
      </c>
      <c r="L671">
        <v>368.05869999999999</v>
      </c>
      <c r="M671">
        <v>0.99994459999999996</v>
      </c>
      <c r="N671">
        <v>0</v>
      </c>
      <c r="O671">
        <v>-9.1134040000000003E-3</v>
      </c>
      <c r="P671">
        <v>0.99703719999999996</v>
      </c>
      <c r="Q671">
        <v>4.295096E-3</v>
      </c>
      <c r="R671">
        <v>7.6801270000000005E-2</v>
      </c>
      <c r="S671">
        <v>3.0114749999999999</v>
      </c>
      <c r="T671">
        <v>-0.27103470000000002</v>
      </c>
      <c r="U671">
        <v>-1.2969970000000001E-2</v>
      </c>
      <c r="V671">
        <v>-8.5875590000000002E-2</v>
      </c>
      <c r="W671">
        <v>9.6332190000000002E-3</v>
      </c>
      <c r="X671">
        <v>0.99625929999999996</v>
      </c>
      <c r="Y671">
        <v>-4.7507790000000001E-3</v>
      </c>
      <c r="Z671">
        <v>1.031908E-3</v>
      </c>
      <c r="AA671">
        <v>0.99998819999999999</v>
      </c>
      <c r="AB671">
        <v>30</v>
      </c>
      <c r="AC671">
        <v>0.55350000000004196</v>
      </c>
      <c r="AD671">
        <v>-7.2663999999999798E-2</v>
      </c>
      <c r="AE671">
        <v>-9.9999999997635292E-4</v>
      </c>
      <c r="AF671">
        <v>-3.9758581757548903E-3</v>
      </c>
      <c r="AG671">
        <v>-7.2663999999999798E-2</v>
      </c>
      <c r="AH671">
        <v>0.54410861713351399</v>
      </c>
      <c r="AI671">
        <v>97.606463100668904</v>
      </c>
      <c r="AJ671">
        <v>90.418658760411603</v>
      </c>
      <c r="AK671">
        <v>0.54895359693072299</v>
      </c>
    </row>
    <row r="672" spans="1:37" x14ac:dyDescent="0.2">
      <c r="A672" t="str">
        <f>"20200111155806599"</f>
        <v>20200111155806599</v>
      </c>
      <c r="B672" t="str">
        <f>"1578729486592183"</f>
        <v>1578729486592183</v>
      </c>
      <c r="C672" t="s">
        <v>37</v>
      </c>
      <c r="D672">
        <v>5.6424149999999997</v>
      </c>
      <c r="E672">
        <v>0.53276210000000002</v>
      </c>
      <c r="F672" t="s">
        <v>38</v>
      </c>
      <c r="G672">
        <v>-362.6155</v>
      </c>
      <c r="H672">
        <v>1.028432</v>
      </c>
      <c r="I672">
        <v>368.05399999999997</v>
      </c>
      <c r="J672">
        <v>-363.13670000000002</v>
      </c>
      <c r="K672">
        <v>1.1030249999999999</v>
      </c>
      <c r="L672">
        <v>368.05560000000003</v>
      </c>
      <c r="M672">
        <v>0.99994150000000004</v>
      </c>
      <c r="N672">
        <v>0</v>
      </c>
      <c r="O672">
        <v>-9.4448039999999994E-3</v>
      </c>
      <c r="P672">
        <v>0.99716469999999902</v>
      </c>
      <c r="Q672">
        <v>4.7086699999999999E-3</v>
      </c>
      <c r="R672">
        <v>7.5103130000000004E-2</v>
      </c>
      <c r="S672">
        <v>3.01135299999999</v>
      </c>
      <c r="T672">
        <v>-0.27197100000000002</v>
      </c>
      <c r="U672">
        <v>-1.6296390000000001E-2</v>
      </c>
      <c r="V672">
        <v>-8.4510360000000007E-2</v>
      </c>
      <c r="W672">
        <v>1.00366E-2</v>
      </c>
      <c r="X672">
        <v>0.99637199999999904</v>
      </c>
      <c r="Y672">
        <v>-3.9788339999999997E-3</v>
      </c>
      <c r="Z672">
        <v>1.030577E-3</v>
      </c>
      <c r="AA672">
        <v>0.99999150000000003</v>
      </c>
      <c r="AB672">
        <v>30</v>
      </c>
      <c r="AC672">
        <v>0.52120000000002098</v>
      </c>
      <c r="AD672">
        <v>-7.4592999999999895E-2</v>
      </c>
      <c r="AE672">
        <v>-1.59999999999627E-3</v>
      </c>
      <c r="AF672">
        <v>-3.25607893925093E-3</v>
      </c>
      <c r="AG672">
        <v>-7.4592999999999895E-2</v>
      </c>
      <c r="AH672">
        <v>0.51073081350648397</v>
      </c>
      <c r="AI672">
        <v>98.309217652187002</v>
      </c>
      <c r="AJ672">
        <v>90.365274717219506</v>
      </c>
      <c r="AK672">
        <v>0.51615955049195195</v>
      </c>
    </row>
    <row r="673" spans="1:37" x14ac:dyDescent="0.2">
      <c r="A673" t="str">
        <f>"20200111155806612"</f>
        <v>20200111155806612</v>
      </c>
      <c r="B673" t="str">
        <f>"1578729486601943"</f>
        <v>1578729486601943</v>
      </c>
      <c r="C673" t="s">
        <v>37</v>
      </c>
      <c r="D673">
        <v>5.770715</v>
      </c>
      <c r="E673">
        <v>0.53281099999999904</v>
      </c>
      <c r="F673" t="s">
        <v>38</v>
      </c>
      <c r="G673">
        <v>-362.33940000000001</v>
      </c>
      <c r="H673">
        <v>1.031374</v>
      </c>
      <c r="I673">
        <v>368.0498</v>
      </c>
      <c r="J673">
        <v>-362.95580000000001</v>
      </c>
      <c r="K673">
        <v>1.103067</v>
      </c>
      <c r="L673">
        <v>368.05369999999999</v>
      </c>
      <c r="M673">
        <v>0.9999401</v>
      </c>
      <c r="N673">
        <v>0</v>
      </c>
      <c r="O673">
        <v>-9.5905230000000001E-3</v>
      </c>
      <c r="P673">
        <v>0.99720839999999999</v>
      </c>
      <c r="Q673">
        <v>4.7333499999999999E-3</v>
      </c>
      <c r="R673">
        <v>7.4521240000000002E-2</v>
      </c>
      <c r="S673">
        <v>3.0113829999999999</v>
      </c>
      <c r="T673">
        <v>-0.27093229999999902</v>
      </c>
      <c r="U673">
        <v>-2.081299E-2</v>
      </c>
      <c r="V673">
        <v>-8.4075120000000003E-2</v>
      </c>
      <c r="W673">
        <v>1.005663E-2</v>
      </c>
      <c r="X673">
        <v>0.99640859999999998</v>
      </c>
      <c r="Y673">
        <v>-2.6301159999999901E-3</v>
      </c>
      <c r="Z673">
        <v>9.7917449999999993E-4</v>
      </c>
      <c r="AA673">
        <v>0.99999609999999906</v>
      </c>
      <c r="AB673">
        <v>31</v>
      </c>
      <c r="AC673">
        <v>0.61639999999999795</v>
      </c>
      <c r="AD673">
        <v>-7.1692999999999896E-2</v>
      </c>
      <c r="AE673">
        <v>-3.8999999999873498E-3</v>
      </c>
      <c r="AF673">
        <v>-1.98500818544979E-3</v>
      </c>
      <c r="AG673">
        <v>-7.1692999999999896E-2</v>
      </c>
      <c r="AH673">
        <v>0.60818199901454695</v>
      </c>
      <c r="AI673">
        <v>96.723012323506893</v>
      </c>
      <c r="AJ673">
        <v>90.1870035411456</v>
      </c>
      <c r="AK673">
        <v>0.61239625279048504</v>
      </c>
    </row>
    <row r="674" spans="1:37" x14ac:dyDescent="0.2">
      <c r="A674" t="str">
        <f>"20200111155806625"</f>
        <v>20200111155806625</v>
      </c>
      <c r="B674" t="str">
        <f>"1578729486621969"</f>
        <v>1578729486621969</v>
      </c>
      <c r="C674" t="s">
        <v>37</v>
      </c>
      <c r="D674">
        <v>5.6494489999999997</v>
      </c>
      <c r="E674">
        <v>0.53272969999999997</v>
      </c>
      <c r="F674" t="s">
        <v>38</v>
      </c>
      <c r="G674">
        <v>-362.0677</v>
      </c>
      <c r="H674">
        <v>1.023242</v>
      </c>
      <c r="I674">
        <v>368.04669999999999</v>
      </c>
      <c r="J674">
        <v>-362.77800000000002</v>
      </c>
      <c r="K674">
        <v>1.1031070000000001</v>
      </c>
      <c r="L674">
        <v>368.05189999999999</v>
      </c>
      <c r="M674">
        <v>0.99993899999999902</v>
      </c>
      <c r="N674">
        <v>0</v>
      </c>
      <c r="O674">
        <v>-9.7088250000000008E-3</v>
      </c>
      <c r="P674">
        <v>0.99727379999999999</v>
      </c>
      <c r="Q674">
        <v>5.4210329999999996E-3</v>
      </c>
      <c r="R674">
        <v>7.3591589999999998E-2</v>
      </c>
      <c r="S674">
        <v>3.01135299999999</v>
      </c>
      <c r="T674">
        <v>-0.270785099999999</v>
      </c>
      <c r="U674">
        <v>-2.29187E-2</v>
      </c>
      <c r="V674">
        <v>-8.3264889999999994E-2</v>
      </c>
      <c r="W674">
        <v>1.073942E-2</v>
      </c>
      <c r="X674">
        <v>0.99646959999999996</v>
      </c>
      <c r="Y674">
        <v>-2.051045E-3</v>
      </c>
      <c r="Z674">
        <v>9.6328429999999903E-4</v>
      </c>
      <c r="AA674">
        <v>0.99999740000000004</v>
      </c>
      <c r="AB674">
        <v>31</v>
      </c>
      <c r="AC674">
        <v>0.71030000000001703</v>
      </c>
      <c r="AD674">
        <v>-7.9865000000000005E-2</v>
      </c>
      <c r="AE674">
        <v>-5.2000000000020901E-3</v>
      </c>
      <c r="AF674">
        <v>-1.6753399494743399E-3</v>
      </c>
      <c r="AG674">
        <v>-7.9865000000000005E-2</v>
      </c>
      <c r="AH674">
        <v>0.70144948166272403</v>
      </c>
      <c r="AI674">
        <v>96.495540737622804</v>
      </c>
      <c r="AJ674">
        <v>90.136844816828003</v>
      </c>
      <c r="AK674">
        <v>0.70598342778981005</v>
      </c>
    </row>
    <row r="675" spans="1:37" x14ac:dyDescent="0.2">
      <c r="A675" t="str">
        <f>"20200111155806642"</f>
        <v>20200111155806642</v>
      </c>
      <c r="B675" t="str">
        <f>"1578729486631730"</f>
        <v>1578729486631730</v>
      </c>
      <c r="C675" t="s">
        <v>37</v>
      </c>
      <c r="D675">
        <v>5.884163</v>
      </c>
      <c r="E675">
        <v>0.53288009999999997</v>
      </c>
      <c r="F675" t="s">
        <v>38</v>
      </c>
      <c r="G675">
        <v>-361.79520000000002</v>
      </c>
      <c r="H675">
        <v>1.01488</v>
      </c>
      <c r="I675">
        <v>368.0437</v>
      </c>
      <c r="J675">
        <v>-362.54219999999998</v>
      </c>
      <c r="K675">
        <v>1.1031679999999999</v>
      </c>
      <c r="L675">
        <v>368.04950000000002</v>
      </c>
      <c r="M675">
        <v>0.99993799999999899</v>
      </c>
      <c r="N675">
        <v>0</v>
      </c>
      <c r="O675">
        <v>-9.7932820000000004E-3</v>
      </c>
      <c r="P675">
        <v>0.99738059999999995</v>
      </c>
      <c r="Q675">
        <v>6.3281319999999898E-3</v>
      </c>
      <c r="R675">
        <v>7.2055399999999895E-2</v>
      </c>
      <c r="S675">
        <v>3.0115050000000001</v>
      </c>
      <c r="T675">
        <v>-0.27034829999999999</v>
      </c>
      <c r="U675">
        <v>-2.505493E-2</v>
      </c>
      <c r="V675">
        <v>-8.181476E-2</v>
      </c>
      <c r="W675">
        <v>1.1641540000000001E-2</v>
      </c>
      <c r="X675">
        <v>0.99657960000000001</v>
      </c>
      <c r="Y675">
        <v>-1.428906E-3</v>
      </c>
      <c r="Z675">
        <v>9.4138239999999997E-4</v>
      </c>
      <c r="AA675">
        <v>0.99999850000000001</v>
      </c>
      <c r="AB675">
        <v>31</v>
      </c>
      <c r="AC675">
        <v>0.74699999999995703</v>
      </c>
      <c r="AD675">
        <v>-8.8287999999999894E-2</v>
      </c>
      <c r="AE675">
        <v>-5.8000000000220098E-3</v>
      </c>
      <c r="AF675">
        <v>-1.49507919397241E-3</v>
      </c>
      <c r="AG675">
        <v>-8.8287999999999894E-2</v>
      </c>
      <c r="AH675">
        <v>0.73673028813990404</v>
      </c>
      <c r="AI675">
        <v>96.833587350407996</v>
      </c>
      <c r="AJ675">
        <v>90.116272687087701</v>
      </c>
      <c r="AK675">
        <v>0.742003048287878</v>
      </c>
    </row>
    <row r="676" spans="1:37" x14ac:dyDescent="0.2">
      <c r="A676" t="str">
        <f>"20200111155806656"</f>
        <v>20200111155806656</v>
      </c>
      <c r="B676" t="str">
        <f>"1578729486651251"</f>
        <v>1578729486651251</v>
      </c>
      <c r="C676" t="s">
        <v>37</v>
      </c>
      <c r="D676">
        <v>5.6848580000000002</v>
      </c>
      <c r="E676">
        <v>0.53279169999999998</v>
      </c>
      <c r="F676" t="s">
        <v>38</v>
      </c>
      <c r="G676">
        <v>-361.78519999999997</v>
      </c>
      <c r="H676">
        <v>1.036054</v>
      </c>
      <c r="I676">
        <v>368.04169999999999</v>
      </c>
      <c r="J676">
        <v>-362.35809999999998</v>
      </c>
      <c r="K676">
        <v>1.1032150000000001</v>
      </c>
      <c r="L676">
        <v>368.04770000000002</v>
      </c>
      <c r="M676">
        <v>0.99993779999999999</v>
      </c>
      <c r="N676">
        <v>0</v>
      </c>
      <c r="O676">
        <v>-9.8118019999999997E-3</v>
      </c>
      <c r="P676">
        <v>0.99743599999999999</v>
      </c>
      <c r="Q676">
        <v>7.01423699999999E-3</v>
      </c>
      <c r="R676">
        <v>7.1220870000000006E-2</v>
      </c>
      <c r="S676">
        <v>3.011841</v>
      </c>
      <c r="T676">
        <v>-0.26704050000000001</v>
      </c>
      <c r="U676">
        <v>-3.1188960000000002E-2</v>
      </c>
      <c r="V676">
        <v>-8.1000509999999998E-2</v>
      </c>
      <c r="W676">
        <v>1.232432E-2</v>
      </c>
      <c r="X676">
        <v>0.99663789999999997</v>
      </c>
      <c r="Y676">
        <v>5.7919519999999997E-4</v>
      </c>
      <c r="Z676">
        <v>8.4258800000000002E-4</v>
      </c>
      <c r="AA676">
        <v>0.99999950000000004</v>
      </c>
      <c r="AB676">
        <v>31</v>
      </c>
      <c r="AC676">
        <v>0.57290000000000396</v>
      </c>
      <c r="AD676">
        <v>-6.7160999999999998E-2</v>
      </c>
      <c r="AE676">
        <v>-6.0000000000286404E-3</v>
      </c>
      <c r="AF676">
        <v>3.7332082838190101E-4</v>
      </c>
      <c r="AG676">
        <v>-6.7160999999999998E-2</v>
      </c>
      <c r="AH676">
        <v>0.56516516749633905</v>
      </c>
      <c r="AI676">
        <v>96.776920618506495</v>
      </c>
      <c r="AJ676">
        <v>89.962153179300799</v>
      </c>
      <c r="AK676">
        <v>0.56914181522763396</v>
      </c>
    </row>
    <row r="677" spans="1:37" x14ac:dyDescent="0.2">
      <c r="A677" t="str">
        <f>"20200111155806668"</f>
        <v>20200111155806668</v>
      </c>
      <c r="B677" t="str">
        <f>"1578729486661986"</f>
        <v>1578729486661986</v>
      </c>
      <c r="C677" t="s">
        <v>37</v>
      </c>
      <c r="D677">
        <v>5.7251899999999996</v>
      </c>
      <c r="E677">
        <v>0.53273789999999999</v>
      </c>
      <c r="F677" t="s">
        <v>38</v>
      </c>
      <c r="G677">
        <v>-361.51119999999997</v>
      </c>
      <c r="H677">
        <v>1.0286709999999999</v>
      </c>
      <c r="I677">
        <v>368.03820000000002</v>
      </c>
      <c r="J677">
        <v>-362.16649999999998</v>
      </c>
      <c r="K677">
        <v>1.1032660000000001</v>
      </c>
      <c r="L677">
        <v>368.04579999999999</v>
      </c>
      <c r="M677">
        <v>0.99993799999999899</v>
      </c>
      <c r="N677">
        <v>0</v>
      </c>
      <c r="O677">
        <v>-9.7946609999999996E-3</v>
      </c>
      <c r="P677">
        <v>0.99747600000000003</v>
      </c>
      <c r="Q677">
        <v>7.563986E-3</v>
      </c>
      <c r="R677">
        <v>7.0602100000000001E-2</v>
      </c>
      <c r="S677">
        <v>3.01187099999999</v>
      </c>
      <c r="T677">
        <v>-0.26541409999999999</v>
      </c>
      <c r="U677">
        <v>-3.259277E-2</v>
      </c>
      <c r="V677">
        <v>-8.0366469999999995E-2</v>
      </c>
      <c r="W677">
        <v>1.2871209999999999E-2</v>
      </c>
      <c r="X677">
        <v>0.99668230000000002</v>
      </c>
      <c r="Y677">
        <v>1.0599050000000001E-3</v>
      </c>
      <c r="Z677">
        <v>8.1481860000000002E-4</v>
      </c>
      <c r="AA677">
        <v>0.99999910000000003</v>
      </c>
      <c r="AB677">
        <v>31</v>
      </c>
      <c r="AC677">
        <v>0.65530000000001098</v>
      </c>
      <c r="AD677">
        <v>-7.4595000000000106E-2</v>
      </c>
      <c r="AE677">
        <v>-7.5999999999680698E-3</v>
      </c>
      <c r="AF677">
        <v>1.1659970215892601E-3</v>
      </c>
      <c r="AG677">
        <v>-7.4595000000000106E-2</v>
      </c>
      <c r="AH677">
        <v>0.64696079339659796</v>
      </c>
      <c r="AI677">
        <v>96.577186367453706</v>
      </c>
      <c r="AJ677">
        <v>89.8967377364893</v>
      </c>
      <c r="AK677">
        <v>0.65124806469302499</v>
      </c>
    </row>
    <row r="678" spans="1:37" x14ac:dyDescent="0.2">
      <c r="A678" t="str">
        <f>"20200111155806681"</f>
        <v>20200111155806681</v>
      </c>
      <c r="B678" t="str">
        <f>"1578729486671745"</f>
        <v>1578729486671745</v>
      </c>
      <c r="C678" t="s">
        <v>37</v>
      </c>
      <c r="D678">
        <v>5.7375800000000003</v>
      </c>
      <c r="E678">
        <v>0.53264919999999905</v>
      </c>
      <c r="F678" t="s">
        <v>38</v>
      </c>
      <c r="G678">
        <v>-361.23610000000002</v>
      </c>
      <c r="H678">
        <v>1.021765</v>
      </c>
      <c r="I678">
        <v>368.0351</v>
      </c>
      <c r="J678">
        <v>-361.9855</v>
      </c>
      <c r="K678">
        <v>1.103316</v>
      </c>
      <c r="L678">
        <v>368.04399999999998</v>
      </c>
      <c r="M678">
        <v>0.99993860000000001</v>
      </c>
      <c r="N678">
        <v>0</v>
      </c>
      <c r="O678">
        <v>-9.7300759999999903E-3</v>
      </c>
      <c r="P678">
        <v>0.99753269999999905</v>
      </c>
      <c r="Q678">
        <v>7.9344459999999995E-3</v>
      </c>
      <c r="R678">
        <v>6.9754109999999994E-2</v>
      </c>
      <c r="S678">
        <v>3.012054</v>
      </c>
      <c r="T678">
        <v>-0.26394299999999998</v>
      </c>
      <c r="U678">
        <v>-3.4271240000000001E-2</v>
      </c>
      <c r="V678">
        <v>-7.9456890000000002E-2</v>
      </c>
      <c r="W678">
        <v>1.323882E-2</v>
      </c>
      <c r="X678">
        <v>0.99675040000000004</v>
      </c>
      <c r="Y678">
        <v>1.678021E-3</v>
      </c>
      <c r="Z678">
        <v>7.775894E-4</v>
      </c>
      <c r="AA678">
        <v>0.99999830000000001</v>
      </c>
      <c r="AB678">
        <v>31</v>
      </c>
      <c r="AC678">
        <v>0.74939999999997997</v>
      </c>
      <c r="AD678">
        <v>-8.1550999999999901E-2</v>
      </c>
      <c r="AE678">
        <v>-8.9000000000396505E-3</v>
      </c>
      <c r="AF678">
        <v>1.58894331286911E-3</v>
      </c>
      <c r="AG678">
        <v>-8.1550999999999901E-2</v>
      </c>
      <c r="AH678">
        <v>0.74068108989899295</v>
      </c>
      <c r="AI678">
        <v>96.283098940309202</v>
      </c>
      <c r="AJ678">
        <v>89.877086633778703</v>
      </c>
      <c r="AK678">
        <v>0.74515875306931201</v>
      </c>
    </row>
    <row r="679" spans="1:37" x14ac:dyDescent="0.2">
      <c r="A679" t="str">
        <f>"20200111155806700"</f>
        <v>20200111155806700</v>
      </c>
      <c r="B679" t="str">
        <f>"1578729486691265"</f>
        <v>1578729486691265</v>
      </c>
      <c r="C679" t="s">
        <v>37</v>
      </c>
      <c r="D679">
        <v>5.7393159999999996</v>
      </c>
      <c r="E679">
        <v>0.53249690000000005</v>
      </c>
      <c r="F679" t="s">
        <v>38</v>
      </c>
      <c r="G679">
        <v>-361.22840000000002</v>
      </c>
      <c r="H679">
        <v>1.037285</v>
      </c>
      <c r="I679">
        <v>368.03489999999999</v>
      </c>
      <c r="J679">
        <v>-361.73719999999997</v>
      </c>
      <c r="K679">
        <v>1.1033839999999999</v>
      </c>
      <c r="L679">
        <v>368.04180000000002</v>
      </c>
      <c r="M679">
        <v>0.9999403</v>
      </c>
      <c r="N679">
        <v>0</v>
      </c>
      <c r="O679">
        <v>-9.5600900000000003E-3</v>
      </c>
      <c r="P679">
        <v>0.99760969999999904</v>
      </c>
      <c r="Q679">
        <v>8.4422730000000001E-3</v>
      </c>
      <c r="R679">
        <v>6.8586449999999993E-2</v>
      </c>
      <c r="S679">
        <v>3.0120239999999998</v>
      </c>
      <c r="T679">
        <v>-0.2627487</v>
      </c>
      <c r="U679">
        <v>-3.6010739999999999E-2</v>
      </c>
      <c r="V679">
        <v>-7.8122620000000004E-2</v>
      </c>
      <c r="W679">
        <v>1.374327E-2</v>
      </c>
      <c r="X679">
        <v>0.99684899999999999</v>
      </c>
      <c r="Y679">
        <v>2.4218239999999999E-3</v>
      </c>
      <c r="Z679">
        <v>7.2691050000000005E-4</v>
      </c>
      <c r="AA679">
        <v>0.99999680000000002</v>
      </c>
      <c r="AB679">
        <v>31</v>
      </c>
      <c r="AC679">
        <v>0.50879999999995096</v>
      </c>
      <c r="AD679">
        <v>-6.6098999999999894E-2</v>
      </c>
      <c r="AE679">
        <v>-6.9000000000300999E-3</v>
      </c>
      <c r="AF679">
        <v>2.0016668310708398E-3</v>
      </c>
      <c r="AG679">
        <v>-6.6098999999999894E-2</v>
      </c>
      <c r="AH679">
        <v>0.50039902563596705</v>
      </c>
      <c r="AI679">
        <v>97.524724540494802</v>
      </c>
      <c r="AJ679">
        <v>89.770810005946203</v>
      </c>
      <c r="AK679">
        <v>0.50474970958736398</v>
      </c>
    </row>
    <row r="680" spans="1:37" x14ac:dyDescent="0.2">
      <c r="A680" t="str">
        <f>"20200111155806712"</f>
        <v>20200111155806712</v>
      </c>
      <c r="B680" t="str">
        <f>"1578729486702001"</f>
        <v>1578729486702001</v>
      </c>
      <c r="C680" t="s">
        <v>37</v>
      </c>
      <c r="D680">
        <v>5.8362400000000001</v>
      </c>
      <c r="E680">
        <v>0.53236779999999995</v>
      </c>
      <c r="F680" t="s">
        <v>38</v>
      </c>
      <c r="G680">
        <v>-360.95030000000003</v>
      </c>
      <c r="H680">
        <v>1.035115</v>
      </c>
      <c r="I680">
        <v>368.03160000000003</v>
      </c>
      <c r="J680">
        <v>-361.56110000000001</v>
      </c>
      <c r="K680">
        <v>1.10344</v>
      </c>
      <c r="L680">
        <v>368.04020000000003</v>
      </c>
      <c r="M680">
        <v>0.99994179999999999</v>
      </c>
      <c r="N680">
        <v>0</v>
      </c>
      <c r="O680">
        <v>-9.3867769999999903E-3</v>
      </c>
      <c r="P680">
        <v>0.99764010000000003</v>
      </c>
      <c r="Q680">
        <v>8.5079560000000005E-3</v>
      </c>
      <c r="R680">
        <v>6.8132860000000003E-2</v>
      </c>
      <c r="S680">
        <v>3.0120239999999998</v>
      </c>
      <c r="T680">
        <v>-0.26152700000000001</v>
      </c>
      <c r="U680">
        <v>-3.823853E-2</v>
      </c>
      <c r="V680">
        <v>-7.7498429999999993E-2</v>
      </c>
      <c r="W680">
        <v>1.3806209999999999E-2</v>
      </c>
      <c r="X680">
        <v>0.99689689999999997</v>
      </c>
      <c r="Y680">
        <v>3.3303400000000002E-3</v>
      </c>
      <c r="Z680">
        <v>6.6915379999999997E-4</v>
      </c>
      <c r="AA680">
        <v>0.99999419999999895</v>
      </c>
      <c r="AB680">
        <v>31</v>
      </c>
      <c r="AC680">
        <v>0.61079999999998302</v>
      </c>
      <c r="AD680">
        <v>-6.83249999999999E-2</v>
      </c>
      <c r="AE680">
        <v>-8.6000000000012698E-3</v>
      </c>
      <c r="AF680">
        <v>2.8306833205600998E-3</v>
      </c>
      <c r="AG680">
        <v>-6.83249999999999E-2</v>
      </c>
      <c r="AH680">
        <v>0.60330614708492503</v>
      </c>
      <c r="AI680">
        <v>96.461201715070501</v>
      </c>
      <c r="AJ680">
        <v>89.731172940867694</v>
      </c>
      <c r="AK680">
        <v>0.60716935487845403</v>
      </c>
    </row>
    <row r="681" spans="1:37" x14ac:dyDescent="0.2">
      <c r="A681" t="str">
        <f>"20200111155806727"</f>
        <v>20200111155806727</v>
      </c>
      <c r="B681" t="str">
        <f>"1578729486721521"</f>
        <v>1578729486721521</v>
      </c>
      <c r="C681" t="s">
        <v>37</v>
      </c>
      <c r="D681">
        <v>6.3541230000000004</v>
      </c>
      <c r="E681">
        <v>0.53227080000000004</v>
      </c>
      <c r="F681" t="s">
        <v>38</v>
      </c>
      <c r="G681">
        <v>-360.67410000000001</v>
      </c>
      <c r="H681">
        <v>1.02657</v>
      </c>
      <c r="I681">
        <v>368.02859999999998</v>
      </c>
      <c r="J681">
        <v>-361.36599999999999</v>
      </c>
      <c r="K681">
        <v>1.103502</v>
      </c>
      <c r="L681">
        <v>368.0385</v>
      </c>
      <c r="M681">
        <v>0.9999439</v>
      </c>
      <c r="N681">
        <v>0</v>
      </c>
      <c r="O681">
        <v>-9.1562080000000007E-3</v>
      </c>
      <c r="P681">
        <v>0.99765749999999997</v>
      </c>
      <c r="Q681">
        <v>8.9545230000000007E-3</v>
      </c>
      <c r="R681">
        <v>6.7818119999999996E-2</v>
      </c>
      <c r="S681">
        <v>3.0119630000000002</v>
      </c>
      <c r="T681">
        <v>-0.26119829999999999</v>
      </c>
      <c r="U681">
        <v>-3.8665770000000002E-2</v>
      </c>
      <c r="V681">
        <v>-7.6956510000000006E-2</v>
      </c>
      <c r="W681">
        <v>1.4249619999999999E-2</v>
      </c>
      <c r="X681">
        <v>0.99693259999999995</v>
      </c>
      <c r="Y681">
        <v>3.7006919999999998E-3</v>
      </c>
      <c r="Z681">
        <v>6.3234499999999998E-4</v>
      </c>
      <c r="AA681">
        <v>0.99999300000000002</v>
      </c>
      <c r="AB681">
        <v>31</v>
      </c>
      <c r="AC681">
        <v>0.69189999999997498</v>
      </c>
      <c r="AD681">
        <v>-7.6932E-2</v>
      </c>
      <c r="AE681">
        <v>-9.9000000000160002E-3</v>
      </c>
      <c r="AF681">
        <v>3.5207957973401901E-3</v>
      </c>
      <c r="AG681">
        <v>-7.6932E-2</v>
      </c>
      <c r="AH681">
        <v>0.68351303286605902</v>
      </c>
      <c r="AI681">
        <v>96.421747111437099</v>
      </c>
      <c r="AJ681">
        <v>89.704870359600903</v>
      </c>
      <c r="AK681">
        <v>0.68783791311965703</v>
      </c>
    </row>
    <row r="682" spans="1:37" x14ac:dyDescent="0.2">
      <c r="A682" t="str">
        <f>"20200111155806742"</f>
        <v>20200111155806742</v>
      </c>
      <c r="B682" t="str">
        <f>"1578729486731281"</f>
        <v>1578729486731281</v>
      </c>
      <c r="C682" t="s">
        <v>37</v>
      </c>
      <c r="D682">
        <v>5.7807659999999998</v>
      </c>
      <c r="E682">
        <v>0.53217650000000005</v>
      </c>
      <c r="F682" t="s">
        <v>38</v>
      </c>
      <c r="G682">
        <v>-360.39609999999999</v>
      </c>
      <c r="H682">
        <v>1.019828</v>
      </c>
      <c r="I682">
        <v>368.0258</v>
      </c>
      <c r="J682">
        <v>-361.1404</v>
      </c>
      <c r="K682">
        <v>1.1035790000000001</v>
      </c>
      <c r="L682">
        <v>368.03680000000003</v>
      </c>
      <c r="M682">
        <v>0.99994680000000002</v>
      </c>
      <c r="N682">
        <v>0</v>
      </c>
      <c r="O682">
        <v>-8.8154389999999996E-3</v>
      </c>
      <c r="P682">
        <v>0.99769339999999995</v>
      </c>
      <c r="Q682">
        <v>9.5902939999999992E-3</v>
      </c>
      <c r="R682">
        <v>6.7201689999999994E-2</v>
      </c>
      <c r="S682">
        <v>3.012054</v>
      </c>
      <c r="T682">
        <v>-0.25997520000000002</v>
      </c>
      <c r="U682">
        <v>-3.90625E-2</v>
      </c>
      <c r="V682">
        <v>-7.6003589999999996E-2</v>
      </c>
      <c r="W682">
        <v>1.488279E-2</v>
      </c>
      <c r="X682">
        <v>0.99699649999999995</v>
      </c>
      <c r="Y682">
        <v>4.1695739999999997E-3</v>
      </c>
      <c r="Z682">
        <v>5.7982390000000002E-4</v>
      </c>
      <c r="AA682">
        <v>0.99999110000000002</v>
      </c>
      <c r="AB682">
        <v>31</v>
      </c>
      <c r="AC682">
        <v>0.74430000000000895</v>
      </c>
      <c r="AD682">
        <v>-8.3751000000000103E-2</v>
      </c>
      <c r="AE682">
        <v>-1.10000000000241E-2</v>
      </c>
      <c r="AF682">
        <v>4.3826683226623198E-3</v>
      </c>
      <c r="AG682">
        <v>-8.3751000000000103E-2</v>
      </c>
      <c r="AH682">
        <v>0.73506310578163703</v>
      </c>
      <c r="AI682">
        <v>96.499973015017801</v>
      </c>
      <c r="AJ682">
        <v>89.658389299601694</v>
      </c>
      <c r="AK682">
        <v>0.73983187770193604</v>
      </c>
    </row>
    <row r="683" spans="1:37" x14ac:dyDescent="0.2">
      <c r="A683" t="str">
        <f>"20200111155806766"</f>
        <v>20200111155806766</v>
      </c>
      <c r="B683" t="str">
        <f>"1578729486761538"</f>
        <v>1578729486761538</v>
      </c>
      <c r="C683" t="s">
        <v>37</v>
      </c>
      <c r="D683">
        <v>5.825577</v>
      </c>
      <c r="E683">
        <v>0.53181309999999904</v>
      </c>
      <c r="F683" t="s">
        <v>38</v>
      </c>
      <c r="G683">
        <v>-360.38619999999997</v>
      </c>
      <c r="H683">
        <v>1.0389889999999999</v>
      </c>
      <c r="I683">
        <v>368.0265</v>
      </c>
      <c r="J683">
        <v>-360.8116</v>
      </c>
      <c r="K683">
        <v>1.1036820000000001</v>
      </c>
      <c r="L683">
        <v>368.03440000000001</v>
      </c>
      <c r="M683">
        <v>0.9999519</v>
      </c>
      <c r="N683">
        <v>0</v>
      </c>
      <c r="O683">
        <v>-8.2197929999999995E-3</v>
      </c>
      <c r="P683">
        <v>0.99772909999999904</v>
      </c>
      <c r="Q683">
        <v>9.8168330000000005E-3</v>
      </c>
      <c r="R683">
        <v>6.6637020000000005E-2</v>
      </c>
      <c r="S683">
        <v>3.0121150000000001</v>
      </c>
      <c r="T683">
        <v>-0.25813039999999998</v>
      </c>
      <c r="U683">
        <v>-4.0618899999999999E-2</v>
      </c>
      <c r="V683">
        <v>-7.4849470000000001E-2</v>
      </c>
      <c r="W683">
        <v>1.510688E-2</v>
      </c>
      <c r="X683">
        <v>0.99708039999999998</v>
      </c>
      <c r="Y683">
        <v>5.2751179999999996E-3</v>
      </c>
      <c r="Z683">
        <v>4.774806E-4</v>
      </c>
      <c r="AA683">
        <v>0.99998600000000004</v>
      </c>
      <c r="AB683">
        <v>31</v>
      </c>
      <c r="AC683">
        <v>0.42540000000002398</v>
      </c>
      <c r="AD683">
        <v>-6.4693000000000098E-2</v>
      </c>
      <c r="AE683">
        <v>-7.9000000000064505E-3</v>
      </c>
      <c r="AF683">
        <v>4.3034905187690304E-3</v>
      </c>
      <c r="AG683">
        <v>-6.4693000000000098E-2</v>
      </c>
      <c r="AH683">
        <v>0.41583681616151102</v>
      </c>
      <c r="AI683">
        <v>98.842326974983806</v>
      </c>
      <c r="AJ683">
        <v>89.407067791644806</v>
      </c>
      <c r="AK683">
        <v>0.420860976992388</v>
      </c>
    </row>
    <row r="684" spans="1:37" x14ac:dyDescent="0.2">
      <c r="A684" t="str">
        <f>"20200111155806779"</f>
        <v>20200111155806779</v>
      </c>
      <c r="B684" t="str">
        <f>"1578729486771298"</f>
        <v>1578729486771298</v>
      </c>
      <c r="C684" t="s">
        <v>37</v>
      </c>
      <c r="D684">
        <v>5.9074519999999904</v>
      </c>
      <c r="E684">
        <v>0.53171459999999904</v>
      </c>
      <c r="F684" t="s">
        <v>38</v>
      </c>
      <c r="G684">
        <v>-359.83069999999998</v>
      </c>
      <c r="H684">
        <v>1.01999</v>
      </c>
      <c r="I684">
        <v>368.02109999999999</v>
      </c>
      <c r="J684">
        <v>-360.62720000000002</v>
      </c>
      <c r="K684">
        <v>1.103737</v>
      </c>
      <c r="L684">
        <v>368.03320000000002</v>
      </c>
      <c r="M684">
        <v>0.99995489999999998</v>
      </c>
      <c r="N684">
        <v>0</v>
      </c>
      <c r="O684">
        <v>-7.8261340000000002E-3</v>
      </c>
      <c r="P684">
        <v>0.99772989999999995</v>
      </c>
      <c r="Q684">
        <v>9.6190800000000003E-3</v>
      </c>
      <c r="R684">
        <v>6.6654359999999996E-2</v>
      </c>
      <c r="S684">
        <v>3.0119929999999999</v>
      </c>
      <c r="T684">
        <v>-0.25724829999999999</v>
      </c>
      <c r="U684">
        <v>-3.9672850000000003E-2</v>
      </c>
      <c r="V684">
        <v>-7.4476470000000003E-2</v>
      </c>
      <c r="W684">
        <v>1.490902E-2</v>
      </c>
      <c r="X684">
        <v>0.99711130000000003</v>
      </c>
      <c r="Y684">
        <v>5.3535129999999998E-3</v>
      </c>
      <c r="Z684">
        <v>4.3897579999999998E-4</v>
      </c>
      <c r="AA684">
        <v>0.99998560000000003</v>
      </c>
      <c r="AB684">
        <v>32</v>
      </c>
      <c r="AC684">
        <v>0.79650000000003696</v>
      </c>
      <c r="AD684">
        <v>-8.3747000000000196E-2</v>
      </c>
      <c r="AE684">
        <v>-1.2100000000032101E-2</v>
      </c>
      <c r="AF684">
        <v>5.8018970834719302E-3</v>
      </c>
      <c r="AG684">
        <v>-8.3747000000000196E-2</v>
      </c>
      <c r="AH684">
        <v>0.787862331251859</v>
      </c>
      <c r="AI684">
        <v>96.067393060886602</v>
      </c>
      <c r="AJ684">
        <v>89.578075770419105</v>
      </c>
      <c r="AK684">
        <v>0.79232207783475395</v>
      </c>
    </row>
    <row r="685" spans="1:37" x14ac:dyDescent="0.2">
      <c r="A685" t="str">
        <f>"20200111155806791"</f>
        <v>20200111155806791</v>
      </c>
      <c r="B685" t="str">
        <f>"1578729486782033"</f>
        <v>1578729486782033</v>
      </c>
      <c r="C685" t="s">
        <v>37</v>
      </c>
      <c r="D685">
        <v>5.7718949999999998</v>
      </c>
      <c r="E685">
        <v>0.53157509999999997</v>
      </c>
      <c r="F685" t="s">
        <v>38</v>
      </c>
      <c r="G685">
        <v>-359.82319999999999</v>
      </c>
      <c r="H685">
        <v>1.035641</v>
      </c>
      <c r="I685">
        <v>368.02249999999998</v>
      </c>
      <c r="J685">
        <v>-360.44369999999998</v>
      </c>
      <c r="K685">
        <v>1.1037840000000001</v>
      </c>
      <c r="L685">
        <v>368.03219999999999</v>
      </c>
      <c r="M685">
        <v>0.99995800000000001</v>
      </c>
      <c r="N685">
        <v>0</v>
      </c>
      <c r="O685">
        <v>-7.4111669999999998E-3</v>
      </c>
      <c r="P685">
        <v>0.99773590000000001</v>
      </c>
      <c r="Q685">
        <v>9.7469299999999991E-3</v>
      </c>
      <c r="R685">
        <v>6.6547209999999996E-2</v>
      </c>
      <c r="S685">
        <v>3.0119020000000001</v>
      </c>
      <c r="T685">
        <v>-0.25536449999999999</v>
      </c>
      <c r="U685">
        <v>-3.8818360000000003E-2</v>
      </c>
      <c r="V685">
        <v>-7.3957120000000001E-2</v>
      </c>
      <c r="W685">
        <v>1.503727E-2</v>
      </c>
      <c r="X685">
        <v>0.99714799999999904</v>
      </c>
      <c r="Y685">
        <v>5.483155E-3</v>
      </c>
      <c r="Z685">
        <v>3.9518379999999899E-4</v>
      </c>
      <c r="AA685">
        <v>0.99998489999999995</v>
      </c>
      <c r="AB685">
        <v>32</v>
      </c>
      <c r="AC685">
        <v>0.62049999999999195</v>
      </c>
      <c r="AD685">
        <v>-6.8142999999999995E-2</v>
      </c>
      <c r="AE685">
        <v>-9.7000000000093695E-3</v>
      </c>
      <c r="AF685">
        <v>5.0402652539301897E-3</v>
      </c>
      <c r="AG685">
        <v>-6.8142999999999995E-2</v>
      </c>
      <c r="AH685">
        <v>0.61316172646899803</v>
      </c>
      <c r="AI685">
        <v>96.341264050761595</v>
      </c>
      <c r="AJ685">
        <v>89.529032211224504</v>
      </c>
      <c r="AK685">
        <v>0.61695719100215696</v>
      </c>
    </row>
    <row r="686" spans="1:37" x14ac:dyDescent="0.2">
      <c r="A686" t="str">
        <f>"20200111155806806"</f>
        <v>20200111155806806</v>
      </c>
      <c r="B686" t="str">
        <f>"1578729486801553"</f>
        <v>1578729486801553</v>
      </c>
      <c r="C686" t="s">
        <v>37</v>
      </c>
      <c r="D686">
        <v>6.2632879999999904</v>
      </c>
      <c r="E686">
        <v>0.53146680000000002</v>
      </c>
      <c r="F686" t="s">
        <v>38</v>
      </c>
      <c r="G686">
        <v>-359.5428</v>
      </c>
      <c r="H686">
        <v>1.02799</v>
      </c>
      <c r="I686">
        <v>368.0204</v>
      </c>
      <c r="J686">
        <v>-360.24349999999998</v>
      </c>
      <c r="K686">
        <v>1.1038269999999999</v>
      </c>
      <c r="L686">
        <v>368.03109999999998</v>
      </c>
      <c r="M686">
        <v>0.9999614</v>
      </c>
      <c r="N686">
        <v>0</v>
      </c>
      <c r="O686">
        <v>-6.9332680000000002E-3</v>
      </c>
      <c r="P686">
        <v>0.99770439999999905</v>
      </c>
      <c r="Q686">
        <v>1.00212999999999E-2</v>
      </c>
      <c r="R686">
        <v>6.6975989999999999E-2</v>
      </c>
      <c r="S686">
        <v>3.011841</v>
      </c>
      <c r="T686">
        <v>-0.25367899999999999</v>
      </c>
      <c r="U686">
        <v>-3.8208010000000001E-2</v>
      </c>
      <c r="V686">
        <v>-7.3911169999999998E-2</v>
      </c>
      <c r="W686">
        <v>1.5312859999999999E-2</v>
      </c>
      <c r="X686">
        <v>0.99714729999999996</v>
      </c>
      <c r="Y686">
        <v>5.7559639999999997E-3</v>
      </c>
      <c r="Z686">
        <v>3.4094689999999999E-4</v>
      </c>
      <c r="AA686">
        <v>0.99998339999999997</v>
      </c>
      <c r="AB686">
        <v>32</v>
      </c>
      <c r="AC686">
        <v>0.700699999999983</v>
      </c>
      <c r="AD686">
        <v>-7.5837000000000099E-2</v>
      </c>
      <c r="AE686">
        <v>-1.06999999999857E-2</v>
      </c>
      <c r="AF686">
        <v>5.7739124432794296E-3</v>
      </c>
      <c r="AG686">
        <v>-7.5837000000000099E-2</v>
      </c>
      <c r="AH686">
        <v>0.692645718401104</v>
      </c>
      <c r="AI686">
        <v>96.248146286830604</v>
      </c>
      <c r="AJ686">
        <v>89.522391977643295</v>
      </c>
      <c r="AK686">
        <v>0.696808926358786</v>
      </c>
    </row>
    <row r="687" spans="1:37" x14ac:dyDescent="0.2">
      <c r="A687" t="str">
        <f>"20200111155806821"</f>
        <v>20200111155806821</v>
      </c>
      <c r="B687" t="str">
        <f>"1578729486811249"</f>
        <v>1578729486811249</v>
      </c>
      <c r="C687" t="s">
        <v>37</v>
      </c>
      <c r="D687">
        <v>5.9927679999999999</v>
      </c>
      <c r="E687">
        <v>0.53136079999999997</v>
      </c>
      <c r="F687" t="s">
        <v>38</v>
      </c>
      <c r="G687">
        <v>-359.26089999999999</v>
      </c>
      <c r="H687">
        <v>1.021312</v>
      </c>
      <c r="I687">
        <v>368.01900000000001</v>
      </c>
      <c r="J687">
        <v>-360.0215</v>
      </c>
      <c r="K687">
        <v>1.1038729999999899</v>
      </c>
      <c r="L687">
        <v>368.03</v>
      </c>
      <c r="M687">
        <v>0.99996509999999905</v>
      </c>
      <c r="N687">
        <v>0</v>
      </c>
      <c r="O687">
        <v>-6.3640850000000002E-3</v>
      </c>
      <c r="P687">
        <v>0.99764470000000005</v>
      </c>
      <c r="Q687">
        <v>9.7189080000000001E-3</v>
      </c>
      <c r="R687">
        <v>6.7903039999999998E-2</v>
      </c>
      <c r="S687">
        <v>3.01187099999999</v>
      </c>
      <c r="T687">
        <v>-0.25324049999999998</v>
      </c>
      <c r="U687">
        <v>-3.6041259999999999E-2</v>
      </c>
      <c r="V687">
        <v>-7.4271909999999997E-2</v>
      </c>
      <c r="W687">
        <v>1.501486E-2</v>
      </c>
      <c r="X687">
        <v>0.99712500000000004</v>
      </c>
      <c r="Y687">
        <v>5.6042610000000001E-3</v>
      </c>
      <c r="Z687">
        <v>2.989539E-4</v>
      </c>
      <c r="AA687">
        <v>0.99998430000000005</v>
      </c>
      <c r="AB687">
        <v>32</v>
      </c>
      <c r="AC687">
        <v>0.76060000000001005</v>
      </c>
      <c r="AD687">
        <v>-8.2560999999999801E-2</v>
      </c>
      <c r="AE687">
        <v>-1.0999999999967199E-2</v>
      </c>
      <c r="AF687">
        <v>6.0874726585010497E-3</v>
      </c>
      <c r="AG687">
        <v>-8.2560999999999801E-2</v>
      </c>
      <c r="AH687">
        <v>0.75179839446714103</v>
      </c>
      <c r="AI687">
        <v>96.266791614495503</v>
      </c>
      <c r="AJ687">
        <v>89.536073937660007</v>
      </c>
      <c r="AK687">
        <v>0.75634264851834099</v>
      </c>
    </row>
    <row r="688" spans="1:37" x14ac:dyDescent="0.2">
      <c r="A688" t="str">
        <f>"20200111155806836"</f>
        <v>20200111155806836</v>
      </c>
      <c r="B688" t="str">
        <f>"1578729486831746"</f>
        <v>1578729486831746</v>
      </c>
      <c r="C688" t="s">
        <v>37</v>
      </c>
      <c r="D688">
        <v>5.8486469999999997</v>
      </c>
      <c r="E688">
        <v>0.53084359999999997</v>
      </c>
      <c r="F688" t="s">
        <v>38</v>
      </c>
      <c r="G688">
        <v>-359.25170000000003</v>
      </c>
      <c r="H688">
        <v>1.038983</v>
      </c>
      <c r="I688">
        <v>368.02140000000003</v>
      </c>
      <c r="J688">
        <v>-359.8143</v>
      </c>
      <c r="K688">
        <v>1.103898</v>
      </c>
      <c r="L688">
        <v>368.0292</v>
      </c>
      <c r="M688">
        <v>0.99996849999999904</v>
      </c>
      <c r="N688">
        <v>0</v>
      </c>
      <c r="O688">
        <v>-5.8123589999999996E-3</v>
      </c>
      <c r="P688">
        <v>0.99756489999999998</v>
      </c>
      <c r="Q688">
        <v>9.7564650000000006E-3</v>
      </c>
      <c r="R688">
        <v>6.9058759999999997E-2</v>
      </c>
      <c r="S688">
        <v>3.0117189999999998</v>
      </c>
      <c r="T688">
        <v>-0.25430140000000001</v>
      </c>
      <c r="U688">
        <v>-3.2318119999999999E-2</v>
      </c>
      <c r="V688">
        <v>-7.4878040000000007E-2</v>
      </c>
      <c r="W688">
        <v>1.50592E-2</v>
      </c>
      <c r="X688">
        <v>0.99707900000000005</v>
      </c>
      <c r="Y688">
        <v>4.9210499999999997E-3</v>
      </c>
      <c r="Z688">
        <v>2.825104E-4</v>
      </c>
      <c r="AA688">
        <v>0.99998779999999998</v>
      </c>
      <c r="AB688">
        <v>32</v>
      </c>
      <c r="AC688">
        <v>0.56259999999997401</v>
      </c>
      <c r="AD688">
        <v>-6.4915E-2</v>
      </c>
      <c r="AE688">
        <v>-7.79999999997471E-3</v>
      </c>
      <c r="AF688">
        <v>4.4702838267269996E-3</v>
      </c>
      <c r="AG688">
        <v>-6.4915E-2</v>
      </c>
      <c r="AH688">
        <v>0.55524502619257599</v>
      </c>
      <c r="AI688">
        <v>96.668098000929902</v>
      </c>
      <c r="AJ688">
        <v>89.538721013870301</v>
      </c>
      <c r="AK688">
        <v>0.55904470284055596</v>
      </c>
    </row>
    <row r="689" spans="1:37" x14ac:dyDescent="0.2">
      <c r="A689" t="str">
        <f>"20200111155806849"</f>
        <v>20200111155806849</v>
      </c>
      <c r="B689" t="str">
        <f>"1578729486841506"</f>
        <v>1578729486841506</v>
      </c>
      <c r="C689" t="s">
        <v>37</v>
      </c>
      <c r="D689">
        <v>5.8529439999999999</v>
      </c>
      <c r="E689">
        <v>0.53059269999999903</v>
      </c>
      <c r="F689" t="s">
        <v>38</v>
      </c>
      <c r="G689">
        <v>-358.96949999999998</v>
      </c>
      <c r="H689">
        <v>1.032527</v>
      </c>
      <c r="I689">
        <v>368.02190000000002</v>
      </c>
      <c r="J689">
        <v>-359.62150000000003</v>
      </c>
      <c r="K689">
        <v>1.1039239999999999</v>
      </c>
      <c r="L689">
        <v>368.02859999999998</v>
      </c>
      <c r="M689">
        <v>0.99997130000000001</v>
      </c>
      <c r="N689">
        <v>0</v>
      </c>
      <c r="O689">
        <v>-5.2867740000000002E-3</v>
      </c>
      <c r="P689">
        <v>0.99747719999999995</v>
      </c>
      <c r="Q689">
        <v>9.2974700000000004E-3</v>
      </c>
      <c r="R689">
        <v>7.0380490000000004E-2</v>
      </c>
      <c r="S689">
        <v>3.011536</v>
      </c>
      <c r="T689">
        <v>-0.25473059999999997</v>
      </c>
      <c r="U689">
        <v>-2.4841309999999998E-2</v>
      </c>
      <c r="V689">
        <v>-7.5675870000000006E-2</v>
      </c>
      <c r="W689">
        <v>1.460769E-2</v>
      </c>
      <c r="X689">
        <v>0.99702549999999901</v>
      </c>
      <c r="Y689">
        <v>2.9699229999999902E-3</v>
      </c>
      <c r="Z689">
        <v>3.2100020000000001E-4</v>
      </c>
      <c r="AA689">
        <v>0.99999550000000004</v>
      </c>
      <c r="AB689">
        <v>32</v>
      </c>
      <c r="AC689">
        <v>0.65200000000004299</v>
      </c>
      <c r="AD689">
        <v>-7.1396999999999905E-2</v>
      </c>
      <c r="AE689">
        <v>-6.6999999999666198E-3</v>
      </c>
      <c r="AF689">
        <v>3.21433906139204E-3</v>
      </c>
      <c r="AG689">
        <v>-7.1396999999999905E-2</v>
      </c>
      <c r="AH689">
        <v>0.64430114458711996</v>
      </c>
      <c r="AI689">
        <v>96.323245963928898</v>
      </c>
      <c r="AJ689">
        <v>89.714160783666401</v>
      </c>
      <c r="AK689">
        <v>0.64825290473770703</v>
      </c>
    </row>
    <row r="690" spans="1:37" x14ac:dyDescent="0.2">
      <c r="A690" t="str">
        <f>"20200111155806866"</f>
        <v>20200111155806866</v>
      </c>
      <c r="B690" t="str">
        <f>"1578729486862002"</f>
        <v>1578729486862002</v>
      </c>
      <c r="C690" t="s">
        <v>37</v>
      </c>
      <c r="D690">
        <v>5.8038780000000001</v>
      </c>
      <c r="E690">
        <v>0.53012320000000002</v>
      </c>
      <c r="F690" t="s">
        <v>38</v>
      </c>
      <c r="G690">
        <v>-358.68630000000002</v>
      </c>
      <c r="H690">
        <v>1.0245580000000001</v>
      </c>
      <c r="I690">
        <v>368.0222</v>
      </c>
      <c r="J690">
        <v>-359.37479999999999</v>
      </c>
      <c r="K690">
        <v>1.1039540000000001</v>
      </c>
      <c r="L690">
        <v>368.02789999999999</v>
      </c>
      <c r="M690">
        <v>0.99997449999999999</v>
      </c>
      <c r="N690">
        <v>0</v>
      </c>
      <c r="O690">
        <v>-4.5991890000000001E-3</v>
      </c>
      <c r="P690">
        <v>0.99727940000000004</v>
      </c>
      <c r="Q690">
        <v>9.0274829999999993E-3</v>
      </c>
      <c r="R690">
        <v>7.3161370000000003E-2</v>
      </c>
      <c r="S690">
        <v>3.0113219999999998</v>
      </c>
      <c r="T690">
        <v>-0.25598650000000001</v>
      </c>
      <c r="U690">
        <v>-1.8981930000000001E-2</v>
      </c>
      <c r="V690">
        <v>-7.7771160000000006E-2</v>
      </c>
      <c r="W690">
        <v>1.434593E-2</v>
      </c>
      <c r="X690">
        <v>0.99686799999999998</v>
      </c>
      <c r="Y690">
        <v>1.714567E-3</v>
      </c>
      <c r="Z690">
        <v>3.1751959999999998E-4</v>
      </c>
      <c r="AA690">
        <v>0.99999850000000001</v>
      </c>
      <c r="AB690">
        <v>32</v>
      </c>
      <c r="AC690">
        <v>0.68849999999997602</v>
      </c>
      <c r="AD690">
        <v>-7.9395999999999994E-2</v>
      </c>
      <c r="AE690">
        <v>-5.6999999999902597E-3</v>
      </c>
      <c r="AF690">
        <v>2.5001064610050299E-3</v>
      </c>
      <c r="AG690">
        <v>-7.9395999999999994E-2</v>
      </c>
      <c r="AH690">
        <v>0.67948371556560005</v>
      </c>
      <c r="AI690">
        <v>96.664604190172795</v>
      </c>
      <c r="AJ690">
        <v>89.789185673112001</v>
      </c>
      <c r="AK690">
        <v>0.68411117157019896</v>
      </c>
    </row>
    <row r="691" spans="1:37" x14ac:dyDescent="0.2">
      <c r="A691" t="str">
        <f>"20200111155806879"</f>
        <v>20200111155806879</v>
      </c>
      <c r="B691" t="str">
        <f>"1578729486871762"</f>
        <v>1578729486871762</v>
      </c>
      <c r="C691" t="s">
        <v>37</v>
      </c>
      <c r="D691">
        <v>6.0530460000000001</v>
      </c>
      <c r="E691">
        <v>0.52999569999999996</v>
      </c>
      <c r="F691" t="s">
        <v>38</v>
      </c>
      <c r="G691">
        <v>-358.40010000000001</v>
      </c>
      <c r="H691">
        <v>1.0208489999999999</v>
      </c>
      <c r="I691">
        <v>368.02550000000002</v>
      </c>
      <c r="J691">
        <v>-359.19150000000002</v>
      </c>
      <c r="K691">
        <v>1.1039699999999999</v>
      </c>
      <c r="L691">
        <v>368.02749999999997</v>
      </c>
      <c r="M691">
        <v>0.99997669999999905</v>
      </c>
      <c r="N691">
        <v>0</v>
      </c>
      <c r="O691">
        <v>-4.0803369999999999E-3</v>
      </c>
      <c r="P691">
        <v>0.99717080000000002</v>
      </c>
      <c r="Q691">
        <v>9.3861450000000003E-3</v>
      </c>
      <c r="R691">
        <v>7.4582839999999997E-2</v>
      </c>
      <c r="S691">
        <v>3.011047</v>
      </c>
      <c r="T691">
        <v>-0.25685330000000001</v>
      </c>
      <c r="U691">
        <v>-6.8359379999999997E-3</v>
      </c>
      <c r="V691">
        <v>-7.8675770000000006E-2</v>
      </c>
      <c r="W691">
        <v>1.4713540000000001E-2</v>
      </c>
      <c r="X691">
        <v>0.99679169999999995</v>
      </c>
      <c r="Y691">
        <v>-1.7888120000000001E-3</v>
      </c>
      <c r="Z691">
        <v>4.2359800000000002E-4</v>
      </c>
      <c r="AA691">
        <v>0.99999830000000001</v>
      </c>
      <c r="AB691">
        <v>32</v>
      </c>
      <c r="AC691">
        <v>0.79140000000000998</v>
      </c>
      <c r="AD691">
        <v>-8.3121000000000195E-2</v>
      </c>
      <c r="AE691">
        <v>-1.9999999999527002E-3</v>
      </c>
      <c r="AF691">
        <v>-1.21583150927307E-3</v>
      </c>
      <c r="AG691">
        <v>-8.3121000000000195E-2</v>
      </c>
      <c r="AH691">
        <v>0.78276663970898097</v>
      </c>
      <c r="AI691">
        <v>96.061444177322599</v>
      </c>
      <c r="AJ691">
        <v>90.088994541316296</v>
      </c>
      <c r="AK691">
        <v>0.78716846426196996</v>
      </c>
    </row>
    <row r="692" spans="1:37" x14ac:dyDescent="0.2">
      <c r="A692" t="str">
        <f>"20200111155806892"</f>
        <v>20200111155806892</v>
      </c>
      <c r="B692" t="str">
        <f>"1578729486881522"</f>
        <v>1578729486881522</v>
      </c>
      <c r="C692" t="s">
        <v>37</v>
      </c>
      <c r="D692">
        <v>5.8176199999999998</v>
      </c>
      <c r="E692">
        <v>0.52978269999999905</v>
      </c>
      <c r="F692" t="s">
        <v>38</v>
      </c>
      <c r="G692">
        <v>-358.39229999999998</v>
      </c>
      <c r="H692">
        <v>1.0361370000000001</v>
      </c>
      <c r="I692">
        <v>368.02690000000001</v>
      </c>
      <c r="J692">
        <v>-359.00760000000002</v>
      </c>
      <c r="K692">
        <v>1.1039840000000001</v>
      </c>
      <c r="L692">
        <v>368.02719999999999</v>
      </c>
      <c r="M692">
        <v>0.9999787</v>
      </c>
      <c r="N692">
        <v>0</v>
      </c>
      <c r="O692">
        <v>-3.5577999999999999E-3</v>
      </c>
      <c r="P692">
        <v>0.99706099999999998</v>
      </c>
      <c r="Q692">
        <v>9.46451699999999E-3</v>
      </c>
      <c r="R692">
        <v>7.6025860000000001E-2</v>
      </c>
      <c r="S692">
        <v>3.0110779999999999</v>
      </c>
      <c r="T692">
        <v>-0.25570529999999903</v>
      </c>
      <c r="U692">
        <v>-1.6479489999999999E-3</v>
      </c>
      <c r="V692">
        <v>-7.9597719999999997E-2</v>
      </c>
      <c r="W692">
        <v>1.4800789999999999E-2</v>
      </c>
      <c r="X692">
        <v>0.99671719999999897</v>
      </c>
      <c r="Y692">
        <v>-2.9870040000000001E-3</v>
      </c>
      <c r="Z692">
        <v>4.2819759999999999E-4</v>
      </c>
      <c r="AA692">
        <v>0.99999550000000004</v>
      </c>
      <c r="AB692">
        <v>32</v>
      </c>
      <c r="AC692">
        <v>0.61530000000004703</v>
      </c>
      <c r="AD692">
        <v>-6.7846999999999894E-2</v>
      </c>
      <c r="AE692">
        <v>-2.9999999998153699E-4</v>
      </c>
      <c r="AF692">
        <v>-1.8664553302848001E-3</v>
      </c>
      <c r="AG692">
        <v>-6.7846999999999894E-2</v>
      </c>
      <c r="AH692">
        <v>0.60790582468341603</v>
      </c>
      <c r="AI692">
        <v>96.368268616973594</v>
      </c>
      <c r="AJ692">
        <v>90.175914874807901</v>
      </c>
      <c r="AK692">
        <v>0.61168308031898699</v>
      </c>
    </row>
    <row r="693" spans="1:37" x14ac:dyDescent="0.2">
      <c r="A693" t="str">
        <f>"20200111155806906"</f>
        <v>20200111155806906</v>
      </c>
      <c r="B693" t="str">
        <f>"1578729486902019"</f>
        <v>1578729486902019</v>
      </c>
      <c r="C693" t="s">
        <v>37</v>
      </c>
      <c r="D693">
        <v>5.8470409999999999</v>
      </c>
      <c r="E693">
        <v>0.5294856</v>
      </c>
      <c r="F693" t="s">
        <v>38</v>
      </c>
      <c r="G693">
        <v>-358.10789999999997</v>
      </c>
      <c r="H693">
        <v>1.0277609999999999</v>
      </c>
      <c r="I693">
        <v>368.02820000000003</v>
      </c>
      <c r="J693">
        <v>-358.80619999999999</v>
      </c>
      <c r="K693">
        <v>1.1040030000000001</v>
      </c>
      <c r="L693">
        <v>368.02699999999999</v>
      </c>
      <c r="M693">
        <v>0.99998050000000005</v>
      </c>
      <c r="N693">
        <v>0</v>
      </c>
      <c r="O693">
        <v>-2.9837709999999901E-3</v>
      </c>
      <c r="P693">
        <v>0.99696960000000001</v>
      </c>
      <c r="Q693">
        <v>9.5524269999999901E-3</v>
      </c>
      <c r="R693">
        <v>7.7205640000000006E-2</v>
      </c>
      <c r="S693">
        <v>3.0108950000000001</v>
      </c>
      <c r="T693">
        <v>-0.2555171</v>
      </c>
      <c r="U693">
        <v>4.6691889999999998E-3</v>
      </c>
      <c r="V693">
        <v>-8.0205940000000003E-2</v>
      </c>
      <c r="W693">
        <v>1.489948E-2</v>
      </c>
      <c r="X693">
        <v>0.99666699999999997</v>
      </c>
      <c r="Y693">
        <v>-4.5076400000000003E-3</v>
      </c>
      <c r="Z693">
        <v>4.4368989999999899E-4</v>
      </c>
      <c r="AA693">
        <v>0.99998969999999898</v>
      </c>
      <c r="AB693">
        <v>32</v>
      </c>
      <c r="AC693">
        <v>0.69830000000001702</v>
      </c>
      <c r="AD693">
        <v>-7.6241999999999893E-2</v>
      </c>
      <c r="AE693">
        <v>1.20000000003983E-3</v>
      </c>
      <c r="AF693">
        <v>-3.2449115573649598E-3</v>
      </c>
      <c r="AG693">
        <v>-7.6241999999999893E-2</v>
      </c>
      <c r="AH693">
        <v>0.69006719962009999</v>
      </c>
      <c r="AI693">
        <v>96.304678015738702</v>
      </c>
      <c r="AJ693">
        <v>90.269420669341102</v>
      </c>
      <c r="AK693">
        <v>0.69427380190134003</v>
      </c>
    </row>
    <row r="694" spans="1:37" x14ac:dyDescent="0.2">
      <c r="A694" t="str">
        <f>"20200111155806921"</f>
        <v>20200111155806921</v>
      </c>
      <c r="B694" t="str">
        <f>"1578729486911358"</f>
        <v>1578729486911358</v>
      </c>
      <c r="C694" t="s">
        <v>37</v>
      </c>
      <c r="D694">
        <v>5.8424769999999997</v>
      </c>
      <c r="E694">
        <v>0.5293194</v>
      </c>
      <c r="F694" t="s">
        <v>38</v>
      </c>
      <c r="G694">
        <v>-357.82150000000001</v>
      </c>
      <c r="H694">
        <v>1.0204899999999999</v>
      </c>
      <c r="I694">
        <v>368.03019999999998</v>
      </c>
      <c r="J694">
        <v>-358.5831</v>
      </c>
      <c r="K694">
        <v>1.1040159999999899</v>
      </c>
      <c r="L694">
        <v>368.02690000000001</v>
      </c>
      <c r="M694">
        <v>0.99998209999999998</v>
      </c>
      <c r="N694">
        <v>0</v>
      </c>
      <c r="O694">
        <v>-2.3463339999999998E-3</v>
      </c>
      <c r="P694">
        <v>0.99689760000000005</v>
      </c>
      <c r="Q694">
        <v>9.5329249999999994E-3</v>
      </c>
      <c r="R694">
        <v>7.8133510000000003E-2</v>
      </c>
      <c r="S694">
        <v>3.0107729999999999</v>
      </c>
      <c r="T694">
        <v>-0.2554883</v>
      </c>
      <c r="U694">
        <v>1.055908E-2</v>
      </c>
      <c r="V694">
        <v>-8.049916E-2</v>
      </c>
      <c r="W694">
        <v>1.489328E-2</v>
      </c>
      <c r="X694">
        <v>0.99664339999999996</v>
      </c>
      <c r="Y694">
        <v>-5.8240610000000002E-3</v>
      </c>
      <c r="Z694">
        <v>4.4541580000000001E-4</v>
      </c>
      <c r="AA694">
        <v>0.99998299999999996</v>
      </c>
      <c r="AB694">
        <v>32</v>
      </c>
      <c r="AC694">
        <v>0.76159999999998695</v>
      </c>
      <c r="AD694">
        <v>-8.3525999999999906E-2</v>
      </c>
      <c r="AE694">
        <v>3.2999999999674301E-3</v>
      </c>
      <c r="AF694">
        <v>-5.0265285542112903E-3</v>
      </c>
      <c r="AG694">
        <v>-8.3525999999999906E-2</v>
      </c>
      <c r="AH694">
        <v>0.75253887460563396</v>
      </c>
      <c r="AI694">
        <v>96.333325625345395</v>
      </c>
      <c r="AJ694">
        <v>90.382697291252896</v>
      </c>
      <c r="AK694">
        <v>0.757176740568555</v>
      </c>
    </row>
    <row r="695" spans="1:37" x14ac:dyDescent="0.2">
      <c r="A695" t="str">
        <f>"20200111155806944"</f>
        <v>20200111155806944</v>
      </c>
      <c r="B695" t="str">
        <f>"1578729486931853"</f>
        <v>1578729486931853</v>
      </c>
      <c r="C695" t="s">
        <v>37</v>
      </c>
      <c r="D695">
        <v>5.9652859999999999</v>
      </c>
      <c r="E695">
        <v>0.52906229999999999</v>
      </c>
      <c r="F695" t="s">
        <v>38</v>
      </c>
      <c r="G695">
        <v>-357.81119999999999</v>
      </c>
      <c r="H695">
        <v>1.0384789999999999</v>
      </c>
      <c r="I695">
        <v>368.03039999999999</v>
      </c>
      <c r="J695">
        <v>-358.25540000000001</v>
      </c>
      <c r="K695">
        <v>1.1040299999999901</v>
      </c>
      <c r="L695">
        <v>368.02699999999999</v>
      </c>
      <c r="M695">
        <v>0.99998369999999903</v>
      </c>
      <c r="N695">
        <v>0</v>
      </c>
      <c r="O695">
        <v>-1.4113509999999999E-3</v>
      </c>
      <c r="P695">
        <v>0.99683709999999903</v>
      </c>
      <c r="Q695">
        <v>9.3677169999999994E-3</v>
      </c>
      <c r="R695">
        <v>7.89184E-2</v>
      </c>
      <c r="S695">
        <v>3.0106199999999999</v>
      </c>
      <c r="T695">
        <v>-0.2557952</v>
      </c>
      <c r="U695">
        <v>1.4434809999999999E-2</v>
      </c>
      <c r="V695">
        <v>-8.0351549999999994E-2</v>
      </c>
      <c r="W695">
        <v>1.4749770000000001E-2</v>
      </c>
      <c r="X695">
        <v>0.99665740000000003</v>
      </c>
      <c r="Y695">
        <v>-6.1785829999999996E-3</v>
      </c>
      <c r="Z695">
        <v>3.8170599999999999E-4</v>
      </c>
      <c r="AA695">
        <v>0.99998089999999995</v>
      </c>
      <c r="AB695">
        <v>32</v>
      </c>
      <c r="AC695">
        <v>0.44420000000002302</v>
      </c>
      <c r="AD695">
        <v>-6.5550999999999596E-2</v>
      </c>
      <c r="AE695">
        <v>3.3999999999991802E-3</v>
      </c>
      <c r="AF695">
        <v>-3.9411071712029304E-3</v>
      </c>
      <c r="AG695">
        <v>-6.5550999999999596E-2</v>
      </c>
      <c r="AH695">
        <v>0.43472816241235601</v>
      </c>
      <c r="AI695">
        <v>98.5744671384127</v>
      </c>
      <c r="AJ695">
        <v>90.519411073851401</v>
      </c>
      <c r="AK695">
        <v>0.439660142747962</v>
      </c>
    </row>
    <row r="696" spans="1:37" x14ac:dyDescent="0.2">
      <c r="A696" t="str">
        <f>"20200111155806957"</f>
        <v>20200111155806957</v>
      </c>
      <c r="B696" t="str">
        <f>"1578729486951374"</f>
        <v>1578729486951374</v>
      </c>
      <c r="C696" t="s">
        <v>37</v>
      </c>
      <c r="D696">
        <v>5.9466669999999997</v>
      </c>
      <c r="E696">
        <v>0.52885000000000004</v>
      </c>
      <c r="F696" t="s">
        <v>38</v>
      </c>
      <c r="G696">
        <v>-357.51799999999997</v>
      </c>
      <c r="H696">
        <v>1.0412489999999901</v>
      </c>
      <c r="I696">
        <v>368.03120000000001</v>
      </c>
      <c r="J696">
        <v>-358.06049999999999</v>
      </c>
      <c r="K696">
        <v>1.1040399999999999</v>
      </c>
      <c r="L696">
        <v>368.02719999999999</v>
      </c>
      <c r="M696">
        <v>0.99998430000000005</v>
      </c>
      <c r="N696">
        <v>0</v>
      </c>
      <c r="O696">
        <v>-8.5857199999999896E-4</v>
      </c>
      <c r="P696">
        <v>0.99682029999999999</v>
      </c>
      <c r="Q696">
        <v>9.0468619999999993E-3</v>
      </c>
      <c r="R696">
        <v>7.9169249999999997E-2</v>
      </c>
      <c r="S696">
        <v>3.010437</v>
      </c>
      <c r="T696">
        <v>-0.25673240000000003</v>
      </c>
      <c r="U696">
        <v>1.8981930000000001E-2</v>
      </c>
      <c r="V696">
        <v>-8.0051540000000004E-2</v>
      </c>
      <c r="W696">
        <v>1.444177E-2</v>
      </c>
      <c r="X696">
        <v>0.99668609999999902</v>
      </c>
      <c r="Y696">
        <v>-7.1348019999999896E-3</v>
      </c>
      <c r="Z696">
        <v>3.7676400000000003E-4</v>
      </c>
      <c r="AA696">
        <v>0.99997449999999999</v>
      </c>
      <c r="AB696">
        <v>32</v>
      </c>
      <c r="AC696">
        <v>0.54249999999996101</v>
      </c>
      <c r="AD696">
        <v>-6.2791E-2</v>
      </c>
      <c r="AE696">
        <v>4.0000000000190898E-3</v>
      </c>
      <c r="AF696">
        <v>-4.4067486388660497E-3</v>
      </c>
      <c r="AG696">
        <v>-6.2791E-2</v>
      </c>
      <c r="AH696">
        <v>0.53532520595479305</v>
      </c>
      <c r="AI696">
        <v>96.689718449596498</v>
      </c>
      <c r="AJ696">
        <v>90.471643017321298</v>
      </c>
      <c r="AK696">
        <v>0.53901317724625997</v>
      </c>
    </row>
    <row r="697" spans="1:37" x14ac:dyDescent="0.2">
      <c r="A697" t="str">
        <f>"20200111155806969"</f>
        <v>20200111155806969</v>
      </c>
      <c r="B697" t="str">
        <f>"1578729486962111"</f>
        <v>1578729486962111</v>
      </c>
      <c r="C697" t="s">
        <v>37</v>
      </c>
      <c r="D697">
        <v>5.8963679999999998</v>
      </c>
      <c r="E697">
        <v>0.528746099999999</v>
      </c>
      <c r="F697" t="s">
        <v>38</v>
      </c>
      <c r="G697">
        <v>-357.23289999999997</v>
      </c>
      <c r="H697">
        <v>1.0331509999999999</v>
      </c>
      <c r="I697">
        <v>368.03280000000001</v>
      </c>
      <c r="J697">
        <v>-357.87599999999998</v>
      </c>
      <c r="K697">
        <v>1.104044</v>
      </c>
      <c r="L697">
        <v>368.02749999999997</v>
      </c>
      <c r="M697">
        <v>0.9999844</v>
      </c>
      <c r="N697">
        <v>0</v>
      </c>
      <c r="O697">
        <v>-3.36913099999999E-4</v>
      </c>
      <c r="P697">
        <v>0.99681719999999896</v>
      </c>
      <c r="Q697">
        <v>9.2166680000000008E-3</v>
      </c>
      <c r="R697">
        <v>7.9187510000000003E-2</v>
      </c>
      <c r="S697">
        <v>3.0102229999999999</v>
      </c>
      <c r="T697">
        <v>-0.25811079999999997</v>
      </c>
      <c r="U697">
        <v>2.1301270000000001E-2</v>
      </c>
      <c r="V697">
        <v>-7.9550880000000004E-2</v>
      </c>
      <c r="W697">
        <v>1.462581E-2</v>
      </c>
      <c r="X697">
        <v>0.99672349999999998</v>
      </c>
      <c r="Y697">
        <v>-7.3847089999999997E-3</v>
      </c>
      <c r="Z697">
        <v>3.448519E-4</v>
      </c>
      <c r="AA697">
        <v>0.99997269999999905</v>
      </c>
      <c r="AB697">
        <v>33</v>
      </c>
      <c r="AC697">
        <v>0.643100000000004</v>
      </c>
      <c r="AD697">
        <v>-7.0893000000000095E-2</v>
      </c>
      <c r="AE697">
        <v>5.3000000000338297E-3</v>
      </c>
      <c r="AF697">
        <v>-5.4504423106315498E-3</v>
      </c>
      <c r="AG697">
        <v>-7.0893000000000095E-2</v>
      </c>
      <c r="AH697">
        <v>0.63537755979756005</v>
      </c>
      <c r="AI697">
        <v>96.366279531246207</v>
      </c>
      <c r="AJ697">
        <v>90.491486796046104</v>
      </c>
      <c r="AK697">
        <v>0.63934354479003197</v>
      </c>
    </row>
    <row r="698" spans="1:37" x14ac:dyDescent="0.2">
      <c r="A698" t="str">
        <f>"20200111155806982"</f>
        <v>20200111155806982</v>
      </c>
      <c r="B698" t="str">
        <f>"1578729486971871"</f>
        <v>1578729486971871</v>
      </c>
      <c r="C698" t="s">
        <v>37</v>
      </c>
      <c r="D698">
        <v>5.9210070000000004</v>
      </c>
      <c r="E698">
        <v>0.52865329999999999</v>
      </c>
      <c r="F698" t="s">
        <v>38</v>
      </c>
      <c r="G698">
        <v>-356.94450000000001</v>
      </c>
      <c r="H698">
        <v>1.024338</v>
      </c>
      <c r="I698">
        <v>368.03390000000002</v>
      </c>
      <c r="J698">
        <v>-357.6859</v>
      </c>
      <c r="K698">
        <v>1.104047</v>
      </c>
      <c r="L698">
        <v>368.02789999999999</v>
      </c>
      <c r="M698">
        <v>0.9999844</v>
      </c>
      <c r="N698">
        <v>0</v>
      </c>
      <c r="O698">
        <v>1.9814790000000001E-4</v>
      </c>
      <c r="P698">
        <v>0.99681330000000001</v>
      </c>
      <c r="Q698">
        <v>8.9932339999999993E-3</v>
      </c>
      <c r="R698">
        <v>7.9262540000000006E-2</v>
      </c>
      <c r="S698">
        <v>3.0101619999999998</v>
      </c>
      <c r="T698">
        <v>-0.25798139999999897</v>
      </c>
      <c r="U698">
        <v>2.2521969999999999E-2</v>
      </c>
      <c r="V698">
        <v>-7.9091980000000006E-2</v>
      </c>
      <c r="W698">
        <v>1.4417930000000001E-2</v>
      </c>
      <c r="X698">
        <v>0.99676309999999901</v>
      </c>
      <c r="Y698">
        <v>-7.2577469999999897E-3</v>
      </c>
      <c r="Z698">
        <v>2.934829E-4</v>
      </c>
      <c r="AA698">
        <v>0.99997359999999902</v>
      </c>
      <c r="AB698">
        <v>33</v>
      </c>
      <c r="AC698">
        <v>0.74139999999999795</v>
      </c>
      <c r="AD698">
        <v>-7.9709000000000002E-2</v>
      </c>
      <c r="AE698">
        <v>6.0000000000286404E-3</v>
      </c>
      <c r="AF698">
        <v>-5.7862139222480099E-3</v>
      </c>
      <c r="AG698">
        <v>-7.9709000000000002E-2</v>
      </c>
      <c r="AH698">
        <v>0.73293000012426701</v>
      </c>
      <c r="AI698">
        <v>96.206554679744599</v>
      </c>
      <c r="AJ698">
        <v>90.452319798390107</v>
      </c>
      <c r="AK698">
        <v>0.73727429769029096</v>
      </c>
    </row>
    <row r="699" spans="1:37" x14ac:dyDescent="0.2">
      <c r="A699" t="str">
        <f>"20200111155807000"</f>
        <v>20200111155807000</v>
      </c>
      <c r="B699" t="str">
        <f>"1578729486991389"</f>
        <v>1578729486991389</v>
      </c>
      <c r="C699" t="s">
        <v>37</v>
      </c>
      <c r="D699">
        <v>5.9610519999999996</v>
      </c>
      <c r="E699">
        <v>0.52849449999999998</v>
      </c>
      <c r="F699" t="s">
        <v>38</v>
      </c>
      <c r="G699">
        <v>-356.93509999999998</v>
      </c>
      <c r="H699">
        <v>1.039625</v>
      </c>
      <c r="I699">
        <v>368.03320000000002</v>
      </c>
      <c r="J699">
        <v>-357.4427</v>
      </c>
      <c r="K699">
        <v>1.104047</v>
      </c>
      <c r="L699">
        <v>368.02850000000001</v>
      </c>
      <c r="M699">
        <v>0.99998390000000004</v>
      </c>
      <c r="N699">
        <v>0</v>
      </c>
      <c r="O699">
        <v>8.761827E-4</v>
      </c>
      <c r="P699">
        <v>0.99682399999999904</v>
      </c>
      <c r="Q699">
        <v>8.5518380000000008E-3</v>
      </c>
      <c r="R699">
        <v>7.9175110000000007E-2</v>
      </c>
      <c r="S699">
        <v>3.0100709999999999</v>
      </c>
      <c r="T699">
        <v>-0.25876959999999999</v>
      </c>
      <c r="U699">
        <v>2.3132320000000001E-2</v>
      </c>
      <c r="V699">
        <v>-7.8327690000000005E-2</v>
      </c>
      <c r="W699">
        <v>1.399978E-2</v>
      </c>
      <c r="X699">
        <v>0.99682939999999998</v>
      </c>
      <c r="Y699">
        <v>-6.7867780000000003E-3</v>
      </c>
      <c r="Z699">
        <v>2.1599649999999999E-4</v>
      </c>
      <c r="AA699">
        <v>0.99997689999999995</v>
      </c>
      <c r="AB699">
        <v>33</v>
      </c>
      <c r="AC699">
        <v>0.50760000000002403</v>
      </c>
      <c r="AD699">
        <v>-6.4421999999999896E-2</v>
      </c>
      <c r="AE699">
        <v>4.7000000000139101E-3</v>
      </c>
      <c r="AF699">
        <v>-4.1877922462340497E-3</v>
      </c>
      <c r="AG699">
        <v>-6.4421999999999896E-2</v>
      </c>
      <c r="AH699">
        <v>0.499558036843197</v>
      </c>
      <c r="AI699">
        <v>97.3479383640381</v>
      </c>
      <c r="AJ699">
        <v>90.480298950471806</v>
      </c>
      <c r="AK699">
        <v>0.50371218355577496</v>
      </c>
    </row>
    <row r="700" spans="1:37" x14ac:dyDescent="0.2">
      <c r="A700" t="str">
        <f>"20200111155807012"</f>
        <v>20200111155807012</v>
      </c>
      <c r="B700" t="str">
        <f>"1578729487002127"</f>
        <v>1578729487002127</v>
      </c>
      <c r="C700" t="s">
        <v>37</v>
      </c>
      <c r="D700">
        <v>5.8949989999999897</v>
      </c>
      <c r="E700">
        <v>0.52842829999999996</v>
      </c>
      <c r="F700" t="s">
        <v>38</v>
      </c>
      <c r="G700">
        <v>-356.64530000000002</v>
      </c>
      <c r="H700">
        <v>1.035121</v>
      </c>
      <c r="I700">
        <v>368.03489999999999</v>
      </c>
      <c r="J700">
        <v>-357.2543</v>
      </c>
      <c r="K700">
        <v>1.1040459999999901</v>
      </c>
      <c r="L700">
        <v>368.0292</v>
      </c>
      <c r="M700">
        <v>0.99998330000000002</v>
      </c>
      <c r="N700">
        <v>0</v>
      </c>
      <c r="O700">
        <v>1.3966219999999999E-3</v>
      </c>
      <c r="P700">
        <v>0.99681369999999903</v>
      </c>
      <c r="Q700">
        <v>8.4034820000000003E-3</v>
      </c>
      <c r="R700">
        <v>7.9322429999999999E-2</v>
      </c>
      <c r="S700">
        <v>3.0099179999999999</v>
      </c>
      <c r="T700">
        <v>-0.26018239999999998</v>
      </c>
      <c r="U700">
        <v>2.3742679999999999E-2</v>
      </c>
      <c r="V700">
        <v>-7.7956109999999995E-2</v>
      </c>
      <c r="W700">
        <v>1.386914E-2</v>
      </c>
      <c r="X700">
        <v>0.99686030000000003</v>
      </c>
      <c r="Y700">
        <v>-6.4723659999999898E-3</v>
      </c>
      <c r="Z700">
        <v>1.5871470000000001E-4</v>
      </c>
      <c r="AA700">
        <v>0.99997899999999995</v>
      </c>
      <c r="AB700">
        <v>33</v>
      </c>
      <c r="AC700">
        <v>0.60899999999998</v>
      </c>
      <c r="AD700">
        <v>-6.8924999999999903E-2</v>
      </c>
      <c r="AE700">
        <v>5.6999999999902597E-3</v>
      </c>
      <c r="AF700">
        <v>-4.7881121833625098E-3</v>
      </c>
      <c r="AG700">
        <v>-6.8924999999999903E-2</v>
      </c>
      <c r="AH700">
        <v>0.60130584865855397</v>
      </c>
      <c r="AI700">
        <v>96.538814342086894</v>
      </c>
      <c r="AJ700">
        <v>90.456228427574999</v>
      </c>
      <c r="AK700">
        <v>0.60526217895575196</v>
      </c>
    </row>
    <row r="701" spans="1:37" x14ac:dyDescent="0.2">
      <c r="A701" t="str">
        <f>"20200111155807026"</f>
        <v>20200111155807026</v>
      </c>
      <c r="B701" t="str">
        <f>"1578729487021647"</f>
        <v>1578729487021647</v>
      </c>
      <c r="C701" t="s">
        <v>37</v>
      </c>
      <c r="D701">
        <v>5.9046209999999997</v>
      </c>
      <c r="E701">
        <v>0.52828240000000004</v>
      </c>
      <c r="F701" t="s">
        <v>38</v>
      </c>
      <c r="G701">
        <v>-356.35550000000001</v>
      </c>
      <c r="H701">
        <v>1.0262309999999999</v>
      </c>
      <c r="I701">
        <v>368.03629999999998</v>
      </c>
      <c r="J701">
        <v>-357.05500000000001</v>
      </c>
      <c r="K701">
        <v>1.104042</v>
      </c>
      <c r="L701">
        <v>368.0299</v>
      </c>
      <c r="M701">
        <v>0.99998229999999999</v>
      </c>
      <c r="N701">
        <v>0</v>
      </c>
      <c r="O701">
        <v>1.943342E-3</v>
      </c>
      <c r="P701">
        <v>0.99679390000000001</v>
      </c>
      <c r="Q701">
        <v>7.7671759999999998E-3</v>
      </c>
      <c r="R701">
        <v>7.9635090000000006E-2</v>
      </c>
      <c r="S701">
        <v>3.009827</v>
      </c>
      <c r="T701">
        <v>-0.26090540000000001</v>
      </c>
      <c r="U701">
        <v>2.4841309999999998E-2</v>
      </c>
      <c r="V701">
        <v>-7.7722899999999998E-2</v>
      </c>
      <c r="W701">
        <v>1.3252170000000001E-2</v>
      </c>
      <c r="X701">
        <v>0.99688690000000002</v>
      </c>
      <c r="Y701">
        <v>-6.2934879999999999E-3</v>
      </c>
      <c r="Z701">
        <v>1.04117099999999E-4</v>
      </c>
      <c r="AA701">
        <v>0.99998019999999999</v>
      </c>
      <c r="AB701">
        <v>33</v>
      </c>
      <c r="AC701">
        <v>0.69950000000000001</v>
      </c>
      <c r="AD701">
        <v>-7.7811000000000005E-2</v>
      </c>
      <c r="AE701">
        <v>6.39999999998508E-3</v>
      </c>
      <c r="AF701">
        <v>-4.9789942775522898E-3</v>
      </c>
      <c r="AG701">
        <v>-7.7811000000000005E-2</v>
      </c>
      <c r="AH701">
        <v>0.69096193931407801</v>
      </c>
      <c r="AI701">
        <v>96.424990435198595</v>
      </c>
      <c r="AJ701">
        <v>90.412859818496798</v>
      </c>
      <c r="AK701">
        <v>0.69534721088509999</v>
      </c>
    </row>
    <row r="702" spans="1:37" x14ac:dyDescent="0.2">
      <c r="A702" t="str">
        <f>"20200111155807039"</f>
        <v>20200111155807039</v>
      </c>
      <c r="B702" t="str">
        <f>"1578729487031405"</f>
        <v>1578729487031405</v>
      </c>
      <c r="C702" t="s">
        <v>37</v>
      </c>
      <c r="D702">
        <v>5.9197600000000001</v>
      </c>
      <c r="E702">
        <v>0.52820749999999905</v>
      </c>
      <c r="F702" t="s">
        <v>38</v>
      </c>
      <c r="G702">
        <v>-356.06420000000003</v>
      </c>
      <c r="H702">
        <v>1.017471</v>
      </c>
      <c r="I702">
        <v>368.0385</v>
      </c>
      <c r="J702">
        <v>-356.85250000000002</v>
      </c>
      <c r="K702">
        <v>1.104039</v>
      </c>
      <c r="L702">
        <v>368.0308</v>
      </c>
      <c r="M702">
        <v>0.99998089999999995</v>
      </c>
      <c r="N702">
        <v>0</v>
      </c>
      <c r="O702">
        <v>2.4921370000000002E-3</v>
      </c>
      <c r="P702">
        <v>0.99676390000000004</v>
      </c>
      <c r="Q702">
        <v>7.676169E-3</v>
      </c>
      <c r="R702">
        <v>8.0016799999999999E-2</v>
      </c>
      <c r="S702">
        <v>3.0095830000000001</v>
      </c>
      <c r="T702">
        <v>-0.26318029999999998</v>
      </c>
      <c r="U702">
        <v>2.6702879999999998E-2</v>
      </c>
      <c r="V702">
        <v>-7.7557070000000006E-2</v>
      </c>
      <c r="W702">
        <v>1.31796999999999E-2</v>
      </c>
      <c r="X702">
        <v>0.99690080000000003</v>
      </c>
      <c r="Y702">
        <v>-6.365384E-3</v>
      </c>
      <c r="Z702" s="1">
        <v>6.0268339999999901E-5</v>
      </c>
      <c r="AA702">
        <v>0.99997969999999903</v>
      </c>
      <c r="AB702">
        <v>33</v>
      </c>
      <c r="AC702">
        <v>0.78829999999999201</v>
      </c>
      <c r="AD702">
        <v>-8.6567999999999895E-2</v>
      </c>
      <c r="AE702">
        <v>7.6999999999998103E-3</v>
      </c>
      <c r="AF702">
        <v>-5.6670573304313703E-3</v>
      </c>
      <c r="AG702">
        <v>-8.6567999999999895E-2</v>
      </c>
      <c r="AH702">
        <v>0.77892414989163306</v>
      </c>
      <c r="AI702">
        <v>96.341541861110201</v>
      </c>
      <c r="AJ702">
        <v>90.4168476974979</v>
      </c>
      <c r="AK702">
        <v>0.78374036864716201</v>
      </c>
    </row>
    <row r="703" spans="1:37" x14ac:dyDescent="0.2">
      <c r="A703" t="str">
        <f>"20200111155807056"</f>
        <v>20200111155807056</v>
      </c>
      <c r="B703" t="str">
        <f>"1578729487051901"</f>
        <v>1578729487051901</v>
      </c>
      <c r="C703" t="s">
        <v>37</v>
      </c>
      <c r="D703">
        <v>5.9412729999999998</v>
      </c>
      <c r="E703">
        <v>0.52805539999999995</v>
      </c>
      <c r="F703" t="s">
        <v>38</v>
      </c>
      <c r="G703">
        <v>-356.05610000000001</v>
      </c>
      <c r="H703">
        <v>1.034359</v>
      </c>
      <c r="I703">
        <v>368.03809999999999</v>
      </c>
      <c r="J703">
        <v>-356.60950000000003</v>
      </c>
      <c r="K703">
        <v>1.1040379999999901</v>
      </c>
      <c r="L703">
        <v>368.03199999999998</v>
      </c>
      <c r="M703">
        <v>0.99997879999999995</v>
      </c>
      <c r="N703">
        <v>0</v>
      </c>
      <c r="O703">
        <v>3.1435590000000002E-3</v>
      </c>
      <c r="P703">
        <v>0.99672050000000001</v>
      </c>
      <c r="Q703">
        <v>7.3846149999999998E-3</v>
      </c>
      <c r="R703">
        <v>8.058324E-2</v>
      </c>
      <c r="S703">
        <v>3.0094599999999998</v>
      </c>
      <c r="T703">
        <v>-0.26351579999999902</v>
      </c>
      <c r="U703">
        <v>2.862549E-2</v>
      </c>
      <c r="V703">
        <v>-7.7473680000000003E-2</v>
      </c>
      <c r="W703">
        <v>1.291079E-2</v>
      </c>
      <c r="X703">
        <v>0.99691079999999999</v>
      </c>
      <c r="Y703">
        <v>-6.3556000000000003E-3</v>
      </c>
      <c r="Z703" s="1">
        <v>2.9892839999999999E-6</v>
      </c>
      <c r="AA703">
        <v>0.99997979999999997</v>
      </c>
      <c r="AB703">
        <v>33</v>
      </c>
      <c r="AC703">
        <v>0.55340000000001</v>
      </c>
      <c r="AD703">
        <v>-6.9678999999999797E-2</v>
      </c>
      <c r="AE703">
        <v>6.1000000000035401E-3</v>
      </c>
      <c r="AF703">
        <v>-4.29225693944482E-3</v>
      </c>
      <c r="AG703">
        <v>-6.9678999999999797E-2</v>
      </c>
      <c r="AH703">
        <v>0.54478080139542195</v>
      </c>
      <c r="AI703">
        <v>97.2884941262826</v>
      </c>
      <c r="AJ703">
        <v>90.451416639464696</v>
      </c>
      <c r="AK703">
        <v>0.54923556701990095</v>
      </c>
    </row>
    <row r="704" spans="1:37" x14ac:dyDescent="0.2">
      <c r="A704" t="str">
        <f>"20200111155807069"</f>
        <v>20200111155807069</v>
      </c>
      <c r="B704" t="str">
        <f>"1578729487061662"</f>
        <v>1578729487061662</v>
      </c>
      <c r="C704" t="s">
        <v>37</v>
      </c>
      <c r="D704">
        <v>5.9527049999999999</v>
      </c>
      <c r="E704">
        <v>0.52797930000000004</v>
      </c>
      <c r="F704" t="s">
        <v>38</v>
      </c>
      <c r="G704">
        <v>-355.76209999999998</v>
      </c>
      <c r="H704">
        <v>1.0296650000000001</v>
      </c>
      <c r="I704">
        <v>368.04050000000001</v>
      </c>
      <c r="J704">
        <v>-356.40949999999998</v>
      </c>
      <c r="K704">
        <v>1.104034</v>
      </c>
      <c r="L704">
        <v>368.03309999999999</v>
      </c>
      <c r="M704">
        <v>0.99997709999999995</v>
      </c>
      <c r="N704">
        <v>0</v>
      </c>
      <c r="O704">
        <v>3.6735119999999999E-3</v>
      </c>
      <c r="P704">
        <v>0.99663840000000004</v>
      </c>
      <c r="Q704">
        <v>7.8102850000000001E-3</v>
      </c>
      <c r="R704">
        <v>8.1553249999999994E-2</v>
      </c>
      <c r="S704">
        <v>3.0093079999999999</v>
      </c>
      <c r="T704">
        <v>-0.26440849999999999</v>
      </c>
      <c r="U704">
        <v>3.1158450000000001E-2</v>
      </c>
      <c r="V704">
        <v>-7.7916260000000001E-2</v>
      </c>
      <c r="W704">
        <v>1.3353250000000001E-2</v>
      </c>
      <c r="X704">
        <v>0.99687049999999999</v>
      </c>
      <c r="Y704">
        <v>-6.6684880000000002E-3</v>
      </c>
      <c r="Z704" s="1">
        <v>-2.975439E-5</v>
      </c>
      <c r="AA704">
        <v>0.99997780000000003</v>
      </c>
      <c r="AB704">
        <v>33</v>
      </c>
      <c r="AC704">
        <v>0.64740000000000397</v>
      </c>
      <c r="AD704">
        <v>-7.4368999999999894E-2</v>
      </c>
      <c r="AE704">
        <v>7.40000000001828E-3</v>
      </c>
      <c r="AF704">
        <v>-4.9562859527690298E-3</v>
      </c>
      <c r="AG704">
        <v>-7.4368999999999894E-2</v>
      </c>
      <c r="AH704">
        <v>0.63899185508756495</v>
      </c>
      <c r="AI704">
        <v>96.638299096219498</v>
      </c>
      <c r="AJ704">
        <v>90.444400926679904</v>
      </c>
      <c r="AK704">
        <v>0.64332410478676605</v>
      </c>
    </row>
    <row r="705" spans="1:37" x14ac:dyDescent="0.2">
      <c r="A705" t="str">
        <f>"20200111155807093"</f>
        <v>20200111155807093</v>
      </c>
      <c r="B705" t="str">
        <f>"1578729487091918"</f>
        <v>1578729487091918</v>
      </c>
      <c r="C705" t="s">
        <v>37</v>
      </c>
      <c r="D705">
        <v>5.962205</v>
      </c>
      <c r="E705">
        <v>0.52778939999999996</v>
      </c>
      <c r="F705" t="s">
        <v>38</v>
      </c>
      <c r="G705">
        <v>-355.46850000000001</v>
      </c>
      <c r="H705">
        <v>1.0217769999999999</v>
      </c>
      <c r="I705">
        <v>368.0437</v>
      </c>
      <c r="J705">
        <v>-356.04969999999997</v>
      </c>
      <c r="K705">
        <v>1.1040270000000001</v>
      </c>
      <c r="L705">
        <v>368.03530000000001</v>
      </c>
      <c r="M705">
        <v>0.99997309999999995</v>
      </c>
      <c r="N705">
        <v>0</v>
      </c>
      <c r="O705">
        <v>4.6084869999999997E-3</v>
      </c>
      <c r="P705">
        <v>0.99655469999999902</v>
      </c>
      <c r="Q705">
        <v>7.5319150000000001E-3</v>
      </c>
      <c r="R705">
        <v>8.2597519999999994E-2</v>
      </c>
      <c r="S705">
        <v>3.0093079999999999</v>
      </c>
      <c r="T705">
        <v>-0.26330330000000002</v>
      </c>
      <c r="U705">
        <v>3.463745E-2</v>
      </c>
      <c r="V705">
        <v>-7.8028219999999995E-2</v>
      </c>
      <c r="W705">
        <v>1.310675E-2</v>
      </c>
      <c r="X705">
        <v>0.996865</v>
      </c>
      <c r="Y705">
        <v>-6.89224E-3</v>
      </c>
      <c r="Z705">
        <v>-1.0150840000000001E-4</v>
      </c>
      <c r="AA705">
        <v>0.99997619999999898</v>
      </c>
      <c r="AB705">
        <v>33</v>
      </c>
      <c r="AC705">
        <v>0.58119999999996697</v>
      </c>
      <c r="AD705">
        <v>-8.2250000000000101E-2</v>
      </c>
      <c r="AE705">
        <v>8.3999999999946305E-3</v>
      </c>
      <c r="AF705">
        <v>-5.6091032762526196E-3</v>
      </c>
      <c r="AG705">
        <v>-8.2250000000000101E-2</v>
      </c>
      <c r="AH705">
        <v>0.56982295523633997</v>
      </c>
      <c r="AI705">
        <v>98.213127597106805</v>
      </c>
      <c r="AJ705">
        <v>90.563977920029501</v>
      </c>
      <c r="AK705">
        <v>0.57575578577539299</v>
      </c>
    </row>
    <row r="706" spans="1:37" x14ac:dyDescent="0.2">
      <c r="A706" t="str">
        <f>"20200111155807106"</f>
        <v>20200111155807106</v>
      </c>
      <c r="B706" t="str">
        <f>"1578729487101678"</f>
        <v>1578729487101678</v>
      </c>
      <c r="C706" t="s">
        <v>37</v>
      </c>
      <c r="D706">
        <v>6.0323060000000002</v>
      </c>
      <c r="E706">
        <v>0.52774949999999998</v>
      </c>
      <c r="F706" t="s">
        <v>38</v>
      </c>
      <c r="G706">
        <v>-355.16800000000001</v>
      </c>
      <c r="H706">
        <v>1.0265489999999999</v>
      </c>
      <c r="I706">
        <v>368.04669999999999</v>
      </c>
      <c r="J706">
        <v>-355.85379999999998</v>
      </c>
      <c r="K706">
        <v>1.1040159999999899</v>
      </c>
      <c r="L706">
        <v>368.0367</v>
      </c>
      <c r="M706">
        <v>0.99997049999999998</v>
      </c>
      <c r="N706">
        <v>0</v>
      </c>
      <c r="O706">
        <v>5.1097629999999998E-3</v>
      </c>
      <c r="P706">
        <v>0.99652240000000003</v>
      </c>
      <c r="Q706">
        <v>6.6198369999999999E-3</v>
      </c>
      <c r="R706">
        <v>8.3063570000000003E-2</v>
      </c>
      <c r="S706">
        <v>3.009125</v>
      </c>
      <c r="T706">
        <v>-0.26460630000000002</v>
      </c>
      <c r="U706">
        <v>3.9550780000000001E-2</v>
      </c>
      <c r="V706">
        <v>-7.7992980000000003E-2</v>
      </c>
      <c r="W706">
        <v>1.2211319999999999E-2</v>
      </c>
      <c r="X706">
        <v>0.99687909999999902</v>
      </c>
      <c r="Y706">
        <v>-8.0216690000000004E-3</v>
      </c>
      <c r="Z706" s="1">
        <v>-9.6445839999999993E-5</v>
      </c>
      <c r="AA706">
        <v>0.99996779999999996</v>
      </c>
      <c r="AB706">
        <v>33</v>
      </c>
      <c r="AC706">
        <v>0.68579999999997199</v>
      </c>
      <c r="AD706">
        <v>-7.7466999999999897E-2</v>
      </c>
      <c r="AE706">
        <v>9.9999999999908998E-3</v>
      </c>
      <c r="AF706">
        <v>-6.4137170116854601E-3</v>
      </c>
      <c r="AG706">
        <v>-7.7466999999999897E-2</v>
      </c>
      <c r="AH706">
        <v>0.67720311218482099</v>
      </c>
      <c r="AI706">
        <v>96.525554623807494</v>
      </c>
      <c r="AJ706">
        <v>90.5426258716072</v>
      </c>
      <c r="AK706">
        <v>0.68164970990070295</v>
      </c>
    </row>
    <row r="707" spans="1:37" x14ac:dyDescent="0.2">
      <c r="A707" t="str">
        <f>"20200111155807122"</f>
        <v>20200111155807122</v>
      </c>
      <c r="B707" t="str">
        <f>"1578729487111438"</f>
        <v>1578729487111438</v>
      </c>
      <c r="C707" t="s">
        <v>37</v>
      </c>
      <c r="D707">
        <v>6.0048750000000002</v>
      </c>
      <c r="E707">
        <v>0.52769449999999996</v>
      </c>
      <c r="F707" t="s">
        <v>38</v>
      </c>
      <c r="G707">
        <v>-354.8734</v>
      </c>
      <c r="H707">
        <v>1.016921</v>
      </c>
      <c r="I707">
        <v>368.05</v>
      </c>
      <c r="J707">
        <v>-355.61660000000001</v>
      </c>
      <c r="K707">
        <v>1.1040000000000001</v>
      </c>
      <c r="L707">
        <v>368.03840000000002</v>
      </c>
      <c r="M707">
        <v>0.99996719999999895</v>
      </c>
      <c r="N707">
        <v>0</v>
      </c>
      <c r="O707">
        <v>5.7062129999999999E-3</v>
      </c>
      <c r="P707">
        <v>0.99646460000000003</v>
      </c>
      <c r="Q707">
        <v>5.0528629999999899E-3</v>
      </c>
      <c r="R707">
        <v>8.3862389999999995E-2</v>
      </c>
      <c r="S707">
        <v>3.0087890000000002</v>
      </c>
      <c r="T707">
        <v>-0.2674839</v>
      </c>
      <c r="U707">
        <v>4.144287E-2</v>
      </c>
      <c r="V707">
        <v>-7.8194490000000005E-2</v>
      </c>
      <c r="W707">
        <v>1.066456E-2</v>
      </c>
      <c r="X707">
        <v>0.99688109999999996</v>
      </c>
      <c r="Y707">
        <v>-8.0573709999999903E-3</v>
      </c>
      <c r="Z707">
        <v>-1.4883450000000001E-4</v>
      </c>
      <c r="AA707">
        <v>0.99996749999999901</v>
      </c>
      <c r="AB707">
        <v>33</v>
      </c>
      <c r="AC707">
        <v>0.74320000000000097</v>
      </c>
      <c r="AD707">
        <v>-8.7079000000000101E-2</v>
      </c>
      <c r="AE707">
        <v>1.15999999999871E-2</v>
      </c>
      <c r="AF707">
        <v>-7.2592509754827702E-3</v>
      </c>
      <c r="AG707">
        <v>-8.7079000000000101E-2</v>
      </c>
      <c r="AH707">
        <v>0.73319110712934599</v>
      </c>
      <c r="AI707">
        <v>96.772798651277895</v>
      </c>
      <c r="AJ707">
        <v>90.567261181099198</v>
      </c>
      <c r="AK707">
        <v>0.73837974548282503</v>
      </c>
    </row>
    <row r="708" spans="1:37" x14ac:dyDescent="0.2">
      <c r="A708" t="str">
        <f>"20200111155807137"</f>
        <v>20200111155807137</v>
      </c>
      <c r="B708" t="str">
        <f>"1578729487131934"</f>
        <v>1578729487131934</v>
      </c>
      <c r="C708" t="s">
        <v>37</v>
      </c>
      <c r="D708">
        <v>6.0078659999999999</v>
      </c>
      <c r="E708">
        <v>0.52755989999999997</v>
      </c>
      <c r="F708" t="s">
        <v>38</v>
      </c>
      <c r="G708">
        <v>-354.86349999999999</v>
      </c>
      <c r="H708">
        <v>1.03594599999999</v>
      </c>
      <c r="I708">
        <v>368.04919999999998</v>
      </c>
      <c r="J708">
        <v>-355.40159999999997</v>
      </c>
      <c r="K708">
        <v>1.1039889999999899</v>
      </c>
      <c r="L708">
        <v>368.0401</v>
      </c>
      <c r="M708">
        <v>0.99996390000000002</v>
      </c>
      <c r="N708">
        <v>0</v>
      </c>
      <c r="O708">
        <v>6.2384750000000003E-3</v>
      </c>
      <c r="P708">
        <v>0.99639480000000002</v>
      </c>
      <c r="Q708">
        <v>4.7695120000000001E-3</v>
      </c>
      <c r="R708">
        <v>8.470482E-2</v>
      </c>
      <c r="S708">
        <v>3.0083009999999999</v>
      </c>
      <c r="T708">
        <v>-0.27207979999999998</v>
      </c>
      <c r="U708">
        <v>4.4158940000000001E-2</v>
      </c>
      <c r="V708">
        <v>-7.8506049999999994E-2</v>
      </c>
      <c r="W708">
        <v>1.03985E-2</v>
      </c>
      <c r="X708">
        <v>0.99685939999999995</v>
      </c>
      <c r="Y708">
        <v>-8.4303109999999994E-3</v>
      </c>
      <c r="Z708">
        <v>-1.826129E-4</v>
      </c>
      <c r="AA708">
        <v>0.99996450000000003</v>
      </c>
      <c r="AB708">
        <v>33</v>
      </c>
      <c r="AC708">
        <v>0.53809999999998503</v>
      </c>
      <c r="AD708">
        <v>-6.8043000000000006E-2</v>
      </c>
      <c r="AE708">
        <v>9.0999999999894499E-3</v>
      </c>
      <c r="AF708">
        <v>-5.6524877855353498E-3</v>
      </c>
      <c r="AG708">
        <v>-6.8043000000000006E-2</v>
      </c>
      <c r="AH708">
        <v>0.52967929620766196</v>
      </c>
      <c r="AI708">
        <v>97.319756057685495</v>
      </c>
      <c r="AJ708">
        <v>90.611410343935901</v>
      </c>
      <c r="AK708">
        <v>0.53406175419908997</v>
      </c>
    </row>
    <row r="709" spans="1:37" x14ac:dyDescent="0.2">
      <c r="A709" t="str">
        <f>"20200111155807156"</f>
        <v>20200111155807156</v>
      </c>
      <c r="B709" t="str">
        <f>"1578729487151453"</f>
        <v>1578729487151453</v>
      </c>
      <c r="C709" t="s">
        <v>37</v>
      </c>
      <c r="D709">
        <v>5.8987879999999997</v>
      </c>
      <c r="E709">
        <v>0.52737029999999996</v>
      </c>
      <c r="F709" t="s">
        <v>38</v>
      </c>
      <c r="G709">
        <v>-354.56790000000001</v>
      </c>
      <c r="H709">
        <v>1.0283819999999999</v>
      </c>
      <c r="I709">
        <v>368.053</v>
      </c>
      <c r="J709">
        <v>-355.11599999999999</v>
      </c>
      <c r="K709">
        <v>1.1039809999999901</v>
      </c>
      <c r="L709">
        <v>368.04250000000002</v>
      </c>
      <c r="M709">
        <v>0.99995909999999999</v>
      </c>
      <c r="N709">
        <v>0</v>
      </c>
      <c r="O709">
        <v>6.9355249999999997E-3</v>
      </c>
      <c r="P709">
        <v>0.99633719999999903</v>
      </c>
      <c r="Q709">
        <v>3.79291E-3</v>
      </c>
      <c r="R709">
        <v>8.542632E-2</v>
      </c>
      <c r="S709">
        <v>3.00808699999999</v>
      </c>
      <c r="T709">
        <v>-0.27315319999999998</v>
      </c>
      <c r="U709">
        <v>4.788208E-2</v>
      </c>
      <c r="V709">
        <v>-7.8531039999999996E-2</v>
      </c>
      <c r="W709">
        <v>9.4448759999999996E-3</v>
      </c>
      <c r="X709">
        <v>0.9968669</v>
      </c>
      <c r="Y709">
        <v>-8.9722440000000007E-3</v>
      </c>
      <c r="Z709">
        <v>-2.2194869999999999E-4</v>
      </c>
      <c r="AA709">
        <v>0.99995970000000001</v>
      </c>
      <c r="AB709">
        <v>33</v>
      </c>
      <c r="AC709">
        <v>0.54809999999997605</v>
      </c>
      <c r="AD709">
        <v>-7.5598999999999902E-2</v>
      </c>
      <c r="AE709">
        <v>1.0500000000035901E-2</v>
      </c>
      <c r="AF709">
        <v>-6.5733142322267797E-3</v>
      </c>
      <c r="AG709">
        <v>-7.5598999999999902E-2</v>
      </c>
      <c r="AH709">
        <v>0.53792957241002504</v>
      </c>
      <c r="AI709">
        <v>97.999194207855197</v>
      </c>
      <c r="AJ709">
        <v>90.700099860885302</v>
      </c>
      <c r="AK709">
        <v>0.54325559558483005</v>
      </c>
    </row>
    <row r="710" spans="1:37" x14ac:dyDescent="0.2">
      <c r="A710" t="str">
        <f>"20200111155807179"</f>
        <v>20200111155807179</v>
      </c>
      <c r="B710" t="str">
        <f>"1578729487171949"</f>
        <v>1578729487171949</v>
      </c>
      <c r="C710" t="s">
        <v>37</v>
      </c>
      <c r="D710">
        <v>5.9214789999999997</v>
      </c>
      <c r="E710">
        <v>0.52732979999999996</v>
      </c>
      <c r="F710" t="s">
        <v>38</v>
      </c>
      <c r="G710">
        <v>-354.2681</v>
      </c>
      <c r="H710">
        <v>1.0260129999999901</v>
      </c>
      <c r="I710">
        <v>368.05680000000001</v>
      </c>
      <c r="J710">
        <v>-354.75720000000001</v>
      </c>
      <c r="K710">
        <v>1.103969</v>
      </c>
      <c r="L710">
        <v>368.04579999999999</v>
      </c>
      <c r="M710">
        <v>0.99995259999999997</v>
      </c>
      <c r="N710">
        <v>0</v>
      </c>
      <c r="O710">
        <v>7.794919E-3</v>
      </c>
      <c r="P710">
        <v>0.99621219999999999</v>
      </c>
      <c r="Q710">
        <v>3.0180509999999999E-3</v>
      </c>
      <c r="R710">
        <v>8.6903359999999999E-2</v>
      </c>
      <c r="S710">
        <v>3.0077509999999998</v>
      </c>
      <c r="T710">
        <v>-0.27661940000000002</v>
      </c>
      <c r="U710">
        <v>5.096436E-2</v>
      </c>
      <c r="V710">
        <v>-7.9150460000000006E-2</v>
      </c>
      <c r="W710">
        <v>8.6962729999999992E-3</v>
      </c>
      <c r="X710">
        <v>0.99682469999999901</v>
      </c>
      <c r="Y710">
        <v>-9.1417759999999904E-3</v>
      </c>
      <c r="Z710">
        <v>-2.9586E-4</v>
      </c>
      <c r="AA710">
        <v>0.99995820000000002</v>
      </c>
      <c r="AB710">
        <v>34</v>
      </c>
      <c r="AC710">
        <v>0.48910000000000697</v>
      </c>
      <c r="AD710">
        <v>-7.7956000000000095E-2</v>
      </c>
      <c r="AE710">
        <v>1.10000000000241E-2</v>
      </c>
      <c r="AF710">
        <v>-7.0091352964448597E-3</v>
      </c>
      <c r="AG710">
        <v>-7.7956000000000095E-2</v>
      </c>
      <c r="AH710">
        <v>0.477057790212638</v>
      </c>
      <c r="AI710">
        <v>99.279691003044405</v>
      </c>
      <c r="AJ710">
        <v>90.841753316905198</v>
      </c>
      <c r="AK710">
        <v>0.48343603622006598</v>
      </c>
    </row>
    <row r="711" spans="1:37" x14ac:dyDescent="0.2">
      <c r="A711" t="str">
        <f>"20200111155807201"</f>
        <v>20200111155807201</v>
      </c>
      <c r="B711" t="str">
        <f>"1578729487191469"</f>
        <v>1578729487191469</v>
      </c>
      <c r="C711" t="s">
        <v>37</v>
      </c>
      <c r="D711">
        <v>5.9587570000000003</v>
      </c>
      <c r="E711">
        <v>0.52720999999999996</v>
      </c>
      <c r="F711" t="s">
        <v>38</v>
      </c>
      <c r="G711">
        <v>-353.96409999999997</v>
      </c>
      <c r="H711">
        <v>1.0306139999999999</v>
      </c>
      <c r="I711">
        <v>368.06</v>
      </c>
      <c r="J711">
        <v>-354.43959999999998</v>
      </c>
      <c r="K711">
        <v>1.103961</v>
      </c>
      <c r="L711">
        <v>368.0489</v>
      </c>
      <c r="M711">
        <v>0.99994649999999996</v>
      </c>
      <c r="N711">
        <v>0</v>
      </c>
      <c r="O711">
        <v>8.5416190000000003E-3</v>
      </c>
      <c r="P711">
        <v>0.99605519999999903</v>
      </c>
      <c r="Q711">
        <v>2.6956759999999902E-3</v>
      </c>
      <c r="R711">
        <v>8.8696460000000005E-2</v>
      </c>
      <c r="S711">
        <v>3.007355</v>
      </c>
      <c r="T711">
        <v>-0.2784895</v>
      </c>
      <c r="U711">
        <v>5.5633540000000002E-2</v>
      </c>
      <c r="V711">
        <v>-8.0200129999999994E-2</v>
      </c>
      <c r="W711">
        <v>8.3953980000000001E-3</v>
      </c>
      <c r="X711">
        <v>0.99674339999999995</v>
      </c>
      <c r="Y711">
        <v>-9.9490009999999903E-3</v>
      </c>
      <c r="Z711">
        <v>-3.2958290000000001E-4</v>
      </c>
      <c r="AA711">
        <v>0.99995049999999996</v>
      </c>
      <c r="AB711">
        <v>34</v>
      </c>
      <c r="AC711">
        <v>0.47550000000001003</v>
      </c>
      <c r="AD711">
        <v>-7.3346999999999996E-2</v>
      </c>
      <c r="AE711">
        <v>1.1099999999999E-2</v>
      </c>
      <c r="AF711">
        <v>-6.8745046460303404E-3</v>
      </c>
      <c r="AG711">
        <v>-7.3346999999999996E-2</v>
      </c>
      <c r="AH711">
        <v>0.46453054316759601</v>
      </c>
      <c r="AI711">
        <v>98.971668910059293</v>
      </c>
      <c r="AJ711">
        <v>90.847848129926703</v>
      </c>
      <c r="AK711">
        <v>0.470335695815988</v>
      </c>
    </row>
    <row r="712" spans="1:37" x14ac:dyDescent="0.2">
      <c r="A712" t="str">
        <f>"20200111155807214"</f>
        <v>20200111155807214</v>
      </c>
      <c r="B712" t="str">
        <f>"1578729487211557"</f>
        <v>1578729487211557</v>
      </c>
      <c r="C712" t="s">
        <v>37</v>
      </c>
      <c r="D712">
        <v>5.9510779999999999</v>
      </c>
      <c r="E712">
        <v>0.52700480000000005</v>
      </c>
      <c r="F712" t="s">
        <v>38</v>
      </c>
      <c r="G712">
        <v>-353.66079999999999</v>
      </c>
      <c r="H712">
        <v>1.0315859999999999</v>
      </c>
      <c r="I712">
        <v>368.06459999999998</v>
      </c>
      <c r="J712">
        <v>-354.24630000000002</v>
      </c>
      <c r="K712">
        <v>1.103955</v>
      </c>
      <c r="L712">
        <v>368.05099999999999</v>
      </c>
      <c r="M712">
        <v>0.99994240000000001</v>
      </c>
      <c r="N712">
        <v>0</v>
      </c>
      <c r="O712">
        <v>8.9903929999999993E-3</v>
      </c>
      <c r="P712">
        <v>0.99596980000000002</v>
      </c>
      <c r="Q712">
        <v>2.5842690000000001E-3</v>
      </c>
      <c r="R712">
        <v>8.9651739999999994E-2</v>
      </c>
      <c r="S712">
        <v>3.00707999999999</v>
      </c>
      <c r="T712">
        <v>-0.27980050000000001</v>
      </c>
      <c r="U712">
        <v>6.2133790000000001E-2</v>
      </c>
      <c r="V712">
        <v>-8.0708269999999999E-2</v>
      </c>
      <c r="W712">
        <v>8.2966959999999992E-3</v>
      </c>
      <c r="X712">
        <v>0.99670319999999901</v>
      </c>
      <c r="Y712">
        <v>-1.165711E-2</v>
      </c>
      <c r="Z712">
        <v>-2.93521599999999E-4</v>
      </c>
      <c r="AA712">
        <v>0.99993199999999904</v>
      </c>
      <c r="AB712">
        <v>34</v>
      </c>
      <c r="AC712">
        <v>0.585500000000024</v>
      </c>
      <c r="AD712">
        <v>-7.2368999999999906E-2</v>
      </c>
      <c r="AE712">
        <v>1.35999999999967E-2</v>
      </c>
      <c r="AF712">
        <v>-8.2101225476161003E-3</v>
      </c>
      <c r="AG712">
        <v>-7.2368999999999906E-2</v>
      </c>
      <c r="AH712">
        <v>0.576791447715574</v>
      </c>
      <c r="AI712">
        <v>97.150712629389503</v>
      </c>
      <c r="AJ712">
        <v>90.815500311803206</v>
      </c>
      <c r="AK712">
        <v>0.58137169902831898</v>
      </c>
    </row>
    <row r="713" spans="1:37" x14ac:dyDescent="0.2">
      <c r="A713" t="str">
        <f>"20200111155807227"</f>
        <v>20200111155807227</v>
      </c>
      <c r="B713" t="str">
        <f>"1578729487221318"</f>
        <v>1578729487221318</v>
      </c>
      <c r="C713" t="s">
        <v>37</v>
      </c>
      <c r="D713">
        <v>5.9766279999999998</v>
      </c>
      <c r="E713">
        <v>0.52694280000000004</v>
      </c>
      <c r="F713" t="s">
        <v>38</v>
      </c>
      <c r="G713">
        <v>-353.3614</v>
      </c>
      <c r="H713">
        <v>1.0223149999999901</v>
      </c>
      <c r="I713">
        <v>368.0702</v>
      </c>
      <c r="J713">
        <v>-354.03829999999999</v>
      </c>
      <c r="K713">
        <v>1.1039490000000001</v>
      </c>
      <c r="L713">
        <v>368.05329999999998</v>
      </c>
      <c r="M713">
        <v>0.99993790000000005</v>
      </c>
      <c r="N713">
        <v>0</v>
      </c>
      <c r="O713">
        <v>9.4702769999999992E-3</v>
      </c>
      <c r="P713">
        <v>0.99588120000000002</v>
      </c>
      <c r="Q713">
        <v>2.1593699999999999E-3</v>
      </c>
      <c r="R713">
        <v>9.0642650000000005E-2</v>
      </c>
      <c r="S713">
        <v>3.006866</v>
      </c>
      <c r="T713">
        <v>-0.27776279999999998</v>
      </c>
      <c r="U713">
        <v>6.658936E-2</v>
      </c>
      <c r="V713">
        <v>-8.1220849999999997E-2</v>
      </c>
      <c r="W713">
        <v>7.8856759999999994E-3</v>
      </c>
      <c r="X713">
        <v>0.99666489999999996</v>
      </c>
      <c r="Y713">
        <v>-1.2657659999999999E-2</v>
      </c>
      <c r="Z713">
        <v>-2.8952550000000001E-4</v>
      </c>
      <c r="AA713">
        <v>0.99991980000000003</v>
      </c>
      <c r="AB713">
        <v>34</v>
      </c>
      <c r="AC713">
        <v>0.67689999999998895</v>
      </c>
      <c r="AD713">
        <v>-8.1634000000000206E-2</v>
      </c>
      <c r="AE713">
        <v>1.6900000000020999E-2</v>
      </c>
      <c r="AF713">
        <v>-1.0338429340583001E-2</v>
      </c>
      <c r="AG713">
        <v>-8.1634000000000206E-2</v>
      </c>
      <c r="AH713">
        <v>0.66732988786995495</v>
      </c>
      <c r="AI713">
        <v>96.973473076042893</v>
      </c>
      <c r="AJ713">
        <v>90.887568496336996</v>
      </c>
      <c r="AK713">
        <v>0.67238394710296101</v>
      </c>
    </row>
    <row r="714" spans="1:37" x14ac:dyDescent="0.2">
      <c r="A714" t="str">
        <f>"20200111155807239"</f>
        <v>20200111155807239</v>
      </c>
      <c r="B714" t="str">
        <f>"1578729487232054"</f>
        <v>1578729487232054</v>
      </c>
      <c r="C714" t="s">
        <v>37</v>
      </c>
      <c r="D714">
        <v>5.9708230000000002</v>
      </c>
      <c r="E714">
        <v>0.52690769999999998</v>
      </c>
      <c r="F714" t="s">
        <v>38</v>
      </c>
      <c r="G714">
        <v>-353.06110000000001</v>
      </c>
      <c r="H714">
        <v>1.0133299999999901</v>
      </c>
      <c r="I714">
        <v>368.07569999999998</v>
      </c>
      <c r="J714">
        <v>-353.84100000000001</v>
      </c>
      <c r="K714">
        <v>1.103945</v>
      </c>
      <c r="L714">
        <v>368.05549999999999</v>
      </c>
      <c r="M714">
        <v>0.99993349999999903</v>
      </c>
      <c r="N714">
        <v>0</v>
      </c>
      <c r="O714">
        <v>9.9208370000000001E-3</v>
      </c>
      <c r="P714">
        <v>0.99582420000000005</v>
      </c>
      <c r="Q714">
        <v>2.2464149999999999E-3</v>
      </c>
      <c r="R714">
        <v>9.1267039999999994E-2</v>
      </c>
      <c r="S714">
        <v>3.0066220000000001</v>
      </c>
      <c r="T714">
        <v>-0.27922639999999999</v>
      </c>
      <c r="U714">
        <v>7.0190429999999998E-2</v>
      </c>
      <c r="V714">
        <v>-8.1396629999999998E-2</v>
      </c>
      <c r="W714">
        <v>7.9877170000000001E-3</v>
      </c>
      <c r="X714">
        <v>0.99664979999999903</v>
      </c>
      <c r="Y714">
        <v>-1.340448E-2</v>
      </c>
      <c r="Z714">
        <v>-2.9820839999999998E-4</v>
      </c>
      <c r="AA714">
        <v>0.99991010000000002</v>
      </c>
      <c r="AB714">
        <v>34</v>
      </c>
      <c r="AC714">
        <v>0.77989999999999704</v>
      </c>
      <c r="AD714">
        <v>-9.0615000000000306E-2</v>
      </c>
      <c r="AE714">
        <v>2.0199999999988401E-2</v>
      </c>
      <c r="AF714">
        <v>-1.22957345668181E-2</v>
      </c>
      <c r="AG714">
        <v>-9.0615000000000306E-2</v>
      </c>
      <c r="AH714">
        <v>0.76967859987563203</v>
      </c>
      <c r="AI714">
        <v>96.713729469784596</v>
      </c>
      <c r="AJ714">
        <v>90.9152310792375</v>
      </c>
      <c r="AK714">
        <v>0.77509187224486498</v>
      </c>
    </row>
    <row r="715" spans="1:37" x14ac:dyDescent="0.2">
      <c r="A715" t="str">
        <f>"20200111155807258"</f>
        <v>20200111155807258</v>
      </c>
      <c r="B715" t="str">
        <f>"1578729487251574"</f>
        <v>1578729487251574</v>
      </c>
      <c r="C715" t="s">
        <v>37</v>
      </c>
      <c r="D715">
        <v>5.9652839999999996</v>
      </c>
      <c r="E715">
        <v>0.52691659999999996</v>
      </c>
      <c r="F715" t="s">
        <v>38</v>
      </c>
      <c r="G715">
        <v>-353.05279999999999</v>
      </c>
      <c r="H715">
        <v>1.0308899999999901</v>
      </c>
      <c r="I715">
        <v>368.07409999999999</v>
      </c>
      <c r="J715">
        <v>-353.57549999999998</v>
      </c>
      <c r="K715">
        <v>1.103939</v>
      </c>
      <c r="L715">
        <v>368.05869999999999</v>
      </c>
      <c r="M715">
        <v>0.99992709999999996</v>
      </c>
      <c r="N715">
        <v>0</v>
      </c>
      <c r="O715">
        <v>1.0522419999999999E-2</v>
      </c>
      <c r="P715">
        <v>0.99571739999999997</v>
      </c>
      <c r="Q715">
        <v>1.89285E-3</v>
      </c>
      <c r="R715">
        <v>9.2430319999999996E-2</v>
      </c>
      <c r="S715">
        <v>3.006561</v>
      </c>
      <c r="T715">
        <v>-0.2791477</v>
      </c>
      <c r="U715">
        <v>7.2540279999999999E-2</v>
      </c>
      <c r="V715">
        <v>-8.1960950000000005E-2</v>
      </c>
      <c r="W715">
        <v>7.6553719999999997E-3</v>
      </c>
      <c r="X715">
        <v>0.99660609999999905</v>
      </c>
      <c r="Y715">
        <v>-1.3586259999999999E-2</v>
      </c>
      <c r="Z715">
        <v>-3.454296E-4</v>
      </c>
      <c r="AA715">
        <v>0.99990769999999995</v>
      </c>
      <c r="AB715">
        <v>34</v>
      </c>
      <c r="AC715">
        <v>0.52269999999998595</v>
      </c>
      <c r="AD715">
        <v>-7.30490000000001E-2</v>
      </c>
      <c r="AE715">
        <v>1.53999999999996E-2</v>
      </c>
      <c r="AF715">
        <v>-9.7095104284228694E-3</v>
      </c>
      <c r="AG715">
        <v>-7.30490000000001E-2</v>
      </c>
      <c r="AH715">
        <v>0.51282581637148505</v>
      </c>
      <c r="AI715">
        <v>98.105474061818299</v>
      </c>
      <c r="AJ715">
        <v>91.084671424384496</v>
      </c>
      <c r="AK715">
        <v>0.51809337858231697</v>
      </c>
    </row>
    <row r="716" spans="1:37" x14ac:dyDescent="0.2">
      <c r="A716" t="str">
        <f>"20200111155807280"</f>
        <v>20200111155807280</v>
      </c>
      <c r="B716" t="str">
        <f>"1578729487272070"</f>
        <v>1578729487272070</v>
      </c>
      <c r="C716" t="s">
        <v>37</v>
      </c>
      <c r="D716">
        <v>6.2362440000000001</v>
      </c>
      <c r="E716">
        <v>0.52689600000000003</v>
      </c>
      <c r="F716" t="s">
        <v>38</v>
      </c>
      <c r="G716">
        <v>-352.7491</v>
      </c>
      <c r="H716">
        <v>1.027166</v>
      </c>
      <c r="I716">
        <v>368.07929999999999</v>
      </c>
      <c r="J716">
        <v>-353.23180000000002</v>
      </c>
      <c r="K716">
        <v>1.103934</v>
      </c>
      <c r="L716">
        <v>368.06299999999999</v>
      </c>
      <c r="M716">
        <v>0.99991859999999999</v>
      </c>
      <c r="N716">
        <v>0</v>
      </c>
      <c r="O716">
        <v>1.129104E-2</v>
      </c>
      <c r="P716">
        <v>0.99568789999999996</v>
      </c>
      <c r="Q716">
        <v>2.0953320000000001E-3</v>
      </c>
      <c r="R716">
        <v>9.2743400000000004E-2</v>
      </c>
      <c r="S716">
        <v>3.006348</v>
      </c>
      <c r="T716">
        <v>-0.27954200000000001</v>
      </c>
      <c r="U716">
        <v>7.5958250000000005E-2</v>
      </c>
      <c r="V716">
        <v>-8.150839E-2</v>
      </c>
      <c r="W716">
        <v>7.8899680000000007E-3</v>
      </c>
      <c r="X716">
        <v>0.99664140000000001</v>
      </c>
      <c r="Y716">
        <v>-1.395716E-2</v>
      </c>
      <c r="Z716">
        <v>-4.0002780000000001E-4</v>
      </c>
      <c r="AA716">
        <v>0.99990249999999903</v>
      </c>
      <c r="AB716">
        <v>34</v>
      </c>
      <c r="AC716">
        <v>0.482700000000022</v>
      </c>
      <c r="AD716">
        <v>-7.6767999999999906E-2</v>
      </c>
      <c r="AE716">
        <v>1.6299999999944199E-2</v>
      </c>
      <c r="AF716">
        <v>-1.05813471158812E-2</v>
      </c>
      <c r="AG716">
        <v>-7.6767999999999906E-2</v>
      </c>
      <c r="AH716">
        <v>0.47095483212369799</v>
      </c>
      <c r="AI716">
        <v>99.255779420737596</v>
      </c>
      <c r="AJ716">
        <v>91.287096989863201</v>
      </c>
      <c r="AK716">
        <v>0.47728790538986698</v>
      </c>
    </row>
    <row r="717" spans="1:37" x14ac:dyDescent="0.2">
      <c r="A717" t="str">
        <f>"20200111155807323"</f>
        <v>20200111155807323</v>
      </c>
      <c r="B717" t="str">
        <f>"1578729487311696"</f>
        <v>1578729487311696</v>
      </c>
      <c r="C717" t="s">
        <v>37</v>
      </c>
      <c r="D717">
        <v>6.2734800000000002</v>
      </c>
      <c r="E717">
        <v>0.52945209999999998</v>
      </c>
      <c r="F717" t="s">
        <v>38</v>
      </c>
      <c r="G717">
        <v>-352.44110000000001</v>
      </c>
      <c r="H717">
        <v>1.0305679999999999</v>
      </c>
      <c r="I717">
        <v>368.08319999999998</v>
      </c>
      <c r="J717">
        <v>-352.56229999999999</v>
      </c>
      <c r="K717">
        <v>1.103928</v>
      </c>
      <c r="L717">
        <v>368.07209999999998</v>
      </c>
      <c r="M717">
        <v>0.99990080000000003</v>
      </c>
      <c r="N717">
        <v>0</v>
      </c>
      <c r="O717">
        <v>1.274015E-2</v>
      </c>
      <c r="P717">
        <v>0.99564370000000002</v>
      </c>
      <c r="Q717">
        <v>3.3578649999999998E-3</v>
      </c>
      <c r="R717">
        <v>9.3179369999999997E-2</v>
      </c>
      <c r="S717">
        <v>3.006348</v>
      </c>
      <c r="T717">
        <v>-0.2790533</v>
      </c>
      <c r="U717">
        <v>7.7301030000000007E-2</v>
      </c>
      <c r="V717">
        <v>-8.0502290000000004E-2</v>
      </c>
      <c r="W717">
        <v>9.217434E-3</v>
      </c>
      <c r="X717">
        <v>0.99671180000000004</v>
      </c>
      <c r="Y717">
        <v>-1.296489E-2</v>
      </c>
      <c r="Z717">
        <v>-5.7945700000000002E-4</v>
      </c>
      <c r="AA717">
        <v>0.99991580000000002</v>
      </c>
      <c r="AB717">
        <v>34</v>
      </c>
      <c r="AC717">
        <v>0.121199999999987</v>
      </c>
      <c r="AD717">
        <v>-7.3359999999999995E-2</v>
      </c>
      <c r="AE717">
        <v>1.1099999999999E-2</v>
      </c>
      <c r="AF717">
        <v>-7.0086150923718499E-3</v>
      </c>
      <c r="AG717">
        <v>-7.3359999999999995E-2</v>
      </c>
      <c r="AH717">
        <v>8.8997327205212098E-2</v>
      </c>
      <c r="AI717">
        <v>129.41166351417701</v>
      </c>
      <c r="AJ717">
        <v>94.502798306276205</v>
      </c>
      <c r="AK717">
        <v>0.11554797503714399</v>
      </c>
    </row>
    <row r="718" spans="1:37" x14ac:dyDescent="0.2">
      <c r="A718" t="str">
        <f>"20200111155807337"</f>
        <v>20200111155807337</v>
      </c>
      <c r="B718" t="str">
        <f>"1578729487332191"</f>
        <v>1578729487332191</v>
      </c>
      <c r="C718" t="s">
        <v>37</v>
      </c>
      <c r="D718">
        <v>6.1037699999999999</v>
      </c>
      <c r="E718">
        <v>0.53159400000000001</v>
      </c>
      <c r="F718" t="s">
        <v>39</v>
      </c>
      <c r="G718">
        <v>-333.26350000000002</v>
      </c>
      <c r="H718" s="1">
        <v>-3.08504799999999E-6</v>
      </c>
      <c r="I718">
        <v>368.41680000000002</v>
      </c>
      <c r="J718">
        <v>-352.36419999999998</v>
      </c>
      <c r="K718">
        <v>1.1039219999999901</v>
      </c>
      <c r="L718">
        <v>368.07499999999999</v>
      </c>
      <c r="M718">
        <v>0.99989530000000004</v>
      </c>
      <c r="N718">
        <v>0</v>
      </c>
      <c r="O718">
        <v>1.314953E-2</v>
      </c>
      <c r="P718">
        <v>0.99566509999999997</v>
      </c>
      <c r="Q718">
        <v>3.6624040000000002E-3</v>
      </c>
      <c r="R718">
        <v>9.2939499999999994E-2</v>
      </c>
      <c r="S718">
        <v>3.008667</v>
      </c>
      <c r="T718">
        <v>-0.172101</v>
      </c>
      <c r="U718">
        <v>5.3741459999999998E-2</v>
      </c>
      <c r="V718">
        <v>-7.9854729999999999E-2</v>
      </c>
      <c r="W718">
        <v>9.5473899999999993E-3</v>
      </c>
      <c r="X718">
        <v>0.9967608</v>
      </c>
      <c r="Y718">
        <v>-4.7239170000000002E-3</v>
      </c>
      <c r="Z718">
        <v>-6.1649039999999995E-4</v>
      </c>
      <c r="AA718">
        <v>0.99998869999999895</v>
      </c>
      <c r="AB718">
        <v>34</v>
      </c>
      <c r="AC718">
        <v>19.1006999999999</v>
      </c>
      <c r="AD718">
        <v>-1.10392508504799</v>
      </c>
      <c r="AE718">
        <v>0.34180000000003402</v>
      </c>
      <c r="AF718">
        <v>-9.0299112178391899E-2</v>
      </c>
      <c r="AG718">
        <v>-1.10392508504799</v>
      </c>
      <c r="AH718">
        <v>19.039964979410801</v>
      </c>
      <c r="AI718">
        <v>93.318220798491097</v>
      </c>
      <c r="AJ718">
        <v>90.271729451064601</v>
      </c>
      <c r="AK718">
        <v>19.072154334008701</v>
      </c>
    </row>
    <row r="719" spans="1:37" x14ac:dyDescent="0.2">
      <c r="A719" t="str">
        <f>"20200111155807350"</f>
        <v>20200111155807350</v>
      </c>
      <c r="B719" t="str">
        <f>"1578729487341953"</f>
        <v>1578729487341953</v>
      </c>
      <c r="C719" t="s">
        <v>37</v>
      </c>
      <c r="D719">
        <v>6.1151939999999998</v>
      </c>
      <c r="E719">
        <v>0.53193100000000004</v>
      </c>
      <c r="F719" t="s">
        <v>39</v>
      </c>
      <c r="G719">
        <v>-333.05790000000002</v>
      </c>
      <c r="H719" s="1">
        <v>-3.1929349999999999E-6</v>
      </c>
      <c r="I719">
        <v>368.3057</v>
      </c>
      <c r="J719">
        <v>-352.15170000000001</v>
      </c>
      <c r="K719">
        <v>1.103915</v>
      </c>
      <c r="L719">
        <v>368.07819999999998</v>
      </c>
      <c r="M719">
        <v>0.99988960000000005</v>
      </c>
      <c r="N719">
        <v>0</v>
      </c>
      <c r="O719">
        <v>1.357993E-2</v>
      </c>
      <c r="P719">
        <v>0.99563060000000003</v>
      </c>
      <c r="Q719">
        <v>3.7661600000000002E-3</v>
      </c>
      <c r="R719">
        <v>9.3305360000000004E-2</v>
      </c>
      <c r="S719">
        <v>3.0103759999999999</v>
      </c>
      <c r="T719">
        <v>-0.17213149999999999</v>
      </c>
      <c r="U719">
        <v>3.598022E-2</v>
      </c>
      <c r="V719">
        <v>-7.9791399999999998E-2</v>
      </c>
      <c r="W719">
        <v>9.6794680000000001E-3</v>
      </c>
      <c r="X719">
        <v>0.9967646</v>
      </c>
      <c r="Y719">
        <v>1.6042960000000001E-3</v>
      </c>
      <c r="Z719">
        <v>-8.2163859999999996E-4</v>
      </c>
      <c r="AA719">
        <v>0.99999839999999995</v>
      </c>
      <c r="AB719">
        <v>34</v>
      </c>
      <c r="AC719">
        <v>19.093799999999899</v>
      </c>
      <c r="AD719">
        <v>-1.1039181929349999</v>
      </c>
      <c r="AE719">
        <v>0.22750000000001999</v>
      </c>
      <c r="AF719">
        <v>3.17121749046426E-2</v>
      </c>
      <c r="AG719">
        <v>-1.1039181929349999</v>
      </c>
      <c r="AH719">
        <v>19.031522342680098</v>
      </c>
      <c r="AI719">
        <v>93.319701486138101</v>
      </c>
      <c r="AJ719">
        <v>89.904528283819502</v>
      </c>
      <c r="AK719">
        <v>19.063538069273999</v>
      </c>
    </row>
    <row r="720" spans="1:37" x14ac:dyDescent="0.2">
      <c r="A720" t="str">
        <f>"20200111155807363"</f>
        <v>20200111155807363</v>
      </c>
      <c r="B720" t="str">
        <f>"1578729487351712"</f>
        <v>1578729487351712</v>
      </c>
      <c r="C720" t="s">
        <v>37</v>
      </c>
      <c r="D720">
        <v>6.2748790000000003</v>
      </c>
      <c r="E720">
        <v>0.5311555</v>
      </c>
      <c r="F720" t="s">
        <v>39</v>
      </c>
      <c r="G720">
        <v>-332.53210000000001</v>
      </c>
      <c r="H720" s="1">
        <v>-3.4195319999999899E-6</v>
      </c>
      <c r="I720">
        <v>368.30009999999999</v>
      </c>
      <c r="J720">
        <v>-351.9513</v>
      </c>
      <c r="K720">
        <v>1.1039019999999999</v>
      </c>
      <c r="L720">
        <v>368.0813</v>
      </c>
      <c r="M720">
        <v>0.99988390000000005</v>
      </c>
      <c r="N720">
        <v>0</v>
      </c>
      <c r="O720">
        <v>1.397527E-2</v>
      </c>
      <c r="P720">
        <v>0.99564109999999995</v>
      </c>
      <c r="Q720">
        <v>3.9812659999999998E-3</v>
      </c>
      <c r="R720">
        <v>9.3182070000000006E-2</v>
      </c>
      <c r="S720">
        <v>3.01065099999999</v>
      </c>
      <c r="T720">
        <v>-0.1693963</v>
      </c>
      <c r="U720">
        <v>3.4057619999999997E-2</v>
      </c>
      <c r="V720">
        <v>-7.9274079999999997E-2</v>
      </c>
      <c r="W720">
        <v>9.9255039999999999E-3</v>
      </c>
      <c r="X720">
        <v>0.99680349999999995</v>
      </c>
      <c r="Y720">
        <v>2.637815E-3</v>
      </c>
      <c r="Z720">
        <v>-8.598096E-4</v>
      </c>
      <c r="AA720">
        <v>0.99999609999999906</v>
      </c>
      <c r="AB720">
        <v>35</v>
      </c>
      <c r="AC720">
        <v>19.419199999999901</v>
      </c>
      <c r="AD720">
        <v>-1.1039054195319999</v>
      </c>
      <c r="AE720">
        <v>0.218799999999987</v>
      </c>
      <c r="AF720">
        <v>5.2445481197855401E-2</v>
      </c>
      <c r="AG720">
        <v>-1.1039054195319999</v>
      </c>
      <c r="AH720">
        <v>19.357814926305199</v>
      </c>
      <c r="AI720">
        <v>93.263821961541296</v>
      </c>
      <c r="AJ720">
        <v>89.844770838727598</v>
      </c>
      <c r="AK720">
        <v>19.389336152247601</v>
      </c>
    </row>
    <row r="721" spans="1:37" x14ac:dyDescent="0.2">
      <c r="A721" t="str">
        <f>"20200111155807380"</f>
        <v>20200111155807380</v>
      </c>
      <c r="B721" t="str">
        <f>"1578729487372207"</f>
        <v>1578729487372207</v>
      </c>
      <c r="C721" t="s">
        <v>37</v>
      </c>
      <c r="D721">
        <v>6.335928</v>
      </c>
      <c r="E721">
        <v>0.53106140000000002</v>
      </c>
      <c r="F721" t="s">
        <v>39</v>
      </c>
      <c r="G721">
        <v>-333.86399999999998</v>
      </c>
      <c r="H721" s="1">
        <v>-2.8434249999999998E-6</v>
      </c>
      <c r="I721">
        <v>368.32659999999998</v>
      </c>
      <c r="J721">
        <v>-351.68270000000001</v>
      </c>
      <c r="K721">
        <v>1.1038840000000001</v>
      </c>
      <c r="L721">
        <v>368.08539999999999</v>
      </c>
      <c r="M721">
        <v>0.99987630000000005</v>
      </c>
      <c r="N721">
        <v>0</v>
      </c>
      <c r="O721">
        <v>1.448206E-2</v>
      </c>
      <c r="P721">
        <v>0.99559959999999903</v>
      </c>
      <c r="Q721">
        <v>4.3896730000000002E-3</v>
      </c>
      <c r="R721">
        <v>9.3606259999999997E-2</v>
      </c>
      <c r="S721">
        <v>3.01004</v>
      </c>
      <c r="T721">
        <v>-0.1837085</v>
      </c>
      <c r="U721">
        <v>4.0832519999999997E-2</v>
      </c>
      <c r="V721">
        <v>-7.9193399999999997E-2</v>
      </c>
      <c r="W721">
        <v>1.037657E-2</v>
      </c>
      <c r="X721">
        <v>0.99680530000000001</v>
      </c>
      <c r="Y721">
        <v>8.8963789999999996E-4</v>
      </c>
      <c r="Z721">
        <v>-9.100992E-4</v>
      </c>
      <c r="AA721">
        <v>0.99999919999999998</v>
      </c>
      <c r="AB721">
        <v>35</v>
      </c>
      <c r="AC721">
        <v>17.8186999999999</v>
      </c>
      <c r="AD721">
        <v>-1.103886843425</v>
      </c>
      <c r="AE721">
        <v>0.241199999999992</v>
      </c>
      <c r="AF721">
        <v>1.6817105745554301E-2</v>
      </c>
      <c r="AG721">
        <v>-1.103886843425</v>
      </c>
      <c r="AH721">
        <v>17.752205167440099</v>
      </c>
      <c r="AI721">
        <v>93.558245060712494</v>
      </c>
      <c r="AJ721">
        <v>89.945722298411894</v>
      </c>
      <c r="AK721">
        <v>17.786501547100801</v>
      </c>
    </row>
    <row r="722" spans="1:37" x14ac:dyDescent="0.2">
      <c r="A722" t="str">
        <f>"20200111155807401"</f>
        <v>20200111155807401</v>
      </c>
      <c r="B722" t="str">
        <f>"1578729487391727"</f>
        <v>1578729487391727</v>
      </c>
      <c r="C722" t="s">
        <v>37</v>
      </c>
      <c r="D722">
        <v>6.2586519999999997</v>
      </c>
      <c r="E722">
        <v>0.53010999999999997</v>
      </c>
      <c r="F722" t="s">
        <v>39</v>
      </c>
      <c r="G722">
        <v>-335.37299999999999</v>
      </c>
      <c r="H722" s="1">
        <v>-2.196659E-6</v>
      </c>
      <c r="I722">
        <v>368.32330000000002</v>
      </c>
      <c r="J722">
        <v>-351.35640000000001</v>
      </c>
      <c r="K722">
        <v>1.1038619999999999</v>
      </c>
      <c r="L722">
        <v>368.09070000000003</v>
      </c>
      <c r="M722">
        <v>0.99986749999999902</v>
      </c>
      <c r="N722">
        <v>0</v>
      </c>
      <c r="O722">
        <v>1.506411E-2</v>
      </c>
      <c r="P722">
        <v>0.99558289999999905</v>
      </c>
      <c r="Q722">
        <v>4.0490930000000001E-3</v>
      </c>
      <c r="R722">
        <v>9.3799660000000007E-2</v>
      </c>
      <c r="S722">
        <v>3.0100099999999999</v>
      </c>
      <c r="T722">
        <v>-0.20372499999999999</v>
      </c>
      <c r="U722">
        <v>4.3914790000000002E-2</v>
      </c>
      <c r="V722">
        <v>-7.880624E-2</v>
      </c>
      <c r="W722">
        <v>1.0093339999999999E-2</v>
      </c>
      <c r="X722">
        <v>0.99683889999999997</v>
      </c>
      <c r="Y722">
        <v>4.4095609999999998E-4</v>
      </c>
      <c r="Z722">
        <v>-1.033225E-3</v>
      </c>
      <c r="AA722">
        <v>0.99999930000000004</v>
      </c>
      <c r="AB722">
        <v>35</v>
      </c>
      <c r="AC722">
        <v>15.9833999999999</v>
      </c>
      <c r="AD722">
        <v>-1.1038641966589999</v>
      </c>
      <c r="AE722">
        <v>0.23259999999999001</v>
      </c>
      <c r="AF722">
        <v>8.1677219235397006E-3</v>
      </c>
      <c r="AG722">
        <v>-1.1038641966589999</v>
      </c>
      <c r="AH722">
        <v>15.909223782154999</v>
      </c>
      <c r="AI722">
        <v>93.969115529436195</v>
      </c>
      <c r="AJ722">
        <v>89.970584614325105</v>
      </c>
      <c r="AK722">
        <v>15.9474757948408</v>
      </c>
    </row>
    <row r="723" spans="1:37" x14ac:dyDescent="0.2">
      <c r="A723" t="str">
        <f>"20200111155807413"</f>
        <v>20200111155807413</v>
      </c>
      <c r="B723" t="str">
        <f>"1578729487411833"</f>
        <v>1578729487411833</v>
      </c>
      <c r="C723" t="s">
        <v>37</v>
      </c>
      <c r="D723">
        <v>6.2957199999999904</v>
      </c>
      <c r="E723">
        <v>0.52931569999999994</v>
      </c>
      <c r="F723" t="s">
        <v>39</v>
      </c>
      <c r="G723">
        <v>-336.20209999999997</v>
      </c>
      <c r="H723" s="1">
        <v>-1.8348169999999901E-6</v>
      </c>
      <c r="I723">
        <v>368.35789999999997</v>
      </c>
      <c r="J723">
        <v>-351.161</v>
      </c>
      <c r="K723">
        <v>1.1038410000000001</v>
      </c>
      <c r="L723">
        <v>368.09399999999999</v>
      </c>
      <c r="M723">
        <v>0.99986229999999998</v>
      </c>
      <c r="N723">
        <v>0</v>
      </c>
      <c r="O723">
        <v>1.5389949999999999E-2</v>
      </c>
      <c r="P723">
        <v>0.99556919999999904</v>
      </c>
      <c r="Q723">
        <v>4.2025409999999997E-3</v>
      </c>
      <c r="R723">
        <v>9.3938969999999997E-2</v>
      </c>
      <c r="S723">
        <v>3.0092469999999998</v>
      </c>
      <c r="T723">
        <v>-0.21919729999999901</v>
      </c>
      <c r="U723">
        <v>5.3070069999999997E-2</v>
      </c>
      <c r="V723">
        <v>-7.8620229999999999E-2</v>
      </c>
      <c r="W723">
        <v>1.0284069999999999E-2</v>
      </c>
      <c r="X723">
        <v>0.99685159999999995</v>
      </c>
      <c r="Y723">
        <v>-2.277701E-3</v>
      </c>
      <c r="Z723">
        <v>-1.0365649999999999E-3</v>
      </c>
      <c r="AA723">
        <v>0.99999680000000002</v>
      </c>
      <c r="AB723">
        <v>35</v>
      </c>
      <c r="AC723">
        <v>14.9589</v>
      </c>
      <c r="AD723">
        <v>-1.103842834817</v>
      </c>
      <c r="AE723">
        <v>0.26389999999997799</v>
      </c>
      <c r="AF723">
        <v>-3.3465416402089103E-2</v>
      </c>
      <c r="AG723">
        <v>-1.103842834817</v>
      </c>
      <c r="AH723">
        <v>14.880189156132699</v>
      </c>
      <c r="AI723">
        <v>94.242536477156193</v>
      </c>
      <c r="AJ723">
        <v>90.128857494123196</v>
      </c>
      <c r="AK723">
        <v>14.921113170952101</v>
      </c>
    </row>
    <row r="724" spans="1:37" x14ac:dyDescent="0.2">
      <c r="A724" t="str">
        <f>"20200111155807426"</f>
        <v>20200111155807426</v>
      </c>
      <c r="B724" t="str">
        <f>"1578729487421594"</f>
        <v>1578729487421594</v>
      </c>
      <c r="C724" t="s">
        <v>37</v>
      </c>
      <c r="D724">
        <v>6.0294189999999999</v>
      </c>
      <c r="E724">
        <v>0.53061099999999894</v>
      </c>
      <c r="F724" t="s">
        <v>38</v>
      </c>
      <c r="G724">
        <v>-350.26929999999999</v>
      </c>
      <c r="H724">
        <v>1.0360750000000001</v>
      </c>
      <c r="I724">
        <v>368.1114</v>
      </c>
      <c r="J724">
        <v>-350.9683</v>
      </c>
      <c r="K724">
        <v>1.103831</v>
      </c>
      <c r="L724">
        <v>368.09719999999999</v>
      </c>
      <c r="M724">
        <v>0.9998572</v>
      </c>
      <c r="N724">
        <v>0</v>
      </c>
      <c r="O724">
        <v>1.570125E-2</v>
      </c>
      <c r="P724">
        <v>0.99555959999999999</v>
      </c>
      <c r="Q724">
        <v>4.0316559999999998E-3</v>
      </c>
      <c r="R724">
        <v>9.4047069999999997E-2</v>
      </c>
      <c r="S724">
        <v>3.0086360000000001</v>
      </c>
      <c r="T724">
        <v>-0.229007499999999</v>
      </c>
      <c r="U724">
        <v>6.0089110000000001E-2</v>
      </c>
      <c r="V724">
        <v>-7.8417360000000005E-2</v>
      </c>
      <c r="W724">
        <v>1.0151510000000001E-2</v>
      </c>
      <c r="X724">
        <v>0.99686889999999995</v>
      </c>
      <c r="Y724">
        <v>-4.3003049999999999E-3</v>
      </c>
      <c r="Z724">
        <v>-1.029812E-3</v>
      </c>
      <c r="AA724">
        <v>0.99999020000000005</v>
      </c>
      <c r="AB724">
        <v>35</v>
      </c>
      <c r="AC724">
        <v>0.69900000000001195</v>
      </c>
      <c r="AD724">
        <v>-6.77559999999999E-2</v>
      </c>
      <c r="AE724">
        <v>1.42000000000166E-2</v>
      </c>
      <c r="AF724">
        <v>-3.1928736792440899E-3</v>
      </c>
      <c r="AG724">
        <v>-6.77559999999999E-2</v>
      </c>
      <c r="AH724">
        <v>0.69263153775438602</v>
      </c>
      <c r="AI724">
        <v>95.587067557348902</v>
      </c>
      <c r="AJ724">
        <v>90.2641186266749</v>
      </c>
      <c r="AK724">
        <v>0.69594505319769095</v>
      </c>
    </row>
    <row r="725" spans="1:37" x14ac:dyDescent="0.2">
      <c r="A725" t="str">
        <f>"20200111155807451"</f>
        <v>20200111155807451</v>
      </c>
      <c r="B725" t="str">
        <f>"1578729487442090"</f>
        <v>1578729487442090</v>
      </c>
      <c r="C725" t="s">
        <v>37</v>
      </c>
      <c r="D725">
        <v>5.9838500000000003</v>
      </c>
      <c r="E725">
        <v>0.53159080000000003</v>
      </c>
      <c r="F725" t="s">
        <v>38</v>
      </c>
      <c r="G725">
        <v>-349.96109999999999</v>
      </c>
      <c r="H725">
        <v>1.027037</v>
      </c>
      <c r="I725">
        <v>368.11369999999999</v>
      </c>
      <c r="J725">
        <v>-350.5763</v>
      </c>
      <c r="K725">
        <v>1.103796</v>
      </c>
      <c r="L725">
        <v>368.10390000000001</v>
      </c>
      <c r="M725">
        <v>0.99984769999999901</v>
      </c>
      <c r="N725">
        <v>0</v>
      </c>
      <c r="O725">
        <v>1.6273880000000001E-2</v>
      </c>
      <c r="P725">
        <v>0.99557289999999998</v>
      </c>
      <c r="Q725">
        <v>3.9486290000000004E-3</v>
      </c>
      <c r="R725">
        <v>9.391099E-2</v>
      </c>
      <c r="S725">
        <v>3.0095830000000001</v>
      </c>
      <c r="T725">
        <v>-0.22964879999999999</v>
      </c>
      <c r="U725">
        <v>5.0140379999999998E-2</v>
      </c>
      <c r="V725">
        <v>-7.770908E-2</v>
      </c>
      <c r="W725">
        <v>1.015485E-2</v>
      </c>
      <c r="X725">
        <v>0.99692429999999999</v>
      </c>
      <c r="Y725">
        <v>-4.2982300000000002E-4</v>
      </c>
      <c r="Z725">
        <v>-1.223472E-3</v>
      </c>
      <c r="AA725">
        <v>0.99999919999999998</v>
      </c>
      <c r="AB725">
        <v>35</v>
      </c>
      <c r="AC725">
        <v>0.61520000000001496</v>
      </c>
      <c r="AD725">
        <v>-7.6758999999999994E-2</v>
      </c>
      <c r="AE725">
        <v>9.7999999999842605E-3</v>
      </c>
      <c r="AF725">
        <v>2.0992058880976499E-4</v>
      </c>
      <c r="AG725">
        <v>-7.6758999999999994E-2</v>
      </c>
      <c r="AH725">
        <v>0.60584870316679096</v>
      </c>
      <c r="AI725">
        <v>97.220711078134499</v>
      </c>
      <c r="AJ725">
        <v>89.980147579375</v>
      </c>
      <c r="AK725">
        <v>0.61069193483829098</v>
      </c>
    </row>
    <row r="726" spans="1:37" x14ac:dyDescent="0.2">
      <c r="A726" t="str">
        <f>"20200111155807463"</f>
        <v>20200111155807463</v>
      </c>
      <c r="B726" t="str">
        <f>"1578729487451849"</f>
        <v>1578729487451849</v>
      </c>
      <c r="C726" t="s">
        <v>37</v>
      </c>
      <c r="D726">
        <v>5.9244279999999998</v>
      </c>
      <c r="E726">
        <v>0.53252140000000003</v>
      </c>
      <c r="F726" t="s">
        <v>38</v>
      </c>
      <c r="G726">
        <v>-349.64449999999999</v>
      </c>
      <c r="H726">
        <v>1.032564</v>
      </c>
      <c r="I726">
        <v>368.11660000000001</v>
      </c>
      <c r="J726">
        <v>-350.37799999999999</v>
      </c>
      <c r="K726">
        <v>1.1037809999999999</v>
      </c>
      <c r="L726">
        <v>368.10730000000001</v>
      </c>
      <c r="M726">
        <v>0.99984300000000004</v>
      </c>
      <c r="N726">
        <v>0</v>
      </c>
      <c r="O726">
        <v>1.6544650000000001E-2</v>
      </c>
      <c r="P726">
        <v>0.99555990000000005</v>
      </c>
      <c r="Q726">
        <v>3.9752570000000003E-3</v>
      </c>
      <c r="R726">
        <v>9.4047439999999996E-2</v>
      </c>
      <c r="S726">
        <v>3.010284</v>
      </c>
      <c r="T726">
        <v>-0.23031799999999999</v>
      </c>
      <c r="U726">
        <v>4.2022709999999998E-2</v>
      </c>
      <c r="V726">
        <v>-7.7575450000000004E-2</v>
      </c>
      <c r="W726">
        <v>1.022781E-2</v>
      </c>
      <c r="X726">
        <v>0.99693399999999999</v>
      </c>
      <c r="Y726">
        <v>2.5311959999999999E-3</v>
      </c>
      <c r="Z726">
        <v>-1.36056E-3</v>
      </c>
      <c r="AA726">
        <v>0.99999590000000005</v>
      </c>
      <c r="AB726">
        <v>35</v>
      </c>
      <c r="AC726">
        <v>0.733500000000049</v>
      </c>
      <c r="AD726">
        <v>-7.1216999999999794E-2</v>
      </c>
      <c r="AE726">
        <v>9.2999999999960892E-3</v>
      </c>
      <c r="AF726">
        <v>2.8105277735751399E-3</v>
      </c>
      <c r="AG726">
        <v>-7.1216999999999794E-2</v>
      </c>
      <c r="AH726">
        <v>0.72670403164632802</v>
      </c>
      <c r="AI726">
        <v>95.597072614812305</v>
      </c>
      <c r="AJ726">
        <v>89.778409682971002</v>
      </c>
      <c r="AK726">
        <v>0.73019073519621802</v>
      </c>
    </row>
    <row r="727" spans="1:37" x14ac:dyDescent="0.2">
      <c r="A727" t="str">
        <f>"20200111155807480"</f>
        <v>20200111155807480</v>
      </c>
      <c r="B727" t="str">
        <f>"1578729487471368"</f>
        <v>1578729487471368</v>
      </c>
      <c r="C727" t="s">
        <v>37</v>
      </c>
      <c r="D727">
        <v>5.9971870000000003</v>
      </c>
      <c r="E727">
        <v>0.53331700000000004</v>
      </c>
      <c r="F727" t="s">
        <v>38</v>
      </c>
      <c r="G727">
        <v>-349.63189999999997</v>
      </c>
      <c r="H727">
        <v>1.0468409999999999</v>
      </c>
      <c r="I727">
        <v>368.11579999999998</v>
      </c>
      <c r="J727">
        <v>-350.1223</v>
      </c>
      <c r="K727">
        <v>1.1037600000000001</v>
      </c>
      <c r="L727">
        <v>368.11180000000002</v>
      </c>
      <c r="M727">
        <v>0.99983729999999904</v>
      </c>
      <c r="N727">
        <v>0</v>
      </c>
      <c r="O727">
        <v>1.6861950000000001E-2</v>
      </c>
      <c r="P727">
        <v>0.9956142</v>
      </c>
      <c r="Q727">
        <v>3.7160609999999901E-3</v>
      </c>
      <c r="R727">
        <v>9.3480670000000002E-2</v>
      </c>
      <c r="S727">
        <v>3.0109560000000002</v>
      </c>
      <c r="T727">
        <v>-0.230062399999999</v>
      </c>
      <c r="U727">
        <v>3.5278320000000002E-2</v>
      </c>
      <c r="V727">
        <v>-7.6689939999999998E-2</v>
      </c>
      <c r="W727">
        <v>1.0030880000000001E-2</v>
      </c>
      <c r="X727">
        <v>0.99700449999999996</v>
      </c>
      <c r="Y727">
        <v>5.0830040000000003E-3</v>
      </c>
      <c r="Z727">
        <v>-1.4803279999999999E-3</v>
      </c>
      <c r="AA727">
        <v>0.99998600000000004</v>
      </c>
      <c r="AB727">
        <v>35</v>
      </c>
      <c r="AC727">
        <v>0.49040000000002198</v>
      </c>
      <c r="AD727">
        <v>-5.6919000000000101E-2</v>
      </c>
      <c r="AE727">
        <v>3.9999999999622499E-3</v>
      </c>
      <c r="AF727">
        <v>4.2130862082202999E-3</v>
      </c>
      <c r="AG727">
        <v>-5.6919000000000101E-2</v>
      </c>
      <c r="AH727">
        <v>0.48387960963509202</v>
      </c>
      <c r="AI727">
        <v>96.708648989910998</v>
      </c>
      <c r="AJ727">
        <v>89.501144594738605</v>
      </c>
      <c r="AK727">
        <v>0.48723402926828402</v>
      </c>
    </row>
    <row r="728" spans="1:37" x14ac:dyDescent="0.2">
      <c r="A728" t="str">
        <f>"20200111155807493"</f>
        <v>20200111155807493</v>
      </c>
      <c r="B728" t="str">
        <f>"1578729487482104"</f>
        <v>1578729487482104</v>
      </c>
      <c r="C728" t="s">
        <v>37</v>
      </c>
      <c r="D728">
        <v>5.997179</v>
      </c>
      <c r="E728">
        <v>0.533995</v>
      </c>
      <c r="F728" t="s">
        <v>38</v>
      </c>
      <c r="G728">
        <v>-349.32319999999999</v>
      </c>
      <c r="H728">
        <v>1.042511</v>
      </c>
      <c r="I728">
        <v>368.11900000000003</v>
      </c>
      <c r="J728">
        <v>-349.91340000000002</v>
      </c>
      <c r="K728">
        <v>1.103745</v>
      </c>
      <c r="L728">
        <v>368.11559999999997</v>
      </c>
      <c r="M728">
        <v>0.99983290000000002</v>
      </c>
      <c r="N728">
        <v>0</v>
      </c>
      <c r="O728">
        <v>1.7100500000000001E-2</v>
      </c>
      <c r="P728">
        <v>0.99563709999999905</v>
      </c>
      <c r="Q728">
        <v>3.5567900000000002E-3</v>
      </c>
      <c r="R728">
        <v>9.3245330000000001E-2</v>
      </c>
      <c r="S728">
        <v>3.0115050000000001</v>
      </c>
      <c r="T728">
        <v>-0.23081559999999901</v>
      </c>
      <c r="U728">
        <v>2.7038570000000001E-2</v>
      </c>
      <c r="V728">
        <v>-7.6216030000000004E-2</v>
      </c>
      <c r="W728">
        <v>9.9226439999999996E-3</v>
      </c>
      <c r="X728">
        <v>0.99704190000000004</v>
      </c>
      <c r="Y728">
        <v>8.0496660000000005E-3</v>
      </c>
      <c r="Z728">
        <v>-1.6166939999999999E-3</v>
      </c>
      <c r="AA728">
        <v>0.99996629999999997</v>
      </c>
      <c r="AB728">
        <v>35</v>
      </c>
      <c r="AC728">
        <v>0.59020000000003803</v>
      </c>
      <c r="AD728">
        <v>-6.1233999999999997E-2</v>
      </c>
      <c r="AE728">
        <v>3.4000000000560201E-3</v>
      </c>
      <c r="AF728">
        <v>6.6221424143566498E-3</v>
      </c>
      <c r="AG728">
        <v>-6.1233999999999997E-2</v>
      </c>
      <c r="AH728">
        <v>0.583886897320814</v>
      </c>
      <c r="AI728">
        <v>95.986516282990607</v>
      </c>
      <c r="AJ728">
        <v>89.350208839289095</v>
      </c>
      <c r="AK728">
        <v>0.58712636151775899</v>
      </c>
    </row>
    <row r="729" spans="1:37" x14ac:dyDescent="0.2">
      <c r="A729" t="str">
        <f>"20200111155807506"</f>
        <v>20200111155807506</v>
      </c>
      <c r="B729" t="str">
        <f>"1578729487501626"</f>
        <v>1578729487501626</v>
      </c>
      <c r="C729" t="s">
        <v>37</v>
      </c>
      <c r="D729">
        <v>5.9564329999999996</v>
      </c>
      <c r="E729">
        <v>0.53541059999999996</v>
      </c>
      <c r="F729" t="s">
        <v>38</v>
      </c>
      <c r="G729">
        <v>-349.01339999999999</v>
      </c>
      <c r="H729">
        <v>1.034643</v>
      </c>
      <c r="I729">
        <v>368.1216</v>
      </c>
      <c r="J729">
        <v>-349.70830000000001</v>
      </c>
      <c r="K729">
        <v>1.103726</v>
      </c>
      <c r="L729">
        <v>368.11919999999998</v>
      </c>
      <c r="M729">
        <v>0.99982879999999996</v>
      </c>
      <c r="N729">
        <v>0</v>
      </c>
      <c r="O729">
        <v>1.732152E-2</v>
      </c>
      <c r="P729">
        <v>0.99565870000000001</v>
      </c>
      <c r="Q729">
        <v>3.614679E-3</v>
      </c>
      <c r="R729">
        <v>9.3009869999999994E-2</v>
      </c>
      <c r="S729">
        <v>3.0120239999999998</v>
      </c>
      <c r="T729">
        <v>-0.2313598</v>
      </c>
      <c r="U729">
        <v>2.0904539999999999E-2</v>
      </c>
      <c r="V729">
        <v>-7.5759049999999994E-2</v>
      </c>
      <c r="W729">
        <v>1.003136E-2</v>
      </c>
      <c r="X729">
        <v>0.99707570000000001</v>
      </c>
      <c r="Y729">
        <v>1.030096E-2</v>
      </c>
      <c r="Z729">
        <v>-1.7235200000000001E-3</v>
      </c>
      <c r="AA729">
        <v>0.99994550000000004</v>
      </c>
      <c r="AB729">
        <v>35</v>
      </c>
      <c r="AC729">
        <v>0.69490000000001795</v>
      </c>
      <c r="AD729">
        <v>-6.9083000000000006E-2</v>
      </c>
      <c r="AE729">
        <v>2.4000000000228201E-3</v>
      </c>
      <c r="AF729">
        <v>9.5430245988159801E-3</v>
      </c>
      <c r="AG729">
        <v>-6.9083000000000006E-2</v>
      </c>
      <c r="AH729">
        <v>0.68803738051415597</v>
      </c>
      <c r="AI729">
        <v>95.733069534045399</v>
      </c>
      <c r="AJ729">
        <v>89.205362977459004</v>
      </c>
      <c r="AK729">
        <v>0.69156269939339199</v>
      </c>
    </row>
    <row r="730" spans="1:37" x14ac:dyDescent="0.2">
      <c r="A730" t="str">
        <f>"20200111155807519"</f>
        <v>20200111155807519</v>
      </c>
      <c r="B730" t="str">
        <f>"1578729487511948"</f>
        <v>1578729487511948</v>
      </c>
      <c r="C730" t="s">
        <v>37</v>
      </c>
      <c r="D730">
        <v>6.0510330000000003</v>
      </c>
      <c r="E730">
        <v>0.53610769999999996</v>
      </c>
      <c r="F730" t="s">
        <v>38</v>
      </c>
      <c r="G730">
        <v>-348.7011</v>
      </c>
      <c r="H730">
        <v>1.0264629999999999</v>
      </c>
      <c r="I730">
        <v>368.12220000000002</v>
      </c>
      <c r="J730">
        <v>-349.48509999999999</v>
      </c>
      <c r="K730">
        <v>1.1037079999999999</v>
      </c>
      <c r="L730">
        <v>368.12329999999997</v>
      </c>
      <c r="M730">
        <v>0.99982479999999996</v>
      </c>
      <c r="N730">
        <v>0</v>
      </c>
      <c r="O730">
        <v>1.753679E-2</v>
      </c>
      <c r="P730">
        <v>0.99568619999999997</v>
      </c>
      <c r="Q730">
        <v>3.6245040000000002E-3</v>
      </c>
      <c r="R730">
        <v>9.2714660000000004E-2</v>
      </c>
      <c r="S730">
        <v>3.0130619999999899</v>
      </c>
      <c r="T730">
        <v>-0.23117370000000001</v>
      </c>
      <c r="U730">
        <v>8.8195800000000005E-3</v>
      </c>
      <c r="V730">
        <v>-7.5248380000000004E-2</v>
      </c>
      <c r="W730">
        <v>1.009668E-2</v>
      </c>
      <c r="X730">
        <v>0.99711369999999899</v>
      </c>
      <c r="Y730">
        <v>1.451623E-2</v>
      </c>
      <c r="Z730">
        <v>-1.8995329999999999E-3</v>
      </c>
      <c r="AA730">
        <v>0.99989280000000003</v>
      </c>
      <c r="AB730">
        <v>35</v>
      </c>
      <c r="AC730">
        <v>0.78399999999999104</v>
      </c>
      <c r="AD730">
        <v>-7.7244999999999994E-2</v>
      </c>
      <c r="AE730">
        <v>-1.09999999995125E-3</v>
      </c>
      <c r="AF730">
        <v>1.4706207998678601E-2</v>
      </c>
      <c r="AG730">
        <v>-7.7244999999999994E-2</v>
      </c>
      <c r="AH730">
        <v>0.77632396795898895</v>
      </c>
      <c r="AI730">
        <v>95.681270801927496</v>
      </c>
      <c r="AJ730">
        <v>88.914753482539496</v>
      </c>
      <c r="AK730">
        <v>0.78029607573426196</v>
      </c>
    </row>
    <row r="731" spans="1:37" x14ac:dyDescent="0.2">
      <c r="A731" t="str">
        <f>"20200111155807537"</f>
        <v>20200111155807537</v>
      </c>
      <c r="B731" t="str">
        <f>"1578729487531467"</f>
        <v>1578729487531467</v>
      </c>
      <c r="C731" t="s">
        <v>37</v>
      </c>
      <c r="D731">
        <v>5.9941740000000001</v>
      </c>
      <c r="E731">
        <v>0.537217099999999</v>
      </c>
      <c r="F731" t="s">
        <v>38</v>
      </c>
      <c r="G731">
        <v>-348.69170000000003</v>
      </c>
      <c r="H731">
        <v>1.0432440000000001</v>
      </c>
      <c r="I731">
        <v>368.12400000000002</v>
      </c>
      <c r="J731">
        <v>-349.2251</v>
      </c>
      <c r="K731">
        <v>1.1036870000000001</v>
      </c>
      <c r="L731">
        <v>368.12810000000002</v>
      </c>
      <c r="M731">
        <v>0.99982039999999905</v>
      </c>
      <c r="N731">
        <v>0</v>
      </c>
      <c r="O731">
        <v>1.7766669999999998E-2</v>
      </c>
      <c r="P731">
        <v>0.99568579999999995</v>
      </c>
      <c r="Q731">
        <v>3.9058829999999902E-3</v>
      </c>
      <c r="R731">
        <v>9.2708589999999994E-2</v>
      </c>
      <c r="S731">
        <v>3.0135800000000001</v>
      </c>
      <c r="T731">
        <v>-0.22971220000000001</v>
      </c>
      <c r="U731">
        <v>2.6550290000000002E-3</v>
      </c>
      <c r="V731">
        <v>-7.5012750000000003E-2</v>
      </c>
      <c r="W731">
        <v>1.0439510000000001E-2</v>
      </c>
      <c r="X731">
        <v>0.99712800000000001</v>
      </c>
      <c r="Y731">
        <v>1.6785930000000001E-2</v>
      </c>
      <c r="Z731">
        <v>-1.9911210000000002E-3</v>
      </c>
      <c r="AA731">
        <v>0.99985709999999905</v>
      </c>
      <c r="AB731">
        <v>35</v>
      </c>
      <c r="AC731">
        <v>0.53339999999997101</v>
      </c>
      <c r="AD731">
        <v>-6.0442999999999997E-2</v>
      </c>
      <c r="AE731">
        <v>-4.0999999999939904E-3</v>
      </c>
      <c r="AF731">
        <v>1.3404192814740999E-2</v>
      </c>
      <c r="AG731">
        <v>-6.0442999999999997E-2</v>
      </c>
      <c r="AH731">
        <v>0.52648299095393702</v>
      </c>
      <c r="AI731">
        <v>96.547079069503994</v>
      </c>
      <c r="AJ731">
        <v>88.541571499193793</v>
      </c>
      <c r="AK731">
        <v>0.53011071333997595</v>
      </c>
    </row>
    <row r="732" spans="1:37" x14ac:dyDescent="0.2">
      <c r="A732" t="str">
        <f>"20200111155807550"</f>
        <v>20200111155807550</v>
      </c>
      <c r="B732" t="str">
        <f>"1578729487542205"</f>
        <v>1578729487542205</v>
      </c>
      <c r="C732" t="s">
        <v>37</v>
      </c>
      <c r="D732">
        <v>5.9967169999999896</v>
      </c>
      <c r="E732">
        <v>0.53767469999999995</v>
      </c>
      <c r="F732" t="s">
        <v>38</v>
      </c>
      <c r="G732">
        <v>-348.37790000000001</v>
      </c>
      <c r="H732">
        <v>1.0393110000000001</v>
      </c>
      <c r="I732">
        <v>368.12599999999998</v>
      </c>
      <c r="J732">
        <v>-349.01280000000003</v>
      </c>
      <c r="K732">
        <v>1.1036699999999999</v>
      </c>
      <c r="L732">
        <v>368.13199999999898</v>
      </c>
      <c r="M732">
        <v>0.99981699999999996</v>
      </c>
      <c r="N732">
        <v>0</v>
      </c>
      <c r="O732">
        <v>1.7939400000000001E-2</v>
      </c>
      <c r="P732">
        <v>0.99566619999999995</v>
      </c>
      <c r="Q732">
        <v>4.3616389999999996E-3</v>
      </c>
      <c r="R732">
        <v>9.2897099999999996E-2</v>
      </c>
      <c r="S732">
        <v>3.014526</v>
      </c>
      <c r="T732">
        <v>-0.2293</v>
      </c>
      <c r="U732">
        <v>-6.3781740000000003E-3</v>
      </c>
      <c r="V732">
        <v>-7.5029460000000006E-2</v>
      </c>
      <c r="W732">
        <v>1.094445E-2</v>
      </c>
      <c r="X732">
        <v>0.99712129999999999</v>
      </c>
      <c r="Y732">
        <v>1.9945790000000001E-2</v>
      </c>
      <c r="Z732">
        <v>-2.1200659999999999E-3</v>
      </c>
      <c r="AA732">
        <v>0.99979879999999999</v>
      </c>
      <c r="AB732">
        <v>35</v>
      </c>
      <c r="AC732">
        <v>0.63490000000001601</v>
      </c>
      <c r="AD732">
        <v>-6.4359E-2</v>
      </c>
      <c r="AE732">
        <v>-5.9999999999717996E-3</v>
      </c>
      <c r="AF732">
        <v>1.72121610923112E-2</v>
      </c>
      <c r="AG732">
        <v>-6.4359E-2</v>
      </c>
      <c r="AH732">
        <v>0.62823525748057696</v>
      </c>
      <c r="AI732">
        <v>95.847030980833907</v>
      </c>
      <c r="AJ732">
        <v>88.430623666977795</v>
      </c>
      <c r="AK732">
        <v>0.63175776854119803</v>
      </c>
    </row>
    <row r="733" spans="1:37" x14ac:dyDescent="0.2">
      <c r="A733" t="str">
        <f>"20200111155807563"</f>
        <v>20200111155807563</v>
      </c>
      <c r="B733" t="str">
        <f>"1578729487551964"</f>
        <v>1578729487551964</v>
      </c>
      <c r="C733" t="s">
        <v>37</v>
      </c>
      <c r="D733">
        <v>6.0374499999999998</v>
      </c>
      <c r="E733">
        <v>0.53816370000000002</v>
      </c>
      <c r="F733" t="s">
        <v>38</v>
      </c>
      <c r="G733">
        <v>-348.06389999999999</v>
      </c>
      <c r="H733">
        <v>1.0319129999999901</v>
      </c>
      <c r="I733">
        <v>368.12869999999998</v>
      </c>
      <c r="J733">
        <v>-348.79750000000001</v>
      </c>
      <c r="K733">
        <v>1.1036489999999901</v>
      </c>
      <c r="L733">
        <v>368.135999999999</v>
      </c>
      <c r="M733">
        <v>0.99981369999999903</v>
      </c>
      <c r="N733">
        <v>0</v>
      </c>
      <c r="O733">
        <v>1.810171E-2</v>
      </c>
      <c r="P733">
        <v>0.99564279999999905</v>
      </c>
      <c r="Q733">
        <v>4.5548979999999999E-3</v>
      </c>
      <c r="R733">
        <v>9.3139459999999993E-2</v>
      </c>
      <c r="S733">
        <v>3.014923</v>
      </c>
      <c r="T733">
        <v>-0.22815869999999999</v>
      </c>
      <c r="U733">
        <v>-9.5825200000000006E-3</v>
      </c>
      <c r="V733">
        <v>-7.5109620000000002E-2</v>
      </c>
      <c r="W733">
        <v>1.1186669999999999E-2</v>
      </c>
      <c r="X733">
        <v>0.99711249999999996</v>
      </c>
      <c r="Y733">
        <v>2.116757E-2</v>
      </c>
      <c r="Z733">
        <v>-2.1676960000000002E-3</v>
      </c>
      <c r="AA733">
        <v>0.99977359999999904</v>
      </c>
      <c r="AB733">
        <v>35</v>
      </c>
      <c r="AC733">
        <v>0.73360000000002401</v>
      </c>
      <c r="AD733">
        <v>-7.1735999999999994E-2</v>
      </c>
      <c r="AE733">
        <v>-7.2999999999865299E-3</v>
      </c>
      <c r="AF733">
        <v>2.0383624363427302E-2</v>
      </c>
      <c r="AG733">
        <v>-7.1735999999999994E-2</v>
      </c>
      <c r="AH733">
        <v>0.72640236673311398</v>
      </c>
      <c r="AI733">
        <v>95.637763067725501</v>
      </c>
      <c r="AJ733">
        <v>88.392641182577094</v>
      </c>
      <c r="AK733">
        <v>0.73022047645465205</v>
      </c>
    </row>
    <row r="734" spans="1:37" x14ac:dyDescent="0.2">
      <c r="A734" t="str">
        <f>"20200111155807582"</f>
        <v>20200111155807582</v>
      </c>
      <c r="B734" t="str">
        <f>"1578729487571483"</f>
        <v>1578729487571483</v>
      </c>
      <c r="C734" t="s">
        <v>37</v>
      </c>
      <c r="D734">
        <v>6.0400720000000003</v>
      </c>
      <c r="E734">
        <v>0.53882989999999997</v>
      </c>
      <c r="F734" t="s">
        <v>38</v>
      </c>
      <c r="G734">
        <v>-348.05399999999997</v>
      </c>
      <c r="H734">
        <v>1.047253</v>
      </c>
      <c r="I734">
        <v>368.13260000000002</v>
      </c>
      <c r="J734">
        <v>-348.51490000000001</v>
      </c>
      <c r="K734">
        <v>1.103626</v>
      </c>
      <c r="L734">
        <v>368.1413</v>
      </c>
      <c r="M734">
        <v>0.99980990000000003</v>
      </c>
      <c r="N734">
        <v>0</v>
      </c>
      <c r="O734">
        <v>1.8292429999999998E-2</v>
      </c>
      <c r="P734">
        <v>0.995591</v>
      </c>
      <c r="Q734">
        <v>5.6465059999999999E-3</v>
      </c>
      <c r="R734">
        <v>9.3631809999999996E-2</v>
      </c>
      <c r="S734">
        <v>3.0153500000000002</v>
      </c>
      <c r="T734">
        <v>-0.2289612</v>
      </c>
      <c r="U734">
        <v>-1.2634279999999999E-2</v>
      </c>
      <c r="V734">
        <v>-7.5412409999999999E-2</v>
      </c>
      <c r="W734">
        <v>1.2341970000000001E-2</v>
      </c>
      <c r="X734">
        <v>0.99707599999999996</v>
      </c>
      <c r="Y734">
        <v>2.23649E-2</v>
      </c>
      <c r="Z734">
        <v>-2.2348419999999999E-3</v>
      </c>
      <c r="AA734">
        <v>0.99974739999999995</v>
      </c>
      <c r="AB734">
        <v>35</v>
      </c>
      <c r="AC734">
        <v>0.46089999999998099</v>
      </c>
      <c r="AD734">
        <v>-5.6372999999999999E-2</v>
      </c>
      <c r="AE734">
        <v>-8.6999999999761695E-3</v>
      </c>
      <c r="AF734">
        <v>1.6877323999306301E-2</v>
      </c>
      <c r="AG734">
        <v>-5.6372999999999999E-2</v>
      </c>
      <c r="AH734">
        <v>0.45387620359757003</v>
      </c>
      <c r="AI734">
        <v>97.0752361198833</v>
      </c>
      <c r="AJ734">
        <v>87.870445505118099</v>
      </c>
      <c r="AK734">
        <v>0.45767495822528997</v>
      </c>
    </row>
    <row r="735" spans="1:37" x14ac:dyDescent="0.2">
      <c r="A735" t="str">
        <f>"20200111155807596"</f>
        <v>20200111155807596</v>
      </c>
      <c r="B735" t="str">
        <f>"1578729487591979"</f>
        <v>1578729487591979</v>
      </c>
      <c r="C735" t="s">
        <v>37</v>
      </c>
      <c r="D735">
        <v>5.9965109999999999</v>
      </c>
      <c r="E735">
        <v>0.53938739999999996</v>
      </c>
      <c r="F735" t="s">
        <v>38</v>
      </c>
      <c r="G735">
        <v>-347.73750000000001</v>
      </c>
      <c r="H735">
        <v>1.045385</v>
      </c>
      <c r="I735">
        <v>368.13690000000003</v>
      </c>
      <c r="J735">
        <v>-348.2783</v>
      </c>
      <c r="K735">
        <v>1.1036090000000001</v>
      </c>
      <c r="L735">
        <v>368.14580000000001</v>
      </c>
      <c r="M735">
        <v>0.9998068</v>
      </c>
      <c r="N735">
        <v>0</v>
      </c>
      <c r="O735">
        <v>1.8438099999999898E-2</v>
      </c>
      <c r="P735">
        <v>0.99557099999999898</v>
      </c>
      <c r="Q735">
        <v>5.9517880000000004E-3</v>
      </c>
      <c r="R735">
        <v>9.3824160000000004E-2</v>
      </c>
      <c r="S735">
        <v>3.0161439999999899</v>
      </c>
      <c r="T735">
        <v>-0.22611059999999999</v>
      </c>
      <c r="U735">
        <v>-1.6296390000000001E-2</v>
      </c>
      <c r="V735">
        <v>-7.5459620000000005E-2</v>
      </c>
      <c r="W735">
        <v>1.269814E-2</v>
      </c>
      <c r="X735">
        <v>0.99706799999999995</v>
      </c>
      <c r="Y735">
        <v>2.372202E-2</v>
      </c>
      <c r="Z735">
        <v>-2.2682179999999998E-3</v>
      </c>
      <c r="AA735">
        <v>0.99971599999999905</v>
      </c>
      <c r="AB735">
        <v>36</v>
      </c>
      <c r="AC735">
        <v>0.54079999999998996</v>
      </c>
      <c r="AD735">
        <v>-5.8223999999999998E-2</v>
      </c>
      <c r="AE735">
        <v>-8.8999999999828001E-3</v>
      </c>
      <c r="AF735">
        <v>1.86538793300738E-2</v>
      </c>
      <c r="AG735">
        <v>-5.8223999999999998E-2</v>
      </c>
      <c r="AH735">
        <v>0.53435182411203996</v>
      </c>
      <c r="AI735">
        <v>96.214769223943406</v>
      </c>
      <c r="AJ735">
        <v>88.0006530123581</v>
      </c>
      <c r="AK735">
        <v>0.53783814788644901</v>
      </c>
    </row>
    <row r="736" spans="1:37" x14ac:dyDescent="0.2">
      <c r="A736" t="str">
        <f>"20200111155807609"</f>
        <v>20200111155807609</v>
      </c>
      <c r="B736" t="str">
        <f>"1578729487601741"</f>
        <v>1578729487601741</v>
      </c>
      <c r="C736" t="s">
        <v>37</v>
      </c>
      <c r="D736">
        <v>5.9735250000000004</v>
      </c>
      <c r="E736">
        <v>0.53962949999999998</v>
      </c>
      <c r="F736" t="s">
        <v>38</v>
      </c>
      <c r="G736">
        <v>-347.42270000000002</v>
      </c>
      <c r="H736">
        <v>1.039733</v>
      </c>
      <c r="I736">
        <v>368.13990000000001</v>
      </c>
      <c r="J736">
        <v>-348.07209999999998</v>
      </c>
      <c r="K736">
        <v>1.1035950000000001</v>
      </c>
      <c r="L736">
        <v>368.1497</v>
      </c>
      <c r="M736">
        <v>0.99980440000000004</v>
      </c>
      <c r="N736">
        <v>0</v>
      </c>
      <c r="O736">
        <v>1.855795E-2</v>
      </c>
      <c r="P736">
        <v>0.99554900000000002</v>
      </c>
      <c r="Q736">
        <v>6.1998929999999997E-3</v>
      </c>
      <c r="R736">
        <v>9.4041819999999998E-2</v>
      </c>
      <c r="S736">
        <v>3.0166019999999998</v>
      </c>
      <c r="T736">
        <v>-0.2254274</v>
      </c>
      <c r="U736">
        <v>-1.9805909999999999E-2</v>
      </c>
      <c r="V736">
        <v>-7.5558219999999995E-2</v>
      </c>
      <c r="W736">
        <v>1.2988980000000001E-2</v>
      </c>
      <c r="X736">
        <v>0.99705679999999997</v>
      </c>
      <c r="Y736">
        <v>2.50009E-2</v>
      </c>
      <c r="Z736">
        <v>-2.3176999999999998E-3</v>
      </c>
      <c r="AA736">
        <v>0.99968480000000004</v>
      </c>
      <c r="AB736">
        <v>36</v>
      </c>
      <c r="AC736">
        <v>0.64939999999995701</v>
      </c>
      <c r="AD736">
        <v>-6.3862000000000002E-2</v>
      </c>
      <c r="AE736">
        <v>-9.7999999999842605E-3</v>
      </c>
      <c r="AF736">
        <v>2.16408906179613E-2</v>
      </c>
      <c r="AG736">
        <v>-6.3862000000000002E-2</v>
      </c>
      <c r="AH736">
        <v>0.64289046531261196</v>
      </c>
      <c r="AI736">
        <v>95.669717796642004</v>
      </c>
      <c r="AJ736">
        <v>88.072045314943395</v>
      </c>
      <c r="AK736">
        <v>0.64641691931802503</v>
      </c>
    </row>
    <row r="737" spans="1:37" x14ac:dyDescent="0.2">
      <c r="A737" t="str">
        <f>"20200111155807625"</f>
        <v>20200111155807625</v>
      </c>
      <c r="B737" t="str">
        <f>"1578729487621980"</f>
        <v>1578729487621980</v>
      </c>
      <c r="C737" t="s">
        <v>37</v>
      </c>
      <c r="D737">
        <v>6.3158139999999996</v>
      </c>
      <c r="E737">
        <v>0.53980640000000002</v>
      </c>
      <c r="F737" t="s">
        <v>38</v>
      </c>
      <c r="G737">
        <v>-347.10669999999999</v>
      </c>
      <c r="H737">
        <v>1.031706</v>
      </c>
      <c r="I737">
        <v>368.14240000000001</v>
      </c>
      <c r="J737">
        <v>-347.81599999999997</v>
      </c>
      <c r="K737">
        <v>1.103586</v>
      </c>
      <c r="L737">
        <v>368.15460000000002</v>
      </c>
      <c r="M737">
        <v>0.99980149999999901</v>
      </c>
      <c r="N737">
        <v>0</v>
      </c>
      <c r="O737">
        <v>1.8697910000000002E-2</v>
      </c>
      <c r="P737">
        <v>0.99555149999999903</v>
      </c>
      <c r="Q737">
        <v>6.1884219999999998E-3</v>
      </c>
      <c r="R737">
        <v>9.4017729999999994E-2</v>
      </c>
      <c r="S737">
        <v>3.0168459999999899</v>
      </c>
      <c r="T737">
        <v>-0.225021999999999</v>
      </c>
      <c r="U737">
        <v>-2.1179199999999999E-2</v>
      </c>
      <c r="V737">
        <v>-7.5393210000000002E-2</v>
      </c>
      <c r="W737">
        <v>1.3028079999999999E-2</v>
      </c>
      <c r="X737">
        <v>0.99706879999999998</v>
      </c>
      <c r="Y737">
        <v>2.559378E-2</v>
      </c>
      <c r="Z737">
        <v>-2.3458579999999902E-3</v>
      </c>
      <c r="AA737">
        <v>0.99966969999999999</v>
      </c>
      <c r="AB737">
        <v>36</v>
      </c>
      <c r="AC737">
        <v>0.70929999999998405</v>
      </c>
      <c r="AD737">
        <v>-7.1879999999999902E-2</v>
      </c>
      <c r="AE737">
        <v>-1.2200000000007E-2</v>
      </c>
      <c r="AF737">
        <v>2.5201870448631002E-2</v>
      </c>
      <c r="AG737">
        <v>-7.1879999999999902E-2</v>
      </c>
      <c r="AH737">
        <v>0.70174333695793401</v>
      </c>
      <c r="AI737">
        <v>95.844702890994796</v>
      </c>
      <c r="AJ737">
        <v>87.943207396805704</v>
      </c>
      <c r="AK737">
        <v>0.70586512850470595</v>
      </c>
    </row>
    <row r="738" spans="1:37" x14ac:dyDescent="0.2">
      <c r="A738" t="str">
        <f>"20200111155807637"</f>
        <v>20200111155807637</v>
      </c>
      <c r="B738" t="str">
        <f>"1578729487631740"</f>
        <v>1578729487631740</v>
      </c>
      <c r="C738" t="s">
        <v>37</v>
      </c>
      <c r="D738">
        <v>6.6910149999999904</v>
      </c>
      <c r="E738">
        <v>0.54002530000000004</v>
      </c>
      <c r="F738" t="s">
        <v>38</v>
      </c>
      <c r="G738">
        <v>-346.78829999999999</v>
      </c>
      <c r="H738">
        <v>1.0271479999999999</v>
      </c>
      <c r="I738">
        <v>368.1465</v>
      </c>
      <c r="J738">
        <v>-347.61520000000002</v>
      </c>
      <c r="K738">
        <v>1.1035759999999999</v>
      </c>
      <c r="L738">
        <v>368.15839999999997</v>
      </c>
      <c r="M738">
        <v>0.99979910000000005</v>
      </c>
      <c r="N738">
        <v>0</v>
      </c>
      <c r="O738">
        <v>1.8800770000000001E-2</v>
      </c>
      <c r="P738">
        <v>0.99555689999999997</v>
      </c>
      <c r="Q738">
        <v>6.2430760000000002E-3</v>
      </c>
      <c r="R738">
        <v>9.3954430000000005E-2</v>
      </c>
      <c r="S738">
        <v>3.0169679999999999</v>
      </c>
      <c r="T738">
        <v>-0.22462260000000001</v>
      </c>
      <c r="U738">
        <v>-2.2979739999999999E-2</v>
      </c>
      <c r="V738">
        <v>-7.5227189999999999E-2</v>
      </c>
      <c r="W738">
        <v>1.311962E-2</v>
      </c>
      <c r="X738">
        <v>0.99708009999999903</v>
      </c>
      <c r="Y738">
        <v>2.6291149999999999E-2</v>
      </c>
      <c r="Z738">
        <v>-2.3751800000000002E-3</v>
      </c>
      <c r="AA738">
        <v>0.99965149999999903</v>
      </c>
      <c r="AB738">
        <v>36</v>
      </c>
      <c r="AC738">
        <v>0.82690000000002295</v>
      </c>
      <c r="AD738">
        <v>-7.6428000000000093E-2</v>
      </c>
      <c r="AE738">
        <v>-1.18999999999687E-2</v>
      </c>
      <c r="AF738">
        <v>2.7212209006813599E-2</v>
      </c>
      <c r="AG738">
        <v>-7.6428000000000093E-2</v>
      </c>
      <c r="AH738">
        <v>0.81953048818940399</v>
      </c>
      <c r="AI738">
        <v>95.324977661957803</v>
      </c>
      <c r="AJ738">
        <v>88.098213406219003</v>
      </c>
      <c r="AK738">
        <v>0.823536255774446</v>
      </c>
    </row>
    <row r="739" spans="1:37" x14ac:dyDescent="0.2">
      <c r="A739" t="str">
        <f>"20200111155807650"</f>
        <v>20200111155807650</v>
      </c>
      <c r="B739" t="str">
        <f>"1578729487641500"</f>
        <v>1578729487641500</v>
      </c>
      <c r="C739" t="s">
        <v>37</v>
      </c>
      <c r="D739">
        <v>6.017023</v>
      </c>
      <c r="E739">
        <v>0.54015659999999999</v>
      </c>
      <c r="F739" t="s">
        <v>38</v>
      </c>
      <c r="G739">
        <v>-346.78089999999997</v>
      </c>
      <c r="H739">
        <v>1.0424370000000001</v>
      </c>
      <c r="I739">
        <v>368.15120000000002</v>
      </c>
      <c r="J739">
        <v>-347.41590000000002</v>
      </c>
      <c r="K739">
        <v>1.103567</v>
      </c>
      <c r="L739">
        <v>368.16230000000002</v>
      </c>
      <c r="M739">
        <v>0.99979719999999905</v>
      </c>
      <c r="N739">
        <v>0</v>
      </c>
      <c r="O739">
        <v>1.8900119999999999E-2</v>
      </c>
      <c r="P739">
        <v>0.99557419999999996</v>
      </c>
      <c r="Q739">
        <v>6.1755269999999897E-3</v>
      </c>
      <c r="R739">
        <v>9.3777659999999999E-2</v>
      </c>
      <c r="S739">
        <v>3.0171199999999998</v>
      </c>
      <c r="T739">
        <v>-0.2214159</v>
      </c>
      <c r="U739">
        <v>-2.4871830000000001E-2</v>
      </c>
      <c r="V739">
        <v>-7.4950989999999995E-2</v>
      </c>
      <c r="W739">
        <v>1.30872E-2</v>
      </c>
      <c r="X739">
        <v>0.99710129999999997</v>
      </c>
      <c r="Y739">
        <v>2.701827E-2</v>
      </c>
      <c r="Z739">
        <v>-2.3751670000000001E-3</v>
      </c>
      <c r="AA739">
        <v>0.99963210000000002</v>
      </c>
      <c r="AB739">
        <v>36</v>
      </c>
      <c r="AC739">
        <v>0.63500000000004697</v>
      </c>
      <c r="AD739">
        <v>-6.11299999999999E-2</v>
      </c>
      <c r="AE739">
        <v>-1.1099999999999E-2</v>
      </c>
      <c r="AF739">
        <v>2.2887835887812201E-2</v>
      </c>
      <c r="AG739">
        <v>-6.11299999999999E-2</v>
      </c>
      <c r="AH739">
        <v>0.62885069559358797</v>
      </c>
      <c r="AI739">
        <v>95.548574401491805</v>
      </c>
      <c r="AJ739">
        <v>87.915565949647998</v>
      </c>
      <c r="AK739">
        <v>0.63222933123999203</v>
      </c>
    </row>
    <row r="740" spans="1:37" x14ac:dyDescent="0.2">
      <c r="A740" t="str">
        <f>"20200111155807662"</f>
        <v>20200111155807662</v>
      </c>
      <c r="B740" t="str">
        <f>"1578729487652235"</f>
        <v>1578729487652235</v>
      </c>
      <c r="C740" t="s">
        <v>37</v>
      </c>
      <c r="D740">
        <v>5.9866250000000001</v>
      </c>
      <c r="E740">
        <v>0.5402576</v>
      </c>
      <c r="F740" t="s">
        <v>38</v>
      </c>
      <c r="G740">
        <v>-346.4633</v>
      </c>
      <c r="H740">
        <v>1.0349729999999999</v>
      </c>
      <c r="I740">
        <v>368.15350000000001</v>
      </c>
      <c r="J740">
        <v>-347.20909999999998</v>
      </c>
      <c r="K740">
        <v>1.1035600000000001</v>
      </c>
      <c r="L740">
        <v>368.1662</v>
      </c>
      <c r="M740">
        <v>0.99979499999999999</v>
      </c>
      <c r="N740">
        <v>0</v>
      </c>
      <c r="O740">
        <v>1.9000610000000001E-2</v>
      </c>
      <c r="P740">
        <v>0.99559030000000004</v>
      </c>
      <c r="Q740">
        <v>6.0477949999999999E-3</v>
      </c>
      <c r="R740">
        <v>9.3614439999999993E-2</v>
      </c>
      <c r="S740">
        <v>3.0171809999999999</v>
      </c>
      <c r="T740">
        <v>-0.21754850000000001</v>
      </c>
      <c r="U740">
        <v>-2.658081E-2</v>
      </c>
      <c r="V740">
        <v>-7.4687199999999995E-2</v>
      </c>
      <c r="W740">
        <v>1.299375E-2</v>
      </c>
      <c r="X740">
        <v>0.99712230000000002</v>
      </c>
      <c r="Y740">
        <v>2.7687030000000001E-2</v>
      </c>
      <c r="Z740">
        <v>-2.3650519999999999E-3</v>
      </c>
      <c r="AA740">
        <v>0.9996138</v>
      </c>
      <c r="AB740">
        <v>36</v>
      </c>
      <c r="AC740">
        <v>0.74579999999997404</v>
      </c>
      <c r="AD740">
        <v>-6.8587000000000106E-2</v>
      </c>
      <c r="AE740">
        <v>-1.26999999999952E-2</v>
      </c>
      <c r="AF740">
        <v>2.6643438926109701E-2</v>
      </c>
      <c r="AG740">
        <v>-6.8587000000000106E-2</v>
      </c>
      <c r="AH740">
        <v>0.73917433275617495</v>
      </c>
      <c r="AI740">
        <v>95.297798842220303</v>
      </c>
      <c r="AJ740">
        <v>87.935675073870499</v>
      </c>
      <c r="AK740">
        <v>0.74282753288522196</v>
      </c>
    </row>
    <row r="741" spans="1:37" x14ac:dyDescent="0.2">
      <c r="A741" t="str">
        <f>"20200111155807675"</f>
        <v>20200111155807675</v>
      </c>
      <c r="B741" t="str">
        <f>"1578729487671756"</f>
        <v>1578729487671756</v>
      </c>
      <c r="C741" t="s">
        <v>37</v>
      </c>
      <c r="D741">
        <v>6.0037929999999999</v>
      </c>
      <c r="E741">
        <v>0.54048879999999999</v>
      </c>
      <c r="F741" t="s">
        <v>38</v>
      </c>
      <c r="G741">
        <v>-346.45319999999998</v>
      </c>
      <c r="H741">
        <v>1.049671</v>
      </c>
      <c r="I741">
        <v>368.15879999999999</v>
      </c>
      <c r="J741">
        <v>-347.024</v>
      </c>
      <c r="K741">
        <v>1.1035539999999999</v>
      </c>
      <c r="L741">
        <v>368.16980000000001</v>
      </c>
      <c r="M741">
        <v>0.99979309999999999</v>
      </c>
      <c r="N741">
        <v>0</v>
      </c>
      <c r="O741">
        <v>1.9088150000000002E-2</v>
      </c>
      <c r="P741">
        <v>0.99562260000000002</v>
      </c>
      <c r="Q741">
        <v>6.0326590000000001E-3</v>
      </c>
      <c r="R741">
        <v>9.3269740000000004E-2</v>
      </c>
      <c r="S741">
        <v>3.0171809999999999</v>
      </c>
      <c r="T741">
        <v>-0.2154964</v>
      </c>
      <c r="U741">
        <v>-2.810669E-2</v>
      </c>
      <c r="V741">
        <v>-7.4254039999999993E-2</v>
      </c>
      <c r="W741">
        <v>1.3007579999999999E-2</v>
      </c>
      <c r="X741">
        <v>0.99715450000000005</v>
      </c>
      <c r="Y741">
        <v>2.828058E-2</v>
      </c>
      <c r="Z741">
        <v>-2.3702089999999999E-3</v>
      </c>
      <c r="AA741">
        <v>0.99959719999999996</v>
      </c>
      <c r="AB741">
        <v>36</v>
      </c>
      <c r="AC741">
        <v>0.57080000000001896</v>
      </c>
      <c r="AD741">
        <v>-5.3883000000000097E-2</v>
      </c>
      <c r="AE741">
        <v>-1.10000000000241E-2</v>
      </c>
      <c r="AF741">
        <v>2.17004756710934E-2</v>
      </c>
      <c r="AG741">
        <v>-5.3883000000000097E-2</v>
      </c>
      <c r="AH741">
        <v>0.56544907057389604</v>
      </c>
      <c r="AI741">
        <v>95.439435424731002</v>
      </c>
      <c r="AJ741">
        <v>87.802214448327007</v>
      </c>
      <c r="AK741">
        <v>0.56842496404207599</v>
      </c>
    </row>
    <row r="742" spans="1:37" x14ac:dyDescent="0.2">
      <c r="A742" t="str">
        <f>"20200111155807692"</f>
        <v>20200111155807692</v>
      </c>
      <c r="B742" t="str">
        <f>"1578729487681515"</f>
        <v>1578729487681515</v>
      </c>
      <c r="C742" t="s">
        <v>37</v>
      </c>
      <c r="D742">
        <v>6.0477869999999996</v>
      </c>
      <c r="E742">
        <v>0.54058070000000003</v>
      </c>
      <c r="F742" t="s">
        <v>38</v>
      </c>
      <c r="G742">
        <v>-346.13889999999998</v>
      </c>
      <c r="H742">
        <v>1.039965</v>
      </c>
      <c r="I742">
        <v>368.16039999999998</v>
      </c>
      <c r="J742">
        <v>-346.7491</v>
      </c>
      <c r="K742">
        <v>1.1035429999999999</v>
      </c>
      <c r="L742">
        <v>368.17520000000002</v>
      </c>
      <c r="M742">
        <v>0.99979030000000002</v>
      </c>
      <c r="N742">
        <v>0</v>
      </c>
      <c r="O742">
        <v>1.921699E-2</v>
      </c>
      <c r="P742">
        <v>0.99562079999999997</v>
      </c>
      <c r="Q742">
        <v>5.9221219999999897E-3</v>
      </c>
      <c r="R742">
        <v>9.3295450000000002E-2</v>
      </c>
      <c r="S742">
        <v>3.0174560000000001</v>
      </c>
      <c r="T742">
        <v>-0.21701039999999999</v>
      </c>
      <c r="U742">
        <v>-3.1036379999999999E-2</v>
      </c>
      <c r="V742">
        <v>-7.4150439999999998E-2</v>
      </c>
      <c r="W742">
        <v>1.293796E-2</v>
      </c>
      <c r="X742">
        <v>0.99716309999999997</v>
      </c>
      <c r="Y742">
        <v>2.9374129999999998E-2</v>
      </c>
      <c r="Z742">
        <v>-2.435118E-3</v>
      </c>
      <c r="AA742">
        <v>0.9995655</v>
      </c>
      <c r="AB742">
        <v>36</v>
      </c>
      <c r="AC742">
        <v>0.61020000000001995</v>
      </c>
      <c r="AD742">
        <v>-6.3577999999999898E-2</v>
      </c>
      <c r="AE742">
        <v>-1.4800000000036499E-2</v>
      </c>
      <c r="AF742">
        <v>2.6239083995469599E-2</v>
      </c>
      <c r="AG742">
        <v>-6.3577999999999898E-2</v>
      </c>
      <c r="AH742">
        <v>0.60325778576724598</v>
      </c>
      <c r="AI742">
        <v>96.010614610754104</v>
      </c>
      <c r="AJ742">
        <v>87.509453157543504</v>
      </c>
      <c r="AK742">
        <v>0.60716604623588899</v>
      </c>
    </row>
    <row r="743" spans="1:37" x14ac:dyDescent="0.2">
      <c r="A743" t="str">
        <f>"20200111155807705"</f>
        <v>20200111155807705</v>
      </c>
      <c r="B743" t="str">
        <f>"1578729487702011"</f>
        <v>1578729487702011</v>
      </c>
      <c r="C743" t="s">
        <v>37</v>
      </c>
      <c r="D743">
        <v>5.9729390000000002</v>
      </c>
      <c r="E743">
        <v>0.54077559999999902</v>
      </c>
      <c r="F743" t="s">
        <v>38</v>
      </c>
      <c r="G743">
        <v>-345.81790000000001</v>
      </c>
      <c r="H743">
        <v>1.0365659999999901</v>
      </c>
      <c r="I743">
        <v>368.1651</v>
      </c>
      <c r="J743">
        <v>-346.52809999999999</v>
      </c>
      <c r="K743">
        <v>1.1035379999999999</v>
      </c>
      <c r="L743">
        <v>368.17950000000002</v>
      </c>
      <c r="M743">
        <v>0.99978829999999996</v>
      </c>
      <c r="N743">
        <v>0</v>
      </c>
      <c r="O743">
        <v>1.931971E-2</v>
      </c>
      <c r="P743">
        <v>0.99561039999999901</v>
      </c>
      <c r="Q743">
        <v>5.9890580000000002E-3</v>
      </c>
      <c r="R743">
        <v>9.3405810000000006E-2</v>
      </c>
      <c r="S743">
        <v>3.0174560000000001</v>
      </c>
      <c r="T743">
        <v>-0.217281</v>
      </c>
      <c r="U743">
        <v>-3.1646729999999998E-2</v>
      </c>
      <c r="V743">
        <v>-7.4158909999999995E-2</v>
      </c>
      <c r="W743">
        <v>1.303523E-2</v>
      </c>
      <c r="X743">
        <v>0.99716130000000003</v>
      </c>
      <c r="Y743">
        <v>2.967763E-2</v>
      </c>
      <c r="Z743">
        <v>-2.4564449999999998E-3</v>
      </c>
      <c r="AA743">
        <v>0.99955649999999996</v>
      </c>
      <c r="AB743">
        <v>36</v>
      </c>
      <c r="AC743">
        <v>0.71019999999998595</v>
      </c>
      <c r="AD743">
        <v>-6.6972000000000004E-2</v>
      </c>
      <c r="AE743">
        <v>-1.44000000000232E-2</v>
      </c>
      <c r="AF743">
        <v>2.78707742280076E-2</v>
      </c>
      <c r="AG743">
        <v>-6.6972000000000004E-2</v>
      </c>
      <c r="AH743">
        <v>0.70353559030324597</v>
      </c>
      <c r="AI743">
        <v>95.433562208794896</v>
      </c>
      <c r="AJ743">
        <v>87.731396708804894</v>
      </c>
      <c r="AK743">
        <v>0.70726540680525696</v>
      </c>
    </row>
    <row r="744" spans="1:37" x14ac:dyDescent="0.2">
      <c r="A744" t="str">
        <f>"20200111155807717"</f>
        <v>20200111155807717</v>
      </c>
      <c r="B744" t="str">
        <f>"1578729487711501"</f>
        <v>1578729487711501</v>
      </c>
      <c r="C744" t="s">
        <v>37</v>
      </c>
      <c r="D744">
        <v>6.0006969999999997</v>
      </c>
      <c r="E744">
        <v>0.54088199999999997</v>
      </c>
      <c r="F744" t="s">
        <v>38</v>
      </c>
      <c r="G744">
        <v>-345.49799999999999</v>
      </c>
      <c r="H744">
        <v>1.029201</v>
      </c>
      <c r="I744">
        <v>368.16820000000001</v>
      </c>
      <c r="J744">
        <v>-346.32420000000002</v>
      </c>
      <c r="K744">
        <v>1.103534</v>
      </c>
      <c r="L744">
        <v>368.18360000000001</v>
      </c>
      <c r="M744">
        <v>0.99978630000000002</v>
      </c>
      <c r="N744">
        <v>0</v>
      </c>
      <c r="O744">
        <v>1.9413409999999999E-2</v>
      </c>
      <c r="P744">
        <v>0.99557709999999999</v>
      </c>
      <c r="Q744">
        <v>6.2030699999999998E-3</v>
      </c>
      <c r="R744">
        <v>9.3743969999999996E-2</v>
      </c>
      <c r="S744">
        <v>3.017639</v>
      </c>
      <c r="T744">
        <v>-0.2178746</v>
      </c>
      <c r="U744">
        <v>-3.2958979999999999E-2</v>
      </c>
      <c r="V744">
        <v>-7.4404020000000001E-2</v>
      </c>
      <c r="W744">
        <v>1.3275540000000001E-2</v>
      </c>
      <c r="X744">
        <v>0.99713980000000002</v>
      </c>
      <c r="Y744">
        <v>3.02029999999999E-2</v>
      </c>
      <c r="Z744">
        <v>-2.4886819999999999E-3</v>
      </c>
      <c r="AA744">
        <v>0.99954069999999995</v>
      </c>
      <c r="AB744">
        <v>36</v>
      </c>
      <c r="AC744">
        <v>0.82619999999997096</v>
      </c>
      <c r="AD744">
        <v>-7.4332999999999899E-2</v>
      </c>
      <c r="AE744">
        <v>-1.53999999999996E-2</v>
      </c>
      <c r="AF744">
        <v>3.1184524584563899E-2</v>
      </c>
      <c r="AG744">
        <v>-7.4332999999999899E-2</v>
      </c>
      <c r="AH744">
        <v>0.81911722802086195</v>
      </c>
      <c r="AI744">
        <v>95.181524023539595</v>
      </c>
      <c r="AJ744">
        <v>87.819751430666003</v>
      </c>
      <c r="AK744">
        <v>0.82307405663351296</v>
      </c>
    </row>
    <row r="745" spans="1:37" x14ac:dyDescent="0.2">
      <c r="A745" t="str">
        <f>"20200111155807729"</f>
        <v>20200111155807729</v>
      </c>
      <c r="B745" t="str">
        <f>"1578729487722236"</f>
        <v>1578729487722236</v>
      </c>
      <c r="C745" t="s">
        <v>37</v>
      </c>
      <c r="D745">
        <v>5.983447</v>
      </c>
      <c r="E745">
        <v>0.540991</v>
      </c>
      <c r="F745" t="s">
        <v>38</v>
      </c>
      <c r="G745">
        <v>-345.49090000000001</v>
      </c>
      <c r="H745">
        <v>1.0435209999999999</v>
      </c>
      <c r="I745">
        <v>368.17439999999999</v>
      </c>
      <c r="J745">
        <v>-346.14359999999999</v>
      </c>
      <c r="K745">
        <v>1.1035239999999999</v>
      </c>
      <c r="L745">
        <v>368.18720000000002</v>
      </c>
      <c r="M745">
        <v>0.99978449999999996</v>
      </c>
      <c r="N745">
        <v>0</v>
      </c>
      <c r="O745">
        <v>1.949675E-2</v>
      </c>
      <c r="P745">
        <v>0.99556959999999906</v>
      </c>
      <c r="Q745">
        <v>6.1342030000000004E-3</v>
      </c>
      <c r="R745">
        <v>9.382749E-2</v>
      </c>
      <c r="S745">
        <v>3.017792</v>
      </c>
      <c r="T745">
        <v>-0.21747159999999999</v>
      </c>
      <c r="U745">
        <v>-3.2684329999999998E-2</v>
      </c>
      <c r="V745">
        <v>-7.4404049999999999E-2</v>
      </c>
      <c r="W745">
        <v>1.3229289999999999E-2</v>
      </c>
      <c r="X745">
        <v>0.99714040000000004</v>
      </c>
      <c r="Y745">
        <v>3.0195099999999898E-2</v>
      </c>
      <c r="Z745">
        <v>-2.4896789999999999E-3</v>
      </c>
      <c r="AA745">
        <v>0.99954089999999995</v>
      </c>
      <c r="AB745">
        <v>36</v>
      </c>
      <c r="AC745">
        <v>0.65269999999998096</v>
      </c>
      <c r="AD745">
        <v>-6.0003000000000001E-2</v>
      </c>
      <c r="AE745">
        <v>-1.2800000000027E-2</v>
      </c>
      <c r="AF745">
        <v>2.5309604554992898E-2</v>
      </c>
      <c r="AG745">
        <v>-6.0003000000000001E-2</v>
      </c>
      <c r="AH745">
        <v>0.64686170384826203</v>
      </c>
      <c r="AI745">
        <v>95.295571885416393</v>
      </c>
      <c r="AJ745">
        <v>87.759344559060906</v>
      </c>
      <c r="AK745">
        <v>0.65013152515257</v>
      </c>
    </row>
    <row r="746" spans="1:37" x14ac:dyDescent="0.2">
      <c r="A746" t="str">
        <f>"20200111155807740"</f>
        <v>20200111155807740</v>
      </c>
      <c r="B746" t="str">
        <f>"1578729487731996"</f>
        <v>1578729487731996</v>
      </c>
      <c r="C746" t="s">
        <v>37</v>
      </c>
      <c r="D746">
        <v>5.9698209999999996</v>
      </c>
      <c r="E746">
        <v>0.54107620000000001</v>
      </c>
      <c r="F746" t="s">
        <v>38</v>
      </c>
      <c r="G746">
        <v>-345.17189999999999</v>
      </c>
      <c r="H746">
        <v>1.033436</v>
      </c>
      <c r="I746">
        <v>368.17590000000001</v>
      </c>
      <c r="J746">
        <v>-345.94380000000001</v>
      </c>
      <c r="K746">
        <v>1.1035189999999999</v>
      </c>
      <c r="L746">
        <v>368.19110000000001</v>
      </c>
      <c r="M746">
        <v>0.99978250000000002</v>
      </c>
      <c r="N746">
        <v>0</v>
      </c>
      <c r="O746">
        <v>1.958915E-2</v>
      </c>
      <c r="P746">
        <v>0.99554909999999996</v>
      </c>
      <c r="Q746">
        <v>6.0062930000000002E-3</v>
      </c>
      <c r="R746">
        <v>9.4054399999999996E-2</v>
      </c>
      <c r="S746">
        <v>3.0178529999999899</v>
      </c>
      <c r="T746">
        <v>-0.2179952</v>
      </c>
      <c r="U746">
        <v>-3.3599850000000001E-2</v>
      </c>
      <c r="V746">
        <v>-7.4539209999999995E-2</v>
      </c>
      <c r="W746">
        <v>1.312439E-2</v>
      </c>
      <c r="X746">
        <v>0.99713169999999995</v>
      </c>
      <c r="Y746">
        <v>3.0588580000000001E-2</v>
      </c>
      <c r="Z746">
        <v>-2.516463E-3</v>
      </c>
      <c r="AA746">
        <v>0.99952890000000005</v>
      </c>
      <c r="AB746">
        <v>36</v>
      </c>
      <c r="AC746">
        <v>0.77190000000001602</v>
      </c>
      <c r="AD746">
        <v>-7.0083000000000104E-2</v>
      </c>
      <c r="AE746">
        <v>-1.51999999999929E-2</v>
      </c>
      <c r="AF746">
        <v>3.0070549591220502E-2</v>
      </c>
      <c r="AG746">
        <v>-7.0083000000000104E-2</v>
      </c>
      <c r="AH746">
        <v>0.76514917202319199</v>
      </c>
      <c r="AI746">
        <v>95.229327391455996</v>
      </c>
      <c r="AJ746">
        <v>87.749420056098103</v>
      </c>
      <c r="AK746">
        <v>0.76894025794563203</v>
      </c>
    </row>
    <row r="747" spans="1:37" x14ac:dyDescent="0.2">
      <c r="A747" t="str">
        <f>"20200111155807753"</f>
        <v>20200111155807753</v>
      </c>
      <c r="B747" t="str">
        <f>"1578729487741757"</f>
        <v>1578729487741757</v>
      </c>
      <c r="C747" t="s">
        <v>37</v>
      </c>
      <c r="D747">
        <v>6.0841139999999996</v>
      </c>
      <c r="E747">
        <v>0.54111180000000003</v>
      </c>
      <c r="F747" t="s">
        <v>38</v>
      </c>
      <c r="G747">
        <v>-345.1635</v>
      </c>
      <c r="H747">
        <v>1.0471569999999999</v>
      </c>
      <c r="I747">
        <v>368.18209999999999</v>
      </c>
      <c r="J747">
        <v>-345.74990000000003</v>
      </c>
      <c r="K747">
        <v>1.103515</v>
      </c>
      <c r="L747">
        <v>368.19499999999999</v>
      </c>
      <c r="M747">
        <v>0.99978049999999996</v>
      </c>
      <c r="N747">
        <v>0</v>
      </c>
      <c r="O747">
        <v>1.9678629999999999E-2</v>
      </c>
      <c r="P747">
        <v>0.99554769999999904</v>
      </c>
      <c r="Q747">
        <v>5.4142829999999998E-3</v>
      </c>
      <c r="R747">
        <v>9.41052E-2</v>
      </c>
      <c r="S747">
        <v>3.0178829999999999</v>
      </c>
      <c r="T747">
        <v>-0.218444999999999</v>
      </c>
      <c r="U747">
        <v>-3.3386230000000003E-2</v>
      </c>
      <c r="V747">
        <v>-7.4500289999999997E-2</v>
      </c>
      <c r="W747">
        <v>1.2553669999999999E-2</v>
      </c>
      <c r="X747">
        <v>0.99714199999999997</v>
      </c>
      <c r="Y747">
        <v>3.0606370000000001E-2</v>
      </c>
      <c r="Z747">
        <v>-2.5287280000000001E-3</v>
      </c>
      <c r="AA747">
        <v>0.99952830000000004</v>
      </c>
      <c r="AB747">
        <v>36</v>
      </c>
      <c r="AC747">
        <v>0.58640000000002601</v>
      </c>
      <c r="AD747">
        <v>-5.6358000000000102E-2</v>
      </c>
      <c r="AE747">
        <v>-1.29000000000019E-2</v>
      </c>
      <c r="AF747">
        <v>2.4213798144645301E-2</v>
      </c>
      <c r="AG747">
        <v>-5.6358000000000102E-2</v>
      </c>
      <c r="AH747">
        <v>0.58067160710608601</v>
      </c>
      <c r="AI747">
        <v>95.5387855973065</v>
      </c>
      <c r="AJ747">
        <v>87.612169898340397</v>
      </c>
      <c r="AK747">
        <v>0.58390242976353002</v>
      </c>
    </row>
    <row r="748" spans="1:37" x14ac:dyDescent="0.2">
      <c r="A748" t="str">
        <f>"20200111155807770"</f>
        <v>20200111155807770</v>
      </c>
      <c r="B748" t="str">
        <f>"1578729487761602"</f>
        <v>1578729487761602</v>
      </c>
      <c r="C748" t="s">
        <v>37</v>
      </c>
      <c r="D748">
        <v>5.919791</v>
      </c>
      <c r="E748">
        <v>0.54123330000000003</v>
      </c>
      <c r="F748" t="s">
        <v>38</v>
      </c>
      <c r="G748">
        <v>-344.84519999999998</v>
      </c>
      <c r="H748">
        <v>1.0374719999999999</v>
      </c>
      <c r="I748">
        <v>368.18470000000002</v>
      </c>
      <c r="J748">
        <v>-345.47739999999999</v>
      </c>
      <c r="K748">
        <v>1.10351</v>
      </c>
      <c r="L748">
        <v>368.20049999999998</v>
      </c>
      <c r="M748">
        <v>0.9997779</v>
      </c>
      <c r="N748">
        <v>0</v>
      </c>
      <c r="O748">
        <v>1.980403E-2</v>
      </c>
      <c r="P748">
        <v>0.99554519999999902</v>
      </c>
      <c r="Q748">
        <v>4.6471409999999996E-3</v>
      </c>
      <c r="R748">
        <v>9.4170279999999995E-2</v>
      </c>
      <c r="S748">
        <v>3.0177610000000001</v>
      </c>
      <c r="T748">
        <v>-0.22059690000000001</v>
      </c>
      <c r="U748">
        <v>-3.3416750000000002E-2</v>
      </c>
      <c r="V748">
        <v>-7.444009E-2</v>
      </c>
      <c r="W748">
        <v>1.1815579999999999E-2</v>
      </c>
      <c r="X748">
        <v>0.99715549999999997</v>
      </c>
      <c r="Y748">
        <v>3.0738990000000001E-2</v>
      </c>
      <c r="Z748">
        <v>-2.5676700000000002E-3</v>
      </c>
      <c r="AA748">
        <v>0.99952419999999997</v>
      </c>
      <c r="AB748">
        <v>36</v>
      </c>
      <c r="AC748">
        <v>0.63220000000001098</v>
      </c>
      <c r="AD748">
        <v>-6.6037999999999999E-2</v>
      </c>
      <c r="AE748">
        <v>-1.5799999999955999E-2</v>
      </c>
      <c r="AF748">
        <v>2.8011877296582399E-2</v>
      </c>
      <c r="AG748">
        <v>-6.6037999999999999E-2</v>
      </c>
      <c r="AH748">
        <v>0.62494831647202698</v>
      </c>
      <c r="AI748">
        <v>96.026027943183095</v>
      </c>
      <c r="AJ748">
        <v>87.433565677746202</v>
      </c>
      <c r="AK748">
        <v>0.62905173155703098</v>
      </c>
    </row>
    <row r="749" spans="1:37" x14ac:dyDescent="0.2">
      <c r="A749" t="str">
        <f>"20200111155807783"</f>
        <v>20200111155807783</v>
      </c>
      <c r="B749" t="str">
        <f>"1578729487772340"</f>
        <v>1578729487772340</v>
      </c>
      <c r="C749" t="s">
        <v>37</v>
      </c>
      <c r="D749">
        <v>6.0013459999999998</v>
      </c>
      <c r="E749">
        <v>0.54130999999999996</v>
      </c>
      <c r="F749" t="s">
        <v>38</v>
      </c>
      <c r="G749">
        <v>-344.5215</v>
      </c>
      <c r="H749">
        <v>1.0335379999999901</v>
      </c>
      <c r="I749">
        <v>368.18950000000001</v>
      </c>
      <c r="J749">
        <v>-345.2645</v>
      </c>
      <c r="K749">
        <v>1.103505</v>
      </c>
      <c r="L749">
        <v>368.20479999999998</v>
      </c>
      <c r="M749">
        <v>0.99977569999999905</v>
      </c>
      <c r="N749">
        <v>0</v>
      </c>
      <c r="O749">
        <v>1.9901269999999999E-2</v>
      </c>
      <c r="P749">
        <v>0.99555349999999998</v>
      </c>
      <c r="Q749">
        <v>4.3811240000000001E-3</v>
      </c>
      <c r="R749">
        <v>9.4095899999999996E-2</v>
      </c>
      <c r="S749">
        <v>3.0176699999999999</v>
      </c>
      <c r="T749">
        <v>-0.22109519999999999</v>
      </c>
      <c r="U749">
        <v>-3.4088130000000001E-2</v>
      </c>
      <c r="V749">
        <v>-7.4268169999999994E-2</v>
      </c>
      <c r="W749">
        <v>1.157145E-2</v>
      </c>
      <c r="X749">
        <v>0.99717119999999904</v>
      </c>
      <c r="Y749">
        <v>3.1057169999999999E-2</v>
      </c>
      <c r="Z749">
        <v>-2.5922850000000002E-3</v>
      </c>
      <c r="AA749">
        <v>0.99951420000000002</v>
      </c>
      <c r="AB749">
        <v>36</v>
      </c>
      <c r="AC749">
        <v>0.742999999999994</v>
      </c>
      <c r="AD749">
        <v>-6.9967000000000099E-2</v>
      </c>
      <c r="AE749">
        <v>-1.5299999999967799E-2</v>
      </c>
      <c r="AF749">
        <v>2.9819682739785702E-2</v>
      </c>
      <c r="AG749">
        <v>-6.9967000000000099E-2</v>
      </c>
      <c r="AH749">
        <v>0.73602429932327995</v>
      </c>
      <c r="AI749">
        <v>95.425835738792003</v>
      </c>
      <c r="AJ749">
        <v>87.679956935417593</v>
      </c>
      <c r="AK749">
        <v>0.73994348687046896</v>
      </c>
    </row>
    <row r="750" spans="1:37" x14ac:dyDescent="0.2">
      <c r="A750" t="str">
        <f>"20200111155807796"</f>
        <v>20200111155807796</v>
      </c>
      <c r="B750" t="str">
        <f>"1578729487791858"</f>
        <v>1578729487791858</v>
      </c>
      <c r="C750" t="s">
        <v>37</v>
      </c>
      <c r="D750">
        <v>5.9595000000000002</v>
      </c>
      <c r="E750">
        <v>0.54149309999999995</v>
      </c>
      <c r="F750" t="s">
        <v>38</v>
      </c>
      <c r="G750">
        <v>-344.51220000000001</v>
      </c>
      <c r="H750">
        <v>1.048222</v>
      </c>
      <c r="I750">
        <v>368.19580000000002</v>
      </c>
      <c r="J750">
        <v>-345.05119999999999</v>
      </c>
      <c r="K750">
        <v>1.1034979999999901</v>
      </c>
      <c r="L750">
        <v>368.20909999999998</v>
      </c>
      <c r="M750">
        <v>0.99977380000000005</v>
      </c>
      <c r="N750">
        <v>0</v>
      </c>
      <c r="O750">
        <v>1.9997609999999999E-2</v>
      </c>
      <c r="P750">
        <v>0.995552199999999</v>
      </c>
      <c r="Q750">
        <v>3.9973819999999998E-3</v>
      </c>
      <c r="R750">
        <v>9.4130099999999994E-2</v>
      </c>
      <c r="S750">
        <v>3.0177</v>
      </c>
      <c r="T750">
        <v>-0.22210740000000001</v>
      </c>
      <c r="U750">
        <v>-3.533936E-2</v>
      </c>
      <c r="V750">
        <v>-7.4207140000000005E-2</v>
      </c>
      <c r="W750">
        <v>1.120812E-2</v>
      </c>
      <c r="X750">
        <v>0.99717990000000001</v>
      </c>
      <c r="Y750">
        <v>3.1564849999999998E-2</v>
      </c>
      <c r="Z750">
        <v>-2.6298269999999999E-3</v>
      </c>
      <c r="AA750">
        <v>0.9994982</v>
      </c>
      <c r="AB750">
        <v>36</v>
      </c>
      <c r="AC750">
        <v>0.53899999999998705</v>
      </c>
      <c r="AD750">
        <v>-5.5275999999999798E-2</v>
      </c>
      <c r="AE750">
        <v>-1.32999999999583E-2</v>
      </c>
      <c r="AF750">
        <v>2.3825907878202102E-2</v>
      </c>
      <c r="AG750">
        <v>-5.5275999999999798E-2</v>
      </c>
      <c r="AH750">
        <v>0.53302378496522196</v>
      </c>
      <c r="AI750">
        <v>95.914699171508502</v>
      </c>
      <c r="AJ750">
        <v>87.440609786366096</v>
      </c>
      <c r="AK750">
        <v>0.53641165666013602</v>
      </c>
    </row>
    <row r="751" spans="1:37" x14ac:dyDescent="0.2">
      <c r="A751" t="str">
        <f>"20200111155807809"</f>
        <v>20200111155807809</v>
      </c>
      <c r="B751" t="str">
        <f>"1578729487801619"</f>
        <v>1578729487801619</v>
      </c>
      <c r="C751" t="s">
        <v>37</v>
      </c>
      <c r="D751">
        <v>5.9927529999999898</v>
      </c>
      <c r="E751">
        <v>0.54155679999999995</v>
      </c>
      <c r="F751" t="s">
        <v>38</v>
      </c>
      <c r="G751">
        <v>-344.19220000000001</v>
      </c>
      <c r="H751">
        <v>1.039922</v>
      </c>
      <c r="I751">
        <v>368.19850000000002</v>
      </c>
      <c r="J751">
        <v>-344.84440000000001</v>
      </c>
      <c r="K751">
        <v>1.1034930000000001</v>
      </c>
      <c r="L751">
        <v>368.2133</v>
      </c>
      <c r="M751">
        <v>0.99977179999999999</v>
      </c>
      <c r="N751">
        <v>0</v>
      </c>
      <c r="O751">
        <v>2.009033E-2</v>
      </c>
      <c r="P751">
        <v>0.99555769999999899</v>
      </c>
      <c r="Q751">
        <v>3.8684420000000001E-3</v>
      </c>
      <c r="R751">
        <v>9.407633E-2</v>
      </c>
      <c r="S751">
        <v>3.0177309999999999</v>
      </c>
      <c r="T751">
        <v>-0.2234942</v>
      </c>
      <c r="U751">
        <v>-3.6590579999999998E-2</v>
      </c>
      <c r="V751">
        <v>-7.4059810000000004E-2</v>
      </c>
      <c r="W751">
        <v>1.1098459999999999E-2</v>
      </c>
      <c r="X751">
        <v>0.99719199999999997</v>
      </c>
      <c r="Y751">
        <v>3.2068409999999999E-2</v>
      </c>
      <c r="Z751">
        <v>-2.6716489999999999E-3</v>
      </c>
      <c r="AA751">
        <v>0.99948210000000004</v>
      </c>
      <c r="AB751">
        <v>36</v>
      </c>
      <c r="AC751">
        <v>0.65219999999999301</v>
      </c>
      <c r="AD751">
        <v>-6.3571000000000003E-2</v>
      </c>
      <c r="AE751">
        <v>-1.4799999999979699E-2</v>
      </c>
      <c r="AF751">
        <v>2.7637827317357599E-2</v>
      </c>
      <c r="AG751">
        <v>-6.3571000000000003E-2</v>
      </c>
      <c r="AH751">
        <v>0.64564012545705296</v>
      </c>
      <c r="AI751">
        <v>95.618217737403597</v>
      </c>
      <c r="AJ751">
        <v>87.548843969357307</v>
      </c>
      <c r="AK751">
        <v>0.64935067039314198</v>
      </c>
    </row>
    <row r="752" spans="1:37" x14ac:dyDescent="0.2">
      <c r="A752" t="str">
        <f>"20200111155807821"</f>
        <v>20200111155807821</v>
      </c>
      <c r="B752" t="str">
        <f>"1578729487811379"</f>
        <v>1578729487811379</v>
      </c>
      <c r="C752" t="s">
        <v>37</v>
      </c>
      <c r="D752">
        <v>5.9994100000000001</v>
      </c>
      <c r="E752">
        <v>0.54164460000000003</v>
      </c>
      <c r="F752" t="s">
        <v>38</v>
      </c>
      <c r="G752">
        <v>-343.86950000000002</v>
      </c>
      <c r="H752">
        <v>1.031328</v>
      </c>
      <c r="I752">
        <v>368.2011</v>
      </c>
      <c r="J752">
        <v>-344.63929999999999</v>
      </c>
      <c r="K752">
        <v>1.103494</v>
      </c>
      <c r="L752">
        <v>368.21749999999997</v>
      </c>
      <c r="M752">
        <v>0.99976980000000004</v>
      </c>
      <c r="N752">
        <v>0</v>
      </c>
      <c r="O752">
        <v>2.0181020000000001E-2</v>
      </c>
      <c r="P752">
        <v>0.99557619999999902</v>
      </c>
      <c r="Q752">
        <v>3.408538E-3</v>
      </c>
      <c r="R752">
        <v>9.3896629999999995E-2</v>
      </c>
      <c r="S752">
        <v>3.017792</v>
      </c>
      <c r="T752">
        <v>-0.22353890000000001</v>
      </c>
      <c r="U752">
        <v>-3.7414549999999998E-2</v>
      </c>
      <c r="V752">
        <v>-7.3789140000000003E-2</v>
      </c>
      <c r="W752">
        <v>1.065646E-2</v>
      </c>
      <c r="X752">
        <v>0.99721689999999996</v>
      </c>
      <c r="Y752">
        <v>3.2430399999999998E-2</v>
      </c>
      <c r="Z752">
        <v>-2.6922209999999999E-3</v>
      </c>
      <c r="AA752">
        <v>0.99947039999999998</v>
      </c>
      <c r="AB752">
        <v>36</v>
      </c>
      <c r="AC752">
        <v>0.76979999999997495</v>
      </c>
      <c r="AD752">
        <v>-7.2165999999999897E-2</v>
      </c>
      <c r="AE752">
        <v>-1.6399999999975899E-2</v>
      </c>
      <c r="AF752">
        <v>3.1654356597966102E-2</v>
      </c>
      <c r="AG752">
        <v>-7.2165999999999897E-2</v>
      </c>
      <c r="AH752">
        <v>0.76261313542185505</v>
      </c>
      <c r="AI752">
        <v>95.401172630157802</v>
      </c>
      <c r="AJ752">
        <v>87.623145411610807</v>
      </c>
      <c r="AK752">
        <v>0.76667380558199905</v>
      </c>
    </row>
    <row r="753" spans="1:37" x14ac:dyDescent="0.2">
      <c r="A753" t="str">
        <f>"20200111155807838"</f>
        <v>20200111155807838</v>
      </c>
      <c r="B753" t="str">
        <f>"1578729487831875"</f>
        <v>1578729487831875</v>
      </c>
      <c r="C753" t="s">
        <v>37</v>
      </c>
      <c r="D753">
        <v>6.0028920000000001</v>
      </c>
      <c r="E753">
        <v>0.54180620000000002</v>
      </c>
      <c r="F753" t="s">
        <v>38</v>
      </c>
      <c r="G753">
        <v>-343.86169999999998</v>
      </c>
      <c r="H753">
        <v>1.0455939999999999</v>
      </c>
      <c r="I753">
        <v>368.20740000000001</v>
      </c>
      <c r="J753">
        <v>-344.36349999999999</v>
      </c>
      <c r="K753">
        <v>1.1034930000000001</v>
      </c>
      <c r="L753">
        <v>368.22320000000002</v>
      </c>
      <c r="M753">
        <v>0.99976719999999897</v>
      </c>
      <c r="N753">
        <v>0</v>
      </c>
      <c r="O753">
        <v>2.030042E-2</v>
      </c>
      <c r="P753">
        <v>0.99555280000000002</v>
      </c>
      <c r="Q753">
        <v>3.3904629999999998E-3</v>
      </c>
      <c r="R753">
        <v>9.414496E-2</v>
      </c>
      <c r="S753">
        <v>3.017792</v>
      </c>
      <c r="T753">
        <v>-0.22484399999999999</v>
      </c>
      <c r="U753">
        <v>-3.8574219999999999E-2</v>
      </c>
      <c r="V753">
        <v>-7.3918949999999997E-2</v>
      </c>
      <c r="W753">
        <v>1.0660269999999999E-2</v>
      </c>
      <c r="X753">
        <v>0.99720730000000002</v>
      </c>
      <c r="Y753">
        <v>3.293037E-2</v>
      </c>
      <c r="Z753">
        <v>-2.7353719999999998E-3</v>
      </c>
      <c r="AA753">
        <v>0.99945390000000001</v>
      </c>
      <c r="AB753">
        <v>36</v>
      </c>
      <c r="AC753">
        <v>0.50180000000000202</v>
      </c>
      <c r="AD753">
        <v>-5.7898999999999902E-2</v>
      </c>
      <c r="AE753">
        <v>-1.5800000000012901E-2</v>
      </c>
      <c r="AF753">
        <v>2.5642719551387701E-2</v>
      </c>
      <c r="AG753">
        <v>-5.7898999999999902E-2</v>
      </c>
      <c r="AH753">
        <v>0.49479507433342601</v>
      </c>
      <c r="AI753">
        <v>96.665313329544801</v>
      </c>
      <c r="AJ753">
        <v>87.033304407063</v>
      </c>
      <c r="AK753">
        <v>0.49883064145219802</v>
      </c>
    </row>
    <row r="754" spans="1:37" x14ac:dyDescent="0.2">
      <c r="A754" t="str">
        <f>"20200111155807852"</f>
        <v>20200111155807852</v>
      </c>
      <c r="B754" t="str">
        <f>"1578729487841635"</f>
        <v>1578729487841635</v>
      </c>
      <c r="C754" t="s">
        <v>37</v>
      </c>
      <c r="D754">
        <v>5.9927739999999998</v>
      </c>
      <c r="E754">
        <v>0.54187810000000003</v>
      </c>
      <c r="F754" t="s">
        <v>38</v>
      </c>
      <c r="G754">
        <v>-343.5369</v>
      </c>
      <c r="H754">
        <v>1.0419259999999999</v>
      </c>
      <c r="I754">
        <v>368.21230000000003</v>
      </c>
      <c r="J754">
        <v>-344.13670000000002</v>
      </c>
      <c r="K754">
        <v>1.1034930000000001</v>
      </c>
      <c r="L754">
        <v>368.22789999999998</v>
      </c>
      <c r="M754">
        <v>0.99976509999999996</v>
      </c>
      <c r="N754">
        <v>0</v>
      </c>
      <c r="O754">
        <v>2.0396589999999999E-2</v>
      </c>
      <c r="P754">
        <v>0.99554189999999998</v>
      </c>
      <c r="Q754">
        <v>3.441108E-3</v>
      </c>
      <c r="R754">
        <v>9.4258449999999994E-2</v>
      </c>
      <c r="S754">
        <v>3.0178529999999899</v>
      </c>
      <c r="T754">
        <v>-0.2249784</v>
      </c>
      <c r="U754">
        <v>-3.9031980000000001E-2</v>
      </c>
      <c r="V754">
        <v>-7.3936500000000002E-2</v>
      </c>
      <c r="W754">
        <v>1.073036E-2</v>
      </c>
      <c r="X754">
        <v>0.99720520000000001</v>
      </c>
      <c r="Y754">
        <v>3.3176709999999998E-2</v>
      </c>
      <c r="Z754">
        <v>-2.753274E-3</v>
      </c>
      <c r="AA754">
        <v>0.99944569999999999</v>
      </c>
      <c r="AB754">
        <v>37</v>
      </c>
      <c r="AC754">
        <v>0.59980000000001599</v>
      </c>
      <c r="AD754">
        <v>-6.15669999999999E-2</v>
      </c>
      <c r="AE754">
        <v>-1.5599999999949399E-2</v>
      </c>
      <c r="AF754">
        <v>2.75409773890389E-2</v>
      </c>
      <c r="AG754">
        <v>-6.15669999999999E-2</v>
      </c>
      <c r="AH754">
        <v>0.593112110450841</v>
      </c>
      <c r="AI754">
        <v>95.919933516063494</v>
      </c>
      <c r="AJ754">
        <v>87.341397912095303</v>
      </c>
      <c r="AK754">
        <v>0.59693465009831204</v>
      </c>
    </row>
    <row r="755" spans="1:37" x14ac:dyDescent="0.2">
      <c r="A755" t="str">
        <f>"20200111155807865"</f>
        <v>20200111155807865</v>
      </c>
      <c r="B755" t="str">
        <f>"1578729487862131"</f>
        <v>1578729487862131</v>
      </c>
      <c r="C755" t="s">
        <v>37</v>
      </c>
      <c r="D755">
        <v>6.1939869999999999</v>
      </c>
      <c r="E755">
        <v>0.5419136</v>
      </c>
      <c r="F755" t="s">
        <v>38</v>
      </c>
      <c r="G755">
        <v>-343.21210000000002</v>
      </c>
      <c r="H755">
        <v>1.0346219999999999</v>
      </c>
      <c r="I755">
        <v>368.21570000000003</v>
      </c>
      <c r="J755">
        <v>-343.92779999999999</v>
      </c>
      <c r="K755">
        <v>1.1034889999999999</v>
      </c>
      <c r="L755">
        <v>368.23219999999998</v>
      </c>
      <c r="M755">
        <v>0.99976309999999902</v>
      </c>
      <c r="N755">
        <v>0</v>
      </c>
      <c r="O755">
        <v>2.0484120000000001E-2</v>
      </c>
      <c r="P755">
        <v>0.99551959999999995</v>
      </c>
      <c r="Q755">
        <v>3.6692879999999902E-3</v>
      </c>
      <c r="R755">
        <v>9.4483819999999996E-2</v>
      </c>
      <c r="S755">
        <v>3.017944</v>
      </c>
      <c r="T755">
        <v>-0.2248175</v>
      </c>
      <c r="U755">
        <v>-3.9306639999999997E-2</v>
      </c>
      <c r="V755">
        <v>-7.4074660000000001E-2</v>
      </c>
      <c r="W755">
        <v>1.09763999999999E-2</v>
      </c>
      <c r="X755">
        <v>0.99719230000000003</v>
      </c>
      <c r="Y755">
        <v>3.3354250000000002E-2</v>
      </c>
      <c r="Z755">
        <v>-2.7643390000000002E-3</v>
      </c>
      <c r="AA755">
        <v>0.99943979999999999</v>
      </c>
      <c r="AB755">
        <v>37</v>
      </c>
      <c r="AC755">
        <v>0.71569999999996903</v>
      </c>
      <c r="AD755">
        <v>-6.8866999999999998E-2</v>
      </c>
      <c r="AE755">
        <v>-1.6499999999950801E-2</v>
      </c>
      <c r="AF755">
        <v>3.0871732318129601E-2</v>
      </c>
      <c r="AG755">
        <v>-6.8866999999999998E-2</v>
      </c>
      <c r="AH755">
        <v>0.70865394136314797</v>
      </c>
      <c r="AI755">
        <v>95.545348624033295</v>
      </c>
      <c r="AJ755">
        <v>87.505549360946702</v>
      </c>
      <c r="AK755">
        <v>0.71266130535819505</v>
      </c>
    </row>
    <row r="756" spans="1:37" x14ac:dyDescent="0.2">
      <c r="A756" t="str">
        <f>"20200111155807882"</f>
        <v>20200111155807882</v>
      </c>
      <c r="B756" t="str">
        <f>"1578729487871891"</f>
        <v>1578729487871891</v>
      </c>
      <c r="C756" t="s">
        <v>37</v>
      </c>
      <c r="D756">
        <v>6.3497890000000003</v>
      </c>
      <c r="E756">
        <v>0.54168669999999997</v>
      </c>
      <c r="F756" t="s">
        <v>38</v>
      </c>
      <c r="G756">
        <v>-342.88709999999998</v>
      </c>
      <c r="H756">
        <v>1.0263199999999999</v>
      </c>
      <c r="I756">
        <v>368.21859999999998</v>
      </c>
      <c r="J756">
        <v>-343.64599999999899</v>
      </c>
      <c r="K756">
        <v>1.103486</v>
      </c>
      <c r="L756">
        <v>368.23809999999997</v>
      </c>
      <c r="M756">
        <v>0.99976069999999995</v>
      </c>
      <c r="N756">
        <v>0</v>
      </c>
      <c r="O756">
        <v>2.059826E-2</v>
      </c>
      <c r="P756">
        <v>0.99546019999999902</v>
      </c>
      <c r="Q756">
        <v>3.8337890000000002E-3</v>
      </c>
      <c r="R756">
        <v>9.5105389999999998E-2</v>
      </c>
      <c r="S756">
        <v>3.018005</v>
      </c>
      <c r="T756">
        <v>-0.22393099999999999</v>
      </c>
      <c r="U756">
        <v>-3.8970949999999997E-2</v>
      </c>
      <c r="V756">
        <v>-7.4584239999999996E-2</v>
      </c>
      <c r="W756">
        <v>1.116664E-2</v>
      </c>
      <c r="X756">
        <v>0.99715219999999904</v>
      </c>
      <c r="Y756">
        <v>3.33578E-2</v>
      </c>
      <c r="Z756">
        <v>-2.7620029999999999E-3</v>
      </c>
      <c r="AA756">
        <v>0.99943969999999904</v>
      </c>
      <c r="AB756">
        <v>37</v>
      </c>
      <c r="AC756">
        <v>0.75889999999998203</v>
      </c>
      <c r="AD756">
        <v>-7.7165999999999804E-2</v>
      </c>
      <c r="AE756">
        <v>-1.9499999999993599E-2</v>
      </c>
      <c r="AF756">
        <v>3.4769062370911902E-2</v>
      </c>
      <c r="AG756">
        <v>-7.7165999999999804E-2</v>
      </c>
      <c r="AH756">
        <v>0.75058207573963698</v>
      </c>
      <c r="AI756">
        <v>95.863610176405203</v>
      </c>
      <c r="AJ756">
        <v>87.347795092606503</v>
      </c>
      <c r="AK756">
        <v>0.75533895151499697</v>
      </c>
    </row>
    <row r="757" spans="1:37" x14ac:dyDescent="0.2">
      <c r="A757" t="str">
        <f>"20200111155807905"</f>
        <v>20200111155807905</v>
      </c>
      <c r="B757" t="str">
        <f>"1578729487902147"</f>
        <v>1578729487902147</v>
      </c>
      <c r="C757" t="s">
        <v>37</v>
      </c>
      <c r="D757">
        <v>6.2021249999999997</v>
      </c>
      <c r="E757">
        <v>0.54094509999999996</v>
      </c>
      <c r="F757" t="s">
        <v>38</v>
      </c>
      <c r="G757">
        <v>-342.87520000000001</v>
      </c>
      <c r="H757">
        <v>1.047342</v>
      </c>
      <c r="I757">
        <v>368.22879999999998</v>
      </c>
      <c r="J757">
        <v>-343.28289999999998</v>
      </c>
      <c r="K757">
        <v>1.1034809999999999</v>
      </c>
      <c r="L757">
        <v>368.2457</v>
      </c>
      <c r="M757">
        <v>0.99975749999999997</v>
      </c>
      <c r="N757">
        <v>0</v>
      </c>
      <c r="O757">
        <v>2.074343E-2</v>
      </c>
      <c r="P757">
        <v>0.99541360000000001</v>
      </c>
      <c r="Q757">
        <v>3.5637020000000002E-3</v>
      </c>
      <c r="R757">
        <v>9.5600530000000003E-2</v>
      </c>
      <c r="S757">
        <v>3.01791399999999</v>
      </c>
      <c r="T757">
        <v>-0.22002820000000001</v>
      </c>
      <c r="U757">
        <v>-3.567505E-2</v>
      </c>
      <c r="V757">
        <v>-7.4934860000000006E-2</v>
      </c>
      <c r="W757">
        <v>1.0928719999999999E-2</v>
      </c>
      <c r="X757">
        <v>0.99712849999999997</v>
      </c>
      <c r="Y757">
        <v>3.2419179999999999E-2</v>
      </c>
      <c r="Z757">
        <v>-2.6904899999999998E-3</v>
      </c>
      <c r="AA757">
        <v>0.99947070000000005</v>
      </c>
      <c r="AB757">
        <v>37</v>
      </c>
      <c r="AC757">
        <v>0.40769999999997703</v>
      </c>
      <c r="AD757">
        <v>-5.6138999999999897E-2</v>
      </c>
      <c r="AE757">
        <v>-1.6900000000020999E-2</v>
      </c>
      <c r="AF757">
        <v>2.4882713578228799E-2</v>
      </c>
      <c r="AG757">
        <v>-5.6138999999999897E-2</v>
      </c>
      <c r="AH757">
        <v>0.39969628811702201</v>
      </c>
      <c r="AI757">
        <v>97.979880378010293</v>
      </c>
      <c r="AJ757">
        <v>86.437702779692103</v>
      </c>
      <c r="AK757">
        <v>0.40438578052466301</v>
      </c>
    </row>
    <row r="758" spans="1:37" x14ac:dyDescent="0.2">
      <c r="A758" t="str">
        <f>"20200111155807916"</f>
        <v>20200111155807916</v>
      </c>
      <c r="B758" t="str">
        <f>"1578729487911908"</f>
        <v>1578729487911908</v>
      </c>
      <c r="C758" t="s">
        <v>37</v>
      </c>
      <c r="D758">
        <v>6.3182339999999897</v>
      </c>
      <c r="E758">
        <v>0.54094180000000003</v>
      </c>
      <c r="F758" t="s">
        <v>38</v>
      </c>
      <c r="G758">
        <v>-342.54309999999998</v>
      </c>
      <c r="H758">
        <v>1.0499369999999999</v>
      </c>
      <c r="I758">
        <v>368.23849999999999</v>
      </c>
      <c r="J758">
        <v>-343.07580000000002</v>
      </c>
      <c r="K758">
        <v>1.1034809999999999</v>
      </c>
      <c r="L758">
        <v>368.25009999999997</v>
      </c>
      <c r="M758">
        <v>0.99975559999999997</v>
      </c>
      <c r="N758">
        <v>0</v>
      </c>
      <c r="O758">
        <v>2.0824760000000001E-2</v>
      </c>
      <c r="P758">
        <v>0.99541219999999997</v>
      </c>
      <c r="Q758">
        <v>3.2074769999999998E-3</v>
      </c>
      <c r="R758">
        <v>9.5626909999999996E-2</v>
      </c>
      <c r="S758">
        <v>3.0173030000000001</v>
      </c>
      <c r="T758">
        <v>-0.2187935</v>
      </c>
      <c r="U758">
        <v>-2.8076170000000001E-2</v>
      </c>
      <c r="V758">
        <v>-7.4879979999999999E-2</v>
      </c>
      <c r="W758">
        <v>1.059066E-2</v>
      </c>
      <c r="X758">
        <v>0.99713629999999998</v>
      </c>
      <c r="Y758">
        <v>2.999365E-2</v>
      </c>
      <c r="Z758">
        <v>-2.5940629999999902E-3</v>
      </c>
      <c r="AA758">
        <v>0.99954669999999901</v>
      </c>
      <c r="AB758">
        <v>37</v>
      </c>
      <c r="AC758">
        <v>0.53270000000003304</v>
      </c>
      <c r="AD758">
        <v>-5.35439999999998E-2</v>
      </c>
      <c r="AE758">
        <v>-1.15999999999871E-2</v>
      </c>
      <c r="AF758">
        <v>2.24642872223214E-2</v>
      </c>
      <c r="AG758">
        <v>-5.35439999999998E-2</v>
      </c>
      <c r="AH758">
        <v>0.52702085892329098</v>
      </c>
      <c r="AI758">
        <v>95.795975247335207</v>
      </c>
      <c r="AJ758">
        <v>87.559242369821305</v>
      </c>
      <c r="AK758">
        <v>0.53020994886615502</v>
      </c>
    </row>
    <row r="759" spans="1:37" x14ac:dyDescent="0.2">
      <c r="A759" t="str">
        <f>"20200111155807929"</f>
        <v>20200111155807929</v>
      </c>
      <c r="B759" t="str">
        <f>"1578729487921667"</f>
        <v>1578729487921667</v>
      </c>
      <c r="C759" t="s">
        <v>37</v>
      </c>
      <c r="D759">
        <v>6.3747720000000001</v>
      </c>
      <c r="E759">
        <v>0.54106989999999999</v>
      </c>
      <c r="F759" t="s">
        <v>38</v>
      </c>
      <c r="G759">
        <v>-342.22</v>
      </c>
      <c r="H759">
        <v>1.041312</v>
      </c>
      <c r="I759">
        <v>368.241999999999</v>
      </c>
      <c r="J759">
        <v>-342.86759999999998</v>
      </c>
      <c r="K759">
        <v>1.1034809999999999</v>
      </c>
      <c r="L759">
        <v>368.25450000000001</v>
      </c>
      <c r="M759">
        <v>0.99975380000000003</v>
      </c>
      <c r="N759">
        <v>0</v>
      </c>
      <c r="O759">
        <v>2.0905380000000001E-2</v>
      </c>
      <c r="P759">
        <v>0.99539529999999998</v>
      </c>
      <c r="Q759">
        <v>3.3749829999999998E-3</v>
      </c>
      <c r="R759">
        <v>9.5797160000000006E-2</v>
      </c>
      <c r="S759">
        <v>3.017242</v>
      </c>
      <c r="T759">
        <v>-0.2192731</v>
      </c>
      <c r="U759">
        <v>-2.8137209999999999E-2</v>
      </c>
      <c r="V759">
        <v>-7.4970159999999994E-2</v>
      </c>
      <c r="W759">
        <v>1.077709E-2</v>
      </c>
      <c r="X759">
        <v>0.99712749999999895</v>
      </c>
      <c r="Y759">
        <v>3.009359E-2</v>
      </c>
      <c r="Z759">
        <v>-2.609264E-3</v>
      </c>
      <c r="AA759">
        <v>0.99954370000000003</v>
      </c>
      <c r="AB759">
        <v>37</v>
      </c>
      <c r="AC759">
        <v>0.64759999999995399</v>
      </c>
      <c r="AD759">
        <v>-6.2168999999999898E-2</v>
      </c>
      <c r="AE759">
        <v>-1.25000000000454E-2</v>
      </c>
      <c r="AF759">
        <v>2.57983025299292E-2</v>
      </c>
      <c r="AG759">
        <v>-6.2168999999999898E-2</v>
      </c>
      <c r="AH759">
        <v>0.64128933297383395</v>
      </c>
      <c r="AI759">
        <v>95.532718021286001</v>
      </c>
      <c r="AJ759">
        <v>87.696301546886701</v>
      </c>
      <c r="AK759">
        <v>0.64481202343043398</v>
      </c>
    </row>
    <row r="760" spans="1:37" x14ac:dyDescent="0.2">
      <c r="A760" t="str">
        <f>"20200111155808139"</f>
        <v>20200111155808139</v>
      </c>
      <c r="B760" t="str">
        <f>"1578729488132016"</f>
        <v>1578729488132016</v>
      </c>
      <c r="C760" t="s">
        <v>37</v>
      </c>
      <c r="D760">
        <v>5.8337949999999896</v>
      </c>
      <c r="E760">
        <v>0.57418009999999997</v>
      </c>
      <c r="F760" t="s">
        <v>38</v>
      </c>
      <c r="G760">
        <v>-338.87619999999998</v>
      </c>
      <c r="H760">
        <v>1.047347</v>
      </c>
      <c r="I760">
        <v>368.3177</v>
      </c>
      <c r="J760">
        <v>-339.3605</v>
      </c>
      <c r="K760">
        <v>1.1034870000000001</v>
      </c>
      <c r="L760">
        <v>368.33089999999999</v>
      </c>
      <c r="M760">
        <v>0.9997241</v>
      </c>
      <c r="N760">
        <v>0</v>
      </c>
      <c r="O760">
        <v>2.2154179999999999E-2</v>
      </c>
      <c r="P760">
        <v>0.99542469999999905</v>
      </c>
      <c r="Q760">
        <v>8.1231629999999999E-4</v>
      </c>
      <c r="R760">
        <v>9.5544309999999993E-2</v>
      </c>
      <c r="S760">
        <v>3.0168759999999999</v>
      </c>
      <c r="T760">
        <v>-0.22413240000000001</v>
      </c>
      <c r="U760">
        <v>-2.838135E-2</v>
      </c>
      <c r="V760">
        <v>-7.3470110000000005E-2</v>
      </c>
      <c r="W760">
        <v>8.5770659999999995E-3</v>
      </c>
      <c r="X760">
        <v>0.99726049999999999</v>
      </c>
      <c r="Y760">
        <v>3.1411080000000001E-2</v>
      </c>
      <c r="Z760">
        <v>-2.8087679999999901E-3</v>
      </c>
      <c r="AA760">
        <v>0.99950260000000002</v>
      </c>
      <c r="AB760">
        <v>38</v>
      </c>
      <c r="AC760">
        <v>0.48430000000001799</v>
      </c>
      <c r="AD760">
        <v>-5.6140000000000002E-2</v>
      </c>
      <c r="AE760">
        <v>-1.31999999999834E-2</v>
      </c>
      <c r="AF760">
        <v>2.3609343109495601E-2</v>
      </c>
      <c r="AG760">
        <v>-5.6140000000000002E-2</v>
      </c>
      <c r="AH760">
        <v>0.47747738388266803</v>
      </c>
      <c r="AI760">
        <v>96.697726900910695</v>
      </c>
      <c r="AJ760">
        <v>87.169258783253198</v>
      </c>
      <c r="AK760">
        <v>0.48134577260167</v>
      </c>
    </row>
    <row r="761" spans="1:37" x14ac:dyDescent="0.2">
      <c r="A761" t="str">
        <f>"20200111155808207"</f>
        <v>20200111155808207</v>
      </c>
      <c r="B761" t="str">
        <f>"1578729488202288"</f>
        <v>1578729488202288</v>
      </c>
      <c r="C761" t="s">
        <v>37</v>
      </c>
      <c r="D761">
        <v>6.059634</v>
      </c>
      <c r="E761">
        <v>0.54070569999999996</v>
      </c>
      <c r="F761" t="s">
        <v>43</v>
      </c>
      <c r="G761">
        <v>0</v>
      </c>
      <c r="H761">
        <v>0</v>
      </c>
      <c r="I761">
        <v>0</v>
      </c>
      <c r="J761">
        <v>-338.2174</v>
      </c>
      <c r="K761">
        <v>1.103499</v>
      </c>
      <c r="L761">
        <v>368.35669999999999</v>
      </c>
      <c r="M761">
        <v>0.9997144</v>
      </c>
      <c r="N761">
        <v>0</v>
      </c>
      <c r="O761">
        <v>2.2552630000000001E-2</v>
      </c>
      <c r="P761">
        <v>0.9954537</v>
      </c>
      <c r="Q761">
        <v>1.4398169999999999E-3</v>
      </c>
      <c r="R761">
        <v>9.5235130000000001E-2</v>
      </c>
      <c r="S761">
        <v>3.0446469999999999</v>
      </c>
      <c r="T761">
        <v>0.48452479999999998</v>
      </c>
      <c r="U761">
        <v>-0.32501219999999997</v>
      </c>
      <c r="V761">
        <v>-7.2762499999999994E-2</v>
      </c>
      <c r="W761">
        <v>9.3137500000000008E-3</v>
      </c>
      <c r="X761">
        <v>0.99730580000000002</v>
      </c>
      <c r="Y761">
        <v>0.12668660000000001</v>
      </c>
      <c r="Z761">
        <v>1.3547180000000001E-2</v>
      </c>
      <c r="AA761">
        <v>0.99185029999999996</v>
      </c>
      <c r="AB761">
        <v>38</v>
      </c>
      <c r="AC761">
        <v>3.0446469999999999</v>
      </c>
      <c r="AD761">
        <v>0.48452479999999998</v>
      </c>
      <c r="AE761">
        <v>-0.32501219999999997</v>
      </c>
      <c r="AF761">
        <v>0.38398151260452601</v>
      </c>
      <c r="AG761">
        <v>0.48452479999999998</v>
      </c>
      <c r="AH761">
        <v>2.9623643634872701</v>
      </c>
      <c r="AI761">
        <v>80.786681059930601</v>
      </c>
      <c r="AJ761">
        <v>82.614502439454498</v>
      </c>
      <c r="AK761">
        <v>3.02618715645553</v>
      </c>
    </row>
    <row r="762" spans="1:37" x14ac:dyDescent="0.2">
      <c r="A762" t="str">
        <f>"20200111155808219"</f>
        <v>20200111155808219</v>
      </c>
      <c r="B762" t="str">
        <f>"1578729488212050"</f>
        <v>1578729488212050</v>
      </c>
      <c r="C762" t="s">
        <v>37</v>
      </c>
      <c r="D762">
        <v>6.0804269999999896</v>
      </c>
      <c r="E762">
        <v>0.54393179999999997</v>
      </c>
      <c r="F762" t="s">
        <v>38</v>
      </c>
      <c r="G762">
        <v>-337.2364</v>
      </c>
      <c r="H762">
        <v>0.94163169999999996</v>
      </c>
      <c r="I762">
        <v>368.35169999999999</v>
      </c>
      <c r="J762">
        <v>-337.9984</v>
      </c>
      <c r="K762">
        <v>1.103499</v>
      </c>
      <c r="L762">
        <v>368.36169999999998</v>
      </c>
      <c r="M762">
        <v>0.99971259999999995</v>
      </c>
      <c r="N762">
        <v>0</v>
      </c>
      <c r="O762">
        <v>2.2628909999999999E-2</v>
      </c>
      <c r="P762">
        <v>0.9954636</v>
      </c>
      <c r="Q762">
        <v>1.5801189999999901E-3</v>
      </c>
      <c r="R762">
        <v>9.5135220000000006E-2</v>
      </c>
      <c r="S762">
        <v>3.0158079999999998</v>
      </c>
      <c r="T762">
        <v>-0.49777569999999999</v>
      </c>
      <c r="U762">
        <v>-1.4556879999999999E-2</v>
      </c>
      <c r="V762">
        <v>-7.2586919999999999E-2</v>
      </c>
      <c r="W762">
        <v>9.4720540000000006E-3</v>
      </c>
      <c r="X762">
        <v>0.99731709999999996</v>
      </c>
      <c r="Y762">
        <v>2.6786359999999999E-2</v>
      </c>
      <c r="Z762">
        <v>-5.905586E-3</v>
      </c>
      <c r="AA762">
        <v>0.999623699999999</v>
      </c>
      <c r="AB762">
        <v>38</v>
      </c>
      <c r="AC762">
        <v>0.76200000000000001</v>
      </c>
      <c r="AD762">
        <v>-0.16186729999999999</v>
      </c>
      <c r="AE762">
        <v>-9.9999999999908998E-3</v>
      </c>
      <c r="AF762">
        <v>2.6065241408565299E-2</v>
      </c>
      <c r="AG762">
        <v>-0.16186729999999999</v>
      </c>
      <c r="AH762">
        <v>0.72870221811238101</v>
      </c>
      <c r="AI762">
        <v>102.51607116412799</v>
      </c>
      <c r="AJ762">
        <v>87.951437701431999</v>
      </c>
      <c r="AK762">
        <v>0.74691856470493601</v>
      </c>
    </row>
    <row r="763" spans="1:37" x14ac:dyDescent="0.2">
      <c r="A763" t="str">
        <f>"20200111155808232"</f>
        <v>20200111155808232</v>
      </c>
      <c r="B763" t="str">
        <f>"1578729488221809"</f>
        <v>1578729488221809</v>
      </c>
      <c r="C763" t="s">
        <v>37</v>
      </c>
      <c r="D763">
        <v>6.69353</v>
      </c>
      <c r="E763">
        <v>0.54705369999999998</v>
      </c>
      <c r="F763" t="s">
        <v>38</v>
      </c>
      <c r="G763">
        <v>-337.21460000000002</v>
      </c>
      <c r="H763">
        <v>0.98738440000000005</v>
      </c>
      <c r="I763">
        <v>368.3503</v>
      </c>
      <c r="J763">
        <v>-337.78919999999999</v>
      </c>
      <c r="K763">
        <v>1.1034999999999999</v>
      </c>
      <c r="L763">
        <v>368.36649999999997</v>
      </c>
      <c r="M763">
        <v>0.99971069999999995</v>
      </c>
      <c r="N763">
        <v>0</v>
      </c>
      <c r="O763">
        <v>2.2701809999999999E-2</v>
      </c>
      <c r="P763">
        <v>0.99544730000000003</v>
      </c>
      <c r="Q763">
        <v>1.570115E-3</v>
      </c>
      <c r="R763">
        <v>9.5301949999999996E-2</v>
      </c>
      <c r="S763">
        <v>3.0184630000000001</v>
      </c>
      <c r="T763">
        <v>-0.44743050000000001</v>
      </c>
      <c r="U763">
        <v>-4.3121340000000001E-2</v>
      </c>
      <c r="V763">
        <v>-7.2681079999999995E-2</v>
      </c>
      <c r="W763">
        <v>9.4787280000000005E-3</v>
      </c>
      <c r="X763">
        <v>0.99731019999999904</v>
      </c>
      <c r="Y763">
        <v>3.6335949999999999E-2</v>
      </c>
      <c r="Z763">
        <v>-6.02498099999999E-3</v>
      </c>
      <c r="AA763">
        <v>0.99932149999999997</v>
      </c>
      <c r="AB763">
        <v>38</v>
      </c>
      <c r="AC763">
        <v>0.57459999999997502</v>
      </c>
      <c r="AD763">
        <v>-0.116115599999999</v>
      </c>
      <c r="AE763">
        <v>-1.6199999999969301E-2</v>
      </c>
      <c r="AF763">
        <v>2.8094330020275501E-2</v>
      </c>
      <c r="AG763">
        <v>-0.116115599999999</v>
      </c>
      <c r="AH763">
        <v>0.55157744981805201</v>
      </c>
      <c r="AI763">
        <v>101.87311067818899</v>
      </c>
      <c r="AJ763">
        <v>87.084187025507902</v>
      </c>
      <c r="AK763">
        <v>0.56436673102729396</v>
      </c>
    </row>
    <row r="764" spans="1:37" x14ac:dyDescent="0.2">
      <c r="A764" t="str">
        <f>"20200111155808244"</f>
        <v>20200111155808244</v>
      </c>
      <c r="B764" t="str">
        <f>"1578729488241329"</f>
        <v>1578729488241329</v>
      </c>
      <c r="C764" t="s">
        <v>37</v>
      </c>
      <c r="D764">
        <v>6.0966300000000002</v>
      </c>
      <c r="E764">
        <v>0.54481569999999901</v>
      </c>
      <c r="F764" t="s">
        <v>38</v>
      </c>
      <c r="G764">
        <v>-336.87709999999998</v>
      </c>
      <c r="H764">
        <v>0.98136069999999997</v>
      </c>
      <c r="I764">
        <v>368.34559999999999</v>
      </c>
      <c r="J764">
        <v>-337.57260000000002</v>
      </c>
      <c r="K764">
        <v>1.1034999999999999</v>
      </c>
      <c r="L764">
        <v>368.37139999999999</v>
      </c>
      <c r="M764">
        <v>0.99970890000000001</v>
      </c>
      <c r="N764">
        <v>0</v>
      </c>
      <c r="O764">
        <v>2.2777260000000001E-2</v>
      </c>
      <c r="P764">
        <v>0.99545479999999997</v>
      </c>
      <c r="Q764">
        <v>1.302868E-3</v>
      </c>
      <c r="R764">
        <v>9.5226499999999895E-2</v>
      </c>
      <c r="S764">
        <v>3.020966</v>
      </c>
      <c r="T764">
        <v>-0.40451709999999902</v>
      </c>
      <c r="U764">
        <v>-6.9274899999999903E-2</v>
      </c>
      <c r="V764">
        <v>-7.2530020000000001E-2</v>
      </c>
      <c r="W764">
        <v>9.2284009999999903E-3</v>
      </c>
      <c r="X764">
        <v>0.99732350000000003</v>
      </c>
      <c r="Y764">
        <v>4.5085960000000001E-2</v>
      </c>
      <c r="Z764">
        <v>-6.0408789999999999E-3</v>
      </c>
      <c r="AA764">
        <v>0.99896479999999999</v>
      </c>
      <c r="AB764">
        <v>38</v>
      </c>
      <c r="AC764">
        <v>0.69550000000003798</v>
      </c>
      <c r="AD764">
        <v>-0.12213929999999899</v>
      </c>
      <c r="AE764">
        <v>-2.5800000000003799E-2</v>
      </c>
      <c r="AF764">
        <v>4.0391425849773899E-2</v>
      </c>
      <c r="AG764">
        <v>-0.12213929999999899</v>
      </c>
      <c r="AH764">
        <v>0.67397494915108103</v>
      </c>
      <c r="AI764">
        <v>100.253788767443</v>
      </c>
      <c r="AJ764">
        <v>86.570356895922203</v>
      </c>
      <c r="AK764">
        <v>0.68614262946552795</v>
      </c>
    </row>
    <row r="765" spans="1:37" x14ac:dyDescent="0.2">
      <c r="A765" t="str">
        <f>"20200111155808261"</f>
        <v>20200111155808261</v>
      </c>
      <c r="B765" t="str">
        <f>"1578729488252064"</f>
        <v>1578729488252064</v>
      </c>
      <c r="C765" t="s">
        <v>37</v>
      </c>
      <c r="D765">
        <v>6.2504309999999998</v>
      </c>
      <c r="E765">
        <v>0.54426509999999995</v>
      </c>
      <c r="F765" t="s">
        <v>38</v>
      </c>
      <c r="G765">
        <v>-336.8603</v>
      </c>
      <c r="H765">
        <v>1.016238</v>
      </c>
      <c r="I765">
        <v>368.35879999999997</v>
      </c>
      <c r="J765">
        <v>-337.28519999999997</v>
      </c>
      <c r="K765">
        <v>1.10349599999999</v>
      </c>
      <c r="L765">
        <v>368.37810000000002</v>
      </c>
      <c r="M765">
        <v>0.9997064</v>
      </c>
      <c r="N765">
        <v>0</v>
      </c>
      <c r="O765">
        <v>2.2877120000000001E-2</v>
      </c>
      <c r="P765">
        <v>0.99542059999999999</v>
      </c>
      <c r="Q765">
        <v>1.3117979999999899E-3</v>
      </c>
      <c r="R765">
        <v>9.5583799999999997E-2</v>
      </c>
      <c r="S765">
        <v>3.0192869999999998</v>
      </c>
      <c r="T765">
        <v>-0.36984739999999999</v>
      </c>
      <c r="U765">
        <v>-5.3436280000000003E-2</v>
      </c>
      <c r="V765">
        <v>-7.2788699999999998E-2</v>
      </c>
      <c r="W765">
        <v>9.2608259999999998E-3</v>
      </c>
      <c r="X765">
        <v>0.99730439999999998</v>
      </c>
      <c r="Y765">
        <v>4.0094610000000003E-2</v>
      </c>
      <c r="Z765">
        <v>-5.2380899999999999E-3</v>
      </c>
      <c r="AA765">
        <v>0.99918220000000002</v>
      </c>
      <c r="AB765">
        <v>38</v>
      </c>
      <c r="AC765">
        <v>0.42489999999997902</v>
      </c>
      <c r="AD765">
        <v>-8.7257999999999794E-2</v>
      </c>
      <c r="AE765">
        <v>-1.9300000000043799E-2</v>
      </c>
      <c r="AF765">
        <v>2.7843896914476699E-2</v>
      </c>
      <c r="AG765">
        <v>-8.7257999999999794E-2</v>
      </c>
      <c r="AH765">
        <v>0.40720926916136102</v>
      </c>
      <c r="AI765">
        <v>102.067256752037</v>
      </c>
      <c r="AJ765">
        <v>86.088354230119904</v>
      </c>
      <c r="AK765">
        <v>0.417383073507197</v>
      </c>
    </row>
    <row r="766" spans="1:37" x14ac:dyDescent="0.2">
      <c r="A766" t="str">
        <f>"20200111155808275"</f>
        <v>20200111155808275</v>
      </c>
      <c r="B766" t="str">
        <f>"1578729488271586"</f>
        <v>1578729488271586</v>
      </c>
      <c r="C766" t="s">
        <v>37</v>
      </c>
      <c r="D766">
        <v>6.1088389999999997</v>
      </c>
      <c r="E766">
        <v>0.54406290000000002</v>
      </c>
      <c r="F766" t="s">
        <v>38</v>
      </c>
      <c r="G766">
        <v>-336.5197</v>
      </c>
      <c r="H766">
        <v>1.015298</v>
      </c>
      <c r="I766">
        <v>368.3655</v>
      </c>
      <c r="J766">
        <v>-337.05399999999997</v>
      </c>
      <c r="K766">
        <v>1.1034979999999901</v>
      </c>
      <c r="L766">
        <v>368.38350000000003</v>
      </c>
      <c r="M766">
        <v>0.9997045</v>
      </c>
      <c r="N766">
        <v>0</v>
      </c>
      <c r="O766">
        <v>2.2957390000000001E-2</v>
      </c>
      <c r="P766">
        <v>0.99541229999999903</v>
      </c>
      <c r="Q766">
        <v>1.000946E-3</v>
      </c>
      <c r="R766">
        <v>9.5674149999999999E-2</v>
      </c>
      <c r="S766">
        <v>3.0189819999999998</v>
      </c>
      <c r="T766">
        <v>-0.34806690000000001</v>
      </c>
      <c r="U766">
        <v>-4.8797609999999998E-2</v>
      </c>
      <c r="V766">
        <v>-7.2798890000000005E-2</v>
      </c>
      <c r="W766">
        <v>8.9699649999999999E-3</v>
      </c>
      <c r="X766">
        <v>0.99730629999999998</v>
      </c>
      <c r="Y766">
        <v>3.8703969999999997E-2</v>
      </c>
      <c r="Z766">
        <v>-4.8615819999999997E-3</v>
      </c>
      <c r="AA766">
        <v>0.99923890000000004</v>
      </c>
      <c r="AB766">
        <v>38</v>
      </c>
      <c r="AC766">
        <v>0.53430000000002997</v>
      </c>
      <c r="AD766">
        <v>-8.8199999999999806E-2</v>
      </c>
      <c r="AE766">
        <v>-1.80000000000291E-2</v>
      </c>
      <c r="AF766">
        <v>2.9459907924110001E-2</v>
      </c>
      <c r="AG766">
        <v>-8.8199999999999806E-2</v>
      </c>
      <c r="AH766">
        <v>0.51960279232921103</v>
      </c>
      <c r="AI766">
        <v>99.618689073550996</v>
      </c>
      <c r="AJ766">
        <v>86.754976585371296</v>
      </c>
      <c r="AK766">
        <v>0.527858113484306</v>
      </c>
    </row>
    <row r="767" spans="1:37" x14ac:dyDescent="0.2">
      <c r="A767" t="str">
        <f>"20200111155808289"</f>
        <v>20200111155808289</v>
      </c>
      <c r="B767" t="str">
        <f>"1578729488281346"</f>
        <v>1578729488281346</v>
      </c>
      <c r="C767" t="s">
        <v>37</v>
      </c>
      <c r="D767">
        <v>6.1373119999999997</v>
      </c>
      <c r="E767">
        <v>0.5435643</v>
      </c>
      <c r="F767" t="s">
        <v>38</v>
      </c>
      <c r="G767">
        <v>-336.17939999999999</v>
      </c>
      <c r="H767">
        <v>1.012664</v>
      </c>
      <c r="I767">
        <v>368.36939999999998</v>
      </c>
      <c r="J767">
        <v>-336.81990000000002</v>
      </c>
      <c r="K767">
        <v>1.103499</v>
      </c>
      <c r="L767">
        <v>368.38889999999998</v>
      </c>
      <c r="M767">
        <v>0.99970230000000004</v>
      </c>
      <c r="N767">
        <v>0</v>
      </c>
      <c r="O767">
        <v>2.303879E-2</v>
      </c>
      <c r="P767">
        <v>0.99541100000000005</v>
      </c>
      <c r="Q767">
        <v>9.0209019999999999E-4</v>
      </c>
      <c r="R767">
        <v>9.5689239999999995E-2</v>
      </c>
      <c r="S767">
        <v>3.0188290000000002</v>
      </c>
      <c r="T767">
        <v>-0.31360339999999998</v>
      </c>
      <c r="U767">
        <v>-4.8278809999999998E-2</v>
      </c>
      <c r="V767">
        <v>-7.2732820000000004E-2</v>
      </c>
      <c r="W767">
        <v>8.8912909999999904E-3</v>
      </c>
      <c r="X767">
        <v>0.99731179999999997</v>
      </c>
      <c r="Y767">
        <v>3.8690750000000003E-2</v>
      </c>
      <c r="Z767">
        <v>-4.390906E-3</v>
      </c>
      <c r="AA767">
        <v>0.99924159999999995</v>
      </c>
      <c r="AB767">
        <v>38</v>
      </c>
      <c r="AC767">
        <v>0.64050000000003104</v>
      </c>
      <c r="AD767">
        <v>-9.0834999999999999E-2</v>
      </c>
      <c r="AE767">
        <v>-1.9499999999993599E-2</v>
      </c>
      <c r="AF767">
        <v>3.3576950578492699E-2</v>
      </c>
      <c r="AG767">
        <v>-9.0834999999999999E-2</v>
      </c>
      <c r="AH767">
        <v>0.62727623960031997</v>
      </c>
      <c r="AI767">
        <v>98.228029187042196</v>
      </c>
      <c r="AJ767">
        <v>86.935985818934</v>
      </c>
      <c r="AK767">
        <v>0.63470771982249297</v>
      </c>
    </row>
    <row r="768" spans="1:37" x14ac:dyDescent="0.2">
      <c r="A768" t="str">
        <f>"20200111155808301"</f>
        <v>20200111155808301</v>
      </c>
      <c r="B768" t="str">
        <f>"1578729488292083"</f>
        <v>1578729488292083</v>
      </c>
      <c r="C768" t="s">
        <v>37</v>
      </c>
      <c r="D768">
        <v>6.1071390000000001</v>
      </c>
      <c r="E768">
        <v>0.54285810000000001</v>
      </c>
      <c r="F768" t="s">
        <v>38</v>
      </c>
      <c r="G768">
        <v>-335.84059999999999</v>
      </c>
      <c r="H768">
        <v>1.005798</v>
      </c>
      <c r="I768">
        <v>368.37380000000002</v>
      </c>
      <c r="J768">
        <v>-336.60469999999998</v>
      </c>
      <c r="K768">
        <v>1.1035029999999999</v>
      </c>
      <c r="L768">
        <v>368.39389999999997</v>
      </c>
      <c r="M768">
        <v>0.99970049999999899</v>
      </c>
      <c r="N768">
        <v>0</v>
      </c>
      <c r="O768">
        <v>2.3113519999999999E-2</v>
      </c>
      <c r="P768">
        <v>0.99540390000000001</v>
      </c>
      <c r="Q768">
        <v>9.2953630000000001E-4</v>
      </c>
      <c r="R768">
        <v>9.5761600000000002E-2</v>
      </c>
      <c r="S768">
        <v>3.0184630000000001</v>
      </c>
      <c r="T768">
        <v>-0.30136469999999999</v>
      </c>
      <c r="U768">
        <v>-4.5288090000000003E-2</v>
      </c>
      <c r="V768">
        <v>-7.2730409999999995E-2</v>
      </c>
      <c r="W768">
        <v>8.9375410000000002E-3</v>
      </c>
      <c r="X768">
        <v>0.99731159999999996</v>
      </c>
      <c r="Y768">
        <v>3.7806840000000001E-2</v>
      </c>
      <c r="Z768">
        <v>-4.1843740000000003E-3</v>
      </c>
      <c r="AA768">
        <v>0.99927630000000001</v>
      </c>
      <c r="AB768">
        <v>38</v>
      </c>
      <c r="AC768">
        <v>0.76409999999998401</v>
      </c>
      <c r="AD768">
        <v>-9.7705000000000097E-2</v>
      </c>
      <c r="AE768">
        <v>-2.0099999999956701E-2</v>
      </c>
      <c r="AF768">
        <v>3.7149249873656302E-2</v>
      </c>
      <c r="AG768">
        <v>-9.7705000000000097E-2</v>
      </c>
      <c r="AH768">
        <v>0.75115788371808501</v>
      </c>
      <c r="AI768">
        <v>97.402051931007904</v>
      </c>
      <c r="AJ768">
        <v>87.1686878880368</v>
      </c>
      <c r="AK768">
        <v>0.75839600477785096</v>
      </c>
    </row>
    <row r="769" spans="1:37" x14ac:dyDescent="0.2">
      <c r="A769" t="str">
        <f>"20200111155808318"</f>
        <v>20200111155808318</v>
      </c>
      <c r="B769" t="str">
        <f>"1578729488311600"</f>
        <v>1578729488311600</v>
      </c>
      <c r="C769" t="s">
        <v>37</v>
      </c>
      <c r="D769">
        <v>6.1148319999999998</v>
      </c>
      <c r="E769">
        <v>0.54190309999999997</v>
      </c>
      <c r="F769" t="s">
        <v>38</v>
      </c>
      <c r="G769">
        <v>-335.82909999999998</v>
      </c>
      <c r="H769">
        <v>1.0296809999999901</v>
      </c>
      <c r="I769">
        <v>368.38330000000002</v>
      </c>
      <c r="J769">
        <v>-336.31470000000002</v>
      </c>
      <c r="K769">
        <v>1.103504</v>
      </c>
      <c r="L769">
        <v>368.40069999999997</v>
      </c>
      <c r="M769">
        <v>0.99969789999999903</v>
      </c>
      <c r="N769">
        <v>0</v>
      </c>
      <c r="O769">
        <v>2.321457E-2</v>
      </c>
      <c r="P769">
        <v>0.99541610000000003</v>
      </c>
      <c r="Q769">
        <v>8.2301909999999995E-4</v>
      </c>
      <c r="R769">
        <v>9.5635880000000006E-2</v>
      </c>
      <c r="S769">
        <v>3.018005</v>
      </c>
      <c r="T769">
        <v>-0.2875298</v>
      </c>
      <c r="U769">
        <v>-3.9978029999999998E-2</v>
      </c>
      <c r="V769">
        <v>-7.2503629999999999E-2</v>
      </c>
      <c r="W769">
        <v>8.8555289999999991E-3</v>
      </c>
      <c r="X769">
        <v>0.99732880000000002</v>
      </c>
      <c r="Y769">
        <v>3.6186139999999999E-2</v>
      </c>
      <c r="Z769">
        <v>-3.9263869999999999E-3</v>
      </c>
      <c r="AA769">
        <v>0.99933739999999904</v>
      </c>
      <c r="AB769">
        <v>38</v>
      </c>
      <c r="AC769">
        <v>0.48560000000003301</v>
      </c>
      <c r="AD769">
        <v>-7.3823000000000194E-2</v>
      </c>
      <c r="AE769">
        <v>-1.7399999999952301E-2</v>
      </c>
      <c r="AF769">
        <v>2.8021879083281499E-2</v>
      </c>
      <c r="AG769">
        <v>-7.3823000000000194E-2</v>
      </c>
      <c r="AH769">
        <v>0.47412162042928002</v>
      </c>
      <c r="AI769">
        <v>98.834988415177506</v>
      </c>
      <c r="AJ769">
        <v>86.617598110300307</v>
      </c>
      <c r="AK769">
        <v>0.48065202797329798</v>
      </c>
    </row>
    <row r="770" spans="1:37" x14ac:dyDescent="0.2">
      <c r="A770" t="str">
        <f>"20200111155808331"</f>
        <v>20200111155808331</v>
      </c>
      <c r="B770" t="str">
        <f>"1578729488321360"</f>
        <v>1578729488321360</v>
      </c>
      <c r="C770" t="s">
        <v>37</v>
      </c>
      <c r="D770">
        <v>6.1178919999999897</v>
      </c>
      <c r="E770">
        <v>0.54128869999999996</v>
      </c>
      <c r="F770" t="s">
        <v>38</v>
      </c>
      <c r="G770">
        <v>-335.48570000000001</v>
      </c>
      <c r="H770">
        <v>1.0309729999999999</v>
      </c>
      <c r="I770">
        <v>368.39159999999998</v>
      </c>
      <c r="J770">
        <v>-336.096</v>
      </c>
      <c r="K770">
        <v>1.103507</v>
      </c>
      <c r="L770">
        <v>368.4058</v>
      </c>
      <c r="M770">
        <v>0.99969609999999998</v>
      </c>
      <c r="N770">
        <v>0</v>
      </c>
      <c r="O770">
        <v>2.3290680000000001E-2</v>
      </c>
      <c r="P770">
        <v>0.99542310000000001</v>
      </c>
      <c r="Q770">
        <v>8.9194250000000001E-4</v>
      </c>
      <c r="R770">
        <v>9.5563560000000006E-2</v>
      </c>
      <c r="S770">
        <v>3.017242</v>
      </c>
      <c r="T770">
        <v>-0.26388249999999902</v>
      </c>
      <c r="U770">
        <v>-3.3782960000000001E-2</v>
      </c>
      <c r="V770">
        <v>-7.2355199999999995E-2</v>
      </c>
      <c r="W770">
        <v>8.9427869999999902E-3</v>
      </c>
      <c r="X770">
        <v>0.99733879999999997</v>
      </c>
      <c r="Y770">
        <v>3.4263199999999903E-2</v>
      </c>
      <c r="Z770">
        <v>-3.5284079999999998E-3</v>
      </c>
      <c r="AA770">
        <v>0.99940659999999903</v>
      </c>
      <c r="AB770">
        <v>38</v>
      </c>
      <c r="AC770">
        <v>0.61029999999999496</v>
      </c>
      <c r="AD770">
        <v>-7.2534000000000098E-2</v>
      </c>
      <c r="AE770">
        <v>-1.42000000000166E-2</v>
      </c>
      <c r="AF770">
        <v>2.8015402779392701E-2</v>
      </c>
      <c r="AG770">
        <v>-7.2534000000000098E-2</v>
      </c>
      <c r="AH770">
        <v>0.60131456773768799</v>
      </c>
      <c r="AI770">
        <v>96.870731144439702</v>
      </c>
      <c r="AJ770">
        <v>87.332503619580294</v>
      </c>
      <c r="AK770">
        <v>0.60632108104737303</v>
      </c>
    </row>
    <row r="771" spans="1:37" x14ac:dyDescent="0.2">
      <c r="A771" t="str">
        <f>"20200111155808343"</f>
        <v>20200111155808343</v>
      </c>
      <c r="B771" t="str">
        <f>"1578729488341857"</f>
        <v>1578729488341857</v>
      </c>
      <c r="C771" t="s">
        <v>37</v>
      </c>
      <c r="D771">
        <v>6.1199190000000003</v>
      </c>
      <c r="E771">
        <v>0.54060540000000001</v>
      </c>
      <c r="F771" t="s">
        <v>38</v>
      </c>
      <c r="G771">
        <v>-335.1463</v>
      </c>
      <c r="H771">
        <v>1.0228889999999999</v>
      </c>
      <c r="I771">
        <v>368.3963</v>
      </c>
      <c r="J771">
        <v>-335.8682</v>
      </c>
      <c r="K771">
        <v>1.10351</v>
      </c>
      <c r="L771">
        <v>368.41120000000001</v>
      </c>
      <c r="M771">
        <v>0.99969399999999997</v>
      </c>
      <c r="N771">
        <v>0</v>
      </c>
      <c r="O771">
        <v>2.33697E-2</v>
      </c>
      <c r="P771">
        <v>0.995419099999999</v>
      </c>
      <c r="Q771">
        <v>9.6393189999999999E-4</v>
      </c>
      <c r="R771">
        <v>9.560341E-2</v>
      </c>
      <c r="S771">
        <v>3.0168149999999998</v>
      </c>
      <c r="T771">
        <v>-0.2562874</v>
      </c>
      <c r="U771">
        <v>-2.9235839999999999E-2</v>
      </c>
      <c r="V771">
        <v>-7.2316619999999998E-2</v>
      </c>
      <c r="W771">
        <v>9.0329050000000008E-3</v>
      </c>
      <c r="X771">
        <v>0.99734080000000003</v>
      </c>
      <c r="Y771">
        <v>3.2854719999999997E-2</v>
      </c>
      <c r="Z771">
        <v>-3.3747069999999998E-3</v>
      </c>
      <c r="AA771">
        <v>0.99945439999999997</v>
      </c>
      <c r="AB771">
        <v>38</v>
      </c>
      <c r="AC771">
        <v>0.72190000000000498</v>
      </c>
      <c r="AD771">
        <v>-8.0620999999999998E-2</v>
      </c>
      <c r="AE771">
        <v>-1.4900000000011401E-2</v>
      </c>
      <c r="AF771">
        <v>3.13759122983681E-2</v>
      </c>
      <c r="AG771">
        <v>-8.0620999999999998E-2</v>
      </c>
      <c r="AH771">
        <v>0.71247231274965195</v>
      </c>
      <c r="AI771">
        <v>96.449740268542797</v>
      </c>
      <c r="AJ771">
        <v>87.478433137770594</v>
      </c>
      <c r="AK771">
        <v>0.71770536430236698</v>
      </c>
    </row>
    <row r="772" spans="1:37" x14ac:dyDescent="0.2">
      <c r="A772" t="str">
        <f>"20200111155808358"</f>
        <v>20200111155808358</v>
      </c>
      <c r="B772" t="str">
        <f>"1578729488351619"</f>
        <v>1578729488351619</v>
      </c>
      <c r="C772" t="s">
        <v>37</v>
      </c>
      <c r="D772">
        <v>6.1036619999999999</v>
      </c>
      <c r="E772">
        <v>0.54020889999999999</v>
      </c>
      <c r="F772" t="s">
        <v>38</v>
      </c>
      <c r="G772">
        <v>-335.1345</v>
      </c>
      <c r="H772">
        <v>1.044802</v>
      </c>
      <c r="I772">
        <v>368.4049</v>
      </c>
      <c r="J772">
        <v>-335.63220000000001</v>
      </c>
      <c r="K772">
        <v>1.103513</v>
      </c>
      <c r="L772">
        <v>368.41680000000002</v>
      </c>
      <c r="M772">
        <v>0.99969200000000003</v>
      </c>
      <c r="N772">
        <v>0</v>
      </c>
      <c r="O772">
        <v>2.3451639999999999E-2</v>
      </c>
      <c r="P772">
        <v>0.99540239999999902</v>
      </c>
      <c r="Q772">
        <v>1.220772E-3</v>
      </c>
      <c r="R772">
        <v>9.5773899999999995E-2</v>
      </c>
      <c r="S772">
        <v>3.0163880000000001</v>
      </c>
      <c r="T772">
        <v>-0.24162259999999999</v>
      </c>
      <c r="U772">
        <v>-2.4505619999999999E-2</v>
      </c>
      <c r="V772">
        <v>-7.2406330000000005E-2</v>
      </c>
      <c r="W772">
        <v>9.3094590000000008E-3</v>
      </c>
      <c r="X772">
        <v>0.99733179999999999</v>
      </c>
      <c r="Y772">
        <v>3.1397620000000001E-2</v>
      </c>
      <c r="Z772">
        <v>-3.1309900000000002E-3</v>
      </c>
      <c r="AA772">
        <v>0.99950209999999995</v>
      </c>
      <c r="AB772">
        <v>38</v>
      </c>
      <c r="AC772">
        <v>0.49770000000000802</v>
      </c>
      <c r="AD772">
        <v>-5.8710999999999902E-2</v>
      </c>
      <c r="AE772">
        <v>-1.19000000000255E-2</v>
      </c>
      <c r="AF772">
        <v>2.3245698627809001E-2</v>
      </c>
      <c r="AG772">
        <v>-5.8710999999999902E-2</v>
      </c>
      <c r="AH772">
        <v>0.49046281402401198</v>
      </c>
      <c r="AI772">
        <v>96.8185457921536</v>
      </c>
      <c r="AJ772">
        <v>87.286472190460202</v>
      </c>
      <c r="AK772">
        <v>0.49451098669902999</v>
      </c>
    </row>
    <row r="773" spans="1:37" x14ac:dyDescent="0.2">
      <c r="A773" t="str">
        <f>"20200111155808374"</f>
        <v>20200111155808374</v>
      </c>
      <c r="B773" t="str">
        <f>"1578729488361377"</f>
        <v>1578729488361377</v>
      </c>
      <c r="C773" t="s">
        <v>37</v>
      </c>
      <c r="D773">
        <v>6.0849839999999897</v>
      </c>
      <c r="E773">
        <v>0.53987319999999905</v>
      </c>
      <c r="F773" t="s">
        <v>38</v>
      </c>
      <c r="G773">
        <v>-334.79509999999999</v>
      </c>
      <c r="H773">
        <v>1.037865</v>
      </c>
      <c r="I773">
        <v>368.41090000000003</v>
      </c>
      <c r="J773">
        <v>-335.37119999999999</v>
      </c>
      <c r="K773">
        <v>1.1035170000000001</v>
      </c>
      <c r="L773">
        <v>368.42290000000003</v>
      </c>
      <c r="M773">
        <v>0.99968969999999902</v>
      </c>
      <c r="N773">
        <v>0</v>
      </c>
      <c r="O773">
        <v>2.3542150000000001E-2</v>
      </c>
      <c r="P773">
        <v>0.99533449999999901</v>
      </c>
      <c r="Q773">
        <v>1.8971189999999901E-3</v>
      </c>
      <c r="R773">
        <v>9.6466960000000004E-2</v>
      </c>
      <c r="S773">
        <v>3.0161439999999899</v>
      </c>
      <c r="T773">
        <v>-0.23657420000000001</v>
      </c>
      <c r="U773">
        <v>-2.1179199999999999E-2</v>
      </c>
      <c r="V773">
        <v>-7.3010249999999999E-2</v>
      </c>
      <c r="W773">
        <v>1.0007520000000001E-2</v>
      </c>
      <c r="X773">
        <v>0.99728099999999997</v>
      </c>
      <c r="Y773">
        <v>3.039652E-2</v>
      </c>
      <c r="Z773">
        <v>-3.0339170000000001E-3</v>
      </c>
      <c r="AA773">
        <v>0.99953329999999996</v>
      </c>
      <c r="AB773">
        <v>38</v>
      </c>
      <c r="AC773">
        <v>0.57609999999999595</v>
      </c>
      <c r="AD773">
        <v>-6.5652000000000002E-2</v>
      </c>
      <c r="AE773">
        <v>-1.2000000000000399E-2</v>
      </c>
      <c r="AF773">
        <v>2.5232213855823402E-2</v>
      </c>
      <c r="AG773">
        <v>-6.5652000000000002E-2</v>
      </c>
      <c r="AH773">
        <v>0.56828088944899802</v>
      </c>
      <c r="AI773">
        <v>96.583587269753707</v>
      </c>
      <c r="AJ773">
        <v>87.457682508918595</v>
      </c>
      <c r="AK773">
        <v>0.57261681693171596</v>
      </c>
    </row>
    <row r="774" spans="1:37" x14ac:dyDescent="0.2">
      <c r="A774" t="str">
        <f>"20200111155808397"</f>
        <v>20200111155808397</v>
      </c>
      <c r="B774" t="str">
        <f>"1578729488391633"</f>
        <v>1578729488391633</v>
      </c>
      <c r="C774" t="s">
        <v>37</v>
      </c>
      <c r="D774">
        <v>6.1213110000000004</v>
      </c>
      <c r="E774">
        <v>0.53951280000000001</v>
      </c>
      <c r="F774" t="s">
        <v>38</v>
      </c>
      <c r="G774">
        <v>-334.4529</v>
      </c>
      <c r="H774">
        <v>1.0331939999999999</v>
      </c>
      <c r="I774">
        <v>368.41759999999999</v>
      </c>
      <c r="J774">
        <v>-334.96480000000003</v>
      </c>
      <c r="K774">
        <v>1.103521</v>
      </c>
      <c r="L774">
        <v>368.43270000000001</v>
      </c>
      <c r="M774">
        <v>0.99968590000000002</v>
      </c>
      <c r="N774">
        <v>0</v>
      </c>
      <c r="O774">
        <v>2.368309E-2</v>
      </c>
      <c r="P774">
        <v>0.99532099999999901</v>
      </c>
      <c r="Q774">
        <v>2.432965E-3</v>
      </c>
      <c r="R774">
        <v>9.6593330000000005E-2</v>
      </c>
      <c r="S774">
        <v>3.0160830000000001</v>
      </c>
      <c r="T774">
        <v>-0.2311444</v>
      </c>
      <c r="U774">
        <v>-1.672363E-2</v>
      </c>
      <c r="V774">
        <v>-7.2996500000000006E-2</v>
      </c>
      <c r="W774">
        <v>1.058017E-2</v>
      </c>
      <c r="X774">
        <v>0.9972761</v>
      </c>
      <c r="Y774">
        <v>2.9072009999999999E-2</v>
      </c>
      <c r="Z774">
        <v>-2.9246599999999999E-3</v>
      </c>
      <c r="AA774">
        <v>0.99957309999999999</v>
      </c>
      <c r="AB774">
        <v>38</v>
      </c>
      <c r="AC774">
        <v>0.511900000000025</v>
      </c>
      <c r="AD774">
        <v>-7.0327000000000001E-2</v>
      </c>
      <c r="AE774">
        <v>-1.5100000000018101E-2</v>
      </c>
      <c r="AF774">
        <v>2.6715739552482201E-2</v>
      </c>
      <c r="AG774">
        <v>-7.0327000000000001E-2</v>
      </c>
      <c r="AH774">
        <v>0.50193331332001301</v>
      </c>
      <c r="AI774">
        <v>97.964788406695604</v>
      </c>
      <c r="AJ774">
        <v>86.953268376092495</v>
      </c>
      <c r="AK774">
        <v>0.50753981980652796</v>
      </c>
    </row>
    <row r="775" spans="1:37" x14ac:dyDescent="0.2">
      <c r="A775" t="str">
        <f>"20200111155808410"</f>
        <v>20200111155808410</v>
      </c>
      <c r="B775" t="str">
        <f>"1578729488401393"</f>
        <v>1578729488401393</v>
      </c>
      <c r="C775" t="s">
        <v>37</v>
      </c>
      <c r="D775">
        <v>6.0922749999999999</v>
      </c>
      <c r="E775">
        <v>0.53939349999999997</v>
      </c>
      <c r="F775" t="s">
        <v>38</v>
      </c>
      <c r="G775">
        <v>-334.10669999999999</v>
      </c>
      <c r="H775">
        <v>1.0358080000000001</v>
      </c>
      <c r="I775">
        <v>368.42910000000001</v>
      </c>
      <c r="J775">
        <v>-334.74079999999998</v>
      </c>
      <c r="K775">
        <v>1.103529</v>
      </c>
      <c r="L775">
        <v>368.43799999999999</v>
      </c>
      <c r="M775">
        <v>0.99968400000000002</v>
      </c>
      <c r="N775">
        <v>0</v>
      </c>
      <c r="O775">
        <v>2.376031E-2</v>
      </c>
      <c r="P775">
        <v>0.99534460000000002</v>
      </c>
      <c r="Q775">
        <v>1.988161E-3</v>
      </c>
      <c r="R775">
        <v>9.6361089999999996E-2</v>
      </c>
      <c r="S775">
        <v>3.0158999999999998</v>
      </c>
      <c r="T775">
        <v>-0.23806769999999999</v>
      </c>
      <c r="U775">
        <v>-1.254272E-2</v>
      </c>
      <c r="V775">
        <v>-7.2686299999999995E-2</v>
      </c>
      <c r="W775">
        <v>1.0155809999999999E-2</v>
      </c>
      <c r="X775">
        <v>0.997303099999999</v>
      </c>
      <c r="Y775">
        <v>2.7758310000000001E-2</v>
      </c>
      <c r="Z775">
        <v>-2.9664940000000001E-3</v>
      </c>
      <c r="AA775">
        <v>0.99961019999999901</v>
      </c>
      <c r="AB775">
        <v>39</v>
      </c>
      <c r="AC775">
        <v>0.63409999999998901</v>
      </c>
      <c r="AD775">
        <v>-6.7720999999999906E-2</v>
      </c>
      <c r="AE775">
        <v>-8.9000000000396505E-3</v>
      </c>
      <c r="AF775">
        <v>2.3694205617136699E-2</v>
      </c>
      <c r="AG775">
        <v>-6.7720999999999906E-2</v>
      </c>
      <c r="AH775">
        <v>0.62656434747379197</v>
      </c>
      <c r="AI775">
        <v>96.164385073118595</v>
      </c>
      <c r="AJ775">
        <v>87.8343303388084</v>
      </c>
      <c r="AK775">
        <v>0.63065872763808295</v>
      </c>
    </row>
    <row r="776" spans="1:37" x14ac:dyDescent="0.2">
      <c r="A776" t="str">
        <f>"20200111155808422"</f>
        <v>20200111155808422</v>
      </c>
      <c r="B776" t="str">
        <f>"1578729488412128"</f>
        <v>1578729488412128</v>
      </c>
      <c r="C776" t="s">
        <v>37</v>
      </c>
      <c r="D776">
        <v>6.078176</v>
      </c>
      <c r="E776">
        <v>0.53930279999999997</v>
      </c>
      <c r="F776" t="s">
        <v>38</v>
      </c>
      <c r="G776">
        <v>-333.76609999999999</v>
      </c>
      <c r="H776">
        <v>1.025361</v>
      </c>
      <c r="I776">
        <v>368.43389999999999</v>
      </c>
      <c r="J776">
        <v>-334.51119999999997</v>
      </c>
      <c r="K776">
        <v>1.103532</v>
      </c>
      <c r="L776">
        <v>368.44349999999997</v>
      </c>
      <c r="M776">
        <v>0.99968189999999901</v>
      </c>
      <c r="N776">
        <v>0</v>
      </c>
      <c r="O776">
        <v>2.3839019999999999E-2</v>
      </c>
      <c r="P776">
        <v>0.99534820000000002</v>
      </c>
      <c r="Q776">
        <v>2.429591E-3</v>
      </c>
      <c r="R776">
        <v>9.6313640000000006E-2</v>
      </c>
      <c r="S776">
        <v>3.0156860000000001</v>
      </c>
      <c r="T776">
        <v>-0.24195129999999901</v>
      </c>
      <c r="U776">
        <v>-1.205444E-2</v>
      </c>
      <c r="V776">
        <v>-7.2560879999999994E-2</v>
      </c>
      <c r="W776">
        <v>1.0618789999999999E-2</v>
      </c>
      <c r="X776">
        <v>0.99730750000000001</v>
      </c>
      <c r="Y776">
        <v>2.7670199999999999E-2</v>
      </c>
      <c r="Z776">
        <v>-3.0177209999999901E-3</v>
      </c>
      <c r="AA776">
        <v>0.99961259999999996</v>
      </c>
      <c r="AB776">
        <v>39</v>
      </c>
      <c r="AC776">
        <v>0.745099999999979</v>
      </c>
      <c r="AD776">
        <v>-7.8170999999999893E-2</v>
      </c>
      <c r="AE776">
        <v>-9.5999999999776195E-3</v>
      </c>
      <c r="AF776">
        <v>2.7062504657502599E-2</v>
      </c>
      <c r="AG776">
        <v>-7.8170999999999893E-2</v>
      </c>
      <c r="AH776">
        <v>0.73655359971092504</v>
      </c>
      <c r="AI776">
        <v>96.054112473997193</v>
      </c>
      <c r="AJ776">
        <v>87.895780944765093</v>
      </c>
      <c r="AK776">
        <v>0.74118438302925604</v>
      </c>
    </row>
    <row r="777" spans="1:37" x14ac:dyDescent="0.2">
      <c r="A777" t="str">
        <f>"20200111155808441"</f>
        <v>20200111155808441</v>
      </c>
      <c r="B777" t="str">
        <f>"1578729488431648"</f>
        <v>1578729488431648</v>
      </c>
      <c r="C777" t="s">
        <v>37</v>
      </c>
      <c r="D777">
        <v>6.1030419999999896</v>
      </c>
      <c r="E777">
        <v>0.53901429999999995</v>
      </c>
      <c r="F777" t="s">
        <v>38</v>
      </c>
      <c r="G777">
        <v>-333.75689999999997</v>
      </c>
      <c r="H777">
        <v>1.0429219999999999</v>
      </c>
      <c r="I777">
        <v>368.44040000000001</v>
      </c>
      <c r="J777">
        <v>-334.20679999999999</v>
      </c>
      <c r="K777">
        <v>1.103542</v>
      </c>
      <c r="L777">
        <v>368.45089999999999</v>
      </c>
      <c r="M777">
        <v>0.99967929999999905</v>
      </c>
      <c r="N777">
        <v>0</v>
      </c>
      <c r="O777">
        <v>2.3941469999999999E-2</v>
      </c>
      <c r="P777">
        <v>0.99535499999999899</v>
      </c>
      <c r="Q777">
        <v>2.861209E-3</v>
      </c>
      <c r="R777">
        <v>9.6230969999999999E-2</v>
      </c>
      <c r="S777">
        <v>3.0157470000000002</v>
      </c>
      <c r="T777">
        <v>-0.24241299999999999</v>
      </c>
      <c r="U777">
        <v>-1.1627200000000001E-2</v>
      </c>
      <c r="V777">
        <v>-7.2375510000000004E-2</v>
      </c>
      <c r="W777">
        <v>1.1081290000000001E-2</v>
      </c>
      <c r="X777">
        <v>0.99731589999999903</v>
      </c>
      <c r="Y777">
        <v>2.7630129999999999E-2</v>
      </c>
      <c r="Z777">
        <v>-3.0300140000000001E-3</v>
      </c>
      <c r="AA777">
        <v>0.99961359999999999</v>
      </c>
      <c r="AB777">
        <v>39</v>
      </c>
      <c r="AC777">
        <v>0.44990000000001301</v>
      </c>
      <c r="AD777">
        <v>-6.0620000000000097E-2</v>
      </c>
      <c r="AE777">
        <v>-1.0499999999979E-2</v>
      </c>
      <c r="AF777">
        <v>2.0889577267006298E-2</v>
      </c>
      <c r="AG777">
        <v>-6.0620000000000097E-2</v>
      </c>
      <c r="AH777">
        <v>0.44150835137593503</v>
      </c>
      <c r="AI777">
        <v>97.809316534070504</v>
      </c>
      <c r="AJ777">
        <v>87.291121036102197</v>
      </c>
      <c r="AK777">
        <v>0.44613986951749801</v>
      </c>
    </row>
    <row r="778" spans="1:37" x14ac:dyDescent="0.2">
      <c r="A778" t="str">
        <f>"20200111155808455"</f>
        <v>20200111155808455</v>
      </c>
      <c r="B778" t="str">
        <f>"1578729488452145"</f>
        <v>1578729488452145</v>
      </c>
      <c r="C778" t="s">
        <v>37</v>
      </c>
      <c r="D778">
        <v>6.0893569999999997</v>
      </c>
      <c r="E778">
        <v>0.53872629999999999</v>
      </c>
      <c r="F778" t="s">
        <v>38</v>
      </c>
      <c r="G778">
        <v>-333.4128</v>
      </c>
      <c r="H778">
        <v>1.0402039999999999</v>
      </c>
      <c r="I778">
        <v>368.44819999999999</v>
      </c>
      <c r="J778">
        <v>-333.97210000000001</v>
      </c>
      <c r="K778">
        <v>1.1035469999999901</v>
      </c>
      <c r="L778">
        <v>368.45659999999998</v>
      </c>
      <c r="M778">
        <v>0.99967719999999904</v>
      </c>
      <c r="N778">
        <v>0</v>
      </c>
      <c r="O778">
        <v>2.4018109999999999E-2</v>
      </c>
      <c r="P778">
        <v>0.99533629999999995</v>
      </c>
      <c r="Q778">
        <v>3.3074770000000001E-3</v>
      </c>
      <c r="R778">
        <v>9.640978E-2</v>
      </c>
      <c r="S778">
        <v>3.0156559999999999</v>
      </c>
      <c r="T778">
        <v>-0.24067959999999999</v>
      </c>
      <c r="U778">
        <v>-9.6435549999999998E-3</v>
      </c>
      <c r="V778">
        <v>-7.2478799999999996E-2</v>
      </c>
      <c r="W778">
        <v>1.155524E-2</v>
      </c>
      <c r="X778">
        <v>0.99730300000000005</v>
      </c>
      <c r="Y778">
        <v>2.7053319999999999E-2</v>
      </c>
      <c r="Z778">
        <v>-2.9916320000000001E-3</v>
      </c>
      <c r="AA778">
        <v>0.99962949999999995</v>
      </c>
      <c r="AB778">
        <v>39</v>
      </c>
      <c r="AC778">
        <v>0.55930000000000701</v>
      </c>
      <c r="AD778">
        <v>-6.3342999999999705E-2</v>
      </c>
      <c r="AE778">
        <v>-8.3999999999946305E-3</v>
      </c>
      <c r="AF778">
        <v>2.15549545897008E-2</v>
      </c>
      <c r="AG778">
        <v>-6.3342999999999705E-2</v>
      </c>
      <c r="AH778">
        <v>0.55186005719756603</v>
      </c>
      <c r="AI778">
        <v>96.542861416799795</v>
      </c>
      <c r="AJ778">
        <v>87.763236444874494</v>
      </c>
      <c r="AK778">
        <v>0.55590149707161696</v>
      </c>
    </row>
    <row r="779" spans="1:37" x14ac:dyDescent="0.2">
      <c r="A779" t="str">
        <f>"20200111155808468"</f>
        <v>20200111155808468</v>
      </c>
      <c r="B779" t="str">
        <f>"1578729488462882"</f>
        <v>1578729488462882</v>
      </c>
      <c r="C779" t="s">
        <v>37</v>
      </c>
      <c r="D779">
        <v>6.1071260000000001</v>
      </c>
      <c r="E779">
        <v>0.53872449999999905</v>
      </c>
      <c r="F779" t="s">
        <v>38</v>
      </c>
      <c r="G779">
        <v>-333.06889999999999</v>
      </c>
      <c r="H779">
        <v>1.0345739999999899</v>
      </c>
      <c r="I779">
        <v>368.45420000000001</v>
      </c>
      <c r="J779">
        <v>-333.72809999999998</v>
      </c>
      <c r="K779">
        <v>1.1035539999999999</v>
      </c>
      <c r="L779">
        <v>368.46249999999998</v>
      </c>
      <c r="M779">
        <v>0.99967510000000004</v>
      </c>
      <c r="N779">
        <v>0</v>
      </c>
      <c r="O779">
        <v>2.4095439999999999E-2</v>
      </c>
      <c r="P779">
        <v>0.99531349999999996</v>
      </c>
      <c r="Q779">
        <v>3.7301019999999999E-3</v>
      </c>
      <c r="R779">
        <v>9.6630309999999997E-2</v>
      </c>
      <c r="S779">
        <v>3.015533</v>
      </c>
      <c r="T779">
        <v>-0.230554799999999</v>
      </c>
      <c r="U779">
        <v>-7.2631839999999998E-3</v>
      </c>
      <c r="V779">
        <v>-7.2622980000000004E-2</v>
      </c>
      <c r="W779">
        <v>1.2011539999999999E-2</v>
      </c>
      <c r="X779">
        <v>0.99728719999999904</v>
      </c>
      <c r="Y779">
        <v>2.6356850000000001E-2</v>
      </c>
      <c r="Z779">
        <v>-2.8455870000000001E-3</v>
      </c>
      <c r="AA779">
        <v>0.999648599999999</v>
      </c>
      <c r="AB779">
        <v>39</v>
      </c>
      <c r="AC779">
        <v>0.65919999999999801</v>
      </c>
      <c r="AD779">
        <v>-6.8980000000000194E-2</v>
      </c>
      <c r="AE779">
        <v>-8.2999999999628891E-3</v>
      </c>
      <c r="AF779">
        <v>2.39199720380006E-2</v>
      </c>
      <c r="AG779">
        <v>-6.8980000000000194E-2</v>
      </c>
      <c r="AH779">
        <v>0.65167393399760298</v>
      </c>
      <c r="AI779">
        <v>96.038250136841398</v>
      </c>
      <c r="AJ779">
        <v>87.897877485854394</v>
      </c>
      <c r="AK779">
        <v>0.65575096013213097</v>
      </c>
    </row>
    <row r="780" spans="1:37" x14ac:dyDescent="0.2">
      <c r="A780" t="str">
        <f>"20200111155808480"</f>
        <v>20200111155808480</v>
      </c>
      <c r="B780" t="str">
        <f>"1578729488471665"</f>
        <v>1578729488471665</v>
      </c>
      <c r="C780" t="s">
        <v>37</v>
      </c>
      <c r="D780">
        <v>6.0760870000000002</v>
      </c>
      <c r="E780">
        <v>0.53864119999999904</v>
      </c>
      <c r="F780" t="s">
        <v>38</v>
      </c>
      <c r="G780">
        <v>-332.72480000000002</v>
      </c>
      <c r="H780">
        <v>1.028302</v>
      </c>
      <c r="I780">
        <v>368.46</v>
      </c>
      <c r="J780">
        <v>-333.5068</v>
      </c>
      <c r="K780">
        <v>1.103559</v>
      </c>
      <c r="L780">
        <v>368.46789999999999</v>
      </c>
      <c r="M780">
        <v>0.99967320000000004</v>
      </c>
      <c r="N780">
        <v>0</v>
      </c>
      <c r="O780">
        <v>2.4163210000000001E-2</v>
      </c>
      <c r="P780">
        <v>0.99529080000000003</v>
      </c>
      <c r="Q780">
        <v>4.0415449999999997E-3</v>
      </c>
      <c r="R780">
        <v>9.6851320000000005E-2</v>
      </c>
      <c r="S780">
        <v>3.015625</v>
      </c>
      <c r="T780">
        <v>-0.226271999999999</v>
      </c>
      <c r="U780">
        <v>-6.9274899999999997E-3</v>
      </c>
      <c r="V780">
        <v>-7.2776750000000001E-2</v>
      </c>
      <c r="W780">
        <v>1.236104E-2</v>
      </c>
      <c r="X780">
        <v>0.99727169999999898</v>
      </c>
      <c r="Y780">
        <v>2.6318620000000001E-2</v>
      </c>
      <c r="Z780">
        <v>-2.7964370000000001E-3</v>
      </c>
      <c r="AA780">
        <v>0.99964969999999997</v>
      </c>
      <c r="AB780">
        <v>39</v>
      </c>
      <c r="AC780">
        <v>0.78199999999998204</v>
      </c>
      <c r="AD780">
        <v>-7.5256999999999893E-2</v>
      </c>
      <c r="AE780">
        <v>-7.9000000000064505E-3</v>
      </c>
      <c r="AF780">
        <v>2.6548131537408499E-2</v>
      </c>
      <c r="AG780">
        <v>-7.5256999999999893E-2</v>
      </c>
      <c r="AH780">
        <v>0.77440932224104098</v>
      </c>
      <c r="AI780">
        <v>95.547328920988804</v>
      </c>
      <c r="AJ780">
        <v>88.036567506770993</v>
      </c>
      <c r="AK780">
        <v>0.77851025536659202</v>
      </c>
    </row>
    <row r="781" spans="1:37" x14ac:dyDescent="0.2">
      <c r="A781" t="str">
        <f>"20200111155808497"</f>
        <v>20200111155808497</v>
      </c>
      <c r="B781" t="str">
        <f>"1578729488492162"</f>
        <v>1578729488492162</v>
      </c>
      <c r="C781" t="s">
        <v>37</v>
      </c>
      <c r="D781">
        <v>6.109108</v>
      </c>
      <c r="E781">
        <v>0.53859380000000001</v>
      </c>
      <c r="F781" t="s">
        <v>38</v>
      </c>
      <c r="G781">
        <v>-332.71600000000001</v>
      </c>
      <c r="H781">
        <v>1.0439529999999999</v>
      </c>
      <c r="I781">
        <v>368.46629999999999</v>
      </c>
      <c r="J781">
        <v>-333.23180000000002</v>
      </c>
      <c r="K781">
        <v>1.1035699999999999</v>
      </c>
      <c r="L781">
        <v>368.47460000000001</v>
      </c>
      <c r="M781">
        <v>0.99967070000000002</v>
      </c>
      <c r="N781">
        <v>0</v>
      </c>
      <c r="O781">
        <v>2.424316E-2</v>
      </c>
      <c r="P781">
        <v>0.99522730000000004</v>
      </c>
      <c r="Q781">
        <v>4.4447180000000003E-3</v>
      </c>
      <c r="R781">
        <v>9.7483559999999997E-2</v>
      </c>
      <c r="S781">
        <v>3.0156860000000001</v>
      </c>
      <c r="T781">
        <v>-0.227429399999999</v>
      </c>
      <c r="U781">
        <v>-5.3405759999999997E-3</v>
      </c>
      <c r="V781">
        <v>-7.3330309999999996E-2</v>
      </c>
      <c r="W781">
        <v>1.281972E-2</v>
      </c>
      <c r="X781">
        <v>0.99722529999999998</v>
      </c>
      <c r="Y781">
        <v>2.587209E-2</v>
      </c>
      <c r="Z781">
        <v>-2.79985E-3</v>
      </c>
      <c r="AA781">
        <v>0.99966129999999997</v>
      </c>
      <c r="AB781">
        <v>39</v>
      </c>
      <c r="AC781">
        <v>0.51580000000001203</v>
      </c>
      <c r="AD781">
        <v>-5.9617000000000003E-2</v>
      </c>
      <c r="AE781">
        <v>-8.3000000000197308E-3</v>
      </c>
      <c r="AF781">
        <v>2.05284538536664E-2</v>
      </c>
      <c r="AG781">
        <v>-5.9617000000000003E-2</v>
      </c>
      <c r="AH781">
        <v>0.50865376282076102</v>
      </c>
      <c r="AI781">
        <v>96.679491017963002</v>
      </c>
      <c r="AJ781">
        <v>87.688888041456906</v>
      </c>
      <c r="AK781">
        <v>0.51254683155624003</v>
      </c>
    </row>
    <row r="782" spans="1:37" x14ac:dyDescent="0.2">
      <c r="A782" t="str">
        <f>"20200111155808509"</f>
        <v>20200111155808509</v>
      </c>
      <c r="B782" t="str">
        <f>"1578729488501921"</f>
        <v>1578729488501921</v>
      </c>
      <c r="C782" t="s">
        <v>37</v>
      </c>
      <c r="D782">
        <v>6.0890849999999999</v>
      </c>
      <c r="E782">
        <v>0.53861210000000004</v>
      </c>
      <c r="F782" t="s">
        <v>38</v>
      </c>
      <c r="G782">
        <v>-332.37240000000003</v>
      </c>
      <c r="H782">
        <v>1.0382499999999999</v>
      </c>
      <c r="I782">
        <v>368.47329999999999</v>
      </c>
      <c r="J782">
        <v>-333.01740000000001</v>
      </c>
      <c r="K782">
        <v>1.103577</v>
      </c>
      <c r="L782">
        <v>368.47980000000001</v>
      </c>
      <c r="M782">
        <v>0.99966880000000002</v>
      </c>
      <c r="N782">
        <v>0</v>
      </c>
      <c r="O782">
        <v>2.430324E-2</v>
      </c>
      <c r="P782">
        <v>0.99518589999999996</v>
      </c>
      <c r="Q782">
        <v>4.7443900000000002E-3</v>
      </c>
      <c r="R782">
        <v>9.7890119999999997E-2</v>
      </c>
      <c r="S782">
        <v>3.0156860000000001</v>
      </c>
      <c r="T782">
        <v>-0.22954910000000001</v>
      </c>
      <c r="U782">
        <v>-2.8381349999999999E-3</v>
      </c>
      <c r="V782">
        <v>-7.3677569999999998E-2</v>
      </c>
      <c r="W782">
        <v>1.317112E-2</v>
      </c>
      <c r="X782">
        <v>0.997195099999999</v>
      </c>
      <c r="Y782">
        <v>2.5102030000000001E-2</v>
      </c>
      <c r="Z782">
        <v>-2.8011679999999902E-3</v>
      </c>
      <c r="AA782">
        <v>0.99968099999999904</v>
      </c>
      <c r="AB782">
        <v>39</v>
      </c>
      <c r="AC782">
        <v>0.64499999999998103</v>
      </c>
      <c r="AD782">
        <v>-6.5327000000000093E-2</v>
      </c>
      <c r="AE782">
        <v>-6.5000000000168196E-3</v>
      </c>
      <c r="AF782">
        <v>2.1949098623037799E-2</v>
      </c>
      <c r="AG782">
        <v>-6.5327000000000093E-2</v>
      </c>
      <c r="AH782">
        <v>0.63810641693611803</v>
      </c>
      <c r="AI782">
        <v>95.841936350961205</v>
      </c>
      <c r="AJ782">
        <v>88.029960125078105</v>
      </c>
      <c r="AK782">
        <v>0.64181709169701495</v>
      </c>
    </row>
    <row r="783" spans="1:37" x14ac:dyDescent="0.2">
      <c r="A783" t="str">
        <f>"20200111155808523"</f>
        <v>20200111155808523</v>
      </c>
      <c r="B783" t="str">
        <f>"1578729488511681"</f>
        <v>1578729488511681</v>
      </c>
      <c r="C783" t="s">
        <v>37</v>
      </c>
      <c r="D783">
        <v>6.098433</v>
      </c>
      <c r="E783">
        <v>0.53860839999999999</v>
      </c>
      <c r="F783" t="s">
        <v>38</v>
      </c>
      <c r="G783">
        <v>-332.02890000000002</v>
      </c>
      <c r="H783">
        <v>1.0290859999999999</v>
      </c>
      <c r="I783">
        <v>368.47890000000001</v>
      </c>
      <c r="J783">
        <v>-332.77969999999999</v>
      </c>
      <c r="K783">
        <v>1.103586</v>
      </c>
      <c r="L783">
        <v>368.48570000000001</v>
      </c>
      <c r="M783">
        <v>0.99966659999999996</v>
      </c>
      <c r="N783">
        <v>0</v>
      </c>
      <c r="O783">
        <v>2.4367340000000001E-2</v>
      </c>
      <c r="P783">
        <v>0.99511810000000001</v>
      </c>
      <c r="Q783">
        <v>4.5817890000000002E-3</v>
      </c>
      <c r="R783">
        <v>9.858546E-2</v>
      </c>
      <c r="S783">
        <v>3.0157470000000002</v>
      </c>
      <c r="T783">
        <v>-0.2275432</v>
      </c>
      <c r="U783">
        <v>-1.617432E-3</v>
      </c>
      <c r="V783">
        <v>-7.4310539999999994E-2</v>
      </c>
      <c r="W783">
        <v>1.307814E-2</v>
      </c>
      <c r="X783">
        <v>0.99714939999999996</v>
      </c>
      <c r="Y783">
        <v>2.4764749999999999E-2</v>
      </c>
      <c r="Z783">
        <v>-2.7688259999999998E-3</v>
      </c>
      <c r="AA783">
        <v>0.99968950000000001</v>
      </c>
      <c r="AB783">
        <v>39</v>
      </c>
      <c r="AC783">
        <v>0.75079999999996905</v>
      </c>
      <c r="AD783">
        <v>-7.4499999999999705E-2</v>
      </c>
      <c r="AE783">
        <v>-6.7999999999983603E-3</v>
      </c>
      <c r="AF783">
        <v>2.48490011474337E-2</v>
      </c>
      <c r="AG783">
        <v>-7.4499999999999705E-2</v>
      </c>
      <c r="AH783">
        <v>0.743095359154753</v>
      </c>
      <c r="AI783">
        <v>95.721955869530802</v>
      </c>
      <c r="AJ783">
        <v>88.084751113942801</v>
      </c>
      <c r="AK783">
        <v>0.74723385606873904</v>
      </c>
    </row>
    <row r="784" spans="1:37" x14ac:dyDescent="0.2">
      <c r="A784" t="str">
        <f>"20200111155808542"</f>
        <v>20200111155808542</v>
      </c>
      <c r="B784" t="str">
        <f>"1578729488532177"</f>
        <v>1578729488532177</v>
      </c>
      <c r="C784" t="s">
        <v>37</v>
      </c>
      <c r="D784">
        <v>6.0738180000000002</v>
      </c>
      <c r="E784">
        <v>0.53861459999999906</v>
      </c>
      <c r="F784" t="s">
        <v>38</v>
      </c>
      <c r="G784">
        <v>-332.01859999999999</v>
      </c>
      <c r="H784">
        <v>1.0457419999999999</v>
      </c>
      <c r="I784">
        <v>368.48540000000003</v>
      </c>
      <c r="J784">
        <v>-332.44740000000002</v>
      </c>
      <c r="K784">
        <v>1.103602</v>
      </c>
      <c r="L784">
        <v>368.49380000000002</v>
      </c>
      <c r="M784">
        <v>0.99966350000000004</v>
      </c>
      <c r="N784">
        <v>0</v>
      </c>
      <c r="O784">
        <v>2.4452539999999998E-2</v>
      </c>
      <c r="P784">
        <v>0.99505739999999998</v>
      </c>
      <c r="Q784">
        <v>4.6797039999999998E-3</v>
      </c>
      <c r="R784">
        <v>9.9191470000000004E-2</v>
      </c>
      <c r="S784">
        <v>3.015717</v>
      </c>
      <c r="T784">
        <v>-0.229573</v>
      </c>
      <c r="U784">
        <v>5.4931640000000002E-4</v>
      </c>
      <c r="V784">
        <v>-7.4832860000000001E-2</v>
      </c>
      <c r="W784">
        <v>1.329699E-2</v>
      </c>
      <c r="X784">
        <v>0.99710739999999998</v>
      </c>
      <c r="Y784">
        <v>2.4130800000000001E-2</v>
      </c>
      <c r="Z784">
        <v>-2.7758599999999998E-3</v>
      </c>
      <c r="AA784">
        <v>0.99970499999999995</v>
      </c>
      <c r="AB784">
        <v>39</v>
      </c>
      <c r="AC784">
        <v>0.428800000000023</v>
      </c>
      <c r="AD784">
        <v>-5.7860000000000002E-2</v>
      </c>
      <c r="AE784">
        <v>-8.3999999999946305E-3</v>
      </c>
      <c r="AF784">
        <v>1.8545593288642599E-2</v>
      </c>
      <c r="AG784">
        <v>-5.7860000000000002E-2</v>
      </c>
      <c r="AH784">
        <v>0.420807506279541</v>
      </c>
      <c r="AI784">
        <v>97.821440615166495</v>
      </c>
      <c r="AJ784">
        <v>87.476525349051698</v>
      </c>
      <c r="AK784">
        <v>0.42517134895431702</v>
      </c>
    </row>
    <row r="785" spans="1:37" x14ac:dyDescent="0.2">
      <c r="A785" t="str">
        <f>"20200111155808564"</f>
        <v>20200111155808564</v>
      </c>
      <c r="B785" t="str">
        <f>"1578729488551698"</f>
        <v>1578729488551698</v>
      </c>
      <c r="C785" t="s">
        <v>37</v>
      </c>
      <c r="D785">
        <v>6.1055320000000002</v>
      </c>
      <c r="E785">
        <v>0.53864009999999996</v>
      </c>
      <c r="F785" t="s">
        <v>38</v>
      </c>
      <c r="G785">
        <v>-331.67189999999999</v>
      </c>
      <c r="H785">
        <v>1.0439369999999999</v>
      </c>
      <c r="I785">
        <v>368.49419999999998</v>
      </c>
      <c r="J785">
        <v>-332.06049999999999</v>
      </c>
      <c r="K785">
        <v>1.103626</v>
      </c>
      <c r="L785">
        <v>368.50330000000002</v>
      </c>
      <c r="M785">
        <v>0.99965969999999904</v>
      </c>
      <c r="N785">
        <v>0</v>
      </c>
      <c r="O785">
        <v>2.4546749999999999E-2</v>
      </c>
      <c r="P785">
        <v>0.99506059999999996</v>
      </c>
      <c r="Q785">
        <v>3.968788E-3</v>
      </c>
      <c r="R785">
        <v>9.9190319999999998E-2</v>
      </c>
      <c r="S785">
        <v>3.0157470000000002</v>
      </c>
      <c r="T785">
        <v>-0.232376</v>
      </c>
      <c r="U785">
        <v>2.7160639999999998E-3</v>
      </c>
      <c r="V785">
        <v>-7.4737330000000005E-2</v>
      </c>
      <c r="W785">
        <v>1.2773949999999999E-2</v>
      </c>
      <c r="X785">
        <v>0.99712149999999999</v>
      </c>
      <c r="Y785">
        <v>2.350491E-2</v>
      </c>
      <c r="Z785">
        <v>-2.7927920000000001E-3</v>
      </c>
      <c r="AA785">
        <v>0.99971980000000005</v>
      </c>
      <c r="AB785">
        <v>39</v>
      </c>
      <c r="AC785">
        <v>0.388599999999996</v>
      </c>
      <c r="AD785">
        <v>-5.9688999999999798E-2</v>
      </c>
      <c r="AE785">
        <v>-9.1000000000462898E-3</v>
      </c>
      <c r="AF785">
        <v>1.8207170422493001E-2</v>
      </c>
      <c r="AG785">
        <v>-5.9688999999999798E-2</v>
      </c>
      <c r="AH785">
        <v>0.37931523857475802</v>
      </c>
      <c r="AI785">
        <v>98.932606107242606</v>
      </c>
      <c r="AJ785">
        <v>87.251905946900706</v>
      </c>
      <c r="AK785">
        <v>0.38441426611250901</v>
      </c>
    </row>
    <row r="786" spans="1:37" x14ac:dyDescent="0.2">
      <c r="A786" t="str">
        <f>"20200111155808580"</f>
        <v>20200111155808580</v>
      </c>
      <c r="B786" t="str">
        <f>"1578729488572192"</f>
        <v>1578729488572192</v>
      </c>
      <c r="C786" t="s">
        <v>37</v>
      </c>
      <c r="D786">
        <v>6.0489030000000001</v>
      </c>
      <c r="E786">
        <v>0.5386145</v>
      </c>
      <c r="F786" t="s">
        <v>38</v>
      </c>
      <c r="G786">
        <v>-331.32190000000003</v>
      </c>
      <c r="H786">
        <v>1.045553</v>
      </c>
      <c r="I786">
        <v>368.50380000000001</v>
      </c>
      <c r="J786">
        <v>-331.798</v>
      </c>
      <c r="K786">
        <v>1.1036509999999999</v>
      </c>
      <c r="L786">
        <v>368.50979999999998</v>
      </c>
      <c r="M786">
        <v>0.99965659999999901</v>
      </c>
      <c r="N786">
        <v>0</v>
      </c>
      <c r="O786">
        <v>2.46082E-2</v>
      </c>
      <c r="P786">
        <v>0.99503709999999901</v>
      </c>
      <c r="Q786">
        <v>3.056437E-3</v>
      </c>
      <c r="R786">
        <v>9.9458290000000005E-2</v>
      </c>
      <c r="S786">
        <v>3.0155939999999899</v>
      </c>
      <c r="T786">
        <v>-0.23721399999999901</v>
      </c>
      <c r="U786">
        <v>2.5024410000000002E-3</v>
      </c>
      <c r="V786">
        <v>-7.4943910000000002E-2</v>
      </c>
      <c r="W786">
        <v>1.203014E-2</v>
      </c>
      <c r="X786">
        <v>0.99711519999999998</v>
      </c>
      <c r="Y786">
        <v>2.3630599999999901E-2</v>
      </c>
      <c r="Z786">
        <v>-2.8606679999999998E-3</v>
      </c>
      <c r="AA786">
        <v>0.99971659999999996</v>
      </c>
      <c r="AB786">
        <v>39</v>
      </c>
      <c r="AC786">
        <v>0.47609999999997399</v>
      </c>
      <c r="AD786">
        <v>-5.80979999999999E-2</v>
      </c>
      <c r="AE786">
        <v>-5.9999999999717996E-3</v>
      </c>
      <c r="AF786">
        <v>1.7454743535462901E-2</v>
      </c>
      <c r="AG786">
        <v>-5.80979999999999E-2</v>
      </c>
      <c r="AH786">
        <v>0.46882791465030699</v>
      </c>
      <c r="AI786">
        <v>97.059341059465496</v>
      </c>
      <c r="AJ786">
        <v>87.867828659100695</v>
      </c>
      <c r="AK786">
        <v>0.472736352771018</v>
      </c>
    </row>
    <row r="787" spans="1:37" x14ac:dyDescent="0.2">
      <c r="A787" t="str">
        <f>"20200111155808593"</f>
        <v>20200111155808593</v>
      </c>
      <c r="B787" t="str">
        <f>"1578729488581953"</f>
        <v>1578729488581953</v>
      </c>
      <c r="C787" t="s">
        <v>37</v>
      </c>
      <c r="D787">
        <v>6.0981719999999999</v>
      </c>
      <c r="E787">
        <v>0.53859650000000003</v>
      </c>
      <c r="F787" t="s">
        <v>38</v>
      </c>
      <c r="G787">
        <v>-330.9794</v>
      </c>
      <c r="H787">
        <v>1.0380020000000001</v>
      </c>
      <c r="I787">
        <v>368.51049999999998</v>
      </c>
      <c r="J787">
        <v>-331.5532</v>
      </c>
      <c r="K787">
        <v>1.103683</v>
      </c>
      <c r="L787">
        <v>368.51580000000001</v>
      </c>
      <c r="M787">
        <v>0.99965349999999997</v>
      </c>
      <c r="N787">
        <v>0</v>
      </c>
      <c r="O787">
        <v>2.466631E-2</v>
      </c>
      <c r="P787">
        <v>0.99502330000000005</v>
      </c>
      <c r="Q787">
        <v>2.1131219999999998E-3</v>
      </c>
      <c r="R787">
        <v>9.9620769999999997E-2</v>
      </c>
      <c r="S787">
        <v>3.01532</v>
      </c>
      <c r="T787">
        <v>-0.2421179</v>
      </c>
      <c r="U787">
        <v>3.6315919999999999E-3</v>
      </c>
      <c r="V787">
        <v>-7.5048680000000006E-2</v>
      </c>
      <c r="W787">
        <v>1.127011E-2</v>
      </c>
      <c r="X787">
        <v>0.99711620000000001</v>
      </c>
      <c r="Y787">
        <v>2.330892E-2</v>
      </c>
      <c r="Z787">
        <v>-2.9116490000000001E-3</v>
      </c>
      <c r="AA787">
        <v>0.9997241</v>
      </c>
      <c r="AB787">
        <v>39</v>
      </c>
      <c r="AC787">
        <v>0.57380000000000497</v>
      </c>
      <c r="AD787">
        <v>-6.5680999999999795E-2</v>
      </c>
      <c r="AE787">
        <v>-5.3000000000338297E-3</v>
      </c>
      <c r="AF787">
        <v>1.9200952178386299E-2</v>
      </c>
      <c r="AG787">
        <v>-6.5680999999999795E-2</v>
      </c>
      <c r="AH787">
        <v>0.56607818470157401</v>
      </c>
      <c r="AI787">
        <v>96.614558655785899</v>
      </c>
      <c r="AJ787">
        <v>88.057314455711193</v>
      </c>
      <c r="AK787">
        <v>0.57019924721152104</v>
      </c>
    </row>
    <row r="788" spans="1:37" x14ac:dyDescent="0.2">
      <c r="A788" t="str">
        <f>"20200111155808609"</f>
        <v>20200111155808609</v>
      </c>
      <c r="B788" t="str">
        <f>"1578729488601472"</f>
        <v>1578729488601472</v>
      </c>
      <c r="C788" t="s">
        <v>37</v>
      </c>
      <c r="D788">
        <v>6.0425279999999999</v>
      </c>
      <c r="E788">
        <v>0.53856959999999998</v>
      </c>
      <c r="F788" t="s">
        <v>38</v>
      </c>
      <c r="G788">
        <v>-330.63549999999998</v>
      </c>
      <c r="H788">
        <v>1.0287219999999999</v>
      </c>
      <c r="I788">
        <v>368.51690000000002</v>
      </c>
      <c r="J788">
        <v>-331.2824</v>
      </c>
      <c r="K788">
        <v>1.1037189999999999</v>
      </c>
      <c r="L788">
        <v>368.52260000000001</v>
      </c>
      <c r="M788">
        <v>0.99964989999999998</v>
      </c>
      <c r="N788">
        <v>0</v>
      </c>
      <c r="O788">
        <v>2.4727829999999999E-2</v>
      </c>
      <c r="P788">
        <v>0.99501280000000003</v>
      </c>
      <c r="Q788">
        <v>9.7935269999999998E-4</v>
      </c>
      <c r="R788">
        <v>9.9742899999999995E-2</v>
      </c>
      <c r="S788">
        <v>3.0151059999999998</v>
      </c>
      <c r="T788">
        <v>-0.2464498</v>
      </c>
      <c r="U788">
        <v>4.3029790000000002E-3</v>
      </c>
      <c r="V788">
        <v>-7.5109339999999997E-2</v>
      </c>
      <c r="W788">
        <v>1.0367029999999999E-2</v>
      </c>
      <c r="X788">
        <v>0.99712140000000005</v>
      </c>
      <c r="Y788">
        <v>2.314256E-2</v>
      </c>
      <c r="Z788">
        <v>-2.9620150000000001E-3</v>
      </c>
      <c r="AA788">
        <v>0.99972780000000006</v>
      </c>
      <c r="AB788">
        <v>39</v>
      </c>
      <c r="AC788">
        <v>0.64690000000001602</v>
      </c>
      <c r="AD788">
        <v>-7.4997000000000202E-2</v>
      </c>
      <c r="AE788">
        <v>-5.6999999999902597E-3</v>
      </c>
      <c r="AF788">
        <v>2.14076924482751E-2</v>
      </c>
      <c r="AG788">
        <v>-7.4997000000000202E-2</v>
      </c>
      <c r="AH788">
        <v>0.63798705784092102</v>
      </c>
      <c r="AI788">
        <v>96.700758279289801</v>
      </c>
      <c r="AJ788">
        <v>88.078157898236398</v>
      </c>
      <c r="AK788">
        <v>0.64273659089667101</v>
      </c>
    </row>
    <row r="789" spans="1:37" x14ac:dyDescent="0.2">
      <c r="A789" t="str">
        <f>"20200111155808621"</f>
        <v>20200111155808621</v>
      </c>
      <c r="B789" t="str">
        <f>"1578729488612209"</f>
        <v>1578729488612209</v>
      </c>
      <c r="C789" t="s">
        <v>37</v>
      </c>
      <c r="D789">
        <v>6.6876990000000003</v>
      </c>
      <c r="E789">
        <v>0.53849969999999903</v>
      </c>
      <c r="F789" t="s">
        <v>38</v>
      </c>
      <c r="G789">
        <v>-330.291</v>
      </c>
      <c r="H789">
        <v>1.020794</v>
      </c>
      <c r="I789">
        <v>368.524</v>
      </c>
      <c r="J789">
        <v>-331.05430000000001</v>
      </c>
      <c r="K789">
        <v>1.103758</v>
      </c>
      <c r="L789">
        <v>368.5283</v>
      </c>
      <c r="M789">
        <v>0.99964649999999999</v>
      </c>
      <c r="N789">
        <v>0</v>
      </c>
      <c r="O789">
        <v>2.4773130000000001E-2</v>
      </c>
      <c r="P789">
        <v>0.99500750000000004</v>
      </c>
      <c r="Q789">
        <v>1.1644700000000001E-4</v>
      </c>
      <c r="R789">
        <v>9.9800180000000002E-2</v>
      </c>
      <c r="S789">
        <v>3.0148009999999998</v>
      </c>
      <c r="T789">
        <v>-0.25232889999999902</v>
      </c>
      <c r="U789">
        <v>5.0048829999999999E-3</v>
      </c>
      <c r="V789">
        <v>-7.51217E-2</v>
      </c>
      <c r="W789">
        <v>9.7209510000000002E-3</v>
      </c>
      <c r="X789">
        <v>0.99712699999999999</v>
      </c>
      <c r="Y789">
        <v>2.2947820000000001E-2</v>
      </c>
      <c r="Z789">
        <v>-3.028387E-3</v>
      </c>
      <c r="AA789">
        <v>0.99973210000000001</v>
      </c>
      <c r="AB789">
        <v>39</v>
      </c>
      <c r="AC789">
        <v>0.76330000000001497</v>
      </c>
      <c r="AD789">
        <v>-8.2963999999999996E-2</v>
      </c>
      <c r="AE789">
        <v>-4.3000000000006297E-3</v>
      </c>
      <c r="AF789">
        <v>2.2937916381906499E-2</v>
      </c>
      <c r="AG789">
        <v>-8.2963999999999996E-2</v>
      </c>
      <c r="AH789">
        <v>0.75405127871884903</v>
      </c>
      <c r="AI789">
        <v>96.2757970184378</v>
      </c>
      <c r="AJ789">
        <v>88.257624272696205</v>
      </c>
      <c r="AK789">
        <v>0.75894828825254901</v>
      </c>
    </row>
    <row r="790" spans="1:37" x14ac:dyDescent="0.2">
      <c r="A790" t="str">
        <f>"20200111155808634"</f>
        <v>20200111155808634</v>
      </c>
      <c r="B790" t="str">
        <f>"1578729488631729"</f>
        <v>1578729488631729</v>
      </c>
      <c r="C790" t="s">
        <v>37</v>
      </c>
      <c r="D790">
        <v>6.3814909999999996</v>
      </c>
      <c r="E790">
        <v>0.53838969999999997</v>
      </c>
      <c r="F790" t="s">
        <v>38</v>
      </c>
      <c r="G790">
        <v>-330.28219999999999</v>
      </c>
      <c r="H790">
        <v>1.03908</v>
      </c>
      <c r="I790">
        <v>368.52960000000002</v>
      </c>
      <c r="J790">
        <v>-330.84699999999998</v>
      </c>
      <c r="K790">
        <v>1.1037889999999999</v>
      </c>
      <c r="L790">
        <v>368.5335</v>
      </c>
      <c r="M790">
        <v>0.99964359999999997</v>
      </c>
      <c r="N790">
        <v>0</v>
      </c>
      <c r="O790">
        <v>2.4814220000000001E-2</v>
      </c>
      <c r="P790">
        <v>0.99498519999999901</v>
      </c>
      <c r="Q790">
        <v>-8.0121309999999998E-4</v>
      </c>
      <c r="R790">
        <v>0.10002179999999999</v>
      </c>
      <c r="S790">
        <v>3.014526</v>
      </c>
      <c r="T790">
        <v>-0.252774</v>
      </c>
      <c r="U790">
        <v>5.9204100000000001E-3</v>
      </c>
      <c r="V790">
        <v>-7.5301919999999994E-2</v>
      </c>
      <c r="W790">
        <v>9.0166949999999999E-3</v>
      </c>
      <c r="X790">
        <v>0.99712000000000001</v>
      </c>
      <c r="Y790">
        <v>2.2685339999999998E-2</v>
      </c>
      <c r="Z790">
        <v>-3.0264409999999999E-3</v>
      </c>
      <c r="AA790">
        <v>0.99973809999999996</v>
      </c>
      <c r="AB790">
        <v>39</v>
      </c>
      <c r="AC790">
        <v>0.56479999999999098</v>
      </c>
      <c r="AD790">
        <v>-6.4708999999999905E-2</v>
      </c>
      <c r="AE790">
        <v>-3.8999999999873498E-3</v>
      </c>
      <c r="AF790">
        <v>1.7682456799209E-2</v>
      </c>
      <c r="AG790">
        <v>-6.4708999999999905E-2</v>
      </c>
      <c r="AH790">
        <v>0.55721549974992801</v>
      </c>
      <c r="AI790">
        <v>96.620739945424006</v>
      </c>
      <c r="AJ790">
        <v>88.1824082954369</v>
      </c>
      <c r="AK790">
        <v>0.56123884142227498</v>
      </c>
    </row>
    <row r="791" spans="1:37" x14ac:dyDescent="0.2">
      <c r="A791" t="str">
        <f>"20200111155808653"</f>
        <v>20200111155808653</v>
      </c>
      <c r="B791" t="str">
        <f>"1578729488641488"</f>
        <v>1578729488641488</v>
      </c>
      <c r="C791" t="s">
        <v>37</v>
      </c>
      <c r="D791">
        <v>6.0374999999999996</v>
      </c>
      <c r="E791">
        <v>0.52694849999999904</v>
      </c>
      <c r="F791" t="s">
        <v>38</v>
      </c>
      <c r="G791">
        <v>-329.93979999999999</v>
      </c>
      <c r="H791">
        <v>1.0275510000000001</v>
      </c>
      <c r="I791">
        <v>368.53539999999998</v>
      </c>
      <c r="J791">
        <v>-330.52870000000001</v>
      </c>
      <c r="K791">
        <v>1.103837</v>
      </c>
      <c r="L791">
        <v>368.54140000000001</v>
      </c>
      <c r="M791">
        <v>0.99963829999999998</v>
      </c>
      <c r="N791">
        <v>0</v>
      </c>
      <c r="O791">
        <v>2.4879640000000001E-2</v>
      </c>
      <c r="P791">
        <v>0.99500339999999998</v>
      </c>
      <c r="Q791">
        <v>-2.6833450000000002E-3</v>
      </c>
      <c r="R791">
        <v>9.9805980000000002E-2</v>
      </c>
      <c r="S791">
        <v>3.0141909999999998</v>
      </c>
      <c r="T791">
        <v>-0.25349179999999999</v>
      </c>
      <c r="U791">
        <v>7.3242189999999999E-3</v>
      </c>
      <c r="V791">
        <v>-7.5020439999999994E-2</v>
      </c>
      <c r="W791">
        <v>7.4860990000000004E-3</v>
      </c>
      <c r="X791">
        <v>0.99715390000000004</v>
      </c>
      <c r="Y791">
        <v>2.228523E-2</v>
      </c>
      <c r="Z791">
        <v>-3.0240409999999999E-3</v>
      </c>
      <c r="AA791">
        <v>0.9997471</v>
      </c>
      <c r="AB791">
        <v>39</v>
      </c>
      <c r="AC791">
        <v>0.58890000000002296</v>
      </c>
      <c r="AD791">
        <v>-7.6286000000000007E-2</v>
      </c>
      <c r="AE791">
        <v>-6.0000000000286404E-3</v>
      </c>
      <c r="AF791">
        <v>2.0309752716235599E-2</v>
      </c>
      <c r="AG791">
        <v>-7.6286000000000007E-2</v>
      </c>
      <c r="AH791">
        <v>0.57885588309263902</v>
      </c>
      <c r="AI791">
        <v>97.503041938076706</v>
      </c>
      <c r="AJ791">
        <v>87.990543071523504</v>
      </c>
      <c r="AK791">
        <v>0.58421415015587697</v>
      </c>
    </row>
    <row r="792" spans="1:37" x14ac:dyDescent="0.2">
      <c r="A792" t="str">
        <f>"20200111155808665"</f>
        <v>20200111155808665</v>
      </c>
      <c r="B792" t="str">
        <f>"1578729488661985"</f>
        <v>1578729488661985</v>
      </c>
      <c r="C792" t="s">
        <v>37</v>
      </c>
      <c r="D792">
        <v>6.0702739999999897</v>
      </c>
      <c r="E792">
        <v>0.52785150000000003</v>
      </c>
      <c r="F792" t="s">
        <v>41</v>
      </c>
      <c r="G792">
        <v>-303.92779999999999</v>
      </c>
      <c r="H792">
        <v>-0.05</v>
      </c>
      <c r="I792">
        <v>369.3485</v>
      </c>
      <c r="J792">
        <v>-330.29899999999998</v>
      </c>
      <c r="K792">
        <v>1.1038709999999901</v>
      </c>
      <c r="L792">
        <v>368.54719999999998</v>
      </c>
      <c r="M792">
        <v>0.99963440000000003</v>
      </c>
      <c r="N792">
        <v>0</v>
      </c>
      <c r="O792">
        <v>2.49287999999999E-2</v>
      </c>
      <c r="P792">
        <v>0.9950116</v>
      </c>
      <c r="Q792">
        <v>-3.4393129999999998E-3</v>
      </c>
      <c r="R792">
        <v>9.9701269999999995E-2</v>
      </c>
      <c r="S792">
        <v>3.0055540000000001</v>
      </c>
      <c r="T792">
        <v>-0.1303686</v>
      </c>
      <c r="U792">
        <v>9.1186519999999993E-2</v>
      </c>
      <c r="V792">
        <v>-7.4866180000000004E-2</v>
      </c>
      <c r="W792">
        <v>6.9992609999999997E-3</v>
      </c>
      <c r="X792">
        <v>0.99716899999999997</v>
      </c>
      <c r="Y792">
        <v>-5.415581E-3</v>
      </c>
      <c r="Z792">
        <v>-9.6305489999999995E-4</v>
      </c>
      <c r="AA792">
        <v>0.99998489999999995</v>
      </c>
      <c r="AB792">
        <v>39</v>
      </c>
      <c r="AC792">
        <v>26.371200000000002</v>
      </c>
      <c r="AD792">
        <v>-1.1538709999999901</v>
      </c>
      <c r="AE792">
        <v>0.80130000000002599</v>
      </c>
      <c r="AF792">
        <v>-0.14333837808105901</v>
      </c>
      <c r="AG792">
        <v>-1.1538709999999901</v>
      </c>
      <c r="AH792">
        <v>26.332613033428601</v>
      </c>
      <c r="AI792">
        <v>92.509006429634397</v>
      </c>
      <c r="AJ792">
        <v>90.311879530616906</v>
      </c>
      <c r="AK792">
        <v>26.3582714407369</v>
      </c>
    </row>
    <row r="793" spans="1:37" x14ac:dyDescent="0.2">
      <c r="A793" t="str">
        <f>"20200111155808687"</f>
        <v>20200111155808687</v>
      </c>
      <c r="B793" t="str">
        <f>"1578729488681505"</f>
        <v>1578729488681505</v>
      </c>
      <c r="C793" t="s">
        <v>37</v>
      </c>
      <c r="D793">
        <v>6.0640499999999999</v>
      </c>
      <c r="E793">
        <v>0.52744159999999995</v>
      </c>
      <c r="F793" t="s">
        <v>41</v>
      </c>
      <c r="G793">
        <v>-302.12060000000002</v>
      </c>
      <c r="H793">
        <v>-0.05</v>
      </c>
      <c r="I793">
        <v>369.32889999999998</v>
      </c>
      <c r="J793">
        <v>-329.921999999999</v>
      </c>
      <c r="K793">
        <v>1.103926</v>
      </c>
      <c r="L793">
        <v>368.55669999999998</v>
      </c>
      <c r="M793">
        <v>0.99962719999999905</v>
      </c>
      <c r="N793">
        <v>0</v>
      </c>
      <c r="O793">
        <v>2.5015639999999999E-2</v>
      </c>
      <c r="P793">
        <v>0.9950059</v>
      </c>
      <c r="Q793">
        <v>-4.9378820000000002E-3</v>
      </c>
      <c r="R793">
        <v>9.9694930000000001E-2</v>
      </c>
      <c r="S793">
        <v>3.006256</v>
      </c>
      <c r="T793">
        <v>-0.1231025</v>
      </c>
      <c r="U793">
        <v>8.3404539999999999E-2</v>
      </c>
      <c r="V793">
        <v>-7.4772539999999998E-2</v>
      </c>
      <c r="W793">
        <v>5.9607319999999998E-3</v>
      </c>
      <c r="X793">
        <v>0.99718280000000004</v>
      </c>
      <c r="Y793">
        <v>-2.7354440000000001E-3</v>
      </c>
      <c r="Z793">
        <v>-9.6765459999999996E-4</v>
      </c>
      <c r="AA793">
        <v>0.99999579999999999</v>
      </c>
      <c r="AB793">
        <v>39</v>
      </c>
      <c r="AC793">
        <v>27.801399999999902</v>
      </c>
      <c r="AD793">
        <v>-1.153926</v>
      </c>
      <c r="AE793">
        <v>0.772199999999997</v>
      </c>
      <c r="AF793">
        <v>-7.63155133169236E-2</v>
      </c>
      <c r="AG793">
        <v>-1.153926</v>
      </c>
      <c r="AH793">
        <v>27.764223040181701</v>
      </c>
      <c r="AI793">
        <v>92.379926543900893</v>
      </c>
      <c r="AJ793">
        <v>90.157488498996997</v>
      </c>
      <c r="AK793">
        <v>27.7882970024434</v>
      </c>
    </row>
    <row r="794" spans="1:37" x14ac:dyDescent="0.2">
      <c r="A794" t="str">
        <f>"20200111155808699"</f>
        <v>20200111155808699</v>
      </c>
      <c r="B794" t="str">
        <f>"1578729488692242"</f>
        <v>1578729488692242</v>
      </c>
      <c r="C794" t="s">
        <v>37</v>
      </c>
      <c r="D794">
        <v>6.0735400000000004</v>
      </c>
      <c r="E794">
        <v>0.52722769999999997</v>
      </c>
      <c r="F794" t="s">
        <v>41</v>
      </c>
      <c r="G794">
        <v>-302.67200000000003</v>
      </c>
      <c r="H794">
        <v>-0.05</v>
      </c>
      <c r="I794">
        <v>369.34050000000002</v>
      </c>
      <c r="J794">
        <v>-329.70760000000001</v>
      </c>
      <c r="K794">
        <v>1.1039540000000001</v>
      </c>
      <c r="L794">
        <v>368.56209999999999</v>
      </c>
      <c r="M794">
        <v>0.99962309999999999</v>
      </c>
      <c r="N794">
        <v>0</v>
      </c>
      <c r="O794">
        <v>2.5066729999999999E-2</v>
      </c>
      <c r="P794">
        <v>0.995013699999999</v>
      </c>
      <c r="Q794">
        <v>-5.3401119999999897E-3</v>
      </c>
      <c r="R794">
        <v>9.9596340000000005E-2</v>
      </c>
      <c r="S794">
        <v>3.0057680000000002</v>
      </c>
      <c r="T794">
        <v>-0.12728200000000001</v>
      </c>
      <c r="U794">
        <v>8.64563E-2</v>
      </c>
      <c r="V794">
        <v>-7.4622809999999998E-2</v>
      </c>
      <c r="W794">
        <v>5.8157749999999996E-3</v>
      </c>
      <c r="X794">
        <v>0.9971949</v>
      </c>
      <c r="Y794">
        <v>-3.7037259999999901E-3</v>
      </c>
      <c r="Z794">
        <v>-9.8229939999999998E-4</v>
      </c>
      <c r="AA794">
        <v>0.99999269999999996</v>
      </c>
      <c r="AB794">
        <v>39</v>
      </c>
      <c r="AC794">
        <v>27.035599999999899</v>
      </c>
      <c r="AD794">
        <v>-1.1539539999999999</v>
      </c>
      <c r="AE794">
        <v>0.77840000000003295</v>
      </c>
      <c r="AF794">
        <v>-0.100236366586269</v>
      </c>
      <c r="AG794">
        <v>-1.1539539999999999</v>
      </c>
      <c r="AH794">
        <v>26.997473236161898</v>
      </c>
      <c r="AI794">
        <v>92.447489001598001</v>
      </c>
      <c r="AJ794">
        <v>90.212727106703795</v>
      </c>
      <c r="AK794">
        <v>27.022309640380101</v>
      </c>
    </row>
    <row r="795" spans="1:37" x14ac:dyDescent="0.2">
      <c r="A795" t="str">
        <f>"20200111155808711"</f>
        <v>20200111155808711</v>
      </c>
      <c r="B795" t="str">
        <f>"1578729488702002"</f>
        <v>1578729488702002</v>
      </c>
      <c r="C795" t="s">
        <v>37</v>
      </c>
      <c r="D795">
        <v>5.9973179999999999</v>
      </c>
      <c r="E795">
        <v>0.52739539999999996</v>
      </c>
      <c r="F795" t="s">
        <v>41</v>
      </c>
      <c r="G795">
        <v>-302.57229999999998</v>
      </c>
      <c r="H795">
        <v>-0.05</v>
      </c>
      <c r="I795">
        <v>369.35449999999997</v>
      </c>
      <c r="J795">
        <v>-329.50529999999998</v>
      </c>
      <c r="K795">
        <v>1.1039779999999999</v>
      </c>
      <c r="L795">
        <v>368.56720000000001</v>
      </c>
      <c r="M795">
        <v>0.99961929999999999</v>
      </c>
      <c r="N795">
        <v>0</v>
      </c>
      <c r="O795">
        <v>2.511418E-2</v>
      </c>
      <c r="P795">
        <v>0.9950118</v>
      </c>
      <c r="Q795">
        <v>-6.128138E-3</v>
      </c>
      <c r="R795">
        <v>9.956922E-2</v>
      </c>
      <c r="S795">
        <v>3.0055540000000001</v>
      </c>
      <c r="T795">
        <v>-0.12781400000000001</v>
      </c>
      <c r="U795">
        <v>8.7768550000000001E-2</v>
      </c>
      <c r="V795">
        <v>-7.4548370000000003E-2</v>
      </c>
      <c r="W795">
        <v>5.2616989999999999E-3</v>
      </c>
      <c r="X795">
        <v>0.99720350000000002</v>
      </c>
      <c r="Y795">
        <v>-4.0943309999999997E-3</v>
      </c>
      <c r="Z795">
        <v>-9.8018220000000008E-4</v>
      </c>
      <c r="AA795">
        <v>0.99999110000000002</v>
      </c>
      <c r="AB795">
        <v>39</v>
      </c>
      <c r="AC795">
        <v>26.933</v>
      </c>
      <c r="AD795">
        <v>-1.1539779999999999</v>
      </c>
      <c r="AE795">
        <v>0.78729999999995903</v>
      </c>
      <c r="AF795">
        <v>-0.11040477598484499</v>
      </c>
      <c r="AG795">
        <v>-1.1539779999999999</v>
      </c>
      <c r="AH795">
        <v>26.8949460029535</v>
      </c>
      <c r="AI795">
        <v>92.456855027628606</v>
      </c>
      <c r="AJ795">
        <v>90.235200032354001</v>
      </c>
      <c r="AK795">
        <v>26.919917810811199</v>
      </c>
    </row>
    <row r="796" spans="1:37" x14ac:dyDescent="0.2">
      <c r="A796" t="str">
        <f>"20200111155808724"</f>
        <v>20200111155808724</v>
      </c>
      <c r="B796" t="str">
        <f>"1578729488721520"</f>
        <v>1578729488721520</v>
      </c>
      <c r="C796" t="s">
        <v>37</v>
      </c>
      <c r="D796">
        <v>5.9968129999999897</v>
      </c>
      <c r="E796">
        <v>0.52752299999999996</v>
      </c>
      <c r="F796" t="s">
        <v>41</v>
      </c>
      <c r="G796">
        <v>-303.6019</v>
      </c>
      <c r="H796">
        <v>-0.05</v>
      </c>
      <c r="I796">
        <v>369.31450000000001</v>
      </c>
      <c r="J796">
        <v>-329.27350000000001</v>
      </c>
      <c r="K796">
        <v>1.104004</v>
      </c>
      <c r="L796">
        <v>368.57310000000001</v>
      </c>
      <c r="M796">
        <v>0.99961499999999903</v>
      </c>
      <c r="N796">
        <v>0</v>
      </c>
      <c r="O796">
        <v>2.5167889999999998E-2</v>
      </c>
      <c r="P796">
        <v>0.99503549999999996</v>
      </c>
      <c r="Q796">
        <v>-6.8883169999999997E-3</v>
      </c>
      <c r="R796">
        <v>9.928331E-2</v>
      </c>
      <c r="S796">
        <v>3.0055239999999999</v>
      </c>
      <c r="T796">
        <v>-0.1338935</v>
      </c>
      <c r="U796">
        <v>8.6700440000000004E-2</v>
      </c>
      <c r="V796">
        <v>-7.4208099999999999E-2</v>
      </c>
      <c r="W796">
        <v>4.7624570000000003E-3</v>
      </c>
      <c r="X796">
        <v>0.99723139999999999</v>
      </c>
      <c r="Y796">
        <v>-3.6880459999999999E-3</v>
      </c>
      <c r="Z796">
        <v>-1.038214E-3</v>
      </c>
      <c r="AA796">
        <v>0.99999269999999996</v>
      </c>
      <c r="AB796">
        <v>39</v>
      </c>
      <c r="AC796">
        <v>25.671600000000002</v>
      </c>
      <c r="AD796">
        <v>-1.154004</v>
      </c>
      <c r="AE796">
        <v>0.74139999999999795</v>
      </c>
      <c r="AF796">
        <v>-9.4829572640887205E-2</v>
      </c>
      <c r="AG796">
        <v>-1.154004</v>
      </c>
      <c r="AH796">
        <v>25.630378893014299</v>
      </c>
      <c r="AI796">
        <v>92.577975207970695</v>
      </c>
      <c r="AJ796">
        <v>90.211987092176798</v>
      </c>
      <c r="AK796">
        <v>25.6565204203403</v>
      </c>
    </row>
    <row r="797" spans="1:37" x14ac:dyDescent="0.2">
      <c r="A797" t="str">
        <f>"20200111155808738"</f>
        <v>20200111155808738</v>
      </c>
      <c r="B797" t="str">
        <f>"1578729488732259"</f>
        <v>1578729488732259</v>
      </c>
      <c r="C797" t="s">
        <v>37</v>
      </c>
      <c r="D797">
        <v>5.9805779999999897</v>
      </c>
      <c r="E797">
        <v>0.52836850000000002</v>
      </c>
      <c r="F797" t="s">
        <v>41</v>
      </c>
      <c r="G797">
        <v>-303.57260000000002</v>
      </c>
      <c r="H797">
        <v>-0.05</v>
      </c>
      <c r="I797">
        <v>369.29719999999998</v>
      </c>
      <c r="J797">
        <v>-329.04500000000002</v>
      </c>
      <c r="K797">
        <v>1.1040270000000001</v>
      </c>
      <c r="L797">
        <v>368.5788</v>
      </c>
      <c r="M797">
        <v>0.99961080000000002</v>
      </c>
      <c r="N797">
        <v>0</v>
      </c>
      <c r="O797">
        <v>2.5219390000000001E-2</v>
      </c>
      <c r="P797">
        <v>0.99507319999999999</v>
      </c>
      <c r="Q797">
        <v>-7.2457900000000002E-3</v>
      </c>
      <c r="R797">
        <v>9.8879659999999994E-2</v>
      </c>
      <c r="S797">
        <v>3.005585</v>
      </c>
      <c r="T797">
        <v>-0.13495470000000001</v>
      </c>
      <c r="U797">
        <v>8.4686280000000003E-2</v>
      </c>
      <c r="V797">
        <v>-7.3752600000000001E-2</v>
      </c>
      <c r="W797">
        <v>4.6413419999999997E-3</v>
      </c>
      <c r="X797">
        <v>0.99726579999999998</v>
      </c>
      <c r="Y797">
        <v>-2.9673870000000001E-3</v>
      </c>
      <c r="Z797">
        <v>-1.064906E-3</v>
      </c>
      <c r="AA797">
        <v>0.99999509999999903</v>
      </c>
      <c r="AB797">
        <v>39</v>
      </c>
      <c r="AC797">
        <v>25.4724</v>
      </c>
      <c r="AD797">
        <v>-1.1540269999999999</v>
      </c>
      <c r="AE797">
        <v>0.71839999999997395</v>
      </c>
      <c r="AF797">
        <v>-7.5572402160951499E-2</v>
      </c>
      <c r="AG797">
        <v>-1.1540269999999999</v>
      </c>
      <c r="AH797">
        <v>25.430260797459599</v>
      </c>
      <c r="AI797">
        <v>92.5982923657307</v>
      </c>
      <c r="AJ797">
        <v>90.170268287045303</v>
      </c>
      <c r="AK797">
        <v>25.456544418508699</v>
      </c>
    </row>
    <row r="798" spans="1:37" x14ac:dyDescent="0.2">
      <c r="A798" t="str">
        <f>"20200111155808753"</f>
        <v>20200111155808753</v>
      </c>
      <c r="B798" t="str">
        <f>"1578729488742017"</f>
        <v>1578729488742017</v>
      </c>
      <c r="C798" t="s">
        <v>37</v>
      </c>
      <c r="D798">
        <v>7.0815190000000001</v>
      </c>
      <c r="E798">
        <v>0.52864049999999996</v>
      </c>
      <c r="F798" t="s">
        <v>41</v>
      </c>
      <c r="G798">
        <v>-303.66910000000001</v>
      </c>
      <c r="H798">
        <v>-0.05</v>
      </c>
      <c r="I798">
        <v>369.2285</v>
      </c>
      <c r="J798">
        <v>-328.77809999999999</v>
      </c>
      <c r="K798">
        <v>1.104044</v>
      </c>
      <c r="L798">
        <v>368.5856</v>
      </c>
      <c r="M798">
        <v>0.9996062</v>
      </c>
      <c r="N798">
        <v>0</v>
      </c>
      <c r="O798">
        <v>2.527805E-2</v>
      </c>
      <c r="P798">
        <v>0.99511329999999998</v>
      </c>
      <c r="Q798">
        <v>-7.5915959999999999E-3</v>
      </c>
      <c r="R798">
        <v>9.8448919999999995E-2</v>
      </c>
      <c r="S798">
        <v>3.0061650000000002</v>
      </c>
      <c r="T798">
        <v>-0.13671179999999999</v>
      </c>
      <c r="U798">
        <v>7.6965329999999998E-2</v>
      </c>
      <c r="V798">
        <v>-7.3262339999999995E-2</v>
      </c>
      <c r="W798">
        <v>4.5583730000000001E-3</v>
      </c>
      <c r="X798">
        <v>0.99730229999999997</v>
      </c>
      <c r="Y798">
        <v>-3.4004510000000001E-4</v>
      </c>
      <c r="Z798">
        <v>-1.140966E-3</v>
      </c>
      <c r="AA798">
        <v>0.99999930000000004</v>
      </c>
      <c r="AB798">
        <v>39</v>
      </c>
      <c r="AC798">
        <v>25.108999999999899</v>
      </c>
      <c r="AD798">
        <v>-1.1540440000000001</v>
      </c>
      <c r="AE798">
        <v>0.64289999999999703</v>
      </c>
      <c r="AF798">
        <v>-7.9241296818304205E-3</v>
      </c>
      <c r="AG798">
        <v>-1.1540440000000001</v>
      </c>
      <c r="AH798">
        <v>25.0643155598802</v>
      </c>
      <c r="AI798">
        <v>92.636225220603606</v>
      </c>
      <c r="AJ798">
        <v>90.018114165969195</v>
      </c>
      <c r="AK798">
        <v>25.090870746768001</v>
      </c>
    </row>
    <row r="799" spans="1:37" x14ac:dyDescent="0.2">
      <c r="A799" t="str">
        <f>"20200111155808766"</f>
        <v>20200111155808766</v>
      </c>
      <c r="B799" t="str">
        <f>"1578729488761539"</f>
        <v>1578729488761539</v>
      </c>
      <c r="C799" t="s">
        <v>37</v>
      </c>
      <c r="D799">
        <v>6.0093629999999996</v>
      </c>
      <c r="E799">
        <v>0.52869299999999997</v>
      </c>
      <c r="F799" t="s">
        <v>41</v>
      </c>
      <c r="G799">
        <v>-302.97890000000001</v>
      </c>
      <c r="H799">
        <v>-0.05</v>
      </c>
      <c r="I799">
        <v>369.21620000000001</v>
      </c>
      <c r="J799">
        <v>-328.55579999999998</v>
      </c>
      <c r="K799">
        <v>1.104063</v>
      </c>
      <c r="L799">
        <v>368.59129999999999</v>
      </c>
      <c r="M799">
        <v>0.99960230000000005</v>
      </c>
      <c r="N799">
        <v>0</v>
      </c>
      <c r="O799">
        <v>2.532599E-2</v>
      </c>
      <c r="P799">
        <v>0.99513439999999997</v>
      </c>
      <c r="Q799">
        <v>-7.9401339999999997E-3</v>
      </c>
      <c r="R799">
        <v>9.8206680000000005E-2</v>
      </c>
      <c r="S799">
        <v>3.0064700000000002</v>
      </c>
      <c r="T799">
        <v>-0.1344844</v>
      </c>
      <c r="U799">
        <v>7.3486330000000002E-2</v>
      </c>
      <c r="V799">
        <v>-7.2971820000000007E-2</v>
      </c>
      <c r="W799">
        <v>4.4172300000000003E-3</v>
      </c>
      <c r="X799">
        <v>0.99732419999999999</v>
      </c>
      <c r="Y799">
        <v>8.666177E-4</v>
      </c>
      <c r="Z799">
        <v>-1.1514170000000001E-3</v>
      </c>
      <c r="AA799">
        <v>0.99999899999999997</v>
      </c>
      <c r="AB799">
        <v>39</v>
      </c>
      <c r="AC799">
        <v>25.576899999999899</v>
      </c>
      <c r="AD799">
        <v>-1.1540629999999901</v>
      </c>
      <c r="AE799">
        <v>0.62490000000002499</v>
      </c>
      <c r="AF799">
        <v>2.3063685973705401E-2</v>
      </c>
      <c r="AG799">
        <v>-1.1540629999999901</v>
      </c>
      <c r="AH799">
        <v>25.532570703991802</v>
      </c>
      <c r="AI799">
        <v>92.587986077402306</v>
      </c>
      <c r="AJ799">
        <v>89.948244478700801</v>
      </c>
      <c r="AK799">
        <v>25.558649418463499</v>
      </c>
    </row>
    <row r="800" spans="1:37" x14ac:dyDescent="0.2">
      <c r="A800" t="str">
        <f>"20200111155808779"</f>
        <v>20200111155808779</v>
      </c>
      <c r="B800" t="str">
        <f>"1578729488772273"</f>
        <v>1578729488772273</v>
      </c>
      <c r="C800" t="s">
        <v>37</v>
      </c>
      <c r="D800">
        <v>5.9945059999999897</v>
      </c>
      <c r="E800">
        <v>0.52873519999999996</v>
      </c>
      <c r="F800" t="s">
        <v>41</v>
      </c>
      <c r="G800">
        <v>-302.22340000000003</v>
      </c>
      <c r="H800">
        <v>-0.05</v>
      </c>
      <c r="I800">
        <v>369.22340000000003</v>
      </c>
      <c r="J800">
        <v>-328.3338</v>
      </c>
      <c r="K800">
        <v>1.104074</v>
      </c>
      <c r="L800">
        <v>368.59699999999998</v>
      </c>
      <c r="M800">
        <v>0.99959880000000001</v>
      </c>
      <c r="N800">
        <v>0</v>
      </c>
      <c r="O800">
        <v>2.5373079999999999E-2</v>
      </c>
      <c r="P800">
        <v>0.99516579999999999</v>
      </c>
      <c r="Q800">
        <v>-7.8911559999999999E-3</v>
      </c>
      <c r="R800">
        <v>9.78932E-2</v>
      </c>
      <c r="S800">
        <v>3.0065</v>
      </c>
      <c r="T800">
        <v>-0.13176499999999999</v>
      </c>
      <c r="U800">
        <v>7.2174070000000007E-2</v>
      </c>
      <c r="V800">
        <v>-7.2610320000000006E-2</v>
      </c>
      <c r="W800">
        <v>4.6556459999999899E-3</v>
      </c>
      <c r="X800">
        <v>0.9973495</v>
      </c>
      <c r="Y800">
        <v>1.3507789999999899E-3</v>
      </c>
      <c r="Z800">
        <v>-1.140821E-3</v>
      </c>
      <c r="AA800">
        <v>0.99999850000000001</v>
      </c>
      <c r="AB800">
        <v>39</v>
      </c>
      <c r="AC800">
        <v>26.110399999999899</v>
      </c>
      <c r="AD800">
        <v>-1.154074</v>
      </c>
      <c r="AE800">
        <v>0.62640000000004603</v>
      </c>
      <c r="AF800">
        <v>3.6284614410162903E-2</v>
      </c>
      <c r="AG800">
        <v>-1.154074</v>
      </c>
      <c r="AH800">
        <v>26.066991698436901</v>
      </c>
      <c r="AI800">
        <v>92.535020279939502</v>
      </c>
      <c r="AJ800">
        <v>89.920245728840101</v>
      </c>
      <c r="AK800">
        <v>26.092551802709899</v>
      </c>
    </row>
    <row r="801" spans="1:37" x14ac:dyDescent="0.2">
      <c r="A801" t="str">
        <f>"20200111155808791"</f>
        <v>20200111155808791</v>
      </c>
      <c r="B801" t="str">
        <f>"1578729488782033"</f>
        <v>1578729488782033</v>
      </c>
      <c r="C801" t="s">
        <v>37</v>
      </c>
      <c r="D801">
        <v>6.2624550000000001</v>
      </c>
      <c r="E801">
        <v>0.52854690000000004</v>
      </c>
      <c r="F801" t="s">
        <v>41</v>
      </c>
      <c r="G801">
        <v>-301.66860000000003</v>
      </c>
      <c r="H801">
        <v>-0.05</v>
      </c>
      <c r="I801">
        <v>369.22239999999999</v>
      </c>
      <c r="J801">
        <v>-328.1225</v>
      </c>
      <c r="K801">
        <v>1.1040859999999999</v>
      </c>
      <c r="L801">
        <v>368.60230000000001</v>
      </c>
      <c r="M801">
        <v>0.99959549999999997</v>
      </c>
      <c r="N801">
        <v>0</v>
      </c>
      <c r="O801">
        <v>2.5417760000000001E-2</v>
      </c>
      <c r="P801">
        <v>0.99517979999999995</v>
      </c>
      <c r="Q801">
        <v>-8.0588009999999904E-3</v>
      </c>
      <c r="R801">
        <v>9.773664E-2</v>
      </c>
      <c r="S801">
        <v>3.006561</v>
      </c>
      <c r="T801">
        <v>-0.13012480000000001</v>
      </c>
      <c r="U801">
        <v>7.0526119999999998E-2</v>
      </c>
      <c r="V801">
        <v>-7.2409139999999997E-2</v>
      </c>
      <c r="W801">
        <v>4.6594610000000002E-3</v>
      </c>
      <c r="X801">
        <v>0.99736409999999998</v>
      </c>
      <c r="Y801">
        <v>1.943866E-3</v>
      </c>
      <c r="Z801">
        <v>-1.1413809999999999E-3</v>
      </c>
      <c r="AA801">
        <v>0.99999740000000004</v>
      </c>
      <c r="AB801">
        <v>39</v>
      </c>
      <c r="AC801">
        <v>26.453899999999901</v>
      </c>
      <c r="AD801">
        <v>-1.1540859999999999</v>
      </c>
      <c r="AE801">
        <v>0.620099999999979</v>
      </c>
      <c r="AF801">
        <v>5.2454210194780297E-2</v>
      </c>
      <c r="AG801">
        <v>-1.1540859999999999</v>
      </c>
      <c r="AH801">
        <v>26.410875606361401</v>
      </c>
      <c r="AI801">
        <v>92.502078641454105</v>
      </c>
      <c r="AJ801">
        <v>89.886205934440696</v>
      </c>
      <c r="AK801">
        <v>26.436130886237098</v>
      </c>
    </row>
    <row r="802" spans="1:37" x14ac:dyDescent="0.2">
      <c r="A802" t="str">
        <f>"20200111155808805"</f>
        <v>20200111155808805</v>
      </c>
      <c r="B802" t="str">
        <f>"1578729488801552"</f>
        <v>1578729488801552</v>
      </c>
      <c r="C802" t="s">
        <v>37</v>
      </c>
      <c r="D802">
        <v>6.0726000000000004</v>
      </c>
      <c r="E802">
        <v>0.54052279999999997</v>
      </c>
      <c r="F802" t="s">
        <v>41</v>
      </c>
      <c r="G802">
        <v>-301.11840000000001</v>
      </c>
      <c r="H802">
        <v>-0.05</v>
      </c>
      <c r="I802">
        <v>369.24650000000003</v>
      </c>
      <c r="J802">
        <v>-327.8836</v>
      </c>
      <c r="K802">
        <v>1.1040989999999999</v>
      </c>
      <c r="L802">
        <v>368.60849999999999</v>
      </c>
      <c r="M802">
        <v>0.99959179999999903</v>
      </c>
      <c r="N802">
        <v>0</v>
      </c>
      <c r="O802">
        <v>2.5468480000000002E-2</v>
      </c>
      <c r="P802">
        <v>0.99521729999999997</v>
      </c>
      <c r="Q802">
        <v>-8.1538949999999995E-3</v>
      </c>
      <c r="R802">
        <v>9.734553E-2</v>
      </c>
      <c r="S802">
        <v>3.0064700000000002</v>
      </c>
      <c r="T802">
        <v>-0.12848879999999999</v>
      </c>
      <c r="U802">
        <v>7.1716310000000005E-2</v>
      </c>
      <c r="V802">
        <v>-7.1965870000000001E-2</v>
      </c>
      <c r="W802">
        <v>4.7481529999999997E-3</v>
      </c>
      <c r="X802">
        <v>0.99739580000000005</v>
      </c>
      <c r="Y802">
        <v>1.5992129999999999E-3</v>
      </c>
      <c r="Z802">
        <v>-1.1218789999999899E-3</v>
      </c>
      <c r="AA802">
        <v>0.9999981</v>
      </c>
      <c r="AB802">
        <v>39</v>
      </c>
      <c r="AC802">
        <v>26.7652</v>
      </c>
      <c r="AD802">
        <v>-1.154099</v>
      </c>
      <c r="AE802">
        <v>0.63800000000003299</v>
      </c>
      <c r="AF802">
        <v>4.3851587875044402E-2</v>
      </c>
      <c r="AG802">
        <v>-1.154099</v>
      </c>
      <c r="AH802">
        <v>26.723109285423899</v>
      </c>
      <c r="AI802">
        <v>92.472910145047194</v>
      </c>
      <c r="AJ802">
        <v>89.905979928152604</v>
      </c>
      <c r="AK802">
        <v>26.748054832908299</v>
      </c>
    </row>
    <row r="803" spans="1:37" x14ac:dyDescent="0.2">
      <c r="A803" t="str">
        <f>"20200111155808820"</f>
        <v>20200111155808820</v>
      </c>
      <c r="B803" t="str">
        <f>"1578729488811312"</f>
        <v>1578729488811312</v>
      </c>
      <c r="C803" t="s">
        <v>37</v>
      </c>
      <c r="D803">
        <v>6.072743</v>
      </c>
      <c r="E803">
        <v>0.54052279999999997</v>
      </c>
      <c r="F803" t="s">
        <v>41</v>
      </c>
      <c r="G803">
        <v>-291.51440000000002</v>
      </c>
      <c r="H803">
        <v>-0.05</v>
      </c>
      <c r="I803">
        <v>368.2901</v>
      </c>
      <c r="J803">
        <v>-327.62200000000001</v>
      </c>
      <c r="K803">
        <v>1.1041080000000001</v>
      </c>
      <c r="L803">
        <v>368.61520000000002</v>
      </c>
      <c r="M803">
        <v>0.99958809999999998</v>
      </c>
      <c r="N803">
        <v>0</v>
      </c>
      <c r="O803">
        <v>2.5524870000000002E-2</v>
      </c>
      <c r="P803">
        <v>0.99524650000000003</v>
      </c>
      <c r="Q803">
        <v>-8.2215610000000005E-3</v>
      </c>
      <c r="R803">
        <v>9.7042180000000006E-2</v>
      </c>
      <c r="S803">
        <v>3.016235</v>
      </c>
      <c r="T803">
        <v>-9.5713729999999997E-2</v>
      </c>
      <c r="U803">
        <v>-2.6397710000000001E-2</v>
      </c>
      <c r="V803">
        <v>-7.1605799999999997E-2</v>
      </c>
      <c r="W803">
        <v>4.8606839999999997E-3</v>
      </c>
      <c r="X803">
        <v>0.99742109999999995</v>
      </c>
      <c r="Y803">
        <v>3.4244690000000001E-2</v>
      </c>
      <c r="Z803">
        <v>-1.352977E-3</v>
      </c>
      <c r="AA803">
        <v>0.99941250000000004</v>
      </c>
      <c r="AB803">
        <v>39</v>
      </c>
      <c r="AC803">
        <v>36.107599999999898</v>
      </c>
      <c r="AD803">
        <v>-1.1541079999999999</v>
      </c>
      <c r="AE803">
        <v>-0.32510000000001998</v>
      </c>
      <c r="AF803">
        <v>1.2454428942509701</v>
      </c>
      <c r="AG803">
        <v>-1.1541079999999999</v>
      </c>
      <c r="AH803">
        <v>36.050707145326001</v>
      </c>
      <c r="AI803">
        <v>91.832517645625003</v>
      </c>
      <c r="AJ803">
        <v>88.021391014456498</v>
      </c>
      <c r="AK803">
        <v>36.090671633492299</v>
      </c>
    </row>
    <row r="804" spans="1:37" x14ac:dyDescent="0.2">
      <c r="A804" t="str">
        <f>"20200111155808832"</f>
        <v>20200111155808832</v>
      </c>
      <c r="B804" t="str">
        <f>"1578729488822049"</f>
        <v>1578729488822049</v>
      </c>
      <c r="C804" t="s">
        <v>37</v>
      </c>
      <c r="D804">
        <v>6.0134809999999996</v>
      </c>
      <c r="E804">
        <v>0.56812669999999998</v>
      </c>
      <c r="F804" t="s">
        <v>41</v>
      </c>
      <c r="G804">
        <v>-291.36950000000002</v>
      </c>
      <c r="H804">
        <v>-0.05</v>
      </c>
      <c r="I804">
        <v>368.28800000000001</v>
      </c>
      <c r="J804">
        <v>-327.40480000000002</v>
      </c>
      <c r="K804">
        <v>1.1041049999999999</v>
      </c>
      <c r="L804">
        <v>368.62079999999997</v>
      </c>
      <c r="M804">
        <v>0.9995849</v>
      </c>
      <c r="N804">
        <v>0</v>
      </c>
      <c r="O804">
        <v>2.5572210000000001E-2</v>
      </c>
      <c r="P804">
        <v>0.99524899999999905</v>
      </c>
      <c r="Q804">
        <v>-8.4572729999999995E-3</v>
      </c>
      <c r="R804">
        <v>9.6994819999999995E-2</v>
      </c>
      <c r="S804">
        <v>3.0162049999999998</v>
      </c>
      <c r="T804">
        <v>-9.6021770000000006E-2</v>
      </c>
      <c r="U804">
        <v>-2.7221680000000002E-2</v>
      </c>
      <c r="V804">
        <v>-7.1511190000000002E-2</v>
      </c>
      <c r="W804">
        <v>4.7643649999999996E-3</v>
      </c>
      <c r="X804">
        <v>0.99742839999999999</v>
      </c>
      <c r="Y804">
        <v>3.4564789999999998E-2</v>
      </c>
      <c r="Z804">
        <v>-1.363944E-3</v>
      </c>
      <c r="AA804">
        <v>0.99940149999999905</v>
      </c>
      <c r="AB804">
        <v>39</v>
      </c>
      <c r="AC804">
        <v>36.035299999999999</v>
      </c>
      <c r="AD804">
        <v>-1.1541049999999999</v>
      </c>
      <c r="AE804">
        <v>-0.33279999999996301</v>
      </c>
      <c r="AF804">
        <v>1.2529894279600799</v>
      </c>
      <c r="AG804">
        <v>-1.1541049999999999</v>
      </c>
      <c r="AH804">
        <v>35.978101610223902</v>
      </c>
      <c r="AI804">
        <v>91.8361906888356</v>
      </c>
      <c r="AJ804">
        <v>88.005397749443105</v>
      </c>
      <c r="AK804">
        <v>36.018408298163301</v>
      </c>
    </row>
    <row r="805" spans="1:37" x14ac:dyDescent="0.2">
      <c r="A805" t="str">
        <f>"20200111155808846"</f>
        <v>20200111155808846</v>
      </c>
      <c r="B805" t="str">
        <f>"1578729488841569"</f>
        <v>1578729488841569</v>
      </c>
      <c r="C805" t="s">
        <v>37</v>
      </c>
      <c r="D805">
        <v>7.9208869999999996</v>
      </c>
      <c r="E805">
        <v>0.58457490000000001</v>
      </c>
      <c r="F805" t="s">
        <v>38</v>
      </c>
      <c r="G805">
        <v>-326.47500000000002</v>
      </c>
      <c r="H805">
        <v>1.037928</v>
      </c>
      <c r="I805">
        <v>368.54680000000002</v>
      </c>
      <c r="J805">
        <v>-327.1739</v>
      </c>
      <c r="K805">
        <v>1.1041099999999999</v>
      </c>
      <c r="L805">
        <v>368.6268</v>
      </c>
      <c r="M805">
        <v>0.99958189999999902</v>
      </c>
      <c r="N805">
        <v>0</v>
      </c>
      <c r="O805">
        <v>2.5622329999999999E-2</v>
      </c>
      <c r="P805">
        <v>0.99523530000000004</v>
      </c>
      <c r="Q805">
        <v>-8.6884739999999998E-3</v>
      </c>
      <c r="R805">
        <v>9.7116320000000006E-2</v>
      </c>
      <c r="S805">
        <v>3.0359500000000001</v>
      </c>
      <c r="T805">
        <v>-0.21626959999999901</v>
      </c>
      <c r="U805">
        <v>-0.2406616</v>
      </c>
      <c r="V805">
        <v>-7.1583040000000001E-2</v>
      </c>
      <c r="W805">
        <v>4.6728120000000001E-3</v>
      </c>
      <c r="X805">
        <v>0.99742369999999902</v>
      </c>
      <c r="Y805">
        <v>0.10421420000000001</v>
      </c>
      <c r="Z805">
        <v>-5.5219900000000001E-3</v>
      </c>
      <c r="AA805">
        <v>0.99453959999999997</v>
      </c>
      <c r="AB805">
        <v>39</v>
      </c>
      <c r="AC805">
        <v>0.69889999999997998</v>
      </c>
      <c r="AD805">
        <v>-6.6182000000000102E-2</v>
      </c>
      <c r="AE805">
        <v>-7.9999999999984001E-2</v>
      </c>
      <c r="AF805">
        <v>9.7024017329929602E-2</v>
      </c>
      <c r="AG805">
        <v>-6.6182000000000102E-2</v>
      </c>
      <c r="AH805">
        <v>0.69050878561344298</v>
      </c>
      <c r="AI805">
        <v>95.421866654509898</v>
      </c>
      <c r="AJ805">
        <v>82.001681397180207</v>
      </c>
      <c r="AK805">
        <v>0.70042565634918696</v>
      </c>
    </row>
    <row r="806" spans="1:37" x14ac:dyDescent="0.2">
      <c r="A806" t="str">
        <f>"20200111155808859"</f>
        <v>20200111155808859</v>
      </c>
      <c r="B806" t="str">
        <f>"1578729488851330"</f>
        <v>1578729488851330</v>
      </c>
      <c r="C806" t="s">
        <v>37</v>
      </c>
      <c r="D806">
        <v>7.9999989999999999</v>
      </c>
      <c r="E806">
        <v>0.58828840000000004</v>
      </c>
      <c r="F806" t="s">
        <v>41</v>
      </c>
      <c r="G806">
        <v>-304.00850000000003</v>
      </c>
      <c r="H806">
        <v>-0.05</v>
      </c>
      <c r="I806">
        <v>365.78140000000002</v>
      </c>
      <c r="J806">
        <v>-326.94990000000001</v>
      </c>
      <c r="K806">
        <v>1.1041129999999999</v>
      </c>
      <c r="L806">
        <v>368.63249999999999</v>
      </c>
      <c r="M806">
        <v>0.999579</v>
      </c>
      <c r="N806">
        <v>0</v>
      </c>
      <c r="O806">
        <v>2.5670060000000001E-2</v>
      </c>
      <c r="P806">
        <v>0.99522440000000001</v>
      </c>
      <c r="Q806">
        <v>-8.9312179999999994E-3</v>
      </c>
      <c r="R806">
        <v>9.7204799999999994E-2</v>
      </c>
      <c r="S806">
        <v>3.0495909999999999</v>
      </c>
      <c r="T806">
        <v>-0.15193219999999999</v>
      </c>
      <c r="U806">
        <v>-0.37457279999999998</v>
      </c>
      <c r="V806">
        <v>-7.1623969999999995E-2</v>
      </c>
      <c r="W806">
        <v>4.5516970000000004E-3</v>
      </c>
      <c r="X806">
        <v>0.99742129999999996</v>
      </c>
      <c r="Y806">
        <v>0.14714050000000001</v>
      </c>
      <c r="Z806">
        <v>-4.9231880000000002E-3</v>
      </c>
      <c r="AA806">
        <v>0.98910339999999997</v>
      </c>
      <c r="AB806">
        <v>38</v>
      </c>
      <c r="AC806">
        <v>22.941399999999899</v>
      </c>
      <c r="AD806">
        <v>-1.1541129999999999</v>
      </c>
      <c r="AE806">
        <v>-2.85109999999997</v>
      </c>
      <c r="AF806">
        <v>3.43057125741977</v>
      </c>
      <c r="AG806">
        <v>-1.1541129999999999</v>
      </c>
      <c r="AH806">
        <v>22.8038101740329</v>
      </c>
      <c r="AI806">
        <v>92.865112687111207</v>
      </c>
      <c r="AJ806">
        <v>81.444663987831305</v>
      </c>
      <c r="AK806">
        <v>23.089273579355702</v>
      </c>
    </row>
    <row r="807" spans="1:37" x14ac:dyDescent="0.2">
      <c r="A807" t="str">
        <f>"20200111155808871"</f>
        <v>20200111155808871</v>
      </c>
      <c r="B807" t="str">
        <f>"1578729488862065"</f>
        <v>1578729488862065</v>
      </c>
      <c r="C807" t="s">
        <v>37</v>
      </c>
      <c r="D807">
        <v>5.8325610000000001</v>
      </c>
      <c r="E807">
        <v>0.5903081</v>
      </c>
      <c r="F807" t="s">
        <v>41</v>
      </c>
      <c r="G807">
        <v>-299.76130000000001</v>
      </c>
      <c r="H807">
        <v>-0.05</v>
      </c>
      <c r="I807">
        <v>365.02550000000002</v>
      </c>
      <c r="J807">
        <v>-326.73680000000002</v>
      </c>
      <c r="K807">
        <v>1.104114</v>
      </c>
      <c r="L807">
        <v>368.63799999999998</v>
      </c>
      <c r="M807">
        <v>0.99957640000000003</v>
      </c>
      <c r="N807">
        <v>0</v>
      </c>
      <c r="O807">
        <v>2.5713690000000001E-2</v>
      </c>
      <c r="P807">
        <v>0.99523059999999997</v>
      </c>
      <c r="Q807">
        <v>-9.1455219999999997E-3</v>
      </c>
      <c r="R807">
        <v>9.7123089999999995E-2</v>
      </c>
      <c r="S807">
        <v>3.0527950000000001</v>
      </c>
      <c r="T807">
        <v>-0.12958649999999999</v>
      </c>
      <c r="U807">
        <v>-0.40499879999999999</v>
      </c>
      <c r="V807">
        <v>-7.1498439999999996E-2</v>
      </c>
      <c r="W807">
        <v>4.446317E-3</v>
      </c>
      <c r="X807">
        <v>0.99743079999999995</v>
      </c>
      <c r="Y807">
        <v>0.1568002</v>
      </c>
      <c r="Z807">
        <v>-4.3987119999999999E-3</v>
      </c>
      <c r="AA807">
        <v>0.98762050000000001</v>
      </c>
      <c r="AB807">
        <v>38</v>
      </c>
      <c r="AC807">
        <v>26.9755</v>
      </c>
      <c r="AD807">
        <v>-1.1541140000000001</v>
      </c>
      <c r="AE807">
        <v>-3.61250000000001</v>
      </c>
      <c r="AF807">
        <v>4.2972820141786903</v>
      </c>
      <c r="AG807">
        <v>-1.1541140000000001</v>
      </c>
      <c r="AH807">
        <v>26.8254419135862</v>
      </c>
      <c r="AI807">
        <v>92.432546949775698</v>
      </c>
      <c r="AJ807">
        <v>80.898870541304802</v>
      </c>
      <c r="AK807">
        <v>27.1919647266167</v>
      </c>
    </row>
    <row r="808" spans="1:37" x14ac:dyDescent="0.2">
      <c r="A808" t="str">
        <f>"20200111155808888"</f>
        <v>20200111155808888</v>
      </c>
      <c r="B808" t="str">
        <f>"1578729488881584"</f>
        <v>1578729488881584</v>
      </c>
      <c r="C808" t="s">
        <v>37</v>
      </c>
      <c r="D808">
        <v>8.0073759999999901</v>
      </c>
      <c r="E808">
        <v>0.59207189999999998</v>
      </c>
      <c r="F808" t="s">
        <v>41</v>
      </c>
      <c r="G808">
        <v>-297.8372</v>
      </c>
      <c r="H808">
        <v>-0.05</v>
      </c>
      <c r="I808">
        <v>364.64929999999998</v>
      </c>
      <c r="J808">
        <v>-326.46390000000002</v>
      </c>
      <c r="K808">
        <v>1.1041159999999901</v>
      </c>
      <c r="L808">
        <v>368.64510000000001</v>
      </c>
      <c r="M808">
        <v>0.9995733</v>
      </c>
      <c r="N808">
        <v>0</v>
      </c>
      <c r="O808">
        <v>2.5766859999999999E-2</v>
      </c>
      <c r="P808">
        <v>0.99522389999999905</v>
      </c>
      <c r="Q808">
        <v>-9.0132900000000002E-3</v>
      </c>
      <c r="R808">
        <v>9.7203639999999994E-2</v>
      </c>
      <c r="S808">
        <v>3.0544129999999998</v>
      </c>
      <c r="T808">
        <v>-0.1219787</v>
      </c>
      <c r="U808">
        <v>-0.42156979999999999</v>
      </c>
      <c r="V808">
        <v>-7.1525939999999996E-2</v>
      </c>
      <c r="W808">
        <v>4.70762E-3</v>
      </c>
      <c r="X808">
        <v>0.99742759999999997</v>
      </c>
      <c r="Y808">
        <v>0.1620586</v>
      </c>
      <c r="Z808">
        <v>-4.2436080000000003E-3</v>
      </c>
      <c r="AA808">
        <v>0.98677199999999998</v>
      </c>
      <c r="AB808">
        <v>38</v>
      </c>
      <c r="AC808">
        <v>28.6267</v>
      </c>
      <c r="AD808">
        <v>-1.1541159999999999</v>
      </c>
      <c r="AE808">
        <v>-3.9958000000000302</v>
      </c>
      <c r="AF808">
        <v>4.7246304677340198</v>
      </c>
      <c r="AG808">
        <v>-1.1541159999999999</v>
      </c>
      <c r="AH808">
        <v>28.4688360722675</v>
      </c>
      <c r="AI808">
        <v>92.290188358378799</v>
      </c>
      <c r="AJ808">
        <v>80.577189772755602</v>
      </c>
      <c r="AK808">
        <v>28.881287092297899</v>
      </c>
    </row>
    <row r="809" spans="1:37" x14ac:dyDescent="0.2">
      <c r="A809" t="str">
        <f>"20200111155808901"</f>
        <v>20200111155808901</v>
      </c>
      <c r="B809" t="str">
        <f>"1578729488891344"</f>
        <v>1578729488891344</v>
      </c>
      <c r="C809" t="s">
        <v>37</v>
      </c>
      <c r="D809">
        <v>5.9217339999999998</v>
      </c>
      <c r="E809">
        <v>0.59334390000000004</v>
      </c>
      <c r="F809" t="s">
        <v>41</v>
      </c>
      <c r="G809">
        <v>-294.15379999999999</v>
      </c>
      <c r="H809">
        <v>-0.05</v>
      </c>
      <c r="I809">
        <v>364.03629999999998</v>
      </c>
      <c r="J809">
        <v>-326.23430000000002</v>
      </c>
      <c r="K809">
        <v>1.1041190000000001</v>
      </c>
      <c r="L809">
        <v>368.65109999999999</v>
      </c>
      <c r="M809">
        <v>0.99957099999999899</v>
      </c>
      <c r="N809">
        <v>0</v>
      </c>
      <c r="O809">
        <v>2.580621E-2</v>
      </c>
      <c r="P809">
        <v>0.99522369999999905</v>
      </c>
      <c r="Q809">
        <v>-9.0904160000000005E-3</v>
      </c>
      <c r="R809">
        <v>9.7198789999999993E-2</v>
      </c>
      <c r="S809">
        <v>3.056</v>
      </c>
      <c r="T809">
        <v>-0.1091604</v>
      </c>
      <c r="U809">
        <v>-0.435913099999999</v>
      </c>
      <c r="V809">
        <v>-7.1481699999999995E-2</v>
      </c>
      <c r="W809">
        <v>4.7281240000000002E-3</v>
      </c>
      <c r="X809">
        <v>0.997430699999999</v>
      </c>
      <c r="Y809">
        <v>0.16659499999999999</v>
      </c>
      <c r="Z809">
        <v>-3.8767759999999902E-3</v>
      </c>
      <c r="AA809">
        <v>0.98601779999999895</v>
      </c>
      <c r="AB809">
        <v>38</v>
      </c>
      <c r="AC809">
        <v>32.080500000000001</v>
      </c>
      <c r="AD809">
        <v>-1.1541189999999999</v>
      </c>
      <c r="AE809">
        <v>-4.6147999999999998</v>
      </c>
      <c r="AF809">
        <v>5.4343275602558503</v>
      </c>
      <c r="AG809">
        <v>-1.1541189999999999</v>
      </c>
      <c r="AH809">
        <v>31.910249455588101</v>
      </c>
      <c r="AI809">
        <v>92.041977441913602</v>
      </c>
      <c r="AJ809">
        <v>80.335228504877506</v>
      </c>
      <c r="AK809">
        <v>32.390244318562601</v>
      </c>
    </row>
    <row r="810" spans="1:37" x14ac:dyDescent="0.2">
      <c r="A810" t="str">
        <f>"20200111155808916"</f>
        <v>20200111155808916</v>
      </c>
      <c r="B810" t="str">
        <f>"1578729488911841"</f>
        <v>1578729488911841</v>
      </c>
      <c r="C810" t="s">
        <v>37</v>
      </c>
      <c r="D810">
        <v>5.8873430000000004</v>
      </c>
      <c r="E810">
        <v>0.59389110000000001</v>
      </c>
      <c r="F810" t="s">
        <v>41</v>
      </c>
      <c r="G810">
        <v>-290.25439999999998</v>
      </c>
      <c r="H810">
        <v>-0.05</v>
      </c>
      <c r="I810">
        <v>363.3922</v>
      </c>
      <c r="J810">
        <v>-325.97949999999997</v>
      </c>
      <c r="K810">
        <v>1.1041159999999901</v>
      </c>
      <c r="L810">
        <v>368.65769999999998</v>
      </c>
      <c r="M810">
        <v>0.99956849999999997</v>
      </c>
      <c r="N810">
        <v>0</v>
      </c>
      <c r="O810">
        <v>2.584264E-2</v>
      </c>
      <c r="P810">
        <v>0.99524780000000002</v>
      </c>
      <c r="Q810">
        <v>-9.0501439999999996E-3</v>
      </c>
      <c r="R810">
        <v>9.6953410000000004E-2</v>
      </c>
      <c r="S810">
        <v>3.0571290000000002</v>
      </c>
      <c r="T810">
        <v>-9.8062869999999996E-2</v>
      </c>
      <c r="U810">
        <v>-0.44683840000000002</v>
      </c>
      <c r="V810">
        <v>-7.1199150000000003E-2</v>
      </c>
      <c r="W810">
        <v>4.8687909999999999E-3</v>
      </c>
      <c r="X810">
        <v>0.99745019999999995</v>
      </c>
      <c r="Y810">
        <v>0.1700525</v>
      </c>
      <c r="Z810">
        <v>-3.5370269999999999E-3</v>
      </c>
      <c r="AA810">
        <v>0.98542870000000005</v>
      </c>
      <c r="AB810">
        <v>38</v>
      </c>
      <c r="AC810">
        <v>35.725099999999998</v>
      </c>
      <c r="AD810">
        <v>-1.1541159999999999</v>
      </c>
      <c r="AE810">
        <v>-5.2654999999999701</v>
      </c>
      <c r="AF810">
        <v>6.1807486685430302</v>
      </c>
      <c r="AG810">
        <v>-1.1541159999999999</v>
      </c>
      <c r="AH810">
        <v>35.540775382645599</v>
      </c>
      <c r="AI810">
        <v>91.832429189268794</v>
      </c>
      <c r="AJ810">
        <v>80.134593244851899</v>
      </c>
      <c r="AK810">
        <v>36.092663418551098</v>
      </c>
    </row>
    <row r="811" spans="1:37" x14ac:dyDescent="0.2">
      <c r="A811" t="str">
        <f>"20200111155808929"</f>
        <v>20200111155808929</v>
      </c>
      <c r="B811" t="str">
        <f>"1578729488921601"</f>
        <v>1578729488921601</v>
      </c>
      <c r="C811" t="s">
        <v>37</v>
      </c>
      <c r="D811">
        <v>5.9066989999999997</v>
      </c>
      <c r="E811">
        <v>0.59382250000000003</v>
      </c>
      <c r="F811" t="s">
        <v>41</v>
      </c>
      <c r="G811">
        <v>-289.8546</v>
      </c>
      <c r="H811">
        <v>-0.05</v>
      </c>
      <c r="I811">
        <v>363.31760000000003</v>
      </c>
      <c r="J811">
        <v>-325.74979999999999</v>
      </c>
      <c r="K811">
        <v>1.1041110000000001</v>
      </c>
      <c r="L811">
        <v>368.66370000000001</v>
      </c>
      <c r="M811">
        <v>0.99956669999999903</v>
      </c>
      <c r="N811">
        <v>0</v>
      </c>
      <c r="O811">
        <v>2.5870170000000001E-2</v>
      </c>
      <c r="P811">
        <v>0.99523399999999995</v>
      </c>
      <c r="Q811">
        <v>-8.8013499999999995E-3</v>
      </c>
      <c r="R811">
        <v>9.7119189999999994E-2</v>
      </c>
      <c r="S811">
        <v>3.0574650000000001</v>
      </c>
      <c r="T811">
        <v>-9.7679849999999999E-2</v>
      </c>
      <c r="U811">
        <v>-0.45196530000000001</v>
      </c>
      <c r="V811">
        <v>-7.1337890000000001E-2</v>
      </c>
      <c r="W811">
        <v>5.2006650000000001E-3</v>
      </c>
      <c r="X811">
        <v>0.99743869999999901</v>
      </c>
      <c r="Y811">
        <v>0.17168139999999901</v>
      </c>
      <c r="Z811">
        <v>-3.5491629999999902E-3</v>
      </c>
      <c r="AA811">
        <v>0.98514619999999997</v>
      </c>
      <c r="AB811">
        <v>38</v>
      </c>
      <c r="AC811">
        <v>35.895199999999903</v>
      </c>
      <c r="AD811">
        <v>-1.1541110000000001</v>
      </c>
      <c r="AE811">
        <v>-5.3460999999999697</v>
      </c>
      <c r="AF811">
        <v>6.2666791441936303</v>
      </c>
      <c r="AG811">
        <v>-1.1541110000000001</v>
      </c>
      <c r="AH811">
        <v>35.708752318063297</v>
      </c>
      <c r="AI811">
        <v>91.823316534116501</v>
      </c>
      <c r="AJ811">
        <v>80.046282275877601</v>
      </c>
      <c r="AK811">
        <v>36.272830490732098</v>
      </c>
    </row>
    <row r="812" spans="1:37" x14ac:dyDescent="0.2">
      <c r="A812" t="str">
        <f>"20200111155808942"</f>
        <v>20200111155808942</v>
      </c>
      <c r="B812" t="str">
        <f>"1578729488931361"</f>
        <v>1578729488931361</v>
      </c>
      <c r="C812" t="s">
        <v>37</v>
      </c>
      <c r="D812">
        <v>8.2325750000000006</v>
      </c>
      <c r="E812">
        <v>0.5939759</v>
      </c>
      <c r="F812" t="s">
        <v>41</v>
      </c>
      <c r="G812">
        <v>-293.30040000000002</v>
      </c>
      <c r="H812">
        <v>-0.05</v>
      </c>
      <c r="I812">
        <v>363.8852</v>
      </c>
      <c r="J812">
        <v>-325.52370000000002</v>
      </c>
      <c r="K812">
        <v>1.1041080000000001</v>
      </c>
      <c r="L812">
        <v>368.6696</v>
      </c>
      <c r="M812">
        <v>0.99956509999999998</v>
      </c>
      <c r="N812">
        <v>0</v>
      </c>
      <c r="O812">
        <v>2.589232E-2</v>
      </c>
      <c r="P812">
        <v>0.99524990000000002</v>
      </c>
      <c r="Q812">
        <v>-8.4004030000000007E-3</v>
      </c>
      <c r="R812">
        <v>9.6991519999999998E-2</v>
      </c>
      <c r="S812">
        <v>3.0573730000000001</v>
      </c>
      <c r="T812">
        <v>-0.108739899999999</v>
      </c>
      <c r="U812">
        <v>-0.45022579999999901</v>
      </c>
      <c r="V812">
        <v>-7.1187909999999993E-2</v>
      </c>
      <c r="W812">
        <v>5.6774959999999998E-3</v>
      </c>
      <c r="X812">
        <v>0.99744679999999997</v>
      </c>
      <c r="Y812">
        <v>0.1711356</v>
      </c>
      <c r="Z812">
        <v>-3.9421999999999999E-3</v>
      </c>
      <c r="AA812">
        <v>0.98523959999999999</v>
      </c>
      <c r="AB812">
        <v>38</v>
      </c>
      <c r="AC812">
        <v>32.223299999999902</v>
      </c>
      <c r="AD812">
        <v>-1.1541079999999999</v>
      </c>
      <c r="AE812">
        <v>-4.7843999999999998</v>
      </c>
      <c r="AF812">
        <v>5.6101733578175601</v>
      </c>
      <c r="AG812">
        <v>-1.1541079999999999</v>
      </c>
      <c r="AH812">
        <v>32.048378703359496</v>
      </c>
      <c r="AI812">
        <v>92.031546192647198</v>
      </c>
      <c r="AJ812">
        <v>80.070793298094202</v>
      </c>
      <c r="AK812">
        <v>32.556175879460703</v>
      </c>
    </row>
    <row r="813" spans="1:37" x14ac:dyDescent="0.2">
      <c r="A813" t="str">
        <f>"20200111155808956"</f>
        <v>20200111155808956</v>
      </c>
      <c r="B813" t="str">
        <f>"1578729488951857"</f>
        <v>1578729488951857</v>
      </c>
      <c r="C813" t="s">
        <v>37</v>
      </c>
      <c r="D813">
        <v>8.0066670000000002</v>
      </c>
      <c r="E813">
        <v>0.59487230000000002</v>
      </c>
      <c r="F813" t="s">
        <v>41</v>
      </c>
      <c r="G813">
        <v>-289.18079999999998</v>
      </c>
      <c r="H813">
        <v>-0.05</v>
      </c>
      <c r="I813">
        <v>363.29419999999999</v>
      </c>
      <c r="J813">
        <v>-325.28609999999998</v>
      </c>
      <c r="K813">
        <v>1.1041049999999999</v>
      </c>
      <c r="L813">
        <v>368.67570000000001</v>
      </c>
      <c r="M813">
        <v>0.9995636</v>
      </c>
      <c r="N813">
        <v>0</v>
      </c>
      <c r="O813">
        <v>2.5909789999999999E-2</v>
      </c>
      <c r="P813">
        <v>0.99526700000000001</v>
      </c>
      <c r="Q813">
        <v>-8.4683350000000004E-3</v>
      </c>
      <c r="R813">
        <v>9.6809220000000001E-2</v>
      </c>
      <c r="S813">
        <v>3.057617</v>
      </c>
      <c r="T813">
        <v>-9.7097639999999999E-2</v>
      </c>
      <c r="U813">
        <v>-0.45223999999999998</v>
      </c>
      <c r="V813">
        <v>-7.0987659999999994E-2</v>
      </c>
      <c r="W813">
        <v>5.6813089999999998E-3</v>
      </c>
      <c r="X813">
        <v>0.99746100000000004</v>
      </c>
      <c r="Y813">
        <v>0.17180100000000001</v>
      </c>
      <c r="Z813">
        <v>-3.5309650000000001E-3</v>
      </c>
      <c r="AA813">
        <v>0.98512540000000004</v>
      </c>
      <c r="AB813">
        <v>38</v>
      </c>
      <c r="AC813">
        <v>36.1053</v>
      </c>
      <c r="AD813">
        <v>-1.1541049999999999</v>
      </c>
      <c r="AE813">
        <v>-5.3815000000000097</v>
      </c>
      <c r="AF813">
        <v>6.3089617484956202</v>
      </c>
      <c r="AG813">
        <v>-1.1541049999999999</v>
      </c>
      <c r="AH813">
        <v>35.917827106727103</v>
      </c>
      <c r="AI813">
        <v>91.812652810810405</v>
      </c>
      <c r="AJ813">
        <v>80.037629973807995</v>
      </c>
      <c r="AK813">
        <v>36.485959775833599</v>
      </c>
    </row>
    <row r="814" spans="1:37" x14ac:dyDescent="0.2">
      <c r="A814" t="str">
        <f>"20200111155808970"</f>
        <v>20200111155808970</v>
      </c>
      <c r="B814" t="str">
        <f>"1578729488961617"</f>
        <v>1578729488961617</v>
      </c>
      <c r="C814" t="s">
        <v>37</v>
      </c>
      <c r="D814">
        <v>5.8906150000000004</v>
      </c>
      <c r="E814">
        <v>0.59484579999999998</v>
      </c>
      <c r="F814" t="s">
        <v>41</v>
      </c>
      <c r="G814">
        <v>-284.68020000000001</v>
      </c>
      <c r="H814">
        <v>-0.05</v>
      </c>
      <c r="I814">
        <v>362.56020000000001</v>
      </c>
      <c r="J814">
        <v>-325.05720000000002</v>
      </c>
      <c r="K814">
        <v>1.1041030000000001</v>
      </c>
      <c r="L814">
        <v>368.6816</v>
      </c>
      <c r="M814">
        <v>0.99956239999999996</v>
      </c>
      <c r="N814">
        <v>0</v>
      </c>
      <c r="O814">
        <v>2.5919850000000001E-2</v>
      </c>
      <c r="P814">
        <v>0.99523289999999998</v>
      </c>
      <c r="Q814">
        <v>-8.2180969999999902E-3</v>
      </c>
      <c r="R814">
        <v>9.7181390000000006E-2</v>
      </c>
      <c r="S814">
        <v>3.058319</v>
      </c>
      <c r="T814">
        <v>-8.6923959999999995E-2</v>
      </c>
      <c r="U814">
        <v>-0.46060180000000001</v>
      </c>
      <c r="V814">
        <v>-7.1350430000000006E-2</v>
      </c>
      <c r="W814">
        <v>5.9955399999999997E-3</v>
      </c>
      <c r="X814">
        <v>0.99743329999999997</v>
      </c>
      <c r="Y814">
        <v>0.1744308</v>
      </c>
      <c r="Z814">
        <v>-3.1972490000000001E-3</v>
      </c>
      <c r="AA814">
        <v>0.98466430000000005</v>
      </c>
      <c r="AB814">
        <v>38</v>
      </c>
      <c r="AC814">
        <v>40.377000000000002</v>
      </c>
      <c r="AD814">
        <v>-1.1541030000000001</v>
      </c>
      <c r="AE814">
        <v>-6.1213999999999897</v>
      </c>
      <c r="AF814">
        <v>7.1602965430097898</v>
      </c>
      <c r="AG814">
        <v>-1.1541030000000001</v>
      </c>
      <c r="AH814">
        <v>40.172666089940002</v>
      </c>
      <c r="AI814">
        <v>91.620054383578704</v>
      </c>
      <c r="AJ814">
        <v>79.893841879552696</v>
      </c>
      <c r="AK814">
        <v>40.822112893531802</v>
      </c>
    </row>
    <row r="815" spans="1:37" x14ac:dyDescent="0.2">
      <c r="A815" t="str">
        <f>"20200111155808983"</f>
        <v>20200111155808983</v>
      </c>
      <c r="B815" t="str">
        <f>"1578729488971377"</f>
        <v>1578729488971377</v>
      </c>
      <c r="C815" t="s">
        <v>37</v>
      </c>
      <c r="D815">
        <v>5.8917159999999997</v>
      </c>
      <c r="E815">
        <v>0.59487299999999999</v>
      </c>
      <c r="F815" t="s">
        <v>41</v>
      </c>
      <c r="G815">
        <v>-288.19479999999999</v>
      </c>
      <c r="H815">
        <v>-0.05</v>
      </c>
      <c r="I815">
        <v>363.15449999999998</v>
      </c>
      <c r="J815">
        <v>-324.83780000000002</v>
      </c>
      <c r="K815">
        <v>1.104098</v>
      </c>
      <c r="L815">
        <v>368.68729999999999</v>
      </c>
      <c r="M815">
        <v>0.9995617</v>
      </c>
      <c r="N815">
        <v>0</v>
      </c>
      <c r="O815">
        <v>2.5920579999999999E-2</v>
      </c>
      <c r="P815">
        <v>0.995228</v>
      </c>
      <c r="Q815">
        <v>-8.1142860000000001E-3</v>
      </c>
      <c r="R815">
        <v>9.7238240000000004E-2</v>
      </c>
      <c r="S815">
        <v>3.058319</v>
      </c>
      <c r="T815">
        <v>-9.5750929999999998E-2</v>
      </c>
      <c r="U815">
        <v>-0.4585571</v>
      </c>
      <c r="V815">
        <v>-7.1405999999999997E-2</v>
      </c>
      <c r="W815">
        <v>6.1557540000000003E-3</v>
      </c>
      <c r="X815">
        <v>0.99742839999999999</v>
      </c>
      <c r="Y815">
        <v>0.17377119999999999</v>
      </c>
      <c r="Z815">
        <v>-3.5117049999999999E-3</v>
      </c>
      <c r="AA815">
        <v>0.98477979999999998</v>
      </c>
      <c r="AB815">
        <v>38</v>
      </c>
      <c r="AC815">
        <v>36.643000000000001</v>
      </c>
      <c r="AD815">
        <v>-1.1540979999999901</v>
      </c>
      <c r="AE815">
        <v>-5.5327999999999999</v>
      </c>
      <c r="AF815">
        <v>6.4745661059817303</v>
      </c>
      <c r="AG815">
        <v>-1.1540979999999901</v>
      </c>
      <c r="AH815">
        <v>36.451903991645203</v>
      </c>
      <c r="AI815">
        <v>91.785499066390102</v>
      </c>
      <c r="AJ815">
        <v>79.928197418043098</v>
      </c>
      <c r="AK815">
        <v>37.040427279804</v>
      </c>
    </row>
    <row r="816" spans="1:37" x14ac:dyDescent="0.2">
      <c r="A816" t="str">
        <f>"20200111155808999"</f>
        <v>20200111155808999</v>
      </c>
      <c r="B816" t="str">
        <f>"1578729488991873"</f>
        <v>1578729488991873</v>
      </c>
      <c r="C816" t="s">
        <v>37</v>
      </c>
      <c r="D816">
        <v>5.875483</v>
      </c>
      <c r="E816">
        <v>0.59493699999999905</v>
      </c>
      <c r="F816" t="s">
        <v>41</v>
      </c>
      <c r="G816">
        <v>-290.68099999999998</v>
      </c>
      <c r="H816">
        <v>-0.05</v>
      </c>
      <c r="I816">
        <v>363.56979999999999</v>
      </c>
      <c r="J816">
        <v>-324.55059999999997</v>
      </c>
      <c r="K816">
        <v>1.1040909999999999</v>
      </c>
      <c r="L816">
        <v>368.69479999999999</v>
      </c>
      <c r="M816">
        <v>0.99956129999999999</v>
      </c>
      <c r="N816">
        <v>0</v>
      </c>
      <c r="O816">
        <v>2.5896829999999999E-2</v>
      </c>
      <c r="P816">
        <v>0.995183499999999</v>
      </c>
      <c r="Q816">
        <v>-6.6508649999999997E-3</v>
      </c>
      <c r="R816">
        <v>9.7804230000000006E-2</v>
      </c>
      <c r="S816">
        <v>3.0583800000000001</v>
      </c>
      <c r="T816">
        <v>-0.1033372</v>
      </c>
      <c r="U816">
        <v>-0.4582214</v>
      </c>
      <c r="V816">
        <v>-7.199643E-2</v>
      </c>
      <c r="W816">
        <v>7.6858889999999996E-3</v>
      </c>
      <c r="X816">
        <v>0.99737520000000002</v>
      </c>
      <c r="Y816">
        <v>0.17362349999999999</v>
      </c>
      <c r="Z816">
        <v>-3.7864609999999901E-3</v>
      </c>
      <c r="AA816">
        <v>0.98480480000000004</v>
      </c>
      <c r="AB816">
        <v>38</v>
      </c>
      <c r="AC816">
        <v>33.869599999999899</v>
      </c>
      <c r="AD816">
        <v>-1.154091</v>
      </c>
      <c r="AE816">
        <v>-5.125</v>
      </c>
      <c r="AF816">
        <v>5.9936833643789402</v>
      </c>
      <c r="AG816">
        <v>-1.154091</v>
      </c>
      <c r="AH816">
        <v>33.687265628238201</v>
      </c>
      <c r="AI816">
        <v>91.931811995605699</v>
      </c>
      <c r="AJ816">
        <v>79.911428829707404</v>
      </c>
      <c r="AK816">
        <v>34.2357712315086</v>
      </c>
    </row>
    <row r="817" spans="1:37" x14ac:dyDescent="0.2">
      <c r="A817" t="str">
        <f>"20200111155809013"</f>
        <v>20200111155809013</v>
      </c>
      <c r="B817" t="str">
        <f>"1578729489001632"</f>
        <v>1578729489001632</v>
      </c>
      <c r="C817" t="s">
        <v>37</v>
      </c>
      <c r="D817">
        <v>5.8563470000000004</v>
      </c>
      <c r="E817">
        <v>0.59500430000000004</v>
      </c>
      <c r="F817" t="s">
        <v>41</v>
      </c>
      <c r="G817">
        <v>-293.41579999999999</v>
      </c>
      <c r="H817">
        <v>-0.05</v>
      </c>
      <c r="I817">
        <v>364.0487</v>
      </c>
      <c r="J817">
        <v>-324.32870000000003</v>
      </c>
      <c r="K817">
        <v>1.1040779999999999</v>
      </c>
      <c r="L817">
        <v>368.70049999999998</v>
      </c>
      <c r="M817">
        <v>0.9995617</v>
      </c>
      <c r="N817">
        <v>0</v>
      </c>
      <c r="O817">
        <v>2.5855719999999999E-2</v>
      </c>
      <c r="P817">
        <v>0.99512630000000002</v>
      </c>
      <c r="Q817">
        <v>-5.9235900000000003E-3</v>
      </c>
      <c r="R817">
        <v>9.8431039999999997E-2</v>
      </c>
      <c r="S817">
        <v>3.0586549999999999</v>
      </c>
      <c r="T817">
        <v>-0.11337659999999999</v>
      </c>
      <c r="U817">
        <v>-0.45642089999999902</v>
      </c>
      <c r="V817">
        <v>-7.2665569999999999E-2</v>
      </c>
      <c r="W817">
        <v>8.4607229999999999E-3</v>
      </c>
      <c r="X817">
        <v>0.99732049999999905</v>
      </c>
      <c r="Y817">
        <v>0.17298079999999999</v>
      </c>
      <c r="Z817">
        <v>-4.1405369999999997E-3</v>
      </c>
      <c r="AA817">
        <v>0.98491649999999997</v>
      </c>
      <c r="AB817">
        <v>38</v>
      </c>
      <c r="AC817">
        <v>30.9129</v>
      </c>
      <c r="AD817">
        <v>-1.1540779999999999</v>
      </c>
      <c r="AE817">
        <v>-4.6517999999999802</v>
      </c>
      <c r="AF817">
        <v>5.44218569863766</v>
      </c>
      <c r="AG817">
        <v>-1.1540779999999999</v>
      </c>
      <c r="AH817">
        <v>30.740378792110199</v>
      </c>
      <c r="AI817">
        <v>92.117139533309597</v>
      </c>
      <c r="AJ817">
        <v>79.960548098737405</v>
      </c>
      <c r="AK817">
        <v>31.239721021336901</v>
      </c>
    </row>
    <row r="818" spans="1:37" x14ac:dyDescent="0.2">
      <c r="A818" t="str">
        <f>"20200111155809027"</f>
        <v>20200111155809027</v>
      </c>
      <c r="B818" t="str">
        <f>"1578729489022129"</f>
        <v>1578729489022129</v>
      </c>
      <c r="C818" t="s">
        <v>37</v>
      </c>
      <c r="D818">
        <v>5.8669070000000003</v>
      </c>
      <c r="E818">
        <v>0.59543069999999998</v>
      </c>
      <c r="F818" t="s">
        <v>41</v>
      </c>
      <c r="G818">
        <v>-294.05439999999999</v>
      </c>
      <c r="H818">
        <v>-0.05</v>
      </c>
      <c r="I818">
        <v>364.2</v>
      </c>
      <c r="J818">
        <v>-324.09350000000001</v>
      </c>
      <c r="K818">
        <v>1.1040589999999999</v>
      </c>
      <c r="L818">
        <v>368.70659999999998</v>
      </c>
      <c r="M818">
        <v>0.99956270000000003</v>
      </c>
      <c r="N818">
        <v>0</v>
      </c>
      <c r="O818">
        <v>2.5791970000000001E-2</v>
      </c>
      <c r="P818">
        <v>0.99508539999999901</v>
      </c>
      <c r="Q818">
        <v>-5.1276109999999998E-3</v>
      </c>
      <c r="R818">
        <v>9.8888019999999993E-2</v>
      </c>
      <c r="S818">
        <v>3.0589900000000001</v>
      </c>
      <c r="T818">
        <v>-0.1166107</v>
      </c>
      <c r="U818">
        <v>-0.45474239999999999</v>
      </c>
      <c r="V818">
        <v>-7.3185739999999999E-2</v>
      </c>
      <c r="W818">
        <v>9.3056459999999903E-3</v>
      </c>
      <c r="X818">
        <v>0.99727489999999996</v>
      </c>
      <c r="Y818">
        <v>0.1723662</v>
      </c>
      <c r="Z818">
        <v>-4.2442080000000002E-3</v>
      </c>
      <c r="AA818">
        <v>0.9850238</v>
      </c>
      <c r="AB818">
        <v>38</v>
      </c>
      <c r="AC818">
        <v>30.039100000000001</v>
      </c>
      <c r="AD818">
        <v>-1.1540589999999999</v>
      </c>
      <c r="AE818">
        <v>-4.5065999999999899</v>
      </c>
      <c r="AF818">
        <v>5.2723384941280802</v>
      </c>
      <c r="AG818">
        <v>-1.1540589999999999</v>
      </c>
      <c r="AH818">
        <v>29.8697417349712</v>
      </c>
      <c r="AI818">
        <v>92.1789512874997</v>
      </c>
      <c r="AJ818">
        <v>79.989773769322596</v>
      </c>
      <c r="AK818">
        <v>30.353432700207499</v>
      </c>
    </row>
    <row r="819" spans="1:37" x14ac:dyDescent="0.2">
      <c r="A819" t="str">
        <f>"20200111155809043"</f>
        <v>20200111155809043</v>
      </c>
      <c r="B819" t="str">
        <f>"1578729489031888"</f>
        <v>1578729489031888</v>
      </c>
      <c r="C819" t="s">
        <v>37</v>
      </c>
      <c r="D819">
        <v>5.8973469999999999</v>
      </c>
      <c r="E819">
        <v>0.59556180000000003</v>
      </c>
      <c r="F819" t="s">
        <v>41</v>
      </c>
      <c r="G819">
        <v>-293.647999999999</v>
      </c>
      <c r="H819">
        <v>-0.05</v>
      </c>
      <c r="I819">
        <v>364.15910000000002</v>
      </c>
      <c r="J819">
        <v>-323.80799999999999</v>
      </c>
      <c r="K819">
        <v>1.1040219999999901</v>
      </c>
      <c r="L819">
        <v>368.71390000000002</v>
      </c>
      <c r="M819">
        <v>0.99956529999999999</v>
      </c>
      <c r="N819">
        <v>0</v>
      </c>
      <c r="O819">
        <v>2.5667019999999999E-2</v>
      </c>
      <c r="P819">
        <v>0.99501980000000001</v>
      </c>
      <c r="Q819">
        <v>-4.2401380000000001E-3</v>
      </c>
      <c r="R819">
        <v>9.9588670000000004E-2</v>
      </c>
      <c r="S819">
        <v>3.0596619999999999</v>
      </c>
      <c r="T819">
        <v>-0.115979</v>
      </c>
      <c r="U819">
        <v>-0.45700069999999998</v>
      </c>
      <c r="V819">
        <v>-7.4011530000000006E-2</v>
      </c>
      <c r="W819">
        <v>1.0247829999999999E-2</v>
      </c>
      <c r="X819">
        <v>0.99720469999999894</v>
      </c>
      <c r="Y819">
        <v>0.1729242</v>
      </c>
      <c r="Z819">
        <v>-4.2258909999999998E-3</v>
      </c>
      <c r="AA819">
        <v>0.98492599999999997</v>
      </c>
      <c r="AB819">
        <v>38</v>
      </c>
      <c r="AC819">
        <v>30.16</v>
      </c>
      <c r="AD819">
        <v>-1.1540219999999899</v>
      </c>
      <c r="AE819">
        <v>-4.5548000000000002</v>
      </c>
      <c r="AF819">
        <v>5.3198828076497602</v>
      </c>
      <c r="AG819">
        <v>-1.1540219999999899</v>
      </c>
      <c r="AH819">
        <v>29.9902121452483</v>
      </c>
      <c r="AI819">
        <v>92.169811390038603</v>
      </c>
      <c r="AJ819">
        <v>79.941090683341102</v>
      </c>
      <c r="AK819">
        <v>30.480251711240999</v>
      </c>
    </row>
    <row r="820" spans="1:37" x14ac:dyDescent="0.2">
      <c r="A820" t="str">
        <f>"20200111155809056"</f>
        <v>20200111155809056</v>
      </c>
      <c r="B820" t="str">
        <f>"1578729489051408"</f>
        <v>1578729489051408</v>
      </c>
      <c r="C820" t="s">
        <v>37</v>
      </c>
      <c r="D820">
        <v>5.8897589999999997</v>
      </c>
      <c r="E820">
        <v>0.59588019999999997</v>
      </c>
      <c r="F820" t="s">
        <v>41</v>
      </c>
      <c r="G820">
        <v>-294.01240000000001</v>
      </c>
      <c r="H820">
        <v>-0.05</v>
      </c>
      <c r="I820">
        <v>364.27980000000002</v>
      </c>
      <c r="J820">
        <v>-323.6019</v>
      </c>
      <c r="K820">
        <v>1.103988</v>
      </c>
      <c r="L820">
        <v>368.71910000000003</v>
      </c>
      <c r="M820">
        <v>0.99956809999999996</v>
      </c>
      <c r="N820">
        <v>0</v>
      </c>
      <c r="O820">
        <v>2.554033E-2</v>
      </c>
      <c r="P820">
        <v>0.99501119999999899</v>
      </c>
      <c r="Q820">
        <v>-4.4203339999999997E-3</v>
      </c>
      <c r="R820">
        <v>9.9666820000000003E-2</v>
      </c>
      <c r="S820">
        <v>3.0600890000000001</v>
      </c>
      <c r="T820">
        <v>-0.1185211</v>
      </c>
      <c r="U820">
        <v>-0.45538329999999899</v>
      </c>
      <c r="V820">
        <v>-7.4215149999999994E-2</v>
      </c>
      <c r="W820">
        <v>1.0104790000000001E-2</v>
      </c>
      <c r="X820">
        <v>0.9971911</v>
      </c>
      <c r="Y820">
        <v>0.17226440000000001</v>
      </c>
      <c r="Z820">
        <v>-4.300435E-3</v>
      </c>
      <c r="AA820">
        <v>0.98504139999999996</v>
      </c>
      <c r="AB820">
        <v>38</v>
      </c>
      <c r="AC820">
        <v>29.589499999999902</v>
      </c>
      <c r="AD820">
        <v>-1.153988</v>
      </c>
      <c r="AE820">
        <v>-4.4393000000000002</v>
      </c>
      <c r="AF820">
        <v>5.1859428645722998</v>
      </c>
      <c r="AG820">
        <v>-1.153988</v>
      </c>
      <c r="AH820">
        <v>29.422685901806599</v>
      </c>
      <c r="AI820">
        <v>92.211986403002697</v>
      </c>
      <c r="AJ820">
        <v>80.003910431726496</v>
      </c>
      <c r="AK820">
        <v>29.898497242756498</v>
      </c>
    </row>
    <row r="821" spans="1:37" x14ac:dyDescent="0.2">
      <c r="A821" t="str">
        <f>"20200111155809068"</f>
        <v>20200111155809068</v>
      </c>
      <c r="B821" t="str">
        <f>"1578729489062145"</f>
        <v>1578729489062145</v>
      </c>
      <c r="C821" t="s">
        <v>37</v>
      </c>
      <c r="D821">
        <v>5.8557370000000004</v>
      </c>
      <c r="E821">
        <v>0.59602980000000005</v>
      </c>
      <c r="F821" t="s">
        <v>41</v>
      </c>
      <c r="G821">
        <v>-295.94560000000001</v>
      </c>
      <c r="H821">
        <v>-0.05</v>
      </c>
      <c r="I821">
        <v>364.58499999999998</v>
      </c>
      <c r="J821">
        <v>-323.38350000000003</v>
      </c>
      <c r="K821">
        <v>1.1039490000000001</v>
      </c>
      <c r="L821">
        <v>368.72449999999998</v>
      </c>
      <c r="M821">
        <v>0.9995716</v>
      </c>
      <c r="N821">
        <v>0</v>
      </c>
      <c r="O821">
        <v>2.538348E-2</v>
      </c>
      <c r="P821">
        <v>0.99502099999999905</v>
      </c>
      <c r="Q821">
        <v>-4.6797690000000003E-3</v>
      </c>
      <c r="R821">
        <v>9.955609E-2</v>
      </c>
      <c r="S821">
        <v>3.060333</v>
      </c>
      <c r="T821">
        <v>-0.1276957</v>
      </c>
      <c r="U821">
        <v>-0.45745849999999999</v>
      </c>
      <c r="V821">
        <v>-7.4260010000000001E-2</v>
      </c>
      <c r="W821">
        <v>9.8844999999999992E-3</v>
      </c>
      <c r="X821">
        <v>0.99718989999999996</v>
      </c>
      <c r="Y821">
        <v>0.1727282</v>
      </c>
      <c r="Z821">
        <v>-4.635569E-3</v>
      </c>
      <c r="AA821">
        <v>0.98495859999999902</v>
      </c>
      <c r="AB821">
        <v>38</v>
      </c>
      <c r="AC821">
        <v>27.437899999999999</v>
      </c>
      <c r="AD821">
        <v>-1.1539489999999999</v>
      </c>
      <c r="AE821">
        <v>-4.1394999999999902</v>
      </c>
      <c r="AF821">
        <v>4.8263624983817701</v>
      </c>
      <c r="AG821">
        <v>-1.1539489999999999</v>
      </c>
      <c r="AH821">
        <v>27.2767985261493</v>
      </c>
      <c r="AI821">
        <v>92.385451862248104</v>
      </c>
      <c r="AJ821">
        <v>79.965927510808896</v>
      </c>
      <c r="AK821">
        <v>27.724521837112398</v>
      </c>
    </row>
    <row r="822" spans="1:37" x14ac:dyDescent="0.2">
      <c r="A822" t="str">
        <f>"20200111155809080"</f>
        <v>20200111155809080</v>
      </c>
      <c r="B822" t="str">
        <f>"1578729489071905"</f>
        <v>1578729489071905</v>
      </c>
      <c r="C822" t="s">
        <v>37</v>
      </c>
      <c r="D822">
        <v>5.8628029999999898</v>
      </c>
      <c r="E822">
        <v>0.59619080000000002</v>
      </c>
      <c r="F822" t="s">
        <v>41</v>
      </c>
      <c r="G822">
        <v>-296.57960000000003</v>
      </c>
      <c r="H822">
        <v>-0.05</v>
      </c>
      <c r="I822">
        <v>364.70609999999999</v>
      </c>
      <c r="J822">
        <v>-323.17020000000002</v>
      </c>
      <c r="K822">
        <v>1.1039060000000001</v>
      </c>
      <c r="L822">
        <v>368.72980000000001</v>
      </c>
      <c r="M822">
        <v>0.99957629999999997</v>
      </c>
      <c r="N822">
        <v>0</v>
      </c>
      <c r="O822">
        <v>2.5185280000000001E-2</v>
      </c>
      <c r="P822">
        <v>0.99503649999999999</v>
      </c>
      <c r="Q822">
        <v>-4.9357769999999997E-3</v>
      </c>
      <c r="R822">
        <v>9.9390900000000004E-2</v>
      </c>
      <c r="S822">
        <v>3.06030299999999</v>
      </c>
      <c r="T822">
        <v>-0.1317509</v>
      </c>
      <c r="U822">
        <v>-0.45880129999999902</v>
      </c>
      <c r="V822">
        <v>-7.4291079999999995E-2</v>
      </c>
      <c r="W822">
        <v>9.6651649999999999E-3</v>
      </c>
      <c r="X822">
        <v>0.99718980000000002</v>
      </c>
      <c r="Y822">
        <v>0.17294619999999999</v>
      </c>
      <c r="Z822">
        <v>-4.7787189999999998E-3</v>
      </c>
      <c r="AA822">
        <v>0.98491969999999995</v>
      </c>
      <c r="AB822">
        <v>38</v>
      </c>
      <c r="AC822">
        <v>26.590599999999899</v>
      </c>
      <c r="AD822">
        <v>-1.1539060000000001</v>
      </c>
      <c r="AE822">
        <v>-4.0237000000000096</v>
      </c>
      <c r="AF822">
        <v>4.6835640143122701</v>
      </c>
      <c r="AG822">
        <v>-1.1539060000000001</v>
      </c>
      <c r="AH822">
        <v>26.432153447928499</v>
      </c>
      <c r="AI822">
        <v>92.461389313654195</v>
      </c>
      <c r="AJ822">
        <v>79.951944096237497</v>
      </c>
      <c r="AK822">
        <v>26.8686807794472</v>
      </c>
    </row>
    <row r="823" spans="1:37" x14ac:dyDescent="0.2">
      <c r="A823" t="str">
        <f>"20200111155809093"</f>
        <v>20200111155809093</v>
      </c>
      <c r="B823" t="str">
        <f>"1578729489081665"</f>
        <v>1578729489081665</v>
      </c>
      <c r="C823" t="s">
        <v>37</v>
      </c>
      <c r="D823">
        <v>8.1083230000000004</v>
      </c>
      <c r="E823">
        <v>0.59623300000000001</v>
      </c>
      <c r="F823" t="s">
        <v>41</v>
      </c>
      <c r="G823">
        <v>-297.0412</v>
      </c>
      <c r="H823">
        <v>-0.05</v>
      </c>
      <c r="I823">
        <v>364.79790000000003</v>
      </c>
      <c r="J823">
        <v>-322.96589999999998</v>
      </c>
      <c r="K823">
        <v>1.1038539999999999</v>
      </c>
      <c r="L823">
        <v>368.73469999999998</v>
      </c>
      <c r="M823">
        <v>0.99958159999999896</v>
      </c>
      <c r="N823">
        <v>0</v>
      </c>
      <c r="O823">
        <v>2.4953889999999999E-2</v>
      </c>
      <c r="P823">
        <v>0.9950793</v>
      </c>
      <c r="Q823">
        <v>-4.9468000000000003E-3</v>
      </c>
      <c r="R823">
        <v>9.8956959999999997E-2</v>
      </c>
      <c r="S823">
        <v>3.06030299999999</v>
      </c>
      <c r="T823">
        <v>-0.13514889999999999</v>
      </c>
      <c r="U823">
        <v>-0.46051029999999998</v>
      </c>
      <c r="V823">
        <v>-7.408563E-2</v>
      </c>
      <c r="W823">
        <v>9.6875759999999998E-3</v>
      </c>
      <c r="X823">
        <v>0.9972048</v>
      </c>
      <c r="Y823">
        <v>0.1732466</v>
      </c>
      <c r="Z823">
        <v>-4.8980789999999996E-3</v>
      </c>
      <c r="AA823">
        <v>0.98486629999999997</v>
      </c>
      <c r="AB823">
        <v>38</v>
      </c>
      <c r="AC823">
        <v>25.924699999999898</v>
      </c>
      <c r="AD823">
        <v>-1.1538539999999999</v>
      </c>
      <c r="AE823">
        <v>-3.9367999999999399</v>
      </c>
      <c r="AF823">
        <v>4.57370906848994</v>
      </c>
      <c r="AG823">
        <v>-1.1538539999999999</v>
      </c>
      <c r="AH823">
        <v>25.768480853906901</v>
      </c>
      <c r="AI823">
        <v>92.5244580333556</v>
      </c>
      <c r="AJ823">
        <v>79.935253749536798</v>
      </c>
      <c r="AK823">
        <v>26.196656260192299</v>
      </c>
    </row>
    <row r="824" spans="1:37" x14ac:dyDescent="0.2">
      <c r="A824" t="str">
        <f>"20200111155809107"</f>
        <v>20200111155809107</v>
      </c>
      <c r="B824" t="str">
        <f>"1578729489102161"</f>
        <v>1578729489102161</v>
      </c>
      <c r="C824" t="s">
        <v>37</v>
      </c>
      <c r="D824">
        <v>6.0903210000000003</v>
      </c>
      <c r="E824">
        <v>0.59536299999999998</v>
      </c>
      <c r="F824" t="s">
        <v>41</v>
      </c>
      <c r="G824">
        <v>-296.07690000000002</v>
      </c>
      <c r="H824">
        <v>-0.05</v>
      </c>
      <c r="I824">
        <v>364.67079999999999</v>
      </c>
      <c r="J824">
        <v>-322.73219999999998</v>
      </c>
      <c r="K824">
        <v>1.103796</v>
      </c>
      <c r="L824">
        <v>368.74029999999999</v>
      </c>
      <c r="M824">
        <v>0.999588699999999</v>
      </c>
      <c r="N824">
        <v>0</v>
      </c>
      <c r="O824">
        <v>2.4654430000000001E-2</v>
      </c>
      <c r="P824">
        <v>0.99512409999999996</v>
      </c>
      <c r="Q824">
        <v>-4.661381E-3</v>
      </c>
      <c r="R824">
        <v>9.8521129999999998E-2</v>
      </c>
      <c r="S824">
        <v>3.0601500000000001</v>
      </c>
      <c r="T824">
        <v>-0.13131670000000001</v>
      </c>
      <c r="U824">
        <v>-0.46249390000000001</v>
      </c>
      <c r="V824">
        <v>-7.3946079999999997E-2</v>
      </c>
      <c r="W824">
        <v>1.0010379999999999E-2</v>
      </c>
      <c r="X824">
        <v>0.99721199999999999</v>
      </c>
      <c r="Y824">
        <v>0.17359359999999999</v>
      </c>
      <c r="Z824">
        <v>-4.7539430000000001E-3</v>
      </c>
      <c r="AA824">
        <v>0.98480590000000001</v>
      </c>
      <c r="AB824">
        <v>38</v>
      </c>
      <c r="AC824">
        <v>26.655299999999901</v>
      </c>
      <c r="AD824">
        <v>-1.1537959999999901</v>
      </c>
      <c r="AE824">
        <v>-4.0694999999999997</v>
      </c>
      <c r="AF824">
        <v>4.7168679875253599</v>
      </c>
      <c r="AG824">
        <v>-1.1537959999999901</v>
      </c>
      <c r="AH824">
        <v>26.4983359658649</v>
      </c>
      <c r="AI824">
        <v>92.454671755872297</v>
      </c>
      <c r="AJ824">
        <v>79.906716062260699</v>
      </c>
      <c r="AK824">
        <v>26.939597208963701</v>
      </c>
    </row>
    <row r="825" spans="1:37" x14ac:dyDescent="0.2">
      <c r="A825" t="str">
        <f>"20200111155809122"</f>
        <v>20200111155809122</v>
      </c>
      <c r="B825" t="str">
        <f>"1578729489111921"</f>
        <v>1578729489111921</v>
      </c>
      <c r="C825" t="s">
        <v>37</v>
      </c>
      <c r="D825">
        <v>6.0875329999999996</v>
      </c>
      <c r="E825">
        <v>0.55246280000000003</v>
      </c>
      <c r="F825" t="s">
        <v>41</v>
      </c>
      <c r="G825">
        <v>-295.15969999999999</v>
      </c>
      <c r="H825">
        <v>-0.05</v>
      </c>
      <c r="I825">
        <v>364.61860000000001</v>
      </c>
      <c r="J825">
        <v>-322.46190000000001</v>
      </c>
      <c r="K825">
        <v>1.1037250000000001</v>
      </c>
      <c r="L825">
        <v>368.7466</v>
      </c>
      <c r="M825">
        <v>0.99959900000000002</v>
      </c>
      <c r="N825">
        <v>0</v>
      </c>
      <c r="O825">
        <v>2.422471E-2</v>
      </c>
      <c r="P825">
        <v>0.99522219999999995</v>
      </c>
      <c r="Q825">
        <v>-3.4556869999999998E-3</v>
      </c>
      <c r="R825">
        <v>9.7577070000000002E-2</v>
      </c>
      <c r="S825">
        <v>3.0593870000000001</v>
      </c>
      <c r="T825">
        <v>-0.1280229</v>
      </c>
      <c r="U825">
        <v>-0.45733639999999998</v>
      </c>
      <c r="V825">
        <v>-7.3424909999999996E-2</v>
      </c>
      <c r="W825">
        <v>1.1256759999999999E-2</v>
      </c>
      <c r="X825">
        <v>0.99723719999999905</v>
      </c>
      <c r="Y825">
        <v>0.17159340000000001</v>
      </c>
      <c r="Z825">
        <v>-4.5770309999999996E-3</v>
      </c>
      <c r="AA825">
        <v>0.98515719999999996</v>
      </c>
      <c r="AB825">
        <v>38</v>
      </c>
      <c r="AC825">
        <v>27.302199999999999</v>
      </c>
      <c r="AD825">
        <v>-1.1537249999999999</v>
      </c>
      <c r="AE825">
        <v>-4.1279999999999797</v>
      </c>
      <c r="AF825">
        <v>4.77990259555874</v>
      </c>
      <c r="AG825">
        <v>-1.1537249999999999</v>
      </c>
      <c r="AH825">
        <v>27.1467830958746</v>
      </c>
      <c r="AI825">
        <v>92.396752636049499</v>
      </c>
      <c r="AJ825">
        <v>80.013935624579602</v>
      </c>
      <c r="AK825">
        <v>27.588519036967501</v>
      </c>
    </row>
    <row r="826" spans="1:37" x14ac:dyDescent="0.2">
      <c r="A826" t="str">
        <f>"20200111155809136"</f>
        <v>20200111155809136</v>
      </c>
      <c r="B826" t="str">
        <f>"1578729489131441"</f>
        <v>1578729489131441</v>
      </c>
      <c r="C826" t="s">
        <v>37</v>
      </c>
      <c r="D826">
        <v>6.0606869999999997</v>
      </c>
      <c r="E826">
        <v>0.55031009999999903</v>
      </c>
      <c r="F826" t="s">
        <v>38</v>
      </c>
      <c r="G826">
        <v>-321.69819999999999</v>
      </c>
      <c r="H826">
        <v>1.0439670000000001</v>
      </c>
      <c r="I826">
        <v>368.71769999999998</v>
      </c>
      <c r="J826">
        <v>-322.23939999999999</v>
      </c>
      <c r="K826">
        <v>1.1036589999999999</v>
      </c>
      <c r="L826">
        <v>368.7516</v>
      </c>
      <c r="M826">
        <v>0.99960869999999902</v>
      </c>
      <c r="N826">
        <v>0</v>
      </c>
      <c r="O826">
        <v>2.380664E-2</v>
      </c>
      <c r="P826">
        <v>0.99529299999999998</v>
      </c>
      <c r="Q826">
        <v>-2.6005260000000001E-3</v>
      </c>
      <c r="R826">
        <v>9.6877740000000004E-2</v>
      </c>
      <c r="S826">
        <v>3.0248110000000001</v>
      </c>
      <c r="T826">
        <v>-0.23671229999999999</v>
      </c>
      <c r="U826">
        <v>-0.11465450000000001</v>
      </c>
      <c r="V826">
        <v>-7.3137850000000004E-2</v>
      </c>
      <c r="W826">
        <v>1.2145049999999999E-2</v>
      </c>
      <c r="X826">
        <v>0.99724789999999996</v>
      </c>
      <c r="Y826">
        <v>6.1398699999999903E-2</v>
      </c>
      <c r="Z826">
        <v>-4.2577159999999999E-3</v>
      </c>
      <c r="AA826">
        <v>0.9981042</v>
      </c>
      <c r="AB826">
        <v>38</v>
      </c>
      <c r="AC826">
        <v>0.54120000000000301</v>
      </c>
      <c r="AD826">
        <v>-5.9691999999999801E-2</v>
      </c>
      <c r="AE826">
        <v>-3.3900000000016903E-2</v>
      </c>
      <c r="AF826">
        <v>4.6215908207344697E-2</v>
      </c>
      <c r="AG826">
        <v>-5.9691999999999801E-2</v>
      </c>
      <c r="AH826">
        <v>0.53377142890539098</v>
      </c>
      <c r="AI826">
        <v>96.357322406240598</v>
      </c>
      <c r="AJ826">
        <v>85.051460443661398</v>
      </c>
      <c r="AK826">
        <v>0.539083466033909</v>
      </c>
    </row>
    <row r="827" spans="1:37" x14ac:dyDescent="0.2">
      <c r="A827" t="str">
        <f>"20200111155809149"</f>
        <v>20200111155809149</v>
      </c>
      <c r="B827" t="str">
        <f>"1578729489142176"</f>
        <v>1578729489142176</v>
      </c>
      <c r="C827" t="s">
        <v>37</v>
      </c>
      <c r="D827">
        <v>6.0860979999999998</v>
      </c>
      <c r="E827">
        <v>0.54904569999999997</v>
      </c>
      <c r="F827" t="s">
        <v>38</v>
      </c>
      <c r="G827">
        <v>-321.36200000000002</v>
      </c>
      <c r="H827">
        <v>1.0408850000000001</v>
      </c>
      <c r="I827">
        <v>368.72230000000002</v>
      </c>
      <c r="J827">
        <v>-322.00200000000001</v>
      </c>
      <c r="K827">
        <v>1.103585</v>
      </c>
      <c r="L827">
        <v>368.75689999999997</v>
      </c>
      <c r="M827">
        <v>0.99961999999999995</v>
      </c>
      <c r="N827">
        <v>0</v>
      </c>
      <c r="O827">
        <v>2.331395E-2</v>
      </c>
      <c r="P827">
        <v>0.99534800000000001</v>
      </c>
      <c r="Q827">
        <v>-1.9265949999999999E-3</v>
      </c>
      <c r="R827">
        <v>9.6327490000000002E-2</v>
      </c>
      <c r="S827">
        <v>3.0233759999999998</v>
      </c>
      <c r="T827">
        <v>-0.21643509999999999</v>
      </c>
      <c r="U827">
        <v>-0.1004333</v>
      </c>
      <c r="V827">
        <v>-7.3074449999999999E-2</v>
      </c>
      <c r="W827">
        <v>1.285214E-2</v>
      </c>
      <c r="X827">
        <v>0.99724369999999996</v>
      </c>
      <c r="Y827">
        <v>5.6291679999999997E-2</v>
      </c>
      <c r="Z827">
        <v>-3.678373E-3</v>
      </c>
      <c r="AA827">
        <v>0.99840759999999995</v>
      </c>
      <c r="AB827">
        <v>38</v>
      </c>
      <c r="AC827">
        <v>0.63999999999998602</v>
      </c>
      <c r="AD827">
        <v>-6.2699999999999895E-2</v>
      </c>
      <c r="AE827">
        <v>-3.4599999999954799E-2</v>
      </c>
      <c r="AF827">
        <v>4.9043791069058998E-2</v>
      </c>
      <c r="AG827">
        <v>-6.2699999999999895E-2</v>
      </c>
      <c r="AH827">
        <v>0.63296187061482401</v>
      </c>
      <c r="AI827">
        <v>95.640359133280796</v>
      </c>
      <c r="AJ827">
        <v>85.569402917545503</v>
      </c>
      <c r="AK827">
        <v>0.63794773539424299</v>
      </c>
    </row>
    <row r="828" spans="1:37" x14ac:dyDescent="0.2">
      <c r="A828" t="str">
        <f>"20200111155809162"</f>
        <v>20200111155809162</v>
      </c>
      <c r="B828" t="str">
        <f>"1578729489151937"</f>
        <v>1578729489151937</v>
      </c>
      <c r="C828" t="s">
        <v>37</v>
      </c>
      <c r="D828">
        <v>6.0742649999999996</v>
      </c>
      <c r="E828">
        <v>0.54839340000000003</v>
      </c>
      <c r="F828" t="s">
        <v>38</v>
      </c>
      <c r="G828">
        <v>-321.02820000000003</v>
      </c>
      <c r="H828">
        <v>1.0320830000000001</v>
      </c>
      <c r="I828">
        <v>368.72719999999998</v>
      </c>
      <c r="J828">
        <v>-321.79050000000001</v>
      </c>
      <c r="K828">
        <v>1.1035189999999999</v>
      </c>
      <c r="L828">
        <v>368.76139999999998</v>
      </c>
      <c r="M828">
        <v>0.99963109999999999</v>
      </c>
      <c r="N828">
        <v>0</v>
      </c>
      <c r="O828">
        <v>2.2822450000000001E-2</v>
      </c>
      <c r="P828">
        <v>0.9953921</v>
      </c>
      <c r="Q828">
        <v>-1.4188460000000001E-3</v>
      </c>
      <c r="R828">
        <v>9.5876729999999993E-2</v>
      </c>
      <c r="S828">
        <v>3.022491</v>
      </c>
      <c r="T828">
        <v>-0.2219767</v>
      </c>
      <c r="U828">
        <v>-9.1796879999999997E-2</v>
      </c>
      <c r="V828">
        <v>-7.3110069999999999E-2</v>
      </c>
      <c r="W828">
        <v>1.338901E-2</v>
      </c>
      <c r="X828">
        <v>0.99723399999999995</v>
      </c>
      <c r="Y828">
        <v>5.2959819999999998E-2</v>
      </c>
      <c r="Z828">
        <v>-3.6153639999999998E-3</v>
      </c>
      <c r="AA828">
        <v>0.99859010000000004</v>
      </c>
      <c r="AB828">
        <v>38</v>
      </c>
      <c r="AC828">
        <v>0.76229999999998199</v>
      </c>
      <c r="AD828">
        <v>-7.1435999999999999E-2</v>
      </c>
      <c r="AE828">
        <v>-3.4199999999998398E-2</v>
      </c>
      <c r="AF828">
        <v>5.1142311746197003E-2</v>
      </c>
      <c r="AG828">
        <v>-7.1435999999999999E-2</v>
      </c>
      <c r="AH828">
        <v>0.75470644076401705</v>
      </c>
      <c r="AI828">
        <v>95.394866823197006</v>
      </c>
      <c r="AJ828">
        <v>86.123306321030995</v>
      </c>
      <c r="AK828">
        <v>0.75980290199329703</v>
      </c>
    </row>
    <row r="829" spans="1:37" x14ac:dyDescent="0.2">
      <c r="A829" t="str">
        <f>"20200111155809178"</f>
        <v>20200111155809178</v>
      </c>
      <c r="B829" t="str">
        <f>"1578729489171456"</f>
        <v>1578729489171456</v>
      </c>
      <c r="C829" t="s">
        <v>37</v>
      </c>
      <c r="D829">
        <v>6.0313819999999998</v>
      </c>
      <c r="E829">
        <v>0.5479522</v>
      </c>
      <c r="F829" t="s">
        <v>38</v>
      </c>
      <c r="G829">
        <v>-321.01920000000001</v>
      </c>
      <c r="H829">
        <v>1.0461940000000001</v>
      </c>
      <c r="I829">
        <v>368.7389</v>
      </c>
      <c r="J829">
        <v>-321.52710000000002</v>
      </c>
      <c r="K829">
        <v>1.1034310000000001</v>
      </c>
      <c r="L829">
        <v>368.76679999999999</v>
      </c>
      <c r="M829">
        <v>0.99964640000000005</v>
      </c>
      <c r="N829">
        <v>0</v>
      </c>
      <c r="O829">
        <v>2.2128749999999999E-2</v>
      </c>
      <c r="P829">
        <v>0.99538490000000002</v>
      </c>
      <c r="Q829">
        <v>3.806762E-4</v>
      </c>
      <c r="R829">
        <v>9.5963499999999993E-2</v>
      </c>
      <c r="S829">
        <v>3.0220340000000001</v>
      </c>
      <c r="T829">
        <v>-0.22465779999999999</v>
      </c>
      <c r="U829">
        <v>-8.7799070000000007E-2</v>
      </c>
      <c r="V829">
        <v>-7.3882729999999994E-2</v>
      </c>
      <c r="W829">
        <v>1.5223220000000001E-2</v>
      </c>
      <c r="X829">
        <v>0.99715069999999995</v>
      </c>
      <c r="Y829">
        <v>5.0953909999999998E-2</v>
      </c>
      <c r="Z829">
        <v>-3.533596E-3</v>
      </c>
      <c r="AA829">
        <v>0.99869479999999999</v>
      </c>
      <c r="AB829">
        <v>38</v>
      </c>
      <c r="AC829">
        <v>0.50790000000000601</v>
      </c>
      <c r="AD829">
        <v>-5.7236999999999899E-2</v>
      </c>
      <c r="AE829">
        <v>-2.7899999999988202E-2</v>
      </c>
      <c r="AF829">
        <v>3.8644281957181503E-2</v>
      </c>
      <c r="AG829">
        <v>-5.7236999999999899E-2</v>
      </c>
      <c r="AH829">
        <v>0.50081699664617896</v>
      </c>
      <c r="AI829">
        <v>96.500730943518207</v>
      </c>
      <c r="AJ829">
        <v>85.587658742532795</v>
      </c>
      <c r="AK829">
        <v>0.50555624694655399</v>
      </c>
    </row>
    <row r="830" spans="1:37" x14ac:dyDescent="0.2">
      <c r="A830" t="str">
        <f>"20200111155809190"</f>
        <v>20200111155809190</v>
      </c>
      <c r="B830" t="str">
        <f>"1578729489182193"</f>
        <v>1578729489182193</v>
      </c>
      <c r="C830" t="s">
        <v>37</v>
      </c>
      <c r="D830">
        <v>6.028232</v>
      </c>
      <c r="E830">
        <v>0.54798359999999902</v>
      </c>
      <c r="F830" t="s">
        <v>38</v>
      </c>
      <c r="G830">
        <v>-320.68610000000001</v>
      </c>
      <c r="H830">
        <v>1.041102</v>
      </c>
      <c r="I830">
        <v>368.74329999999998</v>
      </c>
      <c r="J830">
        <v>-321.32279999999997</v>
      </c>
      <c r="K830">
        <v>1.1033599999999999</v>
      </c>
      <c r="L830">
        <v>368.77080000000001</v>
      </c>
      <c r="M830">
        <v>0.99965910000000002</v>
      </c>
      <c r="N830">
        <v>0</v>
      </c>
      <c r="O830">
        <v>2.1546059999999999E-2</v>
      </c>
      <c r="P830">
        <v>0.99541679999999999</v>
      </c>
      <c r="Q830">
        <v>9.8400190000000006E-4</v>
      </c>
      <c r="R830">
        <v>9.5629210000000006E-2</v>
      </c>
      <c r="S830">
        <v>3.0220639999999999</v>
      </c>
      <c r="T830">
        <v>-0.22413749999999999</v>
      </c>
      <c r="U830">
        <v>-8.3770750000000005E-2</v>
      </c>
      <c r="V830">
        <v>-7.4125449999999996E-2</v>
      </c>
      <c r="W830">
        <v>1.585257E-2</v>
      </c>
      <c r="X830">
        <v>0.99712289999999904</v>
      </c>
      <c r="Y830">
        <v>4.9048990000000001E-2</v>
      </c>
      <c r="Z830">
        <v>-3.4117779999999999E-3</v>
      </c>
      <c r="AA830">
        <v>0.99879059999999897</v>
      </c>
      <c r="AB830">
        <v>38</v>
      </c>
      <c r="AC830">
        <v>0.63669999999996196</v>
      </c>
      <c r="AD830">
        <v>-6.2258000000000098E-2</v>
      </c>
      <c r="AE830">
        <v>-2.7500000000031801E-2</v>
      </c>
      <c r="AF830">
        <v>4.0823877016643403E-2</v>
      </c>
      <c r="AG830">
        <v>-6.2258000000000098E-2</v>
      </c>
      <c r="AH830">
        <v>0.62994762708139795</v>
      </c>
      <c r="AI830">
        <v>95.6324991636411</v>
      </c>
      <c r="AJ830">
        <v>86.292120874904796</v>
      </c>
      <c r="AK830">
        <v>0.63433166432407695</v>
      </c>
    </row>
    <row r="831" spans="1:37" x14ac:dyDescent="0.2">
      <c r="A831" t="str">
        <f>"20200111155809203"</f>
        <v>20200111155809203</v>
      </c>
      <c r="B831" t="str">
        <f>"1578729489191953"</f>
        <v>1578729489191953</v>
      </c>
      <c r="C831" t="s">
        <v>37</v>
      </c>
      <c r="D831">
        <v>5.977519</v>
      </c>
      <c r="E831">
        <v>0.5481954</v>
      </c>
      <c r="F831" t="s">
        <v>38</v>
      </c>
      <c r="G831">
        <v>-320.35329999999999</v>
      </c>
      <c r="H831">
        <v>1.031784</v>
      </c>
      <c r="I831">
        <v>368.74360000000001</v>
      </c>
      <c r="J831">
        <v>-321.09109999999998</v>
      </c>
      <c r="K831">
        <v>1.103281</v>
      </c>
      <c r="L831">
        <v>368.77519999999998</v>
      </c>
      <c r="M831">
        <v>0.9996739</v>
      </c>
      <c r="N831">
        <v>0</v>
      </c>
      <c r="O831">
        <v>2.083755E-2</v>
      </c>
      <c r="P831">
        <v>0.99544359999999998</v>
      </c>
      <c r="Q831">
        <v>1.712259E-3</v>
      </c>
      <c r="R831">
        <v>9.5337619999999998E-2</v>
      </c>
      <c r="S831">
        <v>3.022186</v>
      </c>
      <c r="T831">
        <v>-0.22316069999999999</v>
      </c>
      <c r="U831">
        <v>-8.4777829999999998E-2</v>
      </c>
      <c r="V831">
        <v>-7.4534859999999994E-2</v>
      </c>
      <c r="W831">
        <v>1.6609209999999999E-2</v>
      </c>
      <c r="X831">
        <v>0.99708009999999903</v>
      </c>
      <c r="Y831">
        <v>4.8677199999999997E-2</v>
      </c>
      <c r="Z831">
        <v>-3.3308539999999998E-3</v>
      </c>
      <c r="AA831">
        <v>0.99880899999999995</v>
      </c>
      <c r="AB831">
        <v>38</v>
      </c>
      <c r="AC831">
        <v>0.73779999999999202</v>
      </c>
      <c r="AD831">
        <v>-7.1496999999999894E-2</v>
      </c>
      <c r="AE831">
        <v>-3.1599999999968903E-2</v>
      </c>
      <c r="AF831">
        <v>4.65325831452909E-2</v>
      </c>
      <c r="AG831">
        <v>-7.1496999999999894E-2</v>
      </c>
      <c r="AH831">
        <v>0.73013728031990999</v>
      </c>
      <c r="AI831">
        <v>95.581474018307205</v>
      </c>
      <c r="AJ831">
        <v>86.353398425581702</v>
      </c>
      <c r="AK831">
        <v>0.73510376846818604</v>
      </c>
    </row>
    <row r="832" spans="1:37" x14ac:dyDescent="0.2">
      <c r="A832" t="str">
        <f>"20200111155809223"</f>
        <v>20200111155809223</v>
      </c>
      <c r="B832" t="str">
        <f>"1578729489211472"</f>
        <v>1578729489211472</v>
      </c>
      <c r="C832" t="s">
        <v>37</v>
      </c>
      <c r="D832">
        <v>6.0041640000000003</v>
      </c>
      <c r="E832">
        <v>0.54862279999999997</v>
      </c>
      <c r="F832" t="s">
        <v>38</v>
      </c>
      <c r="G832">
        <v>-320.34190000000001</v>
      </c>
      <c r="H832">
        <v>1.048214</v>
      </c>
      <c r="I832">
        <v>368.75360000000001</v>
      </c>
      <c r="J832">
        <v>-320.77350000000001</v>
      </c>
      <c r="K832">
        <v>1.1030139999999999</v>
      </c>
      <c r="L832">
        <v>368.78089999999997</v>
      </c>
      <c r="M832">
        <v>0.99970720000000002</v>
      </c>
      <c r="N832">
        <v>0</v>
      </c>
      <c r="O832">
        <v>1.969827E-2</v>
      </c>
      <c r="P832">
        <v>0.99545169999999905</v>
      </c>
      <c r="Q832">
        <v>3.513698E-3</v>
      </c>
      <c r="R832">
        <v>9.5203309999999999E-2</v>
      </c>
      <c r="S832">
        <v>3.0224609999999998</v>
      </c>
      <c r="T832">
        <v>-0.22225139999999999</v>
      </c>
      <c r="U832">
        <v>-8.7127689999999994E-2</v>
      </c>
      <c r="V832">
        <v>-7.553087E-2</v>
      </c>
      <c r="W832">
        <v>1.7717210000000001E-2</v>
      </c>
      <c r="X832">
        <v>0.99698600000000004</v>
      </c>
      <c r="Y832">
        <v>4.8317699999999998E-2</v>
      </c>
      <c r="Z832">
        <v>-3.2201170000000002E-3</v>
      </c>
      <c r="AA832">
        <v>0.99882680000000001</v>
      </c>
      <c r="AB832">
        <v>38</v>
      </c>
      <c r="AC832">
        <v>0.43160000000000298</v>
      </c>
      <c r="AD832">
        <v>-5.4799999999999897E-2</v>
      </c>
      <c r="AE832">
        <v>-2.7299999999968301E-2</v>
      </c>
      <c r="AF832">
        <v>3.52316014602903E-2</v>
      </c>
      <c r="AG832">
        <v>-5.4799999999999897E-2</v>
      </c>
      <c r="AH832">
        <v>0.42416757010871597</v>
      </c>
      <c r="AI832">
        <v>97.336519763538803</v>
      </c>
      <c r="AJ832">
        <v>85.251878890505296</v>
      </c>
      <c r="AK832">
        <v>0.42914150728330802</v>
      </c>
    </row>
    <row r="833" spans="1:37" x14ac:dyDescent="0.2">
      <c r="A833" t="str">
        <f>"20200111155809235"</f>
        <v>20200111155809235</v>
      </c>
      <c r="B833" t="str">
        <f>"1578729489231969"</f>
        <v>1578729489231969</v>
      </c>
      <c r="C833" t="s">
        <v>37</v>
      </c>
      <c r="D833">
        <v>6.0122</v>
      </c>
      <c r="E833">
        <v>0.54871890000000001</v>
      </c>
      <c r="F833" t="s">
        <v>38</v>
      </c>
      <c r="G833">
        <v>-320.00330000000002</v>
      </c>
      <c r="H833">
        <v>1.046964</v>
      </c>
      <c r="I833">
        <v>368.75779999999997</v>
      </c>
      <c r="J833">
        <v>-320.55079999999998</v>
      </c>
      <c r="K833">
        <v>1.102789</v>
      </c>
      <c r="L833">
        <v>368.78469999999999</v>
      </c>
      <c r="M833">
        <v>0.9997298</v>
      </c>
      <c r="N833">
        <v>0</v>
      </c>
      <c r="O833">
        <v>1.8842109999999999E-2</v>
      </c>
      <c r="P833">
        <v>0.99548689999999995</v>
      </c>
      <c r="Q833">
        <v>4.5257679999999899E-3</v>
      </c>
      <c r="R833">
        <v>9.4792570000000007E-2</v>
      </c>
      <c r="S833">
        <v>3.0231319999999999</v>
      </c>
      <c r="T833">
        <v>-0.22015970000000001</v>
      </c>
      <c r="U833">
        <v>-9.0606690000000004E-2</v>
      </c>
      <c r="V833">
        <v>-7.5969330000000002E-2</v>
      </c>
      <c r="W833">
        <v>1.829886E-2</v>
      </c>
      <c r="X833">
        <v>0.996942199999999</v>
      </c>
      <c r="Y833">
        <v>4.8609270000000003E-2</v>
      </c>
      <c r="Z833">
        <v>-3.1374699999999998E-3</v>
      </c>
      <c r="AA833">
        <v>0.9988129</v>
      </c>
      <c r="AB833">
        <v>38</v>
      </c>
      <c r="AC833">
        <v>0.54749999999995602</v>
      </c>
      <c r="AD833">
        <v>-5.5825E-2</v>
      </c>
      <c r="AE833">
        <v>-2.6900000000011901E-2</v>
      </c>
      <c r="AF833">
        <v>3.68302493615685E-2</v>
      </c>
      <c r="AG833">
        <v>-5.5825E-2</v>
      </c>
      <c r="AH833">
        <v>0.54128197275880396</v>
      </c>
      <c r="AI833">
        <v>95.874880319885705</v>
      </c>
      <c r="AJ833">
        <v>86.107444287801698</v>
      </c>
      <c r="AK833">
        <v>0.54539808573802095</v>
      </c>
    </row>
    <row r="834" spans="1:37" x14ac:dyDescent="0.2">
      <c r="A834" t="str">
        <f>"20200111155809248"</f>
        <v>20200111155809248</v>
      </c>
      <c r="B834" t="str">
        <f>"1578729489241729"</f>
        <v>1578729489241729</v>
      </c>
      <c r="C834" t="s">
        <v>37</v>
      </c>
      <c r="D834">
        <v>6.0374160000000003</v>
      </c>
      <c r="E834">
        <v>0.54872509999999997</v>
      </c>
      <c r="F834" t="s">
        <v>38</v>
      </c>
      <c r="G834">
        <v>-319.66910000000001</v>
      </c>
      <c r="H834">
        <v>1.0387139999999999</v>
      </c>
      <c r="I834">
        <v>368.75749999999999</v>
      </c>
      <c r="J834">
        <v>-320.33339999999998</v>
      </c>
      <c r="K834">
        <v>1.1025659999999999</v>
      </c>
      <c r="L834">
        <v>368.78820000000002</v>
      </c>
      <c r="M834">
        <v>0.99974979999999902</v>
      </c>
      <c r="N834">
        <v>0</v>
      </c>
      <c r="O834">
        <v>1.798373E-2</v>
      </c>
      <c r="P834">
        <v>0.99558099999999905</v>
      </c>
      <c r="Q834">
        <v>5.27800199999999E-3</v>
      </c>
      <c r="R834">
        <v>9.3759449999999994E-2</v>
      </c>
      <c r="S834">
        <v>3.0233460000000001</v>
      </c>
      <c r="T834">
        <v>-0.21972269999999999</v>
      </c>
      <c r="U834">
        <v>-9.2651369999999997E-2</v>
      </c>
      <c r="V834">
        <v>-7.5786149999999997E-2</v>
      </c>
      <c r="W834">
        <v>1.875512E-2</v>
      </c>
      <c r="X834">
        <v>0.99694769999999899</v>
      </c>
      <c r="Y834">
        <v>4.842784E-2</v>
      </c>
      <c r="Z834">
        <v>-3.062127E-3</v>
      </c>
      <c r="AA834">
        <v>0.99882199999999999</v>
      </c>
      <c r="AB834">
        <v>38</v>
      </c>
      <c r="AC834">
        <v>0.66429999999996803</v>
      </c>
      <c r="AD834">
        <v>-6.3852000000000006E-2</v>
      </c>
      <c r="AE834">
        <v>-3.0700000000024302E-2</v>
      </c>
      <c r="AF834">
        <v>4.2253142285379498E-2</v>
      </c>
      <c r="AG834">
        <v>-6.3852000000000006E-2</v>
      </c>
      <c r="AH834">
        <v>0.65757804725094804</v>
      </c>
      <c r="AI834">
        <v>95.5347916880946</v>
      </c>
      <c r="AJ834">
        <v>86.323473500332298</v>
      </c>
      <c r="AK834">
        <v>0.66202061460604</v>
      </c>
    </row>
    <row r="835" spans="1:37" x14ac:dyDescent="0.2">
      <c r="A835" t="str">
        <f>"20200111155809260"</f>
        <v>20200111155809260</v>
      </c>
      <c r="B835" t="str">
        <f>"1578729489251489"</f>
        <v>1578729489251489</v>
      </c>
      <c r="C835" t="s">
        <v>37</v>
      </c>
      <c r="D835">
        <v>5.9813640000000001</v>
      </c>
      <c r="E835">
        <v>0.54879369999999905</v>
      </c>
      <c r="F835" t="s">
        <v>38</v>
      </c>
      <c r="G835">
        <v>-319.33280000000002</v>
      </c>
      <c r="H835">
        <v>1.0301450000000001</v>
      </c>
      <c r="I835">
        <v>368.75619999999998</v>
      </c>
      <c r="J835">
        <v>-320.12040000000002</v>
      </c>
      <c r="K835">
        <v>1.102339</v>
      </c>
      <c r="L835">
        <v>368.79149999999998</v>
      </c>
      <c r="M835">
        <v>0.99976549999999997</v>
      </c>
      <c r="N835">
        <v>0</v>
      </c>
      <c r="O835">
        <v>1.711261E-2</v>
      </c>
      <c r="P835">
        <v>0.995671999999999</v>
      </c>
      <c r="Q835">
        <v>5.7189739999999999E-3</v>
      </c>
      <c r="R835">
        <v>9.2763150000000003E-2</v>
      </c>
      <c r="S835">
        <v>3.0234679999999998</v>
      </c>
      <c r="T835">
        <v>-0.2190349</v>
      </c>
      <c r="U835">
        <v>-9.5550540000000003E-2</v>
      </c>
      <c r="V835">
        <v>-7.5653360000000003E-2</v>
      </c>
      <c r="W835">
        <v>1.91860999999999E-2</v>
      </c>
      <c r="X835">
        <v>0.99694959999999899</v>
      </c>
      <c r="Y835">
        <v>4.8516299999999998E-2</v>
      </c>
      <c r="Z835">
        <v>-2.992583E-3</v>
      </c>
      <c r="AA835">
        <v>0.99881790000000004</v>
      </c>
      <c r="AB835">
        <v>38</v>
      </c>
      <c r="AC835">
        <v>0.78759999999999697</v>
      </c>
      <c r="AD835">
        <v>-7.21939999999998E-2</v>
      </c>
      <c r="AE835">
        <v>-3.53000000000065E-2</v>
      </c>
      <c r="AF835">
        <v>4.83683250799909E-2</v>
      </c>
      <c r="AG835">
        <v>-7.21939999999998E-2</v>
      </c>
      <c r="AH835">
        <v>0.78033715102220802</v>
      </c>
      <c r="AI835">
        <v>95.275686348179406</v>
      </c>
      <c r="AJ835">
        <v>86.453122947493597</v>
      </c>
      <c r="AK835">
        <v>0.78516083560790295</v>
      </c>
    </row>
    <row r="836" spans="1:37" x14ac:dyDescent="0.2">
      <c r="A836" t="str">
        <f>"20200111155809273"</f>
        <v>20200111155809273</v>
      </c>
      <c r="B836" t="str">
        <f>"1578729489262225"</f>
        <v>1578729489262225</v>
      </c>
      <c r="C836" t="s">
        <v>37</v>
      </c>
      <c r="D836">
        <v>5.9967290000000002</v>
      </c>
      <c r="E836">
        <v>0.54887830000000004</v>
      </c>
      <c r="F836" t="s">
        <v>38</v>
      </c>
      <c r="G836">
        <v>-319.32389999999998</v>
      </c>
      <c r="H836">
        <v>1.0447819999999901</v>
      </c>
      <c r="I836">
        <v>368.76499999999999</v>
      </c>
      <c r="J836">
        <v>-319.90980000000002</v>
      </c>
      <c r="K836">
        <v>1.102069</v>
      </c>
      <c r="L836">
        <v>368.79450000000003</v>
      </c>
      <c r="M836">
        <v>0.99977769999999999</v>
      </c>
      <c r="N836">
        <v>0</v>
      </c>
      <c r="O836">
        <v>1.6229569999999999E-2</v>
      </c>
      <c r="P836">
        <v>0.99577090000000001</v>
      </c>
      <c r="Q836">
        <v>5.6194030000000002E-3</v>
      </c>
      <c r="R836">
        <v>9.170085E-2</v>
      </c>
      <c r="S836">
        <v>3.0235289999999999</v>
      </c>
      <c r="T836">
        <v>-0.21875729999999999</v>
      </c>
      <c r="U836">
        <v>-9.8907469999999997E-2</v>
      </c>
      <c r="V836">
        <v>-7.5466889999999995E-2</v>
      </c>
      <c r="W836">
        <v>1.9275730000000001E-2</v>
      </c>
      <c r="X836">
        <v>0.99696200000000001</v>
      </c>
      <c r="Y836">
        <v>4.8743479999999999E-2</v>
      </c>
      <c r="Z836">
        <v>-2.93310099999999E-3</v>
      </c>
      <c r="AA836">
        <v>0.998807</v>
      </c>
      <c r="AB836">
        <v>38</v>
      </c>
      <c r="AC836">
        <v>0.58590000000003695</v>
      </c>
      <c r="AD836">
        <v>-5.7286999999999998E-2</v>
      </c>
      <c r="AE836">
        <v>-2.9500000000041299E-2</v>
      </c>
      <c r="AF836">
        <v>3.8637434357517299E-2</v>
      </c>
      <c r="AG836">
        <v>-5.7286999999999998E-2</v>
      </c>
      <c r="AH836">
        <v>0.579814896216161</v>
      </c>
      <c r="AI836">
        <v>95.630230608058696</v>
      </c>
      <c r="AJ836">
        <v>86.187587011486301</v>
      </c>
      <c r="AK836">
        <v>0.58391777295856395</v>
      </c>
    </row>
    <row r="837" spans="1:37" x14ac:dyDescent="0.2">
      <c r="A837" t="str">
        <f>"20200111155809289"</f>
        <v>20200111155809289</v>
      </c>
      <c r="B837" t="str">
        <f>"1578729489281744"</f>
        <v>1578729489281744</v>
      </c>
      <c r="C837" t="s">
        <v>37</v>
      </c>
      <c r="D837">
        <v>5.9940910000000001</v>
      </c>
      <c r="E837">
        <v>0.54909739999999996</v>
      </c>
      <c r="F837" t="s">
        <v>38</v>
      </c>
      <c r="G837">
        <v>-318.9898</v>
      </c>
      <c r="H837">
        <v>1.03542</v>
      </c>
      <c r="I837">
        <v>368.76299999999998</v>
      </c>
      <c r="J837">
        <v>-319.6354</v>
      </c>
      <c r="K837">
        <v>1.1016379999999999</v>
      </c>
      <c r="L837">
        <v>368.79820000000001</v>
      </c>
      <c r="M837">
        <v>0.99979039999999997</v>
      </c>
      <c r="N837">
        <v>0</v>
      </c>
      <c r="O837">
        <v>1.505536E-2</v>
      </c>
      <c r="P837">
        <v>0.99606019999999895</v>
      </c>
      <c r="Q837">
        <v>5.4164059999999899E-3</v>
      </c>
      <c r="R837">
        <v>8.8514140000000005E-2</v>
      </c>
      <c r="S837">
        <v>3.0234070000000002</v>
      </c>
      <c r="T837">
        <v>-0.21911129999999901</v>
      </c>
      <c r="U837">
        <v>-0.1026306</v>
      </c>
      <c r="V837">
        <v>-7.3442199999999999E-2</v>
      </c>
      <c r="W837">
        <v>1.9506949999999999E-2</v>
      </c>
      <c r="X837">
        <v>0.99710869999999996</v>
      </c>
      <c r="Y837">
        <v>4.8802810000000002E-2</v>
      </c>
      <c r="Z837">
        <v>-2.8550770000000001E-3</v>
      </c>
      <c r="AA837">
        <v>0.99880429999999998</v>
      </c>
      <c r="AB837">
        <v>38</v>
      </c>
      <c r="AC837">
        <v>0.64560000000000095</v>
      </c>
      <c r="AD837">
        <v>-6.6217999999999805E-2</v>
      </c>
      <c r="AE837">
        <v>-3.51999999999748E-2</v>
      </c>
      <c r="AF837">
        <v>4.4450443069255698E-2</v>
      </c>
      <c r="AG837">
        <v>-6.6217999999999805E-2</v>
      </c>
      <c r="AH837">
        <v>0.63830164045410298</v>
      </c>
      <c r="AI837">
        <v>95.908522532523506</v>
      </c>
      <c r="AJ837">
        <v>86.0164323702882</v>
      </c>
      <c r="AK837">
        <v>0.64326483629952302</v>
      </c>
    </row>
    <row r="838" spans="1:37" x14ac:dyDescent="0.2">
      <c r="A838" t="str">
        <f>"20200111155809302"</f>
        <v>20200111155809302</v>
      </c>
      <c r="B838" t="str">
        <f>"1578729489291505"</f>
        <v>1578729489291505</v>
      </c>
      <c r="C838" t="s">
        <v>37</v>
      </c>
      <c r="D838">
        <v>5.9737479999999996</v>
      </c>
      <c r="E838">
        <v>0.54909219999999903</v>
      </c>
      <c r="F838" t="s">
        <v>38</v>
      </c>
      <c r="G838">
        <v>-318.65210000000002</v>
      </c>
      <c r="H838">
        <v>1.029962</v>
      </c>
      <c r="I838">
        <v>368.76089999999999</v>
      </c>
      <c r="J838">
        <v>-319.41750000000002</v>
      </c>
      <c r="K838">
        <v>1.101197</v>
      </c>
      <c r="L838">
        <v>368.80090000000001</v>
      </c>
      <c r="M838">
        <v>0.99979769999999901</v>
      </c>
      <c r="N838">
        <v>0</v>
      </c>
      <c r="O838">
        <v>1.41005E-2</v>
      </c>
      <c r="P838">
        <v>0.99626930000000002</v>
      </c>
      <c r="Q838">
        <v>4.9837830000000003E-3</v>
      </c>
      <c r="R838">
        <v>8.6156239999999995E-2</v>
      </c>
      <c r="S838">
        <v>3.0231629999999998</v>
      </c>
      <c r="T838">
        <v>-0.2205696</v>
      </c>
      <c r="U838">
        <v>-0.1137695</v>
      </c>
      <c r="V838">
        <v>-7.2030410000000003E-2</v>
      </c>
      <c r="W838">
        <v>1.955606E-2</v>
      </c>
      <c r="X838">
        <v>0.99721070000000001</v>
      </c>
      <c r="Y838">
        <v>5.1520030000000001E-2</v>
      </c>
      <c r="Z838">
        <v>-2.9034829999999901E-3</v>
      </c>
      <c r="AA838">
        <v>0.99866769999999905</v>
      </c>
      <c r="AB838">
        <v>38</v>
      </c>
      <c r="AC838">
        <v>0.76539999999999897</v>
      </c>
      <c r="AD838">
        <v>-7.1234999999999896E-2</v>
      </c>
      <c r="AE838">
        <v>-4.0000000000020401E-2</v>
      </c>
      <c r="AF838">
        <v>5.0354679589700101E-2</v>
      </c>
      <c r="AG838">
        <v>-7.1234999999999896E-2</v>
      </c>
      <c r="AH838">
        <v>0.75821020814991802</v>
      </c>
      <c r="AI838">
        <v>95.3555415289173</v>
      </c>
      <c r="AJ838">
        <v>86.200420329692093</v>
      </c>
      <c r="AK838">
        <v>0.763212119089001</v>
      </c>
    </row>
    <row r="839" spans="1:37" x14ac:dyDescent="0.2">
      <c r="A839" t="str">
        <f>"20200111155809315"</f>
        <v>20200111155809315</v>
      </c>
      <c r="B839" t="str">
        <f>"1578729489312001"</f>
        <v>1578729489312001</v>
      </c>
      <c r="C839" t="s">
        <v>37</v>
      </c>
      <c r="D839">
        <v>6.0239570000000002</v>
      </c>
      <c r="E839">
        <v>0.54899370000000003</v>
      </c>
      <c r="F839" t="s">
        <v>38</v>
      </c>
      <c r="G839">
        <v>-318.64299999999997</v>
      </c>
      <c r="H839">
        <v>1.0441149999999999</v>
      </c>
      <c r="I839">
        <v>368.76960000000003</v>
      </c>
      <c r="J839">
        <v>-319.19299999999998</v>
      </c>
      <c r="K839">
        <v>1.100633</v>
      </c>
      <c r="L839">
        <v>368.80340000000001</v>
      </c>
      <c r="M839">
        <v>0.99979949999999995</v>
      </c>
      <c r="N839">
        <v>0</v>
      </c>
      <c r="O839">
        <v>1.321197E-2</v>
      </c>
      <c r="P839">
        <v>0.99643400000000004</v>
      </c>
      <c r="Q839">
        <v>4.2356870000000001E-3</v>
      </c>
      <c r="R839">
        <v>8.4270049999999999E-2</v>
      </c>
      <c r="S839">
        <v>3.0228579999999998</v>
      </c>
      <c r="T839">
        <v>-0.223</v>
      </c>
      <c r="U839">
        <v>-0.1210632</v>
      </c>
      <c r="V839">
        <v>-7.1024760000000006E-2</v>
      </c>
      <c r="W839">
        <v>1.9506470000000001E-2</v>
      </c>
      <c r="X839">
        <v>0.99728379999999905</v>
      </c>
      <c r="Y839">
        <v>5.3036809999999997E-2</v>
      </c>
      <c r="Z839">
        <v>-2.9259679999999902E-3</v>
      </c>
      <c r="AA839">
        <v>0.99858829999999998</v>
      </c>
      <c r="AB839">
        <v>38</v>
      </c>
      <c r="AC839">
        <v>0.55000000000001104</v>
      </c>
      <c r="AD839">
        <v>-5.6517999999999999E-2</v>
      </c>
      <c r="AE839">
        <v>-3.3799999999985099E-2</v>
      </c>
      <c r="AF839">
        <v>4.06369591933348E-2</v>
      </c>
      <c r="AG839">
        <v>-5.6517999999999999E-2</v>
      </c>
      <c r="AH839">
        <v>0.54378481385270505</v>
      </c>
      <c r="AI839">
        <v>95.917320847921104</v>
      </c>
      <c r="AJ839">
        <v>85.726238686530394</v>
      </c>
      <c r="AK839">
        <v>0.54822219086179103</v>
      </c>
    </row>
    <row r="840" spans="1:37" x14ac:dyDescent="0.2">
      <c r="A840" t="str">
        <f>"20200111155809329"</f>
        <v>20200111155809329</v>
      </c>
      <c r="B840" t="str">
        <f>"1578729489321760"</f>
        <v>1578729489321760</v>
      </c>
      <c r="C840" t="s">
        <v>37</v>
      </c>
      <c r="D840">
        <v>6.0505389999999997</v>
      </c>
      <c r="E840">
        <v>0.54881499999999905</v>
      </c>
      <c r="F840" t="s">
        <v>38</v>
      </c>
      <c r="G840">
        <v>-318.31</v>
      </c>
      <c r="H840">
        <v>1.0344899999999999</v>
      </c>
      <c r="I840">
        <v>368.76659999999998</v>
      </c>
      <c r="J840">
        <v>-318.96690000000001</v>
      </c>
      <c r="K840">
        <v>1.100009</v>
      </c>
      <c r="L840">
        <v>368.80579999999998</v>
      </c>
      <c r="M840">
        <v>0.99979759999999995</v>
      </c>
      <c r="N840">
        <v>0</v>
      </c>
      <c r="O840">
        <v>1.235787E-2</v>
      </c>
      <c r="P840">
        <v>0.99660339999999903</v>
      </c>
      <c r="Q840">
        <v>3.3241579999999998E-3</v>
      </c>
      <c r="R840">
        <v>8.2286070000000003E-2</v>
      </c>
      <c r="S840">
        <v>3.0223390000000001</v>
      </c>
      <c r="T840">
        <v>-0.22639780000000001</v>
      </c>
      <c r="U840">
        <v>-0.12606809999999999</v>
      </c>
      <c r="V840">
        <v>-6.9887309999999994E-2</v>
      </c>
      <c r="W840">
        <v>1.9440209999999999E-2</v>
      </c>
      <c r="X840">
        <v>0.99736550000000002</v>
      </c>
      <c r="Y840">
        <v>5.3836210000000002E-2</v>
      </c>
      <c r="Z840">
        <v>-2.9368609999999998E-3</v>
      </c>
      <c r="AA840">
        <v>0.99854549999999997</v>
      </c>
      <c r="AB840">
        <v>38</v>
      </c>
      <c r="AC840">
        <v>0.65690000000000703</v>
      </c>
      <c r="AD840">
        <v>-6.5519000000000105E-2</v>
      </c>
      <c r="AE840">
        <v>-3.9199999999993899E-2</v>
      </c>
      <c r="AF840">
        <v>4.6851488875590402E-2</v>
      </c>
      <c r="AG840">
        <v>-6.5519000000000105E-2</v>
      </c>
      <c r="AH840">
        <v>0.64992284208770901</v>
      </c>
      <c r="AI840">
        <v>95.741764120537098</v>
      </c>
      <c r="AJ840">
        <v>85.876807366642794</v>
      </c>
      <c r="AK840">
        <v>0.65489503131282401</v>
      </c>
    </row>
    <row r="841" spans="1:37" x14ac:dyDescent="0.2">
      <c r="A841" t="str">
        <f>"20200111155809340"</f>
        <v>20200111155809340</v>
      </c>
      <c r="B841" t="str">
        <f>"1578729489331521"</f>
        <v>1578729489331521</v>
      </c>
      <c r="C841" t="s">
        <v>37</v>
      </c>
      <c r="D841">
        <v>5.9993119999999998</v>
      </c>
      <c r="E841">
        <v>0.54878879999999997</v>
      </c>
      <c r="F841" t="s">
        <v>38</v>
      </c>
      <c r="G841">
        <v>-317.97609999999997</v>
      </c>
      <c r="H841">
        <v>1.024691</v>
      </c>
      <c r="I841">
        <v>368.76249999999999</v>
      </c>
      <c r="J841">
        <v>-318.75940000000003</v>
      </c>
      <c r="K841">
        <v>1.099386</v>
      </c>
      <c r="L841">
        <v>368.80779999999999</v>
      </c>
      <c r="M841">
        <v>0.99979039999999997</v>
      </c>
      <c r="N841">
        <v>0</v>
      </c>
      <c r="O841">
        <v>1.160921E-2</v>
      </c>
      <c r="P841">
        <v>0.99675239999999998</v>
      </c>
      <c r="Q841">
        <v>2.6225620000000002E-3</v>
      </c>
      <c r="R841">
        <v>8.0484040000000007E-2</v>
      </c>
      <c r="S841">
        <v>3.0217900000000002</v>
      </c>
      <c r="T841">
        <v>-0.22991039999999999</v>
      </c>
      <c r="U841">
        <v>-0.1307373</v>
      </c>
      <c r="V841">
        <v>-6.882634E-2</v>
      </c>
      <c r="W841">
        <v>1.9719099999999899E-2</v>
      </c>
      <c r="X841">
        <v>0.99743379999999904</v>
      </c>
      <c r="Y841">
        <v>5.4630419999999999E-2</v>
      </c>
      <c r="Z841">
        <v>-2.95605E-3</v>
      </c>
      <c r="AA841">
        <v>0.99850229999999995</v>
      </c>
      <c r="AB841">
        <v>38</v>
      </c>
      <c r="AC841">
        <v>0.78330000000005295</v>
      </c>
      <c r="AD841">
        <v>-7.46949999999999E-2</v>
      </c>
      <c r="AE841">
        <v>-4.5299999999997398E-2</v>
      </c>
      <c r="AF841">
        <v>5.3903203833991803E-2</v>
      </c>
      <c r="AG841">
        <v>-7.46949999999999E-2</v>
      </c>
      <c r="AH841">
        <v>0.77569106245670505</v>
      </c>
      <c r="AI841">
        <v>95.4871737749652</v>
      </c>
      <c r="AJ841">
        <v>86.024874704525601</v>
      </c>
      <c r="AK841">
        <v>0.78114116700106195</v>
      </c>
    </row>
    <row r="842" spans="1:37" x14ac:dyDescent="0.2">
      <c r="A842" t="str">
        <f>"20200111155809358"</f>
        <v>20200111155809358</v>
      </c>
      <c r="B842" t="str">
        <f>"1578729489352016"</f>
        <v>1578729489352016</v>
      </c>
      <c r="C842" t="s">
        <v>37</v>
      </c>
      <c r="D842">
        <v>6.0708159999999998</v>
      </c>
      <c r="E842">
        <v>0.54863519999999999</v>
      </c>
      <c r="F842" t="s">
        <v>38</v>
      </c>
      <c r="G842">
        <v>-317.96809999999999</v>
      </c>
      <c r="H842">
        <v>1.0384420000000001</v>
      </c>
      <c r="I842">
        <v>368.77179999999998</v>
      </c>
      <c r="J842">
        <v>-318.47219999999999</v>
      </c>
      <c r="K842">
        <v>1.0984209999999901</v>
      </c>
      <c r="L842">
        <v>368.81020000000001</v>
      </c>
      <c r="M842">
        <v>0.9997798</v>
      </c>
      <c r="N842">
        <v>0</v>
      </c>
      <c r="O842">
        <v>1.0461130000000001E-2</v>
      </c>
      <c r="P842">
        <v>0.99694579999999999</v>
      </c>
      <c r="Q842">
        <v>1.6804649999999999E-3</v>
      </c>
      <c r="R842">
        <v>7.8077069999999998E-2</v>
      </c>
      <c r="S842">
        <v>3.0213930000000002</v>
      </c>
      <c r="T842">
        <v>-0.23294429999999899</v>
      </c>
      <c r="U842">
        <v>-0.13598629999999901</v>
      </c>
      <c r="V842">
        <v>-6.7560159999999994E-2</v>
      </c>
      <c r="W842">
        <v>2.0106220000000001E-2</v>
      </c>
      <c r="X842">
        <v>0.99751259999999997</v>
      </c>
      <c r="Y842">
        <v>5.5217589999999997E-2</v>
      </c>
      <c r="Z842">
        <v>-2.9294719999999998E-3</v>
      </c>
      <c r="AA842">
        <v>0.99847009999999903</v>
      </c>
      <c r="AB842">
        <v>38</v>
      </c>
      <c r="AC842">
        <v>0.504099999999994</v>
      </c>
      <c r="AD842">
        <v>-5.9978999999999699E-2</v>
      </c>
      <c r="AE842">
        <v>-3.8400000000024102E-2</v>
      </c>
      <c r="AF842">
        <v>4.3066066217665698E-2</v>
      </c>
      <c r="AG842">
        <v>-5.9978999999999699E-2</v>
      </c>
      <c r="AH842">
        <v>0.49667980285621299</v>
      </c>
      <c r="AI842">
        <v>96.860196751782993</v>
      </c>
      <c r="AJ842">
        <v>85.044397241908499</v>
      </c>
      <c r="AK842">
        <v>0.50213842022469302</v>
      </c>
    </row>
    <row r="843" spans="1:37" x14ac:dyDescent="0.2">
      <c r="A843" t="str">
        <f>"20200111155809384"</f>
        <v>20200111155809384</v>
      </c>
      <c r="B843" t="str">
        <f>"1578729489382273"</f>
        <v>1578729489382273</v>
      </c>
      <c r="C843" t="s">
        <v>37</v>
      </c>
      <c r="D843">
        <v>6.0019549999999997</v>
      </c>
      <c r="E843">
        <v>0.54847129999999999</v>
      </c>
      <c r="F843" t="s">
        <v>38</v>
      </c>
      <c r="G843">
        <v>-317.63279999999997</v>
      </c>
      <c r="H843">
        <v>1.0336259999999999</v>
      </c>
      <c r="I843">
        <v>368.77069999999998</v>
      </c>
      <c r="J843">
        <v>-318.02800000000002</v>
      </c>
      <c r="K843">
        <v>1.0966209999999901</v>
      </c>
      <c r="L843">
        <v>368.8134</v>
      </c>
      <c r="M843">
        <v>0.99976239999999905</v>
      </c>
      <c r="N843">
        <v>0</v>
      </c>
      <c r="O843">
        <v>8.4813590000000008E-3</v>
      </c>
      <c r="P843">
        <v>0.99708909999999995</v>
      </c>
      <c r="Q843">
        <v>4.8102250000000001E-4</v>
      </c>
      <c r="R843">
        <v>7.6247300000000004E-2</v>
      </c>
      <c r="S843">
        <v>3.0206909999999998</v>
      </c>
      <c r="T843">
        <v>-0.23322489999999901</v>
      </c>
      <c r="U843">
        <v>-0.1419067</v>
      </c>
      <c r="V843">
        <v>-6.7700940000000001E-2</v>
      </c>
      <c r="W843">
        <v>2.0804159999999999E-2</v>
      </c>
      <c r="X843">
        <v>0.99748869999999901</v>
      </c>
      <c r="Y843">
        <v>5.5209370000000001E-2</v>
      </c>
      <c r="Z843">
        <v>-2.780664E-3</v>
      </c>
      <c r="AA843">
        <v>0.99847090000000005</v>
      </c>
      <c r="AB843">
        <v>38</v>
      </c>
      <c r="AC843">
        <v>0.39520000000004502</v>
      </c>
      <c r="AD843">
        <v>-6.2994999999999898E-2</v>
      </c>
      <c r="AE843">
        <v>-4.2700000000024801E-2</v>
      </c>
      <c r="AF843">
        <v>4.4922726651486701E-2</v>
      </c>
      <c r="AG843">
        <v>-6.2994999999999898E-2</v>
      </c>
      <c r="AH843">
        <v>0.38515040053320498</v>
      </c>
      <c r="AI843">
        <v>99.227550765023693</v>
      </c>
      <c r="AJ843">
        <v>83.347260805626405</v>
      </c>
      <c r="AK843">
        <v>0.39284507433044502</v>
      </c>
    </row>
    <row r="844" spans="1:37" x14ac:dyDescent="0.2">
      <c r="A844" t="str">
        <f>"20200111155809401"</f>
        <v>20200111155809401</v>
      </c>
      <c r="B844" t="str">
        <f>"1578729489392032"</f>
        <v>1578729489392032</v>
      </c>
      <c r="C844" t="s">
        <v>37</v>
      </c>
      <c r="D844">
        <v>6.0052099999999999</v>
      </c>
      <c r="E844">
        <v>0.54862100000000003</v>
      </c>
      <c r="F844" t="s">
        <v>38</v>
      </c>
      <c r="G844">
        <v>-317.28769999999997</v>
      </c>
      <c r="H844">
        <v>1.0390539999999999</v>
      </c>
      <c r="I844">
        <v>368.77719999999999</v>
      </c>
      <c r="J844">
        <v>-317.73930000000001</v>
      </c>
      <c r="K844">
        <v>1.0951249999999999</v>
      </c>
      <c r="L844">
        <v>368.81490000000002</v>
      </c>
      <c r="M844">
        <v>0.99975170000000002</v>
      </c>
      <c r="N844">
        <v>0</v>
      </c>
      <c r="O844">
        <v>7.1245669999999896E-3</v>
      </c>
      <c r="P844">
        <v>0.99712959999999995</v>
      </c>
      <c r="Q844">
        <v>-3.4384800000000001E-4</v>
      </c>
      <c r="R844">
        <v>7.5715470000000007E-2</v>
      </c>
      <c r="S844">
        <v>3.0200809999999998</v>
      </c>
      <c r="T844">
        <v>-0.23507059999999999</v>
      </c>
      <c r="U844">
        <v>-0.14639279999999999</v>
      </c>
      <c r="V844">
        <v>-6.8519179999999999E-2</v>
      </c>
      <c r="W844">
        <v>2.101631E-2</v>
      </c>
      <c r="X844">
        <v>0.99742839999999999</v>
      </c>
      <c r="Y844">
        <v>5.534435E-2</v>
      </c>
      <c r="Z844">
        <v>-2.7029089999999999E-3</v>
      </c>
      <c r="AA844">
        <v>0.99846369999999895</v>
      </c>
      <c r="AB844">
        <v>38</v>
      </c>
      <c r="AC844">
        <v>0.45160000000004102</v>
      </c>
      <c r="AD844">
        <v>-5.6070999999999697E-2</v>
      </c>
      <c r="AE844">
        <v>-3.77000000000293E-2</v>
      </c>
      <c r="AF844">
        <v>4.0300249839533897E-2</v>
      </c>
      <c r="AG844">
        <v>-5.6070999999999697E-2</v>
      </c>
      <c r="AH844">
        <v>0.44451471087615202</v>
      </c>
      <c r="AI844">
        <v>97.160248934644898</v>
      </c>
      <c r="AJ844">
        <v>84.819656462881696</v>
      </c>
      <c r="AK844">
        <v>0.44984596848636799</v>
      </c>
    </row>
    <row r="845" spans="1:37" x14ac:dyDescent="0.2">
      <c r="A845" t="str">
        <f>"20200111155809417"</f>
        <v>20200111155809417</v>
      </c>
      <c r="B845" t="str">
        <f>"1578729489412529"</f>
        <v>1578729489412529</v>
      </c>
      <c r="C845" t="s">
        <v>37</v>
      </c>
      <c r="D845">
        <v>5.8712720000000003</v>
      </c>
      <c r="E845">
        <v>0.57832859999999997</v>
      </c>
      <c r="F845" t="s">
        <v>38</v>
      </c>
      <c r="G845">
        <v>-316.95339999999999</v>
      </c>
      <c r="H845">
        <v>1.0332159999999999</v>
      </c>
      <c r="I845">
        <v>368.77589999999998</v>
      </c>
      <c r="J845">
        <v>-317.48480000000001</v>
      </c>
      <c r="K845">
        <v>1.093626</v>
      </c>
      <c r="L845">
        <v>368.8159</v>
      </c>
      <c r="M845">
        <v>0.99974269999999998</v>
      </c>
      <c r="N845">
        <v>0</v>
      </c>
      <c r="O845">
        <v>5.9694780000000003E-3</v>
      </c>
      <c r="P845">
        <v>0.99717440000000002</v>
      </c>
      <c r="Q845">
        <v>-9.3742830000000002E-4</v>
      </c>
      <c r="R845">
        <v>7.5116390000000005E-2</v>
      </c>
      <c r="S845">
        <v>3.0198669999999899</v>
      </c>
      <c r="T845">
        <v>-0.23797460000000001</v>
      </c>
      <c r="U845">
        <v>-0.14920039999999901</v>
      </c>
      <c r="V845">
        <v>-6.9067749999999997E-2</v>
      </c>
      <c r="W845">
        <v>2.1207480000000001E-2</v>
      </c>
      <c r="X845">
        <v>0.99738649999999995</v>
      </c>
      <c r="Y845">
        <v>5.5119920000000003E-2</v>
      </c>
      <c r="Z845">
        <v>-2.636659E-3</v>
      </c>
      <c r="AA845">
        <v>0.99847629999999998</v>
      </c>
      <c r="AB845">
        <v>38</v>
      </c>
      <c r="AC845">
        <v>0.53140000000001897</v>
      </c>
      <c r="AD845">
        <v>-6.0409999999999998E-2</v>
      </c>
      <c r="AE845">
        <v>-4.0000000000020401E-2</v>
      </c>
      <c r="AF845">
        <v>4.2624480552138001E-2</v>
      </c>
      <c r="AG845">
        <v>-6.0409999999999998E-2</v>
      </c>
      <c r="AH845">
        <v>0.52441271331755601</v>
      </c>
      <c r="AI845">
        <v>96.549841372626403</v>
      </c>
      <c r="AJ845">
        <v>85.353190618402806</v>
      </c>
      <c r="AK845">
        <v>0.52959881828740996</v>
      </c>
    </row>
    <row r="846" spans="1:37" x14ac:dyDescent="0.2">
      <c r="A846" t="str">
        <f>"20200111155809432"</f>
        <v>20200111155809432</v>
      </c>
      <c r="B846" t="str">
        <f>"1578729489422289"</f>
        <v>1578729489422289</v>
      </c>
      <c r="C846" t="s">
        <v>37</v>
      </c>
      <c r="D846">
        <v>5.7725929999999996</v>
      </c>
      <c r="E846">
        <v>0.58470089999999997</v>
      </c>
      <c r="F846" t="s">
        <v>38</v>
      </c>
      <c r="G846">
        <v>-316.61630000000002</v>
      </c>
      <c r="H846">
        <v>1.0280910000000001</v>
      </c>
      <c r="I846">
        <v>368.7047</v>
      </c>
      <c r="J846">
        <v>-317.23039999999997</v>
      </c>
      <c r="K846">
        <v>1.0919989999999999</v>
      </c>
      <c r="L846">
        <v>368.81670000000003</v>
      </c>
      <c r="M846">
        <v>0.99973419999999902</v>
      </c>
      <c r="N846">
        <v>0</v>
      </c>
      <c r="O846">
        <v>4.8608000000000002E-3</v>
      </c>
      <c r="P846">
        <v>0.99721539999999997</v>
      </c>
      <c r="Q846">
        <v>-1.264816E-3</v>
      </c>
      <c r="R846">
        <v>7.4564889999999995E-2</v>
      </c>
      <c r="S846">
        <v>3.0374759999999998</v>
      </c>
      <c r="T846">
        <v>-0.22945760000000001</v>
      </c>
      <c r="U846">
        <v>-0.38778689999999999</v>
      </c>
      <c r="V846">
        <v>-6.9615579999999996E-2</v>
      </c>
      <c r="W846">
        <v>2.1548810000000002E-2</v>
      </c>
      <c r="X846">
        <v>0.99734109999999998</v>
      </c>
      <c r="Y846">
        <v>0.1310799</v>
      </c>
      <c r="Z846">
        <v>-5.2894069999999899E-3</v>
      </c>
      <c r="AA846">
        <v>0.99135769999999901</v>
      </c>
      <c r="AB846">
        <v>38</v>
      </c>
      <c r="AC846">
        <v>0.61409999999995002</v>
      </c>
      <c r="AD846">
        <v>-6.3907999999999798E-2</v>
      </c>
      <c r="AE846">
        <v>-0.112000000000023</v>
      </c>
      <c r="AF846">
        <v>0.113791748925301</v>
      </c>
      <c r="AG846">
        <v>-6.3907999999999798E-2</v>
      </c>
      <c r="AH846">
        <v>0.60718402272710403</v>
      </c>
      <c r="AI846">
        <v>95.906354973131499</v>
      </c>
      <c r="AJ846">
        <v>79.385381791344102</v>
      </c>
      <c r="AK846">
        <v>0.62105171446711904</v>
      </c>
    </row>
    <row r="847" spans="1:37" x14ac:dyDescent="0.2">
      <c r="A847" t="str">
        <f>"20200111155809446"</f>
        <v>20200111155809446</v>
      </c>
      <c r="B847" t="str">
        <f>"1578729489441808"</f>
        <v>1578729489441808</v>
      </c>
      <c r="C847" t="s">
        <v>37</v>
      </c>
      <c r="D847">
        <v>7.9893960000000002</v>
      </c>
      <c r="E847">
        <v>0.5891729</v>
      </c>
      <c r="F847" t="s">
        <v>41</v>
      </c>
      <c r="G847">
        <v>-301.93079999999998</v>
      </c>
      <c r="H847">
        <v>-0.05</v>
      </c>
      <c r="I847">
        <v>366.60050000000001</v>
      </c>
      <c r="J847">
        <v>-316.99180000000001</v>
      </c>
      <c r="K847">
        <v>1.0903750000000001</v>
      </c>
      <c r="L847">
        <v>368.81709999999998</v>
      </c>
      <c r="M847">
        <v>0.99972700000000003</v>
      </c>
      <c r="N847">
        <v>0</v>
      </c>
      <c r="O847">
        <v>3.8612239999999999E-3</v>
      </c>
      <c r="P847">
        <v>0.99720949999999997</v>
      </c>
      <c r="Q847">
        <v>-1.9241519999999999E-3</v>
      </c>
      <c r="R847">
        <v>7.4630119999999994E-2</v>
      </c>
      <c r="S847">
        <v>3.0410459999999899</v>
      </c>
      <c r="T847">
        <v>-0.2269909</v>
      </c>
      <c r="U847">
        <v>-0.44049070000000001</v>
      </c>
      <c r="V847">
        <v>-7.0673410000000006E-2</v>
      </c>
      <c r="W847">
        <v>2.1416279999999999E-2</v>
      </c>
      <c r="X847">
        <v>0.99726959999999998</v>
      </c>
      <c r="Y847">
        <v>0.14676320000000001</v>
      </c>
      <c r="Z847">
        <v>-5.7279089999999998E-3</v>
      </c>
      <c r="AA847">
        <v>0.98915509999999995</v>
      </c>
      <c r="AB847">
        <v>38</v>
      </c>
      <c r="AC847">
        <v>15.061</v>
      </c>
      <c r="AD847">
        <v>-1.1403749999999999</v>
      </c>
      <c r="AE847">
        <v>-2.2165999999999699</v>
      </c>
      <c r="AF847">
        <v>2.2620591985572598</v>
      </c>
      <c r="AG847">
        <v>-1.1403749999999999</v>
      </c>
      <c r="AH847">
        <v>14.9683313841168</v>
      </c>
      <c r="AI847">
        <v>94.307983067692803</v>
      </c>
      <c r="AJ847">
        <v>81.406317279191896</v>
      </c>
      <c r="AK847">
        <v>15.181182805800701</v>
      </c>
    </row>
    <row r="848" spans="1:37" x14ac:dyDescent="0.2">
      <c r="A848" t="str">
        <f>"20200111155809459"</f>
        <v>20200111155809459</v>
      </c>
      <c r="B848" t="str">
        <f>"1578729489451570"</f>
        <v>1578729489451570</v>
      </c>
      <c r="C848" t="s">
        <v>37</v>
      </c>
      <c r="D848">
        <v>8.0150729999999992</v>
      </c>
      <c r="E848">
        <v>0.591395</v>
      </c>
      <c r="F848" t="s">
        <v>41</v>
      </c>
      <c r="G848">
        <v>-299.87509999999997</v>
      </c>
      <c r="H848">
        <v>-0.05</v>
      </c>
      <c r="I848">
        <v>366.13499999999999</v>
      </c>
      <c r="J848">
        <v>-316.76209999999998</v>
      </c>
      <c r="K848">
        <v>1.0887119999999999</v>
      </c>
      <c r="L848">
        <v>368.81699999999898</v>
      </c>
      <c r="M848">
        <v>0.99972240000000001</v>
      </c>
      <c r="N848">
        <v>0</v>
      </c>
      <c r="O848">
        <v>2.9300429999999998E-3</v>
      </c>
      <c r="P848">
        <v>0.99724439999999903</v>
      </c>
      <c r="Q848">
        <v>-2.1114850000000002E-3</v>
      </c>
      <c r="R848">
        <v>7.4159849999999999E-2</v>
      </c>
      <c r="S848">
        <v>3.043701</v>
      </c>
      <c r="T848">
        <v>-0.2027823</v>
      </c>
      <c r="U848">
        <v>-0.47692869999999998</v>
      </c>
      <c r="V848">
        <v>-7.1126830000000002E-2</v>
      </c>
      <c r="W848">
        <v>2.1575509999999999E-2</v>
      </c>
      <c r="X848">
        <v>0.99723390000000001</v>
      </c>
      <c r="Y848">
        <v>0.15735270000000001</v>
      </c>
      <c r="Z848">
        <v>-5.3981309999999996E-3</v>
      </c>
      <c r="AA848">
        <v>0.98752770000000001</v>
      </c>
      <c r="AB848">
        <v>38</v>
      </c>
      <c r="AC848">
        <v>16.887</v>
      </c>
      <c r="AD848">
        <v>-1.1387119999999999</v>
      </c>
      <c r="AE848">
        <v>-2.6819999999999502</v>
      </c>
      <c r="AF848">
        <v>2.71942072324065</v>
      </c>
      <c r="AG848">
        <v>-1.1387119999999999</v>
      </c>
      <c r="AH848">
        <v>16.804537035420601</v>
      </c>
      <c r="AI848">
        <v>93.826925807504395</v>
      </c>
      <c r="AJ848">
        <v>80.807709345034198</v>
      </c>
      <c r="AK848">
        <v>17.061195124133501</v>
      </c>
    </row>
    <row r="849" spans="1:37" x14ac:dyDescent="0.2">
      <c r="A849" t="str">
        <f>"20200111155809475"</f>
        <v>20200111155809475</v>
      </c>
      <c r="B849" t="str">
        <f>"1578729489472065"</f>
        <v>1578729489472065</v>
      </c>
      <c r="C849" t="s">
        <v>37</v>
      </c>
      <c r="D849">
        <v>5.7630619999999997</v>
      </c>
      <c r="E849">
        <v>0.59548040000000002</v>
      </c>
      <c r="F849" t="s">
        <v>41</v>
      </c>
      <c r="G849">
        <v>-297.18329999999997</v>
      </c>
      <c r="H849">
        <v>-0.05</v>
      </c>
      <c r="I849">
        <v>365.61989999999997</v>
      </c>
      <c r="J849">
        <v>-316.5163</v>
      </c>
      <c r="K849">
        <v>1.0868850000000001</v>
      </c>
      <c r="L849">
        <v>368.81670000000003</v>
      </c>
      <c r="M849">
        <v>0.99971929999999998</v>
      </c>
      <c r="N849">
        <v>0</v>
      </c>
      <c r="O849">
        <v>1.9277859999999999E-3</v>
      </c>
      <c r="P849">
        <v>0.9972936</v>
      </c>
      <c r="Q849">
        <v>-2.8626749999999999E-3</v>
      </c>
      <c r="R849">
        <v>7.3467309999999994E-2</v>
      </c>
      <c r="S849">
        <v>3.0448909999999998</v>
      </c>
      <c r="T849">
        <v>-0.17709259999999999</v>
      </c>
      <c r="U849">
        <v>-0.49722290000000002</v>
      </c>
      <c r="V849">
        <v>-7.1432860000000001E-2</v>
      </c>
      <c r="W849">
        <v>2.1075900000000002E-2</v>
      </c>
      <c r="X849">
        <v>0.99722269999999902</v>
      </c>
      <c r="Y849">
        <v>0.16279440000000001</v>
      </c>
      <c r="Z849">
        <v>-4.8103959999999998E-3</v>
      </c>
      <c r="AA849">
        <v>0.98664830000000003</v>
      </c>
      <c r="AB849">
        <v>38</v>
      </c>
      <c r="AC849">
        <v>19.332999999999998</v>
      </c>
      <c r="AD849">
        <v>-1.1368849999999999</v>
      </c>
      <c r="AE849">
        <v>-3.1968000000000498</v>
      </c>
      <c r="AF849">
        <v>3.2232248298249901</v>
      </c>
      <c r="AG849">
        <v>-1.1368849999999999</v>
      </c>
      <c r="AH849">
        <v>19.261963023004199</v>
      </c>
      <c r="AI849">
        <v>93.331592797650103</v>
      </c>
      <c r="AJ849">
        <v>80.500353932120603</v>
      </c>
      <c r="AK849">
        <v>19.562845020763401</v>
      </c>
    </row>
    <row r="850" spans="1:37" x14ac:dyDescent="0.2">
      <c r="A850" t="str">
        <f>"20200111155809489"</f>
        <v>20200111155809489</v>
      </c>
      <c r="B850" t="str">
        <f>"1578729489481824"</f>
        <v>1578729489481824</v>
      </c>
      <c r="C850" t="s">
        <v>37</v>
      </c>
      <c r="D850">
        <v>5.7602820000000001</v>
      </c>
      <c r="E850">
        <v>0.59594040000000004</v>
      </c>
      <c r="F850" t="s">
        <v>41</v>
      </c>
      <c r="G850">
        <v>-291.3965</v>
      </c>
      <c r="H850">
        <v>-0.05</v>
      </c>
      <c r="I850">
        <v>364.41629999999998</v>
      </c>
      <c r="J850">
        <v>-316.26870000000002</v>
      </c>
      <c r="K850">
        <v>1.0849979999999999</v>
      </c>
      <c r="L850">
        <v>368.81619999999998</v>
      </c>
      <c r="M850">
        <v>0.99971739999999998</v>
      </c>
      <c r="N850">
        <v>0</v>
      </c>
      <c r="O850">
        <v>9.4125759999999904E-4</v>
      </c>
      <c r="P850">
        <v>0.99734679999999998</v>
      </c>
      <c r="Q850">
        <v>-2.9608830000000001E-3</v>
      </c>
      <c r="R850">
        <v>7.2737549999999998E-2</v>
      </c>
      <c r="S850">
        <v>3.0470579999999998</v>
      </c>
      <c r="T850">
        <v>-0.13790549999999999</v>
      </c>
      <c r="U850">
        <v>-0.53378300000000001</v>
      </c>
      <c r="V850">
        <v>-7.1683849999999993E-2</v>
      </c>
      <c r="W850">
        <v>2.1126909999999999E-2</v>
      </c>
      <c r="X850">
        <v>0.99720359999999997</v>
      </c>
      <c r="Y850">
        <v>0.173306399999999</v>
      </c>
      <c r="Z850">
        <v>-3.9324889999999999E-3</v>
      </c>
      <c r="AA850">
        <v>0.98486010000000002</v>
      </c>
      <c r="AB850">
        <v>37</v>
      </c>
      <c r="AC850">
        <v>24.872199999999999</v>
      </c>
      <c r="AD850">
        <v>-1.134998</v>
      </c>
      <c r="AE850">
        <v>-4.3998999999999997</v>
      </c>
      <c r="AF850">
        <v>4.4144022419548499</v>
      </c>
      <c r="AG850">
        <v>-1.134998</v>
      </c>
      <c r="AH850">
        <v>24.817933986244899</v>
      </c>
      <c r="AI850">
        <v>92.5780726444751</v>
      </c>
      <c r="AJ850">
        <v>79.914198745184507</v>
      </c>
      <c r="AK850">
        <v>25.233014385114402</v>
      </c>
    </row>
    <row r="851" spans="1:37" x14ac:dyDescent="0.2">
      <c r="A851" t="str">
        <f>"20200111155809500"</f>
        <v>20200111155809500</v>
      </c>
      <c r="B851" t="str">
        <f>"1578729489491585"</f>
        <v>1578729489491585</v>
      </c>
      <c r="C851" t="s">
        <v>37</v>
      </c>
      <c r="D851">
        <v>5.7833930000000002</v>
      </c>
      <c r="E851">
        <v>0.59657510000000002</v>
      </c>
      <c r="F851" t="s">
        <v>41</v>
      </c>
      <c r="G851">
        <v>-292.62400000000002</v>
      </c>
      <c r="H851">
        <v>-0.05</v>
      </c>
      <c r="I851">
        <v>364.63119999999998</v>
      </c>
      <c r="J851">
        <v>-316.0659</v>
      </c>
      <c r="K851">
        <v>1.08342</v>
      </c>
      <c r="L851">
        <v>368.81549999999999</v>
      </c>
      <c r="M851">
        <v>0.99971690000000002</v>
      </c>
      <c r="N851">
        <v>0</v>
      </c>
      <c r="O851">
        <v>1.9026150000000001E-4</v>
      </c>
      <c r="P851">
        <v>0.99737319999999996</v>
      </c>
      <c r="Q851">
        <v>-3.6890079999999902E-3</v>
      </c>
      <c r="R851">
        <v>7.2342600000000007E-2</v>
      </c>
      <c r="S851">
        <v>3.0468439999999899</v>
      </c>
      <c r="T851">
        <v>-0.14625529999999901</v>
      </c>
      <c r="U851">
        <v>-0.53927609999999904</v>
      </c>
      <c r="V851">
        <v>-7.2040549999999995E-2</v>
      </c>
      <c r="W851">
        <v>2.0448040000000001E-2</v>
      </c>
      <c r="X851">
        <v>0.99719210000000003</v>
      </c>
      <c r="Y851">
        <v>0.17427870000000001</v>
      </c>
      <c r="Z851">
        <v>-4.1573510000000001E-3</v>
      </c>
      <c r="AA851">
        <v>0.9846876</v>
      </c>
      <c r="AB851">
        <v>37</v>
      </c>
      <c r="AC851">
        <v>23.441899999999901</v>
      </c>
      <c r="AD851">
        <v>-1.1334200000000001</v>
      </c>
      <c r="AE851">
        <v>-4.1843000000000004</v>
      </c>
      <c r="AF851">
        <v>4.1792928538721403</v>
      </c>
      <c r="AG851">
        <v>-1.1334200000000001</v>
      </c>
      <c r="AH851">
        <v>23.388116138931299</v>
      </c>
      <c r="AI851">
        <v>92.731264477361407</v>
      </c>
      <c r="AJ851">
        <v>79.868577693765801</v>
      </c>
      <c r="AK851">
        <v>23.785607122437899</v>
      </c>
    </row>
    <row r="852" spans="1:37" x14ac:dyDescent="0.2">
      <c r="A852" t="str">
        <f>"20200111155809515"</f>
        <v>20200111155809515</v>
      </c>
      <c r="B852" t="str">
        <f>"1578729489501346"</f>
        <v>1578729489501346</v>
      </c>
      <c r="C852" t="s">
        <v>37</v>
      </c>
      <c r="D852">
        <v>7.7646550000000003</v>
      </c>
      <c r="E852">
        <v>0.59734569999999998</v>
      </c>
      <c r="F852" t="s">
        <v>41</v>
      </c>
      <c r="G852">
        <v>-293.7758</v>
      </c>
      <c r="H852">
        <v>-0.05</v>
      </c>
      <c r="I852">
        <v>364.8245</v>
      </c>
      <c r="J852">
        <v>-315.8476</v>
      </c>
      <c r="K852">
        <v>1.081728</v>
      </c>
      <c r="L852">
        <v>368.81450000000001</v>
      </c>
      <c r="M852">
        <v>0.99971650000000001</v>
      </c>
      <c r="N852">
        <v>0</v>
      </c>
      <c r="O852">
        <v>-6.1304510000000003E-4</v>
      </c>
      <c r="P852">
        <v>0.99744519999999903</v>
      </c>
      <c r="Q852">
        <v>-3.7050920000000001E-3</v>
      </c>
      <c r="R852">
        <v>7.1339390000000003E-2</v>
      </c>
      <c r="S852">
        <v>3.0469059999999999</v>
      </c>
      <c r="T852">
        <v>-0.15493119999999999</v>
      </c>
      <c r="U852">
        <v>-0.54553219999999902</v>
      </c>
      <c r="V852">
        <v>-7.1837999999999999E-2</v>
      </c>
      <c r="W852">
        <v>2.0439929999999999E-2</v>
      </c>
      <c r="X852">
        <v>0.99720689999999901</v>
      </c>
      <c r="Y852">
        <v>0.17541960000000001</v>
      </c>
      <c r="Z852">
        <v>-4.3910440000000002E-3</v>
      </c>
      <c r="AA852">
        <v>0.98448400000000003</v>
      </c>
      <c r="AB852">
        <v>37</v>
      </c>
      <c r="AC852">
        <v>22.0718</v>
      </c>
      <c r="AD852">
        <v>-1.1317280000000001</v>
      </c>
      <c r="AE852">
        <v>-3.99</v>
      </c>
      <c r="AF852">
        <v>3.9663663904221802</v>
      </c>
      <c r="AG852">
        <v>-1.1317280000000001</v>
      </c>
      <c r="AH852">
        <v>22.0181862498921</v>
      </c>
      <c r="AI852">
        <v>92.895866166217402</v>
      </c>
      <c r="AJ852">
        <v>79.788230787121606</v>
      </c>
      <c r="AK852">
        <v>22.401191850970601</v>
      </c>
    </row>
    <row r="853" spans="1:37" x14ac:dyDescent="0.2">
      <c r="A853" t="str">
        <f>"20200111155809528"</f>
        <v>20200111155809528</v>
      </c>
      <c r="B853" t="str">
        <f>"1578729489521927"</f>
        <v>1578729489521927</v>
      </c>
      <c r="C853" t="s">
        <v>37</v>
      </c>
      <c r="D853">
        <v>7.8453419999999996</v>
      </c>
      <c r="E853">
        <v>0.59817180000000003</v>
      </c>
      <c r="F853" t="s">
        <v>41</v>
      </c>
      <c r="G853">
        <v>-292.26170000000002</v>
      </c>
      <c r="H853">
        <v>-0.05</v>
      </c>
      <c r="I853">
        <v>364.51679999999999</v>
      </c>
      <c r="J853">
        <v>-315.6105</v>
      </c>
      <c r="K853">
        <v>1.079906</v>
      </c>
      <c r="L853">
        <v>368.81319999999999</v>
      </c>
      <c r="M853">
        <v>0.9997161</v>
      </c>
      <c r="N853">
        <v>0</v>
      </c>
      <c r="O853">
        <v>-1.5096669999999999E-3</v>
      </c>
      <c r="P853">
        <v>0.9975079</v>
      </c>
      <c r="Q853">
        <v>-3.7987250000000002E-3</v>
      </c>
      <c r="R853">
        <v>7.0453840000000004E-2</v>
      </c>
      <c r="S853">
        <v>3.0468139999999999</v>
      </c>
      <c r="T853">
        <v>-0.14619589999999999</v>
      </c>
      <c r="U853">
        <v>-0.5551758</v>
      </c>
      <c r="V853">
        <v>-7.1848629999999997E-2</v>
      </c>
      <c r="W853">
        <v>2.0320270000000001E-2</v>
      </c>
      <c r="X853">
        <v>0.99720849999999905</v>
      </c>
      <c r="Y853">
        <v>0.17758160000000001</v>
      </c>
      <c r="Z853">
        <v>-4.1514830000000001E-3</v>
      </c>
      <c r="AA853">
        <v>0.98409729999999995</v>
      </c>
      <c r="AB853">
        <v>37</v>
      </c>
      <c r="AC853">
        <v>23.348799999999901</v>
      </c>
      <c r="AD853">
        <v>-1.1299060000000001</v>
      </c>
      <c r="AE853">
        <v>-4.2964000000000002</v>
      </c>
      <c r="AF853">
        <v>4.2515059859530799</v>
      </c>
      <c r="AG853">
        <v>-1.1299060000000001</v>
      </c>
      <c r="AH853">
        <v>23.302478099824601</v>
      </c>
      <c r="AI853">
        <v>92.731009262858095</v>
      </c>
      <c r="AJ853">
        <v>79.660189441033296</v>
      </c>
      <c r="AK853">
        <v>23.714077597710599</v>
      </c>
    </row>
    <row r="854" spans="1:37" x14ac:dyDescent="0.2">
      <c r="A854" t="str">
        <f>"20200111155809542"</f>
        <v>20200111155809542</v>
      </c>
      <c r="B854" t="str">
        <f>"1578729489531686"</f>
        <v>1578729489531686</v>
      </c>
      <c r="C854" t="s">
        <v>37</v>
      </c>
      <c r="D854">
        <v>5.8122639999999999</v>
      </c>
      <c r="E854">
        <v>0.59840509999999902</v>
      </c>
      <c r="F854" t="s">
        <v>41</v>
      </c>
      <c r="G854">
        <v>-287.95049999999998</v>
      </c>
      <c r="H854">
        <v>-0.05</v>
      </c>
      <c r="I854">
        <v>363.68360000000001</v>
      </c>
      <c r="J854">
        <v>-315.38139999999999</v>
      </c>
      <c r="K854">
        <v>1.0781780000000001</v>
      </c>
      <c r="L854">
        <v>368.81180000000001</v>
      </c>
      <c r="M854">
        <v>0.99971580000000004</v>
      </c>
      <c r="N854">
        <v>0</v>
      </c>
      <c r="O854">
        <v>-2.4499449999999998E-3</v>
      </c>
      <c r="P854">
        <v>0.99758760000000002</v>
      </c>
      <c r="Q854">
        <v>-3.9515549999999998E-3</v>
      </c>
      <c r="R854">
        <v>6.9307190000000005E-2</v>
      </c>
      <c r="S854">
        <v>3.0469059999999999</v>
      </c>
      <c r="T854">
        <v>-0.1244653</v>
      </c>
      <c r="U854">
        <v>-0.56506350000000005</v>
      </c>
      <c r="V854">
        <v>-7.1644020000000003E-2</v>
      </c>
      <c r="W854">
        <v>2.0094299999999999E-2</v>
      </c>
      <c r="X854">
        <v>0.9972278</v>
      </c>
      <c r="Y854">
        <v>0.1797926</v>
      </c>
      <c r="Z854">
        <v>-3.5405009999999902E-3</v>
      </c>
      <c r="AA854">
        <v>0.98369819999999997</v>
      </c>
      <c r="AB854">
        <v>37</v>
      </c>
      <c r="AC854">
        <v>27.430900000000001</v>
      </c>
      <c r="AD854">
        <v>-1.1281779999999999</v>
      </c>
      <c r="AE854">
        <v>-5.1281999999999899</v>
      </c>
      <c r="AF854">
        <v>5.05270341403478</v>
      </c>
      <c r="AG854">
        <v>-1.1281779999999999</v>
      </c>
      <c r="AH854">
        <v>27.398604967634899</v>
      </c>
      <c r="AI854">
        <v>92.318849127539295</v>
      </c>
      <c r="AJ854">
        <v>79.551214956133805</v>
      </c>
      <c r="AK854">
        <v>27.8834386610115</v>
      </c>
    </row>
    <row r="855" spans="1:37" x14ac:dyDescent="0.2">
      <c r="A855" t="str">
        <f>"20200111155809558"</f>
        <v>20200111155809558</v>
      </c>
      <c r="B855" t="str">
        <f>"1578729489552183"</f>
        <v>1578729489552183</v>
      </c>
      <c r="C855" t="s">
        <v>37</v>
      </c>
      <c r="D855">
        <v>5.7346469999999998</v>
      </c>
      <c r="E855">
        <v>0.59902819999999901</v>
      </c>
      <c r="F855" t="s">
        <v>41</v>
      </c>
      <c r="G855">
        <v>-286.29820000000001</v>
      </c>
      <c r="H855">
        <v>-0.05</v>
      </c>
      <c r="I855">
        <v>363.35890000000001</v>
      </c>
      <c r="J855">
        <v>-315.12200000000001</v>
      </c>
      <c r="K855">
        <v>1.0762559999999901</v>
      </c>
      <c r="L855">
        <v>368.80990000000003</v>
      </c>
      <c r="M855">
        <v>0.99971559999999904</v>
      </c>
      <c r="N855">
        <v>0</v>
      </c>
      <c r="O855">
        <v>-3.62041599999999E-3</v>
      </c>
      <c r="P855">
        <v>0.99769010000000002</v>
      </c>
      <c r="Q855">
        <v>-4.1342940000000002E-3</v>
      </c>
      <c r="R855">
        <v>6.7805710000000005E-2</v>
      </c>
      <c r="S855">
        <v>3.0465089999999999</v>
      </c>
      <c r="T855">
        <v>-0.11817850000000001</v>
      </c>
      <c r="U855">
        <v>-0.57119750000000002</v>
      </c>
      <c r="V855">
        <v>-7.1316379999999999E-2</v>
      </c>
      <c r="W855">
        <v>1.975534E-2</v>
      </c>
      <c r="X855">
        <v>0.99725810000000004</v>
      </c>
      <c r="Y855">
        <v>0.18059220000000001</v>
      </c>
      <c r="Z855">
        <v>-3.3319879999999902E-3</v>
      </c>
      <c r="AA855">
        <v>0.98355239999999999</v>
      </c>
      <c r="AB855">
        <v>37</v>
      </c>
      <c r="AC855">
        <v>28.823799999999999</v>
      </c>
      <c r="AD855">
        <v>-1.1262559999999999</v>
      </c>
      <c r="AE855">
        <v>-5.4510000000000201</v>
      </c>
      <c r="AF855">
        <v>5.3387116042259297</v>
      </c>
      <c r="AG855">
        <v>-1.1262559999999999</v>
      </c>
      <c r="AH855">
        <v>28.800897537355201</v>
      </c>
      <c r="AI855">
        <v>92.201931774263997</v>
      </c>
      <c r="AJ855">
        <v>79.498498362429899</v>
      </c>
      <c r="AK855">
        <v>29.3131709838405</v>
      </c>
    </row>
    <row r="856" spans="1:37" x14ac:dyDescent="0.2">
      <c r="A856" t="str">
        <f>"20200111155809571"</f>
        <v>20200111155809571</v>
      </c>
      <c r="B856" t="str">
        <f>"1578729489561943"</f>
        <v>1578729489561943</v>
      </c>
      <c r="C856" t="s">
        <v>37</v>
      </c>
      <c r="D856">
        <v>5.7468560000000002</v>
      </c>
      <c r="E856">
        <v>0.59941699999999998</v>
      </c>
      <c r="F856" t="s">
        <v>41</v>
      </c>
      <c r="G856">
        <v>-284.13569999999999</v>
      </c>
      <c r="H856">
        <v>-0.05</v>
      </c>
      <c r="I856">
        <v>362.89830000000001</v>
      </c>
      <c r="J856">
        <v>-314.89679999999998</v>
      </c>
      <c r="K856">
        <v>1.0746199999999999</v>
      </c>
      <c r="L856">
        <v>368.80810000000002</v>
      </c>
      <c r="M856">
        <v>0.99971529999999997</v>
      </c>
      <c r="N856">
        <v>0</v>
      </c>
      <c r="O856">
        <v>-4.68261299999999E-3</v>
      </c>
      <c r="P856">
        <v>0.99777000000000005</v>
      </c>
      <c r="Q856">
        <v>-3.9205999999999998E-3</v>
      </c>
      <c r="R856">
        <v>6.6632839999999999E-2</v>
      </c>
      <c r="S856">
        <v>3.0459900000000002</v>
      </c>
      <c r="T856">
        <v>-0.110711899999999</v>
      </c>
      <c r="U856">
        <v>-0.58111569999999901</v>
      </c>
      <c r="V856">
        <v>-7.1206500000000006E-2</v>
      </c>
      <c r="W856">
        <v>1.9782979999999999E-2</v>
      </c>
      <c r="X856">
        <v>0.99726539999999997</v>
      </c>
      <c r="Y856">
        <v>0.18268429999999999</v>
      </c>
      <c r="Z856">
        <v>-3.1206139999999999E-3</v>
      </c>
      <c r="AA856">
        <v>0.98316669999999995</v>
      </c>
      <c r="AB856">
        <v>37</v>
      </c>
      <c r="AC856">
        <v>30.761099999999999</v>
      </c>
      <c r="AD856">
        <v>-1.12462</v>
      </c>
      <c r="AE856">
        <v>-5.9098000000000104</v>
      </c>
      <c r="AF856">
        <v>5.7582308072581201</v>
      </c>
      <c r="AG856">
        <v>-1.12462</v>
      </c>
      <c r="AH856">
        <v>30.748806961609901</v>
      </c>
      <c r="AI856">
        <v>92.058868266185002</v>
      </c>
      <c r="AJ856">
        <v>79.393252639316401</v>
      </c>
      <c r="AK856">
        <v>31.303532096816198</v>
      </c>
    </row>
    <row r="857" spans="1:37" x14ac:dyDescent="0.2">
      <c r="A857" t="str">
        <f>"20200111155809589"</f>
        <v>20200111155809589</v>
      </c>
      <c r="B857" t="str">
        <f>"1578729489581462"</f>
        <v>1578729489581462</v>
      </c>
      <c r="C857" t="s">
        <v>37</v>
      </c>
      <c r="D857">
        <v>5.7596280000000002</v>
      </c>
      <c r="E857">
        <v>0.5995994</v>
      </c>
      <c r="F857" t="s">
        <v>41</v>
      </c>
      <c r="G857">
        <v>-282.32330000000002</v>
      </c>
      <c r="H857">
        <v>-0.05</v>
      </c>
      <c r="I857">
        <v>362.52319999999997</v>
      </c>
      <c r="J857">
        <v>-314.61309999999997</v>
      </c>
      <c r="K857">
        <v>1.0726020000000001</v>
      </c>
      <c r="L857">
        <v>368.80549999999999</v>
      </c>
      <c r="M857">
        <v>0.99971469999999996</v>
      </c>
      <c r="N857">
        <v>0</v>
      </c>
      <c r="O857">
        <v>-6.0539729999999998E-3</v>
      </c>
      <c r="P857">
        <v>0.99787060000000005</v>
      </c>
      <c r="Q857">
        <v>-3.6698820000000002E-3</v>
      </c>
      <c r="R857">
        <v>6.5123249999999994E-2</v>
      </c>
      <c r="S857">
        <v>3.0455320000000001</v>
      </c>
      <c r="T857">
        <v>-0.10514900000000001</v>
      </c>
      <c r="U857">
        <v>-0.58761600000000003</v>
      </c>
      <c r="V857">
        <v>-7.1068649999999997E-2</v>
      </c>
      <c r="W857">
        <v>1.9733400000000002E-2</v>
      </c>
      <c r="X857">
        <v>0.99727619999999895</v>
      </c>
      <c r="Y857">
        <v>0.18339829999999999</v>
      </c>
      <c r="Z857">
        <v>-2.9290649999999998E-3</v>
      </c>
      <c r="AA857">
        <v>0.98303430000000003</v>
      </c>
      <c r="AB857">
        <v>37</v>
      </c>
      <c r="AC857">
        <v>32.2897999999999</v>
      </c>
      <c r="AD857">
        <v>-1.1226020000000001</v>
      </c>
      <c r="AE857">
        <v>-6.2823000000000198</v>
      </c>
      <c r="AF857">
        <v>6.0795706342676796</v>
      </c>
      <c r="AG857">
        <v>-1.1226020000000001</v>
      </c>
      <c r="AH857">
        <v>32.289645770686001</v>
      </c>
      <c r="AI857">
        <v>91.956823439002093</v>
      </c>
      <c r="AJ857">
        <v>79.337047460192196</v>
      </c>
      <c r="AK857">
        <v>32.876171284744103</v>
      </c>
    </row>
    <row r="858" spans="1:37" x14ac:dyDescent="0.2">
      <c r="A858" t="str">
        <f>"20200111155809601"</f>
        <v>20200111155809601</v>
      </c>
      <c r="B858" t="str">
        <f>"1578729489592199"</f>
        <v>1578729489592199</v>
      </c>
      <c r="C858" t="s">
        <v>37</v>
      </c>
      <c r="D858">
        <v>7.9694179999999903</v>
      </c>
      <c r="E858">
        <v>0.59963359999999899</v>
      </c>
      <c r="F858" t="s">
        <v>41</v>
      </c>
      <c r="G858">
        <v>-283.58940000000001</v>
      </c>
      <c r="H858">
        <v>-0.05</v>
      </c>
      <c r="I858">
        <v>362.75699999999898</v>
      </c>
      <c r="J858">
        <v>-314.39780000000002</v>
      </c>
      <c r="K858">
        <v>1.071116</v>
      </c>
      <c r="L858">
        <v>368.8032</v>
      </c>
      <c r="M858">
        <v>0.99971390000000004</v>
      </c>
      <c r="N858">
        <v>0</v>
      </c>
      <c r="O858">
        <v>-7.0879860000000001E-3</v>
      </c>
      <c r="P858">
        <v>0.99795009999999995</v>
      </c>
      <c r="Q858">
        <v>-3.4239659999999901E-3</v>
      </c>
      <c r="R858">
        <v>6.3906480000000002E-2</v>
      </c>
      <c r="S858">
        <v>3.044708</v>
      </c>
      <c r="T858">
        <v>-0.1101738</v>
      </c>
      <c r="U858">
        <v>-0.59359740000000005</v>
      </c>
      <c r="V858">
        <v>-7.0885619999999996E-2</v>
      </c>
      <c r="W858">
        <v>1.9705279999999999E-2</v>
      </c>
      <c r="X858">
        <v>0.9972898</v>
      </c>
      <c r="Y858">
        <v>0.18428229999999901</v>
      </c>
      <c r="Z858">
        <v>-3.0479829999999898E-3</v>
      </c>
      <c r="AA858">
        <v>0.98286859999999998</v>
      </c>
      <c r="AB858">
        <v>37</v>
      </c>
      <c r="AC858">
        <v>30.808399999999999</v>
      </c>
      <c r="AD858">
        <v>-1.121116</v>
      </c>
      <c r="AE858">
        <v>-6.0462000000000504</v>
      </c>
      <c r="AF858">
        <v>5.8202000900925803</v>
      </c>
      <c r="AG858">
        <v>-1.121116</v>
      </c>
      <c r="AH858">
        <v>30.8112043527682</v>
      </c>
      <c r="AI858">
        <v>92.047699261339602</v>
      </c>
      <c r="AJ858">
        <v>79.302939955430404</v>
      </c>
      <c r="AK858">
        <v>31.3761365346693</v>
      </c>
    </row>
    <row r="859" spans="1:37" x14ac:dyDescent="0.2">
      <c r="A859" t="str">
        <f>"20200111155809615"</f>
        <v>20200111155809615</v>
      </c>
      <c r="B859" t="str">
        <f>"1578729489611718"</f>
        <v>1578729489611718</v>
      </c>
      <c r="C859" t="s">
        <v>37</v>
      </c>
      <c r="D859">
        <v>5.9884510000000004</v>
      </c>
      <c r="E859">
        <v>0.59920039999999997</v>
      </c>
      <c r="F859" t="s">
        <v>41</v>
      </c>
      <c r="G859">
        <v>-280.31209999999999</v>
      </c>
      <c r="H859">
        <v>-0.05</v>
      </c>
      <c r="I859">
        <v>362.10610000000003</v>
      </c>
      <c r="J859">
        <v>-314.17930000000001</v>
      </c>
      <c r="K859">
        <v>1.0696749999999999</v>
      </c>
      <c r="L859">
        <v>368.80070000000001</v>
      </c>
      <c r="M859">
        <v>0.99971330000000003</v>
      </c>
      <c r="N859">
        <v>0</v>
      </c>
      <c r="O859">
        <v>-8.1120159999999997E-3</v>
      </c>
      <c r="P859">
        <v>0.99801390000000001</v>
      </c>
      <c r="Q859">
        <v>-3.1342509999999998E-3</v>
      </c>
      <c r="R859">
        <v>6.2918669999999996E-2</v>
      </c>
      <c r="S859">
        <v>3.0441590000000001</v>
      </c>
      <c r="T859">
        <v>-0.1001257</v>
      </c>
      <c r="U859">
        <v>-0.59811400000000003</v>
      </c>
      <c r="V859">
        <v>-7.0921319999999996E-2</v>
      </c>
      <c r="W859">
        <v>1.9684299999999998E-2</v>
      </c>
      <c r="X859">
        <v>0.9972877</v>
      </c>
      <c r="Y859">
        <v>0.18473299999999901</v>
      </c>
      <c r="Z859">
        <v>-2.7442459999999901E-3</v>
      </c>
      <c r="AA859">
        <v>0.98278489999999996</v>
      </c>
      <c r="AB859">
        <v>37</v>
      </c>
      <c r="AC859">
        <v>33.867199999999997</v>
      </c>
      <c r="AD859">
        <v>-1.119675</v>
      </c>
      <c r="AE859">
        <v>-6.6945999999999799</v>
      </c>
      <c r="AF859">
        <v>6.4128328801337897</v>
      </c>
      <c r="AG859">
        <v>-1.119675</v>
      </c>
      <c r="AH859">
        <v>33.884761854722697</v>
      </c>
      <c r="AI859">
        <v>91.859585272038103</v>
      </c>
      <c r="AJ859">
        <v>79.283281896509607</v>
      </c>
      <c r="AK859">
        <v>34.504422667325201</v>
      </c>
    </row>
    <row r="860" spans="1:37" x14ac:dyDescent="0.2">
      <c r="A860" t="str">
        <f>"20200111155809630"</f>
        <v>20200111155809630</v>
      </c>
      <c r="B860" t="str">
        <f>"1578729489621478"</f>
        <v>1578729489621478</v>
      </c>
      <c r="C860" t="s">
        <v>37</v>
      </c>
      <c r="D860">
        <v>5.9380750000000004</v>
      </c>
      <c r="E860">
        <v>0.59888260000000004</v>
      </c>
      <c r="F860" t="s">
        <v>41</v>
      </c>
      <c r="G860">
        <v>-278.94409999999999</v>
      </c>
      <c r="H860">
        <v>-0.05</v>
      </c>
      <c r="I860">
        <v>361.88119999999998</v>
      </c>
      <c r="J860">
        <v>-313.94240000000002</v>
      </c>
      <c r="K860">
        <v>1.068173</v>
      </c>
      <c r="L860">
        <v>368.7978</v>
      </c>
      <c r="M860">
        <v>0.99971160000000003</v>
      </c>
      <c r="N860">
        <v>0</v>
      </c>
      <c r="O860">
        <v>-9.2033029999999995E-3</v>
      </c>
      <c r="P860">
        <v>0.99808739999999996</v>
      </c>
      <c r="Q860">
        <v>-2.7019769999999999E-3</v>
      </c>
      <c r="R860">
        <v>6.1759359999999999E-2</v>
      </c>
      <c r="S860">
        <v>3.0433650000000001</v>
      </c>
      <c r="T860">
        <v>-9.6709610000000001E-2</v>
      </c>
      <c r="U860">
        <v>-0.59765630000000003</v>
      </c>
      <c r="V860">
        <v>-7.0851289999999997E-2</v>
      </c>
      <c r="W860">
        <v>1.976058E-2</v>
      </c>
      <c r="X860">
        <v>0.99729109999999999</v>
      </c>
      <c r="Y860">
        <v>0.1835736</v>
      </c>
      <c r="Z860">
        <v>-2.5988059999999999E-3</v>
      </c>
      <c r="AA860">
        <v>0.9830025</v>
      </c>
      <c r="AB860">
        <v>37</v>
      </c>
      <c r="AC860">
        <v>34.9983</v>
      </c>
      <c r="AD860">
        <v>-1.1181730000000001</v>
      </c>
      <c r="AE860">
        <v>-6.9166000000000096</v>
      </c>
      <c r="AF860">
        <v>6.5876560375731801</v>
      </c>
      <c r="AG860">
        <v>-1.1181730000000001</v>
      </c>
      <c r="AH860">
        <v>35.0260789231655</v>
      </c>
      <c r="AI860">
        <v>91.797004404912599</v>
      </c>
      <c r="AJ860">
        <v>79.348322402336507</v>
      </c>
      <c r="AK860">
        <v>35.657730265106899</v>
      </c>
    </row>
    <row r="861" spans="1:37" x14ac:dyDescent="0.2">
      <c r="A861" t="str">
        <f>"20200111155809641"</f>
        <v>20200111155809641</v>
      </c>
      <c r="B861" t="str">
        <f>"1578729489632214"</f>
        <v>1578729489632214</v>
      </c>
      <c r="C861" t="s">
        <v>37</v>
      </c>
      <c r="D861">
        <v>5.8581370000000001</v>
      </c>
      <c r="E861">
        <v>0.59877029999999998</v>
      </c>
      <c r="F861" t="s">
        <v>41</v>
      </c>
      <c r="G861">
        <v>-280.53219999999999</v>
      </c>
      <c r="H861">
        <v>-0.05</v>
      </c>
      <c r="I861">
        <v>362.2251</v>
      </c>
      <c r="J861">
        <v>-313.72989999999999</v>
      </c>
      <c r="K861">
        <v>1.066897</v>
      </c>
      <c r="L861">
        <v>368.79489999999998</v>
      </c>
      <c r="M861">
        <v>0.99970979999999998</v>
      </c>
      <c r="N861">
        <v>0</v>
      </c>
      <c r="O861">
        <v>-1.0163439999999999E-2</v>
      </c>
      <c r="P861">
        <v>0.99814480000000005</v>
      </c>
      <c r="Q861">
        <v>-2.180319E-3</v>
      </c>
      <c r="R861">
        <v>6.0847110000000003E-2</v>
      </c>
      <c r="S861">
        <v>3.0425110000000002</v>
      </c>
      <c r="T861">
        <v>-0.1018268</v>
      </c>
      <c r="U861">
        <v>-0.59854130000000005</v>
      </c>
      <c r="V861">
        <v>-7.0897650000000006E-2</v>
      </c>
      <c r="W861">
        <v>1.994508E-2</v>
      </c>
      <c r="X861">
        <v>0.99728419999999895</v>
      </c>
      <c r="Y861">
        <v>0.18294859999999999</v>
      </c>
      <c r="Z861">
        <v>-2.6947550000000001E-3</v>
      </c>
      <c r="AA861">
        <v>0.98311879999999996</v>
      </c>
      <c r="AB861">
        <v>37</v>
      </c>
      <c r="AC861">
        <v>33.197699999999998</v>
      </c>
      <c r="AD861">
        <v>-1.116897</v>
      </c>
      <c r="AE861">
        <v>-6.5697999999999803</v>
      </c>
      <c r="AF861">
        <v>6.2251964064664902</v>
      </c>
      <c r="AG861">
        <v>-1.116897</v>
      </c>
      <c r="AH861">
        <v>33.226580318650498</v>
      </c>
      <c r="AI861">
        <v>91.892345941997803</v>
      </c>
      <c r="AJ861">
        <v>79.388319939261095</v>
      </c>
      <c r="AK861">
        <v>33.823160243824397</v>
      </c>
    </row>
    <row r="862" spans="1:37" x14ac:dyDescent="0.2">
      <c r="A862" t="str">
        <f>"20200111155809658"</f>
        <v>20200111155809658</v>
      </c>
      <c r="B862" t="str">
        <f>"1578729489651733"</f>
        <v>1578729489651733</v>
      </c>
      <c r="C862" t="s">
        <v>37</v>
      </c>
      <c r="D862">
        <v>5.817704</v>
      </c>
      <c r="E862">
        <v>0.5985589</v>
      </c>
      <c r="F862" t="s">
        <v>41</v>
      </c>
      <c r="G862">
        <v>-281.45760000000001</v>
      </c>
      <c r="H862">
        <v>-0.05</v>
      </c>
      <c r="I862">
        <v>362.42899999999997</v>
      </c>
      <c r="J862">
        <v>-313.46339999999998</v>
      </c>
      <c r="K862">
        <v>1.06542</v>
      </c>
      <c r="L862">
        <v>368.79090000000002</v>
      </c>
      <c r="M862">
        <v>0.9997064</v>
      </c>
      <c r="N862">
        <v>0</v>
      </c>
      <c r="O862">
        <v>-1.135778E-2</v>
      </c>
      <c r="P862">
        <v>0.99824259999999998</v>
      </c>
      <c r="Q862">
        <v>-1.6656049999999999E-3</v>
      </c>
      <c r="R862">
        <v>5.9240580000000001E-2</v>
      </c>
      <c r="S862">
        <v>3.0419619999999998</v>
      </c>
      <c r="T862">
        <v>-0.105278</v>
      </c>
      <c r="U862">
        <v>-0.60003660000000003</v>
      </c>
      <c r="V862">
        <v>-7.0484749999999999E-2</v>
      </c>
      <c r="W862">
        <v>2.0024219999999999E-2</v>
      </c>
      <c r="X862">
        <v>0.99731179999999997</v>
      </c>
      <c r="Y862">
        <v>0.1822677</v>
      </c>
      <c r="Z862">
        <v>-2.73382099999999E-3</v>
      </c>
      <c r="AA862">
        <v>0.98324509999999898</v>
      </c>
      <c r="AB862">
        <v>37</v>
      </c>
      <c r="AC862">
        <v>32.005799999999901</v>
      </c>
      <c r="AD862">
        <v>-1.1154200000000001</v>
      </c>
      <c r="AE862">
        <v>-6.3618999999999897</v>
      </c>
      <c r="AF862">
        <v>5.9908915891736303</v>
      </c>
      <c r="AG862">
        <v>-1.1154200000000001</v>
      </c>
      <c r="AH862">
        <v>32.038574467427402</v>
      </c>
      <c r="AI862">
        <v>91.959997604445604</v>
      </c>
      <c r="AJ862">
        <v>79.408578277210395</v>
      </c>
      <c r="AK862">
        <v>32.612960578802401</v>
      </c>
    </row>
    <row r="863" spans="1:37" x14ac:dyDescent="0.2">
      <c r="A863" t="str">
        <f>"20200111155809671"</f>
        <v>20200111155809671</v>
      </c>
      <c r="B863" t="str">
        <f>"1578729489661495"</f>
        <v>1578729489661495</v>
      </c>
      <c r="C863" t="s">
        <v>37</v>
      </c>
      <c r="D863">
        <v>5.8287259999999996</v>
      </c>
      <c r="E863">
        <v>0.59846429999999995</v>
      </c>
      <c r="F863" t="s">
        <v>41</v>
      </c>
      <c r="G863">
        <v>-283.27789999999999</v>
      </c>
      <c r="H863">
        <v>-0.05</v>
      </c>
      <c r="I863">
        <v>362.80699999999899</v>
      </c>
      <c r="J863">
        <v>-313.2552</v>
      </c>
      <c r="K863">
        <v>1.0643479999999901</v>
      </c>
      <c r="L863">
        <v>368.7876</v>
      </c>
      <c r="M863">
        <v>0.99970249999999905</v>
      </c>
      <c r="N863">
        <v>0</v>
      </c>
      <c r="O863">
        <v>-1.229121E-2</v>
      </c>
      <c r="P863">
        <v>0.99831689999999995</v>
      </c>
      <c r="Q863">
        <v>-1.7429310000000001E-3</v>
      </c>
      <c r="R863">
        <v>5.796892E-2</v>
      </c>
      <c r="S863">
        <v>3.0408629999999999</v>
      </c>
      <c r="T863">
        <v>-0.1123666</v>
      </c>
      <c r="U863">
        <v>-0.60281370000000001</v>
      </c>
      <c r="V863">
        <v>-7.0147689999999999E-2</v>
      </c>
      <c r="W863">
        <v>1.960516E-2</v>
      </c>
      <c r="X863">
        <v>0.99734400000000001</v>
      </c>
      <c r="Y863">
        <v>0.18226819999999999</v>
      </c>
      <c r="Z863">
        <v>-2.8844320000000001E-3</v>
      </c>
      <c r="AA863">
        <v>0.98324460000000002</v>
      </c>
      <c r="AB863">
        <v>37</v>
      </c>
      <c r="AC863">
        <v>29.9773</v>
      </c>
      <c r="AD863">
        <v>-1.1143479999999999</v>
      </c>
      <c r="AE863">
        <v>-5.9806000000000301</v>
      </c>
      <c r="AF863">
        <v>5.6041613366776604</v>
      </c>
      <c r="AG863">
        <v>-1.1143479999999999</v>
      </c>
      <c r="AH863">
        <v>30.008679851022201</v>
      </c>
      <c r="AI863">
        <v>92.090545500602204</v>
      </c>
      <c r="AJ863">
        <v>79.4217882811718</v>
      </c>
      <c r="AK863">
        <v>30.5478192700193</v>
      </c>
    </row>
    <row r="864" spans="1:37" x14ac:dyDescent="0.2">
      <c r="A864" t="str">
        <f>"20200111155809683"</f>
        <v>20200111155809683</v>
      </c>
      <c r="B864" t="str">
        <f>"1578729489672231"</f>
        <v>1578729489672231</v>
      </c>
      <c r="C864" t="s">
        <v>37</v>
      </c>
      <c r="D864">
        <v>8.0103390000000001</v>
      </c>
      <c r="E864">
        <v>0.59845950000000003</v>
      </c>
      <c r="F864" t="s">
        <v>41</v>
      </c>
      <c r="G864">
        <v>-284.18979999999999</v>
      </c>
      <c r="H864">
        <v>-0.05</v>
      </c>
      <c r="I864">
        <v>362.99709999999999</v>
      </c>
      <c r="J864">
        <v>-313.0478</v>
      </c>
      <c r="K864">
        <v>1.063339</v>
      </c>
      <c r="L864">
        <v>368.7842</v>
      </c>
      <c r="M864">
        <v>0.99969750000000002</v>
      </c>
      <c r="N864">
        <v>0</v>
      </c>
      <c r="O864">
        <v>-1.3222370000000001E-2</v>
      </c>
      <c r="P864">
        <v>0.99837909999999996</v>
      </c>
      <c r="Q864">
        <v>-1.63478E-3</v>
      </c>
      <c r="R864">
        <v>5.6890110000000001E-2</v>
      </c>
      <c r="S864">
        <v>3.0400390000000002</v>
      </c>
      <c r="T864">
        <v>-0.116553</v>
      </c>
      <c r="U864">
        <v>-0.60565190000000002</v>
      </c>
      <c r="V864">
        <v>-7.0001060000000004E-2</v>
      </c>
      <c r="W864">
        <v>1.9373459999999999E-2</v>
      </c>
      <c r="X864">
        <v>0.99735879999999999</v>
      </c>
      <c r="Y864">
        <v>0.18227850000000001</v>
      </c>
      <c r="Z864">
        <v>-2.9572229999999902E-3</v>
      </c>
      <c r="AA864">
        <v>0.98324249999999902</v>
      </c>
      <c r="AB864">
        <v>37</v>
      </c>
      <c r="AC864">
        <v>28.858000000000001</v>
      </c>
      <c r="AD864">
        <v>-1.1133390000000001</v>
      </c>
      <c r="AE864">
        <v>-5.7870999999999997</v>
      </c>
      <c r="AF864">
        <v>5.3972179450755897</v>
      </c>
      <c r="AG864">
        <v>-1.1133390000000001</v>
      </c>
      <c r="AH864">
        <v>28.890673097952099</v>
      </c>
      <c r="AI864">
        <v>92.169379900515807</v>
      </c>
      <c r="AJ864">
        <v>79.418250967187106</v>
      </c>
      <c r="AK864">
        <v>29.411570466880899</v>
      </c>
    </row>
    <row r="865" spans="1:37" x14ac:dyDescent="0.2">
      <c r="A865" t="str">
        <f>"20200111155809697"</f>
        <v>20200111155809697</v>
      </c>
      <c r="B865" t="str">
        <f>"1578729489691750"</f>
        <v>1578729489691750</v>
      </c>
      <c r="C865" t="s">
        <v>37</v>
      </c>
      <c r="D865">
        <v>8.0718739999999993</v>
      </c>
      <c r="E865">
        <v>0.59852419999999995</v>
      </c>
      <c r="F865" t="s">
        <v>41</v>
      </c>
      <c r="G865">
        <v>-283.24110000000002</v>
      </c>
      <c r="H865">
        <v>-0.05</v>
      </c>
      <c r="I865">
        <v>362.80939999999998</v>
      </c>
      <c r="J865">
        <v>-312.834</v>
      </c>
      <c r="K865">
        <v>1.0624119999999999</v>
      </c>
      <c r="L865">
        <v>368.78039999999999</v>
      </c>
      <c r="M865">
        <v>0.99969129999999995</v>
      </c>
      <c r="N865">
        <v>0</v>
      </c>
      <c r="O865">
        <v>-1.4187419999999999E-2</v>
      </c>
      <c r="P865">
        <v>0.99842819999999899</v>
      </c>
      <c r="Q865">
        <v>-2.0192679999999998E-3</v>
      </c>
      <c r="R865">
        <v>5.6013819999999999E-2</v>
      </c>
      <c r="S865">
        <v>3.0393979999999998</v>
      </c>
      <c r="T865">
        <v>-0.1135277</v>
      </c>
      <c r="U865">
        <v>-0.60925289999999999</v>
      </c>
      <c r="V865">
        <v>-7.0093340000000004E-2</v>
      </c>
      <c r="W865">
        <v>1.8647850000000001E-2</v>
      </c>
      <c r="X865">
        <v>0.99736610000000003</v>
      </c>
      <c r="Y865">
        <v>0.18249589999999999</v>
      </c>
      <c r="Z865">
        <v>-2.849145E-3</v>
      </c>
      <c r="AA865">
        <v>0.98320249999999998</v>
      </c>
      <c r="AB865">
        <v>37</v>
      </c>
      <c r="AC865">
        <v>29.592899999999901</v>
      </c>
      <c r="AD865">
        <v>-1.112412</v>
      </c>
      <c r="AE865">
        <v>-5.9710000000000001</v>
      </c>
      <c r="AF865">
        <v>5.54293849894181</v>
      </c>
      <c r="AG865">
        <v>-1.112412</v>
      </c>
      <c r="AH865">
        <v>29.634414364680001</v>
      </c>
      <c r="AI865">
        <v>92.1131379604833</v>
      </c>
      <c r="AJ865">
        <v>79.405588038721206</v>
      </c>
      <c r="AK865">
        <v>30.168860475635299</v>
      </c>
    </row>
    <row r="866" spans="1:37" x14ac:dyDescent="0.2">
      <c r="A866" t="str">
        <f>"20200111155809710"</f>
        <v>20200111155809710</v>
      </c>
      <c r="B866" t="str">
        <f>"1578729489701511"</f>
        <v>1578729489701511</v>
      </c>
      <c r="C866" t="s">
        <v>37</v>
      </c>
      <c r="D866">
        <v>8.0109870000000001</v>
      </c>
      <c r="E866">
        <v>0.59835260000000001</v>
      </c>
      <c r="F866" t="s">
        <v>41</v>
      </c>
      <c r="G866">
        <v>-280.84719999999999</v>
      </c>
      <c r="H866">
        <v>-0.05</v>
      </c>
      <c r="I866">
        <v>362.33179999999999</v>
      </c>
      <c r="J866">
        <v>-312.62119999999999</v>
      </c>
      <c r="K866">
        <v>1.061537</v>
      </c>
      <c r="L866">
        <v>368.77640000000002</v>
      </c>
      <c r="M866">
        <v>0.99968389999999996</v>
      </c>
      <c r="N866">
        <v>0</v>
      </c>
      <c r="O866">
        <v>-1.5147399999999899E-2</v>
      </c>
      <c r="P866">
        <v>0.99848769999999998</v>
      </c>
      <c r="Q866">
        <v>-2.2232200000000001E-3</v>
      </c>
      <c r="R866">
        <v>5.4934520000000001E-2</v>
      </c>
      <c r="S866">
        <v>3.0388790000000001</v>
      </c>
      <c r="T866">
        <v>-0.1056839</v>
      </c>
      <c r="U866">
        <v>-0.61264039999999997</v>
      </c>
      <c r="V866">
        <v>-6.9976570000000002E-2</v>
      </c>
      <c r="W866">
        <v>1.811055E-2</v>
      </c>
      <c r="X866">
        <v>0.9973843</v>
      </c>
      <c r="Y866">
        <v>0.18265319999999999</v>
      </c>
      <c r="Z866">
        <v>-2.6222559999999999E-3</v>
      </c>
      <c r="AA866">
        <v>0.98317389999999905</v>
      </c>
      <c r="AB866">
        <v>37</v>
      </c>
      <c r="AC866">
        <v>31.774000000000001</v>
      </c>
      <c r="AD866">
        <v>-1.111537</v>
      </c>
      <c r="AE866">
        <v>-6.4446000000000296</v>
      </c>
      <c r="AF866">
        <v>5.9554696900098198</v>
      </c>
      <c r="AG866">
        <v>-1.111537</v>
      </c>
      <c r="AH866">
        <v>31.830577231318902</v>
      </c>
      <c r="AI866">
        <v>91.965894128345795</v>
      </c>
      <c r="AJ866">
        <v>79.402540733504907</v>
      </c>
      <c r="AK866">
        <v>32.4019872941453</v>
      </c>
    </row>
    <row r="867" spans="1:37" x14ac:dyDescent="0.2">
      <c r="A867" t="str">
        <f>"20200111155809724"</f>
        <v>20200111155809724</v>
      </c>
      <c r="B867" t="str">
        <f>"1578729489721600"</f>
        <v>1578729489721600</v>
      </c>
      <c r="C867" t="s">
        <v>37</v>
      </c>
      <c r="D867">
        <v>5.8828129999999996</v>
      </c>
      <c r="E867">
        <v>0.59812010000000004</v>
      </c>
      <c r="F867" t="s">
        <v>41</v>
      </c>
      <c r="G867">
        <v>-279.38069999999999</v>
      </c>
      <c r="H867">
        <v>-0.05</v>
      </c>
      <c r="I867">
        <v>362.05</v>
      </c>
      <c r="J867">
        <v>-312.38040000000001</v>
      </c>
      <c r="K867">
        <v>1.0606149999999901</v>
      </c>
      <c r="L867">
        <v>368.77179999999998</v>
      </c>
      <c r="M867">
        <v>0.99967399999999995</v>
      </c>
      <c r="N867">
        <v>0</v>
      </c>
      <c r="O867">
        <v>-1.6232819999999999E-2</v>
      </c>
      <c r="P867">
        <v>0.99854560000000003</v>
      </c>
      <c r="Q867">
        <v>-2.6275650000000001E-3</v>
      </c>
      <c r="R867">
        <v>5.3852190000000001E-2</v>
      </c>
      <c r="S867">
        <v>3.038116</v>
      </c>
      <c r="T867">
        <v>-0.1015923</v>
      </c>
      <c r="U867">
        <v>-0.61477660000000001</v>
      </c>
      <c r="V867">
        <v>-6.9982749999999996E-2</v>
      </c>
      <c r="W867">
        <v>1.7340089999999999E-2</v>
      </c>
      <c r="X867">
        <v>0.99739750000000005</v>
      </c>
      <c r="Y867">
        <v>0.182306</v>
      </c>
      <c r="Z867">
        <v>-2.4795989999999999E-3</v>
      </c>
      <c r="AA867">
        <v>0.98323869999999902</v>
      </c>
      <c r="AB867">
        <v>37</v>
      </c>
      <c r="AC867">
        <v>32.999699999999997</v>
      </c>
      <c r="AD867">
        <v>-1.1106149999999999</v>
      </c>
      <c r="AE867">
        <v>-6.7217999999999698</v>
      </c>
      <c r="AF867">
        <v>6.1784123689976198</v>
      </c>
      <c r="AG867">
        <v>-1.1106149999999999</v>
      </c>
      <c r="AH867">
        <v>33.068521332739202</v>
      </c>
      <c r="AI867">
        <v>91.890875016684504</v>
      </c>
      <c r="AJ867">
        <v>79.417064434672298</v>
      </c>
      <c r="AK867">
        <v>33.659075272702196</v>
      </c>
    </row>
    <row r="868" spans="1:37" x14ac:dyDescent="0.2">
      <c r="A868" t="str">
        <f>"20200111155809738"</f>
        <v>20200111155809738</v>
      </c>
      <c r="B868" t="str">
        <f>"1578729489732335"</f>
        <v>1578729489732335</v>
      </c>
      <c r="C868" t="s">
        <v>37</v>
      </c>
      <c r="D868">
        <v>5.7432169999999996</v>
      </c>
      <c r="E868">
        <v>0.5979371</v>
      </c>
      <c r="F868" t="s">
        <v>41</v>
      </c>
      <c r="G868">
        <v>-278.80540000000002</v>
      </c>
      <c r="H868">
        <v>-0.05</v>
      </c>
      <c r="I868">
        <v>361.96080000000001</v>
      </c>
      <c r="J868">
        <v>-312.17099999999999</v>
      </c>
      <c r="K868">
        <v>1.059914</v>
      </c>
      <c r="L868">
        <v>368.76749999999998</v>
      </c>
      <c r="M868">
        <v>0.99966409999999895</v>
      </c>
      <c r="N868">
        <v>0</v>
      </c>
      <c r="O868">
        <v>-1.7168030000000001E-2</v>
      </c>
      <c r="P868">
        <v>0.99859869999999995</v>
      </c>
      <c r="Q868">
        <v>-2.7559999999999898E-3</v>
      </c>
      <c r="R868">
        <v>5.2850260000000003E-2</v>
      </c>
      <c r="S868">
        <v>3.03732299999999</v>
      </c>
      <c r="T868">
        <v>-0.1004705</v>
      </c>
      <c r="U868">
        <v>-0.61614990000000003</v>
      </c>
      <c r="V868">
        <v>-6.9918099999999997E-2</v>
      </c>
      <c r="W868">
        <v>1.691148E-2</v>
      </c>
      <c r="X868">
        <v>0.9974094</v>
      </c>
      <c r="Y868">
        <v>0.18186579999999999</v>
      </c>
      <c r="Z868">
        <v>-2.4149589999999999E-3</v>
      </c>
      <c r="AA868">
        <v>0.98332039999999998</v>
      </c>
      <c r="AB868">
        <v>37</v>
      </c>
      <c r="AC868">
        <v>33.365599999999901</v>
      </c>
      <c r="AD868">
        <v>-1.1099139999999901</v>
      </c>
      <c r="AE868">
        <v>-6.80669999999997</v>
      </c>
      <c r="AF868">
        <v>6.2261523985438698</v>
      </c>
      <c r="AG868">
        <v>-1.1099139999999901</v>
      </c>
      <c r="AH868">
        <v>33.442032788567097</v>
      </c>
      <c r="AI868">
        <v>91.868813601934406</v>
      </c>
      <c r="AJ868">
        <v>79.453565196511093</v>
      </c>
      <c r="AK868">
        <v>34.034782793619897</v>
      </c>
    </row>
    <row r="869" spans="1:37" x14ac:dyDescent="0.2">
      <c r="A869" t="str">
        <f>"20200111155809750"</f>
        <v>20200111155809750</v>
      </c>
      <c r="B869" t="str">
        <f>"1578729489742096"</f>
        <v>1578729489742096</v>
      </c>
      <c r="C869" t="s">
        <v>37</v>
      </c>
      <c r="D869">
        <v>5.7033329999999998</v>
      </c>
      <c r="E869">
        <v>0.59783430000000004</v>
      </c>
      <c r="F869" t="s">
        <v>41</v>
      </c>
      <c r="G869">
        <v>-279.52319999999997</v>
      </c>
      <c r="H869">
        <v>-0.05</v>
      </c>
      <c r="I869">
        <v>362.12150000000003</v>
      </c>
      <c r="J869">
        <v>-311.959</v>
      </c>
      <c r="K869">
        <v>1.059245</v>
      </c>
      <c r="L869">
        <v>368.76299999999998</v>
      </c>
      <c r="M869">
        <v>0.99965309999999896</v>
      </c>
      <c r="N869">
        <v>0</v>
      </c>
      <c r="O869">
        <v>-1.8106859999999999E-2</v>
      </c>
      <c r="P869">
        <v>0.99864140000000001</v>
      </c>
      <c r="Q869">
        <v>-2.7310329999999999E-3</v>
      </c>
      <c r="R869">
        <v>5.2039870000000002E-2</v>
      </c>
      <c r="S869">
        <v>3.0366819999999999</v>
      </c>
      <c r="T869">
        <v>-0.103236799999999</v>
      </c>
      <c r="U869">
        <v>-0.61816409999999999</v>
      </c>
      <c r="V869">
        <v>-7.0048260000000001E-2</v>
      </c>
      <c r="W869">
        <v>1.66421E-2</v>
      </c>
      <c r="X869">
        <v>0.99740479999999998</v>
      </c>
      <c r="Y869">
        <v>0.18160499999999999</v>
      </c>
      <c r="Z869">
        <v>-2.4458229999999902E-3</v>
      </c>
      <c r="AA869">
        <v>0.98336849999999998</v>
      </c>
      <c r="AB869">
        <v>37</v>
      </c>
      <c r="AC869">
        <v>32.4358</v>
      </c>
      <c r="AD869">
        <v>-1.109245</v>
      </c>
      <c r="AE869">
        <v>-6.6414999999999997</v>
      </c>
      <c r="AF869">
        <v>6.0462062388075104</v>
      </c>
      <c r="AG869">
        <v>-1.109245</v>
      </c>
      <c r="AH869">
        <v>32.514263364917198</v>
      </c>
      <c r="AI869">
        <v>91.921018253821302</v>
      </c>
      <c r="AJ869">
        <v>79.465856246110704</v>
      </c>
      <c r="AK869">
        <v>33.090245639998201</v>
      </c>
    </row>
    <row r="870" spans="1:37" x14ac:dyDescent="0.2">
      <c r="A870" t="str">
        <f>"20200111155809770"</f>
        <v>20200111155809770</v>
      </c>
      <c r="B870" t="str">
        <f>"1578729489761615"</f>
        <v>1578729489761615</v>
      </c>
      <c r="C870" t="s">
        <v>37</v>
      </c>
      <c r="D870">
        <v>8.0183070000000001</v>
      </c>
      <c r="E870">
        <v>0.59767130000000002</v>
      </c>
      <c r="F870" t="s">
        <v>41</v>
      </c>
      <c r="G870">
        <v>-279.96949999999998</v>
      </c>
      <c r="H870">
        <v>-0.05</v>
      </c>
      <c r="I870">
        <v>362.23489999999998</v>
      </c>
      <c r="J870">
        <v>-311.64150000000001</v>
      </c>
      <c r="K870">
        <v>1.058352</v>
      </c>
      <c r="L870">
        <v>368.75580000000002</v>
      </c>
      <c r="M870">
        <v>0.99963489999999999</v>
      </c>
      <c r="N870">
        <v>0</v>
      </c>
      <c r="O870">
        <v>-1.94912E-2</v>
      </c>
      <c r="P870">
        <v>0.99867459999999997</v>
      </c>
      <c r="Q870">
        <v>-2.5767799999999999E-3</v>
      </c>
      <c r="R870">
        <v>5.1406460000000001E-2</v>
      </c>
      <c r="S870">
        <v>3.0360719999999999</v>
      </c>
      <c r="T870">
        <v>-0.10527639999999901</v>
      </c>
      <c r="U870">
        <v>-0.61956789999999995</v>
      </c>
      <c r="V870">
        <v>-7.0799050000000002E-2</v>
      </c>
      <c r="W870">
        <v>1.638274E-2</v>
      </c>
      <c r="X870">
        <v>0.99735609999999997</v>
      </c>
      <c r="Y870">
        <v>0.18071619999999999</v>
      </c>
      <c r="Z870">
        <v>-2.4317950000000001E-3</v>
      </c>
      <c r="AA870">
        <v>0.98353219999999997</v>
      </c>
      <c r="AB870">
        <v>37</v>
      </c>
      <c r="AC870">
        <v>31.672000000000001</v>
      </c>
      <c r="AD870">
        <v>-1.108352</v>
      </c>
      <c r="AE870">
        <v>-6.5209000000000401</v>
      </c>
      <c r="AF870">
        <v>5.8953014215442403</v>
      </c>
      <c r="AG870">
        <v>-1.108352</v>
      </c>
      <c r="AH870">
        <v>31.755795951382499</v>
      </c>
      <c r="AI870">
        <v>91.965392325436994</v>
      </c>
      <c r="AJ870">
        <v>79.483058947622595</v>
      </c>
      <c r="AK870">
        <v>32.3173885008149</v>
      </c>
    </row>
    <row r="871" spans="1:37" x14ac:dyDescent="0.2">
      <c r="A871" t="str">
        <f>"20200111155809783"</f>
        <v>20200111155809783</v>
      </c>
      <c r="B871" t="str">
        <f>"1578729489772351"</f>
        <v>1578729489772351</v>
      </c>
      <c r="C871" t="s">
        <v>37</v>
      </c>
      <c r="D871">
        <v>5.7283939999999998</v>
      </c>
      <c r="E871">
        <v>0.59746829999999995</v>
      </c>
      <c r="F871" t="s">
        <v>41</v>
      </c>
      <c r="G871">
        <v>-279.51089999999999</v>
      </c>
      <c r="H871">
        <v>-0.05</v>
      </c>
      <c r="I871">
        <v>362.19349999999997</v>
      </c>
      <c r="J871">
        <v>-311.42239999999998</v>
      </c>
      <c r="K871">
        <v>1.057798</v>
      </c>
      <c r="L871">
        <v>368.75069999999999</v>
      </c>
      <c r="M871">
        <v>0.99962109999999904</v>
      </c>
      <c r="N871">
        <v>0</v>
      </c>
      <c r="O871">
        <v>-2.0430259999999999E-2</v>
      </c>
      <c r="P871">
        <v>0.9987028</v>
      </c>
      <c r="Q871">
        <v>-2.337389E-3</v>
      </c>
      <c r="R871">
        <v>5.0868339999999998E-2</v>
      </c>
      <c r="S871">
        <v>3.0356139999999998</v>
      </c>
      <c r="T871">
        <v>-0.1047143</v>
      </c>
      <c r="U871">
        <v>-0.61999510000000002</v>
      </c>
      <c r="V871">
        <v>-7.1199499999999999E-2</v>
      </c>
      <c r="W871">
        <v>1.6352229999999999E-2</v>
      </c>
      <c r="X871">
        <v>0.99732799999999999</v>
      </c>
      <c r="Y871">
        <v>0.17995620000000001</v>
      </c>
      <c r="Z871">
        <v>-2.374152E-3</v>
      </c>
      <c r="AA871">
        <v>0.98367179999999999</v>
      </c>
      <c r="AB871">
        <v>36</v>
      </c>
      <c r="AC871">
        <v>31.911499999999901</v>
      </c>
      <c r="AD871">
        <v>-1.1077980000000001</v>
      </c>
      <c r="AE871">
        <v>-6.5572000000000203</v>
      </c>
      <c r="AF871">
        <v>5.8969411624763097</v>
      </c>
      <c r="AG871">
        <v>-1.1077980000000001</v>
      </c>
      <c r="AH871">
        <v>32.001821927741602</v>
      </c>
      <c r="AI871">
        <v>91.949799638876001</v>
      </c>
      <c r="AJ871">
        <v>79.559288780345199</v>
      </c>
      <c r="AK871">
        <v>32.559449291678703</v>
      </c>
    </row>
    <row r="872" spans="1:37" x14ac:dyDescent="0.2">
      <c r="A872" t="str">
        <f>"20200111155809797"</f>
        <v>20200111155809797</v>
      </c>
      <c r="B872" t="str">
        <f>"1578729489791872"</f>
        <v>1578729489791872</v>
      </c>
      <c r="C872" t="s">
        <v>37</v>
      </c>
      <c r="D872">
        <v>5.6588779999999996</v>
      </c>
      <c r="E872">
        <v>0.59744229999999998</v>
      </c>
      <c r="F872" t="s">
        <v>41</v>
      </c>
      <c r="G872">
        <v>-278.69060000000002</v>
      </c>
      <c r="H872">
        <v>-0.05</v>
      </c>
      <c r="I872">
        <v>362.06209999999999</v>
      </c>
      <c r="J872">
        <v>-311.19420000000002</v>
      </c>
      <c r="K872">
        <v>1.057285</v>
      </c>
      <c r="L872">
        <v>368.74509999999998</v>
      </c>
      <c r="M872">
        <v>0.99960590000000005</v>
      </c>
      <c r="N872">
        <v>0</v>
      </c>
      <c r="O872">
        <v>-2.1388549999999999E-2</v>
      </c>
      <c r="P872">
        <v>0.9987279</v>
      </c>
      <c r="Q872">
        <v>-2.1006150000000001E-3</v>
      </c>
      <c r="R872">
        <v>5.0384539999999998E-2</v>
      </c>
      <c r="S872">
        <v>3.0352480000000002</v>
      </c>
      <c r="T872">
        <v>-0.1027269</v>
      </c>
      <c r="U872">
        <v>-0.62023930000000005</v>
      </c>
      <c r="V872">
        <v>-7.1673650000000005E-2</v>
      </c>
      <c r="W872">
        <v>1.6327910000000001E-2</v>
      </c>
      <c r="X872">
        <v>0.99729449999999997</v>
      </c>
      <c r="Y872">
        <v>0.17911679999999999</v>
      </c>
      <c r="Z872">
        <v>-2.2832659999999999E-3</v>
      </c>
      <c r="AA872">
        <v>0.98382510000000001</v>
      </c>
      <c r="AB872">
        <v>36</v>
      </c>
      <c r="AC872">
        <v>32.503599999999999</v>
      </c>
      <c r="AD872">
        <v>-1.1072850000000001</v>
      </c>
      <c r="AE872">
        <v>-6.6829999999999901</v>
      </c>
      <c r="AF872">
        <v>5.9794929598755404</v>
      </c>
      <c r="AG872">
        <v>-1.1072850000000001</v>
      </c>
      <c r="AH872">
        <v>32.602823424566097</v>
      </c>
      <c r="AI872">
        <v>91.913292311471906</v>
      </c>
      <c r="AJ872">
        <v>79.607216948426299</v>
      </c>
      <c r="AK872">
        <v>33.165109850290897</v>
      </c>
    </row>
    <row r="873" spans="1:37" x14ac:dyDescent="0.2">
      <c r="A873" t="str">
        <f>"20200111155809811"</f>
        <v>20200111155809811</v>
      </c>
      <c r="B873" t="str">
        <f>"1578729489801632"</f>
        <v>1578729489801632</v>
      </c>
      <c r="C873" t="s">
        <v>37</v>
      </c>
      <c r="D873">
        <v>5.7652019999999897</v>
      </c>
      <c r="E873">
        <v>0.5972556</v>
      </c>
      <c r="F873" t="s">
        <v>39</v>
      </c>
      <c r="G873">
        <v>-277.9119</v>
      </c>
      <c r="H873" s="1">
        <v>-2.74185499999999E-6</v>
      </c>
      <c r="I873">
        <v>361.92970000000003</v>
      </c>
      <c r="J873">
        <v>-310.96609999999998</v>
      </c>
      <c r="K873">
        <v>1.0568200000000001</v>
      </c>
      <c r="L873">
        <v>368.73939999999999</v>
      </c>
      <c r="M873">
        <v>0.99958969999999903</v>
      </c>
      <c r="N873">
        <v>0</v>
      </c>
      <c r="O873">
        <v>-2.2331739999999999E-2</v>
      </c>
      <c r="P873">
        <v>0.99877199999999899</v>
      </c>
      <c r="Q873">
        <v>-1.688153E-3</v>
      </c>
      <c r="R873">
        <v>4.9514740000000002E-2</v>
      </c>
      <c r="S873">
        <v>3.0350039999999998</v>
      </c>
      <c r="T873">
        <v>-9.6413490000000004E-2</v>
      </c>
      <c r="U873">
        <v>-0.62149049999999995</v>
      </c>
      <c r="V873">
        <v>-7.1746699999999997E-2</v>
      </c>
      <c r="W873">
        <v>1.649049E-2</v>
      </c>
      <c r="X873">
        <v>0.99728660000000002</v>
      </c>
      <c r="Y873">
        <v>0.1786045</v>
      </c>
      <c r="Z873">
        <v>-2.1054300000000001E-3</v>
      </c>
      <c r="AA873">
        <v>0.98391870000000003</v>
      </c>
      <c r="AB873">
        <v>36</v>
      </c>
      <c r="AC873">
        <v>33.054199999999902</v>
      </c>
      <c r="AD873">
        <v>-1.056822741855</v>
      </c>
      <c r="AE873">
        <v>-6.8096999999999603</v>
      </c>
      <c r="AF873">
        <v>6.0637784135103301</v>
      </c>
      <c r="AG873">
        <v>-1.056822741855</v>
      </c>
      <c r="AH873">
        <v>33.165528427103403</v>
      </c>
      <c r="AI873">
        <v>91.7953764888872</v>
      </c>
      <c r="AJ873">
        <v>79.638837050105494</v>
      </c>
      <c r="AK873">
        <v>33.731862664324701</v>
      </c>
    </row>
    <row r="874" spans="1:37" x14ac:dyDescent="0.2">
      <c r="A874" t="str">
        <f>"20200111155809826"</f>
        <v>20200111155809826</v>
      </c>
      <c r="B874" t="str">
        <f>"1578729489821600"</f>
        <v>1578729489821600</v>
      </c>
      <c r="C874" t="s">
        <v>37</v>
      </c>
      <c r="D874">
        <v>5.7440800000000003</v>
      </c>
      <c r="E874">
        <v>0.59692819999999902</v>
      </c>
      <c r="F874" t="s">
        <v>39</v>
      </c>
      <c r="G874">
        <v>-278.02659999999997</v>
      </c>
      <c r="H874" s="1">
        <v>-2.6892509999999999E-6</v>
      </c>
      <c r="I874">
        <v>361.98079999999999</v>
      </c>
      <c r="J874">
        <v>-310.72739999999999</v>
      </c>
      <c r="K874">
        <v>1.0563899999999999</v>
      </c>
      <c r="L874">
        <v>368.73320000000001</v>
      </c>
      <c r="M874">
        <v>0.99957189999999996</v>
      </c>
      <c r="N874">
        <v>0</v>
      </c>
      <c r="O874">
        <v>-2.3301019999999999E-2</v>
      </c>
      <c r="P874">
        <v>0.99877909999999903</v>
      </c>
      <c r="Q874">
        <v>-2.1045639999999902E-3</v>
      </c>
      <c r="R874">
        <v>4.9359020000000003E-2</v>
      </c>
      <c r="S874">
        <v>3.0343629999999999</v>
      </c>
      <c r="T874">
        <v>-9.7353339999999997E-2</v>
      </c>
      <c r="U874">
        <v>-0.62258910000000001</v>
      </c>
      <c r="V874">
        <v>-7.2561589999999995E-2</v>
      </c>
      <c r="W874">
        <v>1.5828249999999999E-2</v>
      </c>
      <c r="X874">
        <v>0.99723830000000002</v>
      </c>
      <c r="Y874">
        <v>0.17803239999999901</v>
      </c>
      <c r="Z874">
        <v>-2.0864970000000001E-3</v>
      </c>
      <c r="AA874">
        <v>0.98402239999999996</v>
      </c>
      <c r="AB874">
        <v>36</v>
      </c>
      <c r="AC874">
        <v>32.700800000000001</v>
      </c>
      <c r="AD874">
        <v>-1.056392689251</v>
      </c>
      <c r="AE874">
        <v>-6.7524000000000202</v>
      </c>
      <c r="AF874">
        <v>5.9824967967862701</v>
      </c>
      <c r="AG874">
        <v>-1.056392689251</v>
      </c>
      <c r="AH874">
        <v>32.816434510262901</v>
      </c>
      <c r="AI874">
        <v>91.813895082496998</v>
      </c>
      <c r="AJ874">
        <v>79.668330332669797</v>
      </c>
      <c r="AK874">
        <v>33.374010957687297</v>
      </c>
    </row>
    <row r="875" spans="1:37" x14ac:dyDescent="0.2">
      <c r="A875" t="str">
        <f>"20200111155809840"</f>
        <v>20200111155809840</v>
      </c>
      <c r="B875" t="str">
        <f>"1578729489832337"</f>
        <v>1578729489832337</v>
      </c>
      <c r="C875" t="s">
        <v>37</v>
      </c>
      <c r="D875">
        <v>5.7105569999999997</v>
      </c>
      <c r="E875">
        <v>0.59676390000000001</v>
      </c>
      <c r="F875" t="s">
        <v>39</v>
      </c>
      <c r="G875">
        <v>-279.32170000000002</v>
      </c>
      <c r="H875" s="1">
        <v>-2.1607490000000002E-6</v>
      </c>
      <c r="I875">
        <v>362.31049999999999</v>
      </c>
      <c r="J875">
        <v>-310.49299999999999</v>
      </c>
      <c r="K875">
        <v>1.0560229999999999</v>
      </c>
      <c r="L875">
        <v>368.72680000000003</v>
      </c>
      <c r="M875">
        <v>0.99955369999999999</v>
      </c>
      <c r="N875">
        <v>0</v>
      </c>
      <c r="O875">
        <v>-2.4226089999999999E-2</v>
      </c>
      <c r="P875">
        <v>0.99882229999999905</v>
      </c>
      <c r="Q875">
        <v>-2.1049879999999999E-3</v>
      </c>
      <c r="R875">
        <v>4.8472559999999998E-2</v>
      </c>
      <c r="S875">
        <v>3.034119</v>
      </c>
      <c r="T875">
        <v>-0.1020582</v>
      </c>
      <c r="U875">
        <v>-0.62048340000000002</v>
      </c>
      <c r="V875">
        <v>-7.2601780000000005E-2</v>
      </c>
      <c r="W875">
        <v>1.560274E-2</v>
      </c>
      <c r="X875">
        <v>0.99723890000000004</v>
      </c>
      <c r="Y875">
        <v>0.17647550000000001</v>
      </c>
      <c r="Z875">
        <v>-2.1309440000000001E-3</v>
      </c>
      <c r="AA875">
        <v>0.98430269999999997</v>
      </c>
      <c r="AB875">
        <v>36</v>
      </c>
      <c r="AC875">
        <v>31.171299999999899</v>
      </c>
      <c r="AD875">
        <v>-1.0560251607490001</v>
      </c>
      <c r="AE875">
        <v>-6.4163000000000299</v>
      </c>
      <c r="AF875">
        <v>5.6529178941959399</v>
      </c>
      <c r="AG875">
        <v>-1.0560251607490001</v>
      </c>
      <c r="AH875">
        <v>31.283169096176699</v>
      </c>
      <c r="AI875">
        <v>91.902607771434305</v>
      </c>
      <c r="AJ875">
        <v>79.757095336269401</v>
      </c>
      <c r="AK875">
        <v>31.807347241771598</v>
      </c>
    </row>
    <row r="876" spans="1:37" x14ac:dyDescent="0.2">
      <c r="A876" t="str">
        <f>"20200111155809854"</f>
        <v>20200111155809854</v>
      </c>
      <c r="B876" t="str">
        <f>"1578729489851857"</f>
        <v>1578729489851857</v>
      </c>
      <c r="C876" t="s">
        <v>37</v>
      </c>
      <c r="D876">
        <v>5.7611379999999999</v>
      </c>
      <c r="E876">
        <v>0.59644569999999997</v>
      </c>
      <c r="F876" t="s">
        <v>39</v>
      </c>
      <c r="G876">
        <v>-278.7407</v>
      </c>
      <c r="H876" s="1">
        <v>-2.382438E-6</v>
      </c>
      <c r="I876">
        <v>362.22050000000002</v>
      </c>
      <c r="J876">
        <v>-310.27409999999998</v>
      </c>
      <c r="K876">
        <v>1.0557179999999999</v>
      </c>
      <c r="L876">
        <v>368.72070000000002</v>
      </c>
      <c r="M876">
        <v>0.99953619999999899</v>
      </c>
      <c r="N876">
        <v>0</v>
      </c>
      <c r="O876">
        <v>-2.507212E-2</v>
      </c>
      <c r="P876">
        <v>0.99886039999999998</v>
      </c>
      <c r="Q876">
        <v>-1.6548279999999999E-3</v>
      </c>
      <c r="R876">
        <v>4.7698709999999998E-2</v>
      </c>
      <c r="S876">
        <v>3.0334779999999899</v>
      </c>
      <c r="T876">
        <v>-0.10088800000000001</v>
      </c>
      <c r="U876">
        <v>-0.62158199999999997</v>
      </c>
      <c r="V876">
        <v>-7.2673299999999996E-2</v>
      </c>
      <c r="W876">
        <v>1.585543E-2</v>
      </c>
      <c r="X876">
        <v>0.99722980000000006</v>
      </c>
      <c r="Y876">
        <v>0.17602799999999999</v>
      </c>
      <c r="Z876">
        <v>-2.0717209999999999E-3</v>
      </c>
      <c r="AA876">
        <v>0.98438300000000001</v>
      </c>
      <c r="AB876">
        <v>36</v>
      </c>
      <c r="AC876">
        <v>31.533399999999901</v>
      </c>
      <c r="AD876">
        <v>-1.0557203824379999</v>
      </c>
      <c r="AE876">
        <v>-6.5002000000000004</v>
      </c>
      <c r="AF876">
        <v>5.7012987446537302</v>
      </c>
      <c r="AG876">
        <v>-1.0557203824379999</v>
      </c>
      <c r="AH876">
        <v>31.652450253562598</v>
      </c>
      <c r="AI876">
        <v>91.880074519398804</v>
      </c>
      <c r="AJ876">
        <v>79.789262545957897</v>
      </c>
      <c r="AK876">
        <v>32.179138583186699</v>
      </c>
    </row>
    <row r="877" spans="1:37" x14ac:dyDescent="0.2">
      <c r="A877" t="str">
        <f>"20200111155809870"</f>
        <v>20200111155809870</v>
      </c>
      <c r="B877" t="str">
        <f>"1578729489861617"</f>
        <v>1578729489861617</v>
      </c>
      <c r="C877" t="s">
        <v>37</v>
      </c>
      <c r="D877">
        <v>5.7676470000000002</v>
      </c>
      <c r="E877">
        <v>0.59630689999999997</v>
      </c>
      <c r="F877" t="s">
        <v>39</v>
      </c>
      <c r="G877">
        <v>-279.08749999999998</v>
      </c>
      <c r="H877" s="1">
        <v>-2.2350199999999999E-6</v>
      </c>
      <c r="I877">
        <v>362.33099999999899</v>
      </c>
      <c r="J877">
        <v>-310.00740000000002</v>
      </c>
      <c r="K877">
        <v>1.0553900000000001</v>
      </c>
      <c r="L877">
        <v>368.71300000000002</v>
      </c>
      <c r="M877">
        <v>0.99951420000000002</v>
      </c>
      <c r="N877">
        <v>0</v>
      </c>
      <c r="O877">
        <v>-2.6078589999999999E-2</v>
      </c>
      <c r="P877">
        <v>0.99892349999999996</v>
      </c>
      <c r="Q877">
        <v>-7.7805110000000002E-4</v>
      </c>
      <c r="R877">
        <v>4.6382359999999997E-2</v>
      </c>
      <c r="S877">
        <v>3.0329280000000001</v>
      </c>
      <c r="T877">
        <v>-0.102669699999999</v>
      </c>
      <c r="U877">
        <v>-0.62139889999999998</v>
      </c>
      <c r="V877">
        <v>-7.2362010000000004E-2</v>
      </c>
      <c r="W877">
        <v>1.6503839999999999E-2</v>
      </c>
      <c r="X877">
        <v>0.99724190000000001</v>
      </c>
      <c r="Y877">
        <v>0.1750131</v>
      </c>
      <c r="Z877">
        <v>-2.0580149999999998E-3</v>
      </c>
      <c r="AA877">
        <v>0.98456390000000005</v>
      </c>
      <c r="AB877">
        <v>36</v>
      </c>
      <c r="AC877">
        <v>30.919899999999998</v>
      </c>
      <c r="AD877">
        <v>-1.05539223502</v>
      </c>
      <c r="AE877">
        <v>-6.3820000000000601</v>
      </c>
      <c r="AF877">
        <v>5.5671428978925102</v>
      </c>
      <c r="AG877">
        <v>-1.05539223502</v>
      </c>
      <c r="AH877">
        <v>31.041151443424901</v>
      </c>
      <c r="AI877">
        <v>91.916734683669503</v>
      </c>
      <c r="AJ877">
        <v>79.832260515527295</v>
      </c>
      <c r="AK877">
        <v>31.554080809761199</v>
      </c>
    </row>
    <row r="878" spans="1:37" x14ac:dyDescent="0.2">
      <c r="A878" t="str">
        <f>"20200111155809883"</f>
        <v>20200111155809883</v>
      </c>
      <c r="B878" t="str">
        <f>"1578729489872354"</f>
        <v>1578729489872354</v>
      </c>
      <c r="C878" t="s">
        <v>37</v>
      </c>
      <c r="D878">
        <v>5.7762169999999999</v>
      </c>
      <c r="E878">
        <v>0.5961668</v>
      </c>
      <c r="F878" t="s">
        <v>39</v>
      </c>
      <c r="G878">
        <v>-278.65030000000002</v>
      </c>
      <c r="H878" s="1">
        <v>-2.403725E-6</v>
      </c>
      <c r="I878">
        <v>362.2561</v>
      </c>
      <c r="J878">
        <v>-309.7971</v>
      </c>
      <c r="K878">
        <v>1.055164</v>
      </c>
      <c r="L878">
        <v>368.70679999999999</v>
      </c>
      <c r="M878">
        <v>0.99949659999999996</v>
      </c>
      <c r="N878">
        <v>0</v>
      </c>
      <c r="O878">
        <v>-2.6851150000000001E-2</v>
      </c>
      <c r="P878">
        <v>0.99898209999999998</v>
      </c>
      <c r="Q878">
        <v>-3.0255879999999997E-4</v>
      </c>
      <c r="R878">
        <v>4.510898E-2</v>
      </c>
      <c r="S878">
        <v>3.0321349999999998</v>
      </c>
      <c r="T878">
        <v>-0.1020532</v>
      </c>
      <c r="U878">
        <v>-0.62435909999999994</v>
      </c>
      <c r="V878">
        <v>-7.1861880000000003E-2</v>
      </c>
      <c r="W878">
        <v>1.6810410000000001E-2</v>
      </c>
      <c r="X878">
        <v>0.99727289999999902</v>
      </c>
      <c r="Y878">
        <v>0.17522639999999901</v>
      </c>
      <c r="Z878">
        <v>-2.0238579999999999E-3</v>
      </c>
      <c r="AA878">
        <v>0.98452609999999996</v>
      </c>
      <c r="AB878">
        <v>36</v>
      </c>
      <c r="AC878">
        <v>31.146799999999899</v>
      </c>
      <c r="AD878">
        <v>-1.0551664037249999</v>
      </c>
      <c r="AE878">
        <v>-6.4506999999999799</v>
      </c>
      <c r="AF878">
        <v>5.6057577269290597</v>
      </c>
      <c r="AG878">
        <v>-1.0551664037249999</v>
      </c>
      <c r="AH878">
        <v>31.274383751854899</v>
      </c>
      <c r="AI878">
        <v>91.902078111698401</v>
      </c>
      <c r="AJ878">
        <v>79.837966577034194</v>
      </c>
      <c r="AK878">
        <v>31.7903283231058</v>
      </c>
    </row>
    <row r="879" spans="1:37" x14ac:dyDescent="0.2">
      <c r="A879" t="str">
        <f>"20200111155809895"</f>
        <v>20200111155809895</v>
      </c>
      <c r="B879" t="str">
        <f>"1578729489891873"</f>
        <v>1578729489891873</v>
      </c>
      <c r="C879" t="s">
        <v>37</v>
      </c>
      <c r="D879">
        <v>5.7828039999999996</v>
      </c>
      <c r="E879">
        <v>0.59591190000000005</v>
      </c>
      <c r="F879" t="s">
        <v>39</v>
      </c>
      <c r="G879">
        <v>-278.66370000000001</v>
      </c>
      <c r="H879" s="1">
        <v>-2.3956890000000001E-6</v>
      </c>
      <c r="I879">
        <v>362.26920000000001</v>
      </c>
      <c r="J879">
        <v>-309.608</v>
      </c>
      <c r="K879">
        <v>1.0549949999999999</v>
      </c>
      <c r="L879">
        <v>368.7011</v>
      </c>
      <c r="M879">
        <v>0.99948079999999995</v>
      </c>
      <c r="N879">
        <v>0</v>
      </c>
      <c r="O879">
        <v>-2.7519760000000001E-2</v>
      </c>
      <c r="P879">
        <v>0.99902309999999905</v>
      </c>
      <c r="Q879" s="1">
        <v>-6.2314790000000001E-5</v>
      </c>
      <c r="R879">
        <v>4.4194230000000001E-2</v>
      </c>
      <c r="S879">
        <v>3.031342</v>
      </c>
      <c r="T879">
        <v>-0.1027373</v>
      </c>
      <c r="U879">
        <v>-0.62680049999999998</v>
      </c>
      <c r="V879">
        <v>-7.1616840000000001E-2</v>
      </c>
      <c r="W879">
        <v>1.691053E-2</v>
      </c>
      <c r="X879">
        <v>0.99728890000000003</v>
      </c>
      <c r="Y879">
        <v>0.17537839999999999</v>
      </c>
      <c r="Z879">
        <v>-2.017947E-3</v>
      </c>
      <c r="AA879">
        <v>0.98449900000000001</v>
      </c>
      <c r="AB879">
        <v>36</v>
      </c>
      <c r="AC879">
        <v>30.944299999999998</v>
      </c>
      <c r="AD879">
        <v>-1.054997395689</v>
      </c>
      <c r="AE879">
        <v>-6.4318999999999802</v>
      </c>
      <c r="AF879">
        <v>5.5715560412439302</v>
      </c>
      <c r="AG879">
        <v>-1.054997395689</v>
      </c>
      <c r="AH879">
        <v>31.074981565703801</v>
      </c>
      <c r="AI879">
        <v>91.913951482117398</v>
      </c>
      <c r="AJ879">
        <v>79.835215483669899</v>
      </c>
      <c r="AK879">
        <v>31.5881264961134</v>
      </c>
    </row>
    <row r="880" spans="1:37" x14ac:dyDescent="0.2">
      <c r="A880" t="str">
        <f>"20200111155809915"</f>
        <v>20200111155809915</v>
      </c>
      <c r="B880" t="str">
        <f>"1578729489912369"</f>
        <v>1578729489912369</v>
      </c>
      <c r="C880" t="s">
        <v>37</v>
      </c>
      <c r="D880">
        <v>6.1438480000000002</v>
      </c>
      <c r="E880">
        <v>0.59559810000000002</v>
      </c>
      <c r="F880" t="s">
        <v>39</v>
      </c>
      <c r="G880">
        <v>-278.89760000000001</v>
      </c>
      <c r="H880" s="1">
        <v>-2.2962920000000001E-6</v>
      </c>
      <c r="I880">
        <v>362.34359999999998</v>
      </c>
      <c r="J880">
        <v>-309.28730000000002</v>
      </c>
      <c r="K880">
        <v>1.054735</v>
      </c>
      <c r="L880">
        <v>368.69119999999998</v>
      </c>
      <c r="M880">
        <v>0.99945349999999999</v>
      </c>
      <c r="N880">
        <v>0</v>
      </c>
      <c r="O880">
        <v>-2.8617790000000001E-2</v>
      </c>
      <c r="P880">
        <v>0.99910270000000001</v>
      </c>
      <c r="Q880">
        <v>6.1990880000000002E-4</v>
      </c>
      <c r="R880">
        <v>4.2353250000000002E-2</v>
      </c>
      <c r="S880">
        <v>3.03064</v>
      </c>
      <c r="T880">
        <v>-0.1041115</v>
      </c>
      <c r="U880">
        <v>-0.62738039999999995</v>
      </c>
      <c r="V880">
        <v>-7.0875389999999996E-2</v>
      </c>
      <c r="W880">
        <v>1.7367270000000001E-2</v>
      </c>
      <c r="X880">
        <v>0.99733400000000005</v>
      </c>
      <c r="Y880">
        <v>0.1745216</v>
      </c>
      <c r="Z880">
        <v>-1.993538E-3</v>
      </c>
      <c r="AA880">
        <v>0.98465130000000001</v>
      </c>
      <c r="AB880">
        <v>36</v>
      </c>
      <c r="AC880">
        <v>30.389700000000001</v>
      </c>
      <c r="AD880">
        <v>-1.0547372962920001</v>
      </c>
      <c r="AE880">
        <v>-6.3475999999999999</v>
      </c>
      <c r="AF880">
        <v>5.4688820658933199</v>
      </c>
      <c r="AG880">
        <v>-1.0547372962920001</v>
      </c>
      <c r="AH880">
        <v>30.523697768649601</v>
      </c>
      <c r="AI880">
        <v>91.948055080146403</v>
      </c>
      <c r="AJ880">
        <v>79.842184857311295</v>
      </c>
      <c r="AK880">
        <v>31.027685496773699</v>
      </c>
    </row>
    <row r="881" spans="1:37" x14ac:dyDescent="0.2">
      <c r="A881" t="str">
        <f>"20200111155809928"</f>
        <v>20200111155809928</v>
      </c>
      <c r="B881" t="str">
        <f>"1578729489922129"</f>
        <v>1578729489922129</v>
      </c>
      <c r="C881" t="s">
        <v>37</v>
      </c>
      <c r="D881">
        <v>6.0301349999999996</v>
      </c>
      <c r="E881">
        <v>0.53791080000000002</v>
      </c>
      <c r="F881" t="s">
        <v>39</v>
      </c>
      <c r="G881">
        <v>-277.30090000000001</v>
      </c>
      <c r="H881" s="1">
        <v>-2.9225579999999999E-6</v>
      </c>
      <c r="I881">
        <v>362.03199999999998</v>
      </c>
      <c r="J881">
        <v>-309.06990000000002</v>
      </c>
      <c r="K881">
        <v>1.054584</v>
      </c>
      <c r="L881">
        <v>368.68430000000001</v>
      </c>
      <c r="M881">
        <v>0.99943479999999996</v>
      </c>
      <c r="N881">
        <v>0</v>
      </c>
      <c r="O881">
        <v>-2.9332629999999998E-2</v>
      </c>
      <c r="P881">
        <v>0.99915980000000004</v>
      </c>
      <c r="Q881">
        <v>8.4206089999999895E-4</v>
      </c>
      <c r="R881">
        <v>4.0977989999999999E-2</v>
      </c>
      <c r="S881">
        <v>3.029541</v>
      </c>
      <c r="T881">
        <v>-9.9897680000000003E-2</v>
      </c>
      <c r="U881">
        <v>-0.63070680000000001</v>
      </c>
      <c r="V881">
        <v>-7.0217089999999996E-2</v>
      </c>
      <c r="W881">
        <v>1.7446420000000001E-2</v>
      </c>
      <c r="X881">
        <v>0.99737919999999902</v>
      </c>
      <c r="Y881">
        <v>0.17493139999999999</v>
      </c>
      <c r="Z881">
        <v>-1.8967739999999999E-3</v>
      </c>
      <c r="AA881">
        <v>0.98457879999999998</v>
      </c>
      <c r="AB881">
        <v>36</v>
      </c>
      <c r="AC881">
        <v>31.768999999999998</v>
      </c>
      <c r="AD881">
        <v>-1.054586922558</v>
      </c>
      <c r="AE881">
        <v>-6.6523000000000199</v>
      </c>
      <c r="AF881">
        <v>5.7114135142570897</v>
      </c>
      <c r="AG881">
        <v>-1.054586922558</v>
      </c>
      <c r="AH881">
        <v>31.916789030174701</v>
      </c>
      <c r="AI881">
        <v>91.862894513113005</v>
      </c>
      <c r="AJ881">
        <v>79.854476250270395</v>
      </c>
      <c r="AK881">
        <v>32.440928160346303</v>
      </c>
    </row>
    <row r="882" spans="1:37" x14ac:dyDescent="0.2">
      <c r="A882" t="str">
        <f>"20200111155809942"</f>
        <v>20200111155809942</v>
      </c>
      <c r="B882" t="str">
        <f>"1578729489931889"</f>
        <v>1578729489931889</v>
      </c>
      <c r="C882" t="s">
        <v>37</v>
      </c>
      <c r="D882">
        <v>6.1988430000000001</v>
      </c>
      <c r="E882">
        <v>0.53335849999999996</v>
      </c>
      <c r="F882" t="s">
        <v>38</v>
      </c>
      <c r="G882">
        <v>-308.08330000000001</v>
      </c>
      <c r="H882">
        <v>0.98135030000000001</v>
      </c>
      <c r="I882">
        <v>368.62889999999999</v>
      </c>
      <c r="J882">
        <v>-308.83940000000001</v>
      </c>
      <c r="K882">
        <v>1.0544500000000001</v>
      </c>
      <c r="L882">
        <v>368.67680000000001</v>
      </c>
      <c r="M882">
        <v>0.99941530000000001</v>
      </c>
      <c r="N882">
        <v>0</v>
      </c>
      <c r="O882">
        <v>-3.0060549999999998E-2</v>
      </c>
      <c r="P882">
        <v>0.99919749999999996</v>
      </c>
      <c r="Q882">
        <v>6.2898730000000001E-4</v>
      </c>
      <c r="R882">
        <v>4.0050750000000003E-2</v>
      </c>
      <c r="S882">
        <v>3.00964399999999</v>
      </c>
      <c r="T882">
        <v>-0.2235171</v>
      </c>
      <c r="U882">
        <v>-0.16848750000000001</v>
      </c>
      <c r="V882">
        <v>-7.0021089999999994E-2</v>
      </c>
      <c r="W882">
        <v>1.7094560000000002E-2</v>
      </c>
      <c r="X882">
        <v>0.99739899999999904</v>
      </c>
      <c r="Y882">
        <v>2.586374E-2</v>
      </c>
      <c r="Z882">
        <v>1.268932E-3</v>
      </c>
      <c r="AA882">
        <v>0.99966469999999896</v>
      </c>
      <c r="AB882">
        <v>36</v>
      </c>
      <c r="AC882">
        <v>0.75610000000000299</v>
      </c>
      <c r="AD882">
        <v>-7.3099700000000101E-2</v>
      </c>
      <c r="AE882">
        <v>-4.79000000000269E-2</v>
      </c>
      <c r="AF882">
        <v>2.4914602306175E-2</v>
      </c>
      <c r="AG882">
        <v>-7.3099700000000101E-2</v>
      </c>
      <c r="AH882">
        <v>0.75021407563023701</v>
      </c>
      <c r="AI882">
        <v>95.562196768114902</v>
      </c>
      <c r="AJ882">
        <v>88.097906777617794</v>
      </c>
      <c r="AK882">
        <v>0.75417866770540198</v>
      </c>
    </row>
    <row r="883" spans="1:37" x14ac:dyDescent="0.2">
      <c r="A883" t="str">
        <f>"20200111155809958"</f>
        <v>20200111155809958</v>
      </c>
      <c r="B883" t="str">
        <f>"1578729489952385"</f>
        <v>1578729489952385</v>
      </c>
      <c r="C883" t="s">
        <v>37</v>
      </c>
      <c r="D883">
        <v>5.9716309999999897</v>
      </c>
      <c r="E883">
        <v>0.52811350000000001</v>
      </c>
      <c r="F883" t="s">
        <v>41</v>
      </c>
      <c r="G883">
        <v>-293.52980000000002</v>
      </c>
      <c r="H883">
        <v>-0.05</v>
      </c>
      <c r="I883">
        <v>367.9873</v>
      </c>
      <c r="J883">
        <v>-308.60169999999999</v>
      </c>
      <c r="K883">
        <v>1.0543370000000001</v>
      </c>
      <c r="L883">
        <v>368.66890000000001</v>
      </c>
      <c r="M883">
        <v>0.9993957</v>
      </c>
      <c r="N883">
        <v>0</v>
      </c>
      <c r="O883">
        <v>-3.0775779999999999E-2</v>
      </c>
      <c r="P883">
        <v>0.99924089999999999</v>
      </c>
      <c r="Q883">
        <v>4.1875430000000002E-4</v>
      </c>
      <c r="R883">
        <v>3.8959029999999999E-2</v>
      </c>
      <c r="S883">
        <v>3.007965</v>
      </c>
      <c r="T883">
        <v>-0.2169972</v>
      </c>
      <c r="U883">
        <v>-0.13546749999999999</v>
      </c>
      <c r="V883">
        <v>-6.9648150000000006E-2</v>
      </c>
      <c r="W883">
        <v>1.6751289999999999E-2</v>
      </c>
      <c r="X883">
        <v>0.99743099999999996</v>
      </c>
      <c r="Y883">
        <v>1.426352E-2</v>
      </c>
      <c r="Z883">
        <v>1.7022700000000001E-3</v>
      </c>
      <c r="AA883">
        <v>0.99989680000000003</v>
      </c>
      <c r="AB883">
        <v>36</v>
      </c>
      <c r="AC883">
        <v>15.0718999999999</v>
      </c>
      <c r="AD883">
        <v>-1.1043369999999999</v>
      </c>
      <c r="AE883">
        <v>-0.68160000000000298</v>
      </c>
      <c r="AF883">
        <v>0.216208623051167</v>
      </c>
      <c r="AG883">
        <v>-1.1043369999999999</v>
      </c>
      <c r="AH883">
        <v>15.0053438703333</v>
      </c>
      <c r="AI883">
        <v>94.208730490641798</v>
      </c>
      <c r="AJ883">
        <v>89.174495132033897</v>
      </c>
      <c r="AK883">
        <v>15.0474798901743</v>
      </c>
    </row>
    <row r="884" spans="1:37" x14ac:dyDescent="0.2">
      <c r="A884" t="str">
        <f>"20200111155809971"</f>
        <v>20200111155809971</v>
      </c>
      <c r="B884" t="str">
        <f>"1578729489962145"</f>
        <v>1578729489962145</v>
      </c>
      <c r="C884" t="s">
        <v>37</v>
      </c>
      <c r="D884">
        <v>5.9554220000000004</v>
      </c>
      <c r="E884">
        <v>0.5268005</v>
      </c>
      <c r="F884" t="s">
        <v>41</v>
      </c>
      <c r="G884">
        <v>-293.2183</v>
      </c>
      <c r="H884">
        <v>-0.05</v>
      </c>
      <c r="I884">
        <v>368.17320000000001</v>
      </c>
      <c r="J884">
        <v>-308.37599999999998</v>
      </c>
      <c r="K884">
        <v>1.054241</v>
      </c>
      <c r="L884">
        <v>368.66140000000001</v>
      </c>
      <c r="M884">
        <v>0.99937710000000002</v>
      </c>
      <c r="N884">
        <v>0</v>
      </c>
      <c r="O884">
        <v>-3.1427669999999998E-2</v>
      </c>
      <c r="P884">
        <v>0.99929799999999902</v>
      </c>
      <c r="Q884">
        <v>7.0640069999999995E-4</v>
      </c>
      <c r="R884">
        <v>3.7459180000000002E-2</v>
      </c>
      <c r="S884">
        <v>3.0061339999999999</v>
      </c>
      <c r="T884">
        <v>-0.21580299999999999</v>
      </c>
      <c r="U884">
        <v>-9.6862790000000004E-2</v>
      </c>
      <c r="V884">
        <v>-6.8802299999999997E-2</v>
      </c>
      <c r="W884">
        <v>1.691863E-2</v>
      </c>
      <c r="X884">
        <v>0.99748680000000001</v>
      </c>
      <c r="Y884">
        <v>8.5224619999999896E-4</v>
      </c>
      <c r="Z884">
        <v>2.2218170000000001E-3</v>
      </c>
      <c r="AA884">
        <v>0.99999709999999997</v>
      </c>
      <c r="AB884">
        <v>36</v>
      </c>
      <c r="AC884">
        <v>15.157699999999901</v>
      </c>
      <c r="AD884">
        <v>-1.104241</v>
      </c>
      <c r="AE884">
        <v>-0.48820000000000602</v>
      </c>
      <c r="AF884">
        <v>1.1465406442979401E-2</v>
      </c>
      <c r="AG884">
        <v>-1.104241</v>
      </c>
      <c r="AH884">
        <v>15.0855771575419</v>
      </c>
      <c r="AI884">
        <v>94.186495109640603</v>
      </c>
      <c r="AJ884">
        <v>89.956453819019401</v>
      </c>
      <c r="AK884">
        <v>15.125941882004501</v>
      </c>
    </row>
    <row r="885" spans="1:37" x14ac:dyDescent="0.2">
      <c r="A885" t="str">
        <f>"20200111155809984"</f>
        <v>20200111155809984</v>
      </c>
      <c r="B885" t="str">
        <f>"1578729489971905"</f>
        <v>1578729489971905</v>
      </c>
      <c r="C885" t="s">
        <v>37</v>
      </c>
      <c r="D885">
        <v>5.9502430000000004</v>
      </c>
      <c r="E885">
        <v>0.52571199999999996</v>
      </c>
      <c r="F885" t="s">
        <v>38</v>
      </c>
      <c r="G885">
        <v>-307.4316</v>
      </c>
      <c r="H885">
        <v>0.98635490000000003</v>
      </c>
      <c r="I885">
        <v>368.63240000000002</v>
      </c>
      <c r="J885">
        <v>-308.16059999999999</v>
      </c>
      <c r="K885">
        <v>1.054165</v>
      </c>
      <c r="L885">
        <v>368.65410000000003</v>
      </c>
      <c r="M885">
        <v>0.99935980000000002</v>
      </c>
      <c r="N885">
        <v>0</v>
      </c>
      <c r="O885">
        <v>-3.2027010000000002E-2</v>
      </c>
      <c r="P885">
        <v>0.99934069999999997</v>
      </c>
      <c r="Q885">
        <v>1.2222139999999999E-3</v>
      </c>
      <c r="R885">
        <v>3.6292060000000001E-2</v>
      </c>
      <c r="S885">
        <v>3.0057070000000001</v>
      </c>
      <c r="T885">
        <v>-0.216414</v>
      </c>
      <c r="U885">
        <v>-9.0942380000000003E-2</v>
      </c>
      <c r="V885">
        <v>-6.8236270000000002E-2</v>
      </c>
      <c r="W885">
        <v>1.7326749999999998E-2</v>
      </c>
      <c r="X885">
        <v>0.99751869999999998</v>
      </c>
      <c r="Y885">
        <v>-1.702016E-3</v>
      </c>
      <c r="Z885">
        <v>2.363371E-3</v>
      </c>
      <c r="AA885">
        <v>0.99999579999999999</v>
      </c>
      <c r="AB885">
        <v>36</v>
      </c>
      <c r="AC885">
        <v>0.72899999999998499</v>
      </c>
      <c r="AD885">
        <v>-6.7810099999999901E-2</v>
      </c>
      <c r="AE885">
        <v>-2.1700000000009802E-2</v>
      </c>
      <c r="AF885">
        <v>-1.64755134882066E-3</v>
      </c>
      <c r="AG885">
        <v>-6.7810099999999901E-2</v>
      </c>
      <c r="AH885">
        <v>0.72307029163025405</v>
      </c>
      <c r="AI885">
        <v>95.357559728807104</v>
      </c>
      <c r="AJ885">
        <v>90.130551035697806</v>
      </c>
      <c r="AK885">
        <v>0.72624484213364204</v>
      </c>
    </row>
    <row r="886" spans="1:37" x14ac:dyDescent="0.2">
      <c r="A886" t="str">
        <f>"20200111155809999"</f>
        <v>20200111155809999</v>
      </c>
      <c r="B886" t="str">
        <f>"1578729489992402"</f>
        <v>1578729489992402</v>
      </c>
      <c r="C886" t="s">
        <v>37</v>
      </c>
      <c r="D886">
        <v>5.9404639999999898</v>
      </c>
      <c r="E886">
        <v>0.52492419999999995</v>
      </c>
      <c r="F886" t="s">
        <v>41</v>
      </c>
      <c r="G886">
        <v>-293.05270000000002</v>
      </c>
      <c r="H886">
        <v>-0.05</v>
      </c>
      <c r="I886">
        <v>368.22570000000002</v>
      </c>
      <c r="J886">
        <v>-307.9332</v>
      </c>
      <c r="K886">
        <v>1.0541049999999901</v>
      </c>
      <c r="L886">
        <v>368.64620000000002</v>
      </c>
      <c r="M886">
        <v>0.99934219999999896</v>
      </c>
      <c r="N886">
        <v>0</v>
      </c>
      <c r="O886">
        <v>-3.261621E-2</v>
      </c>
      <c r="P886">
        <v>0.99935949999999996</v>
      </c>
      <c r="Q886">
        <v>1.4412349999999999E-3</v>
      </c>
      <c r="R886">
        <v>3.575561E-2</v>
      </c>
      <c r="S886">
        <v>3.0053709999999998</v>
      </c>
      <c r="T886">
        <v>-0.21964839999999999</v>
      </c>
      <c r="U886">
        <v>-8.5205080000000002E-2</v>
      </c>
      <c r="V886">
        <v>-6.8290359999999994E-2</v>
      </c>
      <c r="W886">
        <v>1.744308E-2</v>
      </c>
      <c r="X886">
        <v>0.99751299999999898</v>
      </c>
      <c r="Y886">
        <v>-4.1847029999999997E-3</v>
      </c>
      <c r="Z886">
        <v>2.5325069999999998E-3</v>
      </c>
      <c r="AA886">
        <v>0.99998799999999899</v>
      </c>
      <c r="AB886">
        <v>36</v>
      </c>
      <c r="AC886">
        <v>14.8804999999999</v>
      </c>
      <c r="AD886">
        <v>-1.1041049999999999</v>
      </c>
      <c r="AE886">
        <v>-0.42050000000000398</v>
      </c>
      <c r="AF886">
        <v>-6.4773984024912995E-2</v>
      </c>
      <c r="AG886">
        <v>-1.1041049999999999</v>
      </c>
      <c r="AH886">
        <v>14.8048566493005</v>
      </c>
      <c r="AI886">
        <v>94.265023688045105</v>
      </c>
      <c r="AJ886">
        <v>90.250678025079594</v>
      </c>
      <c r="AK886">
        <v>14.8461114075831</v>
      </c>
    </row>
    <row r="887" spans="1:37" x14ac:dyDescent="0.2">
      <c r="A887" t="str">
        <f>"20200111155810011"</f>
        <v>20200111155810011</v>
      </c>
      <c r="B887" t="str">
        <f>"1578729490002161"</f>
        <v>1578729490002161</v>
      </c>
      <c r="C887" t="s">
        <v>37</v>
      </c>
      <c r="D887">
        <v>6.0577969999999999</v>
      </c>
      <c r="E887">
        <v>0.52488630000000003</v>
      </c>
      <c r="F887" t="s">
        <v>41</v>
      </c>
      <c r="G887">
        <v>-293.15280000000001</v>
      </c>
      <c r="H887">
        <v>-0.05</v>
      </c>
      <c r="I887">
        <v>368.25229999999999</v>
      </c>
      <c r="J887">
        <v>-307.72199999999998</v>
      </c>
      <c r="K887">
        <v>1.05406</v>
      </c>
      <c r="L887">
        <v>368.6388</v>
      </c>
      <c r="M887">
        <v>0.9993263</v>
      </c>
      <c r="N887">
        <v>0</v>
      </c>
      <c r="O887">
        <v>-3.31399E-2</v>
      </c>
      <c r="P887">
        <v>0.99938110000000002</v>
      </c>
      <c r="Q887">
        <v>1.4358439999999999E-3</v>
      </c>
      <c r="R887">
        <v>3.5152719999999998E-2</v>
      </c>
      <c r="S887">
        <v>3.0051570000000001</v>
      </c>
      <c r="T887">
        <v>-0.22448750000000001</v>
      </c>
      <c r="U887">
        <v>-8.0078129999999997E-2</v>
      </c>
      <c r="V887">
        <v>-6.8213410000000002E-2</v>
      </c>
      <c r="W887">
        <v>1.7347250000000002E-2</v>
      </c>
      <c r="X887">
        <v>0.99751990000000001</v>
      </c>
      <c r="Y887">
        <v>-6.3994079999999997E-3</v>
      </c>
      <c r="Z887">
        <v>2.710035E-3</v>
      </c>
      <c r="AA887">
        <v>0.99997590000000003</v>
      </c>
      <c r="AB887">
        <v>36</v>
      </c>
      <c r="AC887">
        <v>14.569199999999899</v>
      </c>
      <c r="AD887">
        <v>-1.10406</v>
      </c>
      <c r="AE887">
        <v>-0.386500000000012</v>
      </c>
      <c r="AF887">
        <v>-9.6043072151156997E-2</v>
      </c>
      <c r="AG887">
        <v>-1.10406</v>
      </c>
      <c r="AH887">
        <v>14.4908479916706</v>
      </c>
      <c r="AI887">
        <v>94.356861562545802</v>
      </c>
      <c r="AJ887">
        <v>90.379741897359395</v>
      </c>
      <c r="AK887">
        <v>14.53316373929</v>
      </c>
    </row>
    <row r="888" spans="1:37" x14ac:dyDescent="0.2">
      <c r="A888" t="str">
        <f>"20200111155810028"</f>
        <v>20200111155810028</v>
      </c>
      <c r="B888" t="str">
        <f>"1578729490021681"</f>
        <v>1578729490021681</v>
      </c>
      <c r="C888" t="s">
        <v>37</v>
      </c>
      <c r="D888">
        <v>5.9863819999999999</v>
      </c>
      <c r="E888">
        <v>0.5241557</v>
      </c>
      <c r="F888" t="s">
        <v>38</v>
      </c>
      <c r="G888">
        <v>-306.7783</v>
      </c>
      <c r="H888">
        <v>0.98738150000000002</v>
      </c>
      <c r="I888">
        <v>368.61259999999999</v>
      </c>
      <c r="J888">
        <v>-307.47059999999999</v>
      </c>
      <c r="K888">
        <v>1.054017</v>
      </c>
      <c r="L888">
        <v>368.62990000000002</v>
      </c>
      <c r="M888">
        <v>0.99930799999999997</v>
      </c>
      <c r="N888">
        <v>0</v>
      </c>
      <c r="O888">
        <v>-3.3730309999999999E-2</v>
      </c>
      <c r="P888">
        <v>0.99939100000000003</v>
      </c>
      <c r="Q888">
        <v>1.3947579999999901E-3</v>
      </c>
      <c r="R888">
        <v>3.4876270000000001E-2</v>
      </c>
      <c r="S888">
        <v>3.0050659999999998</v>
      </c>
      <c r="T888">
        <v>-0.2126535</v>
      </c>
      <c r="U888">
        <v>-8.2275390000000004E-2</v>
      </c>
      <c r="V888">
        <v>-6.8529400000000004E-2</v>
      </c>
      <c r="W888">
        <v>1.7204210000000001E-2</v>
      </c>
      <c r="X888">
        <v>0.99750069999999902</v>
      </c>
      <c r="Y888">
        <v>-6.2688350000000004E-3</v>
      </c>
      <c r="Z888">
        <v>2.6046670000000002E-3</v>
      </c>
      <c r="AA888">
        <v>0.99997689999999995</v>
      </c>
      <c r="AB888">
        <v>36</v>
      </c>
      <c r="AC888">
        <v>0.69229999999998804</v>
      </c>
      <c r="AD888">
        <v>-6.6635499999999903E-2</v>
      </c>
      <c r="AE888">
        <v>-1.7300000000034201E-2</v>
      </c>
      <c r="AF888">
        <v>-6.0085786880777099E-3</v>
      </c>
      <c r="AG888">
        <v>-6.6635499999999903E-2</v>
      </c>
      <c r="AH888">
        <v>0.68613681325186504</v>
      </c>
      <c r="AI888">
        <v>95.546783237423</v>
      </c>
      <c r="AJ888">
        <v>90.501732880675306</v>
      </c>
      <c r="AK888">
        <v>0.689391122206782</v>
      </c>
    </row>
    <row r="889" spans="1:37" x14ac:dyDescent="0.2">
      <c r="A889" t="str">
        <f>"20200111155810041"</f>
        <v>20200111155810041</v>
      </c>
      <c r="B889" t="str">
        <f>"1578729490031441"</f>
        <v>1578729490031441</v>
      </c>
      <c r="C889" t="s">
        <v>37</v>
      </c>
      <c r="D889">
        <v>5.9149310000000002</v>
      </c>
      <c r="E889">
        <v>0.52364250000000001</v>
      </c>
      <c r="F889" t="s">
        <v>38</v>
      </c>
      <c r="G889">
        <v>-306.46879999999999</v>
      </c>
      <c r="H889">
        <v>0.98244709999999902</v>
      </c>
      <c r="I889">
        <v>368.60379999999998</v>
      </c>
      <c r="J889">
        <v>-307.25290000000001</v>
      </c>
      <c r="K889">
        <v>1.0539909999999999</v>
      </c>
      <c r="L889">
        <v>368.62199999999899</v>
      </c>
      <c r="M889">
        <v>0.99929290000000004</v>
      </c>
      <c r="N889">
        <v>0</v>
      </c>
      <c r="O889">
        <v>-3.420542E-2</v>
      </c>
      <c r="P889">
        <v>0.99940519999999999</v>
      </c>
      <c r="Q889">
        <v>1.8786059999999999E-3</v>
      </c>
      <c r="R889">
        <v>3.4431440000000001E-2</v>
      </c>
      <c r="S889">
        <v>3.0048219999999999</v>
      </c>
      <c r="T889">
        <v>-0.21493000000000001</v>
      </c>
      <c r="U889">
        <v>-7.7270510000000001E-2</v>
      </c>
      <c r="V889">
        <v>-6.8560319999999994E-2</v>
      </c>
      <c r="W889">
        <v>1.7607080000000001E-2</v>
      </c>
      <c r="X889">
        <v>0.99749159999999903</v>
      </c>
      <c r="Y889">
        <v>-8.3975930000000001E-3</v>
      </c>
      <c r="Z889">
        <v>2.7427059999999902E-3</v>
      </c>
      <c r="AA889">
        <v>0.99996099999999999</v>
      </c>
      <c r="AB889">
        <v>36</v>
      </c>
      <c r="AC889">
        <v>0.784100000000023</v>
      </c>
      <c r="AD889">
        <v>-7.1543899999999994E-2</v>
      </c>
      <c r="AE889">
        <v>-1.81999999999789E-2</v>
      </c>
      <c r="AF889">
        <v>-8.5631384547084806E-3</v>
      </c>
      <c r="AG889">
        <v>-7.1543899999999994E-2</v>
      </c>
      <c r="AH889">
        <v>0.77779176660588101</v>
      </c>
      <c r="AI889">
        <v>95.255152838616496</v>
      </c>
      <c r="AJ889">
        <v>90.630775346505899</v>
      </c>
      <c r="AK889">
        <v>0.78112219861382903</v>
      </c>
    </row>
    <row r="890" spans="1:37" x14ac:dyDescent="0.2">
      <c r="A890" t="str">
        <f>"20200111155810053"</f>
        <v>20200111155810053</v>
      </c>
      <c r="B890" t="str">
        <f>"1578729490042177"</f>
        <v>1578729490042177</v>
      </c>
      <c r="C890" t="s">
        <v>37</v>
      </c>
      <c r="D890">
        <v>5.9931109999999999</v>
      </c>
      <c r="E890">
        <v>0.52336700000000003</v>
      </c>
      <c r="F890" t="s">
        <v>41</v>
      </c>
      <c r="G890">
        <v>-292.11020000000002</v>
      </c>
      <c r="H890">
        <v>-0.05</v>
      </c>
      <c r="I890">
        <v>368.24979999999999</v>
      </c>
      <c r="J890">
        <v>-307.05799999999999</v>
      </c>
      <c r="K890">
        <v>1.053976</v>
      </c>
      <c r="L890">
        <v>368.61489999999998</v>
      </c>
      <c r="M890">
        <v>0.99928019999999995</v>
      </c>
      <c r="N890">
        <v>0</v>
      </c>
      <c r="O890">
        <v>-3.4604839999999998E-2</v>
      </c>
      <c r="P890">
        <v>0.99941800000000003</v>
      </c>
      <c r="Q890">
        <v>1.75713E-3</v>
      </c>
      <c r="R890">
        <v>3.4070990000000002E-2</v>
      </c>
      <c r="S890">
        <v>3.0047299999999999</v>
      </c>
      <c r="T890">
        <v>-0.21906329999999999</v>
      </c>
      <c r="U890">
        <v>-7.3852539999999994E-2</v>
      </c>
      <c r="V890">
        <v>-6.8601460000000003E-2</v>
      </c>
      <c r="W890">
        <v>1.7417330000000002E-2</v>
      </c>
      <c r="X890">
        <v>0.99749209999999999</v>
      </c>
      <c r="Y890">
        <v>-9.9238769999999994E-3</v>
      </c>
      <c r="Z890">
        <v>2.880063E-3</v>
      </c>
      <c r="AA890">
        <v>0.99994660000000002</v>
      </c>
      <c r="AB890">
        <v>36</v>
      </c>
      <c r="AC890">
        <v>14.9477999999999</v>
      </c>
      <c r="AD890">
        <v>-1.1039760000000001</v>
      </c>
      <c r="AE890">
        <v>-0.36509999999998399</v>
      </c>
      <c r="AF890">
        <v>-0.151620900408586</v>
      </c>
      <c r="AG890">
        <v>-1.1039760000000001</v>
      </c>
      <c r="AH890">
        <v>14.8704168007476</v>
      </c>
      <c r="AI890">
        <v>94.245615438468704</v>
      </c>
      <c r="AJ890">
        <v>90.584175734207193</v>
      </c>
      <c r="AK890">
        <v>14.9121107739305</v>
      </c>
    </row>
    <row r="891" spans="1:37" x14ac:dyDescent="0.2">
      <c r="A891" t="str">
        <f>"20200111155810067"</f>
        <v>20200111155810067</v>
      </c>
      <c r="B891" t="str">
        <f>"1578729490061697"</f>
        <v>1578729490061697</v>
      </c>
      <c r="C891" t="s">
        <v>37</v>
      </c>
      <c r="D891">
        <v>5.9972709999999996</v>
      </c>
      <c r="E891">
        <v>0.52286729999999904</v>
      </c>
      <c r="F891" t="s">
        <v>41</v>
      </c>
      <c r="G891">
        <v>-292.0179</v>
      </c>
      <c r="H891">
        <v>-0.05</v>
      </c>
      <c r="I891">
        <v>368.24950000000001</v>
      </c>
      <c r="J891">
        <v>-306.8322</v>
      </c>
      <c r="K891">
        <v>1.053966</v>
      </c>
      <c r="L891">
        <v>368.60669999999999</v>
      </c>
      <c r="M891">
        <v>0.99926579999999998</v>
      </c>
      <c r="N891">
        <v>0</v>
      </c>
      <c r="O891">
        <v>-3.504471E-2</v>
      </c>
      <c r="P891">
        <v>0.99942240000000004</v>
      </c>
      <c r="Q891">
        <v>1.7723870000000001E-3</v>
      </c>
      <c r="R891">
        <v>3.3939539999999997E-2</v>
      </c>
      <c r="S891">
        <v>3.004578</v>
      </c>
      <c r="T891">
        <v>-0.2205433</v>
      </c>
      <c r="U891">
        <v>-7.2998049999999995E-2</v>
      </c>
      <c r="V891">
        <v>-6.8912119999999993E-2</v>
      </c>
      <c r="W891">
        <v>1.7357729999999998E-2</v>
      </c>
      <c r="X891">
        <v>0.99747169999999896</v>
      </c>
      <c r="Y891">
        <v>-1.0642250000000001E-2</v>
      </c>
      <c r="Z891">
        <v>2.958174E-3</v>
      </c>
      <c r="AA891">
        <v>0.99993899999999902</v>
      </c>
      <c r="AB891">
        <v>36</v>
      </c>
      <c r="AC891">
        <v>14.814299999999999</v>
      </c>
      <c r="AD891">
        <v>-1.103966</v>
      </c>
      <c r="AE891">
        <v>-0.35719999999997698</v>
      </c>
      <c r="AF891">
        <v>-0.16134905719137699</v>
      </c>
      <c r="AG891">
        <v>-1.103966</v>
      </c>
      <c r="AH891">
        <v>14.735932411463301</v>
      </c>
      <c r="AI891">
        <v>94.284145891198307</v>
      </c>
      <c r="AJ891">
        <v>90.627327157362103</v>
      </c>
      <c r="AK891">
        <v>14.7781080819782</v>
      </c>
    </row>
    <row r="892" spans="1:37" x14ac:dyDescent="0.2">
      <c r="A892" t="str">
        <f>"20200111155810082"</f>
        <v>20200111155810082</v>
      </c>
      <c r="B892" t="str">
        <f>"1578729490071457"</f>
        <v>1578729490071457</v>
      </c>
      <c r="C892" t="s">
        <v>37</v>
      </c>
      <c r="D892">
        <v>6.0300099999999999</v>
      </c>
      <c r="E892">
        <v>0.522729</v>
      </c>
      <c r="F892" t="s">
        <v>38</v>
      </c>
      <c r="G892">
        <v>-305.82870000000003</v>
      </c>
      <c r="H892">
        <v>0.98026800000000003</v>
      </c>
      <c r="I892">
        <v>368.58350000000002</v>
      </c>
      <c r="J892">
        <v>-306.5967</v>
      </c>
      <c r="K892">
        <v>1.05396</v>
      </c>
      <c r="L892">
        <v>368.59800000000001</v>
      </c>
      <c r="M892">
        <v>0.99925229999999998</v>
      </c>
      <c r="N892">
        <v>0</v>
      </c>
      <c r="O892">
        <v>-3.5459860000000003E-2</v>
      </c>
      <c r="P892">
        <v>0.99942359999999897</v>
      </c>
      <c r="Q892">
        <v>1.567042E-3</v>
      </c>
      <c r="R892">
        <v>3.3916370000000001E-2</v>
      </c>
      <c r="S892">
        <v>3.0044559999999998</v>
      </c>
      <c r="T892">
        <v>-0.220803899999999</v>
      </c>
      <c r="U892">
        <v>-6.9030759999999997E-2</v>
      </c>
      <c r="V892">
        <v>-6.9305790000000006E-2</v>
      </c>
      <c r="W892">
        <v>1.7079779999999999E-2</v>
      </c>
      <c r="X892">
        <v>0.99744920000000004</v>
      </c>
      <c r="Y892">
        <v>-1.237021E-2</v>
      </c>
      <c r="Z892">
        <v>3.0556889999999999E-3</v>
      </c>
      <c r="AA892">
        <v>0.9999188</v>
      </c>
      <c r="AB892">
        <v>36</v>
      </c>
      <c r="AC892">
        <v>0.76799999999997204</v>
      </c>
      <c r="AD892">
        <v>-7.3691999999999896E-2</v>
      </c>
      <c r="AE892">
        <v>-1.4499999999998099E-2</v>
      </c>
      <c r="AF892">
        <v>-1.2629290889161199E-2</v>
      </c>
      <c r="AG892">
        <v>-7.3691999999999896E-2</v>
      </c>
      <c r="AH892">
        <v>0.76102684112145802</v>
      </c>
      <c r="AI892">
        <v>95.530083326581106</v>
      </c>
      <c r="AJ892">
        <v>90.950739989755107</v>
      </c>
      <c r="AK892">
        <v>0.76469069744548801</v>
      </c>
    </row>
    <row r="893" spans="1:37" x14ac:dyDescent="0.2">
      <c r="A893" t="str">
        <f>"20200111155810095"</f>
        <v>20200111155810095</v>
      </c>
      <c r="B893" t="str">
        <f>"1578729490091953"</f>
        <v>1578729490091953</v>
      </c>
      <c r="C893" t="s">
        <v>37</v>
      </c>
      <c r="D893">
        <v>6.0847579999999999</v>
      </c>
      <c r="E893">
        <v>0.52247270000000001</v>
      </c>
      <c r="F893" t="s">
        <v>41</v>
      </c>
      <c r="G893">
        <v>-291.61779999999999</v>
      </c>
      <c r="H893">
        <v>-0.05</v>
      </c>
      <c r="I893">
        <v>368.2593</v>
      </c>
      <c r="J893">
        <v>-306.3938</v>
      </c>
      <c r="K893">
        <v>1.0539639999999999</v>
      </c>
      <c r="L893">
        <v>368.59050000000002</v>
      </c>
      <c r="M893">
        <v>0.99924159999999995</v>
      </c>
      <c r="N893">
        <v>0</v>
      </c>
      <c r="O893">
        <v>-3.5782769999999998E-2</v>
      </c>
      <c r="P893">
        <v>0.99943230000000005</v>
      </c>
      <c r="Q893">
        <v>1.205493E-3</v>
      </c>
      <c r="R893">
        <v>3.3674450000000002E-2</v>
      </c>
      <c r="S893">
        <v>3.0043950000000001</v>
      </c>
      <c r="T893">
        <v>-0.22142699999999901</v>
      </c>
      <c r="U893">
        <v>-6.7932129999999993E-2</v>
      </c>
      <c r="V893">
        <v>-6.9390010000000002E-2</v>
      </c>
      <c r="W893">
        <v>1.665927E-2</v>
      </c>
      <c r="X893">
        <v>0.99745049999999902</v>
      </c>
      <c r="Y893">
        <v>-1.305483E-2</v>
      </c>
      <c r="Z893">
        <v>3.113308E-3</v>
      </c>
      <c r="AA893">
        <v>0.99990990000000002</v>
      </c>
      <c r="AB893">
        <v>36</v>
      </c>
      <c r="AC893">
        <v>14.776</v>
      </c>
      <c r="AD893">
        <v>-1.1039639999999999</v>
      </c>
      <c r="AE893">
        <v>-0.33120000000002298</v>
      </c>
      <c r="AF893">
        <v>-0.19670325356461599</v>
      </c>
      <c r="AG893">
        <v>-1.1039639999999999</v>
      </c>
      <c r="AH893">
        <v>14.696392501261601</v>
      </c>
      <c r="AI893">
        <v>94.295494560771402</v>
      </c>
      <c r="AJ893">
        <v>90.766827186872106</v>
      </c>
      <c r="AK893">
        <v>14.739110598485899</v>
      </c>
    </row>
    <row r="894" spans="1:37" x14ac:dyDescent="0.2">
      <c r="A894" t="str">
        <f>"20200111155810107"</f>
        <v>20200111155810107</v>
      </c>
      <c r="B894" t="str">
        <f>"1578729490101713"</f>
        <v>1578729490101713</v>
      </c>
      <c r="C894" t="s">
        <v>37</v>
      </c>
      <c r="D894">
        <v>5.993989</v>
      </c>
      <c r="E894">
        <v>0.52225410000000005</v>
      </c>
      <c r="F894" t="s">
        <v>41</v>
      </c>
      <c r="G894">
        <v>-291.54430000000002</v>
      </c>
      <c r="H894">
        <v>-0.05</v>
      </c>
      <c r="I894">
        <v>368.26150000000001</v>
      </c>
      <c r="J894">
        <v>-306.18290000000002</v>
      </c>
      <c r="K894">
        <v>1.053973</v>
      </c>
      <c r="L894">
        <v>368.58260000000001</v>
      </c>
      <c r="M894">
        <v>0.99923099999999998</v>
      </c>
      <c r="N894">
        <v>0</v>
      </c>
      <c r="O894">
        <v>-3.6095740000000001E-2</v>
      </c>
      <c r="P894">
        <v>0.99943749999999998</v>
      </c>
      <c r="Q894">
        <v>1.3594499999999999E-3</v>
      </c>
      <c r="R894">
        <v>3.3509650000000002E-2</v>
      </c>
      <c r="S894">
        <v>3.0041500000000001</v>
      </c>
      <c r="T894">
        <v>-0.2233397</v>
      </c>
      <c r="U894">
        <v>-6.6558839999999994E-2</v>
      </c>
      <c r="V894">
        <v>-6.9539699999999996E-2</v>
      </c>
      <c r="W894">
        <v>1.6754149999999999E-2</v>
      </c>
      <c r="X894">
        <v>0.99743850000000001</v>
      </c>
      <c r="Y894">
        <v>-1.381773E-2</v>
      </c>
      <c r="Z894">
        <v>3.1919349999999999E-3</v>
      </c>
      <c r="AA894">
        <v>0.99989939999999999</v>
      </c>
      <c r="AB894">
        <v>36</v>
      </c>
      <c r="AC894">
        <v>14.638599999999901</v>
      </c>
      <c r="AD894">
        <v>-1.1039730000000001</v>
      </c>
      <c r="AE894">
        <v>-0.321100000000001</v>
      </c>
      <c r="AF894">
        <v>-0.20638910044200001</v>
      </c>
      <c r="AG894">
        <v>-1.1039730000000001</v>
      </c>
      <c r="AH894">
        <v>14.5578925112235</v>
      </c>
      <c r="AI894">
        <v>94.336193677753698</v>
      </c>
      <c r="AJ894">
        <v>90.812235165556004</v>
      </c>
      <c r="AK894">
        <v>14.6011502017426</v>
      </c>
    </row>
    <row r="895" spans="1:37" x14ac:dyDescent="0.2">
      <c r="A895" t="str">
        <f>"20200111155810121"</f>
        <v>20200111155810121</v>
      </c>
      <c r="B895" t="str">
        <f>"1578729490112450"</f>
        <v>1578729490112450</v>
      </c>
      <c r="C895" t="s">
        <v>37</v>
      </c>
      <c r="D895">
        <v>6.0027150000000002</v>
      </c>
      <c r="E895">
        <v>0.52205749999999995</v>
      </c>
      <c r="F895" t="s">
        <v>38</v>
      </c>
      <c r="G895">
        <v>-305.18889999999999</v>
      </c>
      <c r="H895">
        <v>0.98009629999999903</v>
      </c>
      <c r="I895">
        <v>368.56119999999999</v>
      </c>
      <c r="J895">
        <v>-305.96820000000002</v>
      </c>
      <c r="K895">
        <v>1.053993</v>
      </c>
      <c r="L895">
        <v>368.5745</v>
      </c>
      <c r="M895">
        <v>0.99922160000000004</v>
      </c>
      <c r="N895">
        <v>0</v>
      </c>
      <c r="O895">
        <v>-3.6372439999999999E-2</v>
      </c>
      <c r="P895">
        <v>0.99943879999999996</v>
      </c>
      <c r="Q895">
        <v>1.3489029999999901E-3</v>
      </c>
      <c r="R895">
        <v>3.347083E-2</v>
      </c>
      <c r="S895">
        <v>3.004181</v>
      </c>
      <c r="T895">
        <v>-0.2232169</v>
      </c>
      <c r="U895">
        <v>-6.5155030000000003E-2</v>
      </c>
      <c r="V895">
        <v>-6.9779010000000002E-2</v>
      </c>
      <c r="W895">
        <v>1.668787E-2</v>
      </c>
      <c r="X895">
        <v>0.997422899999999</v>
      </c>
      <c r="Y895">
        <v>-1.455918E-2</v>
      </c>
      <c r="Z895">
        <v>3.2381939999999998E-3</v>
      </c>
      <c r="AA895">
        <v>0.99988880000000002</v>
      </c>
      <c r="AB895">
        <v>36</v>
      </c>
      <c r="AC895">
        <v>0.77930000000003397</v>
      </c>
      <c r="AD895">
        <v>-7.3896699999999996E-2</v>
      </c>
      <c r="AE895">
        <v>-1.33000000000151E-2</v>
      </c>
      <c r="AF895">
        <v>-1.4923007473925699E-2</v>
      </c>
      <c r="AG895">
        <v>-7.3896699999999996E-2</v>
      </c>
      <c r="AH895">
        <v>0.77232554937966402</v>
      </c>
      <c r="AI895">
        <v>95.464452354003498</v>
      </c>
      <c r="AJ895">
        <v>91.106941190215196</v>
      </c>
      <c r="AK895">
        <v>0.77599624525351696</v>
      </c>
    </row>
    <row r="896" spans="1:37" x14ac:dyDescent="0.2">
      <c r="A896" t="str">
        <f>"20200111155810138"</f>
        <v>20200111155810138</v>
      </c>
      <c r="B896" t="str">
        <f>"1578729490131968"</f>
        <v>1578729490131968</v>
      </c>
      <c r="C896" t="s">
        <v>37</v>
      </c>
      <c r="D896">
        <v>6.3761839999999896</v>
      </c>
      <c r="E896">
        <v>0.52225059999999901</v>
      </c>
      <c r="F896" t="s">
        <v>41</v>
      </c>
      <c r="G896">
        <v>-291.1456</v>
      </c>
      <c r="H896">
        <v>-0.05</v>
      </c>
      <c r="I896">
        <v>368.25979999999998</v>
      </c>
      <c r="J896">
        <v>-305.68979999999999</v>
      </c>
      <c r="K896">
        <v>1.054027</v>
      </c>
      <c r="L896">
        <v>368.5641</v>
      </c>
      <c r="M896">
        <v>0.99921139999999997</v>
      </c>
      <c r="N896">
        <v>0</v>
      </c>
      <c r="O896">
        <v>-3.6678780000000001E-2</v>
      </c>
      <c r="P896">
        <v>0.999449699999999</v>
      </c>
      <c r="Q896">
        <v>1.420941E-3</v>
      </c>
      <c r="R896">
        <v>3.314139E-2</v>
      </c>
      <c r="S896">
        <v>3.0041199999999999</v>
      </c>
      <c r="T896">
        <v>-0.2237478</v>
      </c>
      <c r="U896">
        <v>-6.3781740000000003E-2</v>
      </c>
      <c r="V896">
        <v>-6.975903E-2</v>
      </c>
      <c r="W896">
        <v>1.6692169999999999E-2</v>
      </c>
      <c r="X896">
        <v>0.99742419999999998</v>
      </c>
      <c r="Y896">
        <v>-1.5318490000000001E-2</v>
      </c>
      <c r="Z896">
        <v>3.2969639999999999E-3</v>
      </c>
      <c r="AA896">
        <v>0.99987719999999902</v>
      </c>
      <c r="AB896">
        <v>36</v>
      </c>
      <c r="AC896">
        <v>14.544199999999901</v>
      </c>
      <c r="AD896">
        <v>-1.1040270000000001</v>
      </c>
      <c r="AE896">
        <v>-0.30430000000001101</v>
      </c>
      <c r="AF896">
        <v>-0.22811616214466601</v>
      </c>
      <c r="AG896">
        <v>-1.1040270000000001</v>
      </c>
      <c r="AH896">
        <v>14.4622772727724</v>
      </c>
      <c r="AI896">
        <v>94.364860141091498</v>
      </c>
      <c r="AJ896">
        <v>90.903661942549704</v>
      </c>
      <c r="AK896">
        <v>14.506149610241501</v>
      </c>
    </row>
    <row r="897" spans="1:37" x14ac:dyDescent="0.2">
      <c r="A897" t="str">
        <f>"20200111155810152"</f>
        <v>20200111155810152</v>
      </c>
      <c r="B897" t="str">
        <f>"1578729490141729"</f>
        <v>1578729490141729</v>
      </c>
      <c r="C897" t="s">
        <v>37</v>
      </c>
      <c r="D897">
        <v>6.0291889999999997</v>
      </c>
      <c r="E897">
        <v>0.52198480000000003</v>
      </c>
      <c r="F897" t="s">
        <v>41</v>
      </c>
      <c r="G897">
        <v>-290.76339999999999</v>
      </c>
      <c r="H897">
        <v>-0.05</v>
      </c>
      <c r="I897">
        <v>368.23309999999998</v>
      </c>
      <c r="J897">
        <v>-305.47859999999997</v>
      </c>
      <c r="K897">
        <v>1.054054</v>
      </c>
      <c r="L897">
        <v>368.55610000000001</v>
      </c>
      <c r="M897">
        <v>0.9992048</v>
      </c>
      <c r="N897">
        <v>0</v>
      </c>
      <c r="O897">
        <v>-3.6871760000000003E-2</v>
      </c>
      <c r="P897">
        <v>0.99944999999999995</v>
      </c>
      <c r="Q897">
        <v>1.997609E-3</v>
      </c>
      <c r="R897">
        <v>3.310457E-2</v>
      </c>
      <c r="S897">
        <v>3.004181</v>
      </c>
      <c r="T897">
        <v>-0.2222036</v>
      </c>
      <c r="U897">
        <v>-6.6619869999999998E-2</v>
      </c>
      <c r="V897">
        <v>-6.9916779999999998E-2</v>
      </c>
      <c r="W897">
        <v>1.722042E-2</v>
      </c>
      <c r="X897">
        <v>0.99740419999999996</v>
      </c>
      <c r="Y897">
        <v>-1.457134E-2</v>
      </c>
      <c r="Z897">
        <v>3.2608120000000001E-3</v>
      </c>
      <c r="AA897">
        <v>0.99988849999999996</v>
      </c>
      <c r="AB897">
        <v>36</v>
      </c>
      <c r="AC897">
        <v>14.7151999999999</v>
      </c>
      <c r="AD897">
        <v>-1.1040540000000001</v>
      </c>
      <c r="AE897">
        <v>-0.32300000000003498</v>
      </c>
      <c r="AF897">
        <v>-0.21862737479260899</v>
      </c>
      <c r="AG897">
        <v>-1.1040540000000001</v>
      </c>
      <c r="AH897">
        <v>14.6347597663614</v>
      </c>
      <c r="AI897">
        <v>94.313772188882794</v>
      </c>
      <c r="AJ897">
        <v>90.855872890371899</v>
      </c>
      <c r="AK897">
        <v>14.6779741988816</v>
      </c>
    </row>
    <row r="898" spans="1:37" x14ac:dyDescent="0.2">
      <c r="A898" t="str">
        <f>"20200111155810166"</f>
        <v>20200111155810166</v>
      </c>
      <c r="B898" t="str">
        <f>"1578729490162226"</f>
        <v>1578729490162226</v>
      </c>
      <c r="C898" t="s">
        <v>37</v>
      </c>
      <c r="D898">
        <v>6.01166</v>
      </c>
      <c r="E898">
        <v>0.52126170000000005</v>
      </c>
      <c r="F898" t="s">
        <v>41</v>
      </c>
      <c r="G898">
        <v>-290.49110000000002</v>
      </c>
      <c r="H898">
        <v>-0.05</v>
      </c>
      <c r="I898">
        <v>368.23390000000001</v>
      </c>
      <c r="J898">
        <v>-305.25709999999998</v>
      </c>
      <c r="K898">
        <v>1.05409</v>
      </c>
      <c r="L898">
        <v>368.54770000000002</v>
      </c>
      <c r="M898">
        <v>0.99919899999999995</v>
      </c>
      <c r="N898">
        <v>0</v>
      </c>
      <c r="O898">
        <v>-3.7044189999999998E-2</v>
      </c>
      <c r="P898">
        <v>0.99946019999999902</v>
      </c>
      <c r="Q898">
        <v>1.9808450000000002E-3</v>
      </c>
      <c r="R898">
        <v>3.2795930000000001E-2</v>
      </c>
      <c r="S898">
        <v>3.0042419999999899</v>
      </c>
      <c r="T898">
        <v>-0.2213078</v>
      </c>
      <c r="U898">
        <v>-6.4575199999999999E-2</v>
      </c>
      <c r="V898">
        <v>-6.9783230000000002E-2</v>
      </c>
      <c r="W898">
        <v>1.7154630000000001E-2</v>
      </c>
      <c r="X898">
        <v>0.99741460000000004</v>
      </c>
      <c r="Y898">
        <v>-1.542288E-2</v>
      </c>
      <c r="Z898">
        <v>3.2916619999999999E-3</v>
      </c>
      <c r="AA898">
        <v>0.99987569999999903</v>
      </c>
      <c r="AB898">
        <v>36</v>
      </c>
      <c r="AC898">
        <v>14.765999999999901</v>
      </c>
      <c r="AD898">
        <v>-1.10409</v>
      </c>
      <c r="AE898">
        <v>-0.31380000000001401</v>
      </c>
      <c r="AF898">
        <v>-0.23217512118108399</v>
      </c>
      <c r="AG898">
        <v>-1.10409</v>
      </c>
      <c r="AH898">
        <v>14.6854205756081</v>
      </c>
      <c r="AI898">
        <v>94.299029013313302</v>
      </c>
      <c r="AJ898">
        <v>90.905765436038806</v>
      </c>
      <c r="AK898">
        <v>14.728696395047701</v>
      </c>
    </row>
    <row r="899" spans="1:37" x14ac:dyDescent="0.2">
      <c r="A899" t="str">
        <f>"20200111155810182"</f>
        <v>20200111155810182</v>
      </c>
      <c r="B899" t="str">
        <f>"1578729490171985"</f>
        <v>1578729490171985</v>
      </c>
      <c r="C899" t="s">
        <v>37</v>
      </c>
      <c r="D899">
        <v>6.0236919999999996</v>
      </c>
      <c r="E899">
        <v>0.5210572</v>
      </c>
      <c r="F899" t="s">
        <v>38</v>
      </c>
      <c r="G899">
        <v>-304.23439999999999</v>
      </c>
      <c r="H899">
        <v>0.97745369999999998</v>
      </c>
      <c r="I899">
        <v>368.52730000000003</v>
      </c>
      <c r="J899">
        <v>-304.99119999999999</v>
      </c>
      <c r="K899">
        <v>1.0541339999999999</v>
      </c>
      <c r="L899">
        <v>368.53769999999997</v>
      </c>
      <c r="M899">
        <v>0.99919429999999998</v>
      </c>
      <c r="N899">
        <v>0</v>
      </c>
      <c r="O899">
        <v>-3.7191830000000002E-2</v>
      </c>
      <c r="P899">
        <v>0.99946659999999898</v>
      </c>
      <c r="Q899">
        <v>2.2652279999999898E-3</v>
      </c>
      <c r="R899">
        <v>3.2586230000000001E-2</v>
      </c>
      <c r="S899">
        <v>3.0040279999999999</v>
      </c>
      <c r="T899">
        <v>-0.225263299999999</v>
      </c>
      <c r="U899">
        <v>-5.9265140000000001E-2</v>
      </c>
      <c r="V899">
        <v>-6.9723969999999996E-2</v>
      </c>
      <c r="W899">
        <v>1.7385390000000001E-2</v>
      </c>
      <c r="X899">
        <v>0.99741480000000005</v>
      </c>
      <c r="Y899">
        <v>-1.7324820000000001E-2</v>
      </c>
      <c r="Z899">
        <v>3.4329029999999902E-3</v>
      </c>
      <c r="AA899">
        <v>0.99984399999999996</v>
      </c>
      <c r="AB899">
        <v>36</v>
      </c>
      <c r="AC899">
        <v>0.75679999999999803</v>
      </c>
      <c r="AD899">
        <v>-7.6680299999999896E-2</v>
      </c>
      <c r="AE899">
        <v>-1.03999999999473E-2</v>
      </c>
      <c r="AF899">
        <v>-1.75767656728863E-2</v>
      </c>
      <c r="AG899">
        <v>-7.6680299999999896E-2</v>
      </c>
      <c r="AH899">
        <v>0.74897552013137203</v>
      </c>
      <c r="AI899">
        <v>95.8439911143941</v>
      </c>
      <c r="AJ899">
        <v>91.344355920177193</v>
      </c>
      <c r="AK899">
        <v>0.75309570497757405</v>
      </c>
    </row>
    <row r="900" spans="1:37" x14ac:dyDescent="0.2">
      <c r="A900" t="str">
        <f>"20200111155810195"</f>
        <v>20200111155810195</v>
      </c>
      <c r="B900" t="str">
        <f>"1578729490191504"</f>
        <v>1578729490191504</v>
      </c>
      <c r="C900" t="s">
        <v>37</v>
      </c>
      <c r="D900">
        <v>6.0038660000000004</v>
      </c>
      <c r="E900">
        <v>0.52063700000000002</v>
      </c>
      <c r="F900" t="s">
        <v>41</v>
      </c>
      <c r="G900">
        <v>-290.28190000000001</v>
      </c>
      <c r="H900">
        <v>-0.05</v>
      </c>
      <c r="I900">
        <v>368.25029999999998</v>
      </c>
      <c r="J900">
        <v>-304.79930000000002</v>
      </c>
      <c r="K900">
        <v>1.0541659999999999</v>
      </c>
      <c r="L900">
        <v>368.53039999999999</v>
      </c>
      <c r="M900">
        <v>0.99919190000000002</v>
      </c>
      <c r="N900">
        <v>0</v>
      </c>
      <c r="O900">
        <v>-3.7267469999999997E-2</v>
      </c>
      <c r="P900">
        <v>0.99948359999999903</v>
      </c>
      <c r="Q900">
        <v>2.2448749999999999E-3</v>
      </c>
      <c r="R900">
        <v>3.2061249999999999E-2</v>
      </c>
      <c r="S900">
        <v>3.0040279999999999</v>
      </c>
      <c r="T900">
        <v>-0.22549379999999999</v>
      </c>
      <c r="U900">
        <v>-5.8685300000000003E-2</v>
      </c>
      <c r="V900">
        <v>-6.9277439999999996E-2</v>
      </c>
      <c r="W900">
        <v>1.7329609999999999E-2</v>
      </c>
      <c r="X900">
        <v>0.99744690000000003</v>
      </c>
      <c r="Y900">
        <v>-1.7592119999999999E-2</v>
      </c>
      <c r="Z900">
        <v>3.452096E-3</v>
      </c>
      <c r="AA900">
        <v>0.99983929999999999</v>
      </c>
      <c r="AB900">
        <v>36</v>
      </c>
      <c r="AC900">
        <v>14.5174</v>
      </c>
      <c r="AD900">
        <v>-1.104166</v>
      </c>
      <c r="AE900">
        <v>-0.28010000000000401</v>
      </c>
      <c r="AF900">
        <v>-0.25968106886623299</v>
      </c>
      <c r="AG900">
        <v>-1.104166</v>
      </c>
      <c r="AH900">
        <v>14.4342837694486</v>
      </c>
      <c r="AI900">
        <v>94.3736778661074</v>
      </c>
      <c r="AJ900">
        <v>91.030672848412706</v>
      </c>
      <c r="AK900">
        <v>14.478783262071801</v>
      </c>
    </row>
    <row r="901" spans="1:37" x14ac:dyDescent="0.2">
      <c r="A901" t="str">
        <f>"20200111155810207"</f>
        <v>20200111155810207</v>
      </c>
      <c r="B901" t="str">
        <f>"1578729490202242"</f>
        <v>1578729490202242</v>
      </c>
      <c r="C901" t="s">
        <v>37</v>
      </c>
      <c r="D901">
        <v>7.2009129999999999</v>
      </c>
      <c r="E901">
        <v>0.52063700000000002</v>
      </c>
      <c r="F901" t="s">
        <v>41</v>
      </c>
      <c r="G901">
        <v>-290.24610000000001</v>
      </c>
      <c r="H901">
        <v>-0.05</v>
      </c>
      <c r="I901">
        <v>368.25510000000003</v>
      </c>
      <c r="J901">
        <v>-304.601</v>
      </c>
      <c r="K901">
        <v>1.054192</v>
      </c>
      <c r="L901">
        <v>368.52289999999999</v>
      </c>
      <c r="M901">
        <v>0.99918980000000002</v>
      </c>
      <c r="N901">
        <v>0</v>
      </c>
      <c r="O901">
        <v>-3.7332629999999999E-2</v>
      </c>
      <c r="P901">
        <v>0.99949709999999903</v>
      </c>
      <c r="Q901">
        <v>2.4534719999999999E-3</v>
      </c>
      <c r="R901">
        <v>3.1616930000000001E-2</v>
      </c>
      <c r="S901">
        <v>3.0039060000000002</v>
      </c>
      <c r="T901">
        <v>-0.22790940000000001</v>
      </c>
      <c r="U901">
        <v>-5.6823730000000003E-2</v>
      </c>
      <c r="V901">
        <v>-6.8901000000000004E-2</v>
      </c>
      <c r="W901">
        <v>1.7502670000000001E-2</v>
      </c>
      <c r="X901">
        <v>0.99746999999999997</v>
      </c>
      <c r="Y901">
        <v>-1.8270439999999999E-2</v>
      </c>
      <c r="Z901">
        <v>3.519767E-3</v>
      </c>
      <c r="AA901">
        <v>0.99982689999999996</v>
      </c>
      <c r="AB901">
        <v>36</v>
      </c>
      <c r="AC901">
        <v>14.354899999999899</v>
      </c>
      <c r="AD901">
        <v>-1.1041920000000001</v>
      </c>
      <c r="AE901">
        <v>-0.26779999999996501</v>
      </c>
      <c r="AF901">
        <v>-0.26677555450179102</v>
      </c>
      <c r="AG901">
        <v>-1.1041920000000001</v>
      </c>
      <c r="AH901">
        <v>14.2704830649767</v>
      </c>
      <c r="AI901">
        <v>94.423728954991603</v>
      </c>
      <c r="AJ901">
        <v>91.070975178016297</v>
      </c>
      <c r="AK901">
        <v>14.3156241944643</v>
      </c>
    </row>
    <row r="902" spans="1:37" x14ac:dyDescent="0.2">
      <c r="A902" t="str">
        <f>"20200111155810218"</f>
        <v>20200111155810218</v>
      </c>
      <c r="B902" t="str">
        <f>"1578729490212001"</f>
        <v>1578729490212001</v>
      </c>
      <c r="C902" t="s">
        <v>37</v>
      </c>
      <c r="D902">
        <v>6.1954149999999997</v>
      </c>
      <c r="E902">
        <v>0.50846289999999905</v>
      </c>
      <c r="F902" t="s">
        <v>38</v>
      </c>
      <c r="G902">
        <v>-303.59800000000001</v>
      </c>
      <c r="H902">
        <v>0.97841610000000001</v>
      </c>
      <c r="I902">
        <v>368.50319999999999</v>
      </c>
      <c r="J902">
        <v>-304.40629999999999</v>
      </c>
      <c r="K902">
        <v>1.054217</v>
      </c>
      <c r="L902">
        <v>368.51560000000001</v>
      </c>
      <c r="M902">
        <v>0.99918869999999904</v>
      </c>
      <c r="N902">
        <v>0</v>
      </c>
      <c r="O902">
        <v>-3.7372820000000001E-2</v>
      </c>
      <c r="P902">
        <v>0.99950119999999898</v>
      </c>
      <c r="Q902">
        <v>2.2437889999999999E-3</v>
      </c>
      <c r="R902">
        <v>3.1511699999999997E-2</v>
      </c>
      <c r="S902">
        <v>3.0039060000000002</v>
      </c>
      <c r="T902">
        <v>-0.227190999999999</v>
      </c>
      <c r="U902">
        <v>-5.8288569999999998E-2</v>
      </c>
      <c r="V902">
        <v>-6.883802E-2</v>
      </c>
      <c r="W902">
        <v>1.72619E-2</v>
      </c>
      <c r="X902">
        <v>0.99747849999999905</v>
      </c>
      <c r="Y902">
        <v>-1.782541E-2</v>
      </c>
      <c r="Z902">
        <v>3.494909E-3</v>
      </c>
      <c r="AA902">
        <v>0.99983500000000003</v>
      </c>
      <c r="AB902">
        <v>36</v>
      </c>
      <c r="AC902">
        <v>0.80829999999997404</v>
      </c>
      <c r="AD902">
        <v>-7.5800899999999893E-2</v>
      </c>
      <c r="AE902">
        <v>-1.24000000000137E-2</v>
      </c>
      <c r="AF902">
        <v>-1.7665200019901298E-2</v>
      </c>
      <c r="AG902">
        <v>-7.5800899999999893E-2</v>
      </c>
      <c r="AH902">
        <v>0.80115468908149801</v>
      </c>
      <c r="AI902">
        <v>95.403619608708496</v>
      </c>
      <c r="AJ902">
        <v>91.263148598687707</v>
      </c>
      <c r="AK902">
        <v>0.80492650072526795</v>
      </c>
    </row>
    <row r="903" spans="1:37" x14ac:dyDescent="0.2">
      <c r="A903" t="str">
        <f>"20200111155810233"</f>
        <v>20200111155810233</v>
      </c>
      <c r="B903" t="str">
        <f>"1578729490221761"</f>
        <v>1578729490221761</v>
      </c>
      <c r="C903" t="s">
        <v>37</v>
      </c>
      <c r="D903">
        <v>6.0128379999999897</v>
      </c>
      <c r="E903">
        <v>0.50767640000000003</v>
      </c>
      <c r="F903" t="s">
        <v>39</v>
      </c>
      <c r="G903">
        <v>-270.98950000000002</v>
      </c>
      <c r="H903" s="1">
        <v>-3.9798809999999902E-6</v>
      </c>
      <c r="I903">
        <v>368.87169999999998</v>
      </c>
      <c r="J903">
        <v>-304.1936</v>
      </c>
      <c r="K903">
        <v>1.054244</v>
      </c>
      <c r="L903">
        <v>368.50760000000002</v>
      </c>
      <c r="M903">
        <v>0.99918790000000002</v>
      </c>
      <c r="N903">
        <v>0</v>
      </c>
      <c r="O903">
        <v>-3.740255E-2</v>
      </c>
      <c r="P903">
        <v>0.99950699999999904</v>
      </c>
      <c r="Q903">
        <v>2.4069489999999998E-3</v>
      </c>
      <c r="R903">
        <v>3.1307080000000001E-2</v>
      </c>
      <c r="S903">
        <v>3.000702</v>
      </c>
      <c r="T903">
        <v>-9.4664810000000002E-2</v>
      </c>
      <c r="U903">
        <v>3.1982419999999998E-2</v>
      </c>
      <c r="V903">
        <v>-6.8664749999999997E-2</v>
      </c>
      <c r="W903">
        <v>1.7393490000000001E-2</v>
      </c>
      <c r="X903">
        <v>0.99748809999999999</v>
      </c>
      <c r="Y903">
        <v>-4.801238E-2</v>
      </c>
      <c r="Z903">
        <v>1.936744E-3</v>
      </c>
      <c r="AA903">
        <v>0.99884490000000004</v>
      </c>
      <c r="AB903">
        <v>36</v>
      </c>
      <c r="AC903">
        <v>33.204099999999897</v>
      </c>
      <c r="AD903">
        <v>-1.0542479798810001</v>
      </c>
      <c r="AE903">
        <v>0.36409999999995002</v>
      </c>
      <c r="AF903">
        <v>-1.6042855892816399</v>
      </c>
      <c r="AG903">
        <v>-1.0542479798810001</v>
      </c>
      <c r="AH903">
        <v>33.133843304985497</v>
      </c>
      <c r="AI903">
        <v>91.820283263185701</v>
      </c>
      <c r="AJ903">
        <v>92.772001543206102</v>
      </c>
      <c r="AK903">
        <v>33.189407093444601</v>
      </c>
    </row>
    <row r="904" spans="1:37" x14ac:dyDescent="0.2">
      <c r="A904" t="str">
        <f>"20200111155810250"</f>
        <v>20200111155810250</v>
      </c>
      <c r="B904" t="str">
        <f>"1578729490242257"</f>
        <v>1578729490242257</v>
      </c>
      <c r="C904" t="s">
        <v>37</v>
      </c>
      <c r="D904">
        <v>5.9948800000000002</v>
      </c>
      <c r="E904">
        <v>0.5087121</v>
      </c>
      <c r="F904" t="s">
        <v>39</v>
      </c>
      <c r="G904">
        <v>-269.82839999999999</v>
      </c>
      <c r="H904" s="1">
        <v>-2.2564190000000001E-7</v>
      </c>
      <c r="I904">
        <v>368.93540000000002</v>
      </c>
      <c r="J904">
        <v>-303.92410000000001</v>
      </c>
      <c r="K904">
        <v>1.054271</v>
      </c>
      <c r="L904">
        <v>368.4975</v>
      </c>
      <c r="M904">
        <v>0.99918770000000001</v>
      </c>
      <c r="N904">
        <v>0</v>
      </c>
      <c r="O904">
        <v>-3.742148E-2</v>
      </c>
      <c r="P904">
        <v>0.99952600000000003</v>
      </c>
      <c r="Q904">
        <v>2.4759249999999999E-3</v>
      </c>
      <c r="R904">
        <v>3.0693370000000001E-2</v>
      </c>
      <c r="S904">
        <v>3.0004879999999998</v>
      </c>
      <c r="T904">
        <v>-9.204793E-2</v>
      </c>
      <c r="U904">
        <v>3.7353520000000001E-2</v>
      </c>
      <c r="V904">
        <v>-6.8072999999999995E-2</v>
      </c>
      <c r="W904">
        <v>1.7426870000000001E-2</v>
      </c>
      <c r="X904">
        <v>0.99752809999999903</v>
      </c>
      <c r="Y904">
        <v>-4.9821190000000001E-2</v>
      </c>
      <c r="Z904">
        <v>1.9116719999999999E-3</v>
      </c>
      <c r="AA904">
        <v>0.99875630000000004</v>
      </c>
      <c r="AB904">
        <v>36</v>
      </c>
      <c r="AC904">
        <v>34.095700000000001</v>
      </c>
      <c r="AD904">
        <v>-1.0542712256419</v>
      </c>
      <c r="AE904">
        <v>0.437900000000013</v>
      </c>
      <c r="AF904">
        <v>-1.71201083105881</v>
      </c>
      <c r="AG904">
        <v>-1.0542712256419</v>
      </c>
      <c r="AH904">
        <v>34.022900253983501</v>
      </c>
      <c r="AI904">
        <v>91.772621158573997</v>
      </c>
      <c r="AJ904">
        <v>92.880657729076702</v>
      </c>
      <c r="AK904">
        <v>34.082256536141898</v>
      </c>
    </row>
    <row r="905" spans="1:37" x14ac:dyDescent="0.2">
      <c r="A905" t="str">
        <f>"20200111155810262"</f>
        <v>20200111155810262</v>
      </c>
      <c r="B905" t="str">
        <f>"1578729490252017"</f>
        <v>1578729490252017</v>
      </c>
      <c r="C905" t="s">
        <v>37</v>
      </c>
      <c r="D905">
        <v>5.961557</v>
      </c>
      <c r="E905">
        <v>0.5087121</v>
      </c>
      <c r="F905" t="s">
        <v>39</v>
      </c>
      <c r="G905">
        <v>-272.88319999999999</v>
      </c>
      <c r="H905" s="1">
        <v>-3.182521E-6</v>
      </c>
      <c r="I905">
        <v>368.7869</v>
      </c>
      <c r="J905">
        <v>-303.712999999999</v>
      </c>
      <c r="K905">
        <v>1.0542879999999999</v>
      </c>
      <c r="L905">
        <v>368.48950000000002</v>
      </c>
      <c r="M905">
        <v>0.99918799999999997</v>
      </c>
      <c r="N905">
        <v>0</v>
      </c>
      <c r="O905">
        <v>-3.7423329999999998E-2</v>
      </c>
      <c r="P905">
        <v>0.99953760000000003</v>
      </c>
      <c r="Q905">
        <v>2.3036509999999999E-3</v>
      </c>
      <c r="R905">
        <v>3.0329749999999999E-2</v>
      </c>
      <c r="S905">
        <v>3.0007929999999998</v>
      </c>
      <c r="T905">
        <v>-0.10191889999999899</v>
      </c>
      <c r="U905">
        <v>2.7984620000000002E-2</v>
      </c>
      <c r="V905">
        <v>-6.7713629999999997E-2</v>
      </c>
      <c r="W905">
        <v>1.7229009999999999E-2</v>
      </c>
      <c r="X905">
        <v>0.997556</v>
      </c>
      <c r="Y905">
        <v>-4.6696170000000002E-2</v>
      </c>
      <c r="Z905">
        <v>2.0633750000000001E-3</v>
      </c>
      <c r="AA905">
        <v>0.99890699999999999</v>
      </c>
      <c r="AB905">
        <v>36</v>
      </c>
      <c r="AC905">
        <v>30.829799999999899</v>
      </c>
      <c r="AD905">
        <v>-1.054291182521</v>
      </c>
      <c r="AE905">
        <v>0.29739999999998101</v>
      </c>
      <c r="AF905">
        <v>-1.44937916325488</v>
      </c>
      <c r="AG905">
        <v>-1.054291182521</v>
      </c>
      <c r="AH905">
        <v>30.761097968559501</v>
      </c>
      <c r="AI905">
        <v>91.960786212296796</v>
      </c>
      <c r="AJ905">
        <v>92.697625997842806</v>
      </c>
      <c r="AK905">
        <v>30.813266267757701</v>
      </c>
    </row>
    <row r="906" spans="1:37" x14ac:dyDescent="0.2">
      <c r="A906" t="str">
        <f>"20200111155810276"</f>
        <v>20200111155810276</v>
      </c>
      <c r="B906" t="str">
        <f>"1578729490271537"</f>
        <v>1578729490271537</v>
      </c>
      <c r="C906" t="s">
        <v>37</v>
      </c>
      <c r="D906">
        <v>6.0248669999999898</v>
      </c>
      <c r="E906">
        <v>0.51375879999999996</v>
      </c>
      <c r="F906" t="s">
        <v>39</v>
      </c>
      <c r="G906">
        <v>-272.83139999999997</v>
      </c>
      <c r="H906" s="1">
        <v>-3.208161E-6</v>
      </c>
      <c r="I906">
        <v>368.76769999999999</v>
      </c>
      <c r="J906">
        <v>-303.50880000000001</v>
      </c>
      <c r="K906">
        <v>1.0543</v>
      </c>
      <c r="L906">
        <v>368.4819</v>
      </c>
      <c r="M906">
        <v>0.99918850000000003</v>
      </c>
      <c r="N906">
        <v>0</v>
      </c>
      <c r="O906">
        <v>-3.7415419999999998E-2</v>
      </c>
      <c r="P906">
        <v>0.99954019999999999</v>
      </c>
      <c r="Q906">
        <v>1.9624270000000001E-3</v>
      </c>
      <c r="R906">
        <v>3.0262440000000002E-2</v>
      </c>
      <c r="S906">
        <v>3.0007630000000001</v>
      </c>
      <c r="T906">
        <v>-0.10244489999999901</v>
      </c>
      <c r="U906">
        <v>2.7038570000000001E-2</v>
      </c>
      <c r="V906">
        <v>-6.7638899999999905E-2</v>
      </c>
      <c r="W906">
        <v>1.6865229999999998E-2</v>
      </c>
      <c r="X906">
        <v>0.99756730000000005</v>
      </c>
      <c r="Y906">
        <v>-4.637314E-2</v>
      </c>
      <c r="Z906">
        <v>2.068257E-3</v>
      </c>
      <c r="AA906">
        <v>0.99892199999999998</v>
      </c>
      <c r="AB906">
        <v>36</v>
      </c>
      <c r="AC906">
        <v>30.677399999999999</v>
      </c>
      <c r="AD906">
        <v>-1.054303208161</v>
      </c>
      <c r="AE906">
        <v>0.285799999999994</v>
      </c>
      <c r="AF906">
        <v>-1.43184428384346</v>
      </c>
      <c r="AG906">
        <v>-1.054303208161</v>
      </c>
      <c r="AH906">
        <v>30.609070484791001</v>
      </c>
      <c r="AI906">
        <v>91.970570994006806</v>
      </c>
      <c r="AJ906">
        <v>92.678254254650298</v>
      </c>
      <c r="AK906">
        <v>30.660673985593</v>
      </c>
    </row>
    <row r="907" spans="1:37" x14ac:dyDescent="0.2">
      <c r="A907" t="str">
        <f>"20200111155810290"</f>
        <v>20200111155810290</v>
      </c>
      <c r="B907" t="str">
        <f>"1578729490282273"</f>
        <v>1578729490282273</v>
      </c>
      <c r="C907" t="s">
        <v>37</v>
      </c>
      <c r="D907">
        <v>6.1439029999999999</v>
      </c>
      <c r="E907">
        <v>0.51473749999999996</v>
      </c>
      <c r="F907" t="s">
        <v>41</v>
      </c>
      <c r="G907">
        <v>-290.07310000000001</v>
      </c>
      <c r="H907">
        <v>-0.05</v>
      </c>
      <c r="I907">
        <v>368.45440000000002</v>
      </c>
      <c r="J907">
        <v>-303.28840000000002</v>
      </c>
      <c r="K907">
        <v>1.0543119999999999</v>
      </c>
      <c r="L907">
        <v>368.47359999999998</v>
      </c>
      <c r="M907">
        <v>0.99918929999999995</v>
      </c>
      <c r="N907">
        <v>0</v>
      </c>
      <c r="O907">
        <v>-3.740334E-2</v>
      </c>
      <c r="P907">
        <v>0.99953899999999996</v>
      </c>
      <c r="Q907">
        <v>1.6729500000000001E-3</v>
      </c>
      <c r="R907">
        <v>3.0321529999999999E-2</v>
      </c>
      <c r="S907">
        <v>3.002014</v>
      </c>
      <c r="T907">
        <v>-0.246739399999999</v>
      </c>
      <c r="U907">
        <v>-6.1340329999999997E-3</v>
      </c>
      <c r="V907">
        <v>-6.7686819999999995E-2</v>
      </c>
      <c r="W907">
        <v>1.655295E-2</v>
      </c>
      <c r="X907">
        <v>0.99756929999999999</v>
      </c>
      <c r="Y907">
        <v>-3.5121020000000003E-2</v>
      </c>
      <c r="Z907">
        <v>4.5097139999999997E-3</v>
      </c>
      <c r="AA907">
        <v>0.99937289999999901</v>
      </c>
      <c r="AB907">
        <v>35</v>
      </c>
      <c r="AC907">
        <v>13.215299999999999</v>
      </c>
      <c r="AD907">
        <v>-1.104312</v>
      </c>
      <c r="AE907">
        <v>-1.9199999999955201E-2</v>
      </c>
      <c r="AF907">
        <v>-0.47186964344598897</v>
      </c>
      <c r="AG907">
        <v>-1.104312</v>
      </c>
      <c r="AH907">
        <v>13.1151882416214</v>
      </c>
      <c r="AI907">
        <v>94.809911527460002</v>
      </c>
      <c r="AJ907">
        <v>92.060548556319006</v>
      </c>
      <c r="AK907">
        <v>13.1700542355343</v>
      </c>
    </row>
    <row r="908" spans="1:37" x14ac:dyDescent="0.2">
      <c r="A908" t="str">
        <f>"20200111155810307"</f>
        <v>20200111155810307</v>
      </c>
      <c r="B908" t="str">
        <f>"1578729490301793"</f>
        <v>1578729490301793</v>
      </c>
      <c r="C908" t="s">
        <v>37</v>
      </c>
      <c r="D908">
        <v>5.886139</v>
      </c>
      <c r="E908">
        <v>0.51399410000000001</v>
      </c>
      <c r="F908" t="s">
        <v>41</v>
      </c>
      <c r="G908">
        <v>-289.66629999999998</v>
      </c>
      <c r="H908">
        <v>-0.05</v>
      </c>
      <c r="I908">
        <v>368.40960000000001</v>
      </c>
      <c r="J908">
        <v>-303.01819999999998</v>
      </c>
      <c r="K908">
        <v>1.0543149999999999</v>
      </c>
      <c r="L908">
        <v>368.46350000000001</v>
      </c>
      <c r="M908">
        <v>0.99919040000000003</v>
      </c>
      <c r="N908">
        <v>0</v>
      </c>
      <c r="O908">
        <v>-3.7383130000000001E-2</v>
      </c>
      <c r="P908">
        <v>0.99951219999999996</v>
      </c>
      <c r="Q908">
        <v>1.474883E-3</v>
      </c>
      <c r="R908">
        <v>3.1198150000000001E-2</v>
      </c>
      <c r="S908">
        <v>3.002167</v>
      </c>
      <c r="T908">
        <v>-0.2433786</v>
      </c>
      <c r="U908">
        <v>-1.409912E-2</v>
      </c>
      <c r="V908">
        <v>-6.8542320000000004E-2</v>
      </c>
      <c r="W908">
        <v>1.6328869999999999E-2</v>
      </c>
      <c r="X908">
        <v>0.99751449999999997</v>
      </c>
      <c r="Y908">
        <v>-3.2464779999999999E-2</v>
      </c>
      <c r="Z908">
        <v>4.3390820000000002E-3</v>
      </c>
      <c r="AA908">
        <v>0.9994634</v>
      </c>
      <c r="AB908">
        <v>35</v>
      </c>
      <c r="AC908">
        <v>13.351900000000001</v>
      </c>
      <c r="AD908">
        <v>-1.1043149999999999</v>
      </c>
      <c r="AE908">
        <v>-5.3899999999998699E-2</v>
      </c>
      <c r="AF908">
        <v>-0.442303064616688</v>
      </c>
      <c r="AG908">
        <v>-1.1043149999999999</v>
      </c>
      <c r="AH908">
        <v>13.253915789091399</v>
      </c>
      <c r="AI908">
        <v>94.760239877723293</v>
      </c>
      <c r="AJ908">
        <v>91.9113368519223</v>
      </c>
      <c r="AK908">
        <v>13.3071945715286</v>
      </c>
    </row>
    <row r="909" spans="1:37" x14ac:dyDescent="0.2">
      <c r="A909" t="str">
        <f>"20200111155810319"</f>
        <v>20200111155810319</v>
      </c>
      <c r="B909" t="str">
        <f>"1578729490311553"</f>
        <v>1578729490311553</v>
      </c>
      <c r="C909" t="s">
        <v>37</v>
      </c>
      <c r="D909">
        <v>5.9842019999999998</v>
      </c>
      <c r="E909">
        <v>0.51355499999999998</v>
      </c>
      <c r="F909" t="s">
        <v>41</v>
      </c>
      <c r="G909">
        <v>-289.17270000000002</v>
      </c>
      <c r="H909">
        <v>-0.05</v>
      </c>
      <c r="I909">
        <v>368.43549999999999</v>
      </c>
      <c r="J909">
        <v>-302.81779999999998</v>
      </c>
      <c r="K909">
        <v>1.0543209999999901</v>
      </c>
      <c r="L909">
        <v>368.45599999999899</v>
      </c>
      <c r="M909">
        <v>0.99919119999999995</v>
      </c>
      <c r="N909">
        <v>0</v>
      </c>
      <c r="O909">
        <v>-3.736681E-2</v>
      </c>
      <c r="P909">
        <v>0.99948300000000001</v>
      </c>
      <c r="Q909">
        <v>1.6668570000000001E-3</v>
      </c>
      <c r="R909">
        <v>3.2112139999999997E-2</v>
      </c>
      <c r="S909">
        <v>3.002014</v>
      </c>
      <c r="T909">
        <v>-0.23943909999999999</v>
      </c>
      <c r="U909">
        <v>-6.0729979999999996E-3</v>
      </c>
      <c r="V909">
        <v>-6.9438689999999997E-2</v>
      </c>
      <c r="W909">
        <v>1.6502889999999999E-2</v>
      </c>
      <c r="X909">
        <v>0.997449699999999</v>
      </c>
      <c r="Y909">
        <v>-3.511914E-2</v>
      </c>
      <c r="Z909">
        <v>4.3737300000000002E-3</v>
      </c>
      <c r="AA909">
        <v>0.99937359999999897</v>
      </c>
      <c r="AB909">
        <v>35</v>
      </c>
      <c r="AC909">
        <v>13.6450999999999</v>
      </c>
      <c r="AD909">
        <v>-1.1043209999999899</v>
      </c>
      <c r="AE909">
        <v>-2.04999999999699E-2</v>
      </c>
      <c r="AF909">
        <v>-0.48625948224530102</v>
      </c>
      <c r="AG909">
        <v>-1.1043209999999899</v>
      </c>
      <c r="AH909">
        <v>13.5475987555148</v>
      </c>
      <c r="AI909">
        <v>94.657127858532903</v>
      </c>
      <c r="AJ909">
        <v>92.055616031807006</v>
      </c>
      <c r="AK909">
        <v>13.6012280767414</v>
      </c>
    </row>
    <row r="910" spans="1:37" x14ac:dyDescent="0.2">
      <c r="A910" t="str">
        <f>"20200111155810332"</f>
        <v>20200111155810332</v>
      </c>
      <c r="B910" t="str">
        <f>"1578729490322289"</f>
        <v>1578729490322289</v>
      </c>
      <c r="C910" t="s">
        <v>37</v>
      </c>
      <c r="D910">
        <v>5.8305429999999996</v>
      </c>
      <c r="E910">
        <v>0.51343240000000001</v>
      </c>
      <c r="F910" t="s">
        <v>41</v>
      </c>
      <c r="G910">
        <v>-288.88679999999999</v>
      </c>
      <c r="H910">
        <v>-0.05</v>
      </c>
      <c r="I910">
        <v>368.45599999999899</v>
      </c>
      <c r="J910">
        <v>-302.62619999999998</v>
      </c>
      <c r="K910">
        <v>1.0543290000000001</v>
      </c>
      <c r="L910">
        <v>368.44880000000001</v>
      </c>
      <c r="M910">
        <v>0.99919179999999996</v>
      </c>
      <c r="N910">
        <v>0</v>
      </c>
      <c r="O910">
        <v>-3.7351139999999998E-2</v>
      </c>
      <c r="P910">
        <v>0.99946389999999996</v>
      </c>
      <c r="Q910">
        <v>1.7506760000000001E-3</v>
      </c>
      <c r="R910">
        <v>3.269789E-2</v>
      </c>
      <c r="S910">
        <v>3.0019230000000001</v>
      </c>
      <c r="T910">
        <v>-0.237964799999999</v>
      </c>
      <c r="U910">
        <v>0</v>
      </c>
      <c r="V910">
        <v>-7.0008390000000004E-2</v>
      </c>
      <c r="W910">
        <v>1.657107E-2</v>
      </c>
      <c r="X910">
        <v>0.99740869999999904</v>
      </c>
      <c r="Y910">
        <v>-3.7121670000000002E-2</v>
      </c>
      <c r="Z910">
        <v>4.4250560000000001E-3</v>
      </c>
      <c r="AA910">
        <v>0.99930099999999999</v>
      </c>
      <c r="AB910">
        <v>35</v>
      </c>
      <c r="AC910">
        <v>13.7393999999999</v>
      </c>
      <c r="AD910">
        <v>-1.1043289999999999</v>
      </c>
      <c r="AE910">
        <v>7.1999999999547903E-3</v>
      </c>
      <c r="AF910">
        <v>-0.51709320757884902</v>
      </c>
      <c r="AG910">
        <v>-1.1043289999999999</v>
      </c>
      <c r="AH910">
        <v>13.641412246014401</v>
      </c>
      <c r="AI910">
        <v>94.624931408969601</v>
      </c>
      <c r="AJ910">
        <v>92.170822190082404</v>
      </c>
      <c r="AK910">
        <v>13.6958043207136</v>
      </c>
    </row>
    <row r="911" spans="1:37" x14ac:dyDescent="0.2">
      <c r="A911" t="str">
        <f>"20200111155810344"</f>
        <v>20200111155810344</v>
      </c>
      <c r="B911" t="str">
        <f>"1578729490332049"</f>
        <v>1578729490332049</v>
      </c>
      <c r="C911" t="s">
        <v>37</v>
      </c>
      <c r="D911">
        <v>5.8083830000000001</v>
      </c>
      <c r="E911">
        <v>0.51333279999999903</v>
      </c>
      <c r="F911" t="s">
        <v>41</v>
      </c>
      <c r="G911">
        <v>-288.6046</v>
      </c>
      <c r="H911">
        <v>-0.05</v>
      </c>
      <c r="I911">
        <v>368.46260000000001</v>
      </c>
      <c r="J911">
        <v>-302.42860000000002</v>
      </c>
      <c r="K911">
        <v>1.054332</v>
      </c>
      <c r="L911">
        <v>368.44150000000002</v>
      </c>
      <c r="M911">
        <v>0.99919279999999999</v>
      </c>
      <c r="N911">
        <v>0</v>
      </c>
      <c r="O911">
        <v>-3.733525E-2</v>
      </c>
      <c r="P911">
        <v>0.99945049999999902</v>
      </c>
      <c r="Q911">
        <v>1.7857629999999899E-3</v>
      </c>
      <c r="R911">
        <v>3.3104359999999999E-2</v>
      </c>
      <c r="S911">
        <v>3.0019230000000001</v>
      </c>
      <c r="T911">
        <v>-0.23642849999999899</v>
      </c>
      <c r="U911">
        <v>2.960205E-3</v>
      </c>
      <c r="V911">
        <v>-7.0398840000000004E-2</v>
      </c>
      <c r="W911">
        <v>1.6590609999999999E-2</v>
      </c>
      <c r="X911">
        <v>0.99738099999999996</v>
      </c>
      <c r="Y911">
        <v>-3.809121E-2</v>
      </c>
      <c r="Z911">
        <v>4.4334600000000002E-3</v>
      </c>
      <c r="AA911">
        <v>0.99926440000000005</v>
      </c>
      <c r="AB911">
        <v>35</v>
      </c>
      <c r="AC911">
        <v>13.824</v>
      </c>
      <c r="AD911">
        <v>-1.1043320000000001</v>
      </c>
      <c r="AE911">
        <v>2.1099999999989901E-2</v>
      </c>
      <c r="AF911">
        <v>-0.53385764416881398</v>
      </c>
      <c r="AG911">
        <v>-1.1043320000000001</v>
      </c>
      <c r="AH911">
        <v>13.7259779212438</v>
      </c>
      <c r="AI911">
        <v>94.596398790327896</v>
      </c>
      <c r="AJ911">
        <v>92.227337114956796</v>
      </c>
      <c r="AK911">
        <v>13.780675710752901</v>
      </c>
    </row>
    <row r="912" spans="1:37" x14ac:dyDescent="0.2">
      <c r="A912" t="str">
        <f>"20200111155810361"</f>
        <v>20200111155810361</v>
      </c>
      <c r="B912" t="str">
        <f>"1578729490351569"</f>
        <v>1578729490351569</v>
      </c>
      <c r="C912" t="s">
        <v>37</v>
      </c>
      <c r="D912">
        <v>5.8477730000000001</v>
      </c>
      <c r="E912">
        <v>0.51326369999999999</v>
      </c>
      <c r="F912" t="s">
        <v>41</v>
      </c>
      <c r="G912">
        <v>-288.4588</v>
      </c>
      <c r="H912">
        <v>-0.05</v>
      </c>
      <c r="I912">
        <v>368.46480000000003</v>
      </c>
      <c r="J912">
        <v>-302.1669</v>
      </c>
      <c r="K912">
        <v>1.0543389999999999</v>
      </c>
      <c r="L912">
        <v>368.4316</v>
      </c>
      <c r="M912">
        <v>0.99919369999999996</v>
      </c>
      <c r="N912">
        <v>0</v>
      </c>
      <c r="O912">
        <v>-3.7315279999999999E-2</v>
      </c>
      <c r="P912">
        <v>0.99942739999999997</v>
      </c>
      <c r="Q912">
        <v>1.1174830000000001E-3</v>
      </c>
      <c r="R912">
        <v>3.3819830000000002E-2</v>
      </c>
      <c r="S912">
        <v>3.0019230000000001</v>
      </c>
      <c r="T912">
        <v>-0.23730670000000001</v>
      </c>
      <c r="U912">
        <v>5.0048829999999999E-3</v>
      </c>
      <c r="V912">
        <v>-7.1093489999999995E-2</v>
      </c>
      <c r="W912">
        <v>1.590453E-2</v>
      </c>
      <c r="X912">
        <v>0.99734279999999997</v>
      </c>
      <c r="Y912">
        <v>-3.8748100000000001E-2</v>
      </c>
      <c r="Z912">
        <v>4.4742289999999997E-3</v>
      </c>
      <c r="AA912">
        <v>0.99923899999999999</v>
      </c>
      <c r="AB912">
        <v>35</v>
      </c>
      <c r="AC912">
        <v>13.7081</v>
      </c>
      <c r="AD912">
        <v>-1.104339</v>
      </c>
      <c r="AE912">
        <v>3.3200000000022101E-2</v>
      </c>
      <c r="AF912">
        <v>-0.54124193131008302</v>
      </c>
      <c r="AG912">
        <v>-1.104339</v>
      </c>
      <c r="AH912">
        <v>13.6089888322487</v>
      </c>
      <c r="AI912">
        <v>94.635610351176496</v>
      </c>
      <c r="AJ912">
        <v>92.277505258271702</v>
      </c>
      <c r="AK912">
        <v>13.664446000164</v>
      </c>
    </row>
    <row r="913" spans="1:37" x14ac:dyDescent="0.2">
      <c r="A913" t="str">
        <f>"20200111155810376"</f>
        <v>20200111155810376</v>
      </c>
      <c r="B913" t="str">
        <f>"1578729490372065"</f>
        <v>1578729490372065</v>
      </c>
      <c r="C913" t="s">
        <v>37</v>
      </c>
      <c r="D913">
        <v>5.746861</v>
      </c>
      <c r="E913">
        <v>0.53382410000000002</v>
      </c>
      <c r="F913" t="s">
        <v>41</v>
      </c>
      <c r="G913">
        <v>-288.33080000000001</v>
      </c>
      <c r="H913">
        <v>-0.05</v>
      </c>
      <c r="I913">
        <v>368.46780000000001</v>
      </c>
      <c r="J913">
        <v>-301.93049999999999</v>
      </c>
      <c r="K913">
        <v>1.0543400000000001</v>
      </c>
      <c r="L913">
        <v>368.42290000000003</v>
      </c>
      <c r="M913">
        <v>0.99919460000000004</v>
      </c>
      <c r="N913">
        <v>0</v>
      </c>
      <c r="O913">
        <v>-3.729764E-2</v>
      </c>
      <c r="P913">
        <v>0.99942369999999903</v>
      </c>
      <c r="Q913">
        <v>7.4335000000000004E-4</v>
      </c>
      <c r="R913">
        <v>3.3941119999999998E-2</v>
      </c>
      <c r="S913">
        <v>3.0017399999999999</v>
      </c>
      <c r="T913">
        <v>-0.23958649999999901</v>
      </c>
      <c r="U913">
        <v>7.8430180000000002E-3</v>
      </c>
      <c r="V913">
        <v>-7.1196659999999995E-2</v>
      </c>
      <c r="W913">
        <v>1.551548E-2</v>
      </c>
      <c r="X913">
        <v>0.99734159999999905</v>
      </c>
      <c r="Y913">
        <v>-3.9667849999999998E-2</v>
      </c>
      <c r="Z913">
        <v>4.5526020000000002E-3</v>
      </c>
      <c r="AA913">
        <v>0.99920249999999999</v>
      </c>
      <c r="AB913">
        <v>35</v>
      </c>
      <c r="AC913">
        <v>13.599699999999901</v>
      </c>
      <c r="AD913">
        <v>-1.1043400000000001</v>
      </c>
      <c r="AE913">
        <v>4.4899999999984098E-2</v>
      </c>
      <c r="AF913">
        <v>-0.54854398450793895</v>
      </c>
      <c r="AG913">
        <v>-1.1043400000000001</v>
      </c>
      <c r="AH913">
        <v>13.499545794331</v>
      </c>
      <c r="AI913">
        <v>94.672869231607905</v>
      </c>
      <c r="AJ913">
        <v>92.326891194969306</v>
      </c>
      <c r="AK913">
        <v>13.555744317143899</v>
      </c>
    </row>
    <row r="914" spans="1:37" x14ac:dyDescent="0.2">
      <c r="A914" t="str">
        <f>"20200111155810389"</f>
        <v>20200111155810389</v>
      </c>
      <c r="B914" t="str">
        <f>"1578729490381825"</f>
        <v>1578729490381825</v>
      </c>
      <c r="C914" t="s">
        <v>37</v>
      </c>
      <c r="D914">
        <v>5.8819239999999997</v>
      </c>
      <c r="E914">
        <v>0.53530840000000002</v>
      </c>
      <c r="F914" t="s">
        <v>38</v>
      </c>
      <c r="G914">
        <v>-301.06610000000001</v>
      </c>
      <c r="H914">
        <v>0.99107239999999996</v>
      </c>
      <c r="I914">
        <v>368.37740000000002</v>
      </c>
      <c r="J914">
        <v>-301.7244</v>
      </c>
      <c r="K914">
        <v>1.054341</v>
      </c>
      <c r="L914">
        <v>368.41520000000003</v>
      </c>
      <c r="M914">
        <v>0.99919530000000001</v>
      </c>
      <c r="N914">
        <v>0</v>
      </c>
      <c r="O914">
        <v>-3.728244E-2</v>
      </c>
      <c r="P914">
        <v>0.99941740000000001</v>
      </c>
      <c r="Q914">
        <v>3.8265249999999999E-4</v>
      </c>
      <c r="R914">
        <v>3.4130069999999998E-2</v>
      </c>
      <c r="S914">
        <v>3.0072019999999999</v>
      </c>
      <c r="T914">
        <v>-0.2204255</v>
      </c>
      <c r="U914">
        <v>-0.15692139999999999</v>
      </c>
      <c r="V914">
        <v>-7.1371119999999996E-2</v>
      </c>
      <c r="W914">
        <v>1.5142640000000001E-2</v>
      </c>
      <c r="X914">
        <v>0.99733490000000002</v>
      </c>
      <c r="Y914">
        <v>1.48986999999999E-2</v>
      </c>
      <c r="Z914">
        <v>2.1814949999999999E-3</v>
      </c>
      <c r="AA914">
        <v>0.99988659999999996</v>
      </c>
      <c r="AB914">
        <v>35</v>
      </c>
      <c r="AC914">
        <v>0.658299999999997</v>
      </c>
      <c r="AD914">
        <v>-6.3268599999999994E-2</v>
      </c>
      <c r="AE914">
        <v>-3.7800000000004198E-2</v>
      </c>
      <c r="AF914">
        <v>1.3107325254420699E-2</v>
      </c>
      <c r="AG914">
        <v>-6.3268599999999994E-2</v>
      </c>
      <c r="AH914">
        <v>0.65323756361265795</v>
      </c>
      <c r="AI914">
        <v>95.530957700362904</v>
      </c>
      <c r="AJ914">
        <v>88.850504475407305</v>
      </c>
      <c r="AK914">
        <v>0.65642519165239699</v>
      </c>
    </row>
    <row r="915" spans="1:37" x14ac:dyDescent="0.2">
      <c r="A915" t="str">
        <f>"20200111155810407"</f>
        <v>20200111155810407</v>
      </c>
      <c r="B915" t="str">
        <f>"1578729490402321"</f>
        <v>1578729490402321</v>
      </c>
      <c r="C915" t="s">
        <v>37</v>
      </c>
      <c r="D915">
        <v>5.8580610000000002</v>
      </c>
      <c r="E915">
        <v>0.53686250000000002</v>
      </c>
      <c r="F915" t="s">
        <v>38</v>
      </c>
      <c r="G915">
        <v>-300.76029999999997</v>
      </c>
      <c r="H915">
        <v>0.97934589999999999</v>
      </c>
      <c r="I915">
        <v>368.3614</v>
      </c>
      <c r="J915">
        <v>-301.45499999999998</v>
      </c>
      <c r="K915">
        <v>1.0543370000000001</v>
      </c>
      <c r="L915">
        <v>368.4051</v>
      </c>
      <c r="M915">
        <v>0.99919629999999904</v>
      </c>
      <c r="N915">
        <v>0</v>
      </c>
      <c r="O915">
        <v>-3.7263039999999997E-2</v>
      </c>
      <c r="P915">
        <v>0.99941550000000001</v>
      </c>
      <c r="Q915">
        <v>1.077149E-4</v>
      </c>
      <c r="R915">
        <v>3.4188490000000002E-2</v>
      </c>
      <c r="S915">
        <v>3.0075989999999999</v>
      </c>
      <c r="T915">
        <v>-0.23405580000000001</v>
      </c>
      <c r="U915">
        <v>-0.16744999999999999</v>
      </c>
      <c r="V915">
        <v>-7.1409459999999994E-2</v>
      </c>
      <c r="W915">
        <v>1.4853709999999999E-2</v>
      </c>
      <c r="X915">
        <v>0.99733649999999996</v>
      </c>
      <c r="Y915">
        <v>1.8398250000000001E-2</v>
      </c>
      <c r="Z915">
        <v>2.178064E-3</v>
      </c>
      <c r="AA915">
        <v>0.9998283</v>
      </c>
      <c r="AB915">
        <v>35</v>
      </c>
      <c r="AC915">
        <v>0.69470000000001098</v>
      </c>
      <c r="AD915">
        <v>-7.4991099999999894E-2</v>
      </c>
      <c r="AE915">
        <v>-4.3700000000001099E-2</v>
      </c>
      <c r="AF915">
        <v>1.75761825888858E-2</v>
      </c>
      <c r="AG915">
        <v>-7.4991099999999894E-2</v>
      </c>
      <c r="AH915">
        <v>0.68786216470628503</v>
      </c>
      <c r="AI915">
        <v>96.219830007497094</v>
      </c>
      <c r="AJ915">
        <v>88.536302686403204</v>
      </c>
      <c r="AK915">
        <v>0.69216106861627502</v>
      </c>
    </row>
    <row r="916" spans="1:37" x14ac:dyDescent="0.2">
      <c r="A916" t="str">
        <f>"20200111155810418"</f>
        <v>20200111155810418</v>
      </c>
      <c r="B916" t="str">
        <f>"1578729490412082"</f>
        <v>1578729490412082</v>
      </c>
      <c r="C916" t="s">
        <v>37</v>
      </c>
      <c r="D916">
        <v>5.9072009999999997</v>
      </c>
      <c r="E916">
        <v>0.53693709999999994</v>
      </c>
      <c r="F916" t="s">
        <v>38</v>
      </c>
      <c r="G916">
        <v>-300.44970000000001</v>
      </c>
      <c r="H916">
        <v>0.9731088</v>
      </c>
      <c r="I916">
        <v>368.3449</v>
      </c>
      <c r="J916">
        <v>-301.25909999999999</v>
      </c>
      <c r="K916">
        <v>1.0543370000000001</v>
      </c>
      <c r="L916">
        <v>368.39780000000002</v>
      </c>
      <c r="M916">
        <v>0.99919690000000005</v>
      </c>
      <c r="N916">
        <v>0</v>
      </c>
      <c r="O916">
        <v>-3.7248980000000001E-2</v>
      </c>
      <c r="P916">
        <v>0.99942770000000003</v>
      </c>
      <c r="Q916" s="1">
        <v>-1.6137960000000001E-5</v>
      </c>
      <c r="R916">
        <v>3.3827139999999999E-2</v>
      </c>
      <c r="S916">
        <v>3.0079349999999998</v>
      </c>
      <c r="T916">
        <v>-0.24326239999999999</v>
      </c>
      <c r="U916">
        <v>-0.17950439999999901</v>
      </c>
      <c r="V916">
        <v>-7.1035329999999994E-2</v>
      </c>
      <c r="W916">
        <v>1.472117E-2</v>
      </c>
      <c r="X916">
        <v>0.99736519999999995</v>
      </c>
      <c r="Y916">
        <v>2.2391029999999999E-2</v>
      </c>
      <c r="Z916">
        <v>2.100715E-3</v>
      </c>
      <c r="AA916">
        <v>0.9997471</v>
      </c>
      <c r="AB916">
        <v>35</v>
      </c>
      <c r="AC916">
        <v>0.80939999999998202</v>
      </c>
      <c r="AD916">
        <v>-8.12282E-2</v>
      </c>
      <c r="AE916">
        <v>-5.2900000000022297E-2</v>
      </c>
      <c r="AF916">
        <v>2.2485175329467501E-2</v>
      </c>
      <c r="AG916">
        <v>-8.12282E-2</v>
      </c>
      <c r="AH916">
        <v>0.802758387899833</v>
      </c>
      <c r="AI916">
        <v>95.775635791405705</v>
      </c>
      <c r="AJ916">
        <v>88.395570932939705</v>
      </c>
      <c r="AK916">
        <v>0.80717075822181195</v>
      </c>
    </row>
    <row r="917" spans="1:37" x14ac:dyDescent="0.2">
      <c r="A917" t="str">
        <f>"20200111155810432"</f>
        <v>20200111155810432</v>
      </c>
      <c r="B917" t="str">
        <f>"1578729490421841"</f>
        <v>1578729490421841</v>
      </c>
      <c r="C917" t="s">
        <v>37</v>
      </c>
      <c r="D917">
        <v>5.9095510000000004</v>
      </c>
      <c r="E917">
        <v>0.53669149999999999</v>
      </c>
      <c r="F917" t="s">
        <v>38</v>
      </c>
      <c r="G917">
        <v>-300.44209999999998</v>
      </c>
      <c r="H917">
        <v>0.98731740000000001</v>
      </c>
      <c r="I917">
        <v>368.34840000000003</v>
      </c>
      <c r="J917">
        <v>-301.0564</v>
      </c>
      <c r="K917">
        <v>1.0543419999999999</v>
      </c>
      <c r="L917">
        <v>368.39030000000002</v>
      </c>
      <c r="M917">
        <v>0.99919749999999996</v>
      </c>
      <c r="N917">
        <v>0</v>
      </c>
      <c r="O917">
        <v>-3.7234320000000001E-2</v>
      </c>
      <c r="P917">
        <v>0.999434499999999</v>
      </c>
      <c r="Q917">
        <v>-3.2137149999999999E-4</v>
      </c>
      <c r="R917">
        <v>3.3628089999999999E-2</v>
      </c>
      <c r="S917">
        <v>3.0078429999999998</v>
      </c>
      <c r="T917">
        <v>-0.247030899999999</v>
      </c>
      <c r="U917">
        <v>-0.1812744</v>
      </c>
      <c r="V917">
        <v>-7.0822109999999994E-2</v>
      </c>
      <c r="W917">
        <v>1.4406489999999999E-2</v>
      </c>
      <c r="X917">
        <v>0.99738490000000002</v>
      </c>
      <c r="Y917">
        <v>2.299315E-2</v>
      </c>
      <c r="Z917">
        <v>2.1073070000000001E-3</v>
      </c>
      <c r="AA917">
        <v>0.99973339999999999</v>
      </c>
      <c r="AB917">
        <v>35</v>
      </c>
      <c r="AC917">
        <v>0.61430000000001395</v>
      </c>
      <c r="AD917">
        <v>-6.7024599999999906E-2</v>
      </c>
      <c r="AE917">
        <v>-4.1899999999998203E-2</v>
      </c>
      <c r="AF917">
        <v>1.8772956856073601E-2</v>
      </c>
      <c r="AG917">
        <v>-6.7024599999999906E-2</v>
      </c>
      <c r="AH917">
        <v>0.608227167511037</v>
      </c>
      <c r="AI917">
        <v>96.285461869057599</v>
      </c>
      <c r="AJ917">
        <v>88.232124625880303</v>
      </c>
      <c r="AK917">
        <v>0.61219687046960602</v>
      </c>
    </row>
    <row r="918" spans="1:37" x14ac:dyDescent="0.2">
      <c r="A918" t="str">
        <f>"20200111155810445"</f>
        <v>20200111155810445</v>
      </c>
      <c r="B918" t="str">
        <f>"1578729490442337"</f>
        <v>1578729490442337</v>
      </c>
      <c r="C918" t="s">
        <v>37</v>
      </c>
      <c r="D918">
        <v>5.7743949999999904</v>
      </c>
      <c r="E918">
        <v>0.53525519999999904</v>
      </c>
      <c r="F918" t="s">
        <v>38</v>
      </c>
      <c r="G918">
        <v>-300.13369999999998</v>
      </c>
      <c r="H918">
        <v>0.97767929999999903</v>
      </c>
      <c r="I918">
        <v>368.33499999999998</v>
      </c>
      <c r="J918">
        <v>-300.84309999999999</v>
      </c>
      <c r="K918">
        <v>1.054343</v>
      </c>
      <c r="L918">
        <v>368.38229999999999</v>
      </c>
      <c r="M918">
        <v>0.99919820000000004</v>
      </c>
      <c r="N918">
        <v>0</v>
      </c>
      <c r="O918">
        <v>-3.7218960000000002E-2</v>
      </c>
      <c r="P918">
        <v>0.9994383</v>
      </c>
      <c r="Q918">
        <v>-2.05289599999999E-4</v>
      </c>
      <c r="R918">
        <v>3.3509629999999999E-2</v>
      </c>
      <c r="S918">
        <v>3.00766</v>
      </c>
      <c r="T918">
        <v>-0.25008330000000001</v>
      </c>
      <c r="U918">
        <v>-0.17962649999999999</v>
      </c>
      <c r="V918">
        <v>-7.068837E-2</v>
      </c>
      <c r="W918">
        <v>1.4513760000000001E-2</v>
      </c>
      <c r="X918">
        <v>0.99739279999999997</v>
      </c>
      <c r="Y918">
        <v>2.2469309999999999E-2</v>
      </c>
      <c r="Z918">
        <v>2.1538779999999902E-3</v>
      </c>
      <c r="AA918">
        <v>0.999745199999999</v>
      </c>
      <c r="AB918">
        <v>35</v>
      </c>
      <c r="AC918">
        <v>0.70940000000001602</v>
      </c>
      <c r="AD918">
        <v>-7.6663700000000098E-2</v>
      </c>
      <c r="AE918">
        <v>-4.7300000000007003E-2</v>
      </c>
      <c r="AF918">
        <v>2.06214483048511E-2</v>
      </c>
      <c r="AG918">
        <v>-7.6663700000000098E-2</v>
      </c>
      <c r="AH918">
        <v>0.70250098631282498</v>
      </c>
      <c r="AI918">
        <v>96.225363227492096</v>
      </c>
      <c r="AJ918">
        <v>88.318603403722506</v>
      </c>
      <c r="AK918">
        <v>0.70697256155976196</v>
      </c>
    </row>
    <row r="919" spans="1:37" x14ac:dyDescent="0.2">
      <c r="A919" t="str">
        <f>"20200111155810461"</f>
        <v>20200111155810461</v>
      </c>
      <c r="B919" t="str">
        <f>"1578729490452098"</f>
        <v>1578729490452098</v>
      </c>
      <c r="C919" t="s">
        <v>37</v>
      </c>
      <c r="D919">
        <v>5.8511489999999897</v>
      </c>
      <c r="E919">
        <v>0.53526809999999903</v>
      </c>
      <c r="F919" t="s">
        <v>38</v>
      </c>
      <c r="G919">
        <v>-299.82420000000002</v>
      </c>
      <c r="H919">
        <v>0.96989859999999894</v>
      </c>
      <c r="I919">
        <v>368.32490000000001</v>
      </c>
      <c r="J919">
        <v>-300.58609999999999</v>
      </c>
      <c r="K919">
        <v>1.0543340000000001</v>
      </c>
      <c r="L919">
        <v>368.37279999999998</v>
      </c>
      <c r="M919">
        <v>0.99919919999999995</v>
      </c>
      <c r="N919">
        <v>0</v>
      </c>
      <c r="O919">
        <v>-3.7201089999999999E-2</v>
      </c>
      <c r="P919">
        <v>0.99945339999999905</v>
      </c>
      <c r="Q919">
        <v>-4.1051580000000002E-4</v>
      </c>
      <c r="R919">
        <v>3.3062979999999999E-2</v>
      </c>
      <c r="S919">
        <v>3.0072939999999999</v>
      </c>
      <c r="T919">
        <v>-0.24938829999999901</v>
      </c>
      <c r="U919">
        <v>-0.16867070000000001</v>
      </c>
      <c r="V919">
        <v>-7.0224869999999995E-2</v>
      </c>
      <c r="W919">
        <v>1.429921E-2</v>
      </c>
      <c r="X919">
        <v>0.99742869999999995</v>
      </c>
      <c r="Y919">
        <v>1.8876299999999999E-2</v>
      </c>
      <c r="Z919">
        <v>2.2955789999999998E-3</v>
      </c>
      <c r="AA919">
        <v>0.99981919999999902</v>
      </c>
      <c r="AB919">
        <v>35</v>
      </c>
      <c r="AC919">
        <v>0.76189999999996805</v>
      </c>
      <c r="AD919">
        <v>-8.4435400000000105E-2</v>
      </c>
      <c r="AE919">
        <v>-4.7899999999970001E-2</v>
      </c>
      <c r="AF919">
        <v>1.92843404828167E-2</v>
      </c>
      <c r="AG919">
        <v>-8.4435400000000105E-2</v>
      </c>
      <c r="AH919">
        <v>0.75393162892386301</v>
      </c>
      <c r="AI919">
        <v>96.388052282893696</v>
      </c>
      <c r="AJ919">
        <v>88.534786963811399</v>
      </c>
      <c r="AK919">
        <v>0.75889006032020601</v>
      </c>
    </row>
    <row r="920" spans="1:37" x14ac:dyDescent="0.2">
      <c r="A920" t="str">
        <f>"20200111155810475"</f>
        <v>20200111155810475</v>
      </c>
      <c r="B920" t="str">
        <f>"1578729490472594"</f>
        <v>1578729490472594</v>
      </c>
      <c r="C920" t="s">
        <v>37</v>
      </c>
      <c r="D920">
        <v>5.9956430000000003</v>
      </c>
      <c r="E920">
        <v>0.53496350000000004</v>
      </c>
      <c r="F920" t="s">
        <v>38</v>
      </c>
      <c r="G920">
        <v>-299.81229999999999</v>
      </c>
      <c r="H920">
        <v>0.98982380000000003</v>
      </c>
      <c r="I920">
        <v>368.32870000000003</v>
      </c>
      <c r="J920">
        <v>-300.38060000000002</v>
      </c>
      <c r="K920">
        <v>1.05433</v>
      </c>
      <c r="L920">
        <v>368.36509999999998</v>
      </c>
      <c r="M920">
        <v>0.99919969999999902</v>
      </c>
      <c r="N920">
        <v>0</v>
      </c>
      <c r="O920">
        <v>-3.7186820000000002E-2</v>
      </c>
      <c r="P920">
        <v>0.9994596</v>
      </c>
      <c r="Q920">
        <v>-4.524048E-4</v>
      </c>
      <c r="R920">
        <v>3.2869240000000001E-2</v>
      </c>
      <c r="S920">
        <v>3.0071720000000002</v>
      </c>
      <c r="T920">
        <v>-0.25097419999999998</v>
      </c>
      <c r="U920">
        <v>-0.17022709999999999</v>
      </c>
      <c r="V920">
        <v>-7.0017079999999995E-2</v>
      </c>
      <c r="W920">
        <v>1.42501E-2</v>
      </c>
      <c r="X920">
        <v>0.997444</v>
      </c>
      <c r="Y920">
        <v>1.9407589999999999E-2</v>
      </c>
      <c r="Z920">
        <v>2.2868799999999998E-3</v>
      </c>
      <c r="AA920">
        <v>0.99980899999999995</v>
      </c>
      <c r="AB920">
        <v>35</v>
      </c>
      <c r="AC920">
        <v>0.56830000000002201</v>
      </c>
      <c r="AD920">
        <v>-6.4506199999999805E-2</v>
      </c>
      <c r="AE920">
        <v>-3.6399999999957799E-2</v>
      </c>
      <c r="AF920">
        <v>1.5046191870325E-2</v>
      </c>
      <c r="AG920">
        <v>-6.4506199999999805E-2</v>
      </c>
      <c r="AH920">
        <v>0.562048787940855</v>
      </c>
      <c r="AI920">
        <v>96.544851612583301</v>
      </c>
      <c r="AJ920">
        <v>88.4665433633117</v>
      </c>
      <c r="AK920">
        <v>0.565938404558325</v>
      </c>
    </row>
    <row r="921" spans="1:37" x14ac:dyDescent="0.2">
      <c r="A921" t="str">
        <f>"20200111155810487"</f>
        <v>20200111155810487</v>
      </c>
      <c r="B921" t="str">
        <f>"1578729490482353"</f>
        <v>1578729490482353</v>
      </c>
      <c r="C921" t="s">
        <v>37</v>
      </c>
      <c r="D921">
        <v>5.7808859999999997</v>
      </c>
      <c r="E921">
        <v>0.53503610000000001</v>
      </c>
      <c r="F921" t="s">
        <v>38</v>
      </c>
      <c r="G921">
        <v>-299.50529999999998</v>
      </c>
      <c r="H921">
        <v>0.98164699999999905</v>
      </c>
      <c r="I921">
        <v>368.31599999999997</v>
      </c>
      <c r="J921">
        <v>-300.1848</v>
      </c>
      <c r="K921">
        <v>1.0543279999999999</v>
      </c>
      <c r="L921">
        <v>368.35789999999997</v>
      </c>
      <c r="M921">
        <v>0.99920030000000004</v>
      </c>
      <c r="N921">
        <v>0</v>
      </c>
      <c r="O921">
        <v>-3.7173159999999997E-2</v>
      </c>
      <c r="P921">
        <v>0.99946699999999999</v>
      </c>
      <c r="Q921">
        <v>-8.1286949999999998E-4</v>
      </c>
      <c r="R921">
        <v>3.2644159999999998E-2</v>
      </c>
      <c r="S921">
        <v>3.00707999999999</v>
      </c>
      <c r="T921">
        <v>-0.24979609999999999</v>
      </c>
      <c r="U921">
        <v>-0.1682739</v>
      </c>
      <c r="V921">
        <v>-6.9779160000000007E-2</v>
      </c>
      <c r="W921">
        <v>1.388297E-2</v>
      </c>
      <c r="X921">
        <v>0.99746579999999996</v>
      </c>
      <c r="Y921">
        <v>1.8777189999999999E-2</v>
      </c>
      <c r="Z921">
        <v>2.301287E-3</v>
      </c>
      <c r="AA921">
        <v>0.99982109999999902</v>
      </c>
      <c r="AB921">
        <v>35</v>
      </c>
      <c r="AC921">
        <v>0.67950000000001798</v>
      </c>
      <c r="AD921">
        <v>-7.2681000000000204E-2</v>
      </c>
      <c r="AE921">
        <v>-4.1899999999998203E-2</v>
      </c>
      <c r="AF921">
        <v>1.6421960368783701E-2</v>
      </c>
      <c r="AG921">
        <v>-7.2681000000000204E-2</v>
      </c>
      <c r="AH921">
        <v>0.67291830283049003</v>
      </c>
      <c r="AI921">
        <v>96.162721815495701</v>
      </c>
      <c r="AJ921">
        <v>88.602025990298699</v>
      </c>
      <c r="AK921">
        <v>0.67703120373260595</v>
      </c>
    </row>
    <row r="922" spans="1:37" x14ac:dyDescent="0.2">
      <c r="A922" t="str">
        <f>"20200111155810498"</f>
        <v>20200111155810498</v>
      </c>
      <c r="B922" t="str">
        <f>"1578729490492112"</f>
        <v>1578729490492112</v>
      </c>
      <c r="C922" t="s">
        <v>37</v>
      </c>
      <c r="D922">
        <v>5.837345</v>
      </c>
      <c r="E922">
        <v>0.53471740000000001</v>
      </c>
      <c r="F922" t="s">
        <v>38</v>
      </c>
      <c r="G922">
        <v>-299.19779999999997</v>
      </c>
      <c r="H922">
        <v>0.97173960000000004</v>
      </c>
      <c r="I922">
        <v>368.301999999999</v>
      </c>
      <c r="J922">
        <v>-299.99619999999999</v>
      </c>
      <c r="K922">
        <v>1.0543340000000001</v>
      </c>
      <c r="L922">
        <v>368.35090000000002</v>
      </c>
      <c r="M922">
        <v>0.99920089999999995</v>
      </c>
      <c r="N922">
        <v>0</v>
      </c>
      <c r="O922">
        <v>-3.7160230000000002E-2</v>
      </c>
      <c r="P922">
        <v>0.99947419999999998</v>
      </c>
      <c r="Q922">
        <v>-1.190197E-3</v>
      </c>
      <c r="R922">
        <v>3.2404950000000002E-2</v>
      </c>
      <c r="S922">
        <v>3.0069270000000001</v>
      </c>
      <c r="T922">
        <v>-0.25182739999999998</v>
      </c>
      <c r="U922">
        <v>-0.1694031</v>
      </c>
      <c r="V922">
        <v>-6.9527420000000006E-2</v>
      </c>
      <c r="W922">
        <v>1.3500109999999999E-2</v>
      </c>
      <c r="X922">
        <v>0.99748869999999901</v>
      </c>
      <c r="Y922">
        <v>1.9166860000000001E-2</v>
      </c>
      <c r="Z922">
        <v>2.3026679999999999E-3</v>
      </c>
      <c r="AA922">
        <v>0.99981369999999903</v>
      </c>
      <c r="AB922">
        <v>35</v>
      </c>
      <c r="AC922">
        <v>0.79840000000001499</v>
      </c>
      <c r="AD922">
        <v>-8.2594399999999998E-2</v>
      </c>
      <c r="AE922">
        <v>-4.8900000000060097E-2</v>
      </c>
      <c r="AF922">
        <v>1.8991787705251201E-2</v>
      </c>
      <c r="AG922">
        <v>-8.2594399999999998E-2</v>
      </c>
      <c r="AH922">
        <v>0.79122977191769095</v>
      </c>
      <c r="AI922">
        <v>95.957669136850797</v>
      </c>
      <c r="AJ922">
        <v>88.625000705158897</v>
      </c>
      <c r="AK922">
        <v>0.79575566280141696</v>
      </c>
    </row>
    <row r="923" spans="1:37" x14ac:dyDescent="0.2">
      <c r="A923" t="str">
        <f>"20200111155810511"</f>
        <v>20200111155810511</v>
      </c>
      <c r="B923" t="str">
        <f>"1578729490501873"</f>
        <v>1578729490501873</v>
      </c>
      <c r="C923" t="s">
        <v>37</v>
      </c>
      <c r="D923">
        <v>5.7125519999999996</v>
      </c>
      <c r="E923">
        <v>0.53454080000000004</v>
      </c>
      <c r="F923" t="s">
        <v>38</v>
      </c>
      <c r="G923">
        <v>-299.18990000000002</v>
      </c>
      <c r="H923">
        <v>0.98646270000000003</v>
      </c>
      <c r="I923">
        <v>368.3057</v>
      </c>
      <c r="J923">
        <v>-299.81349999999998</v>
      </c>
      <c r="K923">
        <v>1.0543340000000001</v>
      </c>
      <c r="L923">
        <v>368.34410000000003</v>
      </c>
      <c r="M923">
        <v>0.99920140000000002</v>
      </c>
      <c r="N923">
        <v>0</v>
      </c>
      <c r="O923">
        <v>-3.714742E-2</v>
      </c>
      <c r="P923">
        <v>0.99948119999999996</v>
      </c>
      <c r="Q923">
        <v>-1.523424E-3</v>
      </c>
      <c r="R923">
        <v>3.2176389999999999E-2</v>
      </c>
      <c r="S923">
        <v>3.0066830000000002</v>
      </c>
      <c r="T923">
        <v>-0.25338139999999998</v>
      </c>
      <c r="U923">
        <v>-0.16751099999999999</v>
      </c>
      <c r="V923">
        <v>-6.9286589999999995E-2</v>
      </c>
      <c r="W923">
        <v>1.3161580000000001E-2</v>
      </c>
      <c r="X923">
        <v>0.99751000000000001</v>
      </c>
      <c r="Y923">
        <v>1.8559909999999999E-2</v>
      </c>
      <c r="Z923">
        <v>2.341498E-3</v>
      </c>
      <c r="AA923">
        <v>0.99982499999999996</v>
      </c>
      <c r="AB923">
        <v>35</v>
      </c>
      <c r="AC923">
        <v>0.62359999999995297</v>
      </c>
      <c r="AD923">
        <v>-6.7871299999999996E-2</v>
      </c>
      <c r="AE923">
        <v>-3.8400000000024102E-2</v>
      </c>
      <c r="AF923">
        <v>1.5028499407744599E-2</v>
      </c>
      <c r="AG923">
        <v>-6.7871299999999996E-2</v>
      </c>
      <c r="AH923">
        <v>0.61731126043599005</v>
      </c>
      <c r="AI923">
        <v>96.272434130803504</v>
      </c>
      <c r="AJ923">
        <v>88.605404452810504</v>
      </c>
      <c r="AK923">
        <v>0.62121297589410396</v>
      </c>
    </row>
    <row r="924" spans="1:37" x14ac:dyDescent="0.2">
      <c r="A924" t="str">
        <f>"20200111155810524"</f>
        <v>20200111155810524</v>
      </c>
      <c r="B924" t="str">
        <f>"1578729490511633"</f>
        <v>1578729490511633</v>
      </c>
      <c r="C924" t="s">
        <v>37</v>
      </c>
      <c r="D924">
        <v>6.0083760000000002</v>
      </c>
      <c r="E924">
        <v>0.53445399999999998</v>
      </c>
      <c r="F924" t="s">
        <v>38</v>
      </c>
      <c r="G924">
        <v>-298.88369999999998</v>
      </c>
      <c r="H924">
        <v>0.97536440000000002</v>
      </c>
      <c r="I924">
        <v>368.29239999999999</v>
      </c>
      <c r="J924">
        <v>-299.61320000000001</v>
      </c>
      <c r="K924">
        <v>1.0543340000000001</v>
      </c>
      <c r="L924">
        <v>368.33659999999998</v>
      </c>
      <c r="M924">
        <v>0.99920200000000003</v>
      </c>
      <c r="N924">
        <v>0</v>
      </c>
      <c r="O924">
        <v>-3.7133659999999999E-2</v>
      </c>
      <c r="P924">
        <v>0.99947849999999905</v>
      </c>
      <c r="Q924">
        <v>-1.784688E-3</v>
      </c>
      <c r="R924">
        <v>3.2242680000000003E-2</v>
      </c>
      <c r="S924">
        <v>3.0065309999999998</v>
      </c>
      <c r="T924">
        <v>-0.2553955</v>
      </c>
      <c r="U924">
        <v>-0.1668396</v>
      </c>
      <c r="V924">
        <v>-6.9339150000000002E-2</v>
      </c>
      <c r="W924">
        <v>1.28941E-2</v>
      </c>
      <c r="X924">
        <v>0.9975098</v>
      </c>
      <c r="Y924">
        <v>1.8355659999999999E-2</v>
      </c>
      <c r="Z924">
        <v>2.3676689999999898E-3</v>
      </c>
      <c r="AA924">
        <v>0.99982870000000001</v>
      </c>
      <c r="AB924">
        <v>35</v>
      </c>
      <c r="AC924">
        <v>0.72950000000003001</v>
      </c>
      <c r="AD924">
        <v>-7.8969600000000001E-2</v>
      </c>
      <c r="AE924">
        <v>-4.4199999999989303E-2</v>
      </c>
      <c r="AF924">
        <v>1.6880482631280801E-2</v>
      </c>
      <c r="AG924">
        <v>-7.8969600000000001E-2</v>
      </c>
      <c r="AH924">
        <v>0.722206082593286</v>
      </c>
      <c r="AI924">
        <v>96.2385234554162</v>
      </c>
      <c r="AJ924">
        <v>88.661040993979398</v>
      </c>
      <c r="AK924">
        <v>0.72670680067876503</v>
      </c>
    </row>
    <row r="925" spans="1:37" x14ac:dyDescent="0.2">
      <c r="A925" t="str">
        <f>"20200111155810540"</f>
        <v>20200111155810540</v>
      </c>
      <c r="B925" t="str">
        <f>"1578729490532129"</f>
        <v>1578729490532129</v>
      </c>
      <c r="C925" t="s">
        <v>37</v>
      </c>
      <c r="D925">
        <v>5.8133039999999996</v>
      </c>
      <c r="E925">
        <v>0.53428959999999903</v>
      </c>
      <c r="F925" t="s">
        <v>38</v>
      </c>
      <c r="G925">
        <v>-298.87290000000002</v>
      </c>
      <c r="H925">
        <v>0.99157019999999996</v>
      </c>
      <c r="I925">
        <v>368.29570000000001</v>
      </c>
      <c r="J925">
        <v>-299.3578</v>
      </c>
      <c r="K925">
        <v>1.054332</v>
      </c>
      <c r="L925">
        <v>368.32709999999997</v>
      </c>
      <c r="M925">
        <v>0.9992027</v>
      </c>
      <c r="N925">
        <v>0</v>
      </c>
      <c r="O925">
        <v>-3.7115719999999998E-2</v>
      </c>
      <c r="P925">
        <v>0.99949009999999905</v>
      </c>
      <c r="Q925">
        <v>-1.3757589999999901E-3</v>
      </c>
      <c r="R925">
        <v>3.1902149999999997E-2</v>
      </c>
      <c r="S925">
        <v>3.0064700000000002</v>
      </c>
      <c r="T925">
        <v>-0.2550037</v>
      </c>
      <c r="U925">
        <v>-0.16601559999999899</v>
      </c>
      <c r="V925">
        <v>-6.8981100000000004E-2</v>
      </c>
      <c r="W925">
        <v>1.329699E-2</v>
      </c>
      <c r="X925">
        <v>0.99752929999999995</v>
      </c>
      <c r="Y925">
        <v>1.8102199999999999E-2</v>
      </c>
      <c r="Z925">
        <v>2.373324E-3</v>
      </c>
      <c r="AA925">
        <v>0.99983330000000004</v>
      </c>
      <c r="AB925">
        <v>35</v>
      </c>
      <c r="AC925">
        <v>0.48489999999998101</v>
      </c>
      <c r="AD925">
        <v>-6.2761800000000006E-2</v>
      </c>
      <c r="AE925">
        <v>-3.1399999999962298E-2</v>
      </c>
      <c r="AF925">
        <v>1.31594629881846E-2</v>
      </c>
      <c r="AG925">
        <v>-6.2761800000000006E-2</v>
      </c>
      <c r="AH925">
        <v>0.47776098502024</v>
      </c>
      <c r="AI925">
        <v>97.481088332013698</v>
      </c>
      <c r="AJ925">
        <v>88.422242240510798</v>
      </c>
      <c r="AK925">
        <v>0.48204540638085902</v>
      </c>
    </row>
    <row r="926" spans="1:37" x14ac:dyDescent="0.2">
      <c r="A926" t="str">
        <f>"20200111155810556"</f>
        <v>20200111155810556</v>
      </c>
      <c r="B926" t="str">
        <f>"1578729490552627"</f>
        <v>1578729490552627</v>
      </c>
      <c r="C926" t="s">
        <v>37</v>
      </c>
      <c r="D926">
        <v>5.9403459999999999</v>
      </c>
      <c r="E926">
        <v>0.53383899999999995</v>
      </c>
      <c r="F926" t="s">
        <v>38</v>
      </c>
      <c r="G926">
        <v>-298.56509999999997</v>
      </c>
      <c r="H926">
        <v>0.98710699999999996</v>
      </c>
      <c r="I926">
        <v>368.2833</v>
      </c>
      <c r="J926">
        <v>-299.12060000000002</v>
      </c>
      <c r="K926">
        <v>1.054332</v>
      </c>
      <c r="L926">
        <v>368.31830000000002</v>
      </c>
      <c r="M926">
        <v>0.99920339999999996</v>
      </c>
      <c r="N926">
        <v>0</v>
      </c>
      <c r="O926">
        <v>-3.7099090000000001E-2</v>
      </c>
      <c r="P926">
        <v>0.99949659999999996</v>
      </c>
      <c r="Q926">
        <v>-1.195308E-3</v>
      </c>
      <c r="R926">
        <v>3.1704400000000001E-2</v>
      </c>
      <c r="S926">
        <v>3.0064700000000002</v>
      </c>
      <c r="T926">
        <v>-0.25514589999999998</v>
      </c>
      <c r="U926">
        <v>-0.16571040000000001</v>
      </c>
      <c r="V926">
        <v>-6.876736E-2</v>
      </c>
      <c r="W926">
        <v>1.347102E-2</v>
      </c>
      <c r="X926">
        <v>0.99754179999999903</v>
      </c>
      <c r="Y926">
        <v>1.8017970000000001E-2</v>
      </c>
      <c r="Z926">
        <v>2.3768090000000001E-3</v>
      </c>
      <c r="AA926">
        <v>0.99983480000000002</v>
      </c>
      <c r="AB926">
        <v>35</v>
      </c>
      <c r="AC926">
        <v>0.55550000000005095</v>
      </c>
      <c r="AD926">
        <v>-6.7224999999999993E-2</v>
      </c>
      <c r="AE926">
        <v>-3.5000000000024997E-2</v>
      </c>
      <c r="AF926">
        <v>1.4158592963487201E-2</v>
      </c>
      <c r="AG926">
        <v>-6.7224999999999993E-2</v>
      </c>
      <c r="AH926">
        <v>0.548416240894398</v>
      </c>
      <c r="AI926">
        <v>96.986162593525293</v>
      </c>
      <c r="AJ926">
        <v>88.521109703869399</v>
      </c>
      <c r="AK926">
        <v>0.55270248747083495</v>
      </c>
    </row>
    <row r="927" spans="1:37" x14ac:dyDescent="0.2">
      <c r="A927" t="str">
        <f>"20200111155810570"</f>
        <v>20200111155810570</v>
      </c>
      <c r="B927" t="str">
        <f>"1578729490562385"</f>
        <v>1578729490562385</v>
      </c>
      <c r="C927" t="s">
        <v>37</v>
      </c>
      <c r="D927">
        <v>5.8521809999999999</v>
      </c>
      <c r="E927">
        <v>0.5338041</v>
      </c>
      <c r="F927" t="s">
        <v>38</v>
      </c>
      <c r="G927">
        <v>-298.25749999999999</v>
      </c>
      <c r="H927">
        <v>0.98095080000000001</v>
      </c>
      <c r="I927">
        <v>368.27159999999998</v>
      </c>
      <c r="J927">
        <v>-298.89170000000001</v>
      </c>
      <c r="K927">
        <v>1.0543309999999999</v>
      </c>
      <c r="L927">
        <v>368.3098</v>
      </c>
      <c r="M927">
        <v>0.99920419999999999</v>
      </c>
      <c r="N927">
        <v>0</v>
      </c>
      <c r="O927">
        <v>-3.7083070000000003E-2</v>
      </c>
      <c r="P927">
        <v>0.99948729999999997</v>
      </c>
      <c r="Q927">
        <v>-9.6084179999999901E-4</v>
      </c>
      <c r="R927">
        <v>3.2005270000000002E-2</v>
      </c>
      <c r="S927">
        <v>3.006348</v>
      </c>
      <c r="T927">
        <v>-0.25563910000000001</v>
      </c>
      <c r="U927">
        <v>-0.16256709999999999</v>
      </c>
      <c r="V927">
        <v>-6.9052059999999998E-2</v>
      </c>
      <c r="W927">
        <v>1.36994E-2</v>
      </c>
      <c r="X927">
        <v>0.99751900000000004</v>
      </c>
      <c r="Y927">
        <v>1.6997829999999998E-2</v>
      </c>
      <c r="Z927">
        <v>2.4234719999999999E-3</v>
      </c>
      <c r="AA927">
        <v>0.99985259999999998</v>
      </c>
      <c r="AB927">
        <v>35</v>
      </c>
      <c r="AC927">
        <v>0.63420000000002097</v>
      </c>
      <c r="AD927">
        <v>-7.3380199999999896E-2</v>
      </c>
      <c r="AE927">
        <v>-3.8200000000017498E-2</v>
      </c>
      <c r="AF927">
        <v>1.44602098501411E-2</v>
      </c>
      <c r="AG927">
        <v>-7.3380199999999896E-2</v>
      </c>
      <c r="AH927">
        <v>0.62681910268554197</v>
      </c>
      <c r="AI927">
        <v>96.675326601501595</v>
      </c>
      <c r="AJ927">
        <v>88.678467097474396</v>
      </c>
      <c r="AK927">
        <v>0.63126534746686203</v>
      </c>
    </row>
    <row r="928" spans="1:37" x14ac:dyDescent="0.2">
      <c r="A928" t="str">
        <f>"20200111155810585"</f>
        <v>20200111155810585</v>
      </c>
      <c r="B928" t="str">
        <f>"1578729490581905"</f>
        <v>1578729490581905</v>
      </c>
      <c r="C928" t="s">
        <v>37</v>
      </c>
      <c r="D928">
        <v>5.8669630000000002</v>
      </c>
      <c r="E928">
        <v>0.53362140000000002</v>
      </c>
      <c r="F928" t="s">
        <v>38</v>
      </c>
      <c r="G928">
        <v>-297.94970000000001</v>
      </c>
      <c r="H928">
        <v>0.97434909999999997</v>
      </c>
      <c r="I928">
        <v>368.25889999999998</v>
      </c>
      <c r="J928">
        <v>-298.65410000000003</v>
      </c>
      <c r="K928">
        <v>1.05433</v>
      </c>
      <c r="L928">
        <v>368.30099999999999</v>
      </c>
      <c r="M928">
        <v>0.99920489999999995</v>
      </c>
      <c r="N928">
        <v>0</v>
      </c>
      <c r="O928">
        <v>-3.706657E-2</v>
      </c>
      <c r="P928">
        <v>0.99947830000000004</v>
      </c>
      <c r="Q928">
        <v>-9.3116420000000002E-4</v>
      </c>
      <c r="R928">
        <v>3.2286090000000003E-2</v>
      </c>
      <c r="S928">
        <v>3.0064700000000002</v>
      </c>
      <c r="T928">
        <v>-0.2554709</v>
      </c>
      <c r="U928">
        <v>-0.161499</v>
      </c>
      <c r="V928">
        <v>-6.9315559999999998E-2</v>
      </c>
      <c r="W928">
        <v>1.3723249999999999E-2</v>
      </c>
      <c r="X928">
        <v>0.99750039999999995</v>
      </c>
      <c r="Y928">
        <v>1.665902E-2</v>
      </c>
      <c r="Z928">
        <v>2.4347739999999998E-3</v>
      </c>
      <c r="AA928">
        <v>0.99985829999999998</v>
      </c>
      <c r="AB928">
        <v>35</v>
      </c>
      <c r="AC928">
        <v>0.70440000000002101</v>
      </c>
      <c r="AD928">
        <v>-7.9980899999999994E-2</v>
      </c>
      <c r="AE928">
        <v>-4.2100000000004897E-2</v>
      </c>
      <c r="AF928">
        <v>1.57561435853486E-2</v>
      </c>
      <c r="AG928">
        <v>-7.9980899999999994E-2</v>
      </c>
      <c r="AH928">
        <v>0.69652853815916804</v>
      </c>
      <c r="AI928">
        <v>96.548802790101405</v>
      </c>
      <c r="AJ928">
        <v>88.704135518569402</v>
      </c>
      <c r="AK928">
        <v>0.70128254284249703</v>
      </c>
    </row>
    <row r="929" spans="1:37" x14ac:dyDescent="0.2">
      <c r="A929" t="str">
        <f>"20200111155810613"</f>
        <v>20200111155810613</v>
      </c>
      <c r="B929" t="str">
        <f>"1578729490602402"</f>
        <v>1578729490602402</v>
      </c>
      <c r="C929" t="s">
        <v>37</v>
      </c>
      <c r="D929">
        <v>5.9357280000000001</v>
      </c>
      <c r="E929">
        <v>0.53326090000000004</v>
      </c>
      <c r="F929" t="s">
        <v>38</v>
      </c>
      <c r="G929">
        <v>-297.642</v>
      </c>
      <c r="H929">
        <v>0.96807410000000005</v>
      </c>
      <c r="I929">
        <v>368.2473</v>
      </c>
      <c r="J929">
        <v>-298.22879999999998</v>
      </c>
      <c r="K929">
        <v>1.054332</v>
      </c>
      <c r="L929">
        <v>368.28530000000001</v>
      </c>
      <c r="M929">
        <v>0.99920620000000004</v>
      </c>
      <c r="N929">
        <v>0</v>
      </c>
      <c r="O929">
        <v>-3.7036699999999999E-2</v>
      </c>
      <c r="P929">
        <v>0.99946329999999906</v>
      </c>
      <c r="Q929">
        <v>-8.9662520000000003E-4</v>
      </c>
      <c r="R929">
        <v>3.2752959999999998E-2</v>
      </c>
      <c r="S929">
        <v>3.0064700000000002</v>
      </c>
      <c r="T929">
        <v>-0.25635269999999999</v>
      </c>
      <c r="U929">
        <v>-0.1592712</v>
      </c>
      <c r="V929">
        <v>-6.9751690000000005E-2</v>
      </c>
      <c r="W929">
        <v>1.374851E-2</v>
      </c>
      <c r="X929">
        <v>0.99746970000000001</v>
      </c>
      <c r="Y929">
        <v>1.595309E-2</v>
      </c>
      <c r="Z929">
        <v>2.470688E-3</v>
      </c>
      <c r="AA929">
        <v>0.99986969999999997</v>
      </c>
      <c r="AB929">
        <v>35</v>
      </c>
      <c r="AC929">
        <v>0.586799999999982</v>
      </c>
      <c r="AD929">
        <v>-8.6257899999999998E-2</v>
      </c>
      <c r="AE929">
        <v>-3.80000000000109E-2</v>
      </c>
      <c r="AF929">
        <v>1.5896390702613498E-2</v>
      </c>
      <c r="AG929">
        <v>-8.6257899999999998E-2</v>
      </c>
      <c r="AH929">
        <v>0.57542295957094103</v>
      </c>
      <c r="AI929">
        <v>98.522153088245204</v>
      </c>
      <c r="AJ929">
        <v>88.417573561359703</v>
      </c>
      <c r="AK929">
        <v>0.58206932830304803</v>
      </c>
    </row>
    <row r="930" spans="1:37" x14ac:dyDescent="0.2">
      <c r="A930" t="str">
        <f>"20200111155810630"</f>
        <v>20200111155810630</v>
      </c>
      <c r="B930" t="str">
        <f>"1578729490621920"</f>
        <v>1578729490621920</v>
      </c>
      <c r="C930" t="s">
        <v>37</v>
      </c>
      <c r="D930">
        <v>5.9691529999999897</v>
      </c>
      <c r="E930">
        <v>0.53276210000000002</v>
      </c>
      <c r="F930" t="s">
        <v>38</v>
      </c>
      <c r="G930">
        <v>-297.32679999999999</v>
      </c>
      <c r="H930">
        <v>0.97742709999999999</v>
      </c>
      <c r="I930">
        <v>368.23860000000002</v>
      </c>
      <c r="J930">
        <v>-297.95530000000002</v>
      </c>
      <c r="K930">
        <v>1.054335</v>
      </c>
      <c r="L930">
        <v>368.27519999999998</v>
      </c>
      <c r="M930">
        <v>0.99920689999999901</v>
      </c>
      <c r="N930">
        <v>0</v>
      </c>
      <c r="O930">
        <v>-3.7017460000000002E-2</v>
      </c>
      <c r="P930">
        <v>0.99943979999999999</v>
      </c>
      <c r="Q930">
        <v>-1.227746E-3</v>
      </c>
      <c r="R930">
        <v>3.3450979999999998E-2</v>
      </c>
      <c r="S930">
        <v>3.0065</v>
      </c>
      <c r="T930">
        <v>-0.25652340000000001</v>
      </c>
      <c r="U930">
        <v>-0.15493770000000001</v>
      </c>
      <c r="V930">
        <v>-7.04293E-2</v>
      </c>
      <c r="W930">
        <v>1.341094E-2</v>
      </c>
      <c r="X930">
        <v>0.99742659999999905</v>
      </c>
      <c r="Y930">
        <v>1.4539679999999999E-2</v>
      </c>
      <c r="Z930">
        <v>2.5309289999999999E-3</v>
      </c>
      <c r="AA930">
        <v>0.99989110000000003</v>
      </c>
      <c r="AB930">
        <v>35</v>
      </c>
      <c r="AC930">
        <v>0.62850000000003003</v>
      </c>
      <c r="AD930">
        <v>-7.6907899999999904E-2</v>
      </c>
      <c r="AE930">
        <v>-3.6599999999964397E-2</v>
      </c>
      <c r="AF930">
        <v>1.3111269661915601E-2</v>
      </c>
      <c r="AG930">
        <v>-7.6907899999999904E-2</v>
      </c>
      <c r="AH930">
        <v>0.62016923968804505</v>
      </c>
      <c r="AI930">
        <v>97.067660905997201</v>
      </c>
      <c r="AJ930">
        <v>88.788865239203901</v>
      </c>
      <c r="AK930">
        <v>0.625057290438089</v>
      </c>
    </row>
    <row r="931" spans="1:37" x14ac:dyDescent="0.2">
      <c r="A931" t="str">
        <f>"20200111155810644"</f>
        <v>20200111155810644</v>
      </c>
      <c r="B931" t="str">
        <f>"1578729490631682"</f>
        <v>1578729490631682</v>
      </c>
      <c r="C931" t="s">
        <v>37</v>
      </c>
      <c r="D931">
        <v>5.9386890000000001</v>
      </c>
      <c r="E931">
        <v>0.53253280000000003</v>
      </c>
      <c r="F931" t="s">
        <v>38</v>
      </c>
      <c r="G931">
        <v>-297.01830000000001</v>
      </c>
      <c r="H931">
        <v>0.97416029999999998</v>
      </c>
      <c r="I931">
        <v>368.2287</v>
      </c>
      <c r="J931">
        <v>-297.74520000000001</v>
      </c>
      <c r="K931">
        <v>1.0543340000000001</v>
      </c>
      <c r="L931">
        <v>368.26740000000001</v>
      </c>
      <c r="M931">
        <v>0.99920759999999897</v>
      </c>
      <c r="N931">
        <v>0</v>
      </c>
      <c r="O931">
        <v>-3.7002649999999998E-2</v>
      </c>
      <c r="P931">
        <v>0.99943479999999996</v>
      </c>
      <c r="Q931">
        <v>-1.2950380000000001E-3</v>
      </c>
      <c r="R931">
        <v>3.3594680000000002E-2</v>
      </c>
      <c r="S931">
        <v>3.006348</v>
      </c>
      <c r="T931">
        <v>-0.25739709999999999</v>
      </c>
      <c r="U931">
        <v>-0.14865110000000001</v>
      </c>
      <c r="V931">
        <v>-7.0557789999999995E-2</v>
      </c>
      <c r="W931">
        <v>1.3339429999999999E-2</v>
      </c>
      <c r="X931">
        <v>0.99741849999999999</v>
      </c>
      <c r="Y931">
        <v>1.2479540000000001E-2</v>
      </c>
      <c r="Z931">
        <v>2.626523E-3</v>
      </c>
      <c r="AA931">
        <v>0.99991869999999905</v>
      </c>
      <c r="AB931">
        <v>35</v>
      </c>
      <c r="AC931">
        <v>0.72689999999999999</v>
      </c>
      <c r="AD931">
        <v>-8.0173700000000001E-2</v>
      </c>
      <c r="AE931">
        <v>-3.8700000000005702E-2</v>
      </c>
      <c r="AF931">
        <v>1.1632266065092E-2</v>
      </c>
      <c r="AG931">
        <v>-8.0173700000000001E-2</v>
      </c>
      <c r="AH931">
        <v>0.71911093769136603</v>
      </c>
      <c r="AI931">
        <v>96.360811235343903</v>
      </c>
      <c r="AJ931">
        <v>89.073270067806007</v>
      </c>
      <c r="AK931">
        <v>0.723659914941303</v>
      </c>
    </row>
    <row r="932" spans="1:37" x14ac:dyDescent="0.2">
      <c r="A932" t="str">
        <f>"20200111155810658"</f>
        <v>20200111155810658</v>
      </c>
      <c r="B932" t="str">
        <f>"1578729490652177"</f>
        <v>1578729490652177</v>
      </c>
      <c r="C932" t="s">
        <v>37</v>
      </c>
      <c r="D932">
        <v>5.8672180000000003</v>
      </c>
      <c r="E932">
        <v>0.53244190000000002</v>
      </c>
      <c r="F932" t="s">
        <v>38</v>
      </c>
      <c r="G932">
        <v>-297.0068</v>
      </c>
      <c r="H932">
        <v>0.99102179999999995</v>
      </c>
      <c r="I932">
        <v>368.23129999999998</v>
      </c>
      <c r="J932">
        <v>-297.53500000000003</v>
      </c>
      <c r="K932">
        <v>1.0543340000000001</v>
      </c>
      <c r="L932">
        <v>368.25959999999998</v>
      </c>
      <c r="M932">
        <v>0.99920810000000004</v>
      </c>
      <c r="N932">
        <v>0</v>
      </c>
      <c r="O932">
        <v>-3.6987720000000002E-2</v>
      </c>
      <c r="P932">
        <v>0.99943269999999995</v>
      </c>
      <c r="Q932">
        <v>-1.2224339999999899E-3</v>
      </c>
      <c r="R932">
        <v>3.3658710000000001E-2</v>
      </c>
      <c r="S932">
        <v>3.0062869999999999</v>
      </c>
      <c r="T932">
        <v>-0.25795600000000002</v>
      </c>
      <c r="U932">
        <v>-0.14654539999999999</v>
      </c>
      <c r="V932">
        <v>-7.0606710000000003E-2</v>
      </c>
      <c r="W932">
        <v>1.3408079999999999E-2</v>
      </c>
      <c r="X932">
        <v>0.99741409999999997</v>
      </c>
      <c r="Y932">
        <v>1.179962E-2</v>
      </c>
      <c r="Z932">
        <v>2.6601369999999999E-3</v>
      </c>
      <c r="AA932">
        <v>0.99992689999999995</v>
      </c>
      <c r="AB932">
        <v>35</v>
      </c>
      <c r="AC932">
        <v>0.52820000000002598</v>
      </c>
      <c r="AD932">
        <v>-6.3312199999999999E-2</v>
      </c>
      <c r="AE932">
        <v>-2.8300000000001501E-2</v>
      </c>
      <c r="AF932">
        <v>8.61814972368013E-3</v>
      </c>
      <c r="AG932">
        <v>-6.3312199999999999E-2</v>
      </c>
      <c r="AH932">
        <v>0.52141541311877804</v>
      </c>
      <c r="AI932">
        <v>96.922238788364695</v>
      </c>
      <c r="AJ932">
        <v>89.053080065902094</v>
      </c>
      <c r="AK932">
        <v>0.52531584804889098</v>
      </c>
    </row>
    <row r="933" spans="1:37" x14ac:dyDescent="0.2">
      <c r="A933" t="str">
        <f>"20200111155810675"</f>
        <v>20200111155810675</v>
      </c>
      <c r="B933" t="str">
        <f>"1578729490671697"</f>
        <v>1578729490671697</v>
      </c>
      <c r="C933" t="s">
        <v>37</v>
      </c>
      <c r="D933">
        <v>5.8431030000000002</v>
      </c>
      <c r="E933">
        <v>0.53248519999999999</v>
      </c>
      <c r="F933" t="s">
        <v>38</v>
      </c>
      <c r="G933">
        <v>-296.70420000000001</v>
      </c>
      <c r="H933">
        <v>0.9829253</v>
      </c>
      <c r="I933">
        <v>368.2192</v>
      </c>
      <c r="J933">
        <v>-297.27099999999899</v>
      </c>
      <c r="K933">
        <v>1.0543340000000001</v>
      </c>
      <c r="L933">
        <v>368.24990000000003</v>
      </c>
      <c r="M933">
        <v>0.99920889999999996</v>
      </c>
      <c r="N933">
        <v>0</v>
      </c>
      <c r="O933">
        <v>-3.6969080000000001E-2</v>
      </c>
      <c r="P933">
        <v>0.9994364</v>
      </c>
      <c r="Q933">
        <v>-1.4093759999999999E-3</v>
      </c>
      <c r="R933">
        <v>3.3542240000000001E-2</v>
      </c>
      <c r="S933">
        <v>3.0063169999999899</v>
      </c>
      <c r="T933">
        <v>-0.25868819999999998</v>
      </c>
      <c r="U933">
        <v>-0.1451721</v>
      </c>
      <c r="V933">
        <v>-7.0471820000000004E-2</v>
      </c>
      <c r="W933">
        <v>1.321641E-2</v>
      </c>
      <c r="X933">
        <v>0.99742619999999904</v>
      </c>
      <c r="Y933">
        <v>1.136414E-2</v>
      </c>
      <c r="Z933">
        <v>2.68476E-3</v>
      </c>
      <c r="AA933">
        <v>0.99993180000000004</v>
      </c>
      <c r="AB933">
        <v>35</v>
      </c>
      <c r="AC933">
        <v>0.56679999999994302</v>
      </c>
      <c r="AD933">
        <v>-7.1408699999999894E-2</v>
      </c>
      <c r="AE933">
        <v>-3.0700000000024302E-2</v>
      </c>
      <c r="AF933">
        <v>9.5712095792493696E-3</v>
      </c>
      <c r="AG933">
        <v>-7.1408699999999894E-2</v>
      </c>
      <c r="AH933">
        <v>0.558705474392857</v>
      </c>
      <c r="AI933">
        <v>97.282484116453304</v>
      </c>
      <c r="AJ933">
        <v>89.018559326034605</v>
      </c>
      <c r="AK933">
        <v>0.56333171187591402</v>
      </c>
    </row>
    <row r="934" spans="1:37" x14ac:dyDescent="0.2">
      <c r="A934" t="str">
        <f>"20200111155810689"</f>
        <v>20200111155810689</v>
      </c>
      <c r="B934" t="str">
        <f>"1578729490682432"</f>
        <v>1578729490682432</v>
      </c>
      <c r="C934" t="s">
        <v>37</v>
      </c>
      <c r="D934">
        <v>5.9220499999999996</v>
      </c>
      <c r="E934">
        <v>0.53248519999999999</v>
      </c>
      <c r="F934" t="s">
        <v>38</v>
      </c>
      <c r="G934">
        <v>-296.39690000000002</v>
      </c>
      <c r="H934">
        <v>0.97877689999999995</v>
      </c>
      <c r="I934">
        <v>368.20729999999998</v>
      </c>
      <c r="J934">
        <v>-297.05430000000001</v>
      </c>
      <c r="K934">
        <v>1.0543359999999999</v>
      </c>
      <c r="L934">
        <v>368.24180000000001</v>
      </c>
      <c r="M934">
        <v>0.99920949999999997</v>
      </c>
      <c r="N934">
        <v>0</v>
      </c>
      <c r="O934">
        <v>-3.6953680000000003E-2</v>
      </c>
      <c r="P934">
        <v>0.99944140000000004</v>
      </c>
      <c r="Q934">
        <v>-1.380507E-3</v>
      </c>
      <c r="R934">
        <v>3.3390250000000003E-2</v>
      </c>
      <c r="S934">
        <v>3.006256</v>
      </c>
      <c r="T934">
        <v>-0.25990019999999903</v>
      </c>
      <c r="U934">
        <v>-0.14614869999999999</v>
      </c>
      <c r="V934">
        <v>-7.0304370000000005E-2</v>
      </c>
      <c r="W934">
        <v>1.3242159999999999E-2</v>
      </c>
      <c r="X934">
        <v>0.99743769999999998</v>
      </c>
      <c r="Y934">
        <v>1.170416E-2</v>
      </c>
      <c r="Z934">
        <v>2.6813329999999902E-3</v>
      </c>
      <c r="AA934">
        <v>0.99992789999999998</v>
      </c>
      <c r="AB934">
        <v>35</v>
      </c>
      <c r="AC934">
        <v>0.65739999999999499</v>
      </c>
      <c r="AD934">
        <v>-7.5559100000000101E-2</v>
      </c>
      <c r="AE934">
        <v>-3.45000000000368E-2</v>
      </c>
      <c r="AF934">
        <v>1.00480976987493E-2</v>
      </c>
      <c r="AG934">
        <v>-7.5559100000000101E-2</v>
      </c>
      <c r="AH934">
        <v>0.64966716904504895</v>
      </c>
      <c r="AI934">
        <v>96.6331559363867</v>
      </c>
      <c r="AJ934">
        <v>89.113903675423799</v>
      </c>
      <c r="AK934">
        <v>0.65412351463250495</v>
      </c>
    </row>
    <row r="935" spans="1:37" x14ac:dyDescent="0.2">
      <c r="A935" t="str">
        <f>"20200111155810702"</f>
        <v>20200111155810702</v>
      </c>
      <c r="B935" t="str">
        <f>"1578729490692193"</f>
        <v>1578729490692193</v>
      </c>
      <c r="C935" t="s">
        <v>37</v>
      </c>
      <c r="D935">
        <v>5.7512019999999904</v>
      </c>
      <c r="E935">
        <v>0.53280819999999995</v>
      </c>
      <c r="F935" t="s">
        <v>38</v>
      </c>
      <c r="G935">
        <v>-296.0917</v>
      </c>
      <c r="H935">
        <v>0.97118559999999998</v>
      </c>
      <c r="I935">
        <v>368.19459999999998</v>
      </c>
      <c r="J935">
        <v>-296.84109999999998</v>
      </c>
      <c r="K935">
        <v>1.0543389999999999</v>
      </c>
      <c r="L935">
        <v>368.23399999999998</v>
      </c>
      <c r="M935">
        <v>0.99921019999999905</v>
      </c>
      <c r="N935">
        <v>0</v>
      </c>
      <c r="O935">
        <v>-3.6938749999999999E-2</v>
      </c>
      <c r="P935">
        <v>0.99944920000000004</v>
      </c>
      <c r="Q935">
        <v>-1.23693E-3</v>
      </c>
      <c r="R935">
        <v>3.3167469999999998E-2</v>
      </c>
      <c r="S935">
        <v>3.0061650000000002</v>
      </c>
      <c r="T935">
        <v>-0.2599611</v>
      </c>
      <c r="U935">
        <v>-0.14633180000000001</v>
      </c>
      <c r="V935">
        <v>-7.0067389999999993E-2</v>
      </c>
      <c r="W935">
        <v>1.3381860000000001E-2</v>
      </c>
      <c r="X935">
        <v>0.99745249999999996</v>
      </c>
      <c r="Y935">
        <v>1.178105E-2</v>
      </c>
      <c r="Z935">
        <v>2.677432E-3</v>
      </c>
      <c r="AA935">
        <v>0.99992700000000001</v>
      </c>
      <c r="AB935">
        <v>35</v>
      </c>
      <c r="AC935">
        <v>0.74939999999997997</v>
      </c>
      <c r="AD935">
        <v>-8.3153399999999905E-2</v>
      </c>
      <c r="AE935">
        <v>-3.9400000000057299E-2</v>
      </c>
      <c r="AF935">
        <v>1.1546466744508301E-2</v>
      </c>
      <c r="AG935">
        <v>-8.3153399999999905E-2</v>
      </c>
      <c r="AH935">
        <v>0.74124288101762204</v>
      </c>
      <c r="AI935">
        <v>96.399969659538797</v>
      </c>
      <c r="AJ935">
        <v>89.107566051048096</v>
      </c>
      <c r="AK935">
        <v>0.74598178093378797</v>
      </c>
    </row>
    <row r="936" spans="1:37" x14ac:dyDescent="0.2">
      <c r="A936" t="str">
        <f>"20200111155811010"</f>
        <v>20200111155811010</v>
      </c>
      <c r="B936" t="str">
        <f>"1578729491001585"</f>
        <v>1578729491001585</v>
      </c>
      <c r="C936" t="s">
        <v>37</v>
      </c>
      <c r="D936">
        <v>6.0521129999999896</v>
      </c>
      <c r="E936">
        <v>0.53312669999999995</v>
      </c>
      <c r="F936" t="s">
        <v>38</v>
      </c>
      <c r="G936">
        <v>-291.49520000000001</v>
      </c>
      <c r="H936">
        <v>0.97912129999999997</v>
      </c>
      <c r="I936">
        <v>368.02749999999997</v>
      </c>
      <c r="J936">
        <v>-292.13400000000001</v>
      </c>
      <c r="K936">
        <v>1.054359</v>
      </c>
      <c r="L936">
        <v>368.06110000000001</v>
      </c>
      <c r="M936">
        <v>0.99922319999999998</v>
      </c>
      <c r="N936">
        <v>0</v>
      </c>
      <c r="O936">
        <v>-3.6605980000000003E-2</v>
      </c>
      <c r="P936">
        <v>0.9993377</v>
      </c>
      <c r="Q936">
        <v>-9.429846E-4</v>
      </c>
      <c r="R936">
        <v>3.6376779999999997E-2</v>
      </c>
      <c r="S936">
        <v>3.0067439999999999</v>
      </c>
      <c r="T936">
        <v>-0.25563619999999998</v>
      </c>
      <c r="U936">
        <v>-0.14407349999999999</v>
      </c>
      <c r="V936">
        <v>-7.2938660000000002E-2</v>
      </c>
      <c r="W936">
        <v>1.360977E-2</v>
      </c>
      <c r="X936">
        <v>0.99724360000000001</v>
      </c>
      <c r="Y936">
        <v>1.135267E-2</v>
      </c>
      <c r="Z936">
        <v>2.6225659999999998E-3</v>
      </c>
      <c r="AA936">
        <v>0.99993209999999999</v>
      </c>
      <c r="AB936">
        <v>34</v>
      </c>
      <c r="AC936">
        <v>0.63880000000000303</v>
      </c>
      <c r="AD936">
        <v>-7.5237700000000005E-2</v>
      </c>
      <c r="AE936">
        <v>-3.3600000000035303E-2</v>
      </c>
      <c r="AF936">
        <v>1.00520272131238E-2</v>
      </c>
      <c r="AG936">
        <v>-7.5237700000000005E-2</v>
      </c>
      <c r="AH936">
        <v>0.63087447370618699</v>
      </c>
      <c r="AI936">
        <v>96.800082812047194</v>
      </c>
      <c r="AJ936">
        <v>89.087155960008005</v>
      </c>
      <c r="AK936">
        <v>0.63542454809870397</v>
      </c>
    </row>
    <row r="937" spans="1:37" x14ac:dyDescent="0.2">
      <c r="A937" t="str">
        <f>"20200111155811024"</f>
        <v>20200111155811024</v>
      </c>
      <c r="B937" t="str">
        <f>"1578729491022080"</f>
        <v>1578729491022080</v>
      </c>
      <c r="C937" t="s">
        <v>37</v>
      </c>
      <c r="D937">
        <v>5.8352820000000003</v>
      </c>
      <c r="E937">
        <v>0.53327849999999999</v>
      </c>
      <c r="F937" t="s">
        <v>38</v>
      </c>
      <c r="G937">
        <v>-291.19439999999997</v>
      </c>
      <c r="H937">
        <v>0.97403169999999994</v>
      </c>
      <c r="I937">
        <v>368.01609999999999</v>
      </c>
      <c r="J937">
        <v>-291.91430000000003</v>
      </c>
      <c r="K937">
        <v>1.0543610000000001</v>
      </c>
      <c r="L937">
        <v>368.05309999999997</v>
      </c>
      <c r="M937">
        <v>0.99922389999999905</v>
      </c>
      <c r="N937">
        <v>0</v>
      </c>
      <c r="O937">
        <v>-3.6590350000000001E-2</v>
      </c>
      <c r="P937">
        <v>0.99932500000000002</v>
      </c>
      <c r="Q937">
        <v>-8.4935869999999995E-4</v>
      </c>
      <c r="R937">
        <v>3.6729240000000003E-2</v>
      </c>
      <c r="S937">
        <v>3.0069270000000001</v>
      </c>
      <c r="T937">
        <v>-0.25728489999999998</v>
      </c>
      <c r="U937">
        <v>-0.14306640000000001</v>
      </c>
      <c r="V937">
        <v>-7.3274779999999998E-2</v>
      </c>
      <c r="W937">
        <v>1.370036E-2</v>
      </c>
      <c r="X937">
        <v>0.99721769999999998</v>
      </c>
      <c r="Y937">
        <v>1.103355E-2</v>
      </c>
      <c r="Z937">
        <v>2.6515709999999902E-3</v>
      </c>
      <c r="AA937">
        <v>0.99993559999999904</v>
      </c>
      <c r="AB937">
        <v>34</v>
      </c>
      <c r="AC937">
        <v>0.71990000000005205</v>
      </c>
      <c r="AD937">
        <v>-8.0329300000000103E-2</v>
      </c>
      <c r="AE937">
        <v>-3.6999999999977697E-2</v>
      </c>
      <c r="AF937">
        <v>1.0500623613308E-2</v>
      </c>
      <c r="AG937">
        <v>-8.0329300000000103E-2</v>
      </c>
      <c r="AH937">
        <v>0.71193091692794397</v>
      </c>
      <c r="AI937">
        <v>96.436932724316904</v>
      </c>
      <c r="AJ937">
        <v>89.154977290463705</v>
      </c>
      <c r="AK937">
        <v>0.71652542872714597</v>
      </c>
    </row>
    <row r="938" spans="1:37" x14ac:dyDescent="0.2">
      <c r="A938" t="str">
        <f>"20200111155811043"</f>
        <v>20200111155811043</v>
      </c>
      <c r="B938" t="str">
        <f>"1578729491031841"</f>
        <v>1578729491031841</v>
      </c>
      <c r="C938" t="s">
        <v>37</v>
      </c>
      <c r="D938">
        <v>5.8315229999999998</v>
      </c>
      <c r="E938">
        <v>0.53328350000000002</v>
      </c>
      <c r="F938" t="s">
        <v>38</v>
      </c>
      <c r="G938">
        <v>-291.18239999999997</v>
      </c>
      <c r="H938">
        <v>0.99152240000000003</v>
      </c>
      <c r="I938">
        <v>368.0179</v>
      </c>
      <c r="J938">
        <v>-291.6361</v>
      </c>
      <c r="K938">
        <v>1.0543579999999999</v>
      </c>
      <c r="L938">
        <v>368.04289999999997</v>
      </c>
      <c r="M938">
        <v>0.99922469999999997</v>
      </c>
      <c r="N938">
        <v>0</v>
      </c>
      <c r="O938">
        <v>-3.6570779999999997E-2</v>
      </c>
      <c r="P938">
        <v>0.99929639999999997</v>
      </c>
      <c r="Q938">
        <v>-1.4427379999999901E-3</v>
      </c>
      <c r="R938">
        <v>3.7480880000000001E-2</v>
      </c>
      <c r="S938">
        <v>3.00705</v>
      </c>
      <c r="T938">
        <v>-0.25846330000000001</v>
      </c>
      <c r="U938">
        <v>-0.14306640000000001</v>
      </c>
      <c r="V938">
        <v>-7.4004780000000006E-2</v>
      </c>
      <c r="W938">
        <v>1.310294E-2</v>
      </c>
      <c r="X938">
        <v>0.99717180000000005</v>
      </c>
      <c r="Y938">
        <v>1.105192E-2</v>
      </c>
      <c r="Z938">
        <v>2.6610979999999898E-3</v>
      </c>
      <c r="AA938">
        <v>0.99993539999999903</v>
      </c>
      <c r="AB938">
        <v>34</v>
      </c>
      <c r="AC938">
        <v>0.45370000000002603</v>
      </c>
      <c r="AD938">
        <v>-6.2835599999999797E-2</v>
      </c>
      <c r="AE938">
        <v>-2.49999999999772E-2</v>
      </c>
      <c r="AF938">
        <v>8.2319267439201604E-3</v>
      </c>
      <c r="AG938">
        <v>-6.2835599999999797E-2</v>
      </c>
      <c r="AH938">
        <v>0.44578601487395703</v>
      </c>
      <c r="AI938">
        <v>98.0218980312317</v>
      </c>
      <c r="AJ938">
        <v>88.942090949397993</v>
      </c>
      <c r="AK938">
        <v>0.45026797388053302</v>
      </c>
    </row>
    <row r="939" spans="1:37" x14ac:dyDescent="0.2">
      <c r="A939" t="str">
        <f>"20200111155811058"</f>
        <v>20200111155811058</v>
      </c>
      <c r="B939" t="str">
        <f>"1578729491052337"</f>
        <v>1578729491052337</v>
      </c>
      <c r="C939" t="s">
        <v>37</v>
      </c>
      <c r="D939">
        <v>5.8481309999999898</v>
      </c>
      <c r="E939">
        <v>0.53421219999999903</v>
      </c>
      <c r="F939" t="s">
        <v>38</v>
      </c>
      <c r="G939">
        <v>-290.88099999999997</v>
      </c>
      <c r="H939">
        <v>0.98964920000000001</v>
      </c>
      <c r="I939">
        <v>368.00740000000002</v>
      </c>
      <c r="J939">
        <v>-291.411</v>
      </c>
      <c r="K939">
        <v>1.0543610000000001</v>
      </c>
      <c r="L939">
        <v>368.03469999999999</v>
      </c>
      <c r="M939">
        <v>0.99922529999999998</v>
      </c>
      <c r="N939">
        <v>0</v>
      </c>
      <c r="O939">
        <v>-3.6554910000000003E-2</v>
      </c>
      <c r="P939">
        <v>0.99929380000000001</v>
      </c>
      <c r="Q939">
        <v>-1.6953089999999899E-3</v>
      </c>
      <c r="R939">
        <v>3.7540410000000003E-2</v>
      </c>
      <c r="S939">
        <v>3.00705</v>
      </c>
      <c r="T939">
        <v>-0.25784940000000001</v>
      </c>
      <c r="U939">
        <v>-0.1408691</v>
      </c>
      <c r="V939">
        <v>-7.404877E-2</v>
      </c>
      <c r="W939">
        <v>1.2847849999999999E-2</v>
      </c>
      <c r="X939">
        <v>0.9971719</v>
      </c>
      <c r="Y939">
        <v>1.034086E-2</v>
      </c>
      <c r="Z939">
        <v>2.6839139999999999E-3</v>
      </c>
      <c r="AA939">
        <v>0.99994300000000003</v>
      </c>
      <c r="AB939">
        <v>34</v>
      </c>
      <c r="AC939">
        <v>0.530000000000029</v>
      </c>
      <c r="AD939">
        <v>-6.4711800000000097E-2</v>
      </c>
      <c r="AE939">
        <v>-2.7299999999968301E-2</v>
      </c>
      <c r="AF939">
        <v>7.7897671200534199E-3</v>
      </c>
      <c r="AG939">
        <v>-6.4711800000000097E-2</v>
      </c>
      <c r="AH939">
        <v>0.522869514891251</v>
      </c>
      <c r="AI939">
        <v>97.054435546302898</v>
      </c>
      <c r="AJ939">
        <v>89.146464365941597</v>
      </c>
      <c r="AK939">
        <v>0.52691633788831804</v>
      </c>
    </row>
    <row r="940" spans="1:37" x14ac:dyDescent="0.2">
      <c r="A940" t="str">
        <f>"20200111155811071"</f>
        <v>20200111155811071</v>
      </c>
      <c r="B940" t="str">
        <f>"1578729491062099"</f>
        <v>1578729491062099</v>
      </c>
      <c r="C940" t="s">
        <v>37</v>
      </c>
      <c r="D940">
        <v>5.8672149999999998</v>
      </c>
      <c r="E940">
        <v>0.53278249999999905</v>
      </c>
      <c r="F940" t="s">
        <v>39</v>
      </c>
      <c r="G940">
        <v>-266.44940000000003</v>
      </c>
      <c r="H940" s="1">
        <v>-2.013589E-6</v>
      </c>
      <c r="I940">
        <v>366.75199999999899</v>
      </c>
      <c r="J940">
        <v>-291.19420000000002</v>
      </c>
      <c r="K940">
        <v>1.054362</v>
      </c>
      <c r="L940">
        <v>368.02670000000001</v>
      </c>
      <c r="M940">
        <v>0.9992259</v>
      </c>
      <c r="N940">
        <v>0</v>
      </c>
      <c r="O940">
        <v>-3.6539629999999997E-2</v>
      </c>
      <c r="P940">
        <v>0.99928280000000003</v>
      </c>
      <c r="Q940">
        <v>-1.53918E-3</v>
      </c>
      <c r="R940">
        <v>3.7837009999999997E-2</v>
      </c>
      <c r="S940">
        <v>3.0077210000000001</v>
      </c>
      <c r="T940">
        <v>-0.12704409999999999</v>
      </c>
      <c r="U940">
        <v>-0.15454100000000001</v>
      </c>
      <c r="V940">
        <v>-7.4329640000000002E-2</v>
      </c>
      <c r="W940">
        <v>1.300138E-2</v>
      </c>
      <c r="X940">
        <v>0.99714899999999995</v>
      </c>
      <c r="Y940">
        <v>1.4803409999999999E-2</v>
      </c>
      <c r="Z940">
        <v>1.2289530000000001E-3</v>
      </c>
      <c r="AA940">
        <v>0.99988969999999899</v>
      </c>
      <c r="AB940">
        <v>34</v>
      </c>
      <c r="AC940">
        <v>24.744800000000001</v>
      </c>
      <c r="AD940">
        <v>-1.054364013589</v>
      </c>
      <c r="AE940">
        <v>-1.2747000000000499</v>
      </c>
      <c r="AF940">
        <v>0.36891865557020198</v>
      </c>
      <c r="AG940">
        <v>-1.054364013589</v>
      </c>
      <c r="AH940">
        <v>24.7300736686616</v>
      </c>
      <c r="AI940">
        <v>92.441049575745694</v>
      </c>
      <c r="AJ940">
        <v>89.145335575886193</v>
      </c>
      <c r="AK940">
        <v>24.755288891568298</v>
      </c>
    </row>
    <row r="941" spans="1:37" x14ac:dyDescent="0.2">
      <c r="A941" t="str">
        <f>"20200111155811088"</f>
        <v>20200111155811088</v>
      </c>
      <c r="B941" t="str">
        <f>"1578729491081617"</f>
        <v>1578729491081617</v>
      </c>
      <c r="C941" t="s">
        <v>37</v>
      </c>
      <c r="D941">
        <v>5.7976839999999896</v>
      </c>
      <c r="E941">
        <v>0.5315185</v>
      </c>
      <c r="F941" t="s">
        <v>39</v>
      </c>
      <c r="G941">
        <v>-268.71899999999999</v>
      </c>
      <c r="H941" s="1">
        <v>-1.1264200000000001E-6</v>
      </c>
      <c r="I941">
        <v>366.96879999999999</v>
      </c>
      <c r="J941">
        <v>-290.95330000000001</v>
      </c>
      <c r="K941">
        <v>1.054365</v>
      </c>
      <c r="L941">
        <v>368.01799999999997</v>
      </c>
      <c r="M941">
        <v>0.99922649999999902</v>
      </c>
      <c r="N941">
        <v>0</v>
      </c>
      <c r="O941">
        <v>-3.6522680000000002E-2</v>
      </c>
      <c r="P941">
        <v>0.99928159999999899</v>
      </c>
      <c r="Q941">
        <v>-1.9489659999999999E-3</v>
      </c>
      <c r="R941">
        <v>3.7851170000000003E-2</v>
      </c>
      <c r="S941">
        <v>3.007263</v>
      </c>
      <c r="T941">
        <v>-0.14107739999999999</v>
      </c>
      <c r="U941">
        <v>-0.14154049999999899</v>
      </c>
      <c r="V941">
        <v>-7.4326199999999995E-2</v>
      </c>
      <c r="W941">
        <v>1.2588469999999999E-2</v>
      </c>
      <c r="X941">
        <v>0.99715450000000005</v>
      </c>
      <c r="Y941">
        <v>1.0525140000000001E-2</v>
      </c>
      <c r="Z941">
        <v>1.4643939999999999E-3</v>
      </c>
      <c r="AA941">
        <v>0.99994359999999904</v>
      </c>
      <c r="AB941">
        <v>34</v>
      </c>
      <c r="AC941">
        <v>22.234300000000001</v>
      </c>
      <c r="AD941">
        <v>-1.0543661264199999</v>
      </c>
      <c r="AE941">
        <v>-1.0492000000000401</v>
      </c>
      <c r="AF941">
        <v>0.23582819959126899</v>
      </c>
      <c r="AG941">
        <v>-1.0543661264199999</v>
      </c>
      <c r="AH941">
        <v>22.207957739998999</v>
      </c>
      <c r="AI941">
        <v>92.718034819754706</v>
      </c>
      <c r="AJ941">
        <v>89.391594093102398</v>
      </c>
      <c r="AK941">
        <v>22.234223392100901</v>
      </c>
    </row>
    <row r="942" spans="1:37" x14ac:dyDescent="0.2">
      <c r="A942" t="str">
        <f>"20200111155811371"</f>
        <v>20200111155811371</v>
      </c>
      <c r="B942" t="str">
        <f>"1578729491362318"</f>
        <v>1578729491362318</v>
      </c>
      <c r="C942" t="s">
        <v>37</v>
      </c>
      <c r="D942">
        <v>6.0595650000000001</v>
      </c>
      <c r="E942">
        <v>0.5315185</v>
      </c>
      <c r="F942" t="s">
        <v>39</v>
      </c>
      <c r="G942">
        <v>-271.57979999999998</v>
      </c>
      <c r="H942" s="1">
        <v>-4.0272750000000003E-6</v>
      </c>
      <c r="I942">
        <v>367.17689999999999</v>
      </c>
      <c r="J942">
        <v>-286.71339999999998</v>
      </c>
      <c r="K942">
        <v>1.054376</v>
      </c>
      <c r="L942">
        <v>367.86399999999998</v>
      </c>
      <c r="M942">
        <v>0.99923819999999997</v>
      </c>
      <c r="N942">
        <v>0</v>
      </c>
      <c r="O942">
        <v>-3.6221499999999997E-2</v>
      </c>
      <c r="P942">
        <v>0.99887979999999998</v>
      </c>
      <c r="Q942">
        <v>-6.1841719999999999E-3</v>
      </c>
      <c r="R942">
        <v>4.6914770000000001E-2</v>
      </c>
      <c r="S942">
        <v>3.0068049999999999</v>
      </c>
      <c r="T942">
        <v>-0.1636388</v>
      </c>
      <c r="U942">
        <v>-0.13052369999999999</v>
      </c>
      <c r="V942">
        <v>-8.3068680000000006E-2</v>
      </c>
      <c r="W942">
        <v>8.29622E-3</v>
      </c>
      <c r="X942">
        <v>0.99650930000000004</v>
      </c>
      <c r="Y942">
        <v>7.191724E-3</v>
      </c>
      <c r="Z942">
        <v>1.7729309999999999E-3</v>
      </c>
      <c r="AA942">
        <v>0.99997259999999999</v>
      </c>
      <c r="AB942">
        <v>33</v>
      </c>
      <c r="AC942">
        <v>15.133599999999999</v>
      </c>
      <c r="AD942">
        <v>-1.0543800272749999</v>
      </c>
      <c r="AE942">
        <v>-0.68710000000004301</v>
      </c>
      <c r="AF942">
        <v>0.13776214414317101</v>
      </c>
      <c r="AG942">
        <v>-1.0543800272749999</v>
      </c>
      <c r="AH942">
        <v>15.0755296642016</v>
      </c>
      <c r="AI942">
        <v>94.000575932308806</v>
      </c>
      <c r="AJ942">
        <v>89.476438313287701</v>
      </c>
      <c r="AK942">
        <v>15.1129841628481</v>
      </c>
    </row>
    <row r="943" spans="1:37" x14ac:dyDescent="0.2">
      <c r="A943" t="str">
        <f>"20200111155811439"</f>
        <v>20200111155811439</v>
      </c>
      <c r="B943" t="str">
        <f>"1578729491431612"</f>
        <v>1578729491431612</v>
      </c>
      <c r="C943" t="s">
        <v>37</v>
      </c>
      <c r="D943">
        <v>5.4844839999999904</v>
      </c>
      <c r="E943">
        <v>0.50902570000000003</v>
      </c>
      <c r="F943" t="s">
        <v>39</v>
      </c>
      <c r="G943">
        <v>-268.69630000000001</v>
      </c>
      <c r="H943" s="1">
        <v>-1.0604080000000001E-6</v>
      </c>
      <c r="I943">
        <v>367.24590000000001</v>
      </c>
      <c r="J943">
        <v>-285.69740000000002</v>
      </c>
      <c r="K943">
        <v>1.054352</v>
      </c>
      <c r="L943">
        <v>367.8272</v>
      </c>
      <c r="M943">
        <v>0.99924080000000004</v>
      </c>
      <c r="N943">
        <v>0</v>
      </c>
      <c r="O943">
        <v>-3.6153850000000001E-2</v>
      </c>
      <c r="P943">
        <v>0.99884419999999996</v>
      </c>
      <c r="Q943">
        <v>-9.1131630000000005E-3</v>
      </c>
      <c r="R943">
        <v>4.7193529999999997E-2</v>
      </c>
      <c r="S943">
        <v>3.0071110000000001</v>
      </c>
      <c r="T943">
        <v>-0.17597789999999999</v>
      </c>
      <c r="U943">
        <v>-0.103149399999999</v>
      </c>
      <c r="V943">
        <v>-8.3278480000000002E-2</v>
      </c>
      <c r="W943">
        <v>5.3556350000000001E-3</v>
      </c>
      <c r="X943">
        <v>0.99651190000000001</v>
      </c>
      <c r="Y943">
        <v>-1.8122979999999999E-3</v>
      </c>
      <c r="Z943">
        <v>2.1658329999999998E-3</v>
      </c>
      <c r="AA943">
        <v>0.999995999999999</v>
      </c>
      <c r="AB943">
        <v>33</v>
      </c>
      <c r="AC943">
        <v>17.001100000000001</v>
      </c>
      <c r="AD943">
        <v>-1.054353060408</v>
      </c>
      <c r="AE943">
        <v>-0.58129999999999804</v>
      </c>
      <c r="AF943">
        <v>-3.36707544818192E-2</v>
      </c>
      <c r="AG943">
        <v>-1.054353060408</v>
      </c>
      <c r="AH943">
        <v>16.945902240331701</v>
      </c>
      <c r="AI943">
        <v>93.560276040342799</v>
      </c>
      <c r="AJ943">
        <v>90.113844017194396</v>
      </c>
      <c r="AK943">
        <v>16.978704215415799</v>
      </c>
    </row>
    <row r="944" spans="1:37" x14ac:dyDescent="0.2">
      <c r="A944" t="str">
        <f>"20200111155811453"</f>
        <v>20200111155811453</v>
      </c>
      <c r="B944" t="str">
        <f>"1578729491442348"</f>
        <v>1578729491442348</v>
      </c>
      <c r="C944" t="s">
        <v>37</v>
      </c>
      <c r="D944">
        <v>5.4773699999999996</v>
      </c>
      <c r="E944">
        <v>0.51260519999999998</v>
      </c>
      <c r="F944" t="s">
        <v>42</v>
      </c>
      <c r="G944">
        <v>-158.19499999999999</v>
      </c>
      <c r="H944">
        <v>1.8412569999999999</v>
      </c>
      <c r="I944">
        <v>370.68549999999999</v>
      </c>
      <c r="J944">
        <v>-285.5009</v>
      </c>
      <c r="K944">
        <v>1.0543499999999999</v>
      </c>
      <c r="L944">
        <v>367.8202</v>
      </c>
      <c r="M944">
        <v>0.9992413</v>
      </c>
      <c r="N944">
        <v>0</v>
      </c>
      <c r="O944">
        <v>-3.614096E-2</v>
      </c>
      <c r="P944">
        <v>0.99883899999999903</v>
      </c>
      <c r="Q944">
        <v>-9.3434809999999903E-3</v>
      </c>
      <c r="R944">
        <v>4.7259610000000001E-2</v>
      </c>
      <c r="S944">
        <v>3.0004270000000002</v>
      </c>
      <c r="T944">
        <v>1.851976E-2</v>
      </c>
      <c r="U944">
        <v>6.7260739999999999E-2</v>
      </c>
      <c r="V944">
        <v>-8.3331790000000003E-2</v>
      </c>
      <c r="W944">
        <v>5.1234180000000002E-3</v>
      </c>
      <c r="X944">
        <v>0.99650869999999903</v>
      </c>
      <c r="Y944">
        <v>-5.853067E-2</v>
      </c>
      <c r="Z944">
        <v>-4.0366719999999998E-4</v>
      </c>
      <c r="AA944">
        <v>0.99828549999999905</v>
      </c>
      <c r="AB944">
        <v>33</v>
      </c>
      <c r="AC944">
        <v>127.30589999999999</v>
      </c>
      <c r="AD944">
        <v>0.78690700000000002</v>
      </c>
      <c r="AE944">
        <v>2.8652999999999902</v>
      </c>
      <c r="AF944">
        <v>-7.4645847760160304</v>
      </c>
      <c r="AG944">
        <v>0.78690700000000002</v>
      </c>
      <c r="AH944">
        <v>127.11429391970699</v>
      </c>
      <c r="AI944">
        <v>89.645922286448894</v>
      </c>
      <c r="AJ944">
        <v>93.360743980720599</v>
      </c>
      <c r="AK944">
        <v>127.335709709455</v>
      </c>
    </row>
    <row r="945" spans="1:37" x14ac:dyDescent="0.2">
      <c r="A945" t="str">
        <f>"20200111155811480"</f>
        <v>20200111155811480</v>
      </c>
      <c r="B945" t="str">
        <f>"1578729491471628"</f>
        <v>1578729491471628</v>
      </c>
      <c r="C945" t="s">
        <v>37</v>
      </c>
      <c r="D945">
        <v>5.4380480000000002</v>
      </c>
      <c r="E945">
        <v>0.5144976</v>
      </c>
      <c r="F945" t="s">
        <v>42</v>
      </c>
      <c r="G945">
        <v>-158.78319999999999</v>
      </c>
      <c r="H945">
        <v>3.0404270000000002</v>
      </c>
      <c r="I945">
        <v>369.40719999999999</v>
      </c>
      <c r="J945">
        <v>-285.08850000000001</v>
      </c>
      <c r="K945">
        <v>1.054349</v>
      </c>
      <c r="L945">
        <v>367.80529999999999</v>
      </c>
      <c r="M945">
        <v>0.99924230000000003</v>
      </c>
      <c r="N945">
        <v>0</v>
      </c>
      <c r="O945">
        <v>-3.6114599999999997E-2</v>
      </c>
      <c r="P945">
        <v>0.99885210000000002</v>
      </c>
      <c r="Q945">
        <v>-1.011545E-2</v>
      </c>
      <c r="R945">
        <v>4.6822809999999999E-2</v>
      </c>
      <c r="S945">
        <v>3.0021360000000001</v>
      </c>
      <c r="T945">
        <v>4.7055239999999998E-2</v>
      </c>
      <c r="U945">
        <v>3.7597659999999998E-2</v>
      </c>
      <c r="V945">
        <v>-8.2869750000000006E-2</v>
      </c>
      <c r="W945">
        <v>4.3476130000000002E-3</v>
      </c>
      <c r="X945">
        <v>0.99655090000000002</v>
      </c>
      <c r="Y945">
        <v>-4.861965E-2</v>
      </c>
      <c r="Z945">
        <v>-9.4699170000000002E-4</v>
      </c>
      <c r="AA945">
        <v>0.99881690000000001</v>
      </c>
      <c r="AB945">
        <v>33</v>
      </c>
      <c r="AC945">
        <v>126.3053</v>
      </c>
      <c r="AD945">
        <v>1.98607799999999</v>
      </c>
      <c r="AE945">
        <v>1.6019000000000001</v>
      </c>
      <c r="AF945">
        <v>-6.1612773094016298</v>
      </c>
      <c r="AG945">
        <v>1.98607799999999</v>
      </c>
      <c r="AH945">
        <v>126.133847425913</v>
      </c>
      <c r="AI945">
        <v>89.0989809312765</v>
      </c>
      <c r="AJ945">
        <v>92.796511998416506</v>
      </c>
      <c r="AK945">
        <v>126.299854751971</v>
      </c>
    </row>
    <row r="946" spans="1:37" x14ac:dyDescent="0.2">
      <c r="A946" t="str">
        <f>"20200111155811493"</f>
        <v>20200111155811493</v>
      </c>
      <c r="B946" t="str">
        <f>"1578729491482363"</f>
        <v>1578729491482363</v>
      </c>
      <c r="C946" t="s">
        <v>37</v>
      </c>
      <c r="D946">
        <v>5.3996009999999997</v>
      </c>
      <c r="E946">
        <v>0.51607720000000001</v>
      </c>
      <c r="F946" t="s">
        <v>42</v>
      </c>
      <c r="G946">
        <v>-158.78319999999999</v>
      </c>
      <c r="H946">
        <v>1.835191</v>
      </c>
      <c r="I946">
        <v>368.7527</v>
      </c>
      <c r="J946">
        <v>-284.9153</v>
      </c>
      <c r="K946">
        <v>1.0543480000000001</v>
      </c>
      <c r="L946">
        <v>367.79899999999998</v>
      </c>
      <c r="M946">
        <v>0.99924269999999904</v>
      </c>
      <c r="N946">
        <v>0</v>
      </c>
      <c r="O946">
        <v>-3.6103980000000001E-2</v>
      </c>
      <c r="P946">
        <v>0.99886030000000003</v>
      </c>
      <c r="Q946">
        <v>-9.9928569999999904E-3</v>
      </c>
      <c r="R946">
        <v>4.6671869999999997E-2</v>
      </c>
      <c r="S946">
        <v>3.0025629999999999</v>
      </c>
      <c r="T946">
        <v>1.8564460000000001E-2</v>
      </c>
      <c r="U946">
        <v>2.2521969999999999E-2</v>
      </c>
      <c r="V946">
        <v>-8.2708139999999999E-2</v>
      </c>
      <c r="W946">
        <v>4.4682519999999998E-3</v>
      </c>
      <c r="X946">
        <v>0.9965638</v>
      </c>
      <c r="Y946">
        <v>-4.3601050000000002E-2</v>
      </c>
      <c r="Z946">
        <v>-3.580023E-4</v>
      </c>
      <c r="AA946">
        <v>0.99904889999999902</v>
      </c>
      <c r="AB946">
        <v>33</v>
      </c>
      <c r="AC946">
        <v>126.13209999999999</v>
      </c>
      <c r="AD946">
        <v>0.78084299999999995</v>
      </c>
      <c r="AE946">
        <v>0.95369999999996902</v>
      </c>
      <c r="AF946">
        <v>-5.5072172971651296</v>
      </c>
      <c r="AG946">
        <v>0.78084299999999995</v>
      </c>
      <c r="AH946">
        <v>126.010584437395</v>
      </c>
      <c r="AI946">
        <v>89.645301454143393</v>
      </c>
      <c r="AJ946">
        <v>92.502485306792096</v>
      </c>
      <c r="AK946">
        <v>126.133288819418</v>
      </c>
    </row>
    <row r="947" spans="1:37" x14ac:dyDescent="0.2">
      <c r="A947" t="str">
        <f>"20200111155811535"</f>
        <v>20200111155811535</v>
      </c>
      <c r="B947" t="str">
        <f>"1578729491532140"</f>
        <v>1578729491532140</v>
      </c>
      <c r="C947" t="s">
        <v>37</v>
      </c>
      <c r="D947">
        <v>5.648104</v>
      </c>
      <c r="E947">
        <v>0.51621679999999903</v>
      </c>
      <c r="F947" t="s">
        <v>42</v>
      </c>
      <c r="G947">
        <v>-158.78319999999999</v>
      </c>
      <c r="H947">
        <v>2.639618</v>
      </c>
      <c r="I947">
        <v>368.16680000000002</v>
      </c>
      <c r="J947">
        <v>-284.30020000000002</v>
      </c>
      <c r="K947">
        <v>1.054346</v>
      </c>
      <c r="L947">
        <v>367.77679999999998</v>
      </c>
      <c r="M947">
        <v>0.99924419999999903</v>
      </c>
      <c r="N947">
        <v>0</v>
      </c>
      <c r="O947">
        <v>-3.6066870000000001E-2</v>
      </c>
      <c r="P947">
        <v>0.99885769999999996</v>
      </c>
      <c r="Q947">
        <v>-1.031763E-2</v>
      </c>
      <c r="R947">
        <v>4.6661590000000003E-2</v>
      </c>
      <c r="S947">
        <v>3.003387</v>
      </c>
      <c r="T947">
        <v>3.7749650000000003E-2</v>
      </c>
      <c r="U947">
        <v>8.7585449999999995E-3</v>
      </c>
      <c r="V947">
        <v>-8.2661209999999999E-2</v>
      </c>
      <c r="W947">
        <v>4.1368519999999999E-3</v>
      </c>
      <c r="X947">
        <v>0.99656909999999899</v>
      </c>
      <c r="Y947">
        <v>-3.8978890000000002E-2</v>
      </c>
      <c r="Z947">
        <v>-6.9823949999999997E-4</v>
      </c>
      <c r="AA947">
        <v>0.99923980000000001</v>
      </c>
      <c r="AB947">
        <v>33</v>
      </c>
      <c r="AC947">
        <v>125.517</v>
      </c>
      <c r="AD947">
        <v>1.585272</v>
      </c>
      <c r="AE947">
        <v>0.39000000000004298</v>
      </c>
      <c r="AF947">
        <v>-4.9164431707176801</v>
      </c>
      <c r="AG947">
        <v>1.585272</v>
      </c>
      <c r="AH947">
        <v>125.401248013254</v>
      </c>
      <c r="AI947">
        <v>89.276284378483595</v>
      </c>
      <c r="AJ947">
        <v>92.245171027193393</v>
      </c>
      <c r="AK947">
        <v>125.50759938763299</v>
      </c>
    </row>
    <row r="948" spans="1:37" x14ac:dyDescent="0.2">
      <c r="A948" t="str">
        <f>"20200111155811547"</f>
        <v>20200111155811547</v>
      </c>
      <c r="B948" t="str">
        <f>"1578729491541900"</f>
        <v>1578729491541900</v>
      </c>
      <c r="C948" t="s">
        <v>37</v>
      </c>
      <c r="D948">
        <v>5.836138</v>
      </c>
      <c r="E948">
        <v>0.51583800000000002</v>
      </c>
      <c r="F948" t="s">
        <v>42</v>
      </c>
      <c r="G948">
        <v>-158.78319999999999</v>
      </c>
      <c r="H948">
        <v>1.3429930000000001</v>
      </c>
      <c r="I948">
        <v>368.14800000000002</v>
      </c>
      <c r="J948">
        <v>-284.10759999999999</v>
      </c>
      <c r="K948">
        <v>1.0543469999999999</v>
      </c>
      <c r="L948">
        <v>367.76990000000001</v>
      </c>
      <c r="M948">
        <v>0.99924469999999999</v>
      </c>
      <c r="N948">
        <v>0</v>
      </c>
      <c r="O948">
        <v>-3.6055539999999997E-2</v>
      </c>
      <c r="P948">
        <v>0.99885689999999905</v>
      </c>
      <c r="Q948">
        <v>-1.0043079999999999E-2</v>
      </c>
      <c r="R948">
        <v>4.6740789999999997E-2</v>
      </c>
      <c r="S948">
        <v>3.003082</v>
      </c>
      <c r="T948">
        <v>6.9081780000000001E-3</v>
      </c>
      <c r="U948">
        <v>8.8806149999999997E-3</v>
      </c>
      <c r="V948">
        <v>-8.2729059999999993E-2</v>
      </c>
      <c r="W948">
        <v>4.409601E-3</v>
      </c>
      <c r="X948">
        <v>0.99656230000000001</v>
      </c>
      <c r="Y948">
        <v>-3.9014189999999997E-2</v>
      </c>
      <c r="Z948">
        <v>-1.2781009999999999E-4</v>
      </c>
      <c r="AA948">
        <v>0.99923869999999904</v>
      </c>
      <c r="AB948">
        <v>33</v>
      </c>
      <c r="AC948">
        <v>125.3244</v>
      </c>
      <c r="AD948">
        <v>0.28864600000000001</v>
      </c>
      <c r="AE948">
        <v>0.37810000000001698</v>
      </c>
      <c r="AF948">
        <v>-4.8969416378138702</v>
      </c>
      <c r="AG948">
        <v>0.28864600000000001</v>
      </c>
      <c r="AH948">
        <v>125.228597076966</v>
      </c>
      <c r="AI948">
        <v>89.8680370239707</v>
      </c>
      <c r="AJ948">
        <v>92.2393543893551</v>
      </c>
      <c r="AK948">
        <v>125.32463795991001</v>
      </c>
    </row>
    <row r="949" spans="1:37" x14ac:dyDescent="0.2">
      <c r="A949" t="str">
        <f>"20200111155811576"</f>
        <v>20200111155811576</v>
      </c>
      <c r="B949" t="str">
        <f>"1578729491572156"</f>
        <v>1578729491572156</v>
      </c>
      <c r="C949" t="s">
        <v>37</v>
      </c>
      <c r="D949">
        <v>5.6281739999999996</v>
      </c>
      <c r="E949">
        <v>0.51540140000000001</v>
      </c>
      <c r="F949" t="s">
        <v>42</v>
      </c>
      <c r="G949">
        <v>-158.78319999999999</v>
      </c>
      <c r="H949">
        <v>1.115788</v>
      </c>
      <c r="I949">
        <v>368.28829999999999</v>
      </c>
      <c r="J949">
        <v>-283.69850000000002</v>
      </c>
      <c r="K949">
        <v>1.0543439999999999</v>
      </c>
      <c r="L949">
        <v>367.7552</v>
      </c>
      <c r="M949">
        <v>0.99924559999999996</v>
      </c>
      <c r="N949">
        <v>0</v>
      </c>
      <c r="O949">
        <v>-3.6031199999999902E-2</v>
      </c>
      <c r="P949">
        <v>0.99885000000000002</v>
      </c>
      <c r="Q949">
        <v>-9.6791240000000008E-3</v>
      </c>
      <c r="R949">
        <v>4.6958939999999998E-2</v>
      </c>
      <c r="S949">
        <v>3.002869</v>
      </c>
      <c r="T949">
        <v>1.4742609999999999E-3</v>
      </c>
      <c r="U949">
        <v>1.242065E-2</v>
      </c>
      <c r="V949">
        <v>-8.2921869999999995E-2</v>
      </c>
      <c r="W949">
        <v>4.7691330000000001E-3</v>
      </c>
      <c r="X949">
        <v>0.99654469999999995</v>
      </c>
      <c r="Y949">
        <v>-4.0168199999999897E-2</v>
      </c>
      <c r="Z949" s="1">
        <v>-2.754905E-5</v>
      </c>
      <c r="AA949">
        <v>0.999193</v>
      </c>
      <c r="AB949">
        <v>33</v>
      </c>
      <c r="AC949">
        <v>124.9153</v>
      </c>
      <c r="AD949">
        <v>6.1443999999999999E-2</v>
      </c>
      <c r="AE949">
        <v>0.53309999999999003</v>
      </c>
      <c r="AF949">
        <v>-5.0340733328060701</v>
      </c>
      <c r="AG949">
        <v>6.1443999999999999E-2</v>
      </c>
      <c r="AH949">
        <v>124.81493069602</v>
      </c>
      <c r="AI949">
        <v>89.971817300322101</v>
      </c>
      <c r="AJ949">
        <v>92.309618810287702</v>
      </c>
      <c r="AK949">
        <v>124.916422436513</v>
      </c>
    </row>
    <row r="950" spans="1:37" x14ac:dyDescent="0.2">
      <c r="A950" t="str">
        <f>"20200111155811590"</f>
        <v>20200111155811590</v>
      </c>
      <c r="B950" t="str">
        <f>"1578729491581915"</f>
        <v>1578729491581915</v>
      </c>
      <c r="C950" t="s">
        <v>37</v>
      </c>
      <c r="D950">
        <v>5.6327809999999996</v>
      </c>
      <c r="E950">
        <v>0.51534780000000002</v>
      </c>
      <c r="F950" t="s">
        <v>42</v>
      </c>
      <c r="G950">
        <v>-158.78319999999999</v>
      </c>
      <c r="H950">
        <v>0.91067830000000005</v>
      </c>
      <c r="I950">
        <v>368.46370000000002</v>
      </c>
      <c r="J950">
        <v>-283.48090000000002</v>
      </c>
      <c r="K950">
        <v>1.0543419999999999</v>
      </c>
      <c r="L950">
        <v>367.7473</v>
      </c>
      <c r="M950">
        <v>0.99924609999999903</v>
      </c>
      <c r="N950">
        <v>0</v>
      </c>
      <c r="O950">
        <v>-3.6018309999999998E-2</v>
      </c>
      <c r="P950">
        <v>0.99882919999999997</v>
      </c>
      <c r="Q950">
        <v>-9.2879909999999902E-3</v>
      </c>
      <c r="R950">
        <v>4.7482099999999999E-2</v>
      </c>
      <c r="S950">
        <v>3.0026250000000001</v>
      </c>
      <c r="T950">
        <v>-3.4512279999999898E-3</v>
      </c>
      <c r="U950">
        <v>1.7028809999999998E-2</v>
      </c>
      <c r="V950">
        <v>-8.3431580000000005E-2</v>
      </c>
      <c r="W950">
        <v>5.15727299999999E-3</v>
      </c>
      <c r="X950">
        <v>0.9965001</v>
      </c>
      <c r="Y950">
        <v>-4.1688999999999997E-2</v>
      </c>
      <c r="Z950" s="1">
        <v>6.5356479999999995E-5</v>
      </c>
      <c r="AA950">
        <v>0.99913059999999998</v>
      </c>
      <c r="AB950">
        <v>33</v>
      </c>
      <c r="AC950">
        <v>124.6977</v>
      </c>
      <c r="AD950">
        <v>-0.14366369999999901</v>
      </c>
      <c r="AE950">
        <v>0.71640000000002102</v>
      </c>
      <c r="AF950">
        <v>-5.2078000305363901</v>
      </c>
      <c r="AG950">
        <v>-0.14366369999999901</v>
      </c>
      <c r="AH950">
        <v>124.59079883625699</v>
      </c>
      <c r="AI950">
        <v>90.066009197635694</v>
      </c>
      <c r="AJ950">
        <v>92.393526408140303</v>
      </c>
      <c r="AK950">
        <v>124.69967512015999</v>
      </c>
    </row>
    <row r="951" spans="1:37" x14ac:dyDescent="0.2">
      <c r="A951" t="str">
        <f>"20200111155811603"</f>
        <v>20200111155811603</v>
      </c>
      <c r="B951" t="str">
        <f>"1578729491591676"</f>
        <v>1578729491591676</v>
      </c>
      <c r="C951" t="s">
        <v>37</v>
      </c>
      <c r="D951">
        <v>5.6144299999999996</v>
      </c>
      <c r="E951">
        <v>0.51524729999999996</v>
      </c>
      <c r="F951" t="s">
        <v>42</v>
      </c>
      <c r="G951">
        <v>-158.78319999999999</v>
      </c>
      <c r="H951">
        <v>0.74088449999999995</v>
      </c>
      <c r="I951">
        <v>368.53820000000002</v>
      </c>
      <c r="J951">
        <v>-283.28410000000002</v>
      </c>
      <c r="K951">
        <v>1.054341</v>
      </c>
      <c r="L951">
        <v>367.74029999999999</v>
      </c>
      <c r="M951">
        <v>0.99924650000000004</v>
      </c>
      <c r="N951">
        <v>0</v>
      </c>
      <c r="O951">
        <v>-3.6006259999999998E-2</v>
      </c>
      <c r="P951">
        <v>0.99881569999999997</v>
      </c>
      <c r="Q951">
        <v>-9.2432279999999992E-3</v>
      </c>
      <c r="R951">
        <v>4.7771979999999999E-2</v>
      </c>
      <c r="S951">
        <v>3.0025330000000001</v>
      </c>
      <c r="T951">
        <v>-7.5454709999999998E-3</v>
      </c>
      <c r="U951">
        <v>1.9042969999999999E-2</v>
      </c>
      <c r="V951">
        <v>-8.3708580000000005E-2</v>
      </c>
      <c r="W951">
        <v>5.1997120000000004E-3</v>
      </c>
      <c r="X951">
        <v>0.99647669999999999</v>
      </c>
      <c r="Y951">
        <v>-4.2347129999999997E-2</v>
      </c>
      <c r="Z951">
        <v>1.4369059999999999E-4</v>
      </c>
      <c r="AA951">
        <v>0.99910299999999996</v>
      </c>
      <c r="AB951">
        <v>33</v>
      </c>
      <c r="AC951">
        <v>124.5009</v>
      </c>
      <c r="AD951">
        <v>-0.31345649999999903</v>
      </c>
      <c r="AE951">
        <v>0.79790000000002603</v>
      </c>
      <c r="AF951">
        <v>-5.2806315363273599</v>
      </c>
      <c r="AG951">
        <v>-0.31345649999999903</v>
      </c>
      <c r="AH951">
        <v>124.390631350239</v>
      </c>
      <c r="AI951">
        <v>90.144251500082703</v>
      </c>
      <c r="AJ951">
        <v>92.430861065158098</v>
      </c>
      <c r="AK951">
        <v>124.50306217965399</v>
      </c>
    </row>
    <row r="952" spans="1:37" x14ac:dyDescent="0.2">
      <c r="A952" t="str">
        <f>"20200111155811616"</f>
        <v>20200111155811616</v>
      </c>
      <c r="B952" t="str">
        <f>"1578729491612172"</f>
        <v>1578729491612172</v>
      </c>
      <c r="C952" t="s">
        <v>37</v>
      </c>
      <c r="D952">
        <v>5.6271579999999997</v>
      </c>
      <c r="E952">
        <v>0.51523289999999999</v>
      </c>
      <c r="F952" t="s">
        <v>42</v>
      </c>
      <c r="G952">
        <v>-158.78319999999999</v>
      </c>
      <c r="H952">
        <v>0.67296369999999905</v>
      </c>
      <c r="I952">
        <v>368.6071</v>
      </c>
      <c r="J952">
        <v>-283.09769999999997</v>
      </c>
      <c r="K952">
        <v>1.0543400000000001</v>
      </c>
      <c r="L952">
        <v>367.73349999999999</v>
      </c>
      <c r="M952">
        <v>0.99924679999999999</v>
      </c>
      <c r="N952">
        <v>0</v>
      </c>
      <c r="O952">
        <v>-3.5995279999999998E-2</v>
      </c>
      <c r="P952">
        <v>0.99880569999999902</v>
      </c>
      <c r="Q952">
        <v>-9.2463609999999998E-3</v>
      </c>
      <c r="R952">
        <v>4.7975619999999997E-2</v>
      </c>
      <c r="S952">
        <v>3.002472</v>
      </c>
      <c r="T952">
        <v>-9.1952089999999993E-3</v>
      </c>
      <c r="U952">
        <v>2.0904539999999999E-2</v>
      </c>
      <c r="V952">
        <v>-8.3900530000000001E-2</v>
      </c>
      <c r="W952">
        <v>5.1944670000000004E-3</v>
      </c>
      <c r="X952">
        <v>0.99646060000000003</v>
      </c>
      <c r="Y952">
        <v>-4.295558E-2</v>
      </c>
      <c r="Z952">
        <v>1.7600849999999999E-4</v>
      </c>
      <c r="AA952">
        <v>0.99907699999999999</v>
      </c>
      <c r="AB952">
        <v>33</v>
      </c>
      <c r="AC952">
        <v>124.314499999999</v>
      </c>
      <c r="AD952">
        <v>-0.3813763</v>
      </c>
      <c r="AE952">
        <v>0.87360000000001004</v>
      </c>
      <c r="AF952">
        <v>-5.3481889634334001</v>
      </c>
      <c r="AG952">
        <v>-0.3813763</v>
      </c>
      <c r="AH952">
        <v>124.20130462424</v>
      </c>
      <c r="AI952">
        <v>90.175770726365599</v>
      </c>
      <c r="AJ952">
        <v>92.465670321723707</v>
      </c>
      <c r="AK952">
        <v>124.316984533225</v>
      </c>
    </row>
    <row r="953" spans="1:37" x14ac:dyDescent="0.2">
      <c r="A953" t="str">
        <f>"20200111155811629"</f>
        <v>20200111155811629</v>
      </c>
      <c r="B953" t="str">
        <f>"1578729491621932"</f>
        <v>1578729491621932</v>
      </c>
      <c r="C953" t="s">
        <v>37</v>
      </c>
      <c r="D953">
        <v>5.6714659999999997</v>
      </c>
      <c r="E953">
        <v>0.51571259999999997</v>
      </c>
      <c r="F953" t="s">
        <v>42</v>
      </c>
      <c r="G953">
        <v>-158.78319999999999</v>
      </c>
      <c r="H953">
        <v>0.47499599999999997</v>
      </c>
      <c r="I953">
        <v>368.63699999999898</v>
      </c>
      <c r="J953">
        <v>-282.90649999999999</v>
      </c>
      <c r="K953">
        <v>1.0543400000000001</v>
      </c>
      <c r="L953">
        <v>367.72669999999999</v>
      </c>
      <c r="M953">
        <v>0.99924729999999995</v>
      </c>
      <c r="N953">
        <v>0</v>
      </c>
      <c r="O953">
        <v>-3.5984059999999998E-2</v>
      </c>
      <c r="P953">
        <v>0.99880579999999997</v>
      </c>
      <c r="Q953">
        <v>-9.2914909999999903E-3</v>
      </c>
      <c r="R953">
        <v>4.796632E-2</v>
      </c>
      <c r="S953">
        <v>3.0024109999999999</v>
      </c>
      <c r="T953">
        <v>-1.399004E-2</v>
      </c>
      <c r="U953">
        <v>2.182007E-2</v>
      </c>
      <c r="V953">
        <v>-8.38806E-2</v>
      </c>
      <c r="W953">
        <v>5.1472599999999999E-3</v>
      </c>
      <c r="X953">
        <v>0.99646250000000003</v>
      </c>
      <c r="Y953">
        <v>-4.324865E-2</v>
      </c>
      <c r="Z953">
        <v>2.6842320000000002E-4</v>
      </c>
      <c r="AA953">
        <v>0.99906430000000002</v>
      </c>
      <c r="AB953">
        <v>33</v>
      </c>
      <c r="AC953">
        <v>124.1233</v>
      </c>
      <c r="AD953">
        <v>-0.57934399999999997</v>
      </c>
      <c r="AE953">
        <v>0.91029999999994904</v>
      </c>
      <c r="AF953">
        <v>-5.3765224935268803</v>
      </c>
      <c r="AG953">
        <v>-0.57934399999999997</v>
      </c>
      <c r="AH953">
        <v>124.007435252287</v>
      </c>
      <c r="AI953">
        <v>90.267424049281701</v>
      </c>
      <c r="AJ953">
        <v>92.482586955857101</v>
      </c>
      <c r="AK953">
        <v>124.12528602764201</v>
      </c>
    </row>
    <row r="954" spans="1:37" x14ac:dyDescent="0.2">
      <c r="A954" t="str">
        <f>"20200111155811641"</f>
        <v>20200111155811641</v>
      </c>
      <c r="B954" t="str">
        <f>"1578729491631692"</f>
        <v>1578729491631692</v>
      </c>
      <c r="C954" t="s">
        <v>37</v>
      </c>
      <c r="D954">
        <v>5.6568569999999996</v>
      </c>
      <c r="E954">
        <v>0.51609170000000004</v>
      </c>
      <c r="F954" t="s">
        <v>42</v>
      </c>
      <c r="G954">
        <v>-158.78319999999999</v>
      </c>
      <c r="H954">
        <v>0.22359960000000001</v>
      </c>
      <c r="I954">
        <v>368.48869999999999</v>
      </c>
      <c r="J954">
        <v>-282.72980000000001</v>
      </c>
      <c r="K954">
        <v>1.0543389999999999</v>
      </c>
      <c r="L954">
        <v>367.72030000000001</v>
      </c>
      <c r="M954">
        <v>0.99924769999999896</v>
      </c>
      <c r="N954">
        <v>0</v>
      </c>
      <c r="O954">
        <v>-3.5973680000000001E-2</v>
      </c>
      <c r="P954">
        <v>0.99880400000000003</v>
      </c>
      <c r="Q954">
        <v>-9.5587499999999995E-3</v>
      </c>
      <c r="R954">
        <v>4.7951880000000002E-2</v>
      </c>
      <c r="S954">
        <v>3.0025019999999998</v>
      </c>
      <c r="T954">
        <v>-2.0093199999999999E-2</v>
      </c>
      <c r="U954">
        <v>1.843262E-2</v>
      </c>
      <c r="V954">
        <v>-8.3855520000000003E-2</v>
      </c>
      <c r="W954">
        <v>4.878327E-3</v>
      </c>
      <c r="X954">
        <v>0.99646599999999996</v>
      </c>
      <c r="Y954">
        <v>-4.211003E-2</v>
      </c>
      <c r="Z954">
        <v>3.816297E-4</v>
      </c>
      <c r="AA954">
        <v>0.99911289999999997</v>
      </c>
      <c r="AB954">
        <v>33</v>
      </c>
      <c r="AC954">
        <v>123.9466</v>
      </c>
      <c r="AD954">
        <v>-0.83073939999999902</v>
      </c>
      <c r="AE954">
        <v>0.76839999999998498</v>
      </c>
      <c r="AF954">
        <v>-5.2269511575598004</v>
      </c>
      <c r="AG954">
        <v>-0.83073939999999902</v>
      </c>
      <c r="AH954">
        <v>123.833149474653</v>
      </c>
      <c r="AI954">
        <v>90.384023217746901</v>
      </c>
      <c r="AJ954">
        <v>92.416998795768095</v>
      </c>
      <c r="AK954">
        <v>123.946198227965</v>
      </c>
    </row>
    <row r="955" spans="1:37" x14ac:dyDescent="0.2">
      <c r="A955" t="str">
        <f>"20200111155811658"</f>
        <v>20200111155811658</v>
      </c>
      <c r="B955" t="str">
        <f>"1578729491652187"</f>
        <v>1578729491652187</v>
      </c>
      <c r="C955" t="s">
        <v>37</v>
      </c>
      <c r="D955">
        <v>5.6690110000000002</v>
      </c>
      <c r="E955">
        <v>0.51654319999999998</v>
      </c>
      <c r="F955" t="s">
        <v>44</v>
      </c>
      <c r="G955">
        <v>-176.5206</v>
      </c>
      <c r="H955">
        <v>7.9988030000000002E-2</v>
      </c>
      <c r="I955">
        <v>368.25779999999997</v>
      </c>
      <c r="J955">
        <v>-282.4905</v>
      </c>
      <c r="K955">
        <v>1.0543389999999999</v>
      </c>
      <c r="L955">
        <v>367.71170000000001</v>
      </c>
      <c r="M955">
        <v>0.99924809999999997</v>
      </c>
      <c r="N955">
        <v>0</v>
      </c>
      <c r="O955">
        <v>-3.5959600000000001E-2</v>
      </c>
      <c r="P955">
        <v>0.99881059999999999</v>
      </c>
      <c r="Q955">
        <v>-9.8386369999999904E-3</v>
      </c>
      <c r="R955">
        <v>4.7755010000000001E-2</v>
      </c>
      <c r="S955">
        <v>3.00259399999999</v>
      </c>
      <c r="T955">
        <v>-2.7545449999999999E-2</v>
      </c>
      <c r="U955">
        <v>1.5197749999999999E-2</v>
      </c>
      <c r="V955">
        <v>-8.3645140000000007E-2</v>
      </c>
      <c r="W955">
        <v>4.5960419999999998E-3</v>
      </c>
      <c r="X955">
        <v>0.99648499999999995</v>
      </c>
      <c r="Y955">
        <v>-4.101788E-2</v>
      </c>
      <c r="Z955">
        <v>5.1801039999999998E-4</v>
      </c>
      <c r="AA955">
        <v>0.99915830000000005</v>
      </c>
      <c r="AB955">
        <v>33</v>
      </c>
      <c r="AC955">
        <v>105.9699</v>
      </c>
      <c r="AD955">
        <v>-0.97435097000000004</v>
      </c>
      <c r="AE955">
        <v>0.54609999999996695</v>
      </c>
      <c r="AF955">
        <v>-4.3564141141002599</v>
      </c>
      <c r="AG955">
        <v>-0.97435097000000004</v>
      </c>
      <c r="AH955">
        <v>105.87275904785901</v>
      </c>
      <c r="AI955">
        <v>90.526834535253101</v>
      </c>
      <c r="AJ955">
        <v>92.356256860785606</v>
      </c>
      <c r="AK955">
        <v>105.96682882936599</v>
      </c>
    </row>
    <row r="956" spans="1:37" x14ac:dyDescent="0.2">
      <c r="A956" t="str">
        <f>"20200111155811679"</f>
        <v>20200111155811679</v>
      </c>
      <c r="B956" t="str">
        <f>"1578729491671707"</f>
        <v>1578729491671707</v>
      </c>
      <c r="C956" t="s">
        <v>37</v>
      </c>
      <c r="D956">
        <v>5.5821399999999999</v>
      </c>
      <c r="E956">
        <v>0.51741029999999999</v>
      </c>
      <c r="F956" t="s">
        <v>44</v>
      </c>
      <c r="G956">
        <v>-199.36709999999999</v>
      </c>
      <c r="H956" s="1">
        <v>-8.9190030000000004E-6</v>
      </c>
      <c r="I956">
        <v>368.03100000000001</v>
      </c>
      <c r="J956">
        <v>-282.17630000000003</v>
      </c>
      <c r="K956">
        <v>1.0543370000000001</v>
      </c>
      <c r="L956">
        <v>367.7004</v>
      </c>
      <c r="M956">
        <v>0.9992491</v>
      </c>
      <c r="N956">
        <v>0</v>
      </c>
      <c r="O956">
        <v>-3.5940979999999997E-2</v>
      </c>
      <c r="P956">
        <v>0.99883539999999904</v>
      </c>
      <c r="Q956">
        <v>-1.013378E-2</v>
      </c>
      <c r="R956">
        <v>4.7173420000000001E-2</v>
      </c>
      <c r="S956">
        <v>3.0026549999999999</v>
      </c>
      <c r="T956">
        <v>-3.8086059999999998E-2</v>
      </c>
      <c r="U956">
        <v>1.153564E-2</v>
      </c>
      <c r="V956">
        <v>-8.3045590000000002E-2</v>
      </c>
      <c r="W956">
        <v>4.29897599999999E-3</v>
      </c>
      <c r="X956">
        <v>0.99653649999999905</v>
      </c>
      <c r="Y956">
        <v>-3.9777689999999997E-2</v>
      </c>
      <c r="Z956">
        <v>7.0810339999999999E-4</v>
      </c>
      <c r="AA956">
        <v>0.99920830000000005</v>
      </c>
      <c r="AB956">
        <v>33</v>
      </c>
      <c r="AC956">
        <v>82.809200000000004</v>
      </c>
      <c r="AD956">
        <v>-1.054345919003</v>
      </c>
      <c r="AE956">
        <v>0.330600000000003</v>
      </c>
      <c r="AF956">
        <v>-3.30640595218749</v>
      </c>
      <c r="AG956">
        <v>-1.054345919003</v>
      </c>
      <c r="AH956">
        <v>82.7303924234958</v>
      </c>
      <c r="AI956">
        <v>90.729576147551199</v>
      </c>
      <c r="AJ956">
        <v>92.288667231029706</v>
      </c>
      <c r="AK956">
        <v>82.803150883183093</v>
      </c>
    </row>
    <row r="957" spans="1:37" x14ac:dyDescent="0.2">
      <c r="A957" t="str">
        <f>"20200111155811692"</f>
        <v>20200111155811692</v>
      </c>
      <c r="B957" t="str">
        <f>"1578729491682444"</f>
        <v>1578729491682444</v>
      </c>
      <c r="C957" t="s">
        <v>37</v>
      </c>
      <c r="D957">
        <v>5.5290949999999999</v>
      </c>
      <c r="E957">
        <v>0.51785270000000005</v>
      </c>
      <c r="F957" t="s">
        <v>39</v>
      </c>
      <c r="G957">
        <v>-225.68870000000001</v>
      </c>
      <c r="H957" s="1">
        <v>-2.1591199999999999E-6</v>
      </c>
      <c r="I957">
        <v>367.7715</v>
      </c>
      <c r="J957">
        <v>-281.99250000000001</v>
      </c>
      <c r="K957">
        <v>1.0543359999999999</v>
      </c>
      <c r="L957">
        <v>367.69380000000001</v>
      </c>
      <c r="M957">
        <v>0.99924950000000001</v>
      </c>
      <c r="N957">
        <v>0</v>
      </c>
      <c r="O957">
        <v>-3.5929879999999997E-2</v>
      </c>
      <c r="P957">
        <v>0.99884119999999998</v>
      </c>
      <c r="Q957">
        <v>-1.008356E-2</v>
      </c>
      <c r="R957">
        <v>4.7059169999999997E-2</v>
      </c>
      <c r="S957">
        <v>3.0027159999999999</v>
      </c>
      <c r="T957">
        <v>-5.6045409999999997E-2</v>
      </c>
      <c r="U957">
        <v>3.7841799999999998E-3</v>
      </c>
      <c r="V957">
        <v>-8.2920599999999997E-2</v>
      </c>
      <c r="W957">
        <v>4.3476130000000002E-3</v>
      </c>
      <c r="X957">
        <v>0.99654669999999901</v>
      </c>
      <c r="Y957">
        <v>-3.7180329999999998E-2</v>
      </c>
      <c r="Z957">
        <v>1.017488E-3</v>
      </c>
      <c r="AA957">
        <v>0.99930799999999997</v>
      </c>
      <c r="AB957">
        <v>33</v>
      </c>
      <c r="AC957">
        <v>56.303800000000003</v>
      </c>
      <c r="AD957">
        <v>-1.0543381591200001</v>
      </c>
      <c r="AE957">
        <v>7.7699999999992997E-2</v>
      </c>
      <c r="AF957">
        <v>-2.1001140972309802</v>
      </c>
      <c r="AG957">
        <v>-1.0543381591200001</v>
      </c>
      <c r="AH957">
        <v>56.244923001626702</v>
      </c>
      <c r="AI957">
        <v>91.073163537383195</v>
      </c>
      <c r="AJ957">
        <v>92.138358363109901</v>
      </c>
      <c r="AK957">
        <v>56.293991434558002</v>
      </c>
    </row>
    <row r="958" spans="1:37" x14ac:dyDescent="0.2">
      <c r="A958" t="str">
        <f>"20200111155811704"</f>
        <v>20200111155811704</v>
      </c>
      <c r="B958" t="str">
        <f>"1578729491701964"</f>
        <v>1578729491701964</v>
      </c>
      <c r="C958" t="s">
        <v>37</v>
      </c>
      <c r="D958">
        <v>5.4944879999999996</v>
      </c>
      <c r="E958">
        <v>0.51870930000000004</v>
      </c>
      <c r="F958" t="s">
        <v>39</v>
      </c>
      <c r="G958">
        <v>-231.19399999999999</v>
      </c>
      <c r="H958" s="1">
        <v>-4.1000050000000001E-6</v>
      </c>
      <c r="I958">
        <v>367.69990000000001</v>
      </c>
      <c r="J958">
        <v>-281.80119999999999</v>
      </c>
      <c r="K958">
        <v>1.054338</v>
      </c>
      <c r="L958">
        <v>367.68699999999899</v>
      </c>
      <c r="M958">
        <v>0.99924979999999997</v>
      </c>
      <c r="N958">
        <v>0</v>
      </c>
      <c r="O958">
        <v>-3.5918539999999999E-2</v>
      </c>
      <c r="P958">
        <v>0.99885049999999997</v>
      </c>
      <c r="Q958">
        <v>-1.0339660000000001E-2</v>
      </c>
      <c r="R958">
        <v>4.6806809999999997E-2</v>
      </c>
      <c r="S958">
        <v>3.002777</v>
      </c>
      <c r="T958">
        <v>-6.2323629999999998E-2</v>
      </c>
      <c r="U958">
        <v>3.6621089999999999E-4</v>
      </c>
      <c r="V958">
        <v>-8.2657899999999895E-2</v>
      </c>
      <c r="W958">
        <v>4.0896459999999997E-3</v>
      </c>
      <c r="X958">
        <v>0.99656959999999895</v>
      </c>
      <c r="Y958">
        <v>-3.6028699999999997E-2</v>
      </c>
      <c r="Z958">
        <v>1.1192330000000001E-3</v>
      </c>
      <c r="AA958">
        <v>0.99935010000000002</v>
      </c>
      <c r="AB958">
        <v>33</v>
      </c>
      <c r="AC958">
        <v>50.607199999999899</v>
      </c>
      <c r="AD958">
        <v>-1.0543421000049999</v>
      </c>
      <c r="AE958">
        <v>1.29000000000587E-2</v>
      </c>
      <c r="AF958">
        <v>-1.8300247075696401</v>
      </c>
      <c r="AG958">
        <v>-1.0543421000049999</v>
      </c>
      <c r="AH958">
        <v>50.552131903301699</v>
      </c>
      <c r="AI958">
        <v>91.194036062552001</v>
      </c>
      <c r="AJ958">
        <v>92.073244416222707</v>
      </c>
      <c r="AK958">
        <v>50.596231753589898</v>
      </c>
    </row>
    <row r="959" spans="1:37" x14ac:dyDescent="0.2">
      <c r="A959" t="str">
        <f>"20200111155811718"</f>
        <v>20200111155811718</v>
      </c>
      <c r="B959" t="str">
        <f>"1578729491711725"</f>
        <v>1578729491711725</v>
      </c>
      <c r="C959" t="s">
        <v>37</v>
      </c>
      <c r="D959">
        <v>5.46251</v>
      </c>
      <c r="E959">
        <v>0.51882470000000003</v>
      </c>
      <c r="F959" t="s">
        <v>39</v>
      </c>
      <c r="G959">
        <v>-239.1908</v>
      </c>
      <c r="H959" s="1">
        <v>-8.0076369999999995E-7</v>
      </c>
      <c r="I959">
        <v>367.58949999999999</v>
      </c>
      <c r="J959">
        <v>-281.60340000000002</v>
      </c>
      <c r="K959">
        <v>1.0543400000000001</v>
      </c>
      <c r="L959">
        <v>367.67989999999998</v>
      </c>
      <c r="M959">
        <v>0.99925039999999998</v>
      </c>
      <c r="N959">
        <v>0</v>
      </c>
      <c r="O959">
        <v>-3.5906849999999997E-2</v>
      </c>
      <c r="P959">
        <v>0.99886900000000001</v>
      </c>
      <c r="Q959">
        <v>-1.0031760000000001E-2</v>
      </c>
      <c r="R959">
        <v>4.6479529999999998E-2</v>
      </c>
      <c r="S959">
        <v>3.0029910000000002</v>
      </c>
      <c r="T959">
        <v>-7.430494E-2</v>
      </c>
      <c r="U959">
        <v>-6.8664549999999996E-3</v>
      </c>
      <c r="V959">
        <v>-8.2319439999999994E-2</v>
      </c>
      <c r="W959">
        <v>4.3957739999999999E-3</v>
      </c>
      <c r="X959">
        <v>0.99659629999999999</v>
      </c>
      <c r="Y959">
        <v>-3.3604189999999999E-2</v>
      </c>
      <c r="Z959">
        <v>1.303951E-3</v>
      </c>
      <c r="AA959">
        <v>0.99943439999999995</v>
      </c>
      <c r="AB959">
        <v>33</v>
      </c>
      <c r="AC959">
        <v>42.412599999999998</v>
      </c>
      <c r="AD959">
        <v>-1.0543408007637001</v>
      </c>
      <c r="AE959">
        <v>-9.0399999999988198E-2</v>
      </c>
      <c r="AF959">
        <v>-1.4318357607704499</v>
      </c>
      <c r="AG959">
        <v>-1.0543408007637001</v>
      </c>
      <c r="AH959">
        <v>42.3623116391569</v>
      </c>
      <c r="AI959">
        <v>91.424906982735195</v>
      </c>
      <c r="AJ959">
        <v>91.935846357394695</v>
      </c>
      <c r="AK959">
        <v>42.399613625397897</v>
      </c>
    </row>
    <row r="960" spans="1:37" x14ac:dyDescent="0.2">
      <c r="A960" t="str">
        <f>"20200111155811731"</f>
        <v>20200111155811731</v>
      </c>
      <c r="B960" t="str">
        <f>"1578729491721483"</f>
        <v>1578729491721483</v>
      </c>
      <c r="C960" t="s">
        <v>37</v>
      </c>
      <c r="D960">
        <v>5.4802089999999897</v>
      </c>
      <c r="E960">
        <v>0.51907239999999999</v>
      </c>
      <c r="F960" t="s">
        <v>39</v>
      </c>
      <c r="G960">
        <v>-240.31030000000001</v>
      </c>
      <c r="H960" s="1">
        <v>-4.9248379999999996E-6</v>
      </c>
      <c r="I960">
        <v>367.56450000000001</v>
      </c>
      <c r="J960">
        <v>-281.4196</v>
      </c>
      <c r="K960">
        <v>1.0543419999999999</v>
      </c>
      <c r="L960">
        <v>367.67320000000001</v>
      </c>
      <c r="M960">
        <v>0.99925079999999999</v>
      </c>
      <c r="N960">
        <v>0</v>
      </c>
      <c r="O960">
        <v>-3.5895870000000003E-2</v>
      </c>
      <c r="P960">
        <v>0.99888180000000004</v>
      </c>
      <c r="Q960">
        <v>-9.990957E-3</v>
      </c>
      <c r="R960">
        <v>4.621426E-2</v>
      </c>
      <c r="S960">
        <v>3.0030209999999999</v>
      </c>
      <c r="T960">
        <v>-7.6676729999999998E-2</v>
      </c>
      <c r="U960">
        <v>-8.3923339999999996E-3</v>
      </c>
      <c r="V960">
        <v>-8.2044279999999997E-2</v>
      </c>
      <c r="W960">
        <v>4.4348729999999998E-3</v>
      </c>
      <c r="X960">
        <v>0.99661880000000003</v>
      </c>
      <c r="Y960">
        <v>-3.3084189999999999E-2</v>
      </c>
      <c r="Z960">
        <v>1.338625E-3</v>
      </c>
      <c r="AA960">
        <v>0.99945169999999905</v>
      </c>
      <c r="AB960">
        <v>33</v>
      </c>
      <c r="AC960">
        <v>41.109299999999898</v>
      </c>
      <c r="AD960">
        <v>-1.054346924838</v>
      </c>
      <c r="AE960">
        <v>-0.10869999999999801</v>
      </c>
      <c r="AF960">
        <v>-1.3662799083664501</v>
      </c>
      <c r="AG960">
        <v>-1.054346924838</v>
      </c>
      <c r="AH960">
        <v>41.059694814602999</v>
      </c>
      <c r="AI960">
        <v>91.470126900152394</v>
      </c>
      <c r="AJ960">
        <v>91.905839757426307</v>
      </c>
      <c r="AK960">
        <v>41.095947567786503</v>
      </c>
    </row>
    <row r="961" spans="1:37" x14ac:dyDescent="0.2">
      <c r="A961" t="str">
        <f>"20200111155811747"</f>
        <v>20200111155811747</v>
      </c>
      <c r="B961" t="str">
        <f>"1578729491741887"</f>
        <v>1578729491741887</v>
      </c>
      <c r="C961" t="s">
        <v>37</v>
      </c>
      <c r="D961">
        <v>5.4939780000000003</v>
      </c>
      <c r="E961">
        <v>0.51958950000000004</v>
      </c>
      <c r="F961" t="s">
        <v>39</v>
      </c>
      <c r="G961">
        <v>-242.91069999999999</v>
      </c>
      <c r="H961" s="1">
        <v>-3.7015870000000001E-6</v>
      </c>
      <c r="I961">
        <v>367.5308</v>
      </c>
      <c r="J961">
        <v>-281.18279999999999</v>
      </c>
      <c r="K961">
        <v>1.0543709999999999</v>
      </c>
      <c r="L961">
        <v>367.66480000000001</v>
      </c>
      <c r="M961">
        <v>0.99924979999999997</v>
      </c>
      <c r="N961">
        <v>0</v>
      </c>
      <c r="O961">
        <v>-3.5881620000000003E-2</v>
      </c>
      <c r="P961">
        <v>0.99888489999999996</v>
      </c>
      <c r="Q961">
        <v>-1.027869E-2</v>
      </c>
      <c r="R961">
        <v>4.6082329999999998E-2</v>
      </c>
      <c r="S961">
        <v>3.0030519999999998</v>
      </c>
      <c r="T961">
        <v>-8.2221509999999998E-2</v>
      </c>
      <c r="U961">
        <v>-1.1108399999999999E-2</v>
      </c>
      <c r="V961">
        <v>-8.1898449999999998E-2</v>
      </c>
      <c r="W961">
        <v>4.2555839999999998E-3</v>
      </c>
      <c r="X961">
        <v>0.99663159999999895</v>
      </c>
      <c r="Y961">
        <v>-3.216306E-2</v>
      </c>
      <c r="Z961">
        <v>1.4223739999999999E-3</v>
      </c>
      <c r="AA961">
        <v>0.99948159999999897</v>
      </c>
      <c r="AB961">
        <v>33</v>
      </c>
      <c r="AC961">
        <v>38.272100000000002</v>
      </c>
      <c r="AD961">
        <v>-1.054374701587</v>
      </c>
      <c r="AE961">
        <v>-0.134000000000014</v>
      </c>
      <c r="AF961">
        <v>-1.2385570662757499</v>
      </c>
      <c r="AG961">
        <v>-1.054374701587</v>
      </c>
      <c r="AH961">
        <v>38.223247997125497</v>
      </c>
      <c r="AI961">
        <v>91.579254565757793</v>
      </c>
      <c r="AJ961">
        <v>91.855919504868098</v>
      </c>
      <c r="AK961">
        <v>38.257841249442301</v>
      </c>
    </row>
    <row r="962" spans="1:37" x14ac:dyDescent="0.2">
      <c r="A962" t="str">
        <f>"20200111155811759"</f>
        <v>20200111155811759</v>
      </c>
      <c r="B962" t="str">
        <f>"1578729491751646"</f>
        <v>1578729491751646</v>
      </c>
      <c r="C962" t="s">
        <v>37</v>
      </c>
      <c r="D962">
        <v>5.4762059999999897</v>
      </c>
      <c r="E962">
        <v>0.51979709999999901</v>
      </c>
      <c r="F962" t="s">
        <v>39</v>
      </c>
      <c r="G962">
        <v>-247.19579999999999</v>
      </c>
      <c r="H962" s="1">
        <v>-1.6826560000000001E-6</v>
      </c>
      <c r="I962">
        <v>367.49310000000003</v>
      </c>
      <c r="J962">
        <v>-281.00080000000003</v>
      </c>
      <c r="K962">
        <v>1.05452099999999</v>
      </c>
      <c r="L962">
        <v>367.65820000000002</v>
      </c>
      <c r="M962">
        <v>0.99924169999999901</v>
      </c>
      <c r="N962">
        <v>0</v>
      </c>
      <c r="O962">
        <v>-3.5872210000000002E-2</v>
      </c>
      <c r="P962">
        <v>0.9988958</v>
      </c>
      <c r="Q962">
        <v>-1.0969E-2</v>
      </c>
      <c r="R962">
        <v>4.5685969999999999E-2</v>
      </c>
      <c r="S962">
        <v>3.003082</v>
      </c>
      <c r="T962">
        <v>-9.3164150000000001E-2</v>
      </c>
      <c r="U962">
        <v>-1.516724E-2</v>
      </c>
      <c r="V962">
        <v>-8.1493120000000002E-2</v>
      </c>
      <c r="W962">
        <v>4.1306540000000001E-3</v>
      </c>
      <c r="X962">
        <v>0.99666540000000003</v>
      </c>
      <c r="Y962">
        <v>-3.0796560000000001E-2</v>
      </c>
      <c r="Z962">
        <v>1.590087E-3</v>
      </c>
      <c r="AA962">
        <v>0.99952439999999998</v>
      </c>
      <c r="AB962">
        <v>33</v>
      </c>
      <c r="AC962">
        <v>33.805</v>
      </c>
      <c r="AD962">
        <v>-1.0545226826559999</v>
      </c>
      <c r="AE962">
        <v>-0.165099999999995</v>
      </c>
      <c r="AF962">
        <v>-1.0467867584431501</v>
      </c>
      <c r="AG962">
        <v>-1.0545226826559999</v>
      </c>
      <c r="AH962">
        <v>33.756313872966899</v>
      </c>
      <c r="AI962">
        <v>91.788437419664604</v>
      </c>
      <c r="AJ962">
        <v>91.776178810118694</v>
      </c>
      <c r="AK962">
        <v>33.788999791295197</v>
      </c>
    </row>
    <row r="963" spans="1:37" x14ac:dyDescent="0.2">
      <c r="A963" t="str">
        <f>"20200111155811773"</f>
        <v>20200111155811773</v>
      </c>
      <c r="B963" t="str">
        <f>"1578729491762383"</f>
        <v>1578729491762383</v>
      </c>
      <c r="C963" t="s">
        <v>37</v>
      </c>
      <c r="D963">
        <v>5.4579740000000001</v>
      </c>
      <c r="E963">
        <v>0.5199646</v>
      </c>
      <c r="F963" t="s">
        <v>39</v>
      </c>
      <c r="G963">
        <v>-249.32320000000001</v>
      </c>
      <c r="H963" s="1">
        <v>-8.14385E-7</v>
      </c>
      <c r="I963">
        <v>367.47309999999999</v>
      </c>
      <c r="J963">
        <v>-280.81959999999998</v>
      </c>
      <c r="K963">
        <v>1.054808</v>
      </c>
      <c r="L963">
        <v>367.65170000000001</v>
      </c>
      <c r="M963">
        <v>0.99923189999999995</v>
      </c>
      <c r="N963">
        <v>0</v>
      </c>
      <c r="O963">
        <v>-3.58616E-2</v>
      </c>
      <c r="P963">
        <v>0.99889729999999999</v>
      </c>
      <c r="Q963">
        <v>-1.1667719999999999E-2</v>
      </c>
      <c r="R963">
        <v>4.547872E-2</v>
      </c>
      <c r="S963">
        <v>3.0030519999999998</v>
      </c>
      <c r="T963">
        <v>-9.9969329999999995E-2</v>
      </c>
      <c r="U963">
        <v>-1.7547610000000002E-2</v>
      </c>
      <c r="V963">
        <v>-8.1275929999999996E-2</v>
      </c>
      <c r="W963">
        <v>4.0848780000000001E-3</v>
      </c>
      <c r="X963">
        <v>0.99668319999999999</v>
      </c>
      <c r="Y963">
        <v>-2.9989599999999901E-2</v>
      </c>
      <c r="Z963">
        <v>1.6924139999999999E-3</v>
      </c>
      <c r="AA963">
        <v>0.99954880000000002</v>
      </c>
      <c r="AB963">
        <v>33</v>
      </c>
      <c r="AC963">
        <v>31.496399999999898</v>
      </c>
      <c r="AD963">
        <v>-1.0548088143850001</v>
      </c>
      <c r="AE963">
        <v>-0.178600000000017</v>
      </c>
      <c r="AF963">
        <v>-0.95010160345474004</v>
      </c>
      <c r="AG963">
        <v>-1.0548088143850001</v>
      </c>
      <c r="AH963">
        <v>31.447271940913101</v>
      </c>
      <c r="AI963">
        <v>91.920227309432605</v>
      </c>
      <c r="AJ963">
        <v>91.730523967338897</v>
      </c>
      <c r="AK963">
        <v>31.4792983914434</v>
      </c>
    </row>
    <row r="964" spans="1:37" x14ac:dyDescent="0.2">
      <c r="A964" t="str">
        <f>"20200111155811786"</f>
        <v>20200111155811786</v>
      </c>
      <c r="B964" t="str">
        <f>"1578729491781902"</f>
        <v>1578729491781902</v>
      </c>
      <c r="C964" t="s">
        <v>37</v>
      </c>
      <c r="D964">
        <v>5.371613</v>
      </c>
      <c r="E964">
        <v>0.52026989999999995</v>
      </c>
      <c r="F964" t="s">
        <v>39</v>
      </c>
      <c r="G964">
        <v>-251.04660000000001</v>
      </c>
      <c r="H964" s="1">
        <v>-4.2059400000000001E-6</v>
      </c>
      <c r="I964">
        <v>367.45929999999998</v>
      </c>
      <c r="J964">
        <v>-280.62709999999998</v>
      </c>
      <c r="K964">
        <v>1.055207</v>
      </c>
      <c r="L964">
        <v>367.64479999999998</v>
      </c>
      <c r="M964">
        <v>0.99922140000000004</v>
      </c>
      <c r="N964">
        <v>0</v>
      </c>
      <c r="O964">
        <v>-3.5848089999999999E-2</v>
      </c>
      <c r="P964">
        <v>0.99891049999999904</v>
      </c>
      <c r="Q964">
        <v>-1.224662E-2</v>
      </c>
      <c r="R964">
        <v>4.5031059999999998E-2</v>
      </c>
      <c r="S964">
        <v>3.0029300000000001</v>
      </c>
      <c r="T964">
        <v>-0.10638889999999999</v>
      </c>
      <c r="U964">
        <v>-1.9409180000000002E-2</v>
      </c>
      <c r="V964">
        <v>-8.081584E-2</v>
      </c>
      <c r="W964">
        <v>4.1749990000000004E-3</v>
      </c>
      <c r="X964">
        <v>0.9967203</v>
      </c>
      <c r="Y964">
        <v>-2.935219E-2</v>
      </c>
      <c r="Z964">
        <v>1.789342E-3</v>
      </c>
      <c r="AA964">
        <v>0.99956749999999905</v>
      </c>
      <c r="AB964">
        <v>32</v>
      </c>
      <c r="AC964">
        <v>29.580499999999901</v>
      </c>
      <c r="AD964">
        <v>-1.0552112059400001</v>
      </c>
      <c r="AE964">
        <v>-0.18549999999999001</v>
      </c>
      <c r="AF964">
        <v>-0.87405545484220504</v>
      </c>
      <c r="AG964">
        <v>-1.0552112059400001</v>
      </c>
      <c r="AH964">
        <v>29.530555693859402</v>
      </c>
      <c r="AI964">
        <v>92.04557628037</v>
      </c>
      <c r="AJ964">
        <v>91.695365049126195</v>
      </c>
      <c r="AK964">
        <v>29.5623267557785</v>
      </c>
    </row>
    <row r="965" spans="1:37" x14ac:dyDescent="0.2">
      <c r="A965" t="str">
        <f>"20200111155811801"</f>
        <v>20200111155811801</v>
      </c>
      <c r="B965" t="str">
        <f>"1578729491791663"</f>
        <v>1578729491791663</v>
      </c>
      <c r="C965" t="s">
        <v>37</v>
      </c>
      <c r="D965">
        <v>5.3907299999999996</v>
      </c>
      <c r="E965">
        <v>0.52045070000000004</v>
      </c>
      <c r="F965" t="s">
        <v>39</v>
      </c>
      <c r="G965">
        <v>-253.35579999999999</v>
      </c>
      <c r="H965" s="1">
        <v>-3.2190509999999999E-6</v>
      </c>
      <c r="I965">
        <v>367.43799999999999</v>
      </c>
      <c r="J965">
        <v>-280.40949999999998</v>
      </c>
      <c r="K965">
        <v>1.0556950000000001</v>
      </c>
      <c r="L965">
        <v>367.63699999999898</v>
      </c>
      <c r="M965">
        <v>0.99922350000000004</v>
      </c>
      <c r="N965">
        <v>0</v>
      </c>
      <c r="O965">
        <v>-3.5820860000000003E-2</v>
      </c>
      <c r="P965">
        <v>0.99892440000000005</v>
      </c>
      <c r="Q965">
        <v>-1.2341039999999999E-2</v>
      </c>
      <c r="R965">
        <v>4.4696149999999997E-2</v>
      </c>
      <c r="S965">
        <v>3.002869</v>
      </c>
      <c r="T965">
        <v>-0.11619</v>
      </c>
      <c r="U965">
        <v>-2.2766109999999999E-2</v>
      </c>
      <c r="V965">
        <v>-8.0454700000000004E-2</v>
      </c>
      <c r="W965">
        <v>4.0133529999999999E-3</v>
      </c>
      <c r="X965">
        <v>0.99675020000000003</v>
      </c>
      <c r="Y965">
        <v>-2.8200389999999999E-2</v>
      </c>
      <c r="Z965">
        <v>1.9307619999999999E-3</v>
      </c>
      <c r="AA965">
        <v>0.99960039999999994</v>
      </c>
      <c r="AB965">
        <v>32</v>
      </c>
      <c r="AC965">
        <v>27.0536999999999</v>
      </c>
      <c r="AD965">
        <v>-1.055698219051</v>
      </c>
      <c r="AE965">
        <v>-0.19899999999989801</v>
      </c>
      <c r="AF965">
        <v>-0.76917385366274904</v>
      </c>
      <c r="AG965">
        <v>-1.055698219051</v>
      </c>
      <c r="AH965">
        <v>27.0023469258288</v>
      </c>
      <c r="AI965">
        <v>92.238019308866697</v>
      </c>
      <c r="AJ965">
        <v>91.631654521266498</v>
      </c>
      <c r="AK965">
        <v>27.033920667370499</v>
      </c>
    </row>
    <row r="966" spans="1:37" x14ac:dyDescent="0.2">
      <c r="A966" t="str">
        <f>"20200111155811816"</f>
        <v>20200111155811816</v>
      </c>
      <c r="B966" t="str">
        <f>"1578729491812158"</f>
        <v>1578729491812158</v>
      </c>
      <c r="C966" t="s">
        <v>37</v>
      </c>
      <c r="D966">
        <v>5.5958639999999997</v>
      </c>
      <c r="E966">
        <v>0.520791</v>
      </c>
      <c r="F966" t="s">
        <v>39</v>
      </c>
      <c r="G966">
        <v>-253.91739999999999</v>
      </c>
      <c r="H966" s="1">
        <v>-2.9819389999999998E-6</v>
      </c>
      <c r="I966">
        <v>367.41649999999998</v>
      </c>
      <c r="J966">
        <v>-280.2167</v>
      </c>
      <c r="K966">
        <v>1.0561160000000001</v>
      </c>
      <c r="L966">
        <v>367.63010000000003</v>
      </c>
      <c r="M966">
        <v>0.99923819999999997</v>
      </c>
      <c r="N966">
        <v>0</v>
      </c>
      <c r="O966">
        <v>-3.5787689999999997E-2</v>
      </c>
      <c r="P966">
        <v>0.99893240000000005</v>
      </c>
      <c r="Q966">
        <v>-1.175816E-2</v>
      </c>
      <c r="R966">
        <v>4.4678860000000001E-2</v>
      </c>
      <c r="S966">
        <v>3.002869</v>
      </c>
      <c r="T966">
        <v>-0.1196627</v>
      </c>
      <c r="U966">
        <v>-2.4993899999999999E-2</v>
      </c>
      <c r="V966">
        <v>-8.0404390000000006E-2</v>
      </c>
      <c r="W966">
        <v>3.761585E-3</v>
      </c>
      <c r="X966">
        <v>0.99675519999999995</v>
      </c>
      <c r="Y966">
        <v>-2.742292E-2</v>
      </c>
      <c r="Z966">
        <v>1.9715890000000002E-3</v>
      </c>
      <c r="AA966">
        <v>0.99962199999999901</v>
      </c>
      <c r="AB966">
        <v>32</v>
      </c>
      <c r="AC966">
        <v>26.299299999999999</v>
      </c>
      <c r="AD966">
        <v>-1.056118981939</v>
      </c>
      <c r="AE966">
        <v>-0.21360000000004201</v>
      </c>
      <c r="AF966">
        <v>-0.72667030526916299</v>
      </c>
      <c r="AG966">
        <v>-1.056118981939</v>
      </c>
      <c r="AH966">
        <v>26.247768768579199</v>
      </c>
      <c r="AI966">
        <v>92.303258543004006</v>
      </c>
      <c r="AJ966">
        <v>91.585830384614596</v>
      </c>
      <c r="AK966">
        <v>26.2790563446516</v>
      </c>
    </row>
    <row r="967" spans="1:37" x14ac:dyDescent="0.2">
      <c r="A967" t="str">
        <f>"20200111155811828"</f>
        <v>20200111155811828</v>
      </c>
      <c r="B967" t="str">
        <f>"1578729491821919"</f>
        <v>1578729491821919</v>
      </c>
      <c r="C967" t="s">
        <v>37</v>
      </c>
      <c r="D967">
        <v>5.3250799999999998</v>
      </c>
      <c r="E967">
        <v>0.52090249999999905</v>
      </c>
      <c r="F967" t="s">
        <v>39</v>
      </c>
      <c r="G967">
        <v>-254.54040000000001</v>
      </c>
      <c r="H967" s="1">
        <v>-2.7184519999999998E-6</v>
      </c>
      <c r="I967">
        <v>367.39530000000002</v>
      </c>
      <c r="J967">
        <v>-280.0301</v>
      </c>
      <c r="K967">
        <v>1.0565629999999999</v>
      </c>
      <c r="L967">
        <v>367.62349999999998</v>
      </c>
      <c r="M967">
        <v>0.99925599999999903</v>
      </c>
      <c r="N967">
        <v>0</v>
      </c>
      <c r="O967">
        <v>-3.5749209999999997E-2</v>
      </c>
      <c r="P967">
        <v>0.99894300000000003</v>
      </c>
      <c r="Q967">
        <v>-1.074664E-2</v>
      </c>
      <c r="R967">
        <v>4.4695409999999998E-2</v>
      </c>
      <c r="S967">
        <v>3.0029599999999999</v>
      </c>
      <c r="T967">
        <v>-0.1235175</v>
      </c>
      <c r="U967">
        <v>-2.7465819999999998E-2</v>
      </c>
      <c r="V967">
        <v>-8.0382090000000003E-2</v>
      </c>
      <c r="W967">
        <v>3.6776619999999999E-3</v>
      </c>
      <c r="X967">
        <v>0.99675729999999996</v>
      </c>
      <c r="Y967">
        <v>-2.6558769999999999E-2</v>
      </c>
      <c r="Z967">
        <v>2.0156050000000002E-3</v>
      </c>
      <c r="AA967">
        <v>0.99964519999999901</v>
      </c>
      <c r="AB967">
        <v>32</v>
      </c>
      <c r="AC967">
        <v>25.489699999999999</v>
      </c>
      <c r="AD967">
        <v>-1.0565657184520001</v>
      </c>
      <c r="AE967">
        <v>-0.22819999999995799</v>
      </c>
      <c r="AF967">
        <v>-0.68210610226955604</v>
      </c>
      <c r="AG967">
        <v>-1.0565657184520001</v>
      </c>
      <c r="AH967">
        <v>25.437859399992799</v>
      </c>
      <c r="AI967">
        <v>92.377568998124701</v>
      </c>
      <c r="AJ967">
        <v>91.535995516013202</v>
      </c>
      <c r="AK967">
        <v>25.468927945753101</v>
      </c>
    </row>
    <row r="968" spans="1:37" x14ac:dyDescent="0.2">
      <c r="A968" t="str">
        <f>"20200111155811840"</f>
        <v>20200111155811840</v>
      </c>
      <c r="B968" t="str">
        <f>"1578729491832318"</f>
        <v>1578729491832318</v>
      </c>
      <c r="C968" t="s">
        <v>37</v>
      </c>
      <c r="D968">
        <v>5.435886</v>
      </c>
      <c r="E968">
        <v>0.52092950000000005</v>
      </c>
      <c r="F968" t="s">
        <v>39</v>
      </c>
      <c r="G968">
        <v>-254.25799999999899</v>
      </c>
      <c r="H968" s="1">
        <v>-2.8420149999999998E-6</v>
      </c>
      <c r="I968">
        <v>367.38170000000002</v>
      </c>
      <c r="J968">
        <v>-279.85120000000001</v>
      </c>
      <c r="K968">
        <v>1.0571219999999999</v>
      </c>
      <c r="L968">
        <v>367.61709999999999</v>
      </c>
      <c r="M968">
        <v>0.99927440000000001</v>
      </c>
      <c r="N968">
        <v>0</v>
      </c>
      <c r="O968">
        <v>-3.570276E-2</v>
      </c>
      <c r="P968">
        <v>0.99895909999999999</v>
      </c>
      <c r="Q968">
        <v>-9.6102640000000003E-3</v>
      </c>
      <c r="R968">
        <v>4.4594139999999997E-2</v>
      </c>
      <c r="S968">
        <v>3.0031129999999999</v>
      </c>
      <c r="T968">
        <v>-0.123116499999999</v>
      </c>
      <c r="U968">
        <v>-2.816772E-2</v>
      </c>
      <c r="V968">
        <v>-8.0234760000000002E-2</v>
      </c>
      <c r="W968">
        <v>3.6151970000000001E-3</v>
      </c>
      <c r="X968">
        <v>0.99676939999999903</v>
      </c>
      <c r="Y968">
        <v>-2.6279170000000001E-2</v>
      </c>
      <c r="Z968">
        <v>2.0013050000000001E-3</v>
      </c>
      <c r="AA968">
        <v>0.9996526</v>
      </c>
      <c r="AB968">
        <v>32</v>
      </c>
      <c r="AC968">
        <v>25.5932</v>
      </c>
      <c r="AD968">
        <v>-1.0571248420149999</v>
      </c>
      <c r="AE968">
        <v>-0.23539999999996999</v>
      </c>
      <c r="AF968">
        <v>-0.67742274615929599</v>
      </c>
      <c r="AG968">
        <v>-1.0571248420149999</v>
      </c>
      <c r="AH968">
        <v>25.541712515930101</v>
      </c>
      <c r="AI968">
        <v>92.369182868143298</v>
      </c>
      <c r="AJ968">
        <v>91.519254720794805</v>
      </c>
      <c r="AK968">
        <v>25.572553504784</v>
      </c>
    </row>
    <row r="969" spans="1:37" x14ac:dyDescent="0.2">
      <c r="A969" t="str">
        <f>"20200111155811852"</f>
        <v>20200111155811852</v>
      </c>
      <c r="B969" t="str">
        <f>"1578729491842078"</f>
        <v>1578729491842078</v>
      </c>
      <c r="C969" t="s">
        <v>37</v>
      </c>
      <c r="D969">
        <v>5.2803809999999904</v>
      </c>
      <c r="E969">
        <v>0.52105519999999905</v>
      </c>
      <c r="F969" t="s">
        <v>39</v>
      </c>
      <c r="G969">
        <v>-253.84559999999999</v>
      </c>
      <c r="H969" s="1">
        <v>-3.0210969999999999E-6</v>
      </c>
      <c r="I969">
        <v>367.36950000000002</v>
      </c>
      <c r="J969">
        <v>-279.67809999999997</v>
      </c>
      <c r="K969">
        <v>1.0577829999999999</v>
      </c>
      <c r="L969">
        <v>367.61099999999999</v>
      </c>
      <c r="M969">
        <v>0.99929029999999996</v>
      </c>
      <c r="N969">
        <v>0</v>
      </c>
      <c r="O969">
        <v>-3.5645499999999997E-2</v>
      </c>
      <c r="P969">
        <v>0.99897349999999996</v>
      </c>
      <c r="Q969">
        <v>-8.4993039999999992E-3</v>
      </c>
      <c r="R969">
        <v>4.449529E-2</v>
      </c>
      <c r="S969">
        <v>3.0032349999999899</v>
      </c>
      <c r="T969">
        <v>-0.12208089999999901</v>
      </c>
      <c r="U969">
        <v>-2.8594970000000001E-2</v>
      </c>
      <c r="V969">
        <v>-8.0079330000000004E-2</v>
      </c>
      <c r="W969">
        <v>3.6361779999999999E-3</v>
      </c>
      <c r="X969">
        <v>0.9967819</v>
      </c>
      <c r="Y969">
        <v>-2.6080659999999999E-2</v>
      </c>
      <c r="Z969">
        <v>1.9780229999999898E-3</v>
      </c>
      <c r="AA969">
        <v>0.99965789999999999</v>
      </c>
      <c r="AB969">
        <v>32</v>
      </c>
      <c r="AC969">
        <v>25.8324999999999</v>
      </c>
      <c r="AD969">
        <v>-1.05778602109699</v>
      </c>
      <c r="AE969">
        <v>-0.24149999999997299</v>
      </c>
      <c r="AF969">
        <v>-0.67839677095143303</v>
      </c>
      <c r="AG969">
        <v>-1.05778602109699</v>
      </c>
      <c r="AH969">
        <v>25.781465223559099</v>
      </c>
      <c r="AI969">
        <v>92.348654928962603</v>
      </c>
      <c r="AJ969">
        <v>91.5072962016757</v>
      </c>
      <c r="AK969">
        <v>25.812072418131201</v>
      </c>
    </row>
    <row r="970" spans="1:37" x14ac:dyDescent="0.2">
      <c r="A970" t="str">
        <f>"20200111155811867"</f>
        <v>20200111155811867</v>
      </c>
      <c r="B970" t="str">
        <f>"1578729491861598"</f>
        <v>1578729491861598</v>
      </c>
      <c r="C970" t="s">
        <v>37</v>
      </c>
      <c r="D970">
        <v>5.4226769999999904</v>
      </c>
      <c r="E970">
        <v>0.52122299999999999</v>
      </c>
      <c r="F970" t="s">
        <v>39</v>
      </c>
      <c r="G970">
        <v>-253.46080000000001</v>
      </c>
      <c r="H970" s="1">
        <v>-3.1892030000000002E-6</v>
      </c>
      <c r="I970">
        <v>367.35230000000001</v>
      </c>
      <c r="J970">
        <v>-279.4665</v>
      </c>
      <c r="K970">
        <v>1.0587070000000001</v>
      </c>
      <c r="L970">
        <v>367.6035</v>
      </c>
      <c r="M970">
        <v>0.99930810000000003</v>
      </c>
      <c r="N970">
        <v>0</v>
      </c>
      <c r="O970">
        <v>-3.5560550000000003E-2</v>
      </c>
      <c r="P970">
        <v>0.99898299999999995</v>
      </c>
      <c r="Q970">
        <v>-7.1901830000000002E-3</v>
      </c>
      <c r="R970">
        <v>4.4516720000000003E-2</v>
      </c>
      <c r="S970">
        <v>3.0033569999999998</v>
      </c>
      <c r="T970">
        <v>-0.1211757</v>
      </c>
      <c r="U970">
        <v>-2.963257E-2</v>
      </c>
      <c r="V970">
        <v>-8.0016100000000007E-2</v>
      </c>
      <c r="W970">
        <v>3.6743240000000001E-3</v>
      </c>
      <c r="X970">
        <v>0.99678679999999997</v>
      </c>
      <c r="Y970">
        <v>-2.565139E-2</v>
      </c>
      <c r="Z970">
        <v>1.9511820000000001E-3</v>
      </c>
      <c r="AA970">
        <v>0.99966900000000003</v>
      </c>
      <c r="AB970">
        <v>32</v>
      </c>
      <c r="AC970">
        <v>26.005699999999901</v>
      </c>
      <c r="AD970">
        <v>-1.058710189203</v>
      </c>
      <c r="AE970">
        <v>-0.25119999999998299</v>
      </c>
      <c r="AF970">
        <v>-0.67267605121083196</v>
      </c>
      <c r="AG970">
        <v>-1.058710189203</v>
      </c>
      <c r="AH970">
        <v>25.955170324385001</v>
      </c>
      <c r="AI970">
        <v>92.3350141098813</v>
      </c>
      <c r="AJ970">
        <v>91.484593338781707</v>
      </c>
      <c r="AK970">
        <v>25.9854618373896</v>
      </c>
    </row>
    <row r="971" spans="1:37" x14ac:dyDescent="0.2">
      <c r="A971" t="str">
        <f>"20200111155811880"</f>
        <v>20200111155811880</v>
      </c>
      <c r="B971" t="str">
        <f>"1578729491872334"</f>
        <v>1578729491872334</v>
      </c>
      <c r="C971" t="s">
        <v>37</v>
      </c>
      <c r="D971">
        <v>5.2413509999999999</v>
      </c>
      <c r="E971">
        <v>0.52134190000000002</v>
      </c>
      <c r="F971" t="s">
        <v>39</v>
      </c>
      <c r="G971">
        <v>-253.26089999999999</v>
      </c>
      <c r="H971" s="1">
        <v>-3.2780900000000002E-6</v>
      </c>
      <c r="I971">
        <v>367.33479999999997</v>
      </c>
      <c r="J971">
        <v>-279.28379999999999</v>
      </c>
      <c r="K971">
        <v>1.0596019999999999</v>
      </c>
      <c r="L971">
        <v>367.59710000000001</v>
      </c>
      <c r="M971">
        <v>0.99932240000000006</v>
      </c>
      <c r="N971">
        <v>0</v>
      </c>
      <c r="O971">
        <v>-3.5459499999999998E-2</v>
      </c>
      <c r="P971">
        <v>0.99900270000000002</v>
      </c>
      <c r="Q971">
        <v>-6.0444769999999899E-3</v>
      </c>
      <c r="R971">
        <v>4.4241669999999997E-2</v>
      </c>
      <c r="S971">
        <v>3.003571</v>
      </c>
      <c r="T971">
        <v>-0.1213442</v>
      </c>
      <c r="U971">
        <v>-3.0792239999999999E-2</v>
      </c>
      <c r="V971">
        <v>-7.9640580000000002E-2</v>
      </c>
      <c r="W971">
        <v>3.7811350000000001E-3</v>
      </c>
      <c r="X971">
        <v>0.99681649999999999</v>
      </c>
      <c r="Y971">
        <v>-2.5165030000000001E-2</v>
      </c>
      <c r="Z971">
        <v>1.9398339999999899E-3</v>
      </c>
      <c r="AA971">
        <v>0.99968140000000005</v>
      </c>
      <c r="AB971">
        <v>32</v>
      </c>
      <c r="AC971">
        <v>26.0229</v>
      </c>
      <c r="AD971">
        <v>-1.0596052780899901</v>
      </c>
      <c r="AE971">
        <v>-0.262300000000038</v>
      </c>
      <c r="AF971">
        <v>-0.65957547504236502</v>
      </c>
      <c r="AG971">
        <v>-1.0596052780899901</v>
      </c>
      <c r="AH971">
        <v>25.9727767257077</v>
      </c>
      <c r="AI971">
        <v>92.335434845132795</v>
      </c>
      <c r="AJ971">
        <v>91.454706624249695</v>
      </c>
      <c r="AK971">
        <v>26.002748585410998</v>
      </c>
    </row>
    <row r="972" spans="1:37" x14ac:dyDescent="0.2">
      <c r="A972" t="str">
        <f>"20200111155811893"</f>
        <v>20200111155811893</v>
      </c>
      <c r="B972" t="str">
        <f>"1578729491882094"</f>
        <v>1578729491882094</v>
      </c>
      <c r="C972" t="s">
        <v>37</v>
      </c>
      <c r="D972">
        <v>5.2465539999999997</v>
      </c>
      <c r="E972">
        <v>0.52148289999999997</v>
      </c>
      <c r="F972" t="s">
        <v>39</v>
      </c>
      <c r="G972">
        <v>-252.78700000000001</v>
      </c>
      <c r="H972" s="1">
        <v>-3.4857299999999999E-6</v>
      </c>
      <c r="I972">
        <v>367.31040000000002</v>
      </c>
      <c r="J972">
        <v>-279.0951</v>
      </c>
      <c r="K972">
        <v>1.060562</v>
      </c>
      <c r="L972">
        <v>367.59059999999999</v>
      </c>
      <c r="M972">
        <v>0.99933669999999997</v>
      </c>
      <c r="N972">
        <v>0</v>
      </c>
      <c r="O972">
        <v>-3.533567E-2</v>
      </c>
      <c r="P972">
        <v>0.99901419999999996</v>
      </c>
      <c r="Q972">
        <v>-5.075151E-3</v>
      </c>
      <c r="R972">
        <v>4.4102839999999997E-2</v>
      </c>
      <c r="S972">
        <v>3.0036930000000002</v>
      </c>
      <c r="T972">
        <v>-0.1201171</v>
      </c>
      <c r="U972">
        <v>-3.2501219999999997E-2</v>
      </c>
      <c r="V972">
        <v>-7.9378210000000005E-2</v>
      </c>
      <c r="W972">
        <v>3.6943509999999998E-3</v>
      </c>
      <c r="X972">
        <v>0.99683770000000005</v>
      </c>
      <c r="Y972">
        <v>-2.447415E-2</v>
      </c>
      <c r="Z972">
        <v>1.901376E-3</v>
      </c>
      <c r="AA972">
        <v>0.99969859999999899</v>
      </c>
      <c r="AB972">
        <v>32</v>
      </c>
      <c r="AC972">
        <v>26.3081</v>
      </c>
      <c r="AD972">
        <v>-1.06056548573</v>
      </c>
      <c r="AE972">
        <v>-0.28019999999997902</v>
      </c>
      <c r="AF972">
        <v>-0.64857147386043001</v>
      </c>
      <c r="AG972">
        <v>-1.06056548573</v>
      </c>
      <c r="AH972">
        <v>26.258900697674299</v>
      </c>
      <c r="AI972">
        <v>92.312146318950994</v>
      </c>
      <c r="AJ972">
        <v>91.414867089731104</v>
      </c>
      <c r="AK972">
        <v>26.2883112800451</v>
      </c>
    </row>
    <row r="973" spans="1:37" x14ac:dyDescent="0.2">
      <c r="A973" t="str">
        <f>"20200111155811907"</f>
        <v>20200111155811907</v>
      </c>
      <c r="B973" t="str">
        <f>"1578729491901615"</f>
        <v>1578729491901615</v>
      </c>
      <c r="C973" t="s">
        <v>37</v>
      </c>
      <c r="D973">
        <v>5.2280759999999997</v>
      </c>
      <c r="E973">
        <v>0.52159420000000001</v>
      </c>
      <c r="F973" t="s">
        <v>39</v>
      </c>
      <c r="G973">
        <v>-252.33920000000001</v>
      </c>
      <c r="H973" s="1">
        <v>-3.6816800000000001E-6</v>
      </c>
      <c r="I973">
        <v>367.2885</v>
      </c>
      <c r="J973">
        <v>-278.90629999999999</v>
      </c>
      <c r="K973">
        <v>1.0615410000000001</v>
      </c>
      <c r="L973">
        <v>367.584</v>
      </c>
      <c r="M973">
        <v>0.99935039999999997</v>
      </c>
      <c r="N973">
        <v>0</v>
      </c>
      <c r="O973">
        <v>-3.519626E-2</v>
      </c>
      <c r="P973">
        <v>0.99902279999999999</v>
      </c>
      <c r="Q973">
        <v>-3.9685409999999999E-3</v>
      </c>
      <c r="R973">
        <v>4.4022020000000002E-2</v>
      </c>
      <c r="S973">
        <v>3.0038450000000001</v>
      </c>
      <c r="T973">
        <v>-0.11906799999999999</v>
      </c>
      <c r="U973">
        <v>-3.3905030000000003E-2</v>
      </c>
      <c r="V973">
        <v>-7.9159069999999998E-2</v>
      </c>
      <c r="W973">
        <v>3.7582470000000002E-3</v>
      </c>
      <c r="X973">
        <v>0.99685489999999999</v>
      </c>
      <c r="Y973">
        <v>-2.3869209999999998E-2</v>
      </c>
      <c r="Z973">
        <v>1.8671619999999999E-3</v>
      </c>
      <c r="AA973">
        <v>0.99971339999999997</v>
      </c>
      <c r="AB973">
        <v>32</v>
      </c>
      <c r="AC973">
        <v>26.5670999999999</v>
      </c>
      <c r="AD973">
        <v>-1.06154468168</v>
      </c>
      <c r="AE973">
        <v>-0.29550000000000398</v>
      </c>
      <c r="AF973">
        <v>-0.63875401972224399</v>
      </c>
      <c r="AG973">
        <v>-1.06154468168</v>
      </c>
      <c r="AH973">
        <v>26.518705606162602</v>
      </c>
      <c r="AI973">
        <v>92.291664118214499</v>
      </c>
      <c r="AJ973">
        <v>91.3798122236186</v>
      </c>
      <c r="AK973">
        <v>26.5476294767581</v>
      </c>
    </row>
    <row r="974" spans="1:37" x14ac:dyDescent="0.2">
      <c r="A974" t="str">
        <f>"20200111155811920"</f>
        <v>20200111155811920</v>
      </c>
      <c r="B974" t="str">
        <f>"1578729491912353"</f>
        <v>1578729491912353</v>
      </c>
      <c r="C974" t="s">
        <v>37</v>
      </c>
      <c r="D974">
        <v>5.3636780000000002</v>
      </c>
      <c r="E974">
        <v>0.52180649999999995</v>
      </c>
      <c r="F974" t="s">
        <v>39</v>
      </c>
      <c r="G974">
        <v>-252.02180000000001</v>
      </c>
      <c r="H974" s="1">
        <v>-3.8211349999999996E-6</v>
      </c>
      <c r="I974">
        <v>367.27010000000001</v>
      </c>
      <c r="J974">
        <v>-278.71249999999998</v>
      </c>
      <c r="K974">
        <v>1.062559</v>
      </c>
      <c r="L974">
        <v>367.57729999999998</v>
      </c>
      <c r="M974">
        <v>0.99936399999999903</v>
      </c>
      <c r="N974">
        <v>0</v>
      </c>
      <c r="O974">
        <v>-3.5021070000000001E-2</v>
      </c>
      <c r="P974">
        <v>0.99902839999999904</v>
      </c>
      <c r="Q974">
        <v>-3.2024009999999901E-3</v>
      </c>
      <c r="R974">
        <v>4.3954790000000001E-2</v>
      </c>
      <c r="S974">
        <v>3.0039980000000002</v>
      </c>
      <c r="T974">
        <v>-0.1186135</v>
      </c>
      <c r="U974">
        <v>-3.5064699999999997E-2</v>
      </c>
      <c r="V974">
        <v>-7.8916719999999996E-2</v>
      </c>
      <c r="W974">
        <v>3.4912200000000002E-3</v>
      </c>
      <c r="X974">
        <v>0.99687510000000001</v>
      </c>
      <c r="Y974">
        <v>-2.3309320000000001E-2</v>
      </c>
      <c r="Z974">
        <v>1.8419700000000001E-3</v>
      </c>
      <c r="AA974">
        <v>0.99972659999999902</v>
      </c>
      <c r="AB974">
        <v>32</v>
      </c>
      <c r="AC974">
        <v>26.6906999999999</v>
      </c>
      <c r="AD974">
        <v>-1.062562821135</v>
      </c>
      <c r="AE974">
        <v>-0.307199999999966</v>
      </c>
      <c r="AF974">
        <v>-0.62675323351693102</v>
      </c>
      <c r="AG974">
        <v>-1.062562821135</v>
      </c>
      <c r="AH974">
        <v>26.642865748216099</v>
      </c>
      <c r="AI974">
        <v>92.283211841142204</v>
      </c>
      <c r="AJ974">
        <v>91.347591264331399</v>
      </c>
      <c r="AK974">
        <v>26.6714108108673</v>
      </c>
    </row>
    <row r="975" spans="1:37" x14ac:dyDescent="0.2">
      <c r="A975" t="str">
        <f>"20200111155811933"</f>
        <v>20200111155811933</v>
      </c>
      <c r="B975" t="str">
        <f>"1578729491922110"</f>
        <v>1578729491922110</v>
      </c>
      <c r="C975" t="s">
        <v>37</v>
      </c>
      <c r="D975">
        <v>5.2065919999999997</v>
      </c>
      <c r="E975">
        <v>0.52190800000000004</v>
      </c>
      <c r="F975" t="s">
        <v>39</v>
      </c>
      <c r="G975">
        <v>-251.6232</v>
      </c>
      <c r="H975" s="1">
        <v>-3.9961919999999997E-6</v>
      </c>
      <c r="I975">
        <v>367.24709999999999</v>
      </c>
      <c r="J975">
        <v>-278.52379999999999</v>
      </c>
      <c r="K975">
        <v>1.0636270000000001</v>
      </c>
      <c r="L975">
        <v>367.57089999999999</v>
      </c>
      <c r="M975">
        <v>0.99937500000000001</v>
      </c>
      <c r="N975">
        <v>0</v>
      </c>
      <c r="O975">
        <v>-3.4823479999999997E-2</v>
      </c>
      <c r="P975">
        <v>0.99903679999999995</v>
      </c>
      <c r="Q975">
        <v>-2.5473800000000001E-3</v>
      </c>
      <c r="R975">
        <v>4.380618E-2</v>
      </c>
      <c r="S975">
        <v>3.0042110000000002</v>
      </c>
      <c r="T975">
        <v>-0.1178384</v>
      </c>
      <c r="U975">
        <v>-3.6621090000000002E-2</v>
      </c>
      <c r="V975">
        <v>-7.8571619999999995E-2</v>
      </c>
      <c r="W975">
        <v>3.4831129999999999E-3</v>
      </c>
      <c r="X975">
        <v>0.99690239999999997</v>
      </c>
      <c r="Y975">
        <v>-2.2595770000000001E-2</v>
      </c>
      <c r="Z975">
        <v>1.8080660000000001E-3</v>
      </c>
      <c r="AA975">
        <v>0.99974300000000005</v>
      </c>
      <c r="AB975">
        <v>32</v>
      </c>
      <c r="AC975">
        <v>26.900600000000001</v>
      </c>
      <c r="AD975">
        <v>-1.0636309961920001</v>
      </c>
      <c r="AE975">
        <v>-0.32380000000000497</v>
      </c>
      <c r="AF975">
        <v>-0.61222921120198504</v>
      </c>
      <c r="AG975">
        <v>-1.0636309961920001</v>
      </c>
      <c r="AH975">
        <v>26.853584016361001</v>
      </c>
      <c r="AI975">
        <v>92.267627314901205</v>
      </c>
      <c r="AJ975">
        <v>91.306048163754795</v>
      </c>
      <c r="AK975">
        <v>26.881612861338301</v>
      </c>
    </row>
    <row r="976" spans="1:37" x14ac:dyDescent="0.2">
      <c r="A976" t="str">
        <f>"20200111155811948"</f>
        <v>20200111155811948</v>
      </c>
      <c r="B976" t="str">
        <f>"1578729491941629"</f>
        <v>1578729491941629</v>
      </c>
      <c r="C976" t="s">
        <v>37</v>
      </c>
      <c r="D976">
        <v>5.129734</v>
      </c>
      <c r="E976">
        <v>0.52206179999999902</v>
      </c>
      <c r="F976" t="s">
        <v>39</v>
      </c>
      <c r="G976">
        <v>-251.29740000000001</v>
      </c>
      <c r="H976" s="1">
        <v>-4.139249E-6</v>
      </c>
      <c r="I976">
        <v>367.2285</v>
      </c>
      <c r="J976">
        <v>-278.3175</v>
      </c>
      <c r="K976">
        <v>1.064916</v>
      </c>
      <c r="L976">
        <v>367.56389999999999</v>
      </c>
      <c r="M976">
        <v>0.99938590000000005</v>
      </c>
      <c r="N976">
        <v>0</v>
      </c>
      <c r="O976">
        <v>-3.457826E-2</v>
      </c>
      <c r="P976">
        <v>0.99905569999999899</v>
      </c>
      <c r="Q976">
        <v>-2.5777980000000001E-3</v>
      </c>
      <c r="R976">
        <v>4.337597E-2</v>
      </c>
      <c r="S976">
        <v>3.0042419999999899</v>
      </c>
      <c r="T976">
        <v>-0.1173642</v>
      </c>
      <c r="U976">
        <v>-3.7780759999999997E-2</v>
      </c>
      <c r="V976">
        <v>-7.7898110000000007E-2</v>
      </c>
      <c r="W976">
        <v>3.0615920000000001E-3</v>
      </c>
      <c r="X976">
        <v>0.99695659999999897</v>
      </c>
      <c r="Y976">
        <v>-2.1965680000000001E-2</v>
      </c>
      <c r="Z976">
        <v>1.778894E-3</v>
      </c>
      <c r="AA976">
        <v>0.99975720000000001</v>
      </c>
      <c r="AB976">
        <v>32</v>
      </c>
      <c r="AC976">
        <v>27.0200999999999</v>
      </c>
      <c r="AD976">
        <v>-1.064920139249</v>
      </c>
      <c r="AE976">
        <v>-0.33539999999999198</v>
      </c>
      <c r="AF976">
        <v>-0.598194605319051</v>
      </c>
      <c r="AG976">
        <v>-1.064920139249</v>
      </c>
      <c r="AH976">
        <v>26.9736468332508</v>
      </c>
      <c r="AI976">
        <v>92.260309221664897</v>
      </c>
      <c r="AJ976">
        <v>91.270440337737298</v>
      </c>
      <c r="AK976">
        <v>27.0012872873452</v>
      </c>
    </row>
    <row r="977" spans="1:37" x14ac:dyDescent="0.2">
      <c r="A977" t="str">
        <f>"20200111155811962"</f>
        <v>20200111155811962</v>
      </c>
      <c r="B977" t="str">
        <f>"1578729491952366"</f>
        <v>1578729491952366</v>
      </c>
      <c r="C977" t="s">
        <v>37</v>
      </c>
      <c r="D977">
        <v>5.1392660000000001</v>
      </c>
      <c r="E977">
        <v>0.52217860000000005</v>
      </c>
      <c r="F977" t="s">
        <v>39</v>
      </c>
      <c r="G977">
        <v>-251.6934</v>
      </c>
      <c r="H977" s="1">
        <v>-3.9733669999999997E-6</v>
      </c>
      <c r="I977">
        <v>367.20609999999999</v>
      </c>
      <c r="J977">
        <v>-278.11750000000001</v>
      </c>
      <c r="K977">
        <v>1.066422</v>
      </c>
      <c r="L977">
        <v>367.55720000000002</v>
      </c>
      <c r="M977">
        <v>0.99939509999999898</v>
      </c>
      <c r="N977">
        <v>0</v>
      </c>
      <c r="O977">
        <v>-3.429405E-2</v>
      </c>
      <c r="P977">
        <v>0.99904079999999995</v>
      </c>
      <c r="Q977">
        <v>-2.6563649999999999E-3</v>
      </c>
      <c r="R977">
        <v>4.3709989999999997E-2</v>
      </c>
      <c r="S977">
        <v>3.0042719999999998</v>
      </c>
      <c r="T977">
        <v>-0.1201653</v>
      </c>
      <c r="U977">
        <v>-4.0374760000000003E-2</v>
      </c>
      <c r="V977">
        <v>-7.7948050000000005E-2</v>
      </c>
      <c r="W977">
        <v>3.0520559999999901E-3</v>
      </c>
      <c r="X977">
        <v>0.99695279999999997</v>
      </c>
      <c r="Y977">
        <v>-2.0817490000000001E-2</v>
      </c>
      <c r="Z977">
        <v>1.786976E-3</v>
      </c>
      <c r="AA977">
        <v>0.999781699999999</v>
      </c>
      <c r="AB977">
        <v>32</v>
      </c>
      <c r="AC977">
        <v>26.424099999999999</v>
      </c>
      <c r="AD977">
        <v>-1.0664259733670001</v>
      </c>
      <c r="AE977">
        <v>-0.35110000000003</v>
      </c>
      <c r="AF977">
        <v>-0.55440820083750197</v>
      </c>
      <c r="AG977">
        <v>-1.0664259733670001</v>
      </c>
      <c r="AH977">
        <v>26.377641647338901</v>
      </c>
      <c r="AI977">
        <v>92.314648920177703</v>
      </c>
      <c r="AJ977">
        <v>91.204071772224196</v>
      </c>
      <c r="AK977">
        <v>26.405011109356799</v>
      </c>
    </row>
    <row r="978" spans="1:37" x14ac:dyDescent="0.2">
      <c r="A978" t="str">
        <f>"20200111155811975"</f>
        <v>20200111155811975</v>
      </c>
      <c r="B978" t="str">
        <f>"1578729491971887"</f>
        <v>1578729491971887</v>
      </c>
      <c r="C978" t="s">
        <v>37</v>
      </c>
      <c r="D978">
        <v>5.0596740000000002</v>
      </c>
      <c r="E978">
        <v>0.5223373</v>
      </c>
      <c r="F978" t="s">
        <v>39</v>
      </c>
      <c r="G978">
        <v>-251.82419999999999</v>
      </c>
      <c r="H978" s="1">
        <v>-3.9173219999999999E-6</v>
      </c>
      <c r="I978">
        <v>367.20569999999998</v>
      </c>
      <c r="J978">
        <v>-277.92950000000002</v>
      </c>
      <c r="K978">
        <v>1.067976</v>
      </c>
      <c r="L978">
        <v>367.55110000000002</v>
      </c>
      <c r="M978">
        <v>0.99940509999999905</v>
      </c>
      <c r="N978">
        <v>0</v>
      </c>
      <c r="O978">
        <v>-3.3991340000000002E-2</v>
      </c>
      <c r="P978">
        <v>0.99903489999999995</v>
      </c>
      <c r="Q978">
        <v>-2.8427409999999898E-3</v>
      </c>
      <c r="R978">
        <v>4.3833039999999997E-2</v>
      </c>
      <c r="S978">
        <v>3.00430299999999</v>
      </c>
      <c r="T978">
        <v>-0.12185070000000001</v>
      </c>
      <c r="U978">
        <v>-4.0161130000000003E-2</v>
      </c>
      <c r="V978">
        <v>-7.7768840000000006E-2</v>
      </c>
      <c r="W978">
        <v>2.9357070000000001E-3</v>
      </c>
      <c r="X978">
        <v>0.99696709999999999</v>
      </c>
      <c r="Y978">
        <v>-2.0585079999999999E-2</v>
      </c>
      <c r="Z978">
        <v>1.795025E-3</v>
      </c>
      <c r="AA978">
        <v>0.99978650000000002</v>
      </c>
      <c r="AB978">
        <v>32</v>
      </c>
      <c r="AC978">
        <v>26.1053</v>
      </c>
      <c r="AD978">
        <v>-1.0679799173219999</v>
      </c>
      <c r="AE978">
        <v>-0.34540000000004001</v>
      </c>
      <c r="AF978">
        <v>-0.54126309788176896</v>
      </c>
      <c r="AG978">
        <v>-1.0679799173219999</v>
      </c>
      <c r="AH978">
        <v>26.058349418290302</v>
      </c>
      <c r="AI978">
        <v>92.346401181150497</v>
      </c>
      <c r="AJ978">
        <v>91.189930789249203</v>
      </c>
      <c r="AK978">
        <v>26.085841394339599</v>
      </c>
    </row>
    <row r="979" spans="1:37" x14ac:dyDescent="0.2">
      <c r="A979" t="str">
        <f>"20200111155811991"</f>
        <v>20200111155811991</v>
      </c>
      <c r="B979" t="str">
        <f>"1578729491981646"</f>
        <v>1578729491981646</v>
      </c>
      <c r="C979" t="s">
        <v>37</v>
      </c>
      <c r="D979">
        <v>5.1044780000000003</v>
      </c>
      <c r="E979">
        <v>0.52241870000000001</v>
      </c>
      <c r="F979" t="s">
        <v>39</v>
      </c>
      <c r="G979">
        <v>-252.16489999999999</v>
      </c>
      <c r="H979" s="1">
        <v>-3.7719499999999999E-6</v>
      </c>
      <c r="I979">
        <v>367.2011</v>
      </c>
      <c r="J979">
        <v>-277.70499999999998</v>
      </c>
      <c r="K979">
        <v>1.0699080000000001</v>
      </c>
      <c r="L979">
        <v>367.54379999999998</v>
      </c>
      <c r="M979">
        <v>0.99941869999999999</v>
      </c>
      <c r="N979">
        <v>0</v>
      </c>
      <c r="O979">
        <v>-3.35873E-2</v>
      </c>
      <c r="P979">
        <v>0.99903980000000003</v>
      </c>
      <c r="Q979">
        <v>-2.4607679999999999E-3</v>
      </c>
      <c r="R979">
        <v>4.3744310000000002E-2</v>
      </c>
      <c r="S979">
        <v>3.0043329999999999</v>
      </c>
      <c r="T979">
        <v>-0.1245337</v>
      </c>
      <c r="U979">
        <v>-4.0801999999999998E-2</v>
      </c>
      <c r="V979">
        <v>-7.7278139999999995E-2</v>
      </c>
      <c r="W979">
        <v>3.3200359999999902E-3</v>
      </c>
      <c r="X979">
        <v>0.997004</v>
      </c>
      <c r="Y979">
        <v>-1.9966669999999999E-2</v>
      </c>
      <c r="Z979">
        <v>1.8049520000000001E-3</v>
      </c>
      <c r="AA979">
        <v>0.99979899999999999</v>
      </c>
      <c r="AB979">
        <v>31</v>
      </c>
      <c r="AC979">
        <v>25.540099999999899</v>
      </c>
      <c r="AD979">
        <v>-1.06991177195</v>
      </c>
      <c r="AE979">
        <v>-0.34269999999997902</v>
      </c>
      <c r="AF979">
        <v>-0.51442840845752902</v>
      </c>
      <c r="AG979">
        <v>-1.06991177195</v>
      </c>
      <c r="AH979">
        <v>25.492471510258301</v>
      </c>
      <c r="AI979">
        <v>92.402788522346896</v>
      </c>
      <c r="AJ979">
        <v>91.156050200198493</v>
      </c>
      <c r="AK979">
        <v>25.520098970978101</v>
      </c>
    </row>
    <row r="980" spans="1:37" x14ac:dyDescent="0.2">
      <c r="A980" t="str">
        <f>"20200111155812005"</f>
        <v>20200111155812005</v>
      </c>
      <c r="B980" t="str">
        <f>"1578729492002143"</f>
        <v>1578729492002143</v>
      </c>
      <c r="C980" t="s">
        <v>37</v>
      </c>
      <c r="D980">
        <v>5.0875760000000003</v>
      </c>
      <c r="E980">
        <v>0.52255429999999903</v>
      </c>
      <c r="F980" t="s">
        <v>39</v>
      </c>
      <c r="G980">
        <v>-251.86349999999999</v>
      </c>
      <c r="H980" s="1">
        <v>-3.9041529999999996E-6</v>
      </c>
      <c r="I980">
        <v>367.18490000000003</v>
      </c>
      <c r="J980">
        <v>-277.5197</v>
      </c>
      <c r="K980">
        <v>1.071555</v>
      </c>
      <c r="L980">
        <v>367.5378</v>
      </c>
      <c r="M980">
        <v>0.99943150000000003</v>
      </c>
      <c r="N980">
        <v>0</v>
      </c>
      <c r="O980">
        <v>-3.3217770000000001E-2</v>
      </c>
      <c r="P980">
        <v>0.99902159999999995</v>
      </c>
      <c r="Q980">
        <v>-1.9915459999999999E-3</v>
      </c>
      <c r="R980">
        <v>4.4181089999999999E-2</v>
      </c>
      <c r="S980">
        <v>3.0043950000000001</v>
      </c>
      <c r="T980">
        <v>-0.12439020000000001</v>
      </c>
      <c r="U980">
        <v>-4.1717530000000003E-2</v>
      </c>
      <c r="V980">
        <v>-7.7346020000000001E-2</v>
      </c>
      <c r="W980">
        <v>3.6938740000000002E-3</v>
      </c>
      <c r="X980">
        <v>0.99699749999999998</v>
      </c>
      <c r="Y980">
        <v>-1.9293649999999999E-2</v>
      </c>
      <c r="Z980">
        <v>1.7736220000000001E-3</v>
      </c>
      <c r="AA980">
        <v>0.99981229999999999</v>
      </c>
      <c r="AB980">
        <v>31</v>
      </c>
      <c r="AC980">
        <v>25.656199999999998</v>
      </c>
      <c r="AD980">
        <v>-1.071558904153</v>
      </c>
      <c r="AE980">
        <v>-0.35289999999997601</v>
      </c>
      <c r="AF980">
        <v>-0.49868094386144701</v>
      </c>
      <c r="AG980">
        <v>-1.071558904153</v>
      </c>
      <c r="AH980">
        <v>25.609099380871701</v>
      </c>
      <c r="AI980">
        <v>92.395570087430599</v>
      </c>
      <c r="AJ980">
        <v>91.115568429710805</v>
      </c>
      <c r="AK980">
        <v>25.636358795043499</v>
      </c>
    </row>
    <row r="981" spans="1:37" x14ac:dyDescent="0.2">
      <c r="A981" t="str">
        <f>"20200111155812017"</f>
        <v>20200111155812017</v>
      </c>
      <c r="B981" t="str">
        <f>"1578729492011902"</f>
        <v>1578729492011902</v>
      </c>
      <c r="C981" t="s">
        <v>37</v>
      </c>
      <c r="D981">
        <v>5.1451640000000003</v>
      </c>
      <c r="E981">
        <v>0.52255429999999903</v>
      </c>
      <c r="F981" t="s">
        <v>39</v>
      </c>
      <c r="G981">
        <v>-251.69839999999999</v>
      </c>
      <c r="H981" s="1">
        <v>-3.9753519999999996E-6</v>
      </c>
      <c r="I981">
        <v>367.18270000000001</v>
      </c>
      <c r="J981">
        <v>-277.33780000000002</v>
      </c>
      <c r="K981">
        <v>1.0732520000000001</v>
      </c>
      <c r="L981">
        <v>367.53219999999999</v>
      </c>
      <c r="M981">
        <v>0.99944539999999904</v>
      </c>
      <c r="N981">
        <v>0</v>
      </c>
      <c r="O981">
        <v>-3.2811939999999998E-2</v>
      </c>
      <c r="P981">
        <v>0.99900299999999997</v>
      </c>
      <c r="Q981">
        <v>-1.5689039999999899E-3</v>
      </c>
      <c r="R981">
        <v>4.4618400000000003E-2</v>
      </c>
      <c r="S981">
        <v>3.004486</v>
      </c>
      <c r="T981">
        <v>-0.1246829</v>
      </c>
      <c r="U981">
        <v>-4.1320799999999998E-2</v>
      </c>
      <c r="V981">
        <v>-7.7378249999999996E-2</v>
      </c>
      <c r="W981">
        <v>4.032903E-3</v>
      </c>
      <c r="X981">
        <v>0.99699369999999998</v>
      </c>
      <c r="Y981">
        <v>-1.902044E-2</v>
      </c>
      <c r="Z981">
        <v>1.7552469999999999E-3</v>
      </c>
      <c r="AA981">
        <v>0.99981759999999997</v>
      </c>
      <c r="AB981">
        <v>31</v>
      </c>
      <c r="AC981">
        <v>25.639399999999998</v>
      </c>
      <c r="AD981">
        <v>-1.0732559753519999</v>
      </c>
      <c r="AE981">
        <v>-0.349499999999977</v>
      </c>
      <c r="AF981">
        <v>-0.49111983042158402</v>
      </c>
      <c r="AG981">
        <v>-1.0732559753519999</v>
      </c>
      <c r="AH981">
        <v>25.592226690433499</v>
      </c>
      <c r="AI981">
        <v>92.400952737327103</v>
      </c>
      <c r="AJ981">
        <v>91.099382262451002</v>
      </c>
      <c r="AK981">
        <v>25.619429034445702</v>
      </c>
    </row>
    <row r="982" spans="1:37" x14ac:dyDescent="0.2">
      <c r="A982" t="str">
        <f>"20200111155812043"</f>
        <v>20200111155812043</v>
      </c>
      <c r="B982" t="str">
        <f>"1578729492032398"</f>
        <v>1578729492032398</v>
      </c>
      <c r="C982" t="s">
        <v>37</v>
      </c>
      <c r="D982">
        <v>5.2560570000000002</v>
      </c>
      <c r="E982">
        <v>0.54145219999999905</v>
      </c>
      <c r="F982" t="s">
        <v>39</v>
      </c>
      <c r="G982">
        <v>-251.20330000000001</v>
      </c>
      <c r="H982" s="1">
        <v>-4.1871229999999997E-6</v>
      </c>
      <c r="I982">
        <v>367.18630000000002</v>
      </c>
      <c r="J982">
        <v>-276.96839999999997</v>
      </c>
      <c r="K982">
        <v>1.076789</v>
      </c>
      <c r="L982">
        <v>367.52080000000001</v>
      </c>
      <c r="M982">
        <v>0.99947419999999998</v>
      </c>
      <c r="N982">
        <v>0</v>
      </c>
      <c r="O982">
        <v>-3.1923859999999998E-2</v>
      </c>
      <c r="P982">
        <v>0.99894660000000002</v>
      </c>
      <c r="Q982">
        <v>-5.8249569999999995E-4</v>
      </c>
      <c r="R982">
        <v>4.5888449999999997E-2</v>
      </c>
      <c r="S982">
        <v>3.004578</v>
      </c>
      <c r="T982">
        <v>-0.1233875</v>
      </c>
      <c r="U982">
        <v>-3.9764399999999998E-2</v>
      </c>
      <c r="V982">
        <v>-7.7762029999999996E-2</v>
      </c>
      <c r="W982">
        <v>5.010886E-3</v>
      </c>
      <c r="X982">
        <v>0.99695929999999999</v>
      </c>
      <c r="Y982">
        <v>-1.8652269999999999E-2</v>
      </c>
      <c r="Z982">
        <v>1.6929899999999999E-3</v>
      </c>
      <c r="AA982">
        <v>0.99982459999999995</v>
      </c>
      <c r="AB982">
        <v>32</v>
      </c>
      <c r="AC982">
        <v>25.765099999999901</v>
      </c>
      <c r="AD982">
        <v>-1.0767931871230001</v>
      </c>
      <c r="AE982">
        <v>-0.33449999999999103</v>
      </c>
      <c r="AF982">
        <v>-0.487354099405782</v>
      </c>
      <c r="AG982">
        <v>-1.0767931871230001</v>
      </c>
      <c r="AH982">
        <v>25.717734105776501</v>
      </c>
      <c r="AI982">
        <v>92.397125463716606</v>
      </c>
      <c r="AJ982">
        <v>91.085631850053801</v>
      </c>
      <c r="AK982">
        <v>25.7448799787736</v>
      </c>
    </row>
    <row r="983" spans="1:37" x14ac:dyDescent="0.2">
      <c r="A983" t="str">
        <f>"20200111155812059"</f>
        <v>20200111155812059</v>
      </c>
      <c r="B983" t="str">
        <f>"1578729492051918"</f>
        <v>1578729492051918</v>
      </c>
      <c r="C983" t="s">
        <v>37</v>
      </c>
      <c r="D983">
        <v>5.1639860000000004</v>
      </c>
      <c r="E983">
        <v>0.54503199999999996</v>
      </c>
      <c r="F983" t="s">
        <v>38</v>
      </c>
      <c r="G983">
        <v>-276.22089999999997</v>
      </c>
      <c r="H983">
        <v>1.0236780000000001</v>
      </c>
      <c r="I983">
        <v>367.47550000000001</v>
      </c>
      <c r="J983">
        <v>-276.74200000000002</v>
      </c>
      <c r="K983">
        <v>1.0789959999999901</v>
      </c>
      <c r="L983">
        <v>367.51420000000002</v>
      </c>
      <c r="M983">
        <v>0.9994923</v>
      </c>
      <c r="N983">
        <v>0</v>
      </c>
      <c r="O983">
        <v>-3.131196E-2</v>
      </c>
      <c r="P983">
        <v>0.99890449999999997</v>
      </c>
      <c r="Q983" s="1">
        <v>-5.7790429999999997E-5</v>
      </c>
      <c r="R983">
        <v>4.679639E-2</v>
      </c>
      <c r="S983">
        <v>3.0114139999999998</v>
      </c>
      <c r="T983">
        <v>-0.21416950000000001</v>
      </c>
      <c r="U983">
        <v>-0.18222049999999901</v>
      </c>
      <c r="V983">
        <v>-7.8059329999999996E-2</v>
      </c>
      <c r="W983">
        <v>5.7099200000000003E-3</v>
      </c>
      <c r="X983">
        <v>0.99693240000000005</v>
      </c>
      <c r="Y983">
        <v>2.912002E-2</v>
      </c>
      <c r="Z983">
        <v>1.1880409999999999E-3</v>
      </c>
      <c r="AA983">
        <v>0.9995752</v>
      </c>
      <c r="AB983">
        <v>32</v>
      </c>
      <c r="AC983">
        <v>0.52110000000004597</v>
      </c>
      <c r="AD983">
        <v>-5.5317999999999701E-2</v>
      </c>
      <c r="AE983">
        <v>-3.8700000000005702E-2</v>
      </c>
      <c r="AF983">
        <v>2.2116214064383001E-2</v>
      </c>
      <c r="AG983">
        <v>-5.5317999999999701E-2</v>
      </c>
      <c r="AH983">
        <v>0.51627025929757897</v>
      </c>
      <c r="AI983">
        <v>96.110307276433005</v>
      </c>
      <c r="AJ983">
        <v>87.547037786141502</v>
      </c>
      <c r="AK983">
        <v>0.51969624655536095</v>
      </c>
    </row>
    <row r="984" spans="1:37" x14ac:dyDescent="0.2">
      <c r="A984" t="str">
        <f>"20200111155812074"</f>
        <v>20200111155812074</v>
      </c>
      <c r="B984" t="str">
        <f>"1578729492071438"</f>
        <v>1578729492071438</v>
      </c>
      <c r="C984" t="s">
        <v>37</v>
      </c>
      <c r="D984">
        <v>5.1545559999999897</v>
      </c>
      <c r="E984">
        <v>0.54581820000000003</v>
      </c>
      <c r="F984" t="s">
        <v>38</v>
      </c>
      <c r="G984">
        <v>-275.94209999999998</v>
      </c>
      <c r="H984">
        <v>1.021461</v>
      </c>
      <c r="I984">
        <v>367.45870000000002</v>
      </c>
      <c r="J984">
        <v>-276.53519999999997</v>
      </c>
      <c r="K984">
        <v>1.080983</v>
      </c>
      <c r="L984">
        <v>367.50819999999999</v>
      </c>
      <c r="M984">
        <v>0.99950969999999995</v>
      </c>
      <c r="N984">
        <v>0</v>
      </c>
      <c r="O984">
        <v>-3.070794E-2</v>
      </c>
      <c r="P984">
        <v>0.99887789999999999</v>
      </c>
      <c r="Q984" s="1">
        <v>7.1357939999999999E-5</v>
      </c>
      <c r="R984">
        <v>4.7362309999999998E-2</v>
      </c>
      <c r="S984">
        <v>3.0129700000000001</v>
      </c>
      <c r="T984">
        <v>-0.21712399999999901</v>
      </c>
      <c r="U984">
        <v>-0.2077637</v>
      </c>
      <c r="V984">
        <v>-7.8023019999999998E-2</v>
      </c>
      <c r="W984">
        <v>6.0746929999999999E-3</v>
      </c>
      <c r="X984">
        <v>0.99693299999999996</v>
      </c>
      <c r="Y984">
        <v>3.8105769999999997E-2</v>
      </c>
      <c r="Z984">
        <v>8.370195E-4</v>
      </c>
      <c r="AA984">
        <v>0.99927339999999998</v>
      </c>
      <c r="AB984">
        <v>32</v>
      </c>
      <c r="AC984">
        <v>0.59309999999999197</v>
      </c>
      <c r="AD984">
        <v>-5.9521999999999999E-2</v>
      </c>
      <c r="AE984">
        <v>-4.94999999999663E-2</v>
      </c>
      <c r="AF984">
        <v>3.09538366338733E-2</v>
      </c>
      <c r="AG984">
        <v>-5.9521999999999999E-2</v>
      </c>
      <c r="AH984">
        <v>0.58845466231448196</v>
      </c>
      <c r="AI984">
        <v>95.7678848599502</v>
      </c>
      <c r="AJ984">
        <v>86.988907955871596</v>
      </c>
      <c r="AK984">
        <v>0.59226674572020999</v>
      </c>
    </row>
    <row r="985" spans="1:37" x14ac:dyDescent="0.2">
      <c r="A985" t="str">
        <f>"20200111155812088"</f>
        <v>20200111155812088</v>
      </c>
      <c r="B985" t="str">
        <f>"1578729492082173"</f>
        <v>1578729492082173</v>
      </c>
      <c r="C985" t="s">
        <v>37</v>
      </c>
      <c r="D985">
        <v>5.1469069999999997</v>
      </c>
      <c r="E985">
        <v>0.54618299999999997</v>
      </c>
      <c r="F985" t="s">
        <v>38</v>
      </c>
      <c r="G985">
        <v>-275.66019999999997</v>
      </c>
      <c r="H985">
        <v>1.0203930000000001</v>
      </c>
      <c r="I985">
        <v>367.44630000000001</v>
      </c>
      <c r="J985">
        <v>-276.3442</v>
      </c>
      <c r="K985">
        <v>1.082786</v>
      </c>
      <c r="L985">
        <v>367.50279999999998</v>
      </c>
      <c r="M985">
        <v>0.99952600000000003</v>
      </c>
      <c r="N985">
        <v>0</v>
      </c>
      <c r="O985">
        <v>-3.0116399999999901E-2</v>
      </c>
      <c r="P985">
        <v>0.99884689999999998</v>
      </c>
      <c r="Q985" s="1">
        <v>2.01799E-5</v>
      </c>
      <c r="R985">
        <v>4.801093E-2</v>
      </c>
      <c r="S985">
        <v>3.01342799999999</v>
      </c>
      <c r="T985">
        <v>-0.20884229999999901</v>
      </c>
      <c r="U985">
        <v>-0.21273800000000001</v>
      </c>
      <c r="V985">
        <v>-7.8081880000000006E-2</v>
      </c>
      <c r="W985">
        <v>6.2868819999999997E-3</v>
      </c>
      <c r="X985">
        <v>0.99692709999999995</v>
      </c>
      <c r="Y985">
        <v>4.0322869999999997E-2</v>
      </c>
      <c r="Z985">
        <v>6.8749299999999996E-4</v>
      </c>
      <c r="AA985">
        <v>0.99918649999999998</v>
      </c>
      <c r="AB985">
        <v>32</v>
      </c>
      <c r="AC985">
        <v>0.68400000000002503</v>
      </c>
      <c r="AD985">
        <v>-6.23929999999999E-2</v>
      </c>
      <c r="AE985">
        <v>-5.6499999999971302E-2</v>
      </c>
      <c r="AF985">
        <v>3.5580286502402997E-2</v>
      </c>
      <c r="AG985">
        <v>-6.23929999999999E-2</v>
      </c>
      <c r="AH985">
        <v>0.67977347968274104</v>
      </c>
      <c r="AI985">
        <v>95.237069818726397</v>
      </c>
      <c r="AJ985">
        <v>87.003793614115907</v>
      </c>
      <c r="AK985">
        <v>0.683557478868145</v>
      </c>
    </row>
    <row r="986" spans="1:37" x14ac:dyDescent="0.2">
      <c r="A986" t="str">
        <f>"20200111155812103"</f>
        <v>20200111155812103</v>
      </c>
      <c r="B986" t="str">
        <f>"1578729492091934"</f>
        <v>1578729492091934</v>
      </c>
      <c r="C986" t="s">
        <v>37</v>
      </c>
      <c r="D986">
        <v>5.1357029999999897</v>
      </c>
      <c r="E986">
        <v>0.54608459999999903</v>
      </c>
      <c r="F986" t="s">
        <v>38</v>
      </c>
      <c r="G986">
        <v>-275.38</v>
      </c>
      <c r="H986">
        <v>1.015787</v>
      </c>
      <c r="I986">
        <v>367.4341</v>
      </c>
      <c r="J986">
        <v>-276.11860000000001</v>
      </c>
      <c r="K986">
        <v>1.084838</v>
      </c>
      <c r="L986">
        <v>367.49680000000001</v>
      </c>
      <c r="M986">
        <v>0.99954599999999905</v>
      </c>
      <c r="N986">
        <v>0</v>
      </c>
      <c r="O986">
        <v>-2.9360190000000001E-2</v>
      </c>
      <c r="P986">
        <v>0.99881209999999898</v>
      </c>
      <c r="Q986">
        <v>-6.1873720000000002E-4</v>
      </c>
      <c r="R986">
        <v>4.8725770000000002E-2</v>
      </c>
      <c r="S986">
        <v>3.0137019999999999</v>
      </c>
      <c r="T986">
        <v>-0.2098235</v>
      </c>
      <c r="U986">
        <v>-0.21353150000000001</v>
      </c>
      <c r="V986">
        <v>-7.8041600000000003E-2</v>
      </c>
      <c r="W986">
        <v>6.0127059999999996E-3</v>
      </c>
      <c r="X986">
        <v>0.99693199999999904</v>
      </c>
      <c r="Y986">
        <v>4.1329629999999999E-2</v>
      </c>
      <c r="Z986">
        <v>6.0321150000000004E-4</v>
      </c>
      <c r="AA986">
        <v>0.99914539999999996</v>
      </c>
      <c r="AB986">
        <v>32</v>
      </c>
      <c r="AC986">
        <v>0.73860000000001902</v>
      </c>
      <c r="AD986">
        <v>-6.9050999999999904E-2</v>
      </c>
      <c r="AE986">
        <v>-6.2700000000006598E-2</v>
      </c>
      <c r="AF986">
        <v>4.0634424014294401E-2</v>
      </c>
      <c r="AG986">
        <v>-6.9050999999999904E-2</v>
      </c>
      <c r="AH986">
        <v>0.73375521668121302</v>
      </c>
      <c r="AI986">
        <v>95.367885215956903</v>
      </c>
      <c r="AJ986">
        <v>86.8302707876325</v>
      </c>
      <c r="AK986">
        <v>0.73811646440305601</v>
      </c>
    </row>
    <row r="987" spans="1:37" x14ac:dyDescent="0.2">
      <c r="A987" t="str">
        <f>"20200111155812116"</f>
        <v>20200111155812116</v>
      </c>
      <c r="B987" t="str">
        <f>"1578729492112430"</f>
        <v>1578729492112430</v>
      </c>
      <c r="C987" t="s">
        <v>37</v>
      </c>
      <c r="D987">
        <v>5.1151109999999997</v>
      </c>
      <c r="E987">
        <v>0.54609269999999999</v>
      </c>
      <c r="F987" t="s">
        <v>38</v>
      </c>
      <c r="G987">
        <v>-275.36790000000002</v>
      </c>
      <c r="H987">
        <v>1.033417</v>
      </c>
      <c r="I987">
        <v>367.44380000000001</v>
      </c>
      <c r="J987">
        <v>-275.9468</v>
      </c>
      <c r="K987">
        <v>1.086319</v>
      </c>
      <c r="L987">
        <v>367.4923</v>
      </c>
      <c r="M987">
        <v>0.9995617</v>
      </c>
      <c r="N987">
        <v>0</v>
      </c>
      <c r="O987">
        <v>-2.8744479999999999E-2</v>
      </c>
      <c r="P987">
        <v>0.99877800000000005</v>
      </c>
      <c r="Q987">
        <v>-6.9512800000000004E-4</v>
      </c>
      <c r="R987">
        <v>4.9417849999999999E-2</v>
      </c>
      <c r="S987">
        <v>3.013763</v>
      </c>
      <c r="T987">
        <v>-0.20698459999999999</v>
      </c>
      <c r="U987">
        <v>-0.21096799999999999</v>
      </c>
      <c r="V987">
        <v>-7.8119439999999998E-2</v>
      </c>
      <c r="W987">
        <v>6.2377689999999998E-3</v>
      </c>
      <c r="X987">
        <v>0.99692449999999999</v>
      </c>
      <c r="Y987">
        <v>4.1097799999999997E-2</v>
      </c>
      <c r="Z987">
        <v>5.6087519999999905E-4</v>
      </c>
      <c r="AA987">
        <v>0.99915499999999902</v>
      </c>
      <c r="AB987">
        <v>32</v>
      </c>
      <c r="AC987">
        <v>0.57889999999997599</v>
      </c>
      <c r="AD987">
        <v>-5.2901999999999998E-2</v>
      </c>
      <c r="AE987">
        <v>-4.8499999999989898E-2</v>
      </c>
      <c r="AF987">
        <v>3.1577496771772101E-2</v>
      </c>
      <c r="AG987">
        <v>-5.2901999999999998E-2</v>
      </c>
      <c r="AH987">
        <v>0.57528422669916301</v>
      </c>
      <c r="AI987">
        <v>95.246176898995699</v>
      </c>
      <c r="AJ987">
        <v>86.858173011978806</v>
      </c>
      <c r="AK987">
        <v>0.57857385128886196</v>
      </c>
    </row>
    <row r="988" spans="1:37" x14ac:dyDescent="0.2">
      <c r="A988" t="str">
        <f>"20200111155812129"</f>
        <v>20200111155812129</v>
      </c>
      <c r="B988" t="str">
        <f>"1578729492122191"</f>
        <v>1578729492122191</v>
      </c>
      <c r="C988" t="s">
        <v>37</v>
      </c>
      <c r="D988">
        <v>5.3023089999999904</v>
      </c>
      <c r="E988">
        <v>0.54579239999999996</v>
      </c>
      <c r="F988" t="s">
        <v>38</v>
      </c>
      <c r="G988">
        <v>-275.09050000000002</v>
      </c>
      <c r="H988">
        <v>1.0290870000000001</v>
      </c>
      <c r="I988">
        <v>367.43259999999998</v>
      </c>
      <c r="J988">
        <v>-275.75409999999999</v>
      </c>
      <c r="K988">
        <v>1.087928</v>
      </c>
      <c r="L988">
        <v>367.4873</v>
      </c>
      <c r="M988">
        <v>0.99957929999999995</v>
      </c>
      <c r="N988">
        <v>0</v>
      </c>
      <c r="O988">
        <v>-2.803135E-2</v>
      </c>
      <c r="P988">
        <v>0.99875340000000001</v>
      </c>
      <c r="Q988">
        <v>-7.3441119999999999E-4</v>
      </c>
      <c r="R988">
        <v>4.9912360000000003E-2</v>
      </c>
      <c r="S988">
        <v>3.0138849999999899</v>
      </c>
      <c r="T988">
        <v>-0.20171629999999999</v>
      </c>
      <c r="U988">
        <v>-0.20922849999999901</v>
      </c>
      <c r="V988">
        <v>-7.7903E-2</v>
      </c>
      <c r="W988">
        <v>6.5448449999999997E-3</v>
      </c>
      <c r="X988">
        <v>0.99693949999999998</v>
      </c>
      <c r="Y988">
        <v>4.1233409999999998E-2</v>
      </c>
      <c r="Z988">
        <v>4.9452030000000002E-4</v>
      </c>
      <c r="AA988">
        <v>0.99914939999999997</v>
      </c>
      <c r="AB988">
        <v>32</v>
      </c>
      <c r="AC988">
        <v>0.66359999999997399</v>
      </c>
      <c r="AD988">
        <v>-5.88409999999999E-2</v>
      </c>
      <c r="AE988">
        <v>-5.4700000000025201E-2</v>
      </c>
      <c r="AF988">
        <v>3.57968397450125E-2</v>
      </c>
      <c r="AG988">
        <v>-5.88409999999999E-2</v>
      </c>
      <c r="AH988">
        <v>0.65972068772347603</v>
      </c>
      <c r="AI988">
        <v>95.089321544888406</v>
      </c>
      <c r="AJ988">
        <v>86.894142390809705</v>
      </c>
      <c r="AK988">
        <v>0.66330616070338599</v>
      </c>
    </row>
    <row r="989" spans="1:37" x14ac:dyDescent="0.2">
      <c r="A989" t="str">
        <f>"20200111155812142"</f>
        <v>20200111155812142</v>
      </c>
      <c r="B989" t="str">
        <f>"1578729492131949"</f>
        <v>1578729492131949</v>
      </c>
      <c r="C989" t="s">
        <v>37</v>
      </c>
      <c r="D989">
        <v>5.1592209999999996</v>
      </c>
      <c r="E989">
        <v>0.54586950000000001</v>
      </c>
      <c r="F989" t="s">
        <v>38</v>
      </c>
      <c r="G989">
        <v>-274.81009999999998</v>
      </c>
      <c r="H989">
        <v>1.0258</v>
      </c>
      <c r="I989">
        <v>367.4228</v>
      </c>
      <c r="J989">
        <v>-275.56400000000002</v>
      </c>
      <c r="K989">
        <v>1.089429</v>
      </c>
      <c r="L989">
        <v>367.48270000000002</v>
      </c>
      <c r="M989">
        <v>0.99959699999999996</v>
      </c>
      <c r="N989">
        <v>0</v>
      </c>
      <c r="O989">
        <v>-2.7292159999999999E-2</v>
      </c>
      <c r="P989">
        <v>0.99871869999999996</v>
      </c>
      <c r="Q989">
        <v>-6.7244280000000004E-4</v>
      </c>
      <c r="R989">
        <v>5.0601390000000003E-2</v>
      </c>
      <c r="S989">
        <v>3.0138240000000001</v>
      </c>
      <c r="T989">
        <v>-0.19849120000000001</v>
      </c>
      <c r="U989">
        <v>-0.2055969</v>
      </c>
      <c r="V989">
        <v>-7.7855720000000003E-2</v>
      </c>
      <c r="W989">
        <v>6.9563469999999999E-3</v>
      </c>
      <c r="X989">
        <v>0.99694039999999995</v>
      </c>
      <c r="Y989">
        <v>4.0775649999999997E-2</v>
      </c>
      <c r="Z989">
        <v>4.5317489999999899E-4</v>
      </c>
      <c r="AA989">
        <v>0.99916819999999895</v>
      </c>
      <c r="AB989">
        <v>32</v>
      </c>
      <c r="AC989">
        <v>0.75390000000004398</v>
      </c>
      <c r="AD989">
        <v>-6.3628999999999894E-2</v>
      </c>
      <c r="AE989">
        <v>-5.9900000000027299E-2</v>
      </c>
      <c r="AF989">
        <v>3.9025253478840297E-2</v>
      </c>
      <c r="AG989">
        <v>-6.3628999999999894E-2</v>
      </c>
      <c r="AH989">
        <v>0.74994541317103702</v>
      </c>
      <c r="AI989">
        <v>94.843115003711802</v>
      </c>
      <c r="AJ989">
        <v>87.021160097330906</v>
      </c>
      <c r="AK989">
        <v>0.75365094227126495</v>
      </c>
    </row>
    <row r="990" spans="1:37" x14ac:dyDescent="0.2">
      <c r="A990" t="str">
        <f>"20200111155812155"</f>
        <v>20200111155812155</v>
      </c>
      <c r="B990" t="str">
        <f>"1578729492152445"</f>
        <v>1578729492152445</v>
      </c>
      <c r="C990" t="s">
        <v>37</v>
      </c>
      <c r="D990">
        <v>5.1106189999999998</v>
      </c>
      <c r="E990">
        <v>0.54616730000000002</v>
      </c>
      <c r="F990" t="s">
        <v>38</v>
      </c>
      <c r="G990">
        <v>-274.79090000000002</v>
      </c>
      <c r="H990">
        <v>1.039199</v>
      </c>
      <c r="I990">
        <v>367.43020000000001</v>
      </c>
      <c r="J990">
        <v>-275.3895</v>
      </c>
      <c r="K990">
        <v>1.090705</v>
      </c>
      <c r="L990">
        <v>367.4787</v>
      </c>
      <c r="M990">
        <v>0.99961350000000004</v>
      </c>
      <c r="N990">
        <v>0</v>
      </c>
      <c r="O990">
        <v>-2.6582160000000001E-2</v>
      </c>
      <c r="P990">
        <v>0.99868950000000001</v>
      </c>
      <c r="Q990">
        <v>-5.9715099999999998E-4</v>
      </c>
      <c r="R990">
        <v>5.117679E-2</v>
      </c>
      <c r="S990">
        <v>3.0140380000000002</v>
      </c>
      <c r="T990">
        <v>-0.19601399999999999</v>
      </c>
      <c r="U990">
        <v>-0.20443729999999999</v>
      </c>
      <c r="V990">
        <v>-7.7723829999999994E-2</v>
      </c>
      <c r="W990">
        <v>7.3511590000000003E-3</v>
      </c>
      <c r="X990">
        <v>0.99694780000000005</v>
      </c>
      <c r="Y990">
        <v>4.109633E-2</v>
      </c>
      <c r="Z990">
        <v>3.910675E-4</v>
      </c>
      <c r="AA990">
        <v>0.99915509999999996</v>
      </c>
      <c r="AB990">
        <v>32</v>
      </c>
      <c r="AC990">
        <v>0.59859999999997604</v>
      </c>
      <c r="AD990">
        <v>-5.1506000000000003E-2</v>
      </c>
      <c r="AE990">
        <v>-4.8499999999989898E-2</v>
      </c>
      <c r="AF990">
        <v>3.2332437638714302E-2</v>
      </c>
      <c r="AG990">
        <v>-5.1506000000000003E-2</v>
      </c>
      <c r="AH990">
        <v>0.59529913194451101</v>
      </c>
      <c r="AI990">
        <v>94.937743849060794</v>
      </c>
      <c r="AJ990">
        <v>86.891153095080497</v>
      </c>
      <c r="AK990">
        <v>0.59839728529928105</v>
      </c>
    </row>
    <row r="991" spans="1:37" x14ac:dyDescent="0.2">
      <c r="A991" t="str">
        <f>"20200111155812170"</f>
        <v>20200111155812170</v>
      </c>
      <c r="B991" t="str">
        <f>"1578729492162206"</f>
        <v>1578729492162206</v>
      </c>
      <c r="C991" t="s">
        <v>37</v>
      </c>
      <c r="D991">
        <v>5.1695979999999997</v>
      </c>
      <c r="E991">
        <v>0.54642990000000002</v>
      </c>
      <c r="F991" t="s">
        <v>38</v>
      </c>
      <c r="G991">
        <v>-274.522999999999</v>
      </c>
      <c r="H991">
        <v>1.034219</v>
      </c>
      <c r="I991">
        <v>367.4194</v>
      </c>
      <c r="J991">
        <v>-275.17090000000002</v>
      </c>
      <c r="K991">
        <v>1.0922240000000001</v>
      </c>
      <c r="L991">
        <v>367.47370000000001</v>
      </c>
      <c r="M991">
        <v>0.99963400000000002</v>
      </c>
      <c r="N991">
        <v>0</v>
      </c>
      <c r="O991">
        <v>-2.566732E-2</v>
      </c>
      <c r="P991">
        <v>0.99863049999999998</v>
      </c>
      <c r="Q991">
        <v>-8.6045449999999895E-4</v>
      </c>
      <c r="R991">
        <v>5.2312289999999997E-2</v>
      </c>
      <c r="S991">
        <v>3.0143430000000002</v>
      </c>
      <c r="T991">
        <v>-0.1969272</v>
      </c>
      <c r="U991">
        <v>-0.2048645</v>
      </c>
      <c r="V991">
        <v>-7.7946230000000005E-2</v>
      </c>
      <c r="W991">
        <v>7.4832379999999997E-3</v>
      </c>
      <c r="X991">
        <v>0.99692950000000002</v>
      </c>
      <c r="Y991">
        <v>4.2140339999999998E-2</v>
      </c>
      <c r="Z991">
        <v>2.9922720000000001E-4</v>
      </c>
      <c r="AA991">
        <v>0.99911170000000005</v>
      </c>
      <c r="AB991">
        <v>32</v>
      </c>
      <c r="AC991">
        <v>0.64790000000004899</v>
      </c>
      <c r="AD991">
        <v>-5.8005000000000001E-2</v>
      </c>
      <c r="AE991">
        <v>-5.4300000000011998E-2</v>
      </c>
      <c r="AF991">
        <v>3.7354330444619901E-2</v>
      </c>
      <c r="AG991">
        <v>-5.8005000000000001E-2</v>
      </c>
      <c r="AH991">
        <v>0.64395488110776899</v>
      </c>
      <c r="AI991">
        <v>95.138502990306606</v>
      </c>
      <c r="AJ991">
        <v>86.680124936913401</v>
      </c>
      <c r="AK991">
        <v>0.64764018940341095</v>
      </c>
    </row>
    <row r="992" spans="1:37" x14ac:dyDescent="0.2">
      <c r="A992" t="str">
        <f>"20200111155812183"</f>
        <v>20200111155812183</v>
      </c>
      <c r="B992" t="str">
        <f>"1578729492171965"</f>
        <v>1578729492171965</v>
      </c>
      <c r="C992" t="s">
        <v>37</v>
      </c>
      <c r="D992">
        <v>5.1603620000000001</v>
      </c>
      <c r="E992">
        <v>0.54659489999999999</v>
      </c>
      <c r="F992" t="s">
        <v>38</v>
      </c>
      <c r="G992">
        <v>-274.24369999999999</v>
      </c>
      <c r="H992">
        <v>1.0306500000000001</v>
      </c>
      <c r="I992">
        <v>367.41079999999999</v>
      </c>
      <c r="J992">
        <v>-274.97579999999999</v>
      </c>
      <c r="K992">
        <v>1.0934870000000001</v>
      </c>
      <c r="L992">
        <v>367.46949999999998</v>
      </c>
      <c r="M992">
        <v>0.99965210000000004</v>
      </c>
      <c r="N992">
        <v>0</v>
      </c>
      <c r="O992">
        <v>-2.4824909999999999E-2</v>
      </c>
      <c r="P992">
        <v>0.99857969999999896</v>
      </c>
      <c r="Q992">
        <v>-1.1860799999999999E-3</v>
      </c>
      <c r="R992">
        <v>5.3266599999999997E-2</v>
      </c>
      <c r="S992">
        <v>3.0145869999999899</v>
      </c>
      <c r="T992">
        <v>-0.20042379999999901</v>
      </c>
      <c r="U992">
        <v>-0.20382690000000001</v>
      </c>
      <c r="V992">
        <v>-7.8059809999999993E-2</v>
      </c>
      <c r="W992">
        <v>7.5037419999999999E-3</v>
      </c>
      <c r="X992">
        <v>0.99692049999999999</v>
      </c>
      <c r="Y992">
        <v>4.2630260000000003E-2</v>
      </c>
      <c r="Z992">
        <v>2.324181E-4</v>
      </c>
      <c r="AA992">
        <v>0.9990909</v>
      </c>
      <c r="AB992">
        <v>32</v>
      </c>
      <c r="AC992">
        <v>0.73210000000000197</v>
      </c>
      <c r="AD992">
        <v>-6.2837000000000004E-2</v>
      </c>
      <c r="AE992">
        <v>-5.8699999999987498E-2</v>
      </c>
      <c r="AF992">
        <v>4.0212517025296199E-2</v>
      </c>
      <c r="AG992">
        <v>-6.2837000000000004E-2</v>
      </c>
      <c r="AH992">
        <v>0.72800270998158401</v>
      </c>
      <c r="AI992">
        <v>94.925743080491998</v>
      </c>
      <c r="AJ992">
        <v>86.838379163861603</v>
      </c>
      <c r="AK992">
        <v>0.73181519582135002</v>
      </c>
    </row>
    <row r="993" spans="1:37" x14ac:dyDescent="0.2">
      <c r="A993" t="str">
        <f>"20200111155812197"</f>
        <v>20200111155812197</v>
      </c>
      <c r="B993" t="str">
        <f>"1578729492192463"</f>
        <v>1578729492192463</v>
      </c>
      <c r="C993" t="s">
        <v>37</v>
      </c>
      <c r="D993">
        <v>5.1511009999999997</v>
      </c>
      <c r="E993">
        <v>0.54708500000000004</v>
      </c>
      <c r="F993" t="s">
        <v>39</v>
      </c>
      <c r="G993">
        <v>-258.7328</v>
      </c>
      <c r="H993" s="1">
        <v>-1.277834E-6</v>
      </c>
      <c r="I993">
        <v>366.38209999999998</v>
      </c>
      <c r="J993">
        <v>-274.79250000000002</v>
      </c>
      <c r="K993">
        <v>1.094554</v>
      </c>
      <c r="L993">
        <v>367.46570000000003</v>
      </c>
      <c r="M993">
        <v>0.99966919999999904</v>
      </c>
      <c r="N993">
        <v>0</v>
      </c>
      <c r="O993">
        <v>-2.400501E-2</v>
      </c>
      <c r="P993">
        <v>0.99851259999999997</v>
      </c>
      <c r="Q993">
        <v>-1.7690360000000001E-3</v>
      </c>
      <c r="R993">
        <v>5.4492480000000003E-2</v>
      </c>
      <c r="S993">
        <v>3.0148009999999998</v>
      </c>
      <c r="T993">
        <v>-0.20295759999999999</v>
      </c>
      <c r="U993">
        <v>-0.20181270000000001</v>
      </c>
      <c r="V993">
        <v>-7.8465950000000007E-2</v>
      </c>
      <c r="W993">
        <v>7.2295679999999996E-3</v>
      </c>
      <c r="X993">
        <v>0.99689059999999896</v>
      </c>
      <c r="Y993">
        <v>4.2777210000000003E-2</v>
      </c>
      <c r="Z993">
        <v>1.753716E-4</v>
      </c>
      <c r="AA993">
        <v>0.99908459999999999</v>
      </c>
      <c r="AB993">
        <v>32</v>
      </c>
      <c r="AC993">
        <v>16.059699999999999</v>
      </c>
      <c r="AD993">
        <v>-1.094555277834</v>
      </c>
      <c r="AE993">
        <v>-1.0836000000000401</v>
      </c>
      <c r="AF993">
        <v>0.69454637210523695</v>
      </c>
      <c r="AG993">
        <v>-1.094555277834</v>
      </c>
      <c r="AH993">
        <v>16.007066369116</v>
      </c>
      <c r="AI993">
        <v>93.908102077640194</v>
      </c>
      <c r="AJ993">
        <v>87.515495380229495</v>
      </c>
      <c r="AK993">
        <v>16.059471338264</v>
      </c>
    </row>
    <row r="994" spans="1:37" x14ac:dyDescent="0.2">
      <c r="A994" t="str">
        <f>"20200111155812210"</f>
        <v>20200111155812210</v>
      </c>
      <c r="B994" t="str">
        <f>"1578729492202222"</f>
        <v>1578729492202222</v>
      </c>
      <c r="C994" t="s">
        <v>37</v>
      </c>
      <c r="D994">
        <v>5.1888940000000003</v>
      </c>
      <c r="E994">
        <v>0.54732069999999999</v>
      </c>
      <c r="F994" t="s">
        <v>38</v>
      </c>
      <c r="G994">
        <v>-273.95729999999998</v>
      </c>
      <c r="H994">
        <v>1.0376350000000001</v>
      </c>
      <c r="I994">
        <v>367.40960000000001</v>
      </c>
      <c r="J994">
        <v>-274.6114</v>
      </c>
      <c r="K994">
        <v>1.09555</v>
      </c>
      <c r="L994">
        <v>367.4622</v>
      </c>
      <c r="M994">
        <v>0.99968579999999996</v>
      </c>
      <c r="N994">
        <v>0</v>
      </c>
      <c r="O994">
        <v>-2.318392E-2</v>
      </c>
      <c r="P994">
        <v>0.998444</v>
      </c>
      <c r="Q994">
        <v>-2.3043920000000002E-3</v>
      </c>
      <c r="R994">
        <v>5.5716509999999997E-2</v>
      </c>
      <c r="S994">
        <v>3.0151669999999999</v>
      </c>
      <c r="T994">
        <v>-0.205539799999999</v>
      </c>
      <c r="U994">
        <v>-0.20245360000000001</v>
      </c>
      <c r="V994">
        <v>-7.8869159999999994E-2</v>
      </c>
      <c r="W994">
        <v>6.9878169999999899E-3</v>
      </c>
      <c r="X994">
        <v>0.99686049999999904</v>
      </c>
      <c r="Y994">
        <v>4.3795720000000003E-2</v>
      </c>
      <c r="Z994" s="1">
        <v>8.7128250000000001E-5</v>
      </c>
      <c r="AA994">
        <v>0.9990405</v>
      </c>
      <c r="AB994">
        <v>32</v>
      </c>
      <c r="AC994">
        <v>0.65410000000002799</v>
      </c>
      <c r="AD994">
        <v>-5.7914999999999897E-2</v>
      </c>
      <c r="AE994">
        <v>-5.2599999999983903E-2</v>
      </c>
      <c r="AF994">
        <v>3.7131345561799103E-2</v>
      </c>
      <c r="AG994">
        <v>-5.7914999999999897E-2</v>
      </c>
      <c r="AH994">
        <v>0.65008008061934297</v>
      </c>
      <c r="AI994">
        <v>95.082743752956205</v>
      </c>
      <c r="AJ994">
        <v>86.730925370099698</v>
      </c>
      <c r="AK994">
        <v>0.65371017681100996</v>
      </c>
    </row>
    <row r="995" spans="1:37" x14ac:dyDescent="0.2">
      <c r="A995" t="str">
        <f>"20200111155812221"</f>
        <v>20200111155812221</v>
      </c>
      <c r="B995" t="str">
        <f>"1578729492211982"</f>
        <v>1578729492211982</v>
      </c>
      <c r="C995" t="s">
        <v>37</v>
      </c>
      <c r="D995">
        <v>5.1564079999999999</v>
      </c>
      <c r="E995">
        <v>0.54755430000000005</v>
      </c>
      <c r="F995" t="s">
        <v>38</v>
      </c>
      <c r="G995">
        <v>-273.68</v>
      </c>
      <c r="H995">
        <v>1.0318080000000001</v>
      </c>
      <c r="I995">
        <v>367.3999</v>
      </c>
      <c r="J995">
        <v>-274.43900000000002</v>
      </c>
      <c r="K995">
        <v>1.096427</v>
      </c>
      <c r="L995">
        <v>367.45890000000003</v>
      </c>
      <c r="M995">
        <v>0.99970130000000001</v>
      </c>
      <c r="N995">
        <v>0</v>
      </c>
      <c r="O995">
        <v>-2.2387589999999999E-2</v>
      </c>
      <c r="P995">
        <v>0.99837430000000005</v>
      </c>
      <c r="Q995">
        <v>-2.6774279999999999E-3</v>
      </c>
      <c r="R995">
        <v>5.6935399999999997E-2</v>
      </c>
      <c r="S995">
        <v>3.0153810000000001</v>
      </c>
      <c r="T995">
        <v>-0.20690169999999999</v>
      </c>
      <c r="U995">
        <v>-0.2005005</v>
      </c>
      <c r="V995">
        <v>-7.9292290000000001E-2</v>
      </c>
      <c r="W995">
        <v>6.8776710000000001E-3</v>
      </c>
      <c r="X995">
        <v>0.99682769999999998</v>
      </c>
      <c r="Y995">
        <v>4.3939680000000002E-2</v>
      </c>
      <c r="Z995" s="1">
        <v>2.8291599999999999E-5</v>
      </c>
      <c r="AA995">
        <v>0.99903419999999898</v>
      </c>
      <c r="AB995">
        <v>32</v>
      </c>
      <c r="AC995">
        <v>0.759000000000014</v>
      </c>
      <c r="AD995">
        <v>-6.4618999999999899E-2</v>
      </c>
      <c r="AE995">
        <v>-5.90000000000259E-2</v>
      </c>
      <c r="AF995">
        <v>4.1691833426331197E-2</v>
      </c>
      <c r="AG995">
        <v>-6.4618999999999899E-2</v>
      </c>
      <c r="AH995">
        <v>0.75469328509818301</v>
      </c>
      <c r="AI995">
        <v>94.886477976285704</v>
      </c>
      <c r="AJ995">
        <v>86.837999565153297</v>
      </c>
      <c r="AK995">
        <v>0.75860119872548004</v>
      </c>
    </row>
    <row r="996" spans="1:37" x14ac:dyDescent="0.2">
      <c r="A996" t="str">
        <f>"20200111155812238"</f>
        <v>20200111155812238</v>
      </c>
      <c r="B996" t="str">
        <f>"1578729492232477"</f>
        <v>1578729492232477</v>
      </c>
      <c r="C996" t="s">
        <v>37</v>
      </c>
      <c r="D996">
        <v>5.2324349999999997</v>
      </c>
      <c r="E996">
        <v>0.5479233</v>
      </c>
      <c r="F996" t="s">
        <v>38</v>
      </c>
      <c r="G996">
        <v>-273.67079999999999</v>
      </c>
      <c r="H996">
        <v>1.0434589999999999</v>
      </c>
      <c r="I996">
        <v>367.40800000000002</v>
      </c>
      <c r="J996">
        <v>-274.21660000000003</v>
      </c>
      <c r="K996">
        <v>1.09744</v>
      </c>
      <c r="L996">
        <v>367.45499999999998</v>
      </c>
      <c r="M996">
        <v>0.99972109999999903</v>
      </c>
      <c r="N996">
        <v>0</v>
      </c>
      <c r="O996">
        <v>-2.134527E-2</v>
      </c>
      <c r="P996">
        <v>0.99826190000000004</v>
      </c>
      <c r="Q996">
        <v>-3.6313119999999998E-3</v>
      </c>
      <c r="R996">
        <v>5.8822899999999997E-2</v>
      </c>
      <c r="S996">
        <v>3.0156559999999999</v>
      </c>
      <c r="T996">
        <v>-0.2085745</v>
      </c>
      <c r="U996">
        <v>-0.1986694</v>
      </c>
      <c r="V996">
        <v>-8.0136280000000004E-2</v>
      </c>
      <c r="W996">
        <v>6.2334769999999899E-3</v>
      </c>
      <c r="X996">
        <v>0.99676439999999999</v>
      </c>
      <c r="Y996">
        <v>4.4366950000000002E-2</v>
      </c>
      <c r="Z996" s="1">
        <v>-5.8108819999999901E-5</v>
      </c>
      <c r="AA996">
        <v>0.99901530000000005</v>
      </c>
      <c r="AB996">
        <v>32</v>
      </c>
      <c r="AC996">
        <v>0.54580000000004203</v>
      </c>
      <c r="AD996">
        <v>-5.3981000000000001E-2</v>
      </c>
      <c r="AE996">
        <v>-4.6999999999968602E-2</v>
      </c>
      <c r="AF996">
        <v>3.4998620986590803E-2</v>
      </c>
      <c r="AG996">
        <v>-5.3981000000000001E-2</v>
      </c>
      <c r="AH996">
        <v>0.54142186405678905</v>
      </c>
      <c r="AI996">
        <v>95.681923016694796</v>
      </c>
      <c r="AJ996">
        <v>86.301429049874002</v>
      </c>
      <c r="AK996">
        <v>0.54523067293641103</v>
      </c>
    </row>
    <row r="997" spans="1:37" x14ac:dyDescent="0.2">
      <c r="A997" t="str">
        <f>"20200111155812251"</f>
        <v>20200111155812251</v>
      </c>
      <c r="B997" t="str">
        <f>"1578729492242238"</f>
        <v>1578729492242238</v>
      </c>
      <c r="C997" t="s">
        <v>37</v>
      </c>
      <c r="D997">
        <v>5.1873639999999996</v>
      </c>
      <c r="E997">
        <v>0.54814449999999904</v>
      </c>
      <c r="F997" t="s">
        <v>38</v>
      </c>
      <c r="G997">
        <v>-273.39389999999997</v>
      </c>
      <c r="H997">
        <v>1.039336</v>
      </c>
      <c r="I997">
        <v>367.40140000000002</v>
      </c>
      <c r="J997">
        <v>-274.03750000000002</v>
      </c>
      <c r="K997">
        <v>1.0981909999999999</v>
      </c>
      <c r="L997">
        <v>367.452</v>
      </c>
      <c r="M997">
        <v>0.99973639999999997</v>
      </c>
      <c r="N997">
        <v>0</v>
      </c>
      <c r="O997">
        <v>-2.0498039999999999E-2</v>
      </c>
      <c r="P997">
        <v>0.998185199999999</v>
      </c>
      <c r="Q997">
        <v>-3.8792709999999901E-3</v>
      </c>
      <c r="R997">
        <v>6.0097999999999999E-2</v>
      </c>
      <c r="S997">
        <v>3.0159910000000001</v>
      </c>
      <c r="T997">
        <v>-0.21318289999999901</v>
      </c>
      <c r="U997">
        <v>-0.19604489999999999</v>
      </c>
      <c r="V997">
        <v>-8.0565479999999995E-2</v>
      </c>
      <c r="W997">
        <v>6.2167890000000003E-3</v>
      </c>
      <c r="X997">
        <v>0.99672989999999995</v>
      </c>
      <c r="Y997">
        <v>4.433612E-2</v>
      </c>
      <c r="Z997">
        <v>-1.1801179999999999E-4</v>
      </c>
      <c r="AA997">
        <v>0.99901659999999903</v>
      </c>
      <c r="AB997">
        <v>32</v>
      </c>
      <c r="AC997">
        <v>0.64360000000004802</v>
      </c>
      <c r="AD997">
        <v>-5.8854999999999803E-2</v>
      </c>
      <c r="AE997">
        <v>-5.0599999999974402E-2</v>
      </c>
      <c r="AF997">
        <v>3.70878822305361E-2</v>
      </c>
      <c r="AG997">
        <v>-5.8854999999999803E-2</v>
      </c>
      <c r="AH997">
        <v>0.63918964826106694</v>
      </c>
      <c r="AI997">
        <v>95.252035347654498</v>
      </c>
      <c r="AJ997">
        <v>86.679234072585402</v>
      </c>
      <c r="AK997">
        <v>0.64296409579186597</v>
      </c>
    </row>
    <row r="998" spans="1:37" x14ac:dyDescent="0.2">
      <c r="A998" t="str">
        <f>"20200111155812270"</f>
        <v>20200111155812270</v>
      </c>
      <c r="B998" t="str">
        <f>"1578729492261758"</f>
        <v>1578729492261758</v>
      </c>
      <c r="C998" t="s">
        <v>37</v>
      </c>
      <c r="D998">
        <v>5.2021119999999996</v>
      </c>
      <c r="E998">
        <v>0.54845719999999898</v>
      </c>
      <c r="F998" t="s">
        <v>38</v>
      </c>
      <c r="G998">
        <v>-273.11709999999999</v>
      </c>
      <c r="H998">
        <v>1.0328660000000001</v>
      </c>
      <c r="I998">
        <v>367.39249999999998</v>
      </c>
      <c r="J998">
        <v>-273.75700000000001</v>
      </c>
      <c r="K998">
        <v>1.0992409999999999</v>
      </c>
      <c r="L998">
        <v>367.4477</v>
      </c>
      <c r="M998">
        <v>0.99975930000000002</v>
      </c>
      <c r="N998">
        <v>0</v>
      </c>
      <c r="O998">
        <v>-1.9160369999999999E-2</v>
      </c>
      <c r="P998">
        <v>0.99805759999999899</v>
      </c>
      <c r="Q998">
        <v>-4.2939409999999999E-3</v>
      </c>
      <c r="R998">
        <v>6.2151779999999997E-2</v>
      </c>
      <c r="S998">
        <v>3.016327</v>
      </c>
      <c r="T998">
        <v>-0.2143477</v>
      </c>
      <c r="U998">
        <v>-0.19421389999999999</v>
      </c>
      <c r="V998">
        <v>-8.1282699999999999E-2</v>
      </c>
      <c r="W998">
        <v>6.126668E-3</v>
      </c>
      <c r="X998">
        <v>0.99667229999999996</v>
      </c>
      <c r="Y998">
        <v>4.5055810000000002E-2</v>
      </c>
      <c r="Z998">
        <v>-2.3895129999999999E-4</v>
      </c>
      <c r="AA998">
        <v>0.99898449999999905</v>
      </c>
      <c r="AB998">
        <v>32</v>
      </c>
      <c r="AC998">
        <v>0.63990000000001102</v>
      </c>
      <c r="AD998">
        <v>-6.6374999999999795E-2</v>
      </c>
      <c r="AE998">
        <v>-5.5200000000013398E-2</v>
      </c>
      <c r="AF998">
        <v>4.2474819753716399E-2</v>
      </c>
      <c r="AG998">
        <v>-6.6374999999999795E-2</v>
      </c>
      <c r="AH998">
        <v>0.634068473927483</v>
      </c>
      <c r="AI998">
        <v>95.962754354803593</v>
      </c>
      <c r="AJ998">
        <v>86.167610297611603</v>
      </c>
      <c r="AK998">
        <v>0.63894646142445899</v>
      </c>
    </row>
    <row r="999" spans="1:37" x14ac:dyDescent="0.2">
      <c r="A999" t="str">
        <f>"20200111155812284"</f>
        <v>20200111155812284</v>
      </c>
      <c r="B999" t="str">
        <f>"1578729492272494"</f>
        <v>1578729492272494</v>
      </c>
      <c r="C999" t="s">
        <v>37</v>
      </c>
      <c r="D999">
        <v>5.3095559999999997</v>
      </c>
      <c r="E999">
        <v>0.54865719999999996</v>
      </c>
      <c r="F999" t="s">
        <v>38</v>
      </c>
      <c r="G999">
        <v>-272.83600000000001</v>
      </c>
      <c r="H999">
        <v>1.0330330000000001</v>
      </c>
      <c r="I999">
        <v>367.38959999999997</v>
      </c>
      <c r="J999">
        <v>-273.5727</v>
      </c>
      <c r="K999">
        <v>1.0998619999999999</v>
      </c>
      <c r="L999">
        <v>367.44490000000002</v>
      </c>
      <c r="M999">
        <v>0.99977369999999899</v>
      </c>
      <c r="N999">
        <v>0</v>
      </c>
      <c r="O999">
        <v>-1.8277809999999999E-2</v>
      </c>
      <c r="P999">
        <v>0.99798120000000001</v>
      </c>
      <c r="Q999">
        <v>-4.2415949999999999E-3</v>
      </c>
      <c r="R999">
        <v>6.3368800000000003E-2</v>
      </c>
      <c r="S999">
        <v>3.016724</v>
      </c>
      <c r="T999">
        <v>-0.21690689999999899</v>
      </c>
      <c r="U999">
        <v>-0.19009400000000001</v>
      </c>
      <c r="V999">
        <v>-8.1619049999999999E-2</v>
      </c>
      <c r="W999">
        <v>6.3712809999999899E-3</v>
      </c>
      <c r="X999">
        <v>0.99664319999999895</v>
      </c>
      <c r="Y999">
        <v>4.4567860000000001E-2</v>
      </c>
      <c r="Z999">
        <v>-2.8755600000000001E-4</v>
      </c>
      <c r="AA999">
        <v>0.99900630000000001</v>
      </c>
      <c r="AB999">
        <v>32</v>
      </c>
      <c r="AC999">
        <v>0.73669999999998403</v>
      </c>
      <c r="AD999">
        <v>-6.6829E-2</v>
      </c>
      <c r="AE999">
        <v>-5.5300000000045202E-2</v>
      </c>
      <c r="AF999">
        <v>4.1485230200708198E-2</v>
      </c>
      <c r="AG999">
        <v>-6.6829E-2</v>
      </c>
      <c r="AH999">
        <v>0.73160110627535802</v>
      </c>
      <c r="AI999">
        <v>95.210943848665593</v>
      </c>
      <c r="AJ999">
        <v>86.754534848849502</v>
      </c>
      <c r="AK999">
        <v>0.73581744901105295</v>
      </c>
    </row>
    <row r="1000" spans="1:37" x14ac:dyDescent="0.2">
      <c r="A1000" t="str">
        <f>"20200111155812295"</f>
        <v>20200111155812295</v>
      </c>
      <c r="B1000" t="str">
        <f>"1578729492292016"</f>
        <v>1578729492292016</v>
      </c>
      <c r="C1000" t="s">
        <v>37</v>
      </c>
      <c r="D1000">
        <v>5.4204160000000003</v>
      </c>
      <c r="E1000">
        <v>0.5488615</v>
      </c>
      <c r="F1000" t="s">
        <v>38</v>
      </c>
      <c r="G1000">
        <v>-272.825999999999</v>
      </c>
      <c r="H1000">
        <v>1.046052</v>
      </c>
      <c r="I1000">
        <v>367.39839999999998</v>
      </c>
      <c r="J1000">
        <v>-273.40089999999998</v>
      </c>
      <c r="K1000">
        <v>1.100366</v>
      </c>
      <c r="L1000">
        <v>367.4427</v>
      </c>
      <c r="M1000">
        <v>0.99978690000000003</v>
      </c>
      <c r="N1000">
        <v>0</v>
      </c>
      <c r="O1000">
        <v>-1.7452619999999999E-2</v>
      </c>
      <c r="P1000">
        <v>0.99793790000000004</v>
      </c>
      <c r="Q1000">
        <v>-4.2154159999999996E-3</v>
      </c>
      <c r="R1000">
        <v>6.4049819999999993E-2</v>
      </c>
      <c r="S1000">
        <v>3.01709</v>
      </c>
      <c r="T1000">
        <v>-0.2174556</v>
      </c>
      <c r="U1000">
        <v>-0.18801879999999899</v>
      </c>
      <c r="V1000">
        <v>-8.1477330000000001E-2</v>
      </c>
      <c r="W1000">
        <v>6.5558119999999899E-3</v>
      </c>
      <c r="X1000">
        <v>0.99665360000000003</v>
      </c>
      <c r="Y1000">
        <v>4.4697529999999999E-2</v>
      </c>
      <c r="Z1000">
        <v>-3.5223189999999998E-4</v>
      </c>
      <c r="AA1000">
        <v>0.99900049999999996</v>
      </c>
      <c r="AB1000">
        <v>32</v>
      </c>
      <c r="AC1000">
        <v>0.57490000000001296</v>
      </c>
      <c r="AD1000">
        <v>-5.4313999999999897E-2</v>
      </c>
      <c r="AE1000">
        <v>-4.43000000000211E-2</v>
      </c>
      <c r="AF1000">
        <v>3.3957824824528603E-2</v>
      </c>
      <c r="AG1000">
        <v>-5.4313999999999897E-2</v>
      </c>
      <c r="AH1000">
        <v>0.57052340178514604</v>
      </c>
      <c r="AI1000">
        <v>95.428636148025802</v>
      </c>
      <c r="AJ1000">
        <v>86.593746529418198</v>
      </c>
      <c r="AK1000">
        <v>0.57410808777381594</v>
      </c>
    </row>
    <row r="1001" spans="1:37" x14ac:dyDescent="0.2">
      <c r="A1001" t="str">
        <f>"20200111155812308"</f>
        <v>20200111155812308</v>
      </c>
      <c r="B1001" t="str">
        <f>"1578729492301774"</f>
        <v>1578729492301774</v>
      </c>
      <c r="C1001" t="s">
        <v>37</v>
      </c>
      <c r="D1001">
        <v>5.203112</v>
      </c>
      <c r="E1001">
        <v>0.5488615</v>
      </c>
      <c r="F1001" t="s">
        <v>38</v>
      </c>
      <c r="G1001">
        <v>-272.55220000000003</v>
      </c>
      <c r="H1001">
        <v>1.0389280000000001</v>
      </c>
      <c r="I1001">
        <v>367.38990000000001</v>
      </c>
      <c r="J1001">
        <v>-273.22859999999997</v>
      </c>
      <c r="K1001">
        <v>1.100849</v>
      </c>
      <c r="L1001">
        <v>367.44049999999999</v>
      </c>
      <c r="M1001">
        <v>0.99979910000000005</v>
      </c>
      <c r="N1001">
        <v>0</v>
      </c>
      <c r="O1001">
        <v>-1.6624320000000001E-2</v>
      </c>
      <c r="P1001">
        <v>0.99789219999999901</v>
      </c>
      <c r="Q1001">
        <v>-4.3727509999999898E-3</v>
      </c>
      <c r="R1001">
        <v>6.4746419999999999E-2</v>
      </c>
      <c r="S1001">
        <v>3.0173030000000001</v>
      </c>
      <c r="T1001">
        <v>-0.21859770000000001</v>
      </c>
      <c r="U1001">
        <v>-0.18743899999999999</v>
      </c>
      <c r="V1001">
        <v>-8.134711E-2</v>
      </c>
      <c r="W1001">
        <v>6.5486600000000004E-3</v>
      </c>
      <c r="X1001">
        <v>0.99666429999999995</v>
      </c>
      <c r="Y1001">
        <v>4.5324980000000001E-2</v>
      </c>
      <c r="Z1001">
        <v>-4.3658299999999999E-4</v>
      </c>
      <c r="AA1001">
        <v>0.99897219999999998</v>
      </c>
      <c r="AB1001">
        <v>32</v>
      </c>
      <c r="AC1001">
        <v>0.67639999999994405</v>
      </c>
      <c r="AD1001">
        <v>-6.1920999999999803E-2</v>
      </c>
      <c r="AE1001">
        <v>-5.0599999999974402E-2</v>
      </c>
      <c r="AF1001">
        <v>3.9022404985274602E-2</v>
      </c>
      <c r="AG1001">
        <v>-6.1920999999999803E-2</v>
      </c>
      <c r="AH1001">
        <v>0.67155115836150403</v>
      </c>
      <c r="AI1001">
        <v>95.259292981744494</v>
      </c>
      <c r="AJ1001">
        <v>86.674404119903599</v>
      </c>
      <c r="AK1001">
        <v>0.67552787997869701</v>
      </c>
    </row>
    <row r="1002" spans="1:37" x14ac:dyDescent="0.2">
      <c r="A1002" t="str">
        <f>"20200111155812320"</f>
        <v>20200111155812320</v>
      </c>
      <c r="B1002" t="str">
        <f>"1578729492312510"</f>
        <v>1578729492312510</v>
      </c>
      <c r="C1002" t="s">
        <v>37</v>
      </c>
      <c r="D1002">
        <v>5.2380690000000003</v>
      </c>
      <c r="E1002">
        <v>0.55660750000000003</v>
      </c>
      <c r="F1002" t="s">
        <v>38</v>
      </c>
      <c r="G1002">
        <v>-272.27530000000002</v>
      </c>
      <c r="H1002">
        <v>1.0315559999999999</v>
      </c>
      <c r="I1002">
        <v>367.38189999999997</v>
      </c>
      <c r="J1002">
        <v>-273.05399999999997</v>
      </c>
      <c r="K1002">
        <v>1.1012850000000001</v>
      </c>
      <c r="L1002">
        <v>367.4384</v>
      </c>
      <c r="M1002">
        <v>0.99981119999999901</v>
      </c>
      <c r="N1002">
        <v>0</v>
      </c>
      <c r="O1002">
        <v>-1.5784179999999998E-2</v>
      </c>
      <c r="P1002">
        <v>0.99786810000000004</v>
      </c>
      <c r="Q1002">
        <v>-4.5327800000000001E-3</v>
      </c>
      <c r="R1002">
        <v>6.5108920000000001E-2</v>
      </c>
      <c r="S1002">
        <v>3.0173649999999999</v>
      </c>
      <c r="T1002">
        <v>-0.21932960000000001</v>
      </c>
      <c r="U1002">
        <v>-0.18533329999999901</v>
      </c>
      <c r="V1002">
        <v>-8.0872349999999996E-2</v>
      </c>
      <c r="W1002">
        <v>6.52672699999999E-3</v>
      </c>
      <c r="X1002">
        <v>0.99670309999999995</v>
      </c>
      <c r="Y1002">
        <v>4.5465560000000002E-2</v>
      </c>
      <c r="Z1002">
        <v>-5.0404989999999999E-4</v>
      </c>
      <c r="AA1002">
        <v>0.99896580000000001</v>
      </c>
      <c r="AB1002">
        <v>31</v>
      </c>
      <c r="AC1002">
        <v>0.77870000000001405</v>
      </c>
      <c r="AD1002">
        <v>-6.9729000000000096E-2</v>
      </c>
      <c r="AE1002">
        <v>-5.6500000000028097E-2</v>
      </c>
      <c r="AF1002">
        <v>4.38512556055854E-2</v>
      </c>
      <c r="AG1002">
        <v>-6.9729000000000096E-2</v>
      </c>
      <c r="AH1002">
        <v>0.77332649127997399</v>
      </c>
      <c r="AI1002">
        <v>95.144071383046494</v>
      </c>
      <c r="AJ1002">
        <v>86.754534889071195</v>
      </c>
      <c r="AK1002">
        <v>0.77770105321684002</v>
      </c>
    </row>
    <row r="1003" spans="1:37" x14ac:dyDescent="0.2">
      <c r="A1003" t="str">
        <f>"20200111155812334"</f>
        <v>20200111155812334</v>
      </c>
      <c r="B1003" t="str">
        <f>"1578729492322270"</f>
        <v>1578729492322270</v>
      </c>
      <c r="C1003" t="s">
        <v>37</v>
      </c>
      <c r="D1003">
        <v>5.2451230000000004</v>
      </c>
      <c r="E1003">
        <v>0.55679829999999997</v>
      </c>
      <c r="F1003" t="s">
        <v>38</v>
      </c>
      <c r="G1003">
        <v>-272.27370000000002</v>
      </c>
      <c r="H1003">
        <v>1.035121</v>
      </c>
      <c r="I1003">
        <v>367.37540000000001</v>
      </c>
      <c r="J1003">
        <v>-272.86930000000001</v>
      </c>
      <c r="K1003">
        <v>1.1017059999999901</v>
      </c>
      <c r="L1003">
        <v>367.43639999999999</v>
      </c>
      <c r="M1003">
        <v>0.99982349999999998</v>
      </c>
      <c r="N1003">
        <v>0</v>
      </c>
      <c r="O1003">
        <v>-1.489587E-2</v>
      </c>
      <c r="P1003">
        <v>0.99783480000000002</v>
      </c>
      <c r="Q1003">
        <v>-4.8511070000000003E-3</v>
      </c>
      <c r="R1003">
        <v>6.55916E-2</v>
      </c>
      <c r="S1003">
        <v>3.0211790000000001</v>
      </c>
      <c r="T1003">
        <v>-0.25622430000000002</v>
      </c>
      <c r="U1003">
        <v>-0.2441101</v>
      </c>
      <c r="V1003">
        <v>-8.046847E-2</v>
      </c>
      <c r="W1003">
        <v>6.3393340000000003E-3</v>
      </c>
      <c r="X1003">
        <v>0.99673699999999998</v>
      </c>
      <c r="Y1003">
        <v>6.5499329999999995E-2</v>
      </c>
      <c r="Z1003">
        <v>-1.509151E-3</v>
      </c>
      <c r="AA1003">
        <v>0.997851499999999</v>
      </c>
      <c r="AB1003">
        <v>31</v>
      </c>
      <c r="AC1003">
        <v>0.59559999999999003</v>
      </c>
      <c r="AD1003">
        <v>-6.6584999999999894E-2</v>
      </c>
      <c r="AE1003">
        <v>-6.0999999999978599E-2</v>
      </c>
      <c r="AF1003">
        <v>5.1483898738400799E-2</v>
      </c>
      <c r="AG1003">
        <v>-6.6584999999999894E-2</v>
      </c>
      <c r="AH1003">
        <v>0.58915573462984605</v>
      </c>
      <c r="AI1003">
        <v>96.423799274357094</v>
      </c>
      <c r="AJ1003">
        <v>85.005843761607906</v>
      </c>
      <c r="AK1003">
        <v>0.595137491426594</v>
      </c>
    </row>
    <row r="1004" spans="1:37" x14ac:dyDescent="0.2">
      <c r="A1004" t="str">
        <f>"20200111155812350"</f>
        <v>20200111155812350</v>
      </c>
      <c r="B1004" t="str">
        <f>"1578729492341790"</f>
        <v>1578729492341790</v>
      </c>
      <c r="C1004" t="s">
        <v>37</v>
      </c>
      <c r="D1004">
        <v>5.2645400000000002</v>
      </c>
      <c r="E1004">
        <v>0.55721140000000002</v>
      </c>
      <c r="F1004" t="s">
        <v>38</v>
      </c>
      <c r="G1004">
        <v>-271.99689999999998</v>
      </c>
      <c r="H1004">
        <v>1.027571</v>
      </c>
      <c r="I1004">
        <v>367.36559999999997</v>
      </c>
      <c r="J1004">
        <v>-272.6456</v>
      </c>
      <c r="K1004">
        <v>1.1021609999999999</v>
      </c>
      <c r="L1004">
        <v>367.43419999999998</v>
      </c>
      <c r="M1004">
        <v>0.99983719999999998</v>
      </c>
      <c r="N1004">
        <v>0</v>
      </c>
      <c r="O1004">
        <v>-1.381929E-2</v>
      </c>
      <c r="P1004">
        <v>0.99785230000000003</v>
      </c>
      <c r="Q1004">
        <v>-5.0960349999999996E-3</v>
      </c>
      <c r="R1004">
        <v>6.5307649999999995E-2</v>
      </c>
      <c r="S1004">
        <v>3.0213619999999999</v>
      </c>
      <c r="T1004">
        <v>-0.25709490000000002</v>
      </c>
      <c r="U1004">
        <v>-0.24429319999999999</v>
      </c>
      <c r="V1004">
        <v>-7.9111039999999994E-2</v>
      </c>
      <c r="W1004">
        <v>6.2425390000000001E-3</v>
      </c>
      <c r="X1004">
        <v>0.99684629999999996</v>
      </c>
      <c r="Y1004">
        <v>6.661984E-2</v>
      </c>
      <c r="Z1004">
        <v>-1.6529419999999999E-3</v>
      </c>
      <c r="AA1004">
        <v>0.99777700000000003</v>
      </c>
      <c r="AB1004">
        <v>31</v>
      </c>
      <c r="AC1004">
        <v>0.64870000000001904</v>
      </c>
      <c r="AD1004">
        <v>-7.4590000000000101E-2</v>
      </c>
      <c r="AE1004">
        <v>-6.8600000000003505E-2</v>
      </c>
      <c r="AF1004">
        <v>5.8858690819701603E-2</v>
      </c>
      <c r="AG1004">
        <v>-7.4590000000000101E-2</v>
      </c>
      <c r="AH1004">
        <v>0.64120235557531402</v>
      </c>
      <c r="AI1004">
        <v>96.607765900268703</v>
      </c>
      <c r="AJ1004">
        <v>84.755274810964806</v>
      </c>
      <c r="AK1004">
        <v>0.64820403761496304</v>
      </c>
    </row>
    <row r="1005" spans="1:37" x14ac:dyDescent="0.2">
      <c r="A1005" t="str">
        <f>"20200111155812364"</f>
        <v>20200111155812364</v>
      </c>
      <c r="B1005" t="str">
        <f>"1578729492352525"</f>
        <v>1578729492352525</v>
      </c>
      <c r="C1005" t="s">
        <v>37</v>
      </c>
      <c r="D1005">
        <v>5.4822059999999997</v>
      </c>
      <c r="E1005">
        <v>0.55721140000000002</v>
      </c>
      <c r="F1005" t="s">
        <v>38</v>
      </c>
      <c r="G1005">
        <v>-271.71839999999997</v>
      </c>
      <c r="H1005">
        <v>1.0239020000000001</v>
      </c>
      <c r="I1005">
        <v>367.35770000000002</v>
      </c>
      <c r="J1005">
        <v>-272.44850000000002</v>
      </c>
      <c r="K1005">
        <v>1.1025240000000001</v>
      </c>
      <c r="L1005">
        <v>367.43239999999997</v>
      </c>
      <c r="M1005">
        <v>0.99984850000000003</v>
      </c>
      <c r="N1005">
        <v>0</v>
      </c>
      <c r="O1005">
        <v>-1.28711E-2</v>
      </c>
      <c r="P1005">
        <v>0.99784430000000002</v>
      </c>
      <c r="Q1005">
        <v>-5.1174150000000002E-3</v>
      </c>
      <c r="R1005">
        <v>6.5426570000000003E-2</v>
      </c>
      <c r="S1005">
        <v>3.0213930000000002</v>
      </c>
      <c r="T1005">
        <v>-0.2553299</v>
      </c>
      <c r="U1005">
        <v>-0.24838260000000001</v>
      </c>
      <c r="V1005">
        <v>-7.8284339999999994E-2</v>
      </c>
      <c r="W1005">
        <v>6.3379029999999998E-3</v>
      </c>
      <c r="X1005">
        <v>0.99691090000000004</v>
      </c>
      <c r="Y1005">
        <v>6.8897780000000006E-2</v>
      </c>
      <c r="Z1005">
        <v>-1.8172799999999999E-3</v>
      </c>
      <c r="AA1005">
        <v>0.99762209999999996</v>
      </c>
      <c r="AB1005">
        <v>31</v>
      </c>
      <c r="AC1005">
        <v>0.73010000000004904</v>
      </c>
      <c r="AD1005">
        <v>-7.86219999999999E-2</v>
      </c>
      <c r="AE1005">
        <v>-7.4699999999950195E-2</v>
      </c>
      <c r="AF1005">
        <v>6.4555123877691495E-2</v>
      </c>
      <c r="AG1005">
        <v>-7.86219999999999E-2</v>
      </c>
      <c r="AH1005">
        <v>0.72270706839747201</v>
      </c>
      <c r="AI1005">
        <v>96.184257947516301</v>
      </c>
      <c r="AJ1005">
        <v>84.895655529010099</v>
      </c>
      <c r="AK1005">
        <v>0.729831685811552</v>
      </c>
    </row>
    <row r="1006" spans="1:37" x14ac:dyDescent="0.2">
      <c r="A1006" t="str">
        <f>"20200111155812376"</f>
        <v>20200111155812376</v>
      </c>
      <c r="B1006" t="str">
        <f>"1578729492372046"</f>
        <v>1578729492372046</v>
      </c>
      <c r="C1006" t="s">
        <v>37</v>
      </c>
      <c r="D1006">
        <v>5.2823039999999999</v>
      </c>
      <c r="E1006">
        <v>0.55765500000000001</v>
      </c>
      <c r="F1006" t="s">
        <v>38</v>
      </c>
      <c r="G1006">
        <v>-271.71019999999999</v>
      </c>
      <c r="H1006">
        <v>1.0402089999999999</v>
      </c>
      <c r="I1006">
        <v>367.3716</v>
      </c>
      <c r="J1006">
        <v>-272.26400000000001</v>
      </c>
      <c r="K1006">
        <v>1.1028180000000001</v>
      </c>
      <c r="L1006">
        <v>367.43090000000001</v>
      </c>
      <c r="M1006">
        <v>0.99985829999999998</v>
      </c>
      <c r="N1006">
        <v>0</v>
      </c>
      <c r="O1006">
        <v>-1.198424E-2</v>
      </c>
      <c r="P1006">
        <v>0.99784110000000004</v>
      </c>
      <c r="Q1006">
        <v>-5.1677800000000003E-3</v>
      </c>
      <c r="R1006">
        <v>6.5473160000000002E-2</v>
      </c>
      <c r="S1006">
        <v>3.021423</v>
      </c>
      <c r="T1006">
        <v>-0.25539639999999902</v>
      </c>
      <c r="U1006">
        <v>-0.2478638</v>
      </c>
      <c r="V1006">
        <v>-7.7447189999999999E-2</v>
      </c>
      <c r="W1006">
        <v>6.38558599999999E-3</v>
      </c>
      <c r="X1006">
        <v>0.99697599999999997</v>
      </c>
      <c r="Y1006">
        <v>6.9605890000000004E-2</v>
      </c>
      <c r="Z1006">
        <v>-1.9222579999999901E-3</v>
      </c>
      <c r="AA1006">
        <v>0.99757269999999898</v>
      </c>
      <c r="AB1006">
        <v>31</v>
      </c>
      <c r="AC1006">
        <v>0.55380000000002305</v>
      </c>
      <c r="AD1006">
        <v>-6.2609000000000095E-2</v>
      </c>
      <c r="AE1006">
        <v>-5.9300000000007402E-2</v>
      </c>
      <c r="AF1006">
        <v>5.20013060961056E-2</v>
      </c>
      <c r="AG1006">
        <v>-6.2609000000000095E-2</v>
      </c>
      <c r="AH1006">
        <v>0.54755196388470395</v>
      </c>
      <c r="AI1006">
        <v>96.494099672339999</v>
      </c>
      <c r="AJ1006">
        <v>84.574860300080601</v>
      </c>
      <c r="AK1006">
        <v>0.55356767957558495</v>
      </c>
    </row>
    <row r="1007" spans="1:37" x14ac:dyDescent="0.2">
      <c r="A1007" t="str">
        <f>"20200111155812390"</f>
        <v>20200111155812390</v>
      </c>
      <c r="B1007" t="str">
        <f>"1578729492381806"</f>
        <v>1578729492381806</v>
      </c>
      <c r="C1007" t="s">
        <v>37</v>
      </c>
      <c r="D1007">
        <v>5.4719059999999997</v>
      </c>
      <c r="E1007">
        <v>0.55765500000000001</v>
      </c>
      <c r="F1007" t="s">
        <v>38</v>
      </c>
      <c r="G1007">
        <v>-271.43329999999997</v>
      </c>
      <c r="H1007">
        <v>1.03345</v>
      </c>
      <c r="I1007">
        <v>367.3614</v>
      </c>
      <c r="J1007">
        <v>-272.07709999999997</v>
      </c>
      <c r="K1007">
        <v>1.1030959999999901</v>
      </c>
      <c r="L1007">
        <v>367.42950000000002</v>
      </c>
      <c r="M1007">
        <v>0.99986769999999903</v>
      </c>
      <c r="N1007">
        <v>0</v>
      </c>
      <c r="O1007">
        <v>-1.1085940000000001E-2</v>
      </c>
      <c r="P1007">
        <v>0.99783860000000002</v>
      </c>
      <c r="Q1007">
        <v>-5.0752050000000002E-3</v>
      </c>
      <c r="R1007">
        <v>6.5516870000000005E-2</v>
      </c>
      <c r="S1007">
        <v>3.0216669999999999</v>
      </c>
      <c r="T1007">
        <v>-0.25277169999999999</v>
      </c>
      <c r="U1007">
        <v>-0.2512817</v>
      </c>
      <c r="V1007">
        <v>-7.6595629999999998E-2</v>
      </c>
      <c r="W1007">
        <v>6.5748859999999899E-3</v>
      </c>
      <c r="X1007">
        <v>0.99704059999999906</v>
      </c>
      <c r="Y1007">
        <v>7.1610300000000002E-2</v>
      </c>
      <c r="Z1007">
        <v>-2.0607489999999902E-3</v>
      </c>
      <c r="AA1007">
        <v>0.99743059999999995</v>
      </c>
      <c r="AB1007">
        <v>31</v>
      </c>
      <c r="AC1007">
        <v>0.64379999999999804</v>
      </c>
      <c r="AD1007">
        <v>-6.9645999999999805E-2</v>
      </c>
      <c r="AE1007">
        <v>-6.8100000000015301E-2</v>
      </c>
      <c r="AF1007">
        <v>6.0260763498489703E-2</v>
      </c>
      <c r="AG1007">
        <v>-6.9645999999999805E-2</v>
      </c>
      <c r="AH1007">
        <v>0.63714159300028195</v>
      </c>
      <c r="AI1007">
        <v>96.210740053463397</v>
      </c>
      <c r="AJ1007">
        <v>84.597045309513604</v>
      </c>
      <c r="AK1007">
        <v>0.64376341497817102</v>
      </c>
    </row>
    <row r="1008" spans="1:37" x14ac:dyDescent="0.2">
      <c r="A1008" t="str">
        <f>"20200111155812404"</f>
        <v>20200111155812404</v>
      </c>
      <c r="B1008" t="str">
        <f>"1578729492402302"</f>
        <v>1578729492402302</v>
      </c>
      <c r="C1008" t="s">
        <v>37</v>
      </c>
      <c r="D1008">
        <v>5.2410360000000003</v>
      </c>
      <c r="E1008">
        <v>0.55789290000000002</v>
      </c>
      <c r="F1008" t="s">
        <v>38</v>
      </c>
      <c r="G1008">
        <v>-271.1567</v>
      </c>
      <c r="H1008">
        <v>1.0262579999999999</v>
      </c>
      <c r="I1008">
        <v>367.3528</v>
      </c>
      <c r="J1008">
        <v>-271.87549999999999</v>
      </c>
      <c r="K1008">
        <v>1.103372</v>
      </c>
      <c r="L1008">
        <v>367.42829999999998</v>
      </c>
      <c r="M1008">
        <v>0.99987669999999995</v>
      </c>
      <c r="N1008">
        <v>0</v>
      </c>
      <c r="O1008">
        <v>-1.0118530000000001E-2</v>
      </c>
      <c r="P1008">
        <v>0.99785879999999905</v>
      </c>
      <c r="Q1008">
        <v>-5.1754790000000002E-3</v>
      </c>
      <c r="R1008">
        <v>6.5200750000000002E-2</v>
      </c>
      <c r="S1008">
        <v>3.0217589999999999</v>
      </c>
      <c r="T1008">
        <v>-0.25247999999999998</v>
      </c>
      <c r="U1008">
        <v>-0.25134279999999998</v>
      </c>
      <c r="V1008">
        <v>-7.5315240000000006E-2</v>
      </c>
      <c r="W1008">
        <v>6.5772690000000002E-3</v>
      </c>
      <c r="X1008">
        <v>0.99713809999999903</v>
      </c>
      <c r="Y1008">
        <v>7.2586579999999998E-2</v>
      </c>
      <c r="Z1008">
        <v>-2.179496E-3</v>
      </c>
      <c r="AA1008">
        <v>0.99735980000000002</v>
      </c>
      <c r="AB1008">
        <v>31</v>
      </c>
      <c r="AC1008">
        <v>0.718799999999987</v>
      </c>
      <c r="AD1008">
        <v>-7.7114000000000099E-2</v>
      </c>
      <c r="AE1008">
        <v>-7.5499999999976794E-2</v>
      </c>
      <c r="AF1008">
        <v>6.7454525373440405E-2</v>
      </c>
      <c r="AG1008">
        <v>-7.7114000000000099E-2</v>
      </c>
      <c r="AH1008">
        <v>0.71142848024905503</v>
      </c>
      <c r="AI1008">
        <v>96.158911046541604</v>
      </c>
      <c r="AJ1008">
        <v>84.583657953866506</v>
      </c>
      <c r="AK1008">
        <v>0.71876780986549205</v>
      </c>
    </row>
    <row r="1009" spans="1:37" x14ac:dyDescent="0.2">
      <c r="A1009" t="str">
        <f>"20200111155812416"</f>
        <v>20200111155812416</v>
      </c>
      <c r="B1009" t="str">
        <f>"1578729492412064"</f>
        <v>1578729492412064</v>
      </c>
      <c r="C1009" t="s">
        <v>37</v>
      </c>
      <c r="D1009">
        <v>5.2546059999999999</v>
      </c>
      <c r="E1009">
        <v>0.55803740000000002</v>
      </c>
      <c r="F1009" t="s">
        <v>38</v>
      </c>
      <c r="G1009">
        <v>-271.14839999999998</v>
      </c>
      <c r="H1009">
        <v>1.042743</v>
      </c>
      <c r="I1009">
        <v>367.36689999999999</v>
      </c>
      <c r="J1009">
        <v>-271.7122</v>
      </c>
      <c r="K1009">
        <v>1.103564</v>
      </c>
      <c r="L1009">
        <v>367.42750000000001</v>
      </c>
      <c r="M1009">
        <v>0.99988339999999998</v>
      </c>
      <c r="N1009">
        <v>0</v>
      </c>
      <c r="O1009">
        <v>-9.3355639999999993E-3</v>
      </c>
      <c r="P1009">
        <v>0.99783519999999903</v>
      </c>
      <c r="Q1009">
        <v>-5.0951970000000001E-3</v>
      </c>
      <c r="R1009">
        <v>6.5568879999999996E-2</v>
      </c>
      <c r="S1009">
        <v>3.0217589999999999</v>
      </c>
      <c r="T1009">
        <v>-0.25225530000000002</v>
      </c>
      <c r="U1009">
        <v>-0.25427250000000001</v>
      </c>
      <c r="V1009">
        <v>-7.4902449999999995E-2</v>
      </c>
      <c r="W1009">
        <v>6.7346219999999896E-3</v>
      </c>
      <c r="X1009">
        <v>0.9971681</v>
      </c>
      <c r="Y1009">
        <v>7.4319389999999999E-2</v>
      </c>
      <c r="Z1009">
        <v>-2.3146740000000001E-3</v>
      </c>
      <c r="AA1009">
        <v>0.9972318</v>
      </c>
      <c r="AB1009">
        <v>31</v>
      </c>
      <c r="AC1009">
        <v>0.56380000000001396</v>
      </c>
      <c r="AD1009">
        <v>-6.0821E-2</v>
      </c>
      <c r="AE1009">
        <v>-6.0600000000022101E-2</v>
      </c>
      <c r="AF1009">
        <v>5.4704237750332299E-2</v>
      </c>
      <c r="AG1009">
        <v>-6.0821E-2</v>
      </c>
      <c r="AH1009">
        <v>0.55792257523936095</v>
      </c>
      <c r="AI1009">
        <v>96.1919759269243</v>
      </c>
      <c r="AJ1009">
        <v>84.400055847606296</v>
      </c>
      <c r="AK1009">
        <v>0.56388770835208502</v>
      </c>
    </row>
    <row r="1010" spans="1:37" x14ac:dyDescent="0.2">
      <c r="A1010" t="str">
        <f>"20200111155812428"</f>
        <v>20200111155812428</v>
      </c>
      <c r="B1010" t="str">
        <f>"1578729492421821"</f>
        <v>1578729492421821</v>
      </c>
      <c r="C1010" t="s">
        <v>37</v>
      </c>
      <c r="D1010">
        <v>5.2693129999999897</v>
      </c>
      <c r="E1010">
        <v>0.5581604</v>
      </c>
      <c r="F1010" t="s">
        <v>38</v>
      </c>
      <c r="G1010">
        <v>-270.87310000000002</v>
      </c>
      <c r="H1010">
        <v>1.0334459999999901</v>
      </c>
      <c r="I1010">
        <v>367.35660000000001</v>
      </c>
      <c r="J1010">
        <v>-271.53919999999999</v>
      </c>
      <c r="K1010">
        <v>1.1037539999999999</v>
      </c>
      <c r="L1010">
        <v>367.42669999999998</v>
      </c>
      <c r="M1010">
        <v>0.9998899</v>
      </c>
      <c r="N1010">
        <v>0</v>
      </c>
      <c r="O1010">
        <v>-8.5060050000000005E-3</v>
      </c>
      <c r="P1010">
        <v>0.99780530000000001</v>
      </c>
      <c r="Q1010">
        <v>-5.0560479999999996E-3</v>
      </c>
      <c r="R1010">
        <v>6.6021570000000002E-2</v>
      </c>
      <c r="S1010">
        <v>3.0219419999999899</v>
      </c>
      <c r="T1010">
        <v>-0.25294440000000001</v>
      </c>
      <c r="U1010">
        <v>-0.25411990000000001</v>
      </c>
      <c r="V1010">
        <v>-7.4528170000000005E-2</v>
      </c>
      <c r="W1010">
        <v>6.8533530000000004E-3</v>
      </c>
      <c r="X1010">
        <v>0.99719539999999995</v>
      </c>
      <c r="Y1010">
        <v>7.5084919999999999E-2</v>
      </c>
      <c r="Z1010">
        <v>-2.4219490000000001E-3</v>
      </c>
      <c r="AA1010">
        <v>0.99717420000000001</v>
      </c>
      <c r="AB1010">
        <v>31</v>
      </c>
      <c r="AC1010">
        <v>0.66609999999997105</v>
      </c>
      <c r="AD1010">
        <v>-7.0308000000000204E-2</v>
      </c>
      <c r="AE1010">
        <v>-7.0099999999967993E-2</v>
      </c>
      <c r="AF1010">
        <v>6.3728957516887105E-2</v>
      </c>
      <c r="AG1010">
        <v>-7.0308000000000204E-2</v>
      </c>
      <c r="AH1010">
        <v>0.6594061356591</v>
      </c>
      <c r="AI1010">
        <v>96.058051032255094</v>
      </c>
      <c r="AJ1010">
        <v>84.479737415510201</v>
      </c>
      <c r="AK1010">
        <v>0.666198954243442</v>
      </c>
    </row>
    <row r="1011" spans="1:37" x14ac:dyDescent="0.2">
      <c r="A1011" t="str">
        <f>"20200111155812441"</f>
        <v>20200111155812441</v>
      </c>
      <c r="B1011" t="str">
        <f>"1578729492431582"</f>
        <v>1578729492431582</v>
      </c>
      <c r="C1011" t="s">
        <v>37</v>
      </c>
      <c r="D1011">
        <v>5.3075789999999996</v>
      </c>
      <c r="E1011">
        <v>0.55821379999999998</v>
      </c>
      <c r="F1011" t="s">
        <v>38</v>
      </c>
      <c r="G1011">
        <v>-270.59739999999999</v>
      </c>
      <c r="H1011">
        <v>1.0250939999999999</v>
      </c>
      <c r="I1011">
        <v>367.34739999999999</v>
      </c>
      <c r="J1011">
        <v>-271.36410000000001</v>
      </c>
      <c r="K1011">
        <v>1.1039299999999901</v>
      </c>
      <c r="L1011">
        <v>367.42599999999999</v>
      </c>
      <c r="M1011">
        <v>0.9998958</v>
      </c>
      <c r="N1011">
        <v>0</v>
      </c>
      <c r="O1011">
        <v>-7.6661910000000002E-3</v>
      </c>
      <c r="P1011">
        <v>0.99777000000000005</v>
      </c>
      <c r="Q1011">
        <v>-4.8640910000000001E-3</v>
      </c>
      <c r="R1011">
        <v>6.6573129999999994E-2</v>
      </c>
      <c r="S1011">
        <v>3.022125</v>
      </c>
      <c r="T1011">
        <v>-0.25255450000000002</v>
      </c>
      <c r="U1011">
        <v>-0.25390629999999997</v>
      </c>
      <c r="V1011">
        <v>-7.4242730000000007E-2</v>
      </c>
      <c r="W1011">
        <v>7.1232350000000003E-3</v>
      </c>
      <c r="X1011">
        <v>0.99721469999999901</v>
      </c>
      <c r="Y1011">
        <v>7.5842599999999996E-2</v>
      </c>
      <c r="Z1011">
        <v>-2.5195679999999998E-3</v>
      </c>
      <c r="AA1011">
        <v>0.99711659999999902</v>
      </c>
      <c r="AB1011">
        <v>31</v>
      </c>
      <c r="AC1011">
        <v>0.76670000000001404</v>
      </c>
      <c r="AD1011">
        <v>-7.8835999999999906E-2</v>
      </c>
      <c r="AE1011">
        <v>-7.8599999999994397E-2</v>
      </c>
      <c r="AF1011">
        <v>7.1966592517939798E-2</v>
      </c>
      <c r="AG1011">
        <v>-7.8835999999999906E-2</v>
      </c>
      <c r="AH1011">
        <v>0.75933512379521195</v>
      </c>
      <c r="AI1011">
        <v>95.901093405191602</v>
      </c>
      <c r="AJ1011">
        <v>84.585918685890505</v>
      </c>
      <c r="AK1011">
        <v>0.76680123602126105</v>
      </c>
    </row>
    <row r="1012" spans="1:37" x14ac:dyDescent="0.2">
      <c r="A1012" t="str">
        <f>"20200111155812454"</f>
        <v>20200111155812454</v>
      </c>
      <c r="B1012" t="str">
        <f>"1578729492452078"</f>
        <v>1578729492452078</v>
      </c>
      <c r="C1012" t="s">
        <v>37</v>
      </c>
      <c r="D1012">
        <v>5.3180870000000002</v>
      </c>
      <c r="E1012">
        <v>0.55835780000000002</v>
      </c>
      <c r="F1012" t="s">
        <v>38</v>
      </c>
      <c r="G1012">
        <v>-270.59030000000001</v>
      </c>
      <c r="H1012">
        <v>1.039377</v>
      </c>
      <c r="I1012">
        <v>367.3612</v>
      </c>
      <c r="J1012">
        <v>-271.18700000000001</v>
      </c>
      <c r="K1012">
        <v>1.10409</v>
      </c>
      <c r="L1012">
        <v>367.4255</v>
      </c>
      <c r="M1012">
        <v>0.99990100000000004</v>
      </c>
      <c r="N1012">
        <v>0</v>
      </c>
      <c r="O1012">
        <v>-6.8175479999999997E-3</v>
      </c>
      <c r="P1012">
        <v>0.99773489999999998</v>
      </c>
      <c r="Q1012">
        <v>-4.9042030000000002E-3</v>
      </c>
      <c r="R1012">
        <v>6.7092369999999998E-2</v>
      </c>
      <c r="S1012">
        <v>3.0223390000000001</v>
      </c>
      <c r="T1012">
        <v>-0.2523358</v>
      </c>
      <c r="U1012">
        <v>-0.25259399999999999</v>
      </c>
      <c r="V1012">
        <v>-7.391557E-2</v>
      </c>
      <c r="W1012">
        <v>7.1585210000000002E-3</v>
      </c>
      <c r="X1012">
        <v>0.99723879999999998</v>
      </c>
      <c r="Y1012">
        <v>7.6249120000000004E-2</v>
      </c>
      <c r="Z1012">
        <v>-2.6047750000000001E-3</v>
      </c>
      <c r="AA1012">
        <v>0.99708539999999901</v>
      </c>
      <c r="AB1012">
        <v>31</v>
      </c>
      <c r="AC1012">
        <v>0.59669999999999801</v>
      </c>
      <c r="AD1012">
        <v>-6.4713000000000007E-2</v>
      </c>
      <c r="AE1012">
        <v>-6.4300000000002897E-2</v>
      </c>
      <c r="AF1012">
        <v>5.9537935808158901E-2</v>
      </c>
      <c r="AG1012">
        <v>-6.4713000000000007E-2</v>
      </c>
      <c r="AH1012">
        <v>0.59026172804269395</v>
      </c>
      <c r="AI1012">
        <v>96.225263322763396</v>
      </c>
      <c r="AJ1012">
        <v>84.240226906646697</v>
      </c>
      <c r="AK1012">
        <v>0.59677587565286505</v>
      </c>
    </row>
    <row r="1013" spans="1:37" x14ac:dyDescent="0.2">
      <c r="A1013" t="str">
        <f>"20200111155812466"</f>
        <v>20200111155812466</v>
      </c>
      <c r="B1013" t="str">
        <f>"1578729492461838"</f>
        <v>1578729492461838</v>
      </c>
      <c r="C1013" t="s">
        <v>37</v>
      </c>
      <c r="D1013">
        <v>5.338832</v>
      </c>
      <c r="E1013">
        <v>0.55830769999999996</v>
      </c>
      <c r="F1013" t="s">
        <v>38</v>
      </c>
      <c r="G1013">
        <v>-270.31490000000002</v>
      </c>
      <c r="H1013">
        <v>1.030748</v>
      </c>
      <c r="I1013">
        <v>367.35250000000002</v>
      </c>
      <c r="J1013">
        <v>-271.00790000000001</v>
      </c>
      <c r="K1013">
        <v>1.1042449999999999</v>
      </c>
      <c r="L1013">
        <v>367.42509999999999</v>
      </c>
      <c r="M1013">
        <v>0.9999055</v>
      </c>
      <c r="N1013">
        <v>0</v>
      </c>
      <c r="O1013">
        <v>-5.9585319999999999E-3</v>
      </c>
      <c r="P1013">
        <v>0.99768609999999902</v>
      </c>
      <c r="Q1013">
        <v>-4.78095E-3</v>
      </c>
      <c r="R1013">
        <v>6.7821129999999993E-2</v>
      </c>
      <c r="S1013">
        <v>3.022491</v>
      </c>
      <c r="T1013">
        <v>-0.25448779999999999</v>
      </c>
      <c r="U1013">
        <v>-0.25195309999999999</v>
      </c>
      <c r="V1013">
        <v>-7.3788019999999996E-2</v>
      </c>
      <c r="W1013">
        <v>7.3554500000000004E-3</v>
      </c>
      <c r="X1013">
        <v>0.99724679999999999</v>
      </c>
      <c r="Y1013">
        <v>7.6882229999999996E-2</v>
      </c>
      <c r="Z1013">
        <v>-2.7254319999999999E-3</v>
      </c>
      <c r="AA1013">
        <v>0.99703649999999999</v>
      </c>
      <c r="AB1013">
        <v>31</v>
      </c>
      <c r="AC1013">
        <v>0.69299999999998296</v>
      </c>
      <c r="AD1013">
        <v>-7.3497000000000104E-2</v>
      </c>
      <c r="AE1013">
        <v>-7.2599999999965803E-2</v>
      </c>
      <c r="AF1013">
        <v>6.77157377800153E-2</v>
      </c>
      <c r="AG1013">
        <v>-7.3497000000000104E-2</v>
      </c>
      <c r="AH1013">
        <v>0.68579033362782305</v>
      </c>
      <c r="AI1013">
        <v>96.087730063457997</v>
      </c>
      <c r="AJ1013">
        <v>84.360827434750803</v>
      </c>
      <c r="AK1013">
        <v>0.69303362966702597</v>
      </c>
    </row>
    <row r="1014" spans="1:37" x14ac:dyDescent="0.2">
      <c r="A1014" t="str">
        <f>"20200111155812479"</f>
        <v>20200111155812479</v>
      </c>
      <c r="B1014" t="str">
        <f>"1578729492471597"</f>
        <v>1578729492471597</v>
      </c>
      <c r="C1014" t="s">
        <v>37</v>
      </c>
      <c r="D1014">
        <v>5.3206720000000001</v>
      </c>
      <c r="E1014">
        <v>0.55837479999999995</v>
      </c>
      <c r="F1014" t="s">
        <v>38</v>
      </c>
      <c r="G1014">
        <v>-270.03949999999998</v>
      </c>
      <c r="H1014">
        <v>1.0227120000000001</v>
      </c>
      <c r="I1014">
        <v>367.34519999999998</v>
      </c>
      <c r="J1014">
        <v>-270.8177</v>
      </c>
      <c r="K1014">
        <v>1.104385</v>
      </c>
      <c r="L1014">
        <v>367.42489999999998</v>
      </c>
      <c r="M1014">
        <v>0.99990949999999901</v>
      </c>
      <c r="N1014">
        <v>0</v>
      </c>
      <c r="O1014">
        <v>-5.0473150000000001E-3</v>
      </c>
      <c r="P1014">
        <v>0.99763299999999999</v>
      </c>
      <c r="Q1014">
        <v>-4.9718560000000002E-3</v>
      </c>
      <c r="R1014">
        <v>6.8583820000000004E-2</v>
      </c>
      <c r="S1014">
        <v>3.0226439999999899</v>
      </c>
      <c r="T1014">
        <v>-0.2545655</v>
      </c>
      <c r="U1014">
        <v>-0.24929809999999999</v>
      </c>
      <c r="V1014">
        <v>-7.3641129999999999E-2</v>
      </c>
      <c r="W1014">
        <v>7.2400569999999899E-3</v>
      </c>
      <c r="X1014">
        <v>0.99725849999999905</v>
      </c>
      <c r="Y1014">
        <v>7.6913380000000003E-2</v>
      </c>
      <c r="Z1014">
        <v>-2.8040029999999998E-3</v>
      </c>
      <c r="AA1014">
        <v>0.99703379999999997</v>
      </c>
      <c r="AB1014">
        <v>31</v>
      </c>
      <c r="AC1014">
        <v>0.77820000000002598</v>
      </c>
      <c r="AD1014">
        <v>-8.1672999999999801E-2</v>
      </c>
      <c r="AE1014">
        <v>-7.9700000000002505E-2</v>
      </c>
      <c r="AF1014">
        <v>7.4953830903219595E-2</v>
      </c>
      <c r="AG1014">
        <v>-8.1672999999999801E-2</v>
      </c>
      <c r="AH1014">
        <v>0.77019692328052003</v>
      </c>
      <c r="AI1014">
        <v>96.024869417499801</v>
      </c>
      <c r="AJ1014">
        <v>84.441606982419799</v>
      </c>
      <c r="AK1014">
        <v>0.77813357229131797</v>
      </c>
    </row>
    <row r="1015" spans="1:37" x14ac:dyDescent="0.2">
      <c r="A1015" t="str">
        <f>"20200111155812507"</f>
        <v>20200111155812507</v>
      </c>
      <c r="B1015" t="str">
        <f>"1578729492501854"</f>
        <v>1578729492501854</v>
      </c>
      <c r="C1015" t="s">
        <v>37</v>
      </c>
      <c r="D1015">
        <v>5.1900539999999999</v>
      </c>
      <c r="E1015">
        <v>0.53712530000000003</v>
      </c>
      <c r="F1015" t="s">
        <v>38</v>
      </c>
      <c r="G1015">
        <v>-270.03190000000001</v>
      </c>
      <c r="H1015">
        <v>1.037982</v>
      </c>
      <c r="I1015">
        <v>367.36040000000003</v>
      </c>
      <c r="J1015">
        <v>-270.44319999999999</v>
      </c>
      <c r="K1015">
        <v>1.1046229999999999</v>
      </c>
      <c r="L1015">
        <v>367.42500000000001</v>
      </c>
      <c r="M1015">
        <v>0.9999152</v>
      </c>
      <c r="N1015">
        <v>0</v>
      </c>
      <c r="O1015">
        <v>-3.2530979999999998E-3</v>
      </c>
      <c r="P1015">
        <v>0.99752450000000004</v>
      </c>
      <c r="Q1015">
        <v>-4.84986599999999E-3</v>
      </c>
      <c r="R1015">
        <v>7.0154880000000003E-2</v>
      </c>
      <c r="S1015">
        <v>3.0228579999999998</v>
      </c>
      <c r="T1015">
        <v>-0.25554510000000003</v>
      </c>
      <c r="U1015">
        <v>-0.2476196</v>
      </c>
      <c r="V1015">
        <v>-7.3422719999999997E-2</v>
      </c>
      <c r="W1015">
        <v>7.5032650000000003E-3</v>
      </c>
      <c r="X1015">
        <v>0.99727269999999901</v>
      </c>
      <c r="Y1015">
        <v>7.8134049999999997E-2</v>
      </c>
      <c r="Z1015">
        <v>-3.017194E-3</v>
      </c>
      <c r="AA1015">
        <v>0.99693829999999894</v>
      </c>
      <c r="AB1015">
        <v>31</v>
      </c>
      <c r="AC1015">
        <v>0.41129999999998201</v>
      </c>
      <c r="AD1015">
        <v>-6.6640999999999895E-2</v>
      </c>
      <c r="AE1015">
        <v>-6.4599999999984406E-2</v>
      </c>
      <c r="AF1015">
        <v>6.1681267666478502E-2</v>
      </c>
      <c r="AG1015">
        <v>-6.6640999999999895E-2</v>
      </c>
      <c r="AH1015">
        <v>0.40122844720617401</v>
      </c>
      <c r="AI1015">
        <v>99.322742195659004</v>
      </c>
      <c r="AJ1015">
        <v>81.260280721067303</v>
      </c>
      <c r="AK1015">
        <v>0.411375580837538</v>
      </c>
    </row>
    <row r="1016" spans="1:37" x14ac:dyDescent="0.2">
      <c r="A1016" t="str">
        <f>"20200111155812519"</f>
        <v>20200111155812519</v>
      </c>
      <c r="B1016" t="str">
        <f>"1578729492511614"</f>
        <v>1578729492511614</v>
      </c>
      <c r="C1016" t="s">
        <v>37</v>
      </c>
      <c r="D1016">
        <v>5.2257379999999998</v>
      </c>
      <c r="E1016">
        <v>0.53008290000000002</v>
      </c>
      <c r="F1016" t="s">
        <v>38</v>
      </c>
      <c r="G1016">
        <v>-269.47710000000001</v>
      </c>
      <c r="H1016">
        <v>1.030181</v>
      </c>
      <c r="I1016">
        <v>367.40089999999998</v>
      </c>
      <c r="J1016">
        <v>-270.27289999999999</v>
      </c>
      <c r="K1016">
        <v>1.1047119999999999</v>
      </c>
      <c r="L1016">
        <v>367.42529999999999</v>
      </c>
      <c r="M1016">
        <v>0.9999169</v>
      </c>
      <c r="N1016">
        <v>0</v>
      </c>
      <c r="O1016">
        <v>-2.4379079999999999E-3</v>
      </c>
      <c r="P1016">
        <v>0.99746729999999995</v>
      </c>
      <c r="Q1016">
        <v>-4.8427820000000003E-3</v>
      </c>
      <c r="R1016">
        <v>7.0962739999999996E-2</v>
      </c>
      <c r="S1016">
        <v>3.0115970000000001</v>
      </c>
      <c r="T1016">
        <v>-0.2322167</v>
      </c>
      <c r="U1016">
        <v>-7.4462890000000004E-2</v>
      </c>
      <c r="V1016">
        <v>-7.3417919999999998E-2</v>
      </c>
      <c r="W1016">
        <v>7.5719280000000003E-3</v>
      </c>
      <c r="X1016">
        <v>0.99727250000000001</v>
      </c>
      <c r="Y1016">
        <v>2.2221709999999999E-2</v>
      </c>
      <c r="Z1016">
        <v>-6.6764329999999998E-4</v>
      </c>
      <c r="AA1016">
        <v>0.9997528</v>
      </c>
      <c r="AB1016">
        <v>31</v>
      </c>
      <c r="AC1016">
        <v>0.79579999999998496</v>
      </c>
      <c r="AD1016">
        <v>-7.4531000000000097E-2</v>
      </c>
      <c r="AE1016">
        <v>-2.4400000000014101E-2</v>
      </c>
      <c r="AF1016">
        <v>2.22645780231886E-2</v>
      </c>
      <c r="AG1016">
        <v>-7.4531000000000097E-2</v>
      </c>
      <c r="AH1016">
        <v>0.78894353065498801</v>
      </c>
      <c r="AI1016">
        <v>95.394545158302293</v>
      </c>
      <c r="AJ1016">
        <v>88.383499180749695</v>
      </c>
      <c r="AK1016">
        <v>0.79276886666790103</v>
      </c>
    </row>
    <row r="1017" spans="1:37" x14ac:dyDescent="0.2">
      <c r="A1017" t="str">
        <f>"20200111155812533"</f>
        <v>20200111155812533</v>
      </c>
      <c r="B1017" t="str">
        <f>"1578729492522351"</f>
        <v>1578729492522351</v>
      </c>
      <c r="C1017" t="s">
        <v>37</v>
      </c>
      <c r="D1017">
        <v>5.1900190000000004</v>
      </c>
      <c r="E1017">
        <v>0.52737809999999996</v>
      </c>
      <c r="F1017" t="s">
        <v>39</v>
      </c>
      <c r="G1017">
        <v>-255.54259999999999</v>
      </c>
      <c r="H1017" s="1">
        <v>-2.2973609999999998E-6</v>
      </c>
      <c r="I1017">
        <v>367.34530000000001</v>
      </c>
      <c r="J1017">
        <v>-270.0847</v>
      </c>
      <c r="K1017">
        <v>1.104803</v>
      </c>
      <c r="L1017">
        <v>367.42570000000001</v>
      </c>
      <c r="M1017">
        <v>0.99991770000000002</v>
      </c>
      <c r="N1017">
        <v>0</v>
      </c>
      <c r="O1017">
        <v>-1.5362010000000001E-3</v>
      </c>
      <c r="P1017">
        <v>0.99740609999999996</v>
      </c>
      <c r="Q1017">
        <v>-4.9769230000000003E-3</v>
      </c>
      <c r="R1017">
        <v>7.1807579999999996E-2</v>
      </c>
      <c r="S1017">
        <v>3.0076900000000002</v>
      </c>
      <c r="T1017">
        <v>-0.2255635</v>
      </c>
      <c r="U1017">
        <v>-1.6326899999999998E-2</v>
      </c>
      <c r="V1017">
        <v>-7.3362800000000006E-2</v>
      </c>
      <c r="W1017">
        <v>7.50374099999999E-3</v>
      </c>
      <c r="X1017">
        <v>0.99727710000000003</v>
      </c>
      <c r="Y1017">
        <v>3.8853999999999998E-3</v>
      </c>
      <c r="Z1017" s="1">
        <v>-3.0433520000000001E-5</v>
      </c>
      <c r="AA1017">
        <v>0.9999924</v>
      </c>
      <c r="AB1017">
        <v>31</v>
      </c>
      <c r="AC1017">
        <v>14.5421</v>
      </c>
      <c r="AD1017">
        <v>-1.1048052973610001</v>
      </c>
      <c r="AE1017">
        <v>-8.0399999999997293E-2</v>
      </c>
      <c r="AF1017">
        <v>5.7725330761915897E-2</v>
      </c>
      <c r="AG1017">
        <v>-1.1048052973610001</v>
      </c>
      <c r="AH1017">
        <v>14.458754722227701</v>
      </c>
      <c r="AI1017">
        <v>94.369491986185494</v>
      </c>
      <c r="AJ1017">
        <v>89.771252758993</v>
      </c>
      <c r="AK1017">
        <v>14.5010177255402</v>
      </c>
    </row>
    <row r="1018" spans="1:37" x14ac:dyDescent="0.2">
      <c r="A1018" t="str">
        <f>"20200111155812547"</f>
        <v>20200111155812547</v>
      </c>
      <c r="B1018" t="str">
        <f>"1578729492541870"</f>
        <v>1578729492541870</v>
      </c>
      <c r="C1018" t="s">
        <v>37</v>
      </c>
      <c r="D1018">
        <v>5.2402519999999999</v>
      </c>
      <c r="E1018">
        <v>0.52494010000000002</v>
      </c>
      <c r="F1018" t="s">
        <v>38</v>
      </c>
      <c r="G1018">
        <v>-269.19069999999999</v>
      </c>
      <c r="H1018">
        <v>1.0385450000000001</v>
      </c>
      <c r="I1018">
        <v>367.42770000000002</v>
      </c>
      <c r="J1018">
        <v>-269.88350000000003</v>
      </c>
      <c r="K1018">
        <v>1.1048910000000001</v>
      </c>
      <c r="L1018">
        <v>367.4264</v>
      </c>
      <c r="M1018">
        <v>0.99991790000000003</v>
      </c>
      <c r="N1018">
        <v>0</v>
      </c>
      <c r="O1018">
        <v>-5.721678E-4</v>
      </c>
      <c r="P1018">
        <v>0.99731419999999904</v>
      </c>
      <c r="Q1018">
        <v>-5.2904099999999997E-3</v>
      </c>
      <c r="R1018">
        <v>7.3055330000000002E-2</v>
      </c>
      <c r="S1018">
        <v>3.0061339999999999</v>
      </c>
      <c r="T1018">
        <v>-0.2232751</v>
      </c>
      <c r="U1018">
        <v>7.8430180000000002E-3</v>
      </c>
      <c r="V1018">
        <v>-7.3648740000000004E-2</v>
      </c>
      <c r="W1018">
        <v>7.2576999999999997E-3</v>
      </c>
      <c r="X1018">
        <v>0.99725779999999997</v>
      </c>
      <c r="Y1018">
        <v>-3.1708979999999901E-3</v>
      </c>
      <c r="Z1018">
        <v>1.600359E-4</v>
      </c>
      <c r="AA1018">
        <v>0.99999490000000002</v>
      </c>
      <c r="AB1018">
        <v>31</v>
      </c>
      <c r="AC1018">
        <v>0.69280000000003295</v>
      </c>
      <c r="AD1018">
        <v>-6.6346000000000002E-2</v>
      </c>
      <c r="AE1018">
        <v>1.3000000000147299E-3</v>
      </c>
      <c r="AF1018">
        <v>-1.6810137038334499E-3</v>
      </c>
      <c r="AG1018">
        <v>-6.6346000000000002E-2</v>
      </c>
      <c r="AH1018">
        <v>0.68650328617964895</v>
      </c>
      <c r="AI1018">
        <v>95.520098258217104</v>
      </c>
      <c r="AJ1018">
        <v>90.140297650387595</v>
      </c>
      <c r="AK1018">
        <v>0.68970383459752505</v>
      </c>
    </row>
    <row r="1019" spans="1:37" x14ac:dyDescent="0.2">
      <c r="A1019" t="str">
        <f>"20200111155812561"</f>
        <v>20200111155812561</v>
      </c>
      <c r="B1019" t="str">
        <f>"1578729492551630"</f>
        <v>1578729492551630</v>
      </c>
      <c r="C1019" t="s">
        <v>37</v>
      </c>
      <c r="D1019">
        <v>5.260694</v>
      </c>
      <c r="E1019">
        <v>0.52455689999999999</v>
      </c>
      <c r="F1019" t="s">
        <v>38</v>
      </c>
      <c r="G1019">
        <v>-268.91609999999997</v>
      </c>
      <c r="H1019">
        <v>1.0329139999999899</v>
      </c>
      <c r="I1019">
        <v>367.43619999999999</v>
      </c>
      <c r="J1019">
        <v>-269.69069999999999</v>
      </c>
      <c r="K1019">
        <v>1.1049599999999999</v>
      </c>
      <c r="L1019">
        <v>367.42720000000003</v>
      </c>
      <c r="M1019">
        <v>0.9999171</v>
      </c>
      <c r="N1019">
        <v>0</v>
      </c>
      <c r="O1019">
        <v>3.513508E-4</v>
      </c>
      <c r="P1019">
        <v>0.99721990000000005</v>
      </c>
      <c r="Q1019">
        <v>-5.8358480000000003E-3</v>
      </c>
      <c r="R1019">
        <v>7.4285359999999995E-2</v>
      </c>
      <c r="S1019">
        <v>3.0046390000000001</v>
      </c>
      <c r="T1019">
        <v>-0.22362209999999999</v>
      </c>
      <c r="U1019">
        <v>3.0853269999999999E-2</v>
      </c>
      <c r="V1019">
        <v>-7.3955699999999999E-2</v>
      </c>
      <c r="W1019">
        <v>6.7751540000000002E-3</v>
      </c>
      <c r="X1019">
        <v>0.99723850000000003</v>
      </c>
      <c r="Y1019">
        <v>-9.8902639999999993E-3</v>
      </c>
      <c r="Z1019">
        <v>3.4141180000000002E-4</v>
      </c>
      <c r="AA1019">
        <v>0.99995100000000003</v>
      </c>
      <c r="AB1019">
        <v>31</v>
      </c>
      <c r="AC1019">
        <v>0.77460000000002005</v>
      </c>
      <c r="AD1019">
        <v>-7.2045999999999999E-2</v>
      </c>
      <c r="AE1019">
        <v>8.9999999999576998E-3</v>
      </c>
      <c r="AF1019">
        <v>-8.6529740605701504E-3</v>
      </c>
      <c r="AG1019">
        <v>-7.2045999999999999E-2</v>
      </c>
      <c r="AH1019">
        <v>0.76796040956265499</v>
      </c>
      <c r="AI1019">
        <v>95.359163379638204</v>
      </c>
      <c r="AJ1019">
        <v>90.645551396444802</v>
      </c>
      <c r="AK1019">
        <v>0.77138102824203103</v>
      </c>
    </row>
    <row r="1020" spans="1:37" x14ac:dyDescent="0.2">
      <c r="A1020" t="str">
        <f>"20200111155812584"</f>
        <v>20200111155812584</v>
      </c>
      <c r="B1020" t="str">
        <f>"1578729492572126"</f>
        <v>1578729492572126</v>
      </c>
      <c r="C1020" t="s">
        <v>37</v>
      </c>
      <c r="D1020">
        <v>5.2237239999999998</v>
      </c>
      <c r="E1020">
        <v>0.52393509999999999</v>
      </c>
      <c r="F1020" t="s">
        <v>39</v>
      </c>
      <c r="G1020">
        <v>-254.96799999999999</v>
      </c>
      <c r="H1020" s="1">
        <v>-2.4966400000000002E-6</v>
      </c>
      <c r="I1020">
        <v>367.61169999999998</v>
      </c>
      <c r="J1020">
        <v>-269.37290000000002</v>
      </c>
      <c r="K1020">
        <v>1.1050629999999999</v>
      </c>
      <c r="L1020">
        <v>367.4289</v>
      </c>
      <c r="M1020">
        <v>0.99991419999999998</v>
      </c>
      <c r="N1020">
        <v>0</v>
      </c>
      <c r="O1020">
        <v>1.874272E-3</v>
      </c>
      <c r="P1020">
        <v>0.99705480000000002</v>
      </c>
      <c r="Q1020">
        <v>-6.303426E-3</v>
      </c>
      <c r="R1020">
        <v>7.6434989999999994E-2</v>
      </c>
      <c r="S1020">
        <v>3.0042419999999899</v>
      </c>
      <c r="T1020">
        <v>-0.22547129999999899</v>
      </c>
      <c r="U1020">
        <v>3.7658690000000002E-2</v>
      </c>
      <c r="V1020">
        <v>-7.4585449999999998E-2</v>
      </c>
      <c r="W1020">
        <v>6.4065659999999998E-3</v>
      </c>
      <c r="X1020">
        <v>0.99719409999999897</v>
      </c>
      <c r="Y1020">
        <v>-1.0635250000000001E-2</v>
      </c>
      <c r="Z1020">
        <v>2.5804270000000002E-4</v>
      </c>
      <c r="AA1020">
        <v>0.99994340000000004</v>
      </c>
      <c r="AB1020">
        <v>31</v>
      </c>
      <c r="AC1020">
        <v>14.4049</v>
      </c>
      <c r="AD1020">
        <v>-1.10506549664</v>
      </c>
      <c r="AE1020">
        <v>0.182799999999986</v>
      </c>
      <c r="AF1020">
        <v>-0.15488732469502201</v>
      </c>
      <c r="AG1020">
        <v>-1.10506549664</v>
      </c>
      <c r="AH1020">
        <v>14.320950356188201</v>
      </c>
      <c r="AI1020">
        <v>94.412185399272801</v>
      </c>
      <c r="AJ1020">
        <v>90.619654686691405</v>
      </c>
      <c r="AK1020">
        <v>14.3643579369083</v>
      </c>
    </row>
    <row r="1021" spans="1:37" x14ac:dyDescent="0.2">
      <c r="A1021" t="str">
        <f>"20200111155812597"</f>
        <v>20200111155812597</v>
      </c>
      <c r="B1021" t="str">
        <f>"1578729492591646"</f>
        <v>1578729492591646</v>
      </c>
      <c r="C1021" t="s">
        <v>37</v>
      </c>
      <c r="D1021">
        <v>5.2516030000000002</v>
      </c>
      <c r="E1021">
        <v>0.52338469999999904</v>
      </c>
      <c r="F1021" t="s">
        <v>39</v>
      </c>
      <c r="G1021">
        <v>-254.7439</v>
      </c>
      <c r="H1021" s="1">
        <v>-2.5829529999999998E-6</v>
      </c>
      <c r="I1021">
        <v>367.66699999999997</v>
      </c>
      <c r="J1021">
        <v>-269.18979999999999</v>
      </c>
      <c r="K1021">
        <v>1.1051139999999999</v>
      </c>
      <c r="L1021">
        <v>367.43020000000001</v>
      </c>
      <c r="M1021">
        <v>0.99991149999999995</v>
      </c>
      <c r="N1021">
        <v>0</v>
      </c>
      <c r="O1021">
        <v>2.751936E-3</v>
      </c>
      <c r="P1021">
        <v>0.99697449999999999</v>
      </c>
      <c r="Q1021">
        <v>-6.4499789999999998E-3</v>
      </c>
      <c r="R1021">
        <v>7.7463509999999999E-2</v>
      </c>
      <c r="S1021">
        <v>3.0036930000000002</v>
      </c>
      <c r="T1021">
        <v>-0.2268964</v>
      </c>
      <c r="U1021">
        <v>4.8889160000000001E-2</v>
      </c>
      <c r="V1021">
        <v>-7.4738609999999997E-2</v>
      </c>
      <c r="W1021">
        <v>6.3126319999999899E-3</v>
      </c>
      <c r="X1021">
        <v>0.99718320000000005</v>
      </c>
      <c r="Y1021">
        <v>-1.349174E-2</v>
      </c>
      <c r="Z1021">
        <v>3.0123329999999997E-4</v>
      </c>
      <c r="AA1021">
        <v>0.99990889999999999</v>
      </c>
      <c r="AB1021">
        <v>31</v>
      </c>
      <c r="AC1021">
        <v>14.4458999999999</v>
      </c>
      <c r="AD1021">
        <v>-1.1051165829530001</v>
      </c>
      <c r="AE1021">
        <v>0.23679999999995899</v>
      </c>
      <c r="AF1021">
        <v>-0.19589541112996001</v>
      </c>
      <c r="AG1021">
        <v>-1.1051165829530001</v>
      </c>
      <c r="AH1021">
        <v>14.362466045309001</v>
      </c>
      <c r="AI1021">
        <v>94.399533107641901</v>
      </c>
      <c r="AJ1021">
        <v>90.781431567179794</v>
      </c>
      <c r="AK1021">
        <v>14.406251718496099</v>
      </c>
    </row>
    <row r="1022" spans="1:37" x14ac:dyDescent="0.2">
      <c r="A1022" t="str">
        <f>"20200111155812610"</f>
        <v>20200111155812610</v>
      </c>
      <c r="B1022" t="str">
        <f>"1578729492602382"</f>
        <v>1578729492602382</v>
      </c>
      <c r="C1022" t="s">
        <v>37</v>
      </c>
      <c r="D1022">
        <v>5.2375169999999898</v>
      </c>
      <c r="E1022">
        <v>0.52314129999999903</v>
      </c>
      <c r="F1022" t="s">
        <v>39</v>
      </c>
      <c r="G1022">
        <v>-254.52250000000001</v>
      </c>
      <c r="H1022" s="1">
        <v>-2.6708529999999999E-6</v>
      </c>
      <c r="I1022">
        <v>367.70690000000002</v>
      </c>
      <c r="J1022">
        <v>-269.0154</v>
      </c>
      <c r="K1022">
        <v>1.1051580000000001</v>
      </c>
      <c r="L1022">
        <v>367.43150000000003</v>
      </c>
      <c r="M1022">
        <v>0.99990809999999997</v>
      </c>
      <c r="N1022">
        <v>0</v>
      </c>
      <c r="O1022">
        <v>3.5883779999999902E-3</v>
      </c>
      <c r="P1022">
        <v>0.99691049999999903</v>
      </c>
      <c r="Q1022">
        <v>-6.4705850000000001E-3</v>
      </c>
      <c r="R1022">
        <v>7.8279119999999994E-2</v>
      </c>
      <c r="S1022">
        <v>3.0032649999999999</v>
      </c>
      <c r="T1022">
        <v>-0.2262805</v>
      </c>
      <c r="U1022">
        <v>5.6671140000000002E-2</v>
      </c>
      <c r="V1022">
        <v>-7.4720540000000002E-2</v>
      </c>
      <c r="W1022">
        <v>6.3417179999999997E-3</v>
      </c>
      <c r="X1022">
        <v>0.99718430000000002</v>
      </c>
      <c r="Y1022">
        <v>-1.524529E-2</v>
      </c>
      <c r="Z1022">
        <v>3.0348369999999998E-4</v>
      </c>
      <c r="AA1022">
        <v>0.99988369999999904</v>
      </c>
      <c r="AB1022">
        <v>31</v>
      </c>
      <c r="AC1022">
        <v>14.492899999999899</v>
      </c>
      <c r="AD1022">
        <v>-1.105160670853</v>
      </c>
      <c r="AE1022">
        <v>0.27539999999998999</v>
      </c>
      <c r="AF1022">
        <v>-0.222096779759895</v>
      </c>
      <c r="AG1022">
        <v>-1.105160670853</v>
      </c>
      <c r="AH1022">
        <v>14.4100327311135</v>
      </c>
      <c r="AI1022">
        <v>94.385129006507299</v>
      </c>
      <c r="AJ1022">
        <v>90.883009836365204</v>
      </c>
      <c r="AK1022">
        <v>14.454056537863</v>
      </c>
    </row>
    <row r="1023" spans="1:37" x14ac:dyDescent="0.2">
      <c r="A1023" t="str">
        <f>"20200111155812622"</f>
        <v>20200111155812622</v>
      </c>
      <c r="B1023" t="str">
        <f>"1578729492612141"</f>
        <v>1578729492612141</v>
      </c>
      <c r="C1023" t="s">
        <v>37</v>
      </c>
      <c r="D1023">
        <v>5.2520889999999998</v>
      </c>
      <c r="E1023">
        <v>0.52297839999999995</v>
      </c>
      <c r="F1023" t="s">
        <v>38</v>
      </c>
      <c r="G1023">
        <v>-268.07979999999998</v>
      </c>
      <c r="H1023">
        <v>1.0346040000000001</v>
      </c>
      <c r="I1023">
        <v>367.4502</v>
      </c>
      <c r="J1023">
        <v>-268.82990000000001</v>
      </c>
      <c r="K1023">
        <v>1.1052</v>
      </c>
      <c r="L1023">
        <v>367.43299999999999</v>
      </c>
      <c r="M1023">
        <v>0.99990380000000001</v>
      </c>
      <c r="N1023">
        <v>0</v>
      </c>
      <c r="O1023">
        <v>4.4782210000000001E-3</v>
      </c>
      <c r="P1023">
        <v>0.99684259999999902</v>
      </c>
      <c r="Q1023">
        <v>-6.5229759999999998E-3</v>
      </c>
      <c r="R1023">
        <v>7.9134129999999997E-2</v>
      </c>
      <c r="S1023">
        <v>3.0030209999999999</v>
      </c>
      <c r="T1023">
        <v>-0.226912</v>
      </c>
      <c r="U1023">
        <v>6.1004639999999999E-2</v>
      </c>
      <c r="V1023">
        <v>-7.4688199999999996E-2</v>
      </c>
      <c r="W1023">
        <v>6.3388569999999998E-3</v>
      </c>
      <c r="X1023">
        <v>0.99718680000000004</v>
      </c>
      <c r="Y1023">
        <v>-1.5800089999999999E-2</v>
      </c>
      <c r="Z1023">
        <v>2.581382E-4</v>
      </c>
      <c r="AA1023">
        <v>0.99987510000000002</v>
      </c>
      <c r="AB1023">
        <v>31</v>
      </c>
      <c r="AC1023">
        <v>0.75010000000003096</v>
      </c>
      <c r="AD1023">
        <v>-7.0595999999999798E-2</v>
      </c>
      <c r="AE1023">
        <v>1.71999999999457E-2</v>
      </c>
      <c r="AF1023">
        <v>-1.3718969537844501E-2</v>
      </c>
      <c r="AG1023">
        <v>-7.0595999999999798E-2</v>
      </c>
      <c r="AH1023">
        <v>0.74358649104204899</v>
      </c>
      <c r="AI1023">
        <v>95.422480427189399</v>
      </c>
      <c r="AJ1023">
        <v>91.056971709674798</v>
      </c>
      <c r="AK1023">
        <v>0.74705613912302904</v>
      </c>
    </row>
    <row r="1024" spans="1:37" x14ac:dyDescent="0.2">
      <c r="A1024" t="str">
        <f>"20200111155812636"</f>
        <v>20200111155812636</v>
      </c>
      <c r="B1024" t="str">
        <f>"1578729492631662"</f>
        <v>1578729492631662</v>
      </c>
      <c r="C1024" t="s">
        <v>37</v>
      </c>
      <c r="D1024">
        <v>5.244116</v>
      </c>
      <c r="E1024">
        <v>0.52299359999999995</v>
      </c>
      <c r="F1024" t="s">
        <v>39</v>
      </c>
      <c r="G1024">
        <v>-254.21940000000001</v>
      </c>
      <c r="H1024" s="1">
        <v>-2.793592E-6</v>
      </c>
      <c r="I1024">
        <v>367.74799999999999</v>
      </c>
      <c r="J1024">
        <v>-268.654</v>
      </c>
      <c r="K1024">
        <v>1.1052329999999999</v>
      </c>
      <c r="L1024">
        <v>367.43470000000002</v>
      </c>
      <c r="M1024">
        <v>0.99989910000000004</v>
      </c>
      <c r="N1024">
        <v>0</v>
      </c>
      <c r="O1024">
        <v>5.3211730000000002E-3</v>
      </c>
      <c r="P1024">
        <v>0.99677519999999997</v>
      </c>
      <c r="Q1024">
        <v>-6.9776830000000001E-3</v>
      </c>
      <c r="R1024">
        <v>7.9941849999999995E-2</v>
      </c>
      <c r="S1024">
        <v>3.0028380000000001</v>
      </c>
      <c r="T1024">
        <v>-0.22714709999999999</v>
      </c>
      <c r="U1024">
        <v>6.4727779999999999E-2</v>
      </c>
      <c r="V1024">
        <v>-7.4654620000000005E-2</v>
      </c>
      <c r="W1024">
        <v>5.9297380000000004E-3</v>
      </c>
      <c r="X1024">
        <v>0.99719179999999996</v>
      </c>
      <c r="Y1024">
        <v>-1.6198770000000001E-2</v>
      </c>
      <c r="Z1024">
        <v>2.098038E-4</v>
      </c>
      <c r="AA1024">
        <v>0.9998688</v>
      </c>
      <c r="AB1024">
        <v>31</v>
      </c>
      <c r="AC1024">
        <v>14.4345999999999</v>
      </c>
      <c r="AD1024">
        <v>-1.1052357935920001</v>
      </c>
      <c r="AE1024">
        <v>0.313300000000026</v>
      </c>
      <c r="AF1024">
        <v>-0.235102203559445</v>
      </c>
      <c r="AG1024">
        <v>-1.1052357935920001</v>
      </c>
      <c r="AH1024">
        <v>14.3519607305173</v>
      </c>
      <c r="AI1024">
        <v>94.403033415743394</v>
      </c>
      <c r="AJ1024">
        <v>90.938489142396705</v>
      </c>
      <c r="AK1024">
        <v>14.3963744052406</v>
      </c>
    </row>
    <row r="1025" spans="1:37" x14ac:dyDescent="0.2">
      <c r="A1025" t="str">
        <f>"20200111155812651"</f>
        <v>20200111155812651</v>
      </c>
      <c r="B1025" t="str">
        <f>"1578729492642398"</f>
        <v>1578729492642398</v>
      </c>
      <c r="C1025" t="s">
        <v>37</v>
      </c>
      <c r="D1025">
        <v>5.2906579999999996</v>
      </c>
      <c r="E1025">
        <v>0.52305479999999904</v>
      </c>
      <c r="F1025" t="s">
        <v>39</v>
      </c>
      <c r="G1025">
        <v>-254.1009</v>
      </c>
      <c r="H1025" s="1">
        <v>-2.8422480000000001E-6</v>
      </c>
      <c r="I1025">
        <v>367.7604</v>
      </c>
      <c r="J1025">
        <v>-268.44479999999999</v>
      </c>
      <c r="K1025">
        <v>1.1052709999999999</v>
      </c>
      <c r="L1025">
        <v>367.43689999999998</v>
      </c>
      <c r="M1025">
        <v>0.99989269999999997</v>
      </c>
      <c r="N1025">
        <v>0</v>
      </c>
      <c r="O1025">
        <v>6.3238740000000002E-3</v>
      </c>
      <c r="P1025">
        <v>0.99667320000000004</v>
      </c>
      <c r="Q1025">
        <v>-7.5933019999999997E-3</v>
      </c>
      <c r="R1025">
        <v>8.1147919999999998E-2</v>
      </c>
      <c r="S1025">
        <v>3.0027159999999999</v>
      </c>
      <c r="T1025">
        <v>-0.22803909999999999</v>
      </c>
      <c r="U1025">
        <v>6.7199709999999996E-2</v>
      </c>
      <c r="V1025">
        <v>-7.4859800000000004E-2</v>
      </c>
      <c r="W1025">
        <v>5.3666019999999998E-3</v>
      </c>
      <c r="X1025">
        <v>0.99717960000000005</v>
      </c>
      <c r="Y1025">
        <v>-1.602284E-2</v>
      </c>
      <c r="Z1025">
        <v>1.2792819999999901E-4</v>
      </c>
      <c r="AA1025">
        <v>0.99987159999999997</v>
      </c>
      <c r="AB1025">
        <v>31</v>
      </c>
      <c r="AC1025">
        <v>14.3438999999999</v>
      </c>
      <c r="AD1025">
        <v>-1.105273842248</v>
      </c>
      <c r="AE1025">
        <v>0.32350000000002399</v>
      </c>
      <c r="AF1025">
        <v>-0.231403330095104</v>
      </c>
      <c r="AG1025">
        <v>-1.105273842248</v>
      </c>
      <c r="AH1025">
        <v>14.2610269584051</v>
      </c>
      <c r="AI1025">
        <v>94.431160465256099</v>
      </c>
      <c r="AJ1025">
        <v>90.929615432963502</v>
      </c>
      <c r="AK1025">
        <v>14.305665579618999</v>
      </c>
    </row>
    <row r="1026" spans="1:37" x14ac:dyDescent="0.2">
      <c r="A1026" t="str">
        <f>"20200111155812663"</f>
        <v>20200111155812663</v>
      </c>
      <c r="B1026" t="str">
        <f>"1578729492652157"</f>
        <v>1578729492652157</v>
      </c>
      <c r="C1026" t="s">
        <v>37</v>
      </c>
      <c r="D1026">
        <v>5.3069379999999997</v>
      </c>
      <c r="E1026">
        <v>0.52313869999999996</v>
      </c>
      <c r="F1026" t="s">
        <v>38</v>
      </c>
      <c r="G1026">
        <v>-267.5247</v>
      </c>
      <c r="H1026">
        <v>1.0350250000000001</v>
      </c>
      <c r="I1026">
        <v>367.45819999999998</v>
      </c>
      <c r="J1026">
        <v>-268.2593</v>
      </c>
      <c r="K1026">
        <v>1.1053059999999999</v>
      </c>
      <c r="L1026">
        <v>367.43889999999999</v>
      </c>
      <c r="M1026">
        <v>0.99988600000000005</v>
      </c>
      <c r="N1026">
        <v>0</v>
      </c>
      <c r="O1026">
        <v>7.21324599999999E-3</v>
      </c>
      <c r="P1026">
        <v>0.99656169999999999</v>
      </c>
      <c r="Q1026">
        <v>-8.142313E-3</v>
      </c>
      <c r="R1026">
        <v>8.2454680000000002E-2</v>
      </c>
      <c r="S1026">
        <v>3.0025019999999998</v>
      </c>
      <c r="T1026">
        <v>-0.22969729999999999</v>
      </c>
      <c r="U1026">
        <v>7.0587159999999996E-2</v>
      </c>
      <c r="V1026">
        <v>-7.5278899999999996E-2</v>
      </c>
      <c r="W1026">
        <v>4.8621139999999998E-3</v>
      </c>
      <c r="X1026">
        <v>0.99715069999999995</v>
      </c>
      <c r="Y1026">
        <v>-1.6264020000000001E-2</v>
      </c>
      <c r="Z1026" s="1">
        <v>7.0141859999999997E-5</v>
      </c>
      <c r="AA1026">
        <v>0.99986769999999903</v>
      </c>
      <c r="AB1026">
        <v>31</v>
      </c>
      <c r="AC1026">
        <v>0.73460000000000003</v>
      </c>
      <c r="AD1026">
        <v>-7.0280999999999802E-2</v>
      </c>
      <c r="AE1026">
        <v>1.9299999999987001E-2</v>
      </c>
      <c r="AF1026">
        <v>-1.38732833946448E-2</v>
      </c>
      <c r="AG1026">
        <v>-7.0280999999999802E-2</v>
      </c>
      <c r="AH1026">
        <v>0.72806060941316897</v>
      </c>
      <c r="AI1026">
        <v>95.512785892796899</v>
      </c>
      <c r="AJ1026">
        <v>91.091645929959796</v>
      </c>
      <c r="AK1026">
        <v>0.73157647442507601</v>
      </c>
    </row>
    <row r="1027" spans="1:37" x14ac:dyDescent="0.2">
      <c r="A1027" t="str">
        <f>"20200111155812677"</f>
        <v>20200111155812677</v>
      </c>
      <c r="B1027" t="str">
        <f>"1578729492671677"</f>
        <v>1578729492671677</v>
      </c>
      <c r="C1027" t="s">
        <v>37</v>
      </c>
      <c r="D1027">
        <v>5.2869710000000003</v>
      </c>
      <c r="E1027">
        <v>0.52334219999999998</v>
      </c>
      <c r="F1027" t="s">
        <v>39</v>
      </c>
      <c r="G1027">
        <v>-253.87719999999999</v>
      </c>
      <c r="H1027" s="1">
        <v>-2.9323149999999899E-6</v>
      </c>
      <c r="I1027">
        <v>367.79360000000003</v>
      </c>
      <c r="J1027">
        <v>-268.08099999999899</v>
      </c>
      <c r="K1027">
        <v>1.1053280000000001</v>
      </c>
      <c r="L1027">
        <v>367.44119999999998</v>
      </c>
      <c r="M1027">
        <v>0.99987890000000001</v>
      </c>
      <c r="N1027">
        <v>0</v>
      </c>
      <c r="O1027">
        <v>8.0684280000000008E-3</v>
      </c>
      <c r="P1027">
        <v>0.99647220000000003</v>
      </c>
      <c r="Q1027">
        <v>-8.7457799999999999E-3</v>
      </c>
      <c r="R1027">
        <v>8.3469070000000006E-2</v>
      </c>
      <c r="S1027">
        <v>3.0023499999999999</v>
      </c>
      <c r="T1027">
        <v>-0.23073879999999999</v>
      </c>
      <c r="U1027">
        <v>7.403564E-2</v>
      </c>
      <c r="V1027">
        <v>-7.5439320000000004E-2</v>
      </c>
      <c r="W1027">
        <v>4.298975E-3</v>
      </c>
      <c r="X1027">
        <v>0.9971411</v>
      </c>
      <c r="Y1027">
        <v>-1.6559230000000001E-2</v>
      </c>
      <c r="Z1027" s="1">
        <v>1.6169509999999999E-5</v>
      </c>
      <c r="AA1027">
        <v>0.9998629</v>
      </c>
      <c r="AB1027">
        <v>31</v>
      </c>
      <c r="AC1027">
        <v>14.2037999999999</v>
      </c>
      <c r="AD1027">
        <v>-1.105330932315</v>
      </c>
      <c r="AE1027">
        <v>0.35240000000004501</v>
      </c>
      <c r="AF1027">
        <v>-0.23634564628867299</v>
      </c>
      <c r="AG1027">
        <v>-1.105330932315</v>
      </c>
      <c r="AH1027">
        <v>14.1207206978405</v>
      </c>
      <c r="AI1027">
        <v>94.475204045176</v>
      </c>
      <c r="AJ1027">
        <v>90.958898912243598</v>
      </c>
      <c r="AK1027">
        <v>14.165887503466699</v>
      </c>
    </row>
    <row r="1028" spans="1:37" x14ac:dyDescent="0.2">
      <c r="A1028" t="str">
        <f>"20200111155812691"</f>
        <v>20200111155812691</v>
      </c>
      <c r="B1028" t="str">
        <f>"1578729492682414"</f>
        <v>1578729492682414</v>
      </c>
      <c r="C1028" t="s">
        <v>37</v>
      </c>
      <c r="D1028">
        <v>5.3464320000000001</v>
      </c>
      <c r="E1028">
        <v>0.52345329999999901</v>
      </c>
      <c r="F1028" t="s">
        <v>39</v>
      </c>
      <c r="G1028">
        <v>-253.78280000000001</v>
      </c>
      <c r="H1028" s="1">
        <v>-2.9716449999999998E-6</v>
      </c>
      <c r="I1028">
        <v>367.80009999999999</v>
      </c>
      <c r="J1028">
        <v>-267.88240000000002</v>
      </c>
      <c r="K1028">
        <v>1.105351</v>
      </c>
      <c r="L1028">
        <v>367.44380000000001</v>
      </c>
      <c r="M1028">
        <v>0.99987019999999904</v>
      </c>
      <c r="N1028">
        <v>0</v>
      </c>
      <c r="O1028">
        <v>9.0212839999999992E-3</v>
      </c>
      <c r="P1028">
        <v>0.99634889999999998</v>
      </c>
      <c r="Q1028">
        <v>-8.9203029999999992E-3</v>
      </c>
      <c r="R1028">
        <v>8.490984E-2</v>
      </c>
      <c r="S1028">
        <v>3.0022579999999999</v>
      </c>
      <c r="T1028">
        <v>-0.23209070000000001</v>
      </c>
      <c r="U1028">
        <v>7.5378420000000002E-2</v>
      </c>
      <c r="V1028">
        <v>-7.5930040000000004E-2</v>
      </c>
      <c r="W1028">
        <v>4.1659399999999999E-3</v>
      </c>
      <c r="X1028">
        <v>0.99710449999999995</v>
      </c>
      <c r="Y1028">
        <v>-1.6058090000000001E-2</v>
      </c>
      <c r="Z1028" s="1">
        <v>-7.6614549999999898E-5</v>
      </c>
      <c r="AA1028">
        <v>0.99987109999999901</v>
      </c>
      <c r="AB1028">
        <v>31</v>
      </c>
      <c r="AC1028">
        <v>14.099600000000001</v>
      </c>
      <c r="AD1028">
        <v>-1.105353971645</v>
      </c>
      <c r="AE1028">
        <v>0.35629999999997602</v>
      </c>
      <c r="AF1028">
        <v>-0.22767925527320301</v>
      </c>
      <c r="AG1028">
        <v>-1.105353971645</v>
      </c>
      <c r="AH1028">
        <v>14.0161530874477</v>
      </c>
      <c r="AI1028">
        <v>94.508584310040007</v>
      </c>
      <c r="AJ1028">
        <v>90.930634326840504</v>
      </c>
      <c r="AK1028">
        <v>14.0615145918455</v>
      </c>
    </row>
    <row r="1029" spans="1:37" x14ac:dyDescent="0.2">
      <c r="A1029" t="str">
        <f>"20200111155812707"</f>
        <v>20200111155812707</v>
      </c>
      <c r="B1029" t="str">
        <f>"1578729492701934"</f>
        <v>1578729492701934</v>
      </c>
      <c r="C1029" t="s">
        <v>37</v>
      </c>
      <c r="D1029">
        <v>5.3274989999999898</v>
      </c>
      <c r="E1029">
        <v>0.52372169999999996</v>
      </c>
      <c r="F1029" t="s">
        <v>38</v>
      </c>
      <c r="G1029">
        <v>-266.97120000000001</v>
      </c>
      <c r="H1029">
        <v>1.034972</v>
      </c>
      <c r="I1029">
        <v>367.46730000000002</v>
      </c>
      <c r="J1029">
        <v>-267.66329999999999</v>
      </c>
      <c r="K1029">
        <v>1.10538</v>
      </c>
      <c r="L1029">
        <v>367.4468</v>
      </c>
      <c r="M1029">
        <v>0.99985970000000002</v>
      </c>
      <c r="N1029">
        <v>0</v>
      </c>
      <c r="O1029">
        <v>1.0072950000000001E-2</v>
      </c>
      <c r="P1029">
        <v>0.99620659999999905</v>
      </c>
      <c r="Q1029">
        <v>-8.5312999999999899E-3</v>
      </c>
      <c r="R1029">
        <v>8.6602090000000007E-2</v>
      </c>
      <c r="S1029">
        <v>3.0022279999999899</v>
      </c>
      <c r="T1029">
        <v>-0.2323402</v>
      </c>
      <c r="U1029">
        <v>7.8613279999999994E-2</v>
      </c>
      <c r="V1029">
        <v>-7.657651E-2</v>
      </c>
      <c r="W1029">
        <v>4.5960419999999998E-3</v>
      </c>
      <c r="X1029">
        <v>0.99705309999999903</v>
      </c>
      <c r="Y1029">
        <v>-1.6086320000000001E-2</v>
      </c>
      <c r="Z1029">
        <v>-1.5685720000000001E-4</v>
      </c>
      <c r="AA1029">
        <v>0.99987060000000005</v>
      </c>
      <c r="AB1029">
        <v>31</v>
      </c>
      <c r="AC1029">
        <v>0.69209999999998195</v>
      </c>
      <c r="AD1029">
        <v>-7.0407999999999998E-2</v>
      </c>
      <c r="AE1029">
        <v>2.0500000000026799E-2</v>
      </c>
      <c r="AF1029">
        <v>-1.33884089299172E-2</v>
      </c>
      <c r="AG1029">
        <v>-7.0407999999999998E-2</v>
      </c>
      <c r="AH1029">
        <v>0.68518648652756997</v>
      </c>
      <c r="AI1029">
        <v>95.865862818876593</v>
      </c>
      <c r="AJ1029">
        <v>91.119405791485804</v>
      </c>
      <c r="AK1029">
        <v>0.68892456573827499</v>
      </c>
    </row>
    <row r="1030" spans="1:37" x14ac:dyDescent="0.2">
      <c r="A1030" t="str">
        <f>"20200111155812729"</f>
        <v>20200111155812729</v>
      </c>
      <c r="B1030" t="str">
        <f>"1578729492722429"</f>
        <v>1578729492722429</v>
      </c>
      <c r="C1030" t="s">
        <v>37</v>
      </c>
      <c r="D1030">
        <v>5.3120419999999999</v>
      </c>
      <c r="E1030">
        <v>0.52399119999999999</v>
      </c>
      <c r="F1030" t="s">
        <v>38</v>
      </c>
      <c r="G1030">
        <v>-266.6977</v>
      </c>
      <c r="H1030">
        <v>1.0314729999999901</v>
      </c>
      <c r="I1030">
        <v>367.47280000000001</v>
      </c>
      <c r="J1030">
        <v>-267.36349999999999</v>
      </c>
      <c r="K1030">
        <v>1.1054139999999999</v>
      </c>
      <c r="L1030">
        <v>367.45139999999998</v>
      </c>
      <c r="M1030">
        <v>0.99984329999999999</v>
      </c>
      <c r="N1030">
        <v>0</v>
      </c>
      <c r="O1030">
        <v>1.151191E-2</v>
      </c>
      <c r="P1030">
        <v>0.99604539999999997</v>
      </c>
      <c r="Q1030">
        <v>-6.9754939999999996E-3</v>
      </c>
      <c r="R1030">
        <v>8.8571189999999994E-2</v>
      </c>
      <c r="S1030">
        <v>3.0023499999999999</v>
      </c>
      <c r="T1030">
        <v>-0.22995199999999999</v>
      </c>
      <c r="U1030">
        <v>8.1390379999999998E-2</v>
      </c>
      <c r="V1030">
        <v>-7.7116879999999999E-2</v>
      </c>
      <c r="W1030">
        <v>6.2048679999999997E-3</v>
      </c>
      <c r="X1030">
        <v>0.99700279999999997</v>
      </c>
      <c r="Y1030">
        <v>-1.557652E-2</v>
      </c>
      <c r="Z1030">
        <v>-2.8475879999999997E-4</v>
      </c>
      <c r="AA1030">
        <v>0.99987859999999995</v>
      </c>
      <c r="AB1030">
        <v>31</v>
      </c>
      <c r="AC1030">
        <v>0.66579999999998996</v>
      </c>
      <c r="AD1030">
        <v>-7.3941000000000007E-2</v>
      </c>
      <c r="AE1030">
        <v>2.1400000000028199E-2</v>
      </c>
      <c r="AF1030">
        <v>-1.3566115095980699E-2</v>
      </c>
      <c r="AG1030">
        <v>-7.3941000000000007E-2</v>
      </c>
      <c r="AH1030">
        <v>0.65789651900106705</v>
      </c>
      <c r="AI1030">
        <v>96.411212232360299</v>
      </c>
      <c r="AJ1030">
        <v>91.181296720294597</v>
      </c>
      <c r="AK1030">
        <v>0.662177574879668</v>
      </c>
    </row>
    <row r="1031" spans="1:37" x14ac:dyDescent="0.2">
      <c r="A1031" t="str">
        <f>"20200111155812742"</f>
        <v>20200111155812742</v>
      </c>
      <c r="B1031" t="str">
        <f>"1578729492732190"</f>
        <v>1578729492732190</v>
      </c>
      <c r="C1031" t="s">
        <v>37</v>
      </c>
      <c r="D1031">
        <v>5.3387709999999897</v>
      </c>
      <c r="E1031">
        <v>0.52421269999999998</v>
      </c>
      <c r="F1031" t="s">
        <v>38</v>
      </c>
      <c r="G1031">
        <v>-266.41840000000002</v>
      </c>
      <c r="H1031">
        <v>1.0352459999999899</v>
      </c>
      <c r="I1031">
        <v>367.47789999999998</v>
      </c>
      <c r="J1031">
        <v>-267.16550000000001</v>
      </c>
      <c r="K1031">
        <v>1.1054310000000001</v>
      </c>
      <c r="L1031">
        <v>367.45460000000003</v>
      </c>
      <c r="M1031">
        <v>0.99983149999999998</v>
      </c>
      <c r="N1031">
        <v>0</v>
      </c>
      <c r="O1031">
        <v>1.2462320000000001E-2</v>
      </c>
      <c r="P1031">
        <v>0.99594839999999996</v>
      </c>
      <c r="Q1031">
        <v>-6.2484630000000001E-3</v>
      </c>
      <c r="R1031">
        <v>8.9709300000000006E-2</v>
      </c>
      <c r="S1031">
        <v>3.0028079999999999</v>
      </c>
      <c r="T1031">
        <v>-0.22324929999999901</v>
      </c>
      <c r="U1031">
        <v>8.5174559999999996E-2</v>
      </c>
      <c r="V1031">
        <v>-7.7310450000000003E-2</v>
      </c>
      <c r="W1031">
        <v>6.9634989999999997E-3</v>
      </c>
      <c r="X1031">
        <v>0.99698279999999995</v>
      </c>
      <c r="Y1031">
        <v>-1.5883499999999998E-2</v>
      </c>
      <c r="Z1031">
        <v>-3.3558519999999899E-4</v>
      </c>
      <c r="AA1031">
        <v>0.99987380000000003</v>
      </c>
      <c r="AB1031">
        <v>31</v>
      </c>
      <c r="AC1031">
        <v>0.747099999999989</v>
      </c>
      <c r="AD1031">
        <v>-7.0185000000000095E-2</v>
      </c>
      <c r="AE1031">
        <v>2.3299999999949202E-2</v>
      </c>
      <c r="AF1031">
        <v>-1.38645051783666E-2</v>
      </c>
      <c r="AG1031">
        <v>-7.0185000000000095E-2</v>
      </c>
      <c r="AH1031">
        <v>0.740800907388239</v>
      </c>
      <c r="AI1031">
        <v>95.411223156983496</v>
      </c>
      <c r="AJ1031">
        <v>91.072197528165006</v>
      </c>
      <c r="AK1031">
        <v>0.74424736688555304</v>
      </c>
    </row>
    <row r="1032" spans="1:37" x14ac:dyDescent="0.2">
      <c r="A1032" t="str">
        <f>"20200111155812757"</f>
        <v>20200111155812757</v>
      </c>
      <c r="B1032" t="str">
        <f>"1578729492751997"</f>
        <v>1578729492751997</v>
      </c>
      <c r="C1032" t="s">
        <v>37</v>
      </c>
      <c r="D1032">
        <v>5.2651180000000002</v>
      </c>
      <c r="E1032">
        <v>0.52427420000000002</v>
      </c>
      <c r="F1032" t="s">
        <v>39</v>
      </c>
      <c r="G1032">
        <v>-252.09829999999999</v>
      </c>
      <c r="H1032" s="1">
        <v>-3.6787599999999898E-6</v>
      </c>
      <c r="I1032">
        <v>367.88780000000003</v>
      </c>
      <c r="J1032">
        <v>-266.97370000000001</v>
      </c>
      <c r="K1032">
        <v>1.105445</v>
      </c>
      <c r="L1032">
        <v>367.45800000000003</v>
      </c>
      <c r="M1032">
        <v>0.99981919999999902</v>
      </c>
      <c r="N1032">
        <v>0</v>
      </c>
      <c r="O1032">
        <v>1.3382939999999999E-2</v>
      </c>
      <c r="P1032">
        <v>0.99583480000000002</v>
      </c>
      <c r="Q1032">
        <v>-5.51212199999999E-3</v>
      </c>
      <c r="R1032">
        <v>9.1009480000000004E-2</v>
      </c>
      <c r="S1032">
        <v>3.0030519999999998</v>
      </c>
      <c r="T1032">
        <v>-0.22032299999999999</v>
      </c>
      <c r="U1032">
        <v>8.6334229999999998E-2</v>
      </c>
      <c r="V1032">
        <v>-7.7696520000000005E-2</v>
      </c>
      <c r="W1032">
        <v>7.7273719999999997E-3</v>
      </c>
      <c r="X1032">
        <v>0.99694709999999997</v>
      </c>
      <c r="Y1032">
        <v>-1.535047E-2</v>
      </c>
      <c r="Z1032">
        <v>-4.1812620000000002E-4</v>
      </c>
      <c r="AA1032">
        <v>0.9998821</v>
      </c>
      <c r="AB1032">
        <v>31</v>
      </c>
      <c r="AC1032">
        <v>14.875400000000001</v>
      </c>
      <c r="AD1032">
        <v>-1.10544867876</v>
      </c>
      <c r="AE1032">
        <v>0.42980000000000002</v>
      </c>
      <c r="AF1032">
        <v>-0.22940092968893699</v>
      </c>
      <c r="AG1032">
        <v>-1.10544867876</v>
      </c>
      <c r="AH1032">
        <v>14.798164619581801</v>
      </c>
      <c r="AI1032">
        <v>94.271648294499499</v>
      </c>
      <c r="AJ1032">
        <v>90.888127191163804</v>
      </c>
      <c r="AK1032">
        <v>14.8411696869269</v>
      </c>
    </row>
    <row r="1033" spans="1:37" x14ac:dyDescent="0.2">
      <c r="A1033" t="str">
        <f>"20200111155812773"</f>
        <v>20200111155812773</v>
      </c>
      <c r="B1033" t="str">
        <f>"1578729492761757"</f>
        <v>1578729492761757</v>
      </c>
      <c r="C1033" t="s">
        <v>37</v>
      </c>
      <c r="D1033">
        <v>5.3484639999999999</v>
      </c>
      <c r="E1033">
        <v>0.52440710000000001</v>
      </c>
      <c r="F1033" t="s">
        <v>39</v>
      </c>
      <c r="G1033">
        <v>-251.6908</v>
      </c>
      <c r="H1033" s="1">
        <v>-3.848597E-6</v>
      </c>
      <c r="I1033">
        <v>367.91570000000002</v>
      </c>
      <c r="J1033">
        <v>-266.75229999999999</v>
      </c>
      <c r="K1033">
        <v>1.1054569999999999</v>
      </c>
      <c r="L1033">
        <v>367.46210000000002</v>
      </c>
      <c r="M1033">
        <v>0.99980400000000003</v>
      </c>
      <c r="N1033">
        <v>0</v>
      </c>
      <c r="O1033">
        <v>1.444373E-2</v>
      </c>
      <c r="P1033">
        <v>0.99572539999999998</v>
      </c>
      <c r="Q1033">
        <v>-4.5700999999999997E-3</v>
      </c>
      <c r="R1033">
        <v>9.2251340000000001E-2</v>
      </c>
      <c r="S1033">
        <v>3.0031430000000001</v>
      </c>
      <c r="T1033">
        <v>-0.2172239</v>
      </c>
      <c r="U1033">
        <v>8.9935299999999996E-2</v>
      </c>
      <c r="V1033">
        <v>-7.7884590000000004E-2</v>
      </c>
      <c r="W1033">
        <v>8.7000859999999992E-3</v>
      </c>
      <c r="X1033">
        <v>0.99692440000000004</v>
      </c>
      <c r="Y1033">
        <v>-1.548921E-2</v>
      </c>
      <c r="Z1033">
        <v>-4.838342E-4</v>
      </c>
      <c r="AA1033">
        <v>0.99987990000000004</v>
      </c>
      <c r="AB1033">
        <v>31</v>
      </c>
      <c r="AC1033">
        <v>15.061499999999899</v>
      </c>
      <c r="AD1033">
        <v>-1.1054608485969999</v>
      </c>
      <c r="AE1033">
        <v>0.45359999999999401</v>
      </c>
      <c r="AF1033">
        <v>-0.234725160873308</v>
      </c>
      <c r="AG1033">
        <v>-1.1054608485969999</v>
      </c>
      <c r="AH1033">
        <v>14.985824734811199</v>
      </c>
      <c r="AI1033">
        <v>94.218386571707896</v>
      </c>
      <c r="AJ1033">
        <v>90.897358780713105</v>
      </c>
      <c r="AK1033">
        <v>15.028375912633001</v>
      </c>
    </row>
    <row r="1034" spans="1:37" x14ac:dyDescent="0.2">
      <c r="A1034" t="str">
        <f>"20200111155812788"</f>
        <v>20200111155812788</v>
      </c>
      <c r="B1034" t="str">
        <f>"1578729492782252"</f>
        <v>1578729492782252</v>
      </c>
      <c r="C1034" t="s">
        <v>37</v>
      </c>
      <c r="D1034">
        <v>5.367788</v>
      </c>
      <c r="E1034">
        <v>0.52461869999999999</v>
      </c>
      <c r="F1034" t="s">
        <v>39</v>
      </c>
      <c r="G1034">
        <v>-251.19380000000001</v>
      </c>
      <c r="H1034" s="1">
        <v>-4.0575889999999998E-6</v>
      </c>
      <c r="I1034">
        <v>367.93950000000001</v>
      </c>
      <c r="J1034">
        <v>-266.55430000000001</v>
      </c>
      <c r="K1034">
        <v>1.1054660000000001</v>
      </c>
      <c r="L1034">
        <v>367.46589999999998</v>
      </c>
      <c r="M1034">
        <v>0.9997895</v>
      </c>
      <c r="N1034">
        <v>0</v>
      </c>
      <c r="O1034">
        <v>1.5390930000000001E-2</v>
      </c>
      <c r="P1034">
        <v>0.99562580000000001</v>
      </c>
      <c r="Q1034">
        <v>-4.3903980000000002E-3</v>
      </c>
      <c r="R1034">
        <v>9.3328140000000004E-2</v>
      </c>
      <c r="S1034">
        <v>3.0033569999999998</v>
      </c>
      <c r="T1034">
        <v>-0.2133929</v>
      </c>
      <c r="U1034">
        <v>9.2163090000000003E-2</v>
      </c>
      <c r="V1034">
        <v>-7.8018989999999996E-2</v>
      </c>
      <c r="W1034">
        <v>8.9051189999999995E-3</v>
      </c>
      <c r="X1034">
        <v>0.99691209999999997</v>
      </c>
      <c r="Y1034">
        <v>-1.528379E-2</v>
      </c>
      <c r="Z1034">
        <v>-5.4976190000000005E-4</v>
      </c>
      <c r="AA1034">
        <v>0.99988310000000002</v>
      </c>
      <c r="AB1034">
        <v>31</v>
      </c>
      <c r="AC1034">
        <v>15.3605</v>
      </c>
      <c r="AD1034">
        <v>-1.105470057589</v>
      </c>
      <c r="AE1034">
        <v>0.47360000000003299</v>
      </c>
      <c r="AF1034">
        <v>-0.23588913636821801</v>
      </c>
      <c r="AG1034">
        <v>-1.105470057589</v>
      </c>
      <c r="AH1034">
        <v>15.2868677691534</v>
      </c>
      <c r="AI1034">
        <v>94.135654556941105</v>
      </c>
      <c r="AJ1034">
        <v>90.8840515650257</v>
      </c>
      <c r="AK1034">
        <v>15.3286018254915</v>
      </c>
    </row>
    <row r="1035" spans="1:37" x14ac:dyDescent="0.2">
      <c r="A1035" t="str">
        <f>"20200111155812799"</f>
        <v>20200111155812799</v>
      </c>
      <c r="B1035" t="str">
        <f>"1578729492792013"</f>
        <v>1578729492792013</v>
      </c>
      <c r="C1035" t="s">
        <v>37</v>
      </c>
      <c r="D1035">
        <v>5.5458410000000002</v>
      </c>
      <c r="E1035">
        <v>0.5245841</v>
      </c>
      <c r="F1035" t="s">
        <v>39</v>
      </c>
      <c r="G1035">
        <v>-250.87729999999999</v>
      </c>
      <c r="H1035" s="1">
        <v>-4.1906969999999997E-6</v>
      </c>
      <c r="I1035">
        <v>367.95460000000003</v>
      </c>
      <c r="J1035">
        <v>-266.37950000000001</v>
      </c>
      <c r="K1035">
        <v>1.105475</v>
      </c>
      <c r="L1035">
        <v>367.46940000000001</v>
      </c>
      <c r="M1035">
        <v>0.99977609999999995</v>
      </c>
      <c r="N1035">
        <v>0</v>
      </c>
      <c r="O1035">
        <v>1.622359E-2</v>
      </c>
      <c r="P1035">
        <v>0.99556699999999998</v>
      </c>
      <c r="Q1035">
        <v>-4.2285529999999899E-3</v>
      </c>
      <c r="R1035">
        <v>9.3961320000000001E-2</v>
      </c>
      <c r="S1035">
        <v>3.0034480000000001</v>
      </c>
      <c r="T1035">
        <v>-0.21178899999999901</v>
      </c>
      <c r="U1035">
        <v>9.3627929999999998E-2</v>
      </c>
      <c r="V1035">
        <v>-7.7823030000000001E-2</v>
      </c>
      <c r="W1035">
        <v>9.0886939999999996E-3</v>
      </c>
      <c r="X1035">
        <v>0.99692579999999997</v>
      </c>
      <c r="Y1035">
        <v>-1.4940220000000001E-2</v>
      </c>
      <c r="Z1035">
        <v>-6.1633510000000001E-4</v>
      </c>
      <c r="AA1035">
        <v>0.9998882</v>
      </c>
      <c r="AB1035">
        <v>31</v>
      </c>
      <c r="AC1035">
        <v>15.5022</v>
      </c>
      <c r="AD1035">
        <v>-1.1054791906970001</v>
      </c>
      <c r="AE1035">
        <v>0.48520000000002</v>
      </c>
      <c r="AF1035">
        <v>-0.23243076604336299</v>
      </c>
      <c r="AG1035">
        <v>-1.1054791906970001</v>
      </c>
      <c r="AH1035">
        <v>15.429644572271</v>
      </c>
      <c r="AI1035">
        <v>94.097573188636304</v>
      </c>
      <c r="AJ1035">
        <v>90.863033148382996</v>
      </c>
      <c r="AK1035">
        <v>15.4709417919104</v>
      </c>
    </row>
    <row r="1036" spans="1:37" x14ac:dyDescent="0.2">
      <c r="A1036" t="str">
        <f>"20200111155812812"</f>
        <v>20200111155812812</v>
      </c>
      <c r="B1036" t="str">
        <f>"1578729492801773"</f>
        <v>1578729492801773</v>
      </c>
      <c r="C1036" t="s">
        <v>37</v>
      </c>
      <c r="D1036">
        <v>5.4238200000000001</v>
      </c>
      <c r="E1036">
        <v>0.52472280000000004</v>
      </c>
      <c r="F1036" t="s">
        <v>39</v>
      </c>
      <c r="G1036">
        <v>-250.62899999999999</v>
      </c>
      <c r="H1036" s="1">
        <v>-4.2941269999999998E-6</v>
      </c>
      <c r="I1036">
        <v>367.97190000000001</v>
      </c>
      <c r="J1036">
        <v>-266.21980000000002</v>
      </c>
      <c r="K1036">
        <v>1.10548</v>
      </c>
      <c r="L1036">
        <v>367.47280000000001</v>
      </c>
      <c r="M1036">
        <v>0.99976319999999996</v>
      </c>
      <c r="N1036">
        <v>0</v>
      </c>
      <c r="O1036">
        <v>1.698175E-2</v>
      </c>
      <c r="P1036">
        <v>0.99549840000000001</v>
      </c>
      <c r="Q1036">
        <v>-4.3879510000000002E-3</v>
      </c>
      <c r="R1036">
        <v>9.4676549999999998E-2</v>
      </c>
      <c r="S1036">
        <v>3.0034179999999999</v>
      </c>
      <c r="T1036">
        <v>-0.21080059999999901</v>
      </c>
      <c r="U1036">
        <v>9.5825199999999999E-2</v>
      </c>
      <c r="V1036">
        <v>-7.7782699999999996E-2</v>
      </c>
      <c r="W1036">
        <v>8.9475560000000006E-3</v>
      </c>
      <c r="X1036">
        <v>0.99693019999999999</v>
      </c>
      <c r="Y1036">
        <v>-1.491494E-2</v>
      </c>
      <c r="Z1036">
        <v>-6.6747629999999996E-4</v>
      </c>
      <c r="AA1036">
        <v>0.99988849999999996</v>
      </c>
      <c r="AB1036">
        <v>31</v>
      </c>
      <c r="AC1036">
        <v>15.5908</v>
      </c>
      <c r="AD1036">
        <v>-1.105484294127</v>
      </c>
      <c r="AE1036">
        <v>0.49909999999999799</v>
      </c>
      <c r="AF1036">
        <v>-0.233073810215358</v>
      </c>
      <c r="AG1036">
        <v>-1.105484294127</v>
      </c>
      <c r="AH1036">
        <v>15.519082528655</v>
      </c>
      <c r="AI1036">
        <v>94.074059743452906</v>
      </c>
      <c r="AJ1036">
        <v>90.860433708923694</v>
      </c>
      <c r="AK1036">
        <v>15.560152359690299</v>
      </c>
    </row>
    <row r="1037" spans="1:37" x14ac:dyDescent="0.2">
      <c r="A1037" t="str">
        <f>"20200111155812826"</f>
        <v>20200111155812826</v>
      </c>
      <c r="B1037" t="str">
        <f>"1578729492822269"</f>
        <v>1578729492822269</v>
      </c>
      <c r="C1037" t="s">
        <v>37</v>
      </c>
      <c r="D1037">
        <v>5.4433699999999998</v>
      </c>
      <c r="E1037">
        <v>0.52496489999999996</v>
      </c>
      <c r="F1037" t="s">
        <v>39</v>
      </c>
      <c r="G1037">
        <v>-250.50700000000001</v>
      </c>
      <c r="H1037" s="1">
        <v>-4.3450309999999997E-6</v>
      </c>
      <c r="I1037">
        <v>367.98020000000002</v>
      </c>
      <c r="J1037">
        <v>-266.03480000000002</v>
      </c>
      <c r="K1037">
        <v>1.105483</v>
      </c>
      <c r="L1037">
        <v>367.47680000000003</v>
      </c>
      <c r="M1037">
        <v>0.99974789999999902</v>
      </c>
      <c r="N1037">
        <v>0</v>
      </c>
      <c r="O1037">
        <v>1.7857540000000002E-2</v>
      </c>
      <c r="P1037">
        <v>0.99543519999999897</v>
      </c>
      <c r="Q1037">
        <v>-4.5655440000000004E-3</v>
      </c>
      <c r="R1037">
        <v>9.5331589999999994E-2</v>
      </c>
      <c r="S1037">
        <v>3.003387</v>
      </c>
      <c r="T1037">
        <v>-0.21130370000000001</v>
      </c>
      <c r="U1037">
        <v>9.6984860000000006E-2</v>
      </c>
      <c r="V1037">
        <v>-7.7565090000000003E-2</v>
      </c>
      <c r="W1037">
        <v>8.7906819999999993E-3</v>
      </c>
      <c r="X1037">
        <v>0.99694850000000002</v>
      </c>
      <c r="Y1037">
        <v>-1.4428430000000001E-2</v>
      </c>
      <c r="Z1037">
        <v>-7.4767020000000004E-4</v>
      </c>
      <c r="AA1037">
        <v>0.9998956</v>
      </c>
      <c r="AB1037">
        <v>31</v>
      </c>
      <c r="AC1037">
        <v>15.527799999999999</v>
      </c>
      <c r="AD1037">
        <v>-1.1054873450310001</v>
      </c>
      <c r="AE1037">
        <v>0.50339999999999896</v>
      </c>
      <c r="AF1037">
        <v>-0.224867153242919</v>
      </c>
      <c r="AG1037">
        <v>-1.1054873450310001</v>
      </c>
      <c r="AH1037">
        <v>15.456055564313299</v>
      </c>
      <c r="AI1037">
        <v>94.090656285029894</v>
      </c>
      <c r="AJ1037">
        <v>90.833526371306604</v>
      </c>
      <c r="AK1037">
        <v>15.4971713907336</v>
      </c>
    </row>
    <row r="1038" spans="1:37" x14ac:dyDescent="0.2">
      <c r="A1038" t="str">
        <f>"20200111155812839"</f>
        <v>20200111155812839</v>
      </c>
      <c r="B1038" t="str">
        <f>"1578729492832029"</f>
        <v>1578729492832029</v>
      </c>
      <c r="C1038" t="s">
        <v>37</v>
      </c>
      <c r="D1038">
        <v>5.4546720000000004</v>
      </c>
      <c r="E1038">
        <v>0.52506679999999994</v>
      </c>
      <c r="F1038" t="s">
        <v>38</v>
      </c>
      <c r="G1038">
        <v>-265.04169999999999</v>
      </c>
      <c r="H1038">
        <v>1.0353699999999999</v>
      </c>
      <c r="I1038">
        <v>367.50869999999998</v>
      </c>
      <c r="J1038">
        <v>-265.83010000000002</v>
      </c>
      <c r="K1038">
        <v>1.1054790000000001</v>
      </c>
      <c r="L1038">
        <v>367.48149999999998</v>
      </c>
      <c r="M1038">
        <v>0.99972999999999901</v>
      </c>
      <c r="N1038">
        <v>0</v>
      </c>
      <c r="O1038">
        <v>1.8815720000000001E-2</v>
      </c>
      <c r="P1038">
        <v>0.99542059999999999</v>
      </c>
      <c r="Q1038">
        <v>-3.865257E-3</v>
      </c>
      <c r="R1038">
        <v>9.5516149999999994E-2</v>
      </c>
      <c r="S1038">
        <v>3.0035400000000001</v>
      </c>
      <c r="T1038">
        <v>-0.2121671</v>
      </c>
      <c r="U1038">
        <v>9.6801760000000001E-2</v>
      </c>
      <c r="V1038">
        <v>-7.6796349999999999E-2</v>
      </c>
      <c r="W1038">
        <v>9.5144919999999994E-3</v>
      </c>
      <c r="X1038">
        <v>0.99700140000000004</v>
      </c>
      <c r="Y1038">
        <v>-1.3412540000000001E-2</v>
      </c>
      <c r="Z1038">
        <v>-8.5407789999999897E-4</v>
      </c>
      <c r="AA1038">
        <v>0.99990970000000001</v>
      </c>
      <c r="AB1038">
        <v>31</v>
      </c>
      <c r="AC1038">
        <v>0.78840000000002397</v>
      </c>
      <c r="AD1038">
        <v>-7.0108999999999894E-2</v>
      </c>
      <c r="AE1038">
        <v>2.71999999999934E-2</v>
      </c>
      <c r="AF1038">
        <v>-1.2262636306165E-2</v>
      </c>
      <c r="AG1038">
        <v>-7.0108999999999894E-2</v>
      </c>
      <c r="AH1038">
        <v>0.78259104097115795</v>
      </c>
      <c r="AI1038">
        <v>95.118594232622598</v>
      </c>
      <c r="AJ1038">
        <v>90.897710011623303</v>
      </c>
      <c r="AK1038">
        <v>0.785820832975621</v>
      </c>
    </row>
    <row r="1039" spans="1:37" x14ac:dyDescent="0.2">
      <c r="A1039" t="str">
        <f>"20200111155812853"</f>
        <v>20200111155812853</v>
      </c>
      <c r="B1039" t="str">
        <f>"1578729492841789"</f>
        <v>1578729492841789</v>
      </c>
      <c r="C1039" t="s">
        <v>37</v>
      </c>
      <c r="D1039">
        <v>5.5644519999999904</v>
      </c>
      <c r="E1039">
        <v>0.52527170000000001</v>
      </c>
      <c r="F1039" t="s">
        <v>39</v>
      </c>
      <c r="G1039">
        <v>-250.05289999999999</v>
      </c>
      <c r="H1039" s="1">
        <v>-4.5383509999999997E-6</v>
      </c>
      <c r="I1039">
        <v>367.98849999999999</v>
      </c>
      <c r="J1039">
        <v>-265.65480000000002</v>
      </c>
      <c r="K1039">
        <v>1.105477</v>
      </c>
      <c r="L1039">
        <v>367.48559999999998</v>
      </c>
      <c r="M1039">
        <v>0.99971409999999905</v>
      </c>
      <c r="N1039">
        <v>0</v>
      </c>
      <c r="O1039">
        <v>1.9628840000000002E-2</v>
      </c>
      <c r="P1039">
        <v>0.99539100000000003</v>
      </c>
      <c r="Q1039">
        <v>-3.5609079999999898E-3</v>
      </c>
      <c r="R1039">
        <v>9.5835470000000006E-2</v>
      </c>
      <c r="S1039">
        <v>3.0037539999999998</v>
      </c>
      <c r="T1039">
        <v>-0.21046669999999901</v>
      </c>
      <c r="U1039">
        <v>9.6527100000000005E-2</v>
      </c>
      <c r="V1039">
        <v>-7.6305949999999997E-2</v>
      </c>
      <c r="W1039">
        <v>9.8363410000000002E-3</v>
      </c>
      <c r="X1039">
        <v>0.99703589999999997</v>
      </c>
      <c r="Y1039">
        <v>-1.2509620000000001E-2</v>
      </c>
      <c r="Z1039">
        <v>-9.3565589999999995E-4</v>
      </c>
      <c r="AA1039">
        <v>0.99992130000000001</v>
      </c>
      <c r="AB1039">
        <v>31</v>
      </c>
      <c r="AC1039">
        <v>15.601900000000001</v>
      </c>
      <c r="AD1039">
        <v>-1.1054815383509999</v>
      </c>
      <c r="AE1039">
        <v>0.502900000000011</v>
      </c>
      <c r="AF1039">
        <v>-0.19554661676221899</v>
      </c>
      <c r="AG1039">
        <v>-1.1054815383509999</v>
      </c>
      <c r="AH1039">
        <v>15.5308737656728</v>
      </c>
      <c r="AI1039">
        <v>94.071102905003301</v>
      </c>
      <c r="AJ1039">
        <v>90.721363395966904</v>
      </c>
      <c r="AK1039">
        <v>15.5713958217054</v>
      </c>
    </row>
    <row r="1040" spans="1:37" x14ac:dyDescent="0.2">
      <c r="A1040" t="str">
        <f>"20200111155812879"</f>
        <v>20200111155812879</v>
      </c>
      <c r="B1040" t="str">
        <f>"1578729492872045"</f>
        <v>1578729492872045</v>
      </c>
      <c r="C1040" t="s">
        <v>37</v>
      </c>
      <c r="D1040">
        <v>5.660736</v>
      </c>
      <c r="E1040">
        <v>0.52545790000000003</v>
      </c>
      <c r="F1040" t="s">
        <v>39</v>
      </c>
      <c r="G1040">
        <v>-249.79570000000001</v>
      </c>
      <c r="H1040" s="1">
        <v>-4.9509840000000005E-7</v>
      </c>
      <c r="I1040">
        <v>367.99119999999999</v>
      </c>
      <c r="J1040">
        <v>-265.2833</v>
      </c>
      <c r="K1040">
        <v>1.1054679999999999</v>
      </c>
      <c r="L1040">
        <v>367.4948</v>
      </c>
      <c r="M1040">
        <v>0.99967899999999998</v>
      </c>
      <c r="N1040">
        <v>0</v>
      </c>
      <c r="O1040">
        <v>2.1323109999999999E-2</v>
      </c>
      <c r="P1040">
        <v>0.99535219999999902</v>
      </c>
      <c r="Q1040">
        <v>-2.6004050000000001E-3</v>
      </c>
      <c r="R1040">
        <v>9.6268149999999997E-2</v>
      </c>
      <c r="S1040">
        <v>3.0039370000000001</v>
      </c>
      <c r="T1040">
        <v>-0.20939240000000001</v>
      </c>
      <c r="U1040">
        <v>9.5764160000000001E-2</v>
      </c>
      <c r="V1040">
        <v>-7.505096E-2</v>
      </c>
      <c r="W1040">
        <v>1.083335E-2</v>
      </c>
      <c r="X1040">
        <v>0.99712089999999998</v>
      </c>
      <c r="Y1040">
        <v>-1.056792E-2</v>
      </c>
      <c r="Z1040">
        <v>-1.116316E-3</v>
      </c>
      <c r="AA1040">
        <v>0.99994359999999904</v>
      </c>
      <c r="AB1040">
        <v>31</v>
      </c>
      <c r="AC1040">
        <v>15.487599999999899</v>
      </c>
      <c r="AD1040">
        <v>-1.1054684950984</v>
      </c>
      <c r="AE1040">
        <v>0.49639999999999401</v>
      </c>
      <c r="AF1040">
        <v>-0.16517175016344299</v>
      </c>
      <c r="AG1040">
        <v>-1.1054684950984</v>
      </c>
      <c r="AH1040">
        <v>15.4162024242257</v>
      </c>
      <c r="AI1040">
        <v>94.1013234422187</v>
      </c>
      <c r="AJ1040">
        <v>90.613852998458299</v>
      </c>
      <c r="AK1040">
        <v>15.4566697410991</v>
      </c>
    </row>
    <row r="1041" spans="1:37" x14ac:dyDescent="0.2">
      <c r="A1041" t="str">
        <f>"20200111155812893"</f>
        <v>20200111155812893</v>
      </c>
      <c r="B1041" t="str">
        <f>"1578729492881804"</f>
        <v>1578729492881804</v>
      </c>
      <c r="C1041" t="s">
        <v>37</v>
      </c>
      <c r="D1041">
        <v>5.62439</v>
      </c>
      <c r="E1041">
        <v>0.54310839999999905</v>
      </c>
      <c r="F1041" t="s">
        <v>39</v>
      </c>
      <c r="G1041">
        <v>-249.20169999999999</v>
      </c>
      <c r="H1041" s="1">
        <v>-7.1863830000000001E-7</v>
      </c>
      <c r="I1041">
        <v>368.00830000000002</v>
      </c>
      <c r="J1041">
        <v>-265.10980000000001</v>
      </c>
      <c r="K1041">
        <v>1.1054580000000001</v>
      </c>
      <c r="L1041">
        <v>367.49939999999998</v>
      </c>
      <c r="M1041">
        <v>0.99966219999999995</v>
      </c>
      <c r="N1041">
        <v>0</v>
      </c>
      <c r="O1041">
        <v>2.2094019999999999E-2</v>
      </c>
      <c r="P1041">
        <v>0.99532140000000002</v>
      </c>
      <c r="Q1041">
        <v>-2.277538E-3</v>
      </c>
      <c r="R1041">
        <v>9.6595550000000002E-2</v>
      </c>
      <c r="S1041">
        <v>3.0041500000000001</v>
      </c>
      <c r="T1041">
        <v>-0.2065089</v>
      </c>
      <c r="U1041">
        <v>9.5916749999999995E-2</v>
      </c>
      <c r="V1041">
        <v>-7.4610369999999995E-2</v>
      </c>
      <c r="W1041">
        <v>1.1172369999999999E-2</v>
      </c>
      <c r="X1041">
        <v>0.99715019999999999</v>
      </c>
      <c r="Y1041">
        <v>-9.8480600000000005E-3</v>
      </c>
      <c r="Z1041">
        <v>-1.1785109999999999E-3</v>
      </c>
      <c r="AA1041">
        <v>0.99995080000000003</v>
      </c>
      <c r="AB1041">
        <v>31</v>
      </c>
      <c r="AC1041">
        <v>15.908099999999999</v>
      </c>
      <c r="AD1041">
        <v>-1.1054587186383</v>
      </c>
      <c r="AE1041">
        <v>0.50890000000003899</v>
      </c>
      <c r="AF1041">
        <v>-0.156513928263912</v>
      </c>
      <c r="AG1041">
        <v>-1.1054587186383</v>
      </c>
      <c r="AH1041">
        <v>15.8390537093359</v>
      </c>
      <c r="AI1041">
        <v>93.992189218115698</v>
      </c>
      <c r="AJ1041">
        <v>90.566150972642603</v>
      </c>
      <c r="AK1041">
        <v>15.878355015415799</v>
      </c>
    </row>
    <row r="1042" spans="1:37" x14ac:dyDescent="0.2">
      <c r="A1042" t="str">
        <f>"20200111155812909"</f>
        <v>20200111155812909</v>
      </c>
      <c r="B1042" t="str">
        <f>"1578729492902300"</f>
        <v>1578729492902300</v>
      </c>
      <c r="C1042" t="s">
        <v>37</v>
      </c>
      <c r="D1042">
        <v>5.620584</v>
      </c>
      <c r="E1042">
        <v>0.54373939999999998</v>
      </c>
      <c r="F1042" t="s">
        <v>38</v>
      </c>
      <c r="G1042">
        <v>-264.2242</v>
      </c>
      <c r="H1042">
        <v>1.0306</v>
      </c>
      <c r="I1042">
        <v>367.486999999999</v>
      </c>
      <c r="J1042">
        <v>-264.89589999999998</v>
      </c>
      <c r="K1042">
        <v>1.1054409999999999</v>
      </c>
      <c r="L1042">
        <v>367.505</v>
      </c>
      <c r="M1042">
        <v>0.999641</v>
      </c>
      <c r="N1042">
        <v>0</v>
      </c>
      <c r="O1042">
        <v>2.302713E-2</v>
      </c>
      <c r="P1042">
        <v>0.99535799999999997</v>
      </c>
      <c r="Q1042">
        <v>-1.561956E-3</v>
      </c>
      <c r="R1042">
        <v>9.6231230000000001E-2</v>
      </c>
      <c r="S1042">
        <v>3.0175779999999999</v>
      </c>
      <c r="T1042">
        <v>-0.25534800000000002</v>
      </c>
      <c r="U1042">
        <v>-4.1290279999999999E-2</v>
      </c>
      <c r="V1042">
        <v>-7.3315920000000007E-2</v>
      </c>
      <c r="W1042">
        <v>1.1909029999999999E-2</v>
      </c>
      <c r="X1042">
        <v>0.9972377</v>
      </c>
      <c r="Y1042">
        <v>3.6492789999999997E-2</v>
      </c>
      <c r="Z1042">
        <v>-3.4863099999999998E-3</v>
      </c>
      <c r="AA1042">
        <v>0.99932779999999999</v>
      </c>
      <c r="AB1042">
        <v>31</v>
      </c>
      <c r="AC1042">
        <v>0.67169999999998697</v>
      </c>
      <c r="AD1042">
        <v>-7.4840999999999894E-2</v>
      </c>
      <c r="AE1042">
        <v>-1.80000000000291E-2</v>
      </c>
      <c r="AF1042">
        <v>3.30539476227594E-2</v>
      </c>
      <c r="AG1042">
        <v>-7.4840999999999894E-2</v>
      </c>
      <c r="AH1042">
        <v>0.66288387967554396</v>
      </c>
      <c r="AI1042">
        <v>96.433611766636901</v>
      </c>
      <c r="AJ1042">
        <v>87.145375738472396</v>
      </c>
      <c r="AK1042">
        <v>0.66791374942289405</v>
      </c>
    </row>
    <row r="1043" spans="1:37" x14ac:dyDescent="0.2">
      <c r="A1043" t="str">
        <f>"20200111155812920"</f>
        <v>20200111155812920</v>
      </c>
      <c r="B1043" t="str">
        <f>"1578729492912061"</f>
        <v>1578729492912061</v>
      </c>
      <c r="C1043" t="s">
        <v>37</v>
      </c>
      <c r="D1043">
        <v>5.6593080000000002</v>
      </c>
      <c r="E1043">
        <v>0.54451640000000001</v>
      </c>
      <c r="F1043" t="s">
        <v>38</v>
      </c>
      <c r="G1043">
        <v>-263.95170000000002</v>
      </c>
      <c r="H1043">
        <v>1.0274809999999901</v>
      </c>
      <c r="I1043">
        <v>367.49020000000002</v>
      </c>
      <c r="J1043">
        <v>-264.71359999999999</v>
      </c>
      <c r="K1043">
        <v>1.105423</v>
      </c>
      <c r="L1043">
        <v>367.51010000000002</v>
      </c>
      <c r="M1043">
        <v>0.99962269999999898</v>
      </c>
      <c r="N1043">
        <v>0</v>
      </c>
      <c r="O1043">
        <v>2.3801780000000002E-2</v>
      </c>
      <c r="P1043">
        <v>0.99534290000000003</v>
      </c>
      <c r="Q1043">
        <v>-1.5101660000000001E-3</v>
      </c>
      <c r="R1043">
        <v>9.6387299999999995E-2</v>
      </c>
      <c r="S1043">
        <v>3.01821899999999</v>
      </c>
      <c r="T1043">
        <v>-0.24917889999999901</v>
      </c>
      <c r="U1043">
        <v>-4.7576899999999998E-2</v>
      </c>
      <c r="V1043">
        <v>-7.269863E-2</v>
      </c>
      <c r="W1043">
        <v>1.197578E-2</v>
      </c>
      <c r="X1043">
        <v>0.997282</v>
      </c>
      <c r="Y1043">
        <v>3.9343080000000002E-2</v>
      </c>
      <c r="Z1043">
        <v>-3.5829019999999998E-3</v>
      </c>
      <c r="AA1043">
        <v>0.99921939999999998</v>
      </c>
      <c r="AB1043">
        <v>31</v>
      </c>
      <c r="AC1043">
        <v>0.76189999999996805</v>
      </c>
      <c r="AD1043">
        <v>-7.7942000000000095E-2</v>
      </c>
      <c r="AE1043">
        <v>-1.9900000000006898E-2</v>
      </c>
      <c r="AF1043">
        <v>3.7637031494763197E-2</v>
      </c>
      <c r="AG1043">
        <v>-7.7942000000000095E-2</v>
      </c>
      <c r="AH1043">
        <v>0.75333202269883603</v>
      </c>
      <c r="AI1043">
        <v>95.8996700569338</v>
      </c>
      <c r="AJ1043">
        <v>87.139838132545705</v>
      </c>
      <c r="AK1043">
        <v>0.75828796504181495</v>
      </c>
    </row>
    <row r="1044" spans="1:37" x14ac:dyDescent="0.2">
      <c r="A1044" t="str">
        <f>"20200111155812935"</f>
        <v>20200111155812935</v>
      </c>
      <c r="B1044" t="str">
        <f>"1578729492931580"</f>
        <v>1578729492931580</v>
      </c>
      <c r="C1044" t="s">
        <v>37</v>
      </c>
      <c r="D1044">
        <v>5.5831480000000004</v>
      </c>
      <c r="E1044">
        <v>0.54502550000000005</v>
      </c>
      <c r="F1044" t="s">
        <v>38</v>
      </c>
      <c r="G1044">
        <v>-263.94330000000002</v>
      </c>
      <c r="H1044">
        <v>1.0430790000000001</v>
      </c>
      <c r="I1044">
        <v>367.49639999999999</v>
      </c>
      <c r="J1044">
        <v>-264.53300000000002</v>
      </c>
      <c r="K1044">
        <v>1.105402</v>
      </c>
      <c r="L1044">
        <v>367.51519999999999</v>
      </c>
      <c r="M1044">
        <v>0.99960450000000001</v>
      </c>
      <c r="N1044">
        <v>0</v>
      </c>
      <c r="O1044">
        <v>2.4547610000000001E-2</v>
      </c>
      <c r="P1044">
        <v>0.99536440000000004</v>
      </c>
      <c r="Q1044">
        <v>-1.3989810000000001E-3</v>
      </c>
      <c r="R1044">
        <v>9.6166390000000004E-2</v>
      </c>
      <c r="S1044">
        <v>3.0188599999999899</v>
      </c>
      <c r="T1044">
        <v>-0.24431710000000001</v>
      </c>
      <c r="U1044">
        <v>-5.368042E-2</v>
      </c>
      <c r="V1044">
        <v>-7.1733599999999995E-2</v>
      </c>
      <c r="W1044">
        <v>1.210309E-2</v>
      </c>
      <c r="X1044">
        <v>0.99735039999999997</v>
      </c>
      <c r="Y1044">
        <v>4.2101710000000001E-2</v>
      </c>
      <c r="Z1044">
        <v>-3.6841280000000001E-3</v>
      </c>
      <c r="AA1044">
        <v>0.99910650000000001</v>
      </c>
      <c r="AB1044">
        <v>31</v>
      </c>
      <c r="AC1044">
        <v>0.58969999999999301</v>
      </c>
      <c r="AD1044">
        <v>-6.2322999999999899E-2</v>
      </c>
      <c r="AE1044">
        <v>-1.87999999999988E-2</v>
      </c>
      <c r="AF1044">
        <v>3.2904270487895501E-2</v>
      </c>
      <c r="AG1044">
        <v>-6.2322999999999899E-2</v>
      </c>
      <c r="AH1044">
        <v>0.58256041650608803</v>
      </c>
      <c r="AI1044">
        <v>96.0967011968891</v>
      </c>
      <c r="AJ1044">
        <v>86.767245459124496</v>
      </c>
      <c r="AK1044">
        <v>0.58680787846201199</v>
      </c>
    </row>
    <row r="1045" spans="1:37" x14ac:dyDescent="0.2">
      <c r="A1045" t="str">
        <f>"20200111155812952"</f>
        <v>20200111155812952</v>
      </c>
      <c r="B1045" t="str">
        <f>"1578729492942316"</f>
        <v>1578729492942316</v>
      </c>
      <c r="C1045" t="s">
        <v>37</v>
      </c>
      <c r="D1045">
        <v>5.6541769999999998</v>
      </c>
      <c r="E1045">
        <v>0.54575030000000002</v>
      </c>
      <c r="F1045" t="s">
        <v>38</v>
      </c>
      <c r="G1045">
        <v>-263.67320000000001</v>
      </c>
      <c r="H1045">
        <v>1.037201</v>
      </c>
      <c r="I1045">
        <v>367.49810000000002</v>
      </c>
      <c r="J1045">
        <v>-264.29840000000002</v>
      </c>
      <c r="K1045">
        <v>1.1053729999999999</v>
      </c>
      <c r="L1045">
        <v>367.52190000000002</v>
      </c>
      <c r="M1045">
        <v>0.99958089999999999</v>
      </c>
      <c r="N1045">
        <v>0</v>
      </c>
      <c r="O1045">
        <v>2.548868E-2</v>
      </c>
      <c r="P1045">
        <v>0.99540890000000004</v>
      </c>
      <c r="Q1045">
        <v>-1.3021770000000001E-3</v>
      </c>
      <c r="R1045">
        <v>9.5707070000000005E-2</v>
      </c>
      <c r="S1045">
        <v>3.0193180000000002</v>
      </c>
      <c r="T1045">
        <v>-0.2399541</v>
      </c>
      <c r="U1045">
        <v>-5.8624269999999999E-2</v>
      </c>
      <c r="V1045">
        <v>-7.033288E-2</v>
      </c>
      <c r="W1045">
        <v>1.2220379999999999E-2</v>
      </c>
      <c r="X1045">
        <v>0.99744869999999997</v>
      </c>
      <c r="Y1045">
        <v>4.4671559999999999E-2</v>
      </c>
      <c r="Z1045">
        <v>-3.7945639999999998E-3</v>
      </c>
      <c r="AA1045">
        <v>0.99899450000000001</v>
      </c>
      <c r="AB1045">
        <v>31</v>
      </c>
      <c r="AC1045">
        <v>0.62520000000000597</v>
      </c>
      <c r="AD1045">
        <v>-6.8171999999999899E-2</v>
      </c>
      <c r="AE1045">
        <v>-2.3799999999994201E-2</v>
      </c>
      <c r="AF1045">
        <v>3.92631350270055E-2</v>
      </c>
      <c r="AG1045">
        <v>-6.8171999999999899E-2</v>
      </c>
      <c r="AH1045">
        <v>0.61706400942857698</v>
      </c>
      <c r="AI1045">
        <v>96.2917359703156</v>
      </c>
      <c r="AJ1045">
        <v>86.359237796921505</v>
      </c>
      <c r="AK1045">
        <v>0.622058684601557</v>
      </c>
    </row>
    <row r="1046" spans="1:37" x14ac:dyDescent="0.2">
      <c r="A1046" t="str">
        <f>"20200111155812966"</f>
        <v>20200111155812966</v>
      </c>
      <c r="B1046" t="str">
        <f>"1578729492961836"</f>
        <v>1578729492961836</v>
      </c>
      <c r="C1046" t="s">
        <v>37</v>
      </c>
      <c r="D1046">
        <v>5.7003240000000002</v>
      </c>
      <c r="E1046">
        <v>0.5462669</v>
      </c>
      <c r="F1046" t="s">
        <v>38</v>
      </c>
      <c r="G1046">
        <v>-263.40050000000002</v>
      </c>
      <c r="H1046">
        <v>1.035485</v>
      </c>
      <c r="I1046">
        <v>367.50209999999998</v>
      </c>
      <c r="J1046">
        <v>-264.10750000000002</v>
      </c>
      <c r="K1046">
        <v>1.1053459999999999</v>
      </c>
      <c r="L1046">
        <v>367.52760000000001</v>
      </c>
      <c r="M1046">
        <v>0.99956149999999999</v>
      </c>
      <c r="N1046">
        <v>0</v>
      </c>
      <c r="O1046">
        <v>2.6230440000000001E-2</v>
      </c>
      <c r="P1046">
        <v>0.99539769999999905</v>
      </c>
      <c r="Q1046">
        <v>-1.2324770000000001E-3</v>
      </c>
      <c r="R1046">
        <v>9.5822679999999993E-2</v>
      </c>
      <c r="S1046">
        <v>3.0198669999999899</v>
      </c>
      <c r="T1046">
        <v>-0.23520360000000001</v>
      </c>
      <c r="U1046">
        <v>-6.6192630000000002E-2</v>
      </c>
      <c r="V1046">
        <v>-6.9708300000000001E-2</v>
      </c>
      <c r="W1046">
        <v>1.23042999999999E-2</v>
      </c>
      <c r="X1046">
        <v>0.99749149999999998</v>
      </c>
      <c r="Y1046">
        <v>4.790842E-2</v>
      </c>
      <c r="Z1046">
        <v>-3.9024400000000001E-3</v>
      </c>
      <c r="AA1046">
        <v>0.99884409999999901</v>
      </c>
      <c r="AB1046">
        <v>31</v>
      </c>
      <c r="AC1046">
        <v>0.70699999999999297</v>
      </c>
      <c r="AD1046">
        <v>-6.9860999999999895E-2</v>
      </c>
      <c r="AE1046">
        <v>-2.5500000000022199E-2</v>
      </c>
      <c r="AF1046">
        <v>4.3612612838343903E-2</v>
      </c>
      <c r="AG1046">
        <v>-6.9860999999999895E-2</v>
      </c>
      <c r="AH1046">
        <v>0.69926891390915402</v>
      </c>
      <c r="AI1046">
        <v>95.694256314791801</v>
      </c>
      <c r="AJ1046">
        <v>86.431149577885904</v>
      </c>
      <c r="AK1046">
        <v>0.70410200488230101</v>
      </c>
    </row>
    <row r="1047" spans="1:37" x14ac:dyDescent="0.2">
      <c r="A1047" t="str">
        <f>"20200111155812979"</f>
        <v>20200111155812979</v>
      </c>
      <c r="B1047" t="str">
        <f>"1578729492971596"</f>
        <v>1578729492971596</v>
      </c>
      <c r="C1047" t="s">
        <v>37</v>
      </c>
      <c r="D1047">
        <v>5.5328749999999998</v>
      </c>
      <c r="E1047">
        <v>0.54763689999999998</v>
      </c>
      <c r="F1047" t="s">
        <v>38</v>
      </c>
      <c r="G1047">
        <v>-263.13010000000003</v>
      </c>
      <c r="H1047">
        <v>1.029617</v>
      </c>
      <c r="I1047">
        <v>367.50490000000002</v>
      </c>
      <c r="J1047">
        <v>-263.92970000000003</v>
      </c>
      <c r="K1047">
        <v>1.105318</v>
      </c>
      <c r="L1047">
        <v>367.53300000000002</v>
      </c>
      <c r="M1047">
        <v>0.99954390000000004</v>
      </c>
      <c r="N1047">
        <v>0</v>
      </c>
      <c r="O1047">
        <v>2.689014E-2</v>
      </c>
      <c r="P1047">
        <v>0.99539659999999996</v>
      </c>
      <c r="Q1047">
        <v>-1.0772139999999999E-3</v>
      </c>
      <c r="R1047">
        <v>9.5836039999999997E-2</v>
      </c>
      <c r="S1047">
        <v>3.0202939999999998</v>
      </c>
      <c r="T1047">
        <v>-0.2340682</v>
      </c>
      <c r="U1047">
        <v>-6.97937E-2</v>
      </c>
      <c r="V1047">
        <v>-6.9062699999999894E-2</v>
      </c>
      <c r="W1047">
        <v>1.2471660000000001E-2</v>
      </c>
      <c r="X1047">
        <v>0.99753429999999998</v>
      </c>
      <c r="Y1047">
        <v>4.9749509999999997E-2</v>
      </c>
      <c r="Z1047">
        <v>-4.005331E-3</v>
      </c>
      <c r="AA1047">
        <v>0.99875369999999997</v>
      </c>
      <c r="AB1047">
        <v>31</v>
      </c>
      <c r="AC1047">
        <v>0.79959999999999798</v>
      </c>
      <c r="AD1047">
        <v>-7.5701000000000004E-2</v>
      </c>
      <c r="AE1047">
        <v>-2.80999999999949E-2</v>
      </c>
      <c r="AF1047">
        <v>4.9153203081015402E-2</v>
      </c>
      <c r="AG1047">
        <v>-7.5701000000000004E-2</v>
      </c>
      <c r="AH1047">
        <v>0.79146985781762202</v>
      </c>
      <c r="AI1047">
        <v>95.453055355869395</v>
      </c>
      <c r="AJ1047">
        <v>86.446284402283197</v>
      </c>
      <c r="AK1047">
        <v>0.79659978320858904</v>
      </c>
    </row>
    <row r="1048" spans="1:37" x14ac:dyDescent="0.2">
      <c r="A1048" t="str">
        <f>"20200111155813109"</f>
        <v>20200111155813109</v>
      </c>
      <c r="B1048" t="str">
        <f>"1578729493102380"</f>
        <v>1578729493102380</v>
      </c>
      <c r="C1048" t="s">
        <v>37</v>
      </c>
      <c r="D1048">
        <v>7.5463570000000004</v>
      </c>
      <c r="E1048">
        <v>0.6086241</v>
      </c>
      <c r="F1048" t="s">
        <v>38</v>
      </c>
      <c r="G1048">
        <v>-261.49380000000002</v>
      </c>
      <c r="H1048">
        <v>1.0331189999999999</v>
      </c>
      <c r="I1048">
        <v>367.55630000000002</v>
      </c>
      <c r="J1048">
        <v>-262.15890000000002</v>
      </c>
      <c r="K1048">
        <v>1.104997</v>
      </c>
      <c r="L1048">
        <v>367.5908</v>
      </c>
      <c r="M1048">
        <v>0.99938799999999905</v>
      </c>
      <c r="N1048">
        <v>0</v>
      </c>
      <c r="O1048">
        <v>3.2156089999999998E-2</v>
      </c>
      <c r="P1048">
        <v>0.99521510000000002</v>
      </c>
      <c r="Q1048">
        <v>7.2405859999999996E-4</v>
      </c>
      <c r="R1048">
        <v>9.7706760000000004E-2</v>
      </c>
      <c r="S1048">
        <v>3.0219119999999999</v>
      </c>
      <c r="T1048">
        <v>-0.22646859999999999</v>
      </c>
      <c r="U1048">
        <v>-7.5531009999999996E-2</v>
      </c>
      <c r="V1048">
        <v>-6.5673460000000003E-2</v>
      </c>
      <c r="W1048">
        <v>1.436787E-2</v>
      </c>
      <c r="X1048">
        <v>0.99773769999999995</v>
      </c>
      <c r="Y1048">
        <v>5.6873300000000002E-2</v>
      </c>
      <c r="Z1048">
        <v>-4.5340449999999996E-3</v>
      </c>
      <c r="AA1048">
        <v>0.99837109999999996</v>
      </c>
      <c r="AB1048">
        <v>30</v>
      </c>
      <c r="AC1048">
        <v>0.66509999999999503</v>
      </c>
      <c r="AD1048">
        <v>-7.1877999999999803E-2</v>
      </c>
      <c r="AE1048">
        <v>-3.4499999999979901E-2</v>
      </c>
      <c r="AF1048">
        <v>5.5227904390425603E-2</v>
      </c>
      <c r="AG1048">
        <v>-7.1877999999999803E-2</v>
      </c>
      <c r="AH1048">
        <v>0.65600534862922899</v>
      </c>
      <c r="AI1048">
        <v>96.231042600934103</v>
      </c>
      <c r="AJ1048">
        <v>85.187719747237495</v>
      </c>
      <c r="AK1048">
        <v>0.66223831491202101</v>
      </c>
    </row>
    <row r="1049" spans="1:37" x14ac:dyDescent="0.2">
      <c r="A1049" t="str">
        <f>"20200111155813123"</f>
        <v>20200111155813123</v>
      </c>
      <c r="B1049" t="str">
        <f>"1578729493112141"</f>
        <v>1578729493112141</v>
      </c>
      <c r="C1049" t="s">
        <v>37</v>
      </c>
      <c r="D1049">
        <v>5.5283889999999998</v>
      </c>
      <c r="E1049">
        <v>0.60755689999999996</v>
      </c>
      <c r="F1049" t="s">
        <v>38</v>
      </c>
      <c r="G1049">
        <v>-261.23450000000003</v>
      </c>
      <c r="H1049">
        <v>0.99167559999999999</v>
      </c>
      <c r="I1049">
        <v>367.4239</v>
      </c>
      <c r="J1049">
        <v>-261.95710000000003</v>
      </c>
      <c r="K1049">
        <v>1.1049610000000001</v>
      </c>
      <c r="L1049">
        <v>367.59780000000001</v>
      </c>
      <c r="M1049">
        <v>0.99937339999999997</v>
      </c>
      <c r="N1049">
        <v>0</v>
      </c>
      <c r="O1049">
        <v>3.2607549999999999E-2</v>
      </c>
      <c r="P1049">
        <v>0.99518109999999904</v>
      </c>
      <c r="Q1049">
        <v>6.8150269999999998E-4</v>
      </c>
      <c r="R1049">
        <v>9.8052929999999996E-2</v>
      </c>
      <c r="S1049">
        <v>3.0690309999999998</v>
      </c>
      <c r="T1049">
        <v>-0.37642700000000001</v>
      </c>
      <c r="U1049">
        <v>-0.55328369999999905</v>
      </c>
      <c r="V1049">
        <v>-6.5568810000000005E-2</v>
      </c>
      <c r="W1049">
        <v>1.433211E-2</v>
      </c>
      <c r="X1049">
        <v>0.99774509999999905</v>
      </c>
      <c r="Y1049">
        <v>0.20767179999999999</v>
      </c>
      <c r="Z1049">
        <v>-1.654365E-2</v>
      </c>
      <c r="AA1049">
        <v>0.978058599999999</v>
      </c>
      <c r="AB1049">
        <v>30</v>
      </c>
      <c r="AC1049">
        <v>0.72259999999999902</v>
      </c>
      <c r="AD1049">
        <v>-0.11328539999999999</v>
      </c>
      <c r="AE1049">
        <v>-0.173900000000003</v>
      </c>
      <c r="AF1049">
        <v>0.192890579529714</v>
      </c>
      <c r="AG1049">
        <v>-0.11328539999999999</v>
      </c>
      <c r="AH1049">
        <v>0.70027536242798105</v>
      </c>
      <c r="AI1049">
        <v>98.864668996687399</v>
      </c>
      <c r="AJ1049">
        <v>74.5998016275163</v>
      </c>
      <c r="AK1049">
        <v>0.73513668167770596</v>
      </c>
    </row>
    <row r="1050" spans="1:37" x14ac:dyDescent="0.2">
      <c r="A1050" t="str">
        <f>"20200111155813142"</f>
        <v>20200111155813142</v>
      </c>
      <c r="B1050" t="str">
        <f>"1578729493131661"</f>
        <v>1578729493131661</v>
      </c>
      <c r="C1050" t="s">
        <v>37</v>
      </c>
      <c r="D1050">
        <v>5.4447789999999996</v>
      </c>
      <c r="E1050">
        <v>0.60529509999999997</v>
      </c>
      <c r="F1050" t="s">
        <v>38</v>
      </c>
      <c r="G1050">
        <v>-261.2217</v>
      </c>
      <c r="H1050">
        <v>1.0242</v>
      </c>
      <c r="I1050">
        <v>367.46690000000001</v>
      </c>
      <c r="J1050">
        <v>-261.7106</v>
      </c>
      <c r="K1050">
        <v>1.1049169999999999</v>
      </c>
      <c r="L1050">
        <v>367.60640000000001</v>
      </c>
      <c r="M1050">
        <v>0.99935640000000003</v>
      </c>
      <c r="N1050">
        <v>0</v>
      </c>
      <c r="O1050">
        <v>3.3119879999999997E-2</v>
      </c>
      <c r="P1050">
        <v>0.99515859999999901</v>
      </c>
      <c r="Q1050">
        <v>5.5844149999999997E-4</v>
      </c>
      <c r="R1050">
        <v>9.8281540000000001E-2</v>
      </c>
      <c r="S1050">
        <v>3.0684809999999998</v>
      </c>
      <c r="T1050">
        <v>-0.337229099999999</v>
      </c>
      <c r="U1050">
        <v>-0.54541019999999996</v>
      </c>
      <c r="V1050">
        <v>-6.5284410000000001E-2</v>
      </c>
      <c r="W1050">
        <v>1.4217199999999999E-2</v>
      </c>
      <c r="X1050">
        <v>0.99776540000000002</v>
      </c>
      <c r="Y1050">
        <v>0.20612030000000001</v>
      </c>
      <c r="Z1050">
        <v>-1.480886E-2</v>
      </c>
      <c r="AA1050">
        <v>0.97841460000000002</v>
      </c>
      <c r="AB1050">
        <v>30</v>
      </c>
      <c r="AC1050">
        <v>0.488900000000001</v>
      </c>
      <c r="AD1050">
        <v>-8.07169999999999E-2</v>
      </c>
      <c r="AE1050">
        <v>-0.13949999999999799</v>
      </c>
      <c r="AF1050">
        <v>0.151791307558962</v>
      </c>
      <c r="AG1050">
        <v>-8.07169999999999E-2</v>
      </c>
      <c r="AH1050">
        <v>0.472111217201932</v>
      </c>
      <c r="AI1050">
        <v>99.244648797952394</v>
      </c>
      <c r="AJ1050">
        <v>72.176571271402693</v>
      </c>
      <c r="AK1050">
        <v>0.50243888837086403</v>
      </c>
    </row>
    <row r="1051" spans="1:37" x14ac:dyDescent="0.2">
      <c r="A1051" t="str">
        <f>"20200111155813157"</f>
        <v>20200111155813157</v>
      </c>
      <c r="B1051" t="str">
        <f>"1578729493152157"</f>
        <v>1578729493152157</v>
      </c>
      <c r="C1051" t="s">
        <v>37</v>
      </c>
      <c r="D1051">
        <v>5.4065529999999997</v>
      </c>
      <c r="E1051">
        <v>0.60370599999999996</v>
      </c>
      <c r="F1051" t="s">
        <v>39</v>
      </c>
      <c r="G1051">
        <v>-249.34909999999999</v>
      </c>
      <c r="H1051" s="1">
        <v>-1.3368240000000001E-6</v>
      </c>
      <c r="I1051">
        <v>365.47230000000002</v>
      </c>
      <c r="J1051">
        <v>-261.52140000000003</v>
      </c>
      <c r="K1051">
        <v>1.104886</v>
      </c>
      <c r="L1051">
        <v>367.61309999999997</v>
      </c>
      <c r="M1051">
        <v>0.99934429999999996</v>
      </c>
      <c r="N1051">
        <v>0</v>
      </c>
      <c r="O1051">
        <v>3.3486399999999999E-2</v>
      </c>
      <c r="P1051">
        <v>0.99513399999999996</v>
      </c>
      <c r="Q1051">
        <v>6.6608749999999995E-4</v>
      </c>
      <c r="R1051">
        <v>9.8529939999999996E-2</v>
      </c>
      <c r="S1051">
        <v>3.0670470000000001</v>
      </c>
      <c r="T1051">
        <v>-0.27414270000000002</v>
      </c>
      <c r="U1051">
        <v>-0.5295105</v>
      </c>
      <c r="V1051">
        <v>-6.5166790000000002E-2</v>
      </c>
      <c r="W1051">
        <v>1.43302E-2</v>
      </c>
      <c r="X1051">
        <v>0.99777150000000003</v>
      </c>
      <c r="Y1051">
        <v>0.20212069999999999</v>
      </c>
      <c r="Z1051">
        <v>-1.1916680000000001E-2</v>
      </c>
      <c r="AA1051">
        <v>0.97928809999999999</v>
      </c>
      <c r="AB1051">
        <v>30</v>
      </c>
      <c r="AC1051">
        <v>12.1723</v>
      </c>
      <c r="AD1051">
        <v>-1.104887336824</v>
      </c>
      <c r="AE1051">
        <v>-2.1407999999999499</v>
      </c>
      <c r="AF1051">
        <v>2.5270479036580098</v>
      </c>
      <c r="AG1051">
        <v>-1.104887336824</v>
      </c>
      <c r="AH1051">
        <v>11.9978893823944</v>
      </c>
      <c r="AI1051">
        <v>95.1491872912123</v>
      </c>
      <c r="AJ1051">
        <v>78.105962356891595</v>
      </c>
      <c r="AK1051">
        <v>12.3108121895604</v>
      </c>
    </row>
    <row r="1052" spans="1:37" x14ac:dyDescent="0.2">
      <c r="A1052" t="str">
        <f>"20200111155813169"</f>
        <v>20200111155813169</v>
      </c>
      <c r="B1052" t="str">
        <f>"1578729493161916"</f>
        <v>1578729493161916</v>
      </c>
      <c r="C1052" t="s">
        <v>37</v>
      </c>
      <c r="D1052">
        <v>5.9022829999999997</v>
      </c>
      <c r="E1052">
        <v>0.60370599999999996</v>
      </c>
      <c r="F1052" t="s">
        <v>39</v>
      </c>
      <c r="G1052">
        <v>-247.27879999999999</v>
      </c>
      <c r="H1052" s="1">
        <v>-2.202296E-6</v>
      </c>
      <c r="I1052">
        <v>365.20740000000001</v>
      </c>
      <c r="J1052">
        <v>-261.33890000000002</v>
      </c>
      <c r="K1052">
        <v>1.1048579999999999</v>
      </c>
      <c r="L1052">
        <v>367.61970000000002</v>
      </c>
      <c r="M1052">
        <v>0.99933289999999997</v>
      </c>
      <c r="N1052">
        <v>0</v>
      </c>
      <c r="O1052">
        <v>3.3825170000000002E-2</v>
      </c>
      <c r="P1052">
        <v>0.99511629999999995</v>
      </c>
      <c r="Q1052">
        <v>5.7435039999999998E-4</v>
      </c>
      <c r="R1052">
        <v>9.8708669999999998E-2</v>
      </c>
      <c r="S1052">
        <v>3.066071</v>
      </c>
      <c r="T1052">
        <v>-0.23785439999999999</v>
      </c>
      <c r="U1052">
        <v>-0.51788329999999905</v>
      </c>
      <c r="V1052">
        <v>-6.5006530000000007E-2</v>
      </c>
      <c r="W1052">
        <v>1.42438999999999E-2</v>
      </c>
      <c r="X1052">
        <v>0.99778319999999998</v>
      </c>
      <c r="Y1052">
        <v>0.1991279</v>
      </c>
      <c r="Z1052">
        <v>-1.026169E-2</v>
      </c>
      <c r="AA1052">
        <v>0.97991980000000001</v>
      </c>
      <c r="AB1052">
        <v>30</v>
      </c>
      <c r="AC1052">
        <v>14.0601</v>
      </c>
      <c r="AD1052">
        <v>-1.1048602022959999</v>
      </c>
      <c r="AE1052">
        <v>-2.4123000000000099</v>
      </c>
      <c r="AF1052">
        <v>2.8693381522662502</v>
      </c>
      <c r="AG1052">
        <v>-1.1048602022959999</v>
      </c>
      <c r="AH1052">
        <v>13.8871473861869</v>
      </c>
      <c r="AI1052">
        <v>94.455152507943197</v>
      </c>
      <c r="AJ1052">
        <v>78.325922390176501</v>
      </c>
      <c r="AK1052">
        <v>14.2234552772646</v>
      </c>
    </row>
    <row r="1053" spans="1:37" x14ac:dyDescent="0.2">
      <c r="A1053" t="str">
        <f>"20200111155813183"</f>
        <v>20200111155813183</v>
      </c>
      <c r="B1053" t="str">
        <f>"1578729493171677"</f>
        <v>1578729493171677</v>
      </c>
      <c r="C1053" t="s">
        <v>37</v>
      </c>
      <c r="D1053">
        <v>5.4336330000000004</v>
      </c>
      <c r="E1053">
        <v>0.60752249999999997</v>
      </c>
      <c r="F1053" t="s">
        <v>39</v>
      </c>
      <c r="G1053">
        <v>-247.11949999999999</v>
      </c>
      <c r="H1053" s="1">
        <v>-2.2597409999999998E-6</v>
      </c>
      <c r="I1053">
        <v>365.22149999999999</v>
      </c>
      <c r="J1053">
        <v>-261.15679999999998</v>
      </c>
      <c r="K1053">
        <v>1.1048340000000001</v>
      </c>
      <c r="L1053">
        <v>367.62619999999998</v>
      </c>
      <c r="M1053">
        <v>0.99932199999999904</v>
      </c>
      <c r="N1053">
        <v>0</v>
      </c>
      <c r="O1053">
        <v>3.4145370000000001E-2</v>
      </c>
      <c r="P1053">
        <v>0.99509400000000003</v>
      </c>
      <c r="Q1053">
        <v>3.7574400000000001E-4</v>
      </c>
      <c r="R1053">
        <v>9.8933809999999997E-2</v>
      </c>
      <c r="S1053">
        <v>3.0661619999999998</v>
      </c>
      <c r="T1053">
        <v>-0.23824380000000001</v>
      </c>
      <c r="U1053">
        <v>-0.51712040000000004</v>
      </c>
      <c r="V1053">
        <v>-6.4911549999999998E-2</v>
      </c>
      <c r="W1053">
        <v>1.404937E-2</v>
      </c>
      <c r="X1053">
        <v>0.99779209999999996</v>
      </c>
      <c r="Y1053">
        <v>0.1991965</v>
      </c>
      <c r="Z1053">
        <v>-1.0305689999999999E-2</v>
      </c>
      <c r="AA1053">
        <v>0.97990540000000004</v>
      </c>
      <c r="AB1053">
        <v>30</v>
      </c>
      <c r="AC1053">
        <v>14.037299999999901</v>
      </c>
      <c r="AD1053">
        <v>-1.104836259741</v>
      </c>
      <c r="AE1053">
        <v>-2.4046999999999898</v>
      </c>
      <c r="AF1053">
        <v>2.8654071394367402</v>
      </c>
      <c r="AG1053">
        <v>-1.104836259741</v>
      </c>
      <c r="AH1053">
        <v>13.8635620268268</v>
      </c>
      <c r="AI1053">
        <v>94.462545057518895</v>
      </c>
      <c r="AJ1053">
        <v>78.322188103123693</v>
      </c>
      <c r="AK1053">
        <v>14.199632858185</v>
      </c>
    </row>
    <row r="1054" spans="1:37" x14ac:dyDescent="0.2">
      <c r="A1054" t="str">
        <f>"20200111155813199"</f>
        <v>20200111155813199</v>
      </c>
      <c r="B1054" t="str">
        <f>"1578729493192172"</f>
        <v>1578729493192172</v>
      </c>
      <c r="C1054" t="s">
        <v>37</v>
      </c>
      <c r="D1054">
        <v>5.411829</v>
      </c>
      <c r="E1054">
        <v>0.60762550000000004</v>
      </c>
      <c r="F1054" t="s">
        <v>43</v>
      </c>
      <c r="G1054">
        <v>0</v>
      </c>
      <c r="H1054">
        <v>0</v>
      </c>
      <c r="I1054">
        <v>0</v>
      </c>
      <c r="J1054">
        <v>-260.93939999999998</v>
      </c>
      <c r="K1054">
        <v>1.104814</v>
      </c>
      <c r="L1054">
        <v>367.63400000000001</v>
      </c>
      <c r="M1054">
        <v>0.99930949999999996</v>
      </c>
      <c r="N1054">
        <v>0</v>
      </c>
      <c r="O1054">
        <v>3.4507070000000001E-2</v>
      </c>
      <c r="P1054">
        <v>0.99505869999999996</v>
      </c>
      <c r="Q1054" s="1">
        <v>1.000054E-5</v>
      </c>
      <c r="R1054">
        <v>9.9288609999999999E-2</v>
      </c>
      <c r="S1054">
        <v>3.0703429999999998</v>
      </c>
      <c r="T1054">
        <v>2.8678180000000001E-2</v>
      </c>
      <c r="U1054">
        <v>-0.55847170000000002</v>
      </c>
      <c r="V1054">
        <v>-6.4904749999999997E-2</v>
      </c>
      <c r="W1054">
        <v>1.368844E-2</v>
      </c>
      <c r="X1054">
        <v>0.9977975</v>
      </c>
      <c r="Y1054">
        <v>0.21279219999999999</v>
      </c>
      <c r="Z1054">
        <v>1.3055849999999999E-3</v>
      </c>
      <c r="AA1054">
        <v>0.97709659999999998</v>
      </c>
      <c r="AB1054">
        <v>30</v>
      </c>
      <c r="AC1054">
        <v>3.0703429999999998</v>
      </c>
      <c r="AD1054">
        <v>2.8678180000000001E-2</v>
      </c>
      <c r="AE1054">
        <v>-0.55847170000000002</v>
      </c>
      <c r="AF1054">
        <v>0.664041559597498</v>
      </c>
      <c r="AG1054">
        <v>2.8678180000000001E-2</v>
      </c>
      <c r="AH1054">
        <v>3.0489835874925899</v>
      </c>
      <c r="AI1054">
        <v>89.473444947221296</v>
      </c>
      <c r="AJ1054">
        <v>77.713353916849201</v>
      </c>
      <c r="AK1054">
        <v>3.1205888142592499</v>
      </c>
    </row>
    <row r="1055" spans="1:37" x14ac:dyDescent="0.2">
      <c r="A1055" t="str">
        <f>"20200111155813212"</f>
        <v>20200111155813212</v>
      </c>
      <c r="B1055" t="str">
        <f>"1578729493201933"</f>
        <v>1578729493201933</v>
      </c>
      <c r="C1055" t="s">
        <v>37</v>
      </c>
      <c r="D1055">
        <v>5.4159600000000001</v>
      </c>
      <c r="E1055">
        <v>0.59903209999999996</v>
      </c>
      <c r="F1055" t="s">
        <v>43</v>
      </c>
      <c r="G1055">
        <v>0</v>
      </c>
      <c r="H1055">
        <v>0</v>
      </c>
      <c r="I1055">
        <v>0</v>
      </c>
      <c r="J1055">
        <v>-260.75639999999999</v>
      </c>
      <c r="K1055">
        <v>1.1047959999999999</v>
      </c>
      <c r="L1055">
        <v>367.64069999999998</v>
      </c>
      <c r="M1055">
        <v>0.99929950000000001</v>
      </c>
      <c r="N1055">
        <v>0</v>
      </c>
      <c r="O1055">
        <v>3.4799549999999999E-2</v>
      </c>
      <c r="P1055">
        <v>0.995031</v>
      </c>
      <c r="Q1055">
        <v>2.9149839999999998E-4</v>
      </c>
      <c r="R1055">
        <v>9.9566459999999996E-2</v>
      </c>
      <c r="S1055">
        <v>3.0706180000000001</v>
      </c>
      <c r="T1055">
        <v>3.0372860000000002E-2</v>
      </c>
      <c r="U1055">
        <v>-0.55831909999999996</v>
      </c>
      <c r="V1055">
        <v>-6.4890710000000004E-2</v>
      </c>
      <c r="W1055">
        <v>1.397261E-2</v>
      </c>
      <c r="X1055">
        <v>0.99779459999999998</v>
      </c>
      <c r="Y1055">
        <v>0.2130145</v>
      </c>
      <c r="Z1055">
        <v>1.3865800000000001E-3</v>
      </c>
      <c r="AA1055">
        <v>0.97704799999999903</v>
      </c>
      <c r="AB1055">
        <v>30</v>
      </c>
      <c r="AC1055">
        <v>3.0706180000000001</v>
      </c>
      <c r="AD1055">
        <v>3.0372860000000002E-2</v>
      </c>
      <c r="AE1055">
        <v>-0.55831909999999996</v>
      </c>
      <c r="AF1055">
        <v>0.66478415811915603</v>
      </c>
      <c r="AG1055">
        <v>3.0372860000000002E-2</v>
      </c>
      <c r="AH1055">
        <v>3.0490379438918298</v>
      </c>
      <c r="AI1055">
        <v>89.442368877106603</v>
      </c>
      <c r="AJ1055">
        <v>77.700244396963299</v>
      </c>
      <c r="AK1055">
        <v>3.1208160584697899</v>
      </c>
    </row>
    <row r="1056" spans="1:37" x14ac:dyDescent="0.2">
      <c r="A1056" t="str">
        <f>"20200111155813227"</f>
        <v>20200111155813227</v>
      </c>
      <c r="B1056" t="str">
        <f>"1578729493222429"</f>
        <v>1578729493222429</v>
      </c>
      <c r="C1056" t="s">
        <v>37</v>
      </c>
      <c r="D1056">
        <v>5.4512169999999998</v>
      </c>
      <c r="E1056">
        <v>0.59861580000000003</v>
      </c>
      <c r="F1056" t="s">
        <v>39</v>
      </c>
      <c r="G1056">
        <v>-236.4982</v>
      </c>
      <c r="H1056" s="1">
        <v>-2.718817E-6</v>
      </c>
      <c r="I1056">
        <v>363.8245</v>
      </c>
      <c r="J1056">
        <v>-260.55739999999997</v>
      </c>
      <c r="K1056">
        <v>1.104778</v>
      </c>
      <c r="L1056">
        <v>367.64789999999999</v>
      </c>
      <c r="M1056">
        <v>0.99928869999999903</v>
      </c>
      <c r="N1056">
        <v>0</v>
      </c>
      <c r="O1056">
        <v>3.5107409999999999E-2</v>
      </c>
      <c r="P1056">
        <v>0.99500829999999996</v>
      </c>
      <c r="Q1056">
        <v>6.1895329999999999E-4</v>
      </c>
      <c r="R1056">
        <v>9.9791179999999993E-2</v>
      </c>
      <c r="S1056">
        <v>3.063202</v>
      </c>
      <c r="T1056">
        <v>-0.13950789999999999</v>
      </c>
      <c r="U1056">
        <v>-0.48187259999999998</v>
      </c>
      <c r="V1056">
        <v>-6.4808080000000004E-2</v>
      </c>
      <c r="W1056">
        <v>1.4303980000000001E-2</v>
      </c>
      <c r="X1056">
        <v>0.99779519999999899</v>
      </c>
      <c r="Y1056">
        <v>0.1897597</v>
      </c>
      <c r="Z1056">
        <v>-5.8818580000000002E-3</v>
      </c>
      <c r="AA1056">
        <v>0.98181299999999905</v>
      </c>
      <c r="AB1056">
        <v>30</v>
      </c>
      <c r="AC1056">
        <v>24.059199999999901</v>
      </c>
      <c r="AD1056">
        <v>-1.104780718817</v>
      </c>
      <c r="AE1056">
        <v>-3.8233999999999901</v>
      </c>
      <c r="AF1056">
        <v>4.6562027363480496</v>
      </c>
      <c r="AG1056">
        <v>-1.104780718817</v>
      </c>
      <c r="AH1056">
        <v>23.861049797570001</v>
      </c>
      <c r="AI1056">
        <v>92.601928132377495</v>
      </c>
      <c r="AJ1056">
        <v>78.958161989199297</v>
      </c>
      <c r="AK1056">
        <v>24.3361965352181</v>
      </c>
    </row>
    <row r="1057" spans="1:37" x14ac:dyDescent="0.2">
      <c r="A1057" t="str">
        <f>"20200111155813240"</f>
        <v>20200111155813240</v>
      </c>
      <c r="B1057" t="str">
        <f>"1578729493232189"</f>
        <v>1578729493232189</v>
      </c>
      <c r="C1057" t="s">
        <v>37</v>
      </c>
      <c r="D1057">
        <v>5.396102</v>
      </c>
      <c r="E1057">
        <v>0.59885849999999996</v>
      </c>
      <c r="F1057" t="s">
        <v>39</v>
      </c>
      <c r="G1057">
        <v>-236.74529999999999</v>
      </c>
      <c r="H1057" s="1">
        <v>-2.6053859999999899E-6</v>
      </c>
      <c r="I1057">
        <v>363.9348</v>
      </c>
      <c r="J1057">
        <v>-260.36900000000003</v>
      </c>
      <c r="K1057">
        <v>1.104762</v>
      </c>
      <c r="L1057">
        <v>367.6549</v>
      </c>
      <c r="M1057">
        <v>0.99927869999999996</v>
      </c>
      <c r="N1057">
        <v>0</v>
      </c>
      <c r="O1057">
        <v>3.5386290000000001E-2</v>
      </c>
      <c r="P1057">
        <v>0.99501309999999998</v>
      </c>
      <c r="Q1057">
        <v>7.8185649999999902E-4</v>
      </c>
      <c r="R1057">
        <v>9.9740510000000004E-2</v>
      </c>
      <c r="S1057">
        <v>3.0630489999999999</v>
      </c>
      <c r="T1057">
        <v>-0.14211219999999999</v>
      </c>
      <c r="U1057">
        <v>-0.47763059999999902</v>
      </c>
      <c r="V1057">
        <v>-6.4478670000000002E-2</v>
      </c>
      <c r="W1057">
        <v>1.447324E-2</v>
      </c>
      <c r="X1057">
        <v>0.99781409999999904</v>
      </c>
      <c r="Y1057">
        <v>0.18870609999999999</v>
      </c>
      <c r="Z1057">
        <v>-5.9810499999999999E-3</v>
      </c>
      <c r="AA1057">
        <v>0.98201539999999998</v>
      </c>
      <c r="AB1057">
        <v>30</v>
      </c>
      <c r="AC1057">
        <v>23.623699999999999</v>
      </c>
      <c r="AD1057">
        <v>-1.1047646053860001</v>
      </c>
      <c r="AE1057">
        <v>-3.7201</v>
      </c>
      <c r="AF1057">
        <v>4.5441068019909796</v>
      </c>
      <c r="AG1057">
        <v>-1.1047646053860001</v>
      </c>
      <c r="AH1057">
        <v>23.427253810507601</v>
      </c>
      <c r="AI1057">
        <v>92.650581866935696</v>
      </c>
      <c r="AJ1057">
        <v>79.022837755281003</v>
      </c>
      <c r="AK1057">
        <v>23.889446049734101</v>
      </c>
    </row>
    <row r="1058" spans="1:37" x14ac:dyDescent="0.2">
      <c r="A1058" t="str">
        <f>"20200111155813254"</f>
        <v>20200111155813254</v>
      </c>
      <c r="B1058" t="str">
        <f>"1578729493251709"</f>
        <v>1578729493251709</v>
      </c>
      <c r="C1058" t="s">
        <v>37</v>
      </c>
      <c r="D1058">
        <v>5.4495949999999898</v>
      </c>
      <c r="E1058">
        <v>0.59913000000000005</v>
      </c>
      <c r="F1058" t="s">
        <v>39</v>
      </c>
      <c r="G1058">
        <v>-236.3921</v>
      </c>
      <c r="H1058" s="1">
        <v>-2.73426E-6</v>
      </c>
      <c r="I1058">
        <v>363.90219999999999</v>
      </c>
      <c r="J1058">
        <v>-260.19970000000001</v>
      </c>
      <c r="K1058">
        <v>1.104754</v>
      </c>
      <c r="L1058">
        <v>367.66120000000001</v>
      </c>
      <c r="M1058">
        <v>0.99926999999999999</v>
      </c>
      <c r="N1058">
        <v>0</v>
      </c>
      <c r="O1058">
        <v>3.5629220000000003E-2</v>
      </c>
      <c r="P1058">
        <v>0.99505619999999995</v>
      </c>
      <c r="Q1058">
        <v>1.102071E-3</v>
      </c>
      <c r="R1058">
        <v>9.9308610000000005E-2</v>
      </c>
      <c r="S1058">
        <v>3.0632320000000002</v>
      </c>
      <c r="T1058">
        <v>-0.14114179999999901</v>
      </c>
      <c r="U1058">
        <v>-0.4794312</v>
      </c>
      <c r="V1058">
        <v>-6.3802730000000002E-2</v>
      </c>
      <c r="W1058">
        <v>1.4800310000000001E-2</v>
      </c>
      <c r="X1058">
        <v>0.99785279999999998</v>
      </c>
      <c r="Y1058">
        <v>0.18950149999999999</v>
      </c>
      <c r="Z1058">
        <v>-5.968971E-3</v>
      </c>
      <c r="AA1058">
        <v>0.98186229999999997</v>
      </c>
      <c r="AB1058">
        <v>30</v>
      </c>
      <c r="AC1058">
        <v>23.807600000000001</v>
      </c>
      <c r="AD1058">
        <v>-1.10475673426</v>
      </c>
      <c r="AE1058">
        <v>-3.7590000000000101</v>
      </c>
      <c r="AF1058">
        <v>4.5952854021496403</v>
      </c>
      <c r="AG1058">
        <v>-1.10475673426</v>
      </c>
      <c r="AH1058">
        <v>23.6089378598768</v>
      </c>
      <c r="AI1058">
        <v>92.629862225482597</v>
      </c>
      <c r="AJ1058">
        <v>78.985565636787996</v>
      </c>
      <c r="AK1058">
        <v>24.077356213683998</v>
      </c>
    </row>
    <row r="1059" spans="1:37" x14ac:dyDescent="0.2">
      <c r="A1059" t="str">
        <f>"20200111155813277"</f>
        <v>20200111155813277</v>
      </c>
      <c r="B1059" t="str">
        <f>"1578729493272205"</f>
        <v>1578729493272205</v>
      </c>
      <c r="C1059" t="s">
        <v>37</v>
      </c>
      <c r="D1059">
        <v>5.4188260000000001</v>
      </c>
      <c r="E1059">
        <v>0.59936990000000001</v>
      </c>
      <c r="F1059" t="s">
        <v>39</v>
      </c>
      <c r="G1059">
        <v>-236.36320000000001</v>
      </c>
      <c r="H1059" s="1">
        <v>-2.744278E-6</v>
      </c>
      <c r="I1059">
        <v>363.9015</v>
      </c>
      <c r="J1059">
        <v>-259.88740000000001</v>
      </c>
      <c r="K1059">
        <v>1.1047450000000001</v>
      </c>
      <c r="L1059">
        <v>367.67290000000003</v>
      </c>
      <c r="M1059">
        <v>0.99925429999999904</v>
      </c>
      <c r="N1059">
        <v>0</v>
      </c>
      <c r="O1059">
        <v>3.606347E-2</v>
      </c>
      <c r="P1059">
        <v>0.99502559999999995</v>
      </c>
      <c r="Q1059">
        <v>1.5544370000000001E-3</v>
      </c>
      <c r="R1059">
        <v>9.9607769999999998E-2</v>
      </c>
      <c r="S1059">
        <v>3.0632929999999998</v>
      </c>
      <c r="T1059">
        <v>-0.14197470000000001</v>
      </c>
      <c r="U1059">
        <v>-0.48315429999999998</v>
      </c>
      <c r="V1059">
        <v>-6.366906E-2</v>
      </c>
      <c r="W1059">
        <v>1.526804E-2</v>
      </c>
      <c r="X1059">
        <v>0.99785429999999997</v>
      </c>
      <c r="Y1059">
        <v>0.1910847</v>
      </c>
      <c r="Z1059">
        <v>-6.0599460000000001E-3</v>
      </c>
      <c r="AA1059">
        <v>0.98155490000000001</v>
      </c>
      <c r="AB1059">
        <v>30</v>
      </c>
      <c r="AC1059">
        <v>23.5242</v>
      </c>
      <c r="AD1059">
        <v>-1.104747744278</v>
      </c>
      <c r="AE1059">
        <v>-3.7714000000000198</v>
      </c>
      <c r="AF1059">
        <v>4.6074843173914504</v>
      </c>
      <c r="AG1059">
        <v>-1.104747744278</v>
      </c>
      <c r="AH1059">
        <v>23.322723830598999</v>
      </c>
      <c r="AI1059">
        <v>92.6606066697438</v>
      </c>
      <c r="AJ1059">
        <v>78.8249168533291</v>
      </c>
      <c r="AK1059">
        <v>23.799134988311799</v>
      </c>
    </row>
    <row r="1060" spans="1:37" x14ac:dyDescent="0.2">
      <c r="A1060" t="str">
        <f>"20200111155813290"</f>
        <v>20200111155813290</v>
      </c>
      <c r="B1060" t="str">
        <f>"1578729493281964"</f>
        <v>1578729493281964</v>
      </c>
      <c r="C1060" t="s">
        <v>37</v>
      </c>
      <c r="D1060">
        <v>5.4325489999999999</v>
      </c>
      <c r="E1060">
        <v>0.59941350000000004</v>
      </c>
      <c r="F1060" t="s">
        <v>39</v>
      </c>
      <c r="G1060">
        <v>-235.7456</v>
      </c>
      <c r="H1060" s="1">
        <v>-2.9658870000000001E-6</v>
      </c>
      <c r="I1060">
        <v>363.85860000000002</v>
      </c>
      <c r="J1060">
        <v>-259.70819999999998</v>
      </c>
      <c r="K1060">
        <v>1.1047389999999999</v>
      </c>
      <c r="L1060">
        <v>367.67959999999999</v>
      </c>
      <c r="M1060">
        <v>0.9992453</v>
      </c>
      <c r="N1060">
        <v>0</v>
      </c>
      <c r="O1060">
        <v>3.6305219999999999E-2</v>
      </c>
      <c r="P1060">
        <v>0.99501779999999995</v>
      </c>
      <c r="Q1060">
        <v>1.951007E-3</v>
      </c>
      <c r="R1060">
        <v>9.9678749999999997E-2</v>
      </c>
      <c r="S1060">
        <v>3.0636899999999998</v>
      </c>
      <c r="T1060">
        <v>-0.14019619999999999</v>
      </c>
      <c r="U1060">
        <v>-0.48403930000000001</v>
      </c>
      <c r="V1060">
        <v>-6.3498289999999999E-2</v>
      </c>
      <c r="W1060">
        <v>1.5676160000000001E-2</v>
      </c>
      <c r="X1060">
        <v>0.99785879999999905</v>
      </c>
      <c r="Y1060">
        <v>0.19158449999999999</v>
      </c>
      <c r="Z1060">
        <v>-6.0055739999999996E-3</v>
      </c>
      <c r="AA1060">
        <v>0.98145780000000005</v>
      </c>
      <c r="AB1060">
        <v>30</v>
      </c>
      <c r="AC1060">
        <v>23.962599999999899</v>
      </c>
      <c r="AD1060">
        <v>-1.1047419658869999</v>
      </c>
      <c r="AE1060">
        <v>-3.8209999999999602</v>
      </c>
      <c r="AF1060">
        <v>4.6788328689418996</v>
      </c>
      <c r="AG1060">
        <v>-1.1047419658869999</v>
      </c>
      <c r="AH1060">
        <v>23.758817759666201</v>
      </c>
      <c r="AI1060">
        <v>92.612134305556395</v>
      </c>
      <c r="AJ1060">
        <v>78.859279047314899</v>
      </c>
      <c r="AK1060">
        <v>24.240324939317802</v>
      </c>
    </row>
    <row r="1061" spans="1:37" x14ac:dyDescent="0.2">
      <c r="A1061" t="str">
        <f>"20200111155813304"</f>
        <v>20200111155813304</v>
      </c>
      <c r="B1061" t="str">
        <f>"1578729493302460"</f>
        <v>1578729493302460</v>
      </c>
      <c r="C1061" t="s">
        <v>37</v>
      </c>
      <c r="D1061">
        <v>5.4480750000000002</v>
      </c>
      <c r="E1061">
        <v>0.59952689999999997</v>
      </c>
      <c r="F1061" t="s">
        <v>39</v>
      </c>
      <c r="G1061">
        <v>-235.2321</v>
      </c>
      <c r="H1061" s="1">
        <v>-3.1536000000000002E-6</v>
      </c>
      <c r="I1061">
        <v>363.80970000000002</v>
      </c>
      <c r="J1061">
        <v>-259.51119999999997</v>
      </c>
      <c r="K1061">
        <v>1.1047370000000001</v>
      </c>
      <c r="L1061">
        <v>367.68699999999899</v>
      </c>
      <c r="M1061">
        <v>0.99923580000000001</v>
      </c>
      <c r="N1061">
        <v>0</v>
      </c>
      <c r="O1061">
        <v>3.656541E-2</v>
      </c>
      <c r="P1061">
        <v>0.99499709999999997</v>
      </c>
      <c r="Q1061">
        <v>2.2214129999999898E-3</v>
      </c>
      <c r="R1061">
        <v>9.9881059999999994E-2</v>
      </c>
      <c r="S1061">
        <v>3.063812</v>
      </c>
      <c r="T1061">
        <v>-0.13828650000000001</v>
      </c>
      <c r="U1061">
        <v>-0.48440549999999999</v>
      </c>
      <c r="V1061">
        <v>-6.344139E-2</v>
      </c>
      <c r="W1061">
        <v>1.5963660000000001E-2</v>
      </c>
      <c r="X1061">
        <v>0.99785789999999996</v>
      </c>
      <c r="Y1061">
        <v>0.19195409999999999</v>
      </c>
      <c r="Z1061">
        <v>-5.9435260000000002E-3</v>
      </c>
      <c r="AA1061">
        <v>0.98138590000000003</v>
      </c>
      <c r="AB1061">
        <v>30</v>
      </c>
      <c r="AC1061">
        <v>24.2790999999999</v>
      </c>
      <c r="AD1061">
        <v>-1.1047401536000001</v>
      </c>
      <c r="AE1061">
        <v>-3.8772999999999298</v>
      </c>
      <c r="AF1061">
        <v>4.7529707066634099</v>
      </c>
      <c r="AG1061">
        <v>-1.1047401536000001</v>
      </c>
      <c r="AH1061">
        <v>24.072471664956598</v>
      </c>
      <c r="AI1061">
        <v>92.577890220576506</v>
      </c>
      <c r="AJ1061">
        <v>78.830939034418094</v>
      </c>
      <c r="AK1061">
        <v>24.562065739784899</v>
      </c>
    </row>
    <row r="1062" spans="1:37" x14ac:dyDescent="0.2">
      <c r="A1062" t="str">
        <f>"20200111155813321"</f>
        <v>20200111155813321</v>
      </c>
      <c r="B1062" t="str">
        <f>"1578729493312220"</f>
        <v>1578729493312220</v>
      </c>
      <c r="C1062" t="s">
        <v>37</v>
      </c>
      <c r="D1062">
        <v>5.5106699999999904</v>
      </c>
      <c r="E1062">
        <v>0.59952689999999997</v>
      </c>
      <c r="F1062" t="s">
        <v>39</v>
      </c>
      <c r="G1062">
        <v>-235.1901</v>
      </c>
      <c r="H1062" s="1">
        <v>-3.1601160000000001E-6</v>
      </c>
      <c r="I1062">
        <v>363.83909999999997</v>
      </c>
      <c r="J1062">
        <v>-259.30099999999999</v>
      </c>
      <c r="K1062">
        <v>1.104732</v>
      </c>
      <c r="L1062">
        <v>367.69499999999999</v>
      </c>
      <c r="M1062">
        <v>0.99922540000000004</v>
      </c>
      <c r="N1062">
        <v>0</v>
      </c>
      <c r="O1062">
        <v>3.6836109999999998E-2</v>
      </c>
      <c r="P1062">
        <v>0.99496739999999995</v>
      </c>
      <c r="Q1062">
        <v>2.5407910000000001E-3</v>
      </c>
      <c r="R1062">
        <v>0.1001673</v>
      </c>
      <c r="S1062">
        <v>3.0640559999999999</v>
      </c>
      <c r="T1062">
        <v>-0.1391782</v>
      </c>
      <c r="U1062">
        <v>-0.48477170000000003</v>
      </c>
      <c r="V1062">
        <v>-6.3457700000000006E-2</v>
      </c>
      <c r="W1062">
        <v>1.6306459999999998E-2</v>
      </c>
      <c r="X1062">
        <v>0.9978513</v>
      </c>
      <c r="Y1062">
        <v>0.19231879999999901</v>
      </c>
      <c r="Z1062">
        <v>-6.0017419999999896E-3</v>
      </c>
      <c r="AA1062">
        <v>0.98131409999999997</v>
      </c>
      <c r="AB1062">
        <v>30</v>
      </c>
      <c r="AC1062">
        <v>24.110899999999901</v>
      </c>
      <c r="AD1062">
        <v>-1.104735160116</v>
      </c>
      <c r="AE1062">
        <v>-3.8559000000000201</v>
      </c>
      <c r="AF1062">
        <v>4.7318333308584997</v>
      </c>
      <c r="AG1062">
        <v>-1.104735160116</v>
      </c>
      <c r="AH1062">
        <v>23.903552283858801</v>
      </c>
      <c r="AI1062">
        <v>92.595818813462301</v>
      </c>
      <c r="AJ1062">
        <v>78.802762035119201</v>
      </c>
      <c r="AK1062">
        <v>24.392427067272202</v>
      </c>
    </row>
    <row r="1063" spans="1:37" x14ac:dyDescent="0.2">
      <c r="A1063" t="str">
        <f>"20200111155813334"</f>
        <v>20200111155813334</v>
      </c>
      <c r="B1063" t="str">
        <f>"1578729493321980"</f>
        <v>1578729493321980</v>
      </c>
      <c r="C1063" t="s">
        <v>37</v>
      </c>
      <c r="D1063">
        <v>5.3948970000000003</v>
      </c>
      <c r="E1063">
        <v>0.60409840000000004</v>
      </c>
      <c r="F1063" t="s">
        <v>39</v>
      </c>
      <c r="G1063">
        <v>-234.7098</v>
      </c>
      <c r="H1063" s="1">
        <v>-3.3307740000000001E-6</v>
      </c>
      <c r="I1063">
        <v>363.81189999999998</v>
      </c>
      <c r="J1063">
        <v>-259.11759999999998</v>
      </c>
      <c r="K1063">
        <v>1.1047279999999999</v>
      </c>
      <c r="L1063">
        <v>367.702</v>
      </c>
      <c r="M1063">
        <v>0.99921659999999901</v>
      </c>
      <c r="N1063">
        <v>0</v>
      </c>
      <c r="O1063">
        <v>3.7067250000000003E-2</v>
      </c>
      <c r="P1063">
        <v>0.99488969999999899</v>
      </c>
      <c r="Q1063">
        <v>2.5708250000000001E-3</v>
      </c>
      <c r="R1063">
        <v>0.10093580000000001</v>
      </c>
      <c r="S1063">
        <v>3.0642399999999999</v>
      </c>
      <c r="T1063">
        <v>-0.13765759999999999</v>
      </c>
      <c r="U1063">
        <v>-0.48385620000000001</v>
      </c>
      <c r="V1063">
        <v>-6.3997689999999996E-2</v>
      </c>
      <c r="W1063">
        <v>1.6358419999999999E-2</v>
      </c>
      <c r="X1063">
        <v>0.99781600000000004</v>
      </c>
      <c r="Y1063">
        <v>0.1922556</v>
      </c>
      <c r="Z1063">
        <v>-5.9449380000000003E-3</v>
      </c>
      <c r="AA1063">
        <v>0.9813269</v>
      </c>
      <c r="AB1063">
        <v>30</v>
      </c>
      <c r="AC1063">
        <v>24.407799999999899</v>
      </c>
      <c r="AD1063">
        <v>-1.1047313307740001</v>
      </c>
      <c r="AE1063">
        <v>-3.8901000000000101</v>
      </c>
      <c r="AF1063">
        <v>4.7826880155685298</v>
      </c>
      <c r="AG1063">
        <v>-1.1047313307740001</v>
      </c>
      <c r="AH1063">
        <v>24.198469101047301</v>
      </c>
      <c r="AI1063">
        <v>92.564367699754598</v>
      </c>
      <c r="AJ1063">
        <v>78.8199099251825</v>
      </c>
      <c r="AK1063">
        <v>24.691302979020801</v>
      </c>
    </row>
    <row r="1064" spans="1:37" x14ac:dyDescent="0.2">
      <c r="A1064" t="str">
        <f>"20200111155813346"</f>
        <v>20200111155813346</v>
      </c>
      <c r="B1064" t="str">
        <f>"1578729493342008"</f>
        <v>1578729493342008</v>
      </c>
      <c r="C1064" t="s">
        <v>37</v>
      </c>
      <c r="D1064">
        <v>5.4349749999999997</v>
      </c>
      <c r="E1064">
        <v>0.60342649999999998</v>
      </c>
      <c r="F1064" t="s">
        <v>39</v>
      </c>
      <c r="G1064">
        <v>-233.4983</v>
      </c>
      <c r="H1064" s="1">
        <v>-3.8783379999999902E-6</v>
      </c>
      <c r="I1064">
        <v>363.3768</v>
      </c>
      <c r="J1064">
        <v>-258.95179999999999</v>
      </c>
      <c r="K1064">
        <v>1.104725</v>
      </c>
      <c r="L1064">
        <v>367.70839999999998</v>
      </c>
      <c r="M1064">
        <v>0.999208599999999</v>
      </c>
      <c r="N1064">
        <v>0</v>
      </c>
      <c r="O1064">
        <v>3.7273559999999997E-2</v>
      </c>
      <c r="P1064">
        <v>0.99482979999999999</v>
      </c>
      <c r="Q1064">
        <v>2.65344E-3</v>
      </c>
      <c r="R1064">
        <v>0.1015216</v>
      </c>
      <c r="S1064">
        <v>3.068298</v>
      </c>
      <c r="T1064">
        <v>-0.13230799999999901</v>
      </c>
      <c r="U1064">
        <v>-0.51800539999999995</v>
      </c>
      <c r="V1064">
        <v>-6.4378690000000002E-2</v>
      </c>
      <c r="W1064">
        <v>1.6462359999999999E-2</v>
      </c>
      <c r="X1064">
        <v>0.997789699999999</v>
      </c>
      <c r="Y1064">
        <v>0.2028933</v>
      </c>
      <c r="Z1064">
        <v>-5.938146E-3</v>
      </c>
      <c r="AA1064">
        <v>0.97918280000000002</v>
      </c>
      <c r="AB1064">
        <v>30</v>
      </c>
      <c r="AC1064">
        <v>25.453499999999899</v>
      </c>
      <c r="AD1064">
        <v>-1.104728878338</v>
      </c>
      <c r="AE1064">
        <v>-4.3315999999999804</v>
      </c>
      <c r="AF1064">
        <v>5.2677797071833501</v>
      </c>
      <c r="AG1064">
        <v>-1.104728878338</v>
      </c>
      <c r="AH1064">
        <v>25.228153962678999</v>
      </c>
      <c r="AI1064">
        <v>92.454483385995701</v>
      </c>
      <c r="AJ1064">
        <v>78.205780462326999</v>
      </c>
      <c r="AK1064">
        <v>25.7959237342391</v>
      </c>
    </row>
    <row r="1065" spans="1:37" x14ac:dyDescent="0.2">
      <c r="A1065" t="str">
        <f>"20200111155813359"</f>
        <v>20200111155813359</v>
      </c>
      <c r="B1065" t="str">
        <f>"1578729493351768"</f>
        <v>1578729493351768</v>
      </c>
      <c r="C1065" t="s">
        <v>37</v>
      </c>
      <c r="D1065">
        <v>5.4043429999999999</v>
      </c>
      <c r="E1065">
        <v>0.60305390000000003</v>
      </c>
      <c r="F1065" t="s">
        <v>39</v>
      </c>
      <c r="G1065">
        <v>-234.47579999999999</v>
      </c>
      <c r="H1065" s="1">
        <v>-3.4576769999999999E-6</v>
      </c>
      <c r="I1065">
        <v>363.6343</v>
      </c>
      <c r="J1065">
        <v>-258.77199999999999</v>
      </c>
      <c r="K1065">
        <v>1.104722</v>
      </c>
      <c r="L1065">
        <v>367.71539999999999</v>
      </c>
      <c r="M1065">
        <v>0.99920019999999998</v>
      </c>
      <c r="N1065">
        <v>0</v>
      </c>
      <c r="O1065">
        <v>3.7491299999999998E-2</v>
      </c>
      <c r="P1065">
        <v>0.9947705</v>
      </c>
      <c r="Q1065">
        <v>2.6416309999999902E-3</v>
      </c>
      <c r="R1065">
        <v>0.10210180000000001</v>
      </c>
      <c r="S1065">
        <v>3.0680689999999999</v>
      </c>
      <c r="T1065">
        <v>-0.1384774</v>
      </c>
      <c r="U1065">
        <v>-0.51068119999999995</v>
      </c>
      <c r="V1065">
        <v>-6.4742640000000004E-2</v>
      </c>
      <c r="W1065">
        <v>1.6473809999999998E-2</v>
      </c>
      <c r="X1065">
        <v>0.99776599999999904</v>
      </c>
      <c r="Y1065">
        <v>0.20082549999999999</v>
      </c>
      <c r="Z1065">
        <v>-6.179866E-3</v>
      </c>
      <c r="AA1065">
        <v>0.97960749999999996</v>
      </c>
      <c r="AB1065">
        <v>30</v>
      </c>
      <c r="AC1065">
        <v>24.296199999999999</v>
      </c>
      <c r="AD1065">
        <v>-1.104725457677</v>
      </c>
      <c r="AE1065">
        <v>-4.0810999999999904</v>
      </c>
      <c r="AF1065">
        <v>4.9792027437750201</v>
      </c>
      <c r="AG1065">
        <v>-1.104725457677</v>
      </c>
      <c r="AH1065">
        <v>24.0776817203412</v>
      </c>
      <c r="AI1065">
        <v>92.572628460001098</v>
      </c>
      <c r="AJ1065">
        <v>78.316076960517194</v>
      </c>
      <c r="AK1065">
        <v>24.6119409093738</v>
      </c>
    </row>
    <row r="1066" spans="1:37" x14ac:dyDescent="0.2">
      <c r="A1066" t="str">
        <f>"20200111155813372"</f>
        <v>20200111155813372</v>
      </c>
      <c r="B1066" t="str">
        <f>"1578729493362504"</f>
        <v>1578729493362504</v>
      </c>
      <c r="C1066" t="s">
        <v>37</v>
      </c>
      <c r="D1066">
        <v>5.3946239999999896</v>
      </c>
      <c r="E1066">
        <v>0.60318149999999904</v>
      </c>
      <c r="F1066" t="s">
        <v>39</v>
      </c>
      <c r="G1066">
        <v>-234.29320000000001</v>
      </c>
      <c r="H1066" s="1">
        <v>-3.5083599999999999E-6</v>
      </c>
      <c r="I1066">
        <v>363.6773</v>
      </c>
      <c r="J1066">
        <v>-258.61439999999999</v>
      </c>
      <c r="K1066">
        <v>1.104714</v>
      </c>
      <c r="L1066">
        <v>367.72140000000002</v>
      </c>
      <c r="M1066">
        <v>0.99919279999999999</v>
      </c>
      <c r="N1066">
        <v>0</v>
      </c>
      <c r="O1066">
        <v>3.7679049999999999E-2</v>
      </c>
      <c r="P1066">
        <v>0.99470840000000005</v>
      </c>
      <c r="Q1066">
        <v>2.6471020000000001E-3</v>
      </c>
      <c r="R1066">
        <v>0.10270459999999999</v>
      </c>
      <c r="S1066">
        <v>3.068085</v>
      </c>
      <c r="T1066">
        <v>-0.1384618</v>
      </c>
      <c r="U1066">
        <v>-0.50610350000000004</v>
      </c>
      <c r="V1066">
        <v>-6.515986E-2</v>
      </c>
      <c r="W1066">
        <v>1.6498599999999999E-2</v>
      </c>
      <c r="X1066">
        <v>0.99773840000000003</v>
      </c>
      <c r="Y1066">
        <v>0.19958709999999999</v>
      </c>
      <c r="Z1066">
        <v>-6.1605569999999997E-3</v>
      </c>
      <c r="AA1066">
        <v>0.97986070000000003</v>
      </c>
      <c r="AB1066">
        <v>30</v>
      </c>
      <c r="AC1066">
        <v>24.321199999999902</v>
      </c>
      <c r="AD1066">
        <v>-1.10471750836</v>
      </c>
      <c r="AE1066">
        <v>-4.04410000000001</v>
      </c>
      <c r="AF1066">
        <v>4.9477829161333702</v>
      </c>
      <c r="AG1066">
        <v>-1.10471750836</v>
      </c>
      <c r="AH1066">
        <v>24.1031426934595</v>
      </c>
      <c r="AI1066">
        <v>92.570668232999793</v>
      </c>
      <c r="AJ1066">
        <v>78.399730215695399</v>
      </c>
      <c r="AK1066">
        <v>24.630518554422</v>
      </c>
    </row>
    <row r="1067" spans="1:37" x14ac:dyDescent="0.2">
      <c r="A1067" t="str">
        <f>"20200111155813388"</f>
        <v>20200111155813388</v>
      </c>
      <c r="B1067" t="str">
        <f>"1578729493382023"</f>
        <v>1578729493382023</v>
      </c>
      <c r="C1067" t="s">
        <v>37</v>
      </c>
      <c r="D1067">
        <v>5.4251110000000002</v>
      </c>
      <c r="E1067">
        <v>0.60345609999999905</v>
      </c>
      <c r="F1067" t="s">
        <v>39</v>
      </c>
      <c r="G1067">
        <v>-234.41419999999999</v>
      </c>
      <c r="H1067" s="1">
        <v>-3.45160199999999E-6</v>
      </c>
      <c r="I1067">
        <v>363.73590000000002</v>
      </c>
      <c r="J1067">
        <v>-258.38729999999998</v>
      </c>
      <c r="K1067">
        <v>1.104711</v>
      </c>
      <c r="L1067">
        <v>367.7303</v>
      </c>
      <c r="M1067">
        <v>0.99918249999999997</v>
      </c>
      <c r="N1067">
        <v>0</v>
      </c>
      <c r="O1067">
        <v>3.7944310000000002E-2</v>
      </c>
      <c r="P1067">
        <v>0.99461279999999996</v>
      </c>
      <c r="Q1067">
        <v>2.9281770000000001E-3</v>
      </c>
      <c r="R1067">
        <v>0.10361919999999999</v>
      </c>
      <c r="S1067">
        <v>3.0685119999999899</v>
      </c>
      <c r="T1067">
        <v>-0.140074</v>
      </c>
      <c r="U1067">
        <v>-0.50534060000000003</v>
      </c>
      <c r="V1067">
        <v>-6.5812709999999996E-2</v>
      </c>
      <c r="W1067">
        <v>1.680707E-2</v>
      </c>
      <c r="X1067">
        <v>0.99769039999999998</v>
      </c>
      <c r="Y1067">
        <v>0.1995825</v>
      </c>
      <c r="Z1067">
        <v>-6.2434129999999997E-3</v>
      </c>
      <c r="AA1067">
        <v>0.97986109999999904</v>
      </c>
      <c r="AB1067">
        <v>30</v>
      </c>
      <c r="AC1067">
        <v>23.973099999999899</v>
      </c>
      <c r="AD1067">
        <v>-1.104714451602</v>
      </c>
      <c r="AE1067">
        <v>-3.9943999999999802</v>
      </c>
      <c r="AF1067">
        <v>4.8911483555592996</v>
      </c>
      <c r="AG1067">
        <v>-1.104714451602</v>
      </c>
      <c r="AH1067">
        <v>23.755171614015499</v>
      </c>
      <c r="AI1067">
        <v>92.607945153284504</v>
      </c>
      <c r="AJ1067">
        <v>78.365491995131606</v>
      </c>
      <c r="AK1067">
        <v>24.2786306176233</v>
      </c>
    </row>
    <row r="1068" spans="1:37" x14ac:dyDescent="0.2">
      <c r="A1068" t="str">
        <f>"20200111155813401"</f>
        <v>20200111155813401</v>
      </c>
      <c r="B1068" t="str">
        <f>"1578729493391784"</f>
        <v>1578729493391784</v>
      </c>
      <c r="C1068" t="s">
        <v>37</v>
      </c>
      <c r="D1068">
        <v>5.4260159999999997</v>
      </c>
      <c r="E1068">
        <v>0.60353459999999903</v>
      </c>
      <c r="F1068" t="s">
        <v>39</v>
      </c>
      <c r="G1068">
        <v>-234.23159999999999</v>
      </c>
      <c r="H1068" s="1">
        <v>-3.5071510000000002E-6</v>
      </c>
      <c r="I1068">
        <v>363.76069999999999</v>
      </c>
      <c r="J1068">
        <v>-258.21170000000001</v>
      </c>
      <c r="K1068">
        <v>1.104708</v>
      </c>
      <c r="L1068">
        <v>367.73719999999997</v>
      </c>
      <c r="M1068">
        <v>0.99917449999999997</v>
      </c>
      <c r="N1068">
        <v>0</v>
      </c>
      <c r="O1068">
        <v>3.8144619999999997E-2</v>
      </c>
      <c r="P1068">
        <v>0.99458789999999997</v>
      </c>
      <c r="Q1068">
        <v>2.637768E-3</v>
      </c>
      <c r="R1068">
        <v>0.103865899999999</v>
      </c>
      <c r="S1068">
        <v>3.0691830000000002</v>
      </c>
      <c r="T1068">
        <v>-0.1403623</v>
      </c>
      <c r="U1068">
        <v>-0.50436400000000003</v>
      </c>
      <c r="V1068">
        <v>-6.5859639999999997E-2</v>
      </c>
      <c r="W1068">
        <v>1.6537219999999998E-2</v>
      </c>
      <c r="X1068">
        <v>0.99769189999999996</v>
      </c>
      <c r="Y1068">
        <v>0.19944000000000001</v>
      </c>
      <c r="Z1068">
        <v>-6.2609299999999996E-3</v>
      </c>
      <c r="AA1068">
        <v>0.97988999999999904</v>
      </c>
      <c r="AB1068">
        <v>30</v>
      </c>
      <c r="AC1068">
        <v>23.9801</v>
      </c>
      <c r="AD1068">
        <v>-1.1047115071510001</v>
      </c>
      <c r="AE1068">
        <v>-3.9764999999999802</v>
      </c>
      <c r="AF1068">
        <v>4.8783306423047996</v>
      </c>
      <c r="AG1068">
        <v>-1.1047115071510001</v>
      </c>
      <c r="AH1068">
        <v>23.761868709243299</v>
      </c>
      <c r="AI1068">
        <v>92.607511064095306</v>
      </c>
      <c r="AJ1068">
        <v>78.398335286770703</v>
      </c>
      <c r="AK1068">
        <v>24.282604924616301</v>
      </c>
    </row>
    <row r="1069" spans="1:37" x14ac:dyDescent="0.2">
      <c r="A1069" t="str">
        <f>"20200111155813415"</f>
        <v>20200111155813415</v>
      </c>
      <c r="B1069" t="str">
        <f>"1578729493412280"</f>
        <v>1578729493412280</v>
      </c>
      <c r="C1069" t="s">
        <v>37</v>
      </c>
      <c r="D1069">
        <v>5.5784469999999997</v>
      </c>
      <c r="E1069">
        <v>0.60343539999999996</v>
      </c>
      <c r="F1069" t="s">
        <v>39</v>
      </c>
      <c r="G1069">
        <v>-234.393</v>
      </c>
      <c r="H1069" s="1">
        <v>-3.4356409999999998E-6</v>
      </c>
      <c r="I1069">
        <v>363.82299999999998</v>
      </c>
      <c r="J1069">
        <v>-258.0412</v>
      </c>
      <c r="K1069">
        <v>1.1047039999999999</v>
      </c>
      <c r="L1069">
        <v>367.7439</v>
      </c>
      <c r="M1069">
        <v>0.99916709999999997</v>
      </c>
      <c r="N1069">
        <v>0</v>
      </c>
      <c r="O1069">
        <v>3.8335010000000003E-2</v>
      </c>
      <c r="P1069">
        <v>0.99453369999999996</v>
      </c>
      <c r="Q1069">
        <v>2.48161E-3</v>
      </c>
      <c r="R1069">
        <v>0.10438799999999999</v>
      </c>
      <c r="S1069">
        <v>3.0693820000000001</v>
      </c>
      <c r="T1069">
        <v>-0.14235709999999999</v>
      </c>
      <c r="U1069">
        <v>-0.50439449999999997</v>
      </c>
      <c r="V1069">
        <v>-6.6192329999999994E-2</v>
      </c>
      <c r="W1069">
        <v>1.6398949999999999E-2</v>
      </c>
      <c r="X1069">
        <v>0.99767209999999995</v>
      </c>
      <c r="Y1069">
        <v>0.19961879999999901</v>
      </c>
      <c r="Z1069">
        <v>-6.3622969999999899E-3</v>
      </c>
      <c r="AA1069">
        <v>0.97985299999999997</v>
      </c>
      <c r="AB1069">
        <v>30</v>
      </c>
      <c r="AC1069">
        <v>23.648199999999999</v>
      </c>
      <c r="AD1069">
        <v>-1.104707435641</v>
      </c>
      <c r="AE1069">
        <v>-3.9208999999999601</v>
      </c>
      <c r="AF1069">
        <v>4.8144349148053598</v>
      </c>
      <c r="AG1069">
        <v>-1.104707435641</v>
      </c>
      <c r="AH1069">
        <v>23.4307283956616</v>
      </c>
      <c r="AI1069">
        <v>92.644209873404904</v>
      </c>
      <c r="AJ1069">
        <v>78.388744254261397</v>
      </c>
      <c r="AK1069">
        <v>23.945734384614699</v>
      </c>
    </row>
    <row r="1070" spans="1:37" x14ac:dyDescent="0.2">
      <c r="A1070" t="str">
        <f>"20200111155813427"</f>
        <v>20200111155813427</v>
      </c>
      <c r="B1070" t="str">
        <f>"1578729493422040"</f>
        <v>1578729493422040</v>
      </c>
      <c r="C1070" t="s">
        <v>37</v>
      </c>
      <c r="D1070">
        <v>5.4902809999999898</v>
      </c>
      <c r="E1070">
        <v>0.60364059999999997</v>
      </c>
      <c r="F1070" t="s">
        <v>39</v>
      </c>
      <c r="G1070">
        <v>-234.07499999999999</v>
      </c>
      <c r="H1070" s="1">
        <v>-3.5518550000000001E-6</v>
      </c>
      <c r="I1070">
        <v>363.82260000000002</v>
      </c>
      <c r="J1070">
        <v>-257.86630000000002</v>
      </c>
      <c r="K1070">
        <v>1.1046989999999901</v>
      </c>
      <c r="L1070">
        <v>367.7509</v>
      </c>
      <c r="M1070">
        <v>0.99915940000000003</v>
      </c>
      <c r="N1070">
        <v>0</v>
      </c>
      <c r="O1070">
        <v>3.8528569999999998E-2</v>
      </c>
      <c r="P1070">
        <v>0.99453789999999997</v>
      </c>
      <c r="Q1070">
        <v>2.477225E-3</v>
      </c>
      <c r="R1070">
        <v>0.1043482</v>
      </c>
      <c r="S1070">
        <v>3.069534</v>
      </c>
      <c r="T1070">
        <v>-0.14148759999999999</v>
      </c>
      <c r="U1070">
        <v>-0.5022278</v>
      </c>
      <c r="V1070">
        <v>-6.5959210000000004E-2</v>
      </c>
      <c r="W1070">
        <v>1.6413250000000001E-2</v>
      </c>
      <c r="X1070">
        <v>0.99768729999999906</v>
      </c>
      <c r="Y1070">
        <v>0.19913049999999999</v>
      </c>
      <c r="Z1070">
        <v>-6.3212169999999996E-3</v>
      </c>
      <c r="AA1070">
        <v>0.97995259999999995</v>
      </c>
      <c r="AB1070">
        <v>30</v>
      </c>
      <c r="AC1070">
        <v>23.7913</v>
      </c>
      <c r="AD1070">
        <v>-1.10470255185499</v>
      </c>
      <c r="AE1070">
        <v>-3.9282999999999699</v>
      </c>
      <c r="AF1070">
        <v>4.8319759021980504</v>
      </c>
      <c r="AG1070">
        <v>-1.10470255185499</v>
      </c>
      <c r="AH1070">
        <v>23.572790087535498</v>
      </c>
      <c r="AI1070">
        <v>92.628540761632294</v>
      </c>
      <c r="AJ1070">
        <v>78.4159142557682</v>
      </c>
      <c r="AK1070">
        <v>24.088270825414401</v>
      </c>
    </row>
    <row r="1071" spans="1:37" x14ac:dyDescent="0.2">
      <c r="A1071" t="str">
        <f>"20200111155813443"</f>
        <v>20200111155813443</v>
      </c>
      <c r="B1071" t="str">
        <f>"1578729493431800"</f>
        <v>1578729493431800</v>
      </c>
      <c r="C1071" t="s">
        <v>37</v>
      </c>
      <c r="D1071">
        <v>5.4508140000000003</v>
      </c>
      <c r="E1071">
        <v>0.60381819999999997</v>
      </c>
      <c r="F1071" t="s">
        <v>39</v>
      </c>
      <c r="G1071">
        <v>-233.9383</v>
      </c>
      <c r="H1071" s="1">
        <v>-3.6105540000000002E-6</v>
      </c>
      <c r="I1071">
        <v>363.82220000000001</v>
      </c>
      <c r="J1071">
        <v>-257.65199999999999</v>
      </c>
      <c r="K1071">
        <v>1.104698</v>
      </c>
      <c r="L1071">
        <v>367.75940000000003</v>
      </c>
      <c r="M1071">
        <v>0.99915010000000004</v>
      </c>
      <c r="N1071">
        <v>0</v>
      </c>
      <c r="O1071">
        <v>3.8761869999999997E-2</v>
      </c>
      <c r="P1071">
        <v>0.99454669999999901</v>
      </c>
      <c r="Q1071">
        <v>2.2875179999999901E-3</v>
      </c>
      <c r="R1071">
        <v>0.10426779999999999</v>
      </c>
      <c r="S1071">
        <v>3.0697329999999998</v>
      </c>
      <c r="T1071">
        <v>-0.14172199999999999</v>
      </c>
      <c r="U1071">
        <v>-0.50399780000000005</v>
      </c>
      <c r="V1071">
        <v>-6.5645399999999896E-2</v>
      </c>
      <c r="W1071">
        <v>1.6244950000000001E-2</v>
      </c>
      <c r="X1071">
        <v>0.99771080000000001</v>
      </c>
      <c r="Y1071">
        <v>0.19989770000000001</v>
      </c>
      <c r="Z1071">
        <v>-6.3592739999999998E-3</v>
      </c>
      <c r="AA1071">
        <v>0.97979609999999995</v>
      </c>
      <c r="AB1071">
        <v>30</v>
      </c>
      <c r="AC1071">
        <v>23.7136999999999</v>
      </c>
      <c r="AD1071">
        <v>-1.104701610554</v>
      </c>
      <c r="AE1071">
        <v>-3.93720000000001</v>
      </c>
      <c r="AF1071">
        <v>4.8432895068219901</v>
      </c>
      <c r="AG1071">
        <v>-1.104701610554</v>
      </c>
      <c r="AH1071">
        <v>23.493629717167401</v>
      </c>
      <c r="AI1071">
        <v>92.6367739051027</v>
      </c>
      <c r="AJ1071">
        <v>78.351473451663395</v>
      </c>
      <c r="AK1071">
        <v>24.013089267785301</v>
      </c>
    </row>
    <row r="1072" spans="1:37" x14ac:dyDescent="0.2">
      <c r="A1072" t="str">
        <f>"20200111155813457"</f>
        <v>20200111155813457</v>
      </c>
      <c r="B1072" t="str">
        <f>"1578729493452296"</f>
        <v>1578729493452296</v>
      </c>
      <c r="C1072" t="s">
        <v>37</v>
      </c>
      <c r="D1072">
        <v>5.4758680000000002</v>
      </c>
      <c r="E1072">
        <v>0.60396759999999905</v>
      </c>
      <c r="F1072" t="s">
        <v>39</v>
      </c>
      <c r="G1072">
        <v>-233.9984</v>
      </c>
      <c r="H1072" s="1">
        <v>-3.5773789999999999E-6</v>
      </c>
      <c r="I1072">
        <v>363.8639</v>
      </c>
      <c r="J1072">
        <v>-257.47919999999999</v>
      </c>
      <c r="K1072">
        <v>1.104695</v>
      </c>
      <c r="L1072">
        <v>367.7663</v>
      </c>
      <c r="M1072">
        <v>0.99914259999999999</v>
      </c>
      <c r="N1072">
        <v>0</v>
      </c>
      <c r="O1072">
        <v>3.8947790000000003E-2</v>
      </c>
      <c r="P1072">
        <v>0.99454959999999903</v>
      </c>
      <c r="Q1072">
        <v>2.524208E-3</v>
      </c>
      <c r="R1072">
        <v>0.1042341</v>
      </c>
      <c r="S1072">
        <v>3.0698089999999998</v>
      </c>
      <c r="T1072">
        <v>-0.14336989999999999</v>
      </c>
      <c r="U1072">
        <v>-0.50555419999999995</v>
      </c>
      <c r="V1072">
        <v>-6.5426269999999995E-2</v>
      </c>
      <c r="W1072">
        <v>1.6497640000000001E-2</v>
      </c>
      <c r="X1072">
        <v>0.99772099999999897</v>
      </c>
      <c r="Y1072">
        <v>0.20055309999999901</v>
      </c>
      <c r="Z1072">
        <v>-6.4565509999999996E-3</v>
      </c>
      <c r="AA1072">
        <v>0.97966160000000002</v>
      </c>
      <c r="AB1072">
        <v>30</v>
      </c>
      <c r="AC1072">
        <v>23.480799999999899</v>
      </c>
      <c r="AD1072">
        <v>-1.1046985773789999</v>
      </c>
      <c r="AE1072">
        <v>-3.9024000000000001</v>
      </c>
      <c r="AF1072">
        <v>4.8037070967048701</v>
      </c>
      <c r="AG1072">
        <v>-1.1046985773789999</v>
      </c>
      <c r="AH1072">
        <v>23.260873536985098</v>
      </c>
      <c r="AI1072">
        <v>92.662923187037805</v>
      </c>
      <c r="AJ1072">
        <v>78.331625154732095</v>
      </c>
      <c r="AK1072">
        <v>23.777388387318901</v>
      </c>
    </row>
    <row r="1073" spans="1:37" x14ac:dyDescent="0.2">
      <c r="A1073" t="str">
        <f>"20200111155813469"</f>
        <v>20200111155813469</v>
      </c>
      <c r="B1073" t="str">
        <f>"1578729493462056"</f>
        <v>1578729493462056</v>
      </c>
      <c r="C1073" t="s">
        <v>37</v>
      </c>
      <c r="D1073">
        <v>5.477366</v>
      </c>
      <c r="E1073">
        <v>0.60411999999999999</v>
      </c>
      <c r="F1073" t="s">
        <v>39</v>
      </c>
      <c r="G1073">
        <v>-233.93860000000001</v>
      </c>
      <c r="H1073" s="1">
        <v>-3.6000409999999999E-6</v>
      </c>
      <c r="I1073">
        <v>363.8809</v>
      </c>
      <c r="J1073">
        <v>-257.30349999999999</v>
      </c>
      <c r="K1073">
        <v>1.104695</v>
      </c>
      <c r="L1073">
        <v>367.77330000000001</v>
      </c>
      <c r="M1073">
        <v>0.999135</v>
      </c>
      <c r="N1073">
        <v>0</v>
      </c>
      <c r="O1073">
        <v>3.9135740000000002E-2</v>
      </c>
      <c r="P1073">
        <v>0.99456639999999996</v>
      </c>
      <c r="Q1073">
        <v>2.9294490000000002E-3</v>
      </c>
      <c r="R1073">
        <v>0.10406359999999901</v>
      </c>
      <c r="S1073">
        <v>3.06988499999999</v>
      </c>
      <c r="T1073">
        <v>-0.1440612</v>
      </c>
      <c r="U1073">
        <v>-0.50668329999999995</v>
      </c>
      <c r="V1073">
        <v>-6.5067570000000005E-2</v>
      </c>
      <c r="W1073">
        <v>1.6917680000000001E-2</v>
      </c>
      <c r="X1073">
        <v>0.99773750000000005</v>
      </c>
      <c r="Y1073">
        <v>0.20108099999999901</v>
      </c>
      <c r="Z1073">
        <v>-6.508364E-3</v>
      </c>
      <c r="AA1073">
        <v>0.97955300000000001</v>
      </c>
      <c r="AB1073">
        <v>30</v>
      </c>
      <c r="AC1073">
        <v>23.364899999999899</v>
      </c>
      <c r="AD1073">
        <v>-1.104698600041</v>
      </c>
      <c r="AE1073">
        <v>-3.8923999999999999</v>
      </c>
      <c r="AF1073">
        <v>4.7934843727477299</v>
      </c>
      <c r="AG1073">
        <v>-1.104698600041</v>
      </c>
      <c r="AH1073">
        <v>23.1443094382313</v>
      </c>
      <c r="AI1073">
        <v>92.675998203577507</v>
      </c>
      <c r="AJ1073">
        <v>78.298745927918404</v>
      </c>
      <c r="AK1073">
        <v>23.661295628120399</v>
      </c>
    </row>
    <row r="1074" spans="1:37" x14ac:dyDescent="0.2">
      <c r="A1074" t="str">
        <f>"20200111155813482"</f>
        <v>20200111155813482</v>
      </c>
      <c r="B1074" t="str">
        <f>"1578729493471818"</f>
        <v>1578729493471818</v>
      </c>
      <c r="C1074" t="s">
        <v>37</v>
      </c>
      <c r="D1074">
        <v>5.4805820000000001</v>
      </c>
      <c r="E1074">
        <v>0.6042208</v>
      </c>
      <c r="F1074" t="s">
        <v>39</v>
      </c>
      <c r="G1074">
        <v>-233.7056</v>
      </c>
      <c r="H1074" s="1">
        <v>-3.7028919999999999E-6</v>
      </c>
      <c r="I1074">
        <v>363.86450000000002</v>
      </c>
      <c r="J1074">
        <v>-257.13170000000002</v>
      </c>
      <c r="K1074">
        <v>1.104697</v>
      </c>
      <c r="L1074">
        <v>367.78019999999998</v>
      </c>
      <c r="M1074">
        <v>0.99912769999999995</v>
      </c>
      <c r="N1074">
        <v>0</v>
      </c>
      <c r="O1074">
        <v>3.9318180000000001E-2</v>
      </c>
      <c r="P1074">
        <v>0.99457099999999898</v>
      </c>
      <c r="Q1074">
        <v>3.1173249999999998E-3</v>
      </c>
      <c r="R1074">
        <v>0.10401489999999999</v>
      </c>
      <c r="S1074">
        <v>3.0699919999999898</v>
      </c>
      <c r="T1074">
        <v>-0.14371629999999999</v>
      </c>
      <c r="U1074">
        <v>-0.50851440000000003</v>
      </c>
      <c r="V1074">
        <v>-6.483614E-2</v>
      </c>
      <c r="W1074">
        <v>1.7119829999999999E-2</v>
      </c>
      <c r="X1074">
        <v>0.997749</v>
      </c>
      <c r="Y1074">
        <v>0.20182339999999999</v>
      </c>
      <c r="Z1074">
        <v>-6.5180069999999897E-3</v>
      </c>
      <c r="AA1074">
        <v>0.97940020000000005</v>
      </c>
      <c r="AB1074">
        <v>30</v>
      </c>
      <c r="AC1074">
        <v>23.426100000000002</v>
      </c>
      <c r="AD1074">
        <v>-1.104700702892</v>
      </c>
      <c r="AE1074">
        <v>-3.91569999999995</v>
      </c>
      <c r="AF1074">
        <v>4.8233997508994104</v>
      </c>
      <c r="AG1074">
        <v>-1.104700702892</v>
      </c>
      <c r="AH1074">
        <v>23.203811165456401</v>
      </c>
      <c r="AI1074">
        <v>92.668749192001201</v>
      </c>
      <c r="AJ1074">
        <v>78.257100498136495</v>
      </c>
      <c r="AK1074">
        <v>23.725564301025699</v>
      </c>
    </row>
    <row r="1075" spans="1:37" x14ac:dyDescent="0.2">
      <c r="A1075" t="str">
        <f>"20200111155813496"</f>
        <v>20200111155813496</v>
      </c>
      <c r="B1075" t="str">
        <f>"1578729493492312"</f>
        <v>1578729493492312</v>
      </c>
      <c r="C1075" t="s">
        <v>37</v>
      </c>
      <c r="D1075">
        <v>5.4836029999999996</v>
      </c>
      <c r="E1075">
        <v>0.60442669999999998</v>
      </c>
      <c r="F1075" t="s">
        <v>39</v>
      </c>
      <c r="G1075">
        <v>-233.55070000000001</v>
      </c>
      <c r="H1075" s="1">
        <v>-3.7687849999999899E-6</v>
      </c>
      <c r="I1075">
        <v>363.86750000000001</v>
      </c>
      <c r="J1075">
        <v>-256.9597</v>
      </c>
      <c r="K1075">
        <v>1.1047</v>
      </c>
      <c r="L1075">
        <v>367.78719999999998</v>
      </c>
      <c r="M1075">
        <v>0.99912019999999901</v>
      </c>
      <c r="N1075">
        <v>0</v>
      </c>
      <c r="O1075">
        <v>3.950062E-2</v>
      </c>
      <c r="P1075">
        <v>0.99458480000000005</v>
      </c>
      <c r="Q1075">
        <v>3.6458469999999998E-3</v>
      </c>
      <c r="R1075">
        <v>0.10386479999999999</v>
      </c>
      <c r="S1075">
        <v>3.070068</v>
      </c>
      <c r="T1075">
        <v>-0.14382329999999999</v>
      </c>
      <c r="U1075">
        <v>-0.50939939999999995</v>
      </c>
      <c r="V1075">
        <v>-6.4503909999999998E-2</v>
      </c>
      <c r="W1075">
        <v>1.7660479999999999E-2</v>
      </c>
      <c r="X1075">
        <v>0.99776119999999902</v>
      </c>
      <c r="Y1075">
        <v>0.20227200000000001</v>
      </c>
      <c r="Z1075">
        <v>-6.5414669999999996E-3</v>
      </c>
      <c r="AA1075">
        <v>0.9793075</v>
      </c>
      <c r="AB1075">
        <v>30</v>
      </c>
      <c r="AC1075">
        <v>23.408999999999899</v>
      </c>
      <c r="AD1075">
        <v>-1.1047037687850001</v>
      </c>
      <c r="AE1075">
        <v>-3.91969999999997</v>
      </c>
      <c r="AF1075">
        <v>4.83093684052771</v>
      </c>
      <c r="AG1075">
        <v>-1.1047037687850001</v>
      </c>
      <c r="AH1075">
        <v>23.185653876672301</v>
      </c>
      <c r="AI1075">
        <v>92.670584006054099</v>
      </c>
      <c r="AJ1075">
        <v>78.230308324477804</v>
      </c>
      <c r="AK1075">
        <v>23.709341341816899</v>
      </c>
    </row>
    <row r="1076" spans="1:37" x14ac:dyDescent="0.2">
      <c r="A1076" t="str">
        <f>"20200111155813510"</f>
        <v>20200111155813510</v>
      </c>
      <c r="B1076" t="str">
        <f>"1578729493502072"</f>
        <v>1578729493502072</v>
      </c>
      <c r="C1076" t="s">
        <v>37</v>
      </c>
      <c r="D1076">
        <v>5.479133</v>
      </c>
      <c r="E1076">
        <v>0.60459770000000002</v>
      </c>
      <c r="F1076" t="s">
        <v>39</v>
      </c>
      <c r="G1076">
        <v>-233.3612</v>
      </c>
      <c r="H1076" s="1">
        <v>-3.852072E-6</v>
      </c>
      <c r="I1076">
        <v>363.85640000000001</v>
      </c>
      <c r="J1076">
        <v>-256.76319999999998</v>
      </c>
      <c r="K1076">
        <v>1.1047069999999899</v>
      </c>
      <c r="L1076">
        <v>367.79520000000002</v>
      </c>
      <c r="M1076">
        <v>0.99911190000000005</v>
      </c>
      <c r="N1076">
        <v>0</v>
      </c>
      <c r="O1076">
        <v>3.97087E-2</v>
      </c>
      <c r="P1076">
        <v>0.99463469999999998</v>
      </c>
      <c r="Q1076">
        <v>4.6100389999999998E-3</v>
      </c>
      <c r="R1076">
        <v>0.103348299999999</v>
      </c>
      <c r="S1076">
        <v>3.0702970000000001</v>
      </c>
      <c r="T1076">
        <v>-0.14372750000000001</v>
      </c>
      <c r="U1076">
        <v>-0.51141359999999902</v>
      </c>
      <c r="V1076">
        <v>-6.3778650000000006E-2</v>
      </c>
      <c r="W1076">
        <v>1.8638310000000002E-2</v>
      </c>
      <c r="X1076">
        <v>0.99778999999999995</v>
      </c>
      <c r="Y1076">
        <v>0.20308860000000001</v>
      </c>
      <c r="Z1076">
        <v>-6.5649469999999998E-3</v>
      </c>
      <c r="AA1076">
        <v>0.97913839999999996</v>
      </c>
      <c r="AB1076">
        <v>30</v>
      </c>
      <c r="AC1076">
        <v>23.401999999999902</v>
      </c>
      <c r="AD1076">
        <v>-1.1047108520719999</v>
      </c>
      <c r="AE1076">
        <v>-3.9388000000000098</v>
      </c>
      <c r="AF1076">
        <v>4.85452837003014</v>
      </c>
      <c r="AG1076">
        <v>-1.1047108520719999</v>
      </c>
      <c r="AH1076">
        <v>23.176894582532</v>
      </c>
      <c r="AI1076">
        <v>92.671023404667295</v>
      </c>
      <c r="AJ1076">
        <v>78.170103225612095</v>
      </c>
      <c r="AK1076">
        <v>23.705595842583602</v>
      </c>
    </row>
    <row r="1077" spans="1:37" x14ac:dyDescent="0.2">
      <c r="A1077" t="str">
        <f>"20200111155813524"</f>
        <v>20200111155813524</v>
      </c>
      <c r="B1077" t="str">
        <f>"1578729493511833"</f>
        <v>1578729493511833</v>
      </c>
      <c r="C1077" t="s">
        <v>37</v>
      </c>
      <c r="D1077">
        <v>5.5027869999999997</v>
      </c>
      <c r="E1077">
        <v>0.604657</v>
      </c>
      <c r="F1077" t="s">
        <v>39</v>
      </c>
      <c r="G1077">
        <v>-232.5968</v>
      </c>
      <c r="H1077" s="1">
        <v>-4.1996679999999998E-6</v>
      </c>
      <c r="I1077">
        <v>363.74549999999999</v>
      </c>
      <c r="J1077">
        <v>-256.57119999999998</v>
      </c>
      <c r="K1077">
        <v>1.1047069999999899</v>
      </c>
      <c r="L1077">
        <v>367.803</v>
      </c>
      <c r="M1077">
        <v>0.99910370000000004</v>
      </c>
      <c r="N1077">
        <v>0</v>
      </c>
      <c r="O1077">
        <v>3.99119E-2</v>
      </c>
      <c r="P1077">
        <v>0.99464730000000001</v>
      </c>
      <c r="Q1077">
        <v>4.9712599999999999E-3</v>
      </c>
      <c r="R1077">
        <v>0.103209199999999</v>
      </c>
      <c r="S1077">
        <v>3.0702970000000001</v>
      </c>
      <c r="T1077">
        <v>-0.14035069999999999</v>
      </c>
      <c r="U1077">
        <v>-0.51449579999999995</v>
      </c>
      <c r="V1077">
        <v>-6.3436110000000004E-2</v>
      </c>
      <c r="W1077">
        <v>1.9011610000000002E-2</v>
      </c>
      <c r="X1077">
        <v>0.99780480000000005</v>
      </c>
      <c r="Y1077">
        <v>0.20425450000000001</v>
      </c>
      <c r="Z1077">
        <v>-6.4460309999999996E-3</v>
      </c>
      <c r="AA1077">
        <v>0.97889660000000001</v>
      </c>
      <c r="AB1077">
        <v>30</v>
      </c>
      <c r="AC1077">
        <v>23.9743999999999</v>
      </c>
      <c r="AD1077">
        <v>-1.1047111996679999</v>
      </c>
      <c r="AE1077">
        <v>-4.0575000000000596</v>
      </c>
      <c r="AF1077">
        <v>5.0009028324535896</v>
      </c>
      <c r="AG1077">
        <v>-1.1047111996679999</v>
      </c>
      <c r="AH1077">
        <v>23.744323430474701</v>
      </c>
      <c r="AI1077">
        <v>92.606675678195401</v>
      </c>
      <c r="AJ1077">
        <v>78.106494595917596</v>
      </c>
      <c r="AK1077">
        <v>24.2903748662985</v>
      </c>
    </row>
    <row r="1078" spans="1:37" x14ac:dyDescent="0.2">
      <c r="A1078" t="str">
        <f>"20200111155813538"</f>
        <v>20200111155813538</v>
      </c>
      <c r="B1078" t="str">
        <f>"1578729493532328"</f>
        <v>1578729493532328</v>
      </c>
      <c r="C1078" t="s">
        <v>37</v>
      </c>
      <c r="D1078">
        <v>5.498367</v>
      </c>
      <c r="E1078">
        <v>0.60483549999999997</v>
      </c>
      <c r="F1078" t="s">
        <v>39</v>
      </c>
      <c r="G1078">
        <v>-232.27500000000001</v>
      </c>
      <c r="H1078" s="1">
        <v>-4.34147299999999E-6</v>
      </c>
      <c r="I1078">
        <v>363.7244</v>
      </c>
      <c r="J1078">
        <v>-256.39019999999999</v>
      </c>
      <c r="K1078">
        <v>1.1047100000000001</v>
      </c>
      <c r="L1078">
        <v>367.81049999999999</v>
      </c>
      <c r="M1078">
        <v>0.99909590000000004</v>
      </c>
      <c r="N1078">
        <v>0</v>
      </c>
      <c r="O1078">
        <v>4.010362E-2</v>
      </c>
      <c r="P1078">
        <v>0.99464379999999997</v>
      </c>
      <c r="Q1078">
        <v>5.3560079999999998E-3</v>
      </c>
      <c r="R1078">
        <v>0.10322429999999901</v>
      </c>
      <c r="S1078">
        <v>3.0703279999999999</v>
      </c>
      <c r="T1078">
        <v>-0.1396027</v>
      </c>
      <c r="U1078">
        <v>-0.51541139999999996</v>
      </c>
      <c r="V1078">
        <v>-6.3260060000000007E-2</v>
      </c>
      <c r="W1078">
        <v>1.940588E-2</v>
      </c>
      <c r="X1078">
        <v>0.99780840000000004</v>
      </c>
      <c r="Y1078">
        <v>0.20472670000000001</v>
      </c>
      <c r="Z1078">
        <v>-6.4308079999999997E-3</v>
      </c>
      <c r="AA1078">
        <v>0.97879799999999995</v>
      </c>
      <c r="AB1078">
        <v>30</v>
      </c>
      <c r="AC1078">
        <v>24.115199999999898</v>
      </c>
      <c r="AD1078">
        <v>-1.1047143414730001</v>
      </c>
      <c r="AE1078">
        <v>-4.0860999999999796</v>
      </c>
      <c r="AF1078">
        <v>5.0397343427852697</v>
      </c>
      <c r="AG1078">
        <v>-1.1047143414730001</v>
      </c>
      <c r="AH1078">
        <v>23.883191221298599</v>
      </c>
      <c r="AI1078">
        <v>92.591337745604207</v>
      </c>
      <c r="AJ1078">
        <v>78.084481125813298</v>
      </c>
      <c r="AK1078">
        <v>24.4341183375873</v>
      </c>
    </row>
    <row r="1079" spans="1:37" x14ac:dyDescent="0.2">
      <c r="A1079" t="str">
        <f>"20200111155813556"</f>
        <v>20200111155813556</v>
      </c>
      <c r="B1079" t="str">
        <f>"1578729493552623"</f>
        <v>1578729493552623</v>
      </c>
      <c r="C1079" t="s">
        <v>37</v>
      </c>
      <c r="D1079">
        <v>5.7891349999999999</v>
      </c>
      <c r="E1079">
        <v>0.57990629999999999</v>
      </c>
      <c r="F1079" t="s">
        <v>39</v>
      </c>
      <c r="G1079">
        <v>-232.18129999999999</v>
      </c>
      <c r="H1079" s="1">
        <v>-4.3797319999999998E-6</v>
      </c>
      <c r="I1079">
        <v>363.7353</v>
      </c>
      <c r="J1079">
        <v>-256.15899999999999</v>
      </c>
      <c r="K1079">
        <v>1.1047119999999999</v>
      </c>
      <c r="L1079">
        <v>367.82010000000002</v>
      </c>
      <c r="M1079">
        <v>0.99908580000000002</v>
      </c>
      <c r="N1079">
        <v>0</v>
      </c>
      <c r="O1079">
        <v>4.0349389999999999E-2</v>
      </c>
      <c r="P1079">
        <v>0.99464169999999996</v>
      </c>
      <c r="Q1079">
        <v>5.9077319999999997E-3</v>
      </c>
      <c r="R1079">
        <v>0.10321379999999999</v>
      </c>
      <c r="S1079">
        <v>3.0705259999999899</v>
      </c>
      <c r="T1079">
        <v>-0.140115299999999</v>
      </c>
      <c r="U1079">
        <v>-0.51687620000000001</v>
      </c>
      <c r="V1079">
        <v>-6.3004320000000003E-2</v>
      </c>
      <c r="W1079">
        <v>1.9968920000000001E-2</v>
      </c>
      <c r="X1079">
        <v>0.99781350000000002</v>
      </c>
      <c r="Y1079">
        <v>0.20540849999999999</v>
      </c>
      <c r="Z1079">
        <v>-6.4803229999999996E-3</v>
      </c>
      <c r="AA1079">
        <v>0.97865489999999999</v>
      </c>
      <c r="AB1079">
        <v>30</v>
      </c>
      <c r="AC1079">
        <v>23.977699999999999</v>
      </c>
      <c r="AD1079">
        <v>-1.1047163797320001</v>
      </c>
      <c r="AE1079">
        <v>-4.0848000000000297</v>
      </c>
      <c r="AF1079">
        <v>5.0386610255686</v>
      </c>
      <c r="AG1079">
        <v>-1.1047163797320001</v>
      </c>
      <c r="AH1079">
        <v>23.744353402800499</v>
      </c>
      <c r="AI1079">
        <v>92.605847198015596</v>
      </c>
      <c r="AJ1079">
        <v>78.019295559169393</v>
      </c>
      <c r="AK1079">
        <v>24.2982061421685</v>
      </c>
    </row>
    <row r="1080" spans="1:37" x14ac:dyDescent="0.2">
      <c r="A1080" t="str">
        <f>"20200111155813572"</f>
        <v>20200111155813572</v>
      </c>
      <c r="B1080" t="str">
        <f>"1578729493562383"</f>
        <v>1578729493562383</v>
      </c>
      <c r="C1080" t="s">
        <v>37</v>
      </c>
      <c r="D1080">
        <v>5.7493099999999897</v>
      </c>
      <c r="E1080">
        <v>0.57035290000000005</v>
      </c>
      <c r="F1080" t="s">
        <v>39</v>
      </c>
      <c r="G1080">
        <v>-239.22909999999999</v>
      </c>
      <c r="H1080" s="1">
        <v>-1.194462E-6</v>
      </c>
      <c r="I1080">
        <v>366.06079999999997</v>
      </c>
      <c r="J1080">
        <v>-255.95419999999999</v>
      </c>
      <c r="K1080">
        <v>1.1047129999999901</v>
      </c>
      <c r="L1080">
        <v>367.82859999999999</v>
      </c>
      <c r="M1080">
        <v>0.99907679999999999</v>
      </c>
      <c r="N1080">
        <v>0</v>
      </c>
      <c r="O1080">
        <v>4.056763E-2</v>
      </c>
      <c r="P1080">
        <v>0.99460800000000005</v>
      </c>
      <c r="Q1080">
        <v>6.1034100000000001E-3</v>
      </c>
      <c r="R1080">
        <v>0.1035267</v>
      </c>
      <c r="S1080">
        <v>3.0502009999999999</v>
      </c>
      <c r="T1080">
        <v>-0.19903199999999999</v>
      </c>
      <c r="U1080">
        <v>-0.316955599999999</v>
      </c>
      <c r="V1080">
        <v>-6.3100669999999998E-2</v>
      </c>
      <c r="W1080">
        <v>2.017296E-2</v>
      </c>
      <c r="X1080">
        <v>0.99780329999999995</v>
      </c>
      <c r="Y1080">
        <v>0.1432387</v>
      </c>
      <c r="Z1080">
        <v>-7.294193E-3</v>
      </c>
      <c r="AA1080">
        <v>0.98966129999999997</v>
      </c>
      <c r="AB1080">
        <v>30</v>
      </c>
      <c r="AC1080">
        <v>16.725099999999902</v>
      </c>
      <c r="AD1080">
        <v>-1.10471419446199</v>
      </c>
      <c r="AE1080">
        <v>-1.76780000000002</v>
      </c>
      <c r="AF1080">
        <v>2.4344064981025899</v>
      </c>
      <c r="AG1080">
        <v>-1.10471419446199</v>
      </c>
      <c r="AH1080">
        <v>16.568122131933801</v>
      </c>
      <c r="AI1080">
        <v>93.774264099610093</v>
      </c>
      <c r="AJ1080">
        <v>81.641161722498197</v>
      </c>
      <c r="AK1080">
        <v>16.782413397009499</v>
      </c>
    </row>
    <row r="1081" spans="1:37" x14ac:dyDescent="0.2">
      <c r="A1081" t="str">
        <f>"20200111155813590"</f>
        <v>20200111155813590</v>
      </c>
      <c r="B1081" t="str">
        <f>"1578729493581902"</f>
        <v>1578729493581902</v>
      </c>
      <c r="C1081" t="s">
        <v>37</v>
      </c>
      <c r="D1081">
        <v>5.7584879999999998</v>
      </c>
      <c r="E1081">
        <v>0.56261909999999904</v>
      </c>
      <c r="F1081" t="s">
        <v>38</v>
      </c>
      <c r="G1081">
        <v>-255.04519999999999</v>
      </c>
      <c r="H1081">
        <v>1.04157099999999</v>
      </c>
      <c r="I1081">
        <v>367.7568</v>
      </c>
      <c r="J1081">
        <v>-255.70689999999999</v>
      </c>
      <c r="K1081">
        <v>1.1047089999999999</v>
      </c>
      <c r="L1081">
        <v>367.83890000000002</v>
      </c>
      <c r="M1081">
        <v>0.99906600000000001</v>
      </c>
      <c r="N1081">
        <v>0</v>
      </c>
      <c r="O1081">
        <v>4.0831060000000002E-2</v>
      </c>
      <c r="P1081">
        <v>0.99452689999999999</v>
      </c>
      <c r="Q1081">
        <v>6.0998040000000003E-3</v>
      </c>
      <c r="R1081">
        <v>0.1043038</v>
      </c>
      <c r="S1081">
        <v>3.0425110000000002</v>
      </c>
      <c r="T1081">
        <v>-0.21159029999999901</v>
      </c>
      <c r="U1081">
        <v>-0.23965449999999999</v>
      </c>
      <c r="V1081">
        <v>-6.3616889999999995E-2</v>
      </c>
      <c r="W1081">
        <v>2.01782E-2</v>
      </c>
      <c r="X1081">
        <v>0.99777039999999995</v>
      </c>
      <c r="Y1081">
        <v>0.11878560000000001</v>
      </c>
      <c r="Z1081">
        <v>-6.95172699999999E-3</v>
      </c>
      <c r="AA1081">
        <v>0.99289559999999999</v>
      </c>
      <c r="AB1081">
        <v>30</v>
      </c>
      <c r="AC1081">
        <v>0.66169999999999596</v>
      </c>
      <c r="AD1081">
        <v>-6.3138000000000097E-2</v>
      </c>
      <c r="AE1081">
        <v>-8.2100000000025306E-2</v>
      </c>
      <c r="AF1081">
        <v>0.108083004244539</v>
      </c>
      <c r="AG1081">
        <v>-6.3138000000000097E-2</v>
      </c>
      <c r="AH1081">
        <v>0.65194977956394695</v>
      </c>
      <c r="AI1081">
        <v>95.457521625386207</v>
      </c>
      <c r="AJ1081">
        <v>80.586877203463104</v>
      </c>
      <c r="AK1081">
        <v>0.663857558459648</v>
      </c>
    </row>
    <row r="1082" spans="1:37" x14ac:dyDescent="0.2">
      <c r="A1082" t="str">
        <f>"20200111155813612"</f>
        <v>20200111155813612</v>
      </c>
      <c r="B1082" t="str">
        <f>"1578729493602399"</f>
        <v>1578729493602399</v>
      </c>
      <c r="C1082" t="s">
        <v>37</v>
      </c>
      <c r="D1082">
        <v>5.9805570000000001</v>
      </c>
      <c r="E1082">
        <v>0.56028459999999902</v>
      </c>
      <c r="F1082" t="s">
        <v>38</v>
      </c>
      <c r="G1082">
        <v>-254.7859</v>
      </c>
      <c r="H1082">
        <v>1.034351</v>
      </c>
      <c r="I1082">
        <v>367.78559999999999</v>
      </c>
      <c r="J1082">
        <v>-255.41669999999999</v>
      </c>
      <c r="K1082">
        <v>1.104706</v>
      </c>
      <c r="L1082">
        <v>367.85120000000001</v>
      </c>
      <c r="M1082">
        <v>0.99905309999999903</v>
      </c>
      <c r="N1082">
        <v>0</v>
      </c>
      <c r="O1082">
        <v>4.1141499999999998E-2</v>
      </c>
      <c r="P1082">
        <v>0.9943748</v>
      </c>
      <c r="Q1082">
        <v>5.9533349999999997E-3</v>
      </c>
      <c r="R1082">
        <v>0.1057514</v>
      </c>
      <c r="S1082">
        <v>3.0363009999999999</v>
      </c>
      <c r="T1082">
        <v>-0.23211470000000001</v>
      </c>
      <c r="U1082">
        <v>-0.17532349999999999</v>
      </c>
      <c r="V1082">
        <v>-6.4759349999999993E-2</v>
      </c>
      <c r="W1082">
        <v>2.0038520000000001E-2</v>
      </c>
      <c r="X1082">
        <v>0.99769969999999997</v>
      </c>
      <c r="Y1082">
        <v>9.8269220000000004E-2</v>
      </c>
      <c r="Z1082">
        <v>-6.8861130000000001E-3</v>
      </c>
      <c r="AA1082">
        <v>0.99513600000000002</v>
      </c>
      <c r="AB1082">
        <v>30</v>
      </c>
      <c r="AC1082">
        <v>0.63079999999999303</v>
      </c>
      <c r="AD1082">
        <v>-7.0354999999999904E-2</v>
      </c>
      <c r="AE1082">
        <v>-6.5600000000017603E-2</v>
      </c>
      <c r="AF1082">
        <v>9.0386759194096403E-2</v>
      </c>
      <c r="AG1082">
        <v>-7.0354999999999904E-2</v>
      </c>
      <c r="AH1082">
        <v>0.61993739507453505</v>
      </c>
      <c r="AI1082">
        <v>96.407466576355105</v>
      </c>
      <c r="AJ1082">
        <v>81.704735353544194</v>
      </c>
      <c r="AK1082">
        <v>0.63042998506924697</v>
      </c>
    </row>
    <row r="1083" spans="1:37" x14ac:dyDescent="0.2">
      <c r="A1083" t="str">
        <f>"20200111155813634"</f>
        <v>20200111155813634</v>
      </c>
      <c r="B1083" t="str">
        <f>"1578729493621917"</f>
        <v>1578729493621917</v>
      </c>
      <c r="C1083" t="s">
        <v>37</v>
      </c>
      <c r="D1083">
        <v>5.7278880000000001</v>
      </c>
      <c r="E1083">
        <v>0.55950279999999997</v>
      </c>
      <c r="F1083" t="s">
        <v>38</v>
      </c>
      <c r="G1083">
        <v>-254.51900000000001</v>
      </c>
      <c r="H1083">
        <v>1.0407230000000001</v>
      </c>
      <c r="I1083">
        <v>367.80549999999999</v>
      </c>
      <c r="J1083">
        <v>-255.12700000000001</v>
      </c>
      <c r="K1083">
        <v>1.104708</v>
      </c>
      <c r="L1083">
        <v>367.86349999999999</v>
      </c>
      <c r="M1083">
        <v>0.99904020000000004</v>
      </c>
      <c r="N1083">
        <v>0</v>
      </c>
      <c r="O1083">
        <v>4.1451780000000001E-2</v>
      </c>
      <c r="P1083">
        <v>0.99428639999999902</v>
      </c>
      <c r="Q1083">
        <v>5.4603009999999999E-3</v>
      </c>
      <c r="R1083">
        <v>0.1066068</v>
      </c>
      <c r="S1083">
        <v>3.034592</v>
      </c>
      <c r="T1083">
        <v>-0.21674450000000001</v>
      </c>
      <c r="U1083">
        <v>-0.15316769999999999</v>
      </c>
      <c r="V1083">
        <v>-6.5307089999999998E-2</v>
      </c>
      <c r="W1083">
        <v>1.9552239999999999E-2</v>
      </c>
      <c r="X1083">
        <v>0.99767359999999905</v>
      </c>
      <c r="Y1083">
        <v>9.143184E-2</v>
      </c>
      <c r="Z1083">
        <v>-6.2144890000000001E-3</v>
      </c>
      <c r="AA1083">
        <v>0.99579200000000001</v>
      </c>
      <c r="AB1083">
        <v>30</v>
      </c>
      <c r="AC1083">
        <v>0.60800000000000398</v>
      </c>
      <c r="AD1083">
        <v>-6.3984999999999903E-2</v>
      </c>
      <c r="AE1083">
        <v>-5.7999999999992703E-2</v>
      </c>
      <c r="AF1083">
        <v>8.2252603699442303E-2</v>
      </c>
      <c r="AG1083">
        <v>-6.3984999999999903E-2</v>
      </c>
      <c r="AH1083">
        <v>0.59850413835550198</v>
      </c>
      <c r="AI1083">
        <v>96.045810917730293</v>
      </c>
      <c r="AJ1083">
        <v>82.174842902305201</v>
      </c>
      <c r="AK1083">
        <v>0.60750866221725497</v>
      </c>
    </row>
    <row r="1084" spans="1:37" x14ac:dyDescent="0.2">
      <c r="A1084" t="str">
        <f>"20200111155813647"</f>
        <v>20200111155813647</v>
      </c>
      <c r="B1084" t="str">
        <f>"1578729493642414"</f>
        <v>1578729493642414</v>
      </c>
      <c r="C1084" t="s">
        <v>37</v>
      </c>
      <c r="D1084">
        <v>5.7162519999999999</v>
      </c>
      <c r="E1084">
        <v>0.55798769999999998</v>
      </c>
      <c r="F1084" t="s">
        <v>38</v>
      </c>
      <c r="G1084">
        <v>-254.24940000000001</v>
      </c>
      <c r="H1084">
        <v>1.0485580000000001</v>
      </c>
      <c r="I1084">
        <v>367.82130000000001</v>
      </c>
      <c r="J1084">
        <v>-254.94659999999999</v>
      </c>
      <c r="K1084">
        <v>1.1047049999999901</v>
      </c>
      <c r="L1084">
        <v>367.87119999999999</v>
      </c>
      <c r="M1084">
        <v>0.99903209999999998</v>
      </c>
      <c r="N1084">
        <v>0</v>
      </c>
      <c r="O1084">
        <v>4.1644979999999998E-2</v>
      </c>
      <c r="P1084">
        <v>0.99423669999999997</v>
      </c>
      <c r="Q1084">
        <v>5.0497210000000001E-3</v>
      </c>
      <c r="R1084">
        <v>0.107087899999999</v>
      </c>
      <c r="S1084">
        <v>3.0339200000000002</v>
      </c>
      <c r="T1084">
        <v>-0.1941717</v>
      </c>
      <c r="U1084">
        <v>-0.14544679999999999</v>
      </c>
      <c r="V1084">
        <v>-6.559682E-2</v>
      </c>
      <c r="W1084">
        <v>1.9145579999999999E-2</v>
      </c>
      <c r="X1084">
        <v>0.99766250000000001</v>
      </c>
      <c r="Y1084">
        <v>8.9177919999999994E-2</v>
      </c>
      <c r="Z1084">
        <v>-5.5105550000000003E-3</v>
      </c>
      <c r="AA1084">
        <v>0.99600049999999996</v>
      </c>
      <c r="AB1084">
        <v>30</v>
      </c>
      <c r="AC1084">
        <v>0.69719999999998095</v>
      </c>
      <c r="AD1084">
        <v>-5.6146999999999697E-2</v>
      </c>
      <c r="AE1084">
        <v>-4.98999999999796E-2</v>
      </c>
      <c r="AF1084">
        <v>7.8388700746804402E-2</v>
      </c>
      <c r="AG1084">
        <v>-5.6146999999999697E-2</v>
      </c>
      <c r="AH1084">
        <v>0.69006419455681201</v>
      </c>
      <c r="AI1084">
        <v>94.6220222189217</v>
      </c>
      <c r="AJ1084">
        <v>83.519195687784006</v>
      </c>
      <c r="AK1084">
        <v>0.69676815844519902</v>
      </c>
    </row>
    <row r="1085" spans="1:37" x14ac:dyDescent="0.2">
      <c r="A1085" t="str">
        <f>"20200111155813659"</f>
        <v>20200111155813659</v>
      </c>
      <c r="B1085" t="str">
        <f>"1578729493652176"</f>
        <v>1578729493652176</v>
      </c>
      <c r="C1085" t="s">
        <v>37</v>
      </c>
      <c r="D1085">
        <v>5.9048389999999999</v>
      </c>
      <c r="E1085">
        <v>0.55765410000000004</v>
      </c>
      <c r="F1085" t="s">
        <v>38</v>
      </c>
      <c r="G1085">
        <v>-253.9923</v>
      </c>
      <c r="H1085">
        <v>1.0392569999999901</v>
      </c>
      <c r="I1085">
        <v>367.8295</v>
      </c>
      <c r="J1085">
        <v>-254.7765</v>
      </c>
      <c r="K1085">
        <v>1.1047020000000001</v>
      </c>
      <c r="L1085">
        <v>367.8784</v>
      </c>
      <c r="M1085">
        <v>0.99902449999999998</v>
      </c>
      <c r="N1085">
        <v>0</v>
      </c>
      <c r="O1085">
        <v>4.182715E-2</v>
      </c>
      <c r="P1085">
        <v>0.99418119999999999</v>
      </c>
      <c r="Q1085">
        <v>4.5957009999999998E-3</v>
      </c>
      <c r="R1085">
        <v>0.10762339999999999</v>
      </c>
      <c r="S1085">
        <v>3.0325929999999999</v>
      </c>
      <c r="T1085">
        <v>-0.2083052</v>
      </c>
      <c r="U1085">
        <v>-0.13131709999999999</v>
      </c>
      <c r="V1085">
        <v>-6.5952269999999993E-2</v>
      </c>
      <c r="W1085">
        <v>1.8694570000000001E-2</v>
      </c>
      <c r="X1085">
        <v>0.99764759999999997</v>
      </c>
      <c r="Y1085">
        <v>8.4718000000000002E-2</v>
      </c>
      <c r="Z1085">
        <v>-5.7734559999999997E-3</v>
      </c>
      <c r="AA1085">
        <v>0.9963883</v>
      </c>
      <c r="AB1085">
        <v>30</v>
      </c>
      <c r="AC1085">
        <v>0.78419999999999801</v>
      </c>
      <c r="AD1085">
        <v>-6.5445000000000197E-2</v>
      </c>
      <c r="AE1085">
        <v>-4.8900000000003198E-2</v>
      </c>
      <c r="AF1085">
        <v>8.1098701275224103E-2</v>
      </c>
      <c r="AG1085">
        <v>-6.5445000000000197E-2</v>
      </c>
      <c r="AH1085">
        <v>0.776083810077971</v>
      </c>
      <c r="AI1085">
        <v>94.794208609627603</v>
      </c>
      <c r="AJ1085">
        <v>84.034394223404703</v>
      </c>
      <c r="AK1085">
        <v>0.78304924981681001</v>
      </c>
    </row>
    <row r="1086" spans="1:37" x14ac:dyDescent="0.2">
      <c r="A1086" t="str">
        <f>"20200111155813672"</f>
        <v>20200111155813672</v>
      </c>
      <c r="B1086" t="str">
        <f>"1578729493661934"</f>
        <v>1578729493661934</v>
      </c>
      <c r="C1086" t="s">
        <v>37</v>
      </c>
      <c r="D1086">
        <v>5.739141</v>
      </c>
      <c r="E1086">
        <v>0.55764480000000005</v>
      </c>
      <c r="F1086" t="s">
        <v>38</v>
      </c>
      <c r="G1086">
        <v>-253.9846</v>
      </c>
      <c r="H1086">
        <v>1.0509500000000001</v>
      </c>
      <c r="I1086">
        <v>367.8449</v>
      </c>
      <c r="J1086">
        <v>-254.6181</v>
      </c>
      <c r="K1086">
        <v>1.1047009999999999</v>
      </c>
      <c r="L1086">
        <v>367.88529999999997</v>
      </c>
      <c r="M1086">
        <v>0.9990173</v>
      </c>
      <c r="N1086">
        <v>0</v>
      </c>
      <c r="O1086">
        <v>4.1996930000000002E-2</v>
      </c>
      <c r="P1086">
        <v>0.99413510000000005</v>
      </c>
      <c r="Q1086">
        <v>4.0977239999999996E-3</v>
      </c>
      <c r="R1086">
        <v>0.108067899999999</v>
      </c>
      <c r="S1086">
        <v>3.0322879999999999</v>
      </c>
      <c r="T1086">
        <v>-0.20618409999999901</v>
      </c>
      <c r="U1086">
        <v>-0.1272278</v>
      </c>
      <c r="V1086">
        <v>-6.6228319999999993E-2</v>
      </c>
      <c r="W1086">
        <v>1.8198740000000001E-2</v>
      </c>
      <c r="X1086">
        <v>0.99763849999999998</v>
      </c>
      <c r="Y1086">
        <v>8.3558519999999997E-2</v>
      </c>
      <c r="Z1086">
        <v>-5.6876849999999996E-3</v>
      </c>
      <c r="AA1086">
        <v>0.99648669999999995</v>
      </c>
      <c r="AB1086">
        <v>30</v>
      </c>
      <c r="AC1086">
        <v>0.63349999999999795</v>
      </c>
      <c r="AD1086">
        <v>-5.3750999999999799E-2</v>
      </c>
      <c r="AE1086">
        <v>-4.0399999999976899E-2</v>
      </c>
      <c r="AF1086">
        <v>6.6495305621281905E-2</v>
      </c>
      <c r="AG1086">
        <v>-5.3750999999999799E-2</v>
      </c>
      <c r="AH1086">
        <v>0.62675035002887403</v>
      </c>
      <c r="AI1086">
        <v>94.874548528938206</v>
      </c>
      <c r="AJ1086">
        <v>83.943838864095895</v>
      </c>
      <c r="AK1086">
        <v>0.63255576586731399</v>
      </c>
    </row>
    <row r="1087" spans="1:37" x14ac:dyDescent="0.2">
      <c r="A1087" t="str">
        <f>"20200111155813685"</f>
        <v>20200111155813685</v>
      </c>
      <c r="B1087" t="str">
        <f>"1578729493682430"</f>
        <v>1578729493682430</v>
      </c>
      <c r="C1087" t="s">
        <v>37</v>
      </c>
      <c r="D1087">
        <v>5.7256580000000001</v>
      </c>
      <c r="E1087">
        <v>0.5576624</v>
      </c>
      <c r="F1087" t="s">
        <v>38</v>
      </c>
      <c r="G1087">
        <v>-253.72550000000001</v>
      </c>
      <c r="H1087">
        <v>1.0457179999999999</v>
      </c>
      <c r="I1087">
        <v>367.84829999999999</v>
      </c>
      <c r="J1087">
        <v>-254.45060000000001</v>
      </c>
      <c r="K1087">
        <v>1.1047009999999999</v>
      </c>
      <c r="L1087">
        <v>367.89249999999998</v>
      </c>
      <c r="M1087">
        <v>0.9990097</v>
      </c>
      <c r="N1087">
        <v>0</v>
      </c>
      <c r="O1087">
        <v>4.2176539999999998E-2</v>
      </c>
      <c r="P1087">
        <v>0.99409210000000003</v>
      </c>
      <c r="Q1087">
        <v>3.6810859999999901E-3</v>
      </c>
      <c r="R1087">
        <v>0.108477399999999</v>
      </c>
      <c r="S1087">
        <v>3.0322110000000002</v>
      </c>
      <c r="T1087">
        <v>-0.20029040000000001</v>
      </c>
      <c r="U1087">
        <v>-0.125885</v>
      </c>
      <c r="V1087">
        <v>-6.6459539999999998E-2</v>
      </c>
      <c r="W1087">
        <v>1.7784439999999999E-2</v>
      </c>
      <c r="X1087">
        <v>0.99763060000000003</v>
      </c>
      <c r="Y1087">
        <v>8.3314639999999995E-2</v>
      </c>
      <c r="Z1087">
        <v>-5.5294489999999996E-3</v>
      </c>
      <c r="AA1087">
        <v>0.9965079</v>
      </c>
      <c r="AB1087">
        <v>30</v>
      </c>
      <c r="AC1087">
        <v>0.72509999999999697</v>
      </c>
      <c r="AD1087">
        <v>-5.8983000000000001E-2</v>
      </c>
      <c r="AE1087">
        <v>-4.4199999999989303E-2</v>
      </c>
      <c r="AF1087">
        <v>7.4256409204163598E-2</v>
      </c>
      <c r="AG1087">
        <v>-5.8983000000000001E-2</v>
      </c>
      <c r="AH1087">
        <v>0.717857821996427</v>
      </c>
      <c r="AI1087">
        <v>94.672353462283098</v>
      </c>
      <c r="AJ1087">
        <v>84.094233582228199</v>
      </c>
      <c r="AK1087">
        <v>0.72409451123340896</v>
      </c>
    </row>
    <row r="1088" spans="1:37" x14ac:dyDescent="0.2">
      <c r="A1088" t="str">
        <f>"20200111155813699"</f>
        <v>20200111155813699</v>
      </c>
      <c r="B1088" t="str">
        <f>"1578729493692190"</f>
        <v>1578729493692190</v>
      </c>
      <c r="C1088" t="s">
        <v>37</v>
      </c>
      <c r="D1088">
        <v>5.8802640000000004</v>
      </c>
      <c r="E1088">
        <v>0.55718500000000004</v>
      </c>
      <c r="F1088" t="s">
        <v>38</v>
      </c>
      <c r="G1088">
        <v>-253.46369999999999</v>
      </c>
      <c r="H1088">
        <v>1.0437940000000001</v>
      </c>
      <c r="I1088">
        <v>367.85149999999999</v>
      </c>
      <c r="J1088">
        <v>-254.24709999999999</v>
      </c>
      <c r="K1088">
        <v>1.1047020000000001</v>
      </c>
      <c r="L1088">
        <v>367.90129999999999</v>
      </c>
      <c r="M1088">
        <v>0.99900040000000001</v>
      </c>
      <c r="N1088">
        <v>0</v>
      </c>
      <c r="O1088">
        <v>4.239478E-2</v>
      </c>
      <c r="P1088">
        <v>0.99403819999999998</v>
      </c>
      <c r="Q1088">
        <v>3.1264449999999998E-3</v>
      </c>
      <c r="R1088">
        <v>0.1089885</v>
      </c>
      <c r="S1088">
        <v>3.0321660000000001</v>
      </c>
      <c r="T1088">
        <v>-0.18728610000000001</v>
      </c>
      <c r="U1088">
        <v>-0.12533569999999999</v>
      </c>
      <c r="V1088">
        <v>-6.6754160000000007E-2</v>
      </c>
      <c r="W1088">
        <v>1.7231389999999999E-2</v>
      </c>
      <c r="X1088">
        <v>0.99762059999999997</v>
      </c>
      <c r="Y1088">
        <v>8.3386450000000001E-2</v>
      </c>
      <c r="Z1088">
        <v>-5.1869129999999996E-3</v>
      </c>
      <c r="AA1088">
        <v>0.99650380000000005</v>
      </c>
      <c r="AB1088">
        <v>29</v>
      </c>
      <c r="AC1088">
        <v>0.78339999999999999</v>
      </c>
      <c r="AD1088">
        <v>-6.09079999999999E-2</v>
      </c>
      <c r="AE1088">
        <v>-4.9800000000004702E-2</v>
      </c>
      <c r="AF1088">
        <v>8.2474092260140797E-2</v>
      </c>
      <c r="AG1088">
        <v>-6.09079999999999E-2</v>
      </c>
      <c r="AH1088">
        <v>0.77591270464351303</v>
      </c>
      <c r="AI1088">
        <v>94.463388946652898</v>
      </c>
      <c r="AJ1088">
        <v>83.932641119958305</v>
      </c>
      <c r="AK1088">
        <v>0.78265719544724399</v>
      </c>
    </row>
    <row r="1089" spans="1:37" x14ac:dyDescent="0.2">
      <c r="A1089" t="str">
        <f>"20200111155813715"</f>
        <v>20200111155813715</v>
      </c>
      <c r="B1089" t="str">
        <f>"1578729493711710"</f>
        <v>1578729493711710</v>
      </c>
      <c r="C1089" t="s">
        <v>37</v>
      </c>
      <c r="D1089">
        <v>5.8202499999999997</v>
      </c>
      <c r="E1089">
        <v>0.55690119999999999</v>
      </c>
      <c r="F1089" t="s">
        <v>38</v>
      </c>
      <c r="G1089">
        <v>-253.4452</v>
      </c>
      <c r="H1089">
        <v>1.0540579999999999</v>
      </c>
      <c r="I1089">
        <v>367.86939999999998</v>
      </c>
      <c r="J1089">
        <v>-254.0583</v>
      </c>
      <c r="K1089">
        <v>1.1047020000000001</v>
      </c>
      <c r="L1089">
        <v>367.90960000000001</v>
      </c>
      <c r="M1089">
        <v>0.99899179999999999</v>
      </c>
      <c r="N1089">
        <v>0</v>
      </c>
      <c r="O1089">
        <v>4.2596990000000001E-2</v>
      </c>
      <c r="P1089">
        <v>0.99399629999999894</v>
      </c>
      <c r="Q1089">
        <v>2.7195019999999999E-3</v>
      </c>
      <c r="R1089">
        <v>0.1093809</v>
      </c>
      <c r="S1089">
        <v>3.0317539999999998</v>
      </c>
      <c r="T1089">
        <v>-0.19167039999999999</v>
      </c>
      <c r="U1089">
        <v>-0.120056199999999</v>
      </c>
      <c r="V1089">
        <v>-6.6946339999999993E-2</v>
      </c>
      <c r="W1089">
        <v>1.682614E-2</v>
      </c>
      <c r="X1089">
        <v>0.99761469999999897</v>
      </c>
      <c r="Y1089">
        <v>8.185241E-2</v>
      </c>
      <c r="Z1089">
        <v>-5.2733179999999999E-3</v>
      </c>
      <c r="AA1089">
        <v>0.99663049999999997</v>
      </c>
      <c r="AB1089">
        <v>29</v>
      </c>
      <c r="AC1089">
        <v>0.61310000000000198</v>
      </c>
      <c r="AD1089">
        <v>-5.0644000000000099E-2</v>
      </c>
      <c r="AE1089">
        <v>-4.0200000000027103E-2</v>
      </c>
      <c r="AF1089">
        <v>6.58350544595806E-2</v>
      </c>
      <c r="AG1089">
        <v>-5.0644000000000099E-2</v>
      </c>
      <c r="AH1089">
        <v>0.60670880427083196</v>
      </c>
      <c r="AI1089">
        <v>94.743887861348796</v>
      </c>
      <c r="AJ1089">
        <v>83.806964185076197</v>
      </c>
      <c r="AK1089">
        <v>0.61236806114577702</v>
      </c>
    </row>
    <row r="1090" spans="1:37" x14ac:dyDescent="0.2">
      <c r="A1090" t="str">
        <f>"20200111155813734"</f>
        <v>20200111155813734</v>
      </c>
      <c r="B1090" t="str">
        <f>"1578729493722446"</f>
        <v>1578729493722446</v>
      </c>
      <c r="C1090" t="s">
        <v>37</v>
      </c>
      <c r="D1090">
        <v>5.7277550000000002</v>
      </c>
      <c r="E1090">
        <v>0.55690919999999999</v>
      </c>
      <c r="F1090" t="s">
        <v>38</v>
      </c>
      <c r="G1090">
        <v>-253.19900000000001</v>
      </c>
      <c r="H1090">
        <v>1.0473139999999901</v>
      </c>
      <c r="I1090">
        <v>367.87650000000002</v>
      </c>
      <c r="J1090">
        <v>-253.80940000000001</v>
      </c>
      <c r="K1090">
        <v>1.1046989999999901</v>
      </c>
      <c r="L1090">
        <v>367.9205</v>
      </c>
      <c r="M1090">
        <v>0.99898030000000004</v>
      </c>
      <c r="N1090">
        <v>0</v>
      </c>
      <c r="O1090">
        <v>4.2864159999999998E-2</v>
      </c>
      <c r="P1090">
        <v>0.99396059999999997</v>
      </c>
      <c r="Q1090">
        <v>2.225884E-3</v>
      </c>
      <c r="R1090">
        <v>0.1097162</v>
      </c>
      <c r="S1090">
        <v>3.0314640000000002</v>
      </c>
      <c r="T1090">
        <v>-0.20262529999999901</v>
      </c>
      <c r="U1090">
        <v>-0.11636349999999999</v>
      </c>
      <c r="V1090">
        <v>-6.7015389999999994E-2</v>
      </c>
      <c r="W1090">
        <v>1.633459E-2</v>
      </c>
      <c r="X1090">
        <v>0.99761819999999901</v>
      </c>
      <c r="Y1090">
        <v>8.0882880000000004E-2</v>
      </c>
      <c r="Z1090">
        <v>-5.5601779999999998E-3</v>
      </c>
      <c r="AA1090">
        <v>0.99670809999999999</v>
      </c>
      <c r="AB1090">
        <v>29</v>
      </c>
      <c r="AC1090">
        <v>0.61039999999999806</v>
      </c>
      <c r="AD1090">
        <v>-5.7384999999999999E-2</v>
      </c>
      <c r="AE1090">
        <v>-4.3999999999982699E-2</v>
      </c>
      <c r="AF1090">
        <v>6.9515246155222296E-2</v>
      </c>
      <c r="AG1090">
        <v>-5.7384999999999999E-2</v>
      </c>
      <c r="AH1090">
        <v>0.60265377279953902</v>
      </c>
      <c r="AI1090">
        <v>95.403717528088706</v>
      </c>
      <c r="AJ1090">
        <v>83.420093911888102</v>
      </c>
      <c r="AK1090">
        <v>0.60935784030611995</v>
      </c>
    </row>
    <row r="1091" spans="1:37" x14ac:dyDescent="0.2">
      <c r="A1091" t="str">
        <f>"20200111155813746"</f>
        <v>20200111155813746</v>
      </c>
      <c r="B1091" t="str">
        <f>"1578729493741966"</f>
        <v>1578729493741966</v>
      </c>
      <c r="C1091" t="s">
        <v>37</v>
      </c>
      <c r="D1091">
        <v>5.9011449999999996</v>
      </c>
      <c r="E1091">
        <v>0.55703619999999898</v>
      </c>
      <c r="F1091" t="s">
        <v>38</v>
      </c>
      <c r="G1091">
        <v>-252.93879999999999</v>
      </c>
      <c r="H1091">
        <v>1.044969</v>
      </c>
      <c r="I1091">
        <v>367.88709999999998</v>
      </c>
      <c r="J1091">
        <v>-253.64699999999999</v>
      </c>
      <c r="K1091">
        <v>1.104698</v>
      </c>
      <c r="L1091">
        <v>367.92759999999998</v>
      </c>
      <c r="M1091">
        <v>0.99897279999999999</v>
      </c>
      <c r="N1091">
        <v>0</v>
      </c>
      <c r="O1091">
        <v>4.3038479999999997E-2</v>
      </c>
      <c r="P1091">
        <v>0.99395129999999998</v>
      </c>
      <c r="Q1091">
        <v>1.58405E-3</v>
      </c>
      <c r="R1091">
        <v>0.1098104</v>
      </c>
      <c r="S1091">
        <v>3.0314329999999998</v>
      </c>
      <c r="T1091">
        <v>-0.20828579999999899</v>
      </c>
      <c r="U1091">
        <v>-0.11529539999999899</v>
      </c>
      <c r="V1091">
        <v>-6.6935190000000006E-2</v>
      </c>
      <c r="W1091">
        <v>1.5694280000000001E-2</v>
      </c>
      <c r="X1091">
        <v>0.99763389999999996</v>
      </c>
      <c r="Y1091">
        <v>8.0690940000000003E-2</v>
      </c>
      <c r="Z1091">
        <v>-5.7206119999999999E-3</v>
      </c>
      <c r="AA1091">
        <v>0.99672280000000002</v>
      </c>
      <c r="AB1091">
        <v>29</v>
      </c>
      <c r="AC1091">
        <v>0.70820000000003303</v>
      </c>
      <c r="AD1091">
        <v>-5.97289999999999E-2</v>
      </c>
      <c r="AE1091">
        <v>-4.0500000000008599E-2</v>
      </c>
      <c r="AF1091">
        <v>7.0445926318101496E-2</v>
      </c>
      <c r="AG1091">
        <v>-5.97289999999999E-2</v>
      </c>
      <c r="AH1091">
        <v>0.70083159493193903</v>
      </c>
      <c r="AI1091">
        <v>94.847004885674806</v>
      </c>
      <c r="AJ1091">
        <v>84.260044374313594</v>
      </c>
      <c r="AK1091">
        <v>0.70689115599974806</v>
      </c>
    </row>
    <row r="1092" spans="1:37" x14ac:dyDescent="0.2">
      <c r="A1092" t="str">
        <f>"20200111155813759"</f>
        <v>20200111155813759</v>
      </c>
      <c r="B1092" t="str">
        <f>"1578729493751727"</f>
        <v>1578729493751727</v>
      </c>
      <c r="C1092" t="s">
        <v>37</v>
      </c>
      <c r="D1092">
        <v>5.7652700000000001</v>
      </c>
      <c r="E1092">
        <v>0.55721129999999996</v>
      </c>
      <c r="F1092" t="s">
        <v>38</v>
      </c>
      <c r="G1092">
        <v>-252.68</v>
      </c>
      <c r="H1092">
        <v>1.0383420000000001</v>
      </c>
      <c r="I1092">
        <v>367.89030000000002</v>
      </c>
      <c r="J1092">
        <v>-253.47290000000001</v>
      </c>
      <c r="K1092">
        <v>1.104692</v>
      </c>
      <c r="L1092">
        <v>367.93540000000002</v>
      </c>
      <c r="M1092">
        <v>0.99896479999999999</v>
      </c>
      <c r="N1092">
        <v>0</v>
      </c>
      <c r="O1092">
        <v>4.3225140000000002E-2</v>
      </c>
      <c r="P1092">
        <v>0.99391419999999997</v>
      </c>
      <c r="Q1092">
        <v>1.2965979999999999E-3</v>
      </c>
      <c r="R1092">
        <v>0.11015</v>
      </c>
      <c r="S1092">
        <v>3.0314030000000001</v>
      </c>
      <c r="T1092">
        <v>-0.20830579999999899</v>
      </c>
      <c r="U1092">
        <v>-0.1160583</v>
      </c>
      <c r="V1092">
        <v>-6.7089620000000003E-2</v>
      </c>
      <c r="W1092">
        <v>1.5407260000000001E-2</v>
      </c>
      <c r="X1092">
        <v>0.99762799999999996</v>
      </c>
      <c r="Y1092">
        <v>8.1126500000000004E-2</v>
      </c>
      <c r="Z1092">
        <v>-5.7489400000000001E-3</v>
      </c>
      <c r="AA1092">
        <v>0.996687199999999</v>
      </c>
      <c r="AB1092">
        <v>29</v>
      </c>
      <c r="AC1092">
        <v>0.79290000000000205</v>
      </c>
      <c r="AD1092">
        <v>-6.6349999999999895E-2</v>
      </c>
      <c r="AE1092">
        <v>-4.50999999999908E-2</v>
      </c>
      <c r="AF1092">
        <v>7.8784596405752694E-2</v>
      </c>
      <c r="AG1092">
        <v>-6.6349999999999895E-2</v>
      </c>
      <c r="AH1092">
        <v>0.78473186104593395</v>
      </c>
      <c r="AI1092">
        <v>94.8088699978683</v>
      </c>
      <c r="AJ1092">
        <v>84.266895806853498</v>
      </c>
      <c r="AK1092">
        <v>0.79146284111854104</v>
      </c>
    </row>
    <row r="1093" spans="1:37" x14ac:dyDescent="0.2">
      <c r="A1093" t="str">
        <f>"20200111155813772"</f>
        <v>20200111155813772</v>
      </c>
      <c r="B1093" t="str">
        <f>"1578729493762464"</f>
        <v>1578729493762464</v>
      </c>
      <c r="C1093" t="s">
        <v>37</v>
      </c>
      <c r="D1093">
        <v>6.0812140000000001</v>
      </c>
      <c r="E1093">
        <v>0.55731370000000002</v>
      </c>
      <c r="F1093" t="s">
        <v>38</v>
      </c>
      <c r="G1093">
        <v>-252.6722</v>
      </c>
      <c r="H1093">
        <v>1.050505</v>
      </c>
      <c r="I1093">
        <v>367.90429999999998</v>
      </c>
      <c r="J1093">
        <v>-253.31479999999999</v>
      </c>
      <c r="K1093">
        <v>1.1046910000000001</v>
      </c>
      <c r="L1093">
        <v>367.94240000000002</v>
      </c>
      <c r="M1093">
        <v>0.99895750000000005</v>
      </c>
      <c r="N1093">
        <v>0</v>
      </c>
      <c r="O1093">
        <v>4.3394639999999998E-2</v>
      </c>
      <c r="P1093">
        <v>0.9939173</v>
      </c>
      <c r="Q1093">
        <v>8.2750800000000002E-4</v>
      </c>
      <c r="R1093">
        <v>0.11012609999999901</v>
      </c>
      <c r="S1093">
        <v>3.0315400000000001</v>
      </c>
      <c r="T1093">
        <v>-0.20550099999999999</v>
      </c>
      <c r="U1093">
        <v>-0.1165466</v>
      </c>
      <c r="V1093">
        <v>-6.6896010000000006E-2</v>
      </c>
      <c r="W1093">
        <v>1.4939529999999999E-2</v>
      </c>
      <c r="X1093">
        <v>0.99764809999999904</v>
      </c>
      <c r="Y1093">
        <v>8.1460899999999906E-2</v>
      </c>
      <c r="Z1093">
        <v>-5.6942240000000003E-3</v>
      </c>
      <c r="AA1093">
        <v>0.99666030000000005</v>
      </c>
      <c r="AB1093">
        <v>29</v>
      </c>
      <c r="AC1093">
        <v>0.64259999999998696</v>
      </c>
      <c r="AD1093">
        <v>-5.4185999999999998E-2</v>
      </c>
      <c r="AE1093">
        <v>-3.81000000000426E-2</v>
      </c>
      <c r="AF1093">
        <v>6.5488283631841004E-2</v>
      </c>
      <c r="AG1093">
        <v>-5.4185999999999998E-2</v>
      </c>
      <c r="AH1093">
        <v>0.63583585657631403</v>
      </c>
      <c r="AI1093">
        <v>94.845473646814895</v>
      </c>
      <c r="AJ1093">
        <v>84.1195229317007</v>
      </c>
      <c r="AK1093">
        <v>0.64149206884978704</v>
      </c>
    </row>
    <row r="1094" spans="1:37" x14ac:dyDescent="0.2">
      <c r="A1094" t="str">
        <f>"20200111155813785"</f>
        <v>20200111155813785</v>
      </c>
      <c r="B1094" t="str">
        <f>"1578729493781982"</f>
        <v>1578729493781982</v>
      </c>
      <c r="C1094" t="s">
        <v>37</v>
      </c>
      <c r="D1094">
        <v>5.8671870000000004</v>
      </c>
      <c r="E1094">
        <v>0.55726580000000003</v>
      </c>
      <c r="F1094" t="s">
        <v>38</v>
      </c>
      <c r="G1094">
        <v>-252.4152</v>
      </c>
      <c r="H1094">
        <v>1.0446029999999999</v>
      </c>
      <c r="I1094">
        <v>367.90730000000002</v>
      </c>
      <c r="J1094">
        <v>-253.13849999999999</v>
      </c>
      <c r="K1094">
        <v>1.1046879999999999</v>
      </c>
      <c r="L1094">
        <v>367.9502</v>
      </c>
      <c r="M1094">
        <v>0.99894930000000004</v>
      </c>
      <c r="N1094">
        <v>0</v>
      </c>
      <c r="O1094">
        <v>4.358356E-2</v>
      </c>
      <c r="P1094">
        <v>0.99388580000000004</v>
      </c>
      <c r="Q1094">
        <v>6.5874399999999995E-4</v>
      </c>
      <c r="R1094">
        <v>0.110412699999999</v>
      </c>
      <c r="S1094">
        <v>3.0315859999999999</v>
      </c>
      <c r="T1094">
        <v>-0.20264509999999999</v>
      </c>
      <c r="U1094">
        <v>-0.11764529999999999</v>
      </c>
      <c r="V1094">
        <v>-6.699513E-2</v>
      </c>
      <c r="W1094">
        <v>1.477123E-2</v>
      </c>
      <c r="X1094">
        <v>0.99764390000000003</v>
      </c>
      <c r="Y1094">
        <v>8.2015690000000002E-2</v>
      </c>
      <c r="Z1094">
        <v>-5.6462730000000003E-3</v>
      </c>
      <c r="AA1094">
        <v>0.99661509999999998</v>
      </c>
      <c r="AB1094">
        <v>29</v>
      </c>
      <c r="AC1094">
        <v>0.72329999999999395</v>
      </c>
      <c r="AD1094">
        <v>-6.0084999999999701E-2</v>
      </c>
      <c r="AE1094">
        <v>-4.2899999999974597E-2</v>
      </c>
      <c r="AF1094">
        <v>7.38783539433924E-2</v>
      </c>
      <c r="AG1094">
        <v>-6.0084999999999701E-2</v>
      </c>
      <c r="AH1094">
        <v>0.71582028090412897</v>
      </c>
      <c r="AI1094">
        <v>94.772849284525805</v>
      </c>
      <c r="AJ1094">
        <v>84.107482275864399</v>
      </c>
      <c r="AK1094">
        <v>0.72212664606705301</v>
      </c>
    </row>
    <row r="1095" spans="1:37" x14ac:dyDescent="0.2">
      <c r="A1095" t="str">
        <f>"20200111155813800"</f>
        <v>20200111155813800</v>
      </c>
      <c r="B1095" t="str">
        <f>"1578729493791742"</f>
        <v>1578729493791742</v>
      </c>
      <c r="C1095" t="s">
        <v>37</v>
      </c>
      <c r="D1095">
        <v>5.6991519999999998</v>
      </c>
      <c r="E1095">
        <v>0.55723489999999998</v>
      </c>
      <c r="F1095" t="s">
        <v>38</v>
      </c>
      <c r="G1095">
        <v>-252.15629999999999</v>
      </c>
      <c r="H1095">
        <v>1.0395239999999999</v>
      </c>
      <c r="I1095">
        <v>367.91230000000002</v>
      </c>
      <c r="J1095">
        <v>-252.93389999999999</v>
      </c>
      <c r="K1095">
        <v>1.104692</v>
      </c>
      <c r="L1095">
        <v>367.95940000000002</v>
      </c>
      <c r="M1095">
        <v>0.99893960000000004</v>
      </c>
      <c r="N1095">
        <v>0</v>
      </c>
      <c r="O1095">
        <v>4.3803300000000003E-2</v>
      </c>
      <c r="P1095">
        <v>0.99383909999999998</v>
      </c>
      <c r="Q1095">
        <v>6.7243909999999997E-4</v>
      </c>
      <c r="R1095">
        <v>0.11083129999999999</v>
      </c>
      <c r="S1095">
        <v>3.0315089999999998</v>
      </c>
      <c r="T1095">
        <v>-0.20130799999999999</v>
      </c>
      <c r="U1095">
        <v>-0.116394</v>
      </c>
      <c r="V1095">
        <v>-6.7195859999999996E-2</v>
      </c>
      <c r="W1095">
        <v>1.4785049999999999E-2</v>
      </c>
      <c r="X1095">
        <v>0.99763020000000002</v>
      </c>
      <c r="Y1095">
        <v>8.1828730000000002E-2</v>
      </c>
      <c r="Z1095">
        <v>-5.6176469999999999E-3</v>
      </c>
      <c r="AA1095">
        <v>0.99663049999999997</v>
      </c>
      <c r="AB1095">
        <v>29</v>
      </c>
      <c r="AC1095">
        <v>0.77760000000000595</v>
      </c>
      <c r="AD1095">
        <v>-6.5168000000000101E-2</v>
      </c>
      <c r="AE1095">
        <v>-4.7100000000000301E-2</v>
      </c>
      <c r="AF1095">
        <v>8.0555932103702196E-2</v>
      </c>
      <c r="AG1095">
        <v>-6.5168000000000101E-2</v>
      </c>
      <c r="AH1095">
        <v>0.76940594472628998</v>
      </c>
      <c r="AI1095">
        <v>94.815151713921196</v>
      </c>
      <c r="AJ1095">
        <v>84.022972981745099</v>
      </c>
      <c r="AK1095">
        <v>0.77635148882529403</v>
      </c>
    </row>
    <row r="1096" spans="1:37" x14ac:dyDescent="0.2">
      <c r="A1096" t="str">
        <f>"20200111155813814"</f>
        <v>20200111155813814</v>
      </c>
      <c r="B1096" t="str">
        <f>"1578729493802480"</f>
        <v>1578729493802480</v>
      </c>
      <c r="C1096" t="s">
        <v>37</v>
      </c>
      <c r="D1096">
        <v>5.7183950000000001</v>
      </c>
      <c r="E1096">
        <v>0.55719589999999997</v>
      </c>
      <c r="F1096" t="s">
        <v>38</v>
      </c>
      <c r="G1096">
        <v>-252.1481</v>
      </c>
      <c r="H1096">
        <v>1.0518049999999901</v>
      </c>
      <c r="I1096">
        <v>367.92950000000002</v>
      </c>
      <c r="J1096">
        <v>-252.762</v>
      </c>
      <c r="K1096">
        <v>1.104692</v>
      </c>
      <c r="L1096">
        <v>367.96710000000002</v>
      </c>
      <c r="M1096">
        <v>0.99893149999999997</v>
      </c>
      <c r="N1096">
        <v>0</v>
      </c>
      <c r="O1096">
        <v>4.3987409999999998E-2</v>
      </c>
      <c r="P1096">
        <v>0.99380519999999894</v>
      </c>
      <c r="Q1096">
        <v>8.8246910000000002E-4</v>
      </c>
      <c r="R1096">
        <v>0.11113339999999899</v>
      </c>
      <c r="S1096">
        <v>3.031555</v>
      </c>
      <c r="T1096">
        <v>-0.2042187</v>
      </c>
      <c r="U1096">
        <v>-0.11477660000000001</v>
      </c>
      <c r="V1096">
        <v>-6.7315050000000001E-2</v>
      </c>
      <c r="W1096">
        <v>1.4994840000000001E-2</v>
      </c>
      <c r="X1096">
        <v>0.99761909999999898</v>
      </c>
      <c r="Y1096">
        <v>8.1473219999999999E-2</v>
      </c>
      <c r="Z1096">
        <v>-5.6990779999999998E-3</v>
      </c>
      <c r="AA1096">
        <v>0.99665919999999897</v>
      </c>
      <c r="AB1096">
        <v>29</v>
      </c>
      <c r="AC1096">
        <v>0.613900000000001</v>
      </c>
      <c r="AD1096">
        <v>-5.2887000000000101E-2</v>
      </c>
      <c r="AE1096">
        <v>-3.7599999999997601E-2</v>
      </c>
      <c r="AF1096">
        <v>6.4096259424944596E-2</v>
      </c>
      <c r="AG1096">
        <v>-5.2887000000000101E-2</v>
      </c>
      <c r="AH1096">
        <v>0.60716225783068201</v>
      </c>
      <c r="AI1096">
        <v>94.950823648093206</v>
      </c>
      <c r="AJ1096">
        <v>83.9737801063646</v>
      </c>
      <c r="AK1096">
        <v>0.61282246415688901</v>
      </c>
    </row>
    <row r="1097" spans="1:37" x14ac:dyDescent="0.2">
      <c r="A1097" t="str">
        <f>"20200111155813826"</f>
        <v>20200111155813826</v>
      </c>
      <c r="B1097" t="str">
        <f>"1578729493821998"</f>
        <v>1578729493821998</v>
      </c>
      <c r="C1097" t="s">
        <v>37</v>
      </c>
      <c r="D1097">
        <v>5.731579</v>
      </c>
      <c r="E1097">
        <v>0.55711569999999899</v>
      </c>
      <c r="F1097" t="s">
        <v>38</v>
      </c>
      <c r="G1097">
        <v>-251.8921</v>
      </c>
      <c r="H1097">
        <v>1.0457379999999901</v>
      </c>
      <c r="I1097">
        <v>367.9341</v>
      </c>
      <c r="J1097">
        <v>-252.59630000000001</v>
      </c>
      <c r="K1097">
        <v>1.1046929999999999</v>
      </c>
      <c r="L1097">
        <v>367.97460000000001</v>
      </c>
      <c r="M1097">
        <v>0.99892369999999997</v>
      </c>
      <c r="N1097">
        <v>0</v>
      </c>
      <c r="O1097">
        <v>4.4164719999999998E-2</v>
      </c>
      <c r="P1097">
        <v>0.99381049999999904</v>
      </c>
      <c r="Q1097">
        <v>6.5016930000000002E-4</v>
      </c>
      <c r="R1097">
        <v>0.1110887</v>
      </c>
      <c r="S1097">
        <v>3.0315859999999999</v>
      </c>
      <c r="T1097">
        <v>-0.20579349999999999</v>
      </c>
      <c r="U1097">
        <v>-0.1135559</v>
      </c>
      <c r="V1097">
        <v>-6.7092659999999998E-2</v>
      </c>
      <c r="W1097">
        <v>1.476264E-2</v>
      </c>
      <c r="X1097">
        <v>0.99763749999999995</v>
      </c>
      <c r="Y1097">
        <v>8.1244739999999996E-2</v>
      </c>
      <c r="Z1097">
        <v>-5.7471769999999896E-3</v>
      </c>
      <c r="AA1097">
        <v>0.99667759999999905</v>
      </c>
      <c r="AB1097">
        <v>29</v>
      </c>
      <c r="AC1097">
        <v>0.70420000000001404</v>
      </c>
      <c r="AD1097">
        <v>-5.8955E-2</v>
      </c>
      <c r="AE1097">
        <v>-4.0500000000008599E-2</v>
      </c>
      <c r="AF1097">
        <v>7.1067930181504299E-2</v>
      </c>
      <c r="AG1097">
        <v>-5.8955E-2</v>
      </c>
      <c r="AH1097">
        <v>0.69685581288423404</v>
      </c>
      <c r="AI1097">
        <v>94.810953897198303</v>
      </c>
      <c r="AJ1097">
        <v>84.176897114223195</v>
      </c>
      <c r="AK1097">
        <v>0.70294691597291303</v>
      </c>
    </row>
    <row r="1098" spans="1:37" x14ac:dyDescent="0.2">
      <c r="A1098" t="str">
        <f>"20200111155813839"</f>
        <v>20200111155813839</v>
      </c>
      <c r="B1098" t="str">
        <f>"1578729493831759"</f>
        <v>1578729493831759</v>
      </c>
      <c r="C1098" t="s">
        <v>37</v>
      </c>
      <c r="D1098">
        <v>5.727392</v>
      </c>
      <c r="E1098">
        <v>0.55710680000000001</v>
      </c>
      <c r="F1098" t="s">
        <v>38</v>
      </c>
      <c r="G1098">
        <v>-251.6354</v>
      </c>
      <c r="H1098">
        <v>1.0381639999999901</v>
      </c>
      <c r="I1098">
        <v>367.93880000000001</v>
      </c>
      <c r="J1098">
        <v>-252.4263</v>
      </c>
      <c r="K1098">
        <v>1.1046929999999999</v>
      </c>
      <c r="L1098">
        <v>367.98230000000001</v>
      </c>
      <c r="M1098">
        <v>0.99891559999999902</v>
      </c>
      <c r="N1098">
        <v>0</v>
      </c>
      <c r="O1098">
        <v>4.4347159999999997E-2</v>
      </c>
      <c r="P1098">
        <v>0.99377660000000001</v>
      </c>
      <c r="Q1098">
        <v>4.0009989999999999E-4</v>
      </c>
      <c r="R1098">
        <v>0.1113917</v>
      </c>
      <c r="S1098">
        <v>3.0313870000000001</v>
      </c>
      <c r="T1098">
        <v>-0.20991089999999901</v>
      </c>
      <c r="U1098">
        <v>-0.1125488</v>
      </c>
      <c r="V1098">
        <v>-6.7214689999999994E-2</v>
      </c>
      <c r="W1098">
        <v>1.451233E-2</v>
      </c>
      <c r="X1098">
        <v>0.99763299999999999</v>
      </c>
      <c r="Y1098">
        <v>8.1086790000000006E-2</v>
      </c>
      <c r="Z1098">
        <v>-5.8694539999999996E-3</v>
      </c>
      <c r="AA1098">
        <v>0.99668969999999901</v>
      </c>
      <c r="AB1098">
        <v>29</v>
      </c>
      <c r="AC1098">
        <v>0.79089999999999305</v>
      </c>
      <c r="AD1098">
        <v>-6.6529000000000005E-2</v>
      </c>
      <c r="AE1098">
        <v>-4.3499999999994501E-2</v>
      </c>
      <c r="AF1098">
        <v>7.7984744359165498E-2</v>
      </c>
      <c r="AG1098">
        <v>-6.6529000000000005E-2</v>
      </c>
      <c r="AH1098">
        <v>0.782671082062533</v>
      </c>
      <c r="AI1098">
        <v>94.834779039259899</v>
      </c>
      <c r="AJ1098">
        <v>84.309873502744793</v>
      </c>
      <c r="AK1098">
        <v>0.78935527545630602</v>
      </c>
    </row>
    <row r="1099" spans="1:37" x14ac:dyDescent="0.2">
      <c r="A1099" t="str">
        <f>"20200111155813853"</f>
        <v>20200111155813853</v>
      </c>
      <c r="B1099" t="str">
        <f>"1578729493842495"</f>
        <v>1578729493842495</v>
      </c>
      <c r="C1099" t="s">
        <v>37</v>
      </c>
      <c r="D1099">
        <v>5.7154109999999996</v>
      </c>
      <c r="E1099">
        <v>0.55712600000000001</v>
      </c>
      <c r="F1099" t="s">
        <v>38</v>
      </c>
      <c r="G1099">
        <v>-251.6292</v>
      </c>
      <c r="H1099">
        <v>1.0487309999999901</v>
      </c>
      <c r="I1099">
        <v>367.9529</v>
      </c>
      <c r="J1099">
        <v>-252.261</v>
      </c>
      <c r="K1099">
        <v>1.104692</v>
      </c>
      <c r="L1099">
        <v>367.9898</v>
      </c>
      <c r="M1099">
        <v>0.99890769999999995</v>
      </c>
      <c r="N1099">
        <v>0</v>
      </c>
      <c r="O1099">
        <v>4.4524109999999999E-2</v>
      </c>
      <c r="P1099">
        <v>0.99378829999999996</v>
      </c>
      <c r="Q1099" s="1">
        <v>3.1689179999999898E-5</v>
      </c>
      <c r="R1099">
        <v>0.11128830000000001</v>
      </c>
      <c r="S1099">
        <v>3.0314030000000001</v>
      </c>
      <c r="T1099">
        <v>-0.2128765</v>
      </c>
      <c r="U1099">
        <v>-0.11175539999999901</v>
      </c>
      <c r="V1099">
        <v>-6.6933889999999996E-2</v>
      </c>
      <c r="W1099">
        <v>1.4144250000000001E-2</v>
      </c>
      <c r="X1099">
        <v>0.99765720000000002</v>
      </c>
      <c r="Y1099">
        <v>8.0993930000000006E-2</v>
      </c>
      <c r="Z1099">
        <v>-5.9613189999999996E-3</v>
      </c>
      <c r="AA1099">
        <v>0.99669680000000005</v>
      </c>
      <c r="AB1099">
        <v>29</v>
      </c>
      <c r="AC1099">
        <v>0.63179999999999803</v>
      </c>
      <c r="AD1099">
        <v>-5.5961000000000101E-2</v>
      </c>
      <c r="AE1099">
        <v>-3.6900000000002799E-2</v>
      </c>
      <c r="AF1099">
        <v>6.4492315624527299E-2</v>
      </c>
      <c r="AG1099">
        <v>-5.5961000000000101E-2</v>
      </c>
      <c r="AH1099">
        <v>0.62464631708103902</v>
      </c>
      <c r="AI1099">
        <v>95.092437734778102</v>
      </c>
      <c r="AJ1099">
        <v>84.105318524247494</v>
      </c>
      <c r="AK1099">
        <v>0.63045532255546799</v>
      </c>
    </row>
    <row r="1100" spans="1:37" x14ac:dyDescent="0.2">
      <c r="A1100" t="str">
        <f>"20200111155813867"</f>
        <v>20200111155813867</v>
      </c>
      <c r="B1100" t="str">
        <f>"1578729493862015"</f>
        <v>1578729493862015</v>
      </c>
      <c r="C1100" t="s">
        <v>37</v>
      </c>
      <c r="D1100">
        <v>5.7596699999999998</v>
      </c>
      <c r="E1100">
        <v>0.55710550000000003</v>
      </c>
      <c r="F1100" t="s">
        <v>38</v>
      </c>
      <c r="G1100">
        <v>-251.37350000000001</v>
      </c>
      <c r="H1100">
        <v>1.0417559999999999</v>
      </c>
      <c r="I1100">
        <v>367.95679999999999</v>
      </c>
      <c r="J1100">
        <v>-252.05959999999999</v>
      </c>
      <c r="K1100">
        <v>1.104689</v>
      </c>
      <c r="L1100">
        <v>367.99900000000002</v>
      </c>
      <c r="M1100">
        <v>0.99889799999999995</v>
      </c>
      <c r="N1100">
        <v>0</v>
      </c>
      <c r="O1100">
        <v>4.4739809999999998E-2</v>
      </c>
      <c r="P1100">
        <v>0.99378869999999897</v>
      </c>
      <c r="Q1100">
        <v>-1.7916040000000001E-4</v>
      </c>
      <c r="R1100">
        <v>0.111285</v>
      </c>
      <c r="S1100">
        <v>3.03129599999999</v>
      </c>
      <c r="T1100">
        <v>-0.2152067</v>
      </c>
      <c r="U1100">
        <v>-0.111877399999999</v>
      </c>
      <c r="V1100">
        <v>-6.6715269999999993E-2</v>
      </c>
      <c r="W1100">
        <v>1.393256E-2</v>
      </c>
      <c r="X1100">
        <v>0.99767479999999997</v>
      </c>
      <c r="Y1100">
        <v>8.1242540000000002E-2</v>
      </c>
      <c r="Z1100">
        <v>-6.0507130000000001E-3</v>
      </c>
      <c r="AA1100">
        <v>0.99667600000000001</v>
      </c>
      <c r="AB1100">
        <v>29</v>
      </c>
      <c r="AC1100">
        <v>0.68609999999998195</v>
      </c>
      <c r="AD1100">
        <v>-6.29330000000001E-2</v>
      </c>
      <c r="AE1100">
        <v>-4.2200000000036597E-2</v>
      </c>
      <c r="AF1100">
        <v>7.2251204726212701E-2</v>
      </c>
      <c r="AG1100">
        <v>-6.29330000000001E-2</v>
      </c>
      <c r="AH1100">
        <v>0.67784303345806995</v>
      </c>
      <c r="AI1100">
        <v>95.274598978844693</v>
      </c>
      <c r="AJ1100">
        <v>83.915822178731602</v>
      </c>
      <c r="AK1100">
        <v>0.68458160732013995</v>
      </c>
    </row>
    <row r="1101" spans="1:37" x14ac:dyDescent="0.2">
      <c r="A1101" t="str">
        <f>"20200111155813880"</f>
        <v>20200111155813880</v>
      </c>
      <c r="B1101" t="str">
        <f>"1578729493871774"</f>
        <v>1578729493871774</v>
      </c>
      <c r="C1101" t="s">
        <v>37</v>
      </c>
      <c r="D1101">
        <v>5.7512460000000001</v>
      </c>
      <c r="E1101">
        <v>0.55710999999999999</v>
      </c>
      <c r="F1101" t="s">
        <v>38</v>
      </c>
      <c r="G1101">
        <v>-251.11580000000001</v>
      </c>
      <c r="H1101">
        <v>1.036503</v>
      </c>
      <c r="I1101">
        <v>367.96409999999997</v>
      </c>
      <c r="J1101">
        <v>-251.89750000000001</v>
      </c>
      <c r="K1101">
        <v>1.104687</v>
      </c>
      <c r="L1101">
        <v>368.00639999999999</v>
      </c>
      <c r="M1101">
        <v>0.99889030000000001</v>
      </c>
      <c r="N1101">
        <v>0</v>
      </c>
      <c r="O1101">
        <v>4.4913309999999998E-2</v>
      </c>
      <c r="P1101">
        <v>0.99380170000000001</v>
      </c>
      <c r="Q1101">
        <v>-8.903146E-4</v>
      </c>
      <c r="R1101">
        <v>0.111164899999999</v>
      </c>
      <c r="S1101">
        <v>3.0312349999999899</v>
      </c>
      <c r="T1101">
        <v>-0.2190705</v>
      </c>
      <c r="U1101">
        <v>-0.11178589999999999</v>
      </c>
      <c r="V1101">
        <v>-6.6420950000000006E-2</v>
      </c>
      <c r="W1101">
        <v>1.322166E-2</v>
      </c>
      <c r="X1101">
        <v>0.99770409999999898</v>
      </c>
      <c r="Y1101">
        <v>8.1374059999999998E-2</v>
      </c>
      <c r="Z1101">
        <v>-6.176455E-3</v>
      </c>
      <c r="AA1101">
        <v>0.99666449999999995</v>
      </c>
      <c r="AB1101">
        <v>29</v>
      </c>
      <c r="AC1101">
        <v>0.78169999999999995</v>
      </c>
      <c r="AD1101">
        <v>-6.81839999999998E-2</v>
      </c>
      <c r="AE1101">
        <v>-4.2300000000011502E-2</v>
      </c>
      <c r="AF1101">
        <v>7.6787059346776307E-2</v>
      </c>
      <c r="AG1101">
        <v>-6.81839999999998E-2</v>
      </c>
      <c r="AH1101">
        <v>0.77314588238167903</v>
      </c>
      <c r="AI1101">
        <v>95.015347181639498</v>
      </c>
      <c r="AJ1101">
        <v>84.328116164053498</v>
      </c>
      <c r="AK1101">
        <v>0.77993580875792001</v>
      </c>
    </row>
    <row r="1102" spans="1:37" x14ac:dyDescent="0.2">
      <c r="A1102" t="str">
        <f>"20200111155813893"</f>
        <v>20200111155813893</v>
      </c>
      <c r="B1102" t="str">
        <f>"1578729493882511"</f>
        <v>1578729493882511</v>
      </c>
      <c r="C1102" t="s">
        <v>37</v>
      </c>
      <c r="D1102">
        <v>5.7676730000000003</v>
      </c>
      <c r="E1102">
        <v>0.55708690000000005</v>
      </c>
      <c r="F1102" t="s">
        <v>38</v>
      </c>
      <c r="G1102">
        <v>-251.1103</v>
      </c>
      <c r="H1102">
        <v>1.047026</v>
      </c>
      <c r="I1102">
        <v>367.97719999999998</v>
      </c>
      <c r="J1102">
        <v>-251.73249999999999</v>
      </c>
      <c r="K1102">
        <v>1.1046830000000001</v>
      </c>
      <c r="L1102">
        <v>368.01400000000001</v>
      </c>
      <c r="M1102">
        <v>0.99888239999999995</v>
      </c>
      <c r="N1102">
        <v>0</v>
      </c>
      <c r="O1102">
        <v>4.5090089999999999E-2</v>
      </c>
      <c r="P1102">
        <v>0.99379799999999996</v>
      </c>
      <c r="Q1102">
        <v>-1.1487960000000001E-3</v>
      </c>
      <c r="R1102">
        <v>0.111195499999999</v>
      </c>
      <c r="S1102">
        <v>3.0310519999999999</v>
      </c>
      <c r="T1102">
        <v>-0.22211349999999999</v>
      </c>
      <c r="U1102">
        <v>-0.111999499999999</v>
      </c>
      <c r="V1102">
        <v>-6.6275120000000007E-2</v>
      </c>
      <c r="W1102">
        <v>1.296276E-2</v>
      </c>
      <c r="X1102">
        <v>0.99771719999999897</v>
      </c>
      <c r="Y1102">
        <v>8.1612459999999998E-2</v>
      </c>
      <c r="Z1102">
        <v>-6.2840409999999998E-3</v>
      </c>
      <c r="AA1102">
        <v>0.99664430000000004</v>
      </c>
      <c r="AB1102">
        <v>29</v>
      </c>
      <c r="AC1102">
        <v>0.62219999999999198</v>
      </c>
      <c r="AD1102">
        <v>-5.7657E-2</v>
      </c>
      <c r="AE1102">
        <v>-3.6800000000027901E-2</v>
      </c>
      <c r="AF1102">
        <v>6.4270465805699006E-2</v>
      </c>
      <c r="AG1102">
        <v>-5.7657E-2</v>
      </c>
      <c r="AH1102">
        <v>0.61464795174925102</v>
      </c>
      <c r="AI1102">
        <v>95.330053265598707</v>
      </c>
      <c r="AJ1102">
        <v>84.030578230239598</v>
      </c>
      <c r="AK1102">
        <v>0.62068279097573797</v>
      </c>
    </row>
    <row r="1103" spans="1:37" x14ac:dyDescent="0.2">
      <c r="A1103" t="str">
        <f>"20200111155813907"</f>
        <v>20200111155813907</v>
      </c>
      <c r="B1103" t="str">
        <f>"1578729493902031"</f>
        <v>1578729493902031</v>
      </c>
      <c r="C1103" t="s">
        <v>37</v>
      </c>
      <c r="D1103">
        <v>5.7297019999999996</v>
      </c>
      <c r="E1103">
        <v>0.55702890000000005</v>
      </c>
      <c r="F1103" t="s">
        <v>38</v>
      </c>
      <c r="G1103">
        <v>-250.85470000000001</v>
      </c>
      <c r="H1103">
        <v>1.0397700000000001</v>
      </c>
      <c r="I1103">
        <v>367.98149999999998</v>
      </c>
      <c r="J1103">
        <v>-251.54390000000001</v>
      </c>
      <c r="K1103">
        <v>1.104681</v>
      </c>
      <c r="L1103">
        <v>368.02269999999999</v>
      </c>
      <c r="M1103">
        <v>0.99887329999999996</v>
      </c>
      <c r="N1103">
        <v>0</v>
      </c>
      <c r="O1103">
        <v>4.529238E-2</v>
      </c>
      <c r="P1103">
        <v>0.99381239999999904</v>
      </c>
      <c r="Q1103">
        <v>-1.4800389999999901E-3</v>
      </c>
      <c r="R1103">
        <v>0.11106389999999999</v>
      </c>
      <c r="S1103">
        <v>3.030945</v>
      </c>
      <c r="T1103">
        <v>-0.2242353</v>
      </c>
      <c r="U1103">
        <v>-0.11178589999999999</v>
      </c>
      <c r="V1103">
        <v>-6.5940460000000006E-2</v>
      </c>
      <c r="W1103">
        <v>1.263091E-2</v>
      </c>
      <c r="X1103">
        <v>0.99774359999999995</v>
      </c>
      <c r="Y1103">
        <v>8.1738000000000005E-2</v>
      </c>
      <c r="Z1103">
        <v>-6.3637090000000004E-3</v>
      </c>
      <c r="AA1103">
        <v>0.99663349999999995</v>
      </c>
      <c r="AB1103">
        <v>29</v>
      </c>
      <c r="AC1103">
        <v>0.68919999999999904</v>
      </c>
      <c r="AD1103">
        <v>-6.4910999999999899E-2</v>
      </c>
      <c r="AE1103">
        <v>-4.1200000000003401E-2</v>
      </c>
      <c r="AF1103">
        <v>7.1742232301373499E-2</v>
      </c>
      <c r="AG1103">
        <v>-6.4910999999999899E-2</v>
      </c>
      <c r="AH1103">
        <v>0.68061052009318401</v>
      </c>
      <c r="AI1103">
        <v>95.4180827296519</v>
      </c>
      <c r="AJ1103">
        <v>83.9827497543682</v>
      </c>
      <c r="AK1103">
        <v>0.68745259173131201</v>
      </c>
    </row>
    <row r="1104" spans="1:37" x14ac:dyDescent="0.2">
      <c r="A1104" t="str">
        <f>"20200111155813920"</f>
        <v>20200111155813920</v>
      </c>
      <c r="B1104" t="str">
        <f>"1578729493911790"</f>
        <v>1578729493911790</v>
      </c>
      <c r="C1104" t="s">
        <v>37</v>
      </c>
      <c r="D1104">
        <v>5.7609779999999997</v>
      </c>
      <c r="E1104">
        <v>0.55703719999999901</v>
      </c>
      <c r="F1104" t="s">
        <v>38</v>
      </c>
      <c r="G1104">
        <v>-250.59790000000001</v>
      </c>
      <c r="H1104">
        <v>1.0338430000000001</v>
      </c>
      <c r="I1104">
        <v>367.98779999999999</v>
      </c>
      <c r="J1104">
        <v>-251.3657</v>
      </c>
      <c r="K1104">
        <v>1.1046769999999999</v>
      </c>
      <c r="L1104">
        <v>368.03100000000001</v>
      </c>
      <c r="M1104">
        <v>0.99886459999999999</v>
      </c>
      <c r="N1104">
        <v>0</v>
      </c>
      <c r="O1104">
        <v>4.5483410000000002E-2</v>
      </c>
      <c r="P1104">
        <v>0.99381559999999902</v>
      </c>
      <c r="Q1104">
        <v>-1.816666E-3</v>
      </c>
      <c r="R1104">
        <v>0.11102960000000001</v>
      </c>
      <c r="S1104">
        <v>3.0307919999999999</v>
      </c>
      <c r="T1104">
        <v>-0.22705829999999999</v>
      </c>
      <c r="U1104">
        <v>-0.1115723</v>
      </c>
      <c r="V1104">
        <v>-6.5714750000000002E-2</v>
      </c>
      <c r="W1104">
        <v>1.2293810000000001E-2</v>
      </c>
      <c r="X1104">
        <v>0.9977627</v>
      </c>
      <c r="Y1104">
        <v>8.1850629999999994E-2</v>
      </c>
      <c r="Z1104">
        <v>-6.4624280000000001E-3</v>
      </c>
      <c r="AA1104">
        <v>0.99662359999999905</v>
      </c>
      <c r="AB1104">
        <v>29</v>
      </c>
      <c r="AC1104">
        <v>0.76779999999999404</v>
      </c>
      <c r="AD1104">
        <v>-7.0833999999999994E-2</v>
      </c>
      <c r="AE1104">
        <v>-4.3200000000012999E-2</v>
      </c>
      <c r="AF1104">
        <v>7.7424064570637496E-2</v>
      </c>
      <c r="AG1104">
        <v>-7.0833999999999994E-2</v>
      </c>
      <c r="AH1104">
        <v>0.75860395595200303</v>
      </c>
      <c r="AI1104">
        <v>95.307067047809397</v>
      </c>
      <c r="AJ1104">
        <v>84.172499530632805</v>
      </c>
      <c r="AK1104">
        <v>0.76582759372894604</v>
      </c>
    </row>
    <row r="1105" spans="1:37" x14ac:dyDescent="0.2">
      <c r="A1105" t="str">
        <f>"20200111155813936"</f>
        <v>20200111155813936</v>
      </c>
      <c r="B1105" t="str">
        <f>"1578729493932286"</f>
        <v>1578729493932286</v>
      </c>
      <c r="C1105" t="s">
        <v>37</v>
      </c>
      <c r="D1105">
        <v>5.8374319999999997</v>
      </c>
      <c r="E1105">
        <v>0.55707680000000004</v>
      </c>
      <c r="F1105" t="s">
        <v>38</v>
      </c>
      <c r="G1105">
        <v>-250.59190000000001</v>
      </c>
      <c r="H1105">
        <v>1.0461469999999999</v>
      </c>
      <c r="I1105">
        <v>368.00240000000002</v>
      </c>
      <c r="J1105">
        <v>-251.17920000000001</v>
      </c>
      <c r="K1105">
        <v>1.104673</v>
      </c>
      <c r="L1105">
        <v>368.03969999999998</v>
      </c>
      <c r="M1105">
        <v>0.99885539999999995</v>
      </c>
      <c r="N1105">
        <v>0</v>
      </c>
      <c r="O1105">
        <v>4.5683670000000003E-2</v>
      </c>
      <c r="P1105">
        <v>0.99379969999999995</v>
      </c>
      <c r="Q1105">
        <v>-2.3233799999999999E-3</v>
      </c>
      <c r="R1105">
        <v>0.111160199999999</v>
      </c>
      <c r="S1105">
        <v>3.0307459999999899</v>
      </c>
      <c r="T1105">
        <v>-0.22939029999999999</v>
      </c>
      <c r="U1105">
        <v>-0.1116028</v>
      </c>
      <c r="V1105">
        <v>-6.5645690000000007E-2</v>
      </c>
      <c r="W1105">
        <v>1.1786970000000001E-2</v>
      </c>
      <c r="X1105">
        <v>0.99777329999999997</v>
      </c>
      <c r="Y1105">
        <v>8.2052509999999995E-2</v>
      </c>
      <c r="Z1105">
        <v>-6.5514619999999897E-3</v>
      </c>
      <c r="AA1105">
        <v>0.99660649999999995</v>
      </c>
      <c r="AB1105">
        <v>29</v>
      </c>
      <c r="AC1105">
        <v>0.58729999999999905</v>
      </c>
      <c r="AD1105">
        <v>-5.8526000000000002E-2</v>
      </c>
      <c r="AE1105">
        <v>-3.7299999999959199E-2</v>
      </c>
      <c r="AF1105">
        <v>6.3466037116370694E-2</v>
      </c>
      <c r="AG1105">
        <v>-5.8526000000000002E-2</v>
      </c>
      <c r="AH1105">
        <v>0.57925328570384904</v>
      </c>
      <c r="AI1105">
        <v>95.735321720734504</v>
      </c>
      <c r="AJ1105">
        <v>83.747313620555104</v>
      </c>
      <c r="AK1105">
        <v>0.58565143177658296</v>
      </c>
    </row>
    <row r="1106" spans="1:37" x14ac:dyDescent="0.2">
      <c r="A1106" t="str">
        <f>"20200111155813949"</f>
        <v>20200111155813949</v>
      </c>
      <c r="B1106" t="str">
        <f>"1578729493941634"</f>
        <v>1578729493941634</v>
      </c>
      <c r="C1106" t="s">
        <v>37</v>
      </c>
      <c r="D1106">
        <v>5.7627639999999998</v>
      </c>
      <c r="E1106">
        <v>0.55706889999999998</v>
      </c>
      <c r="F1106" t="s">
        <v>38</v>
      </c>
      <c r="G1106">
        <v>-250.33619999999999</v>
      </c>
      <c r="H1106">
        <v>1.0399369999999999</v>
      </c>
      <c r="I1106">
        <v>368.00869999999998</v>
      </c>
      <c r="J1106">
        <v>-251.0086</v>
      </c>
      <c r="K1106">
        <v>1.1046719999999901</v>
      </c>
      <c r="L1106">
        <v>368.04770000000002</v>
      </c>
      <c r="M1106">
        <v>0.99884689999999998</v>
      </c>
      <c r="N1106">
        <v>0</v>
      </c>
      <c r="O1106">
        <v>4.5866770000000001E-2</v>
      </c>
      <c r="P1106">
        <v>0.993779999999999</v>
      </c>
      <c r="Q1106">
        <v>-2.48774E-3</v>
      </c>
      <c r="R1106">
        <v>0.11133410000000001</v>
      </c>
      <c r="S1106">
        <v>3.030624</v>
      </c>
      <c r="T1106">
        <v>-0.23279149999999901</v>
      </c>
      <c r="U1106">
        <v>-0.11126709999999999</v>
      </c>
      <c r="V1106">
        <v>-6.5637249999999994E-2</v>
      </c>
      <c r="W1106">
        <v>1.162152E-2</v>
      </c>
      <c r="X1106">
        <v>0.99777590000000005</v>
      </c>
      <c r="Y1106">
        <v>8.2114800000000002E-2</v>
      </c>
      <c r="Z1106">
        <v>-6.6650219999999996E-3</v>
      </c>
      <c r="AA1106">
        <v>0.99660059999999995</v>
      </c>
      <c r="AB1106">
        <v>29</v>
      </c>
      <c r="AC1106">
        <v>0.67240000000000999</v>
      </c>
      <c r="AD1106">
        <v>-6.4734999999999696E-2</v>
      </c>
      <c r="AE1106">
        <v>-3.9000000000044097E-2</v>
      </c>
      <c r="AF1106">
        <v>6.9163948130136405E-2</v>
      </c>
      <c r="AG1106">
        <v>-6.4734999999999696E-2</v>
      </c>
      <c r="AH1106">
        <v>0.66377148849308099</v>
      </c>
      <c r="AI1106">
        <v>95.540406976012306</v>
      </c>
      <c r="AJ1106">
        <v>84.051336484004196</v>
      </c>
      <c r="AK1106">
        <v>0.67049747268894999</v>
      </c>
    </row>
    <row r="1107" spans="1:37" x14ac:dyDescent="0.2">
      <c r="A1107" t="str">
        <f>"20200111155813962"</f>
        <v>20200111155813962</v>
      </c>
      <c r="B1107" t="str">
        <f>"1578729493952370"</f>
        <v>1578729493952370</v>
      </c>
      <c r="C1107" t="s">
        <v>37</v>
      </c>
      <c r="D1107">
        <v>5.7722360000000004</v>
      </c>
      <c r="E1107">
        <v>0.55707099999999998</v>
      </c>
      <c r="F1107" t="s">
        <v>38</v>
      </c>
      <c r="G1107">
        <v>-250.0805</v>
      </c>
      <c r="H1107">
        <v>1.032991</v>
      </c>
      <c r="I1107">
        <v>368.01369999999997</v>
      </c>
      <c r="J1107">
        <v>-250.8383</v>
      </c>
      <c r="K1107">
        <v>1.10467</v>
      </c>
      <c r="L1107">
        <v>368.0557</v>
      </c>
      <c r="M1107">
        <v>0.99883849999999996</v>
      </c>
      <c r="N1107">
        <v>0</v>
      </c>
      <c r="O1107">
        <v>4.6049859999999998E-2</v>
      </c>
      <c r="P1107">
        <v>0.99373509999999998</v>
      </c>
      <c r="Q1107">
        <v>-2.4956739999999998E-3</v>
      </c>
      <c r="R1107">
        <v>0.1117345</v>
      </c>
      <c r="S1107">
        <v>3.0305939999999998</v>
      </c>
      <c r="T1107">
        <v>-0.23413970000000001</v>
      </c>
      <c r="U1107">
        <v>-0.1106873</v>
      </c>
      <c r="V1107">
        <v>-6.5856120000000004E-2</v>
      </c>
      <c r="W1107">
        <v>1.161246E-2</v>
      </c>
      <c r="X1107">
        <v>0.99776149999999997</v>
      </c>
      <c r="Y1107">
        <v>8.2102540000000002E-2</v>
      </c>
      <c r="Z1107">
        <v>-6.7172359999999997E-3</v>
      </c>
      <c r="AA1107">
        <v>0.99660119999999897</v>
      </c>
      <c r="AB1107">
        <v>29</v>
      </c>
      <c r="AC1107">
        <v>0.75780000000000303</v>
      </c>
      <c r="AD1107">
        <v>-7.1679000000000007E-2</v>
      </c>
      <c r="AE1107">
        <v>-4.2000000000029999E-2</v>
      </c>
      <c r="AF1107">
        <v>7.6176071791025896E-2</v>
      </c>
      <c r="AG1107">
        <v>-7.1679000000000007E-2</v>
      </c>
      <c r="AH1107">
        <v>0.74838636653554003</v>
      </c>
      <c r="AI1107">
        <v>95.443036773536505</v>
      </c>
      <c r="AJ1107">
        <v>84.188045875689696</v>
      </c>
      <c r="AK1107">
        <v>0.75566052336401701</v>
      </c>
    </row>
    <row r="1108" spans="1:37" x14ac:dyDescent="0.2">
      <c r="A1108" t="str">
        <f>"20200111155813974"</f>
        <v>20200111155813974</v>
      </c>
      <c r="B1108" t="str">
        <f>"1578729493971890"</f>
        <v>1578729493971890</v>
      </c>
      <c r="C1108" t="s">
        <v>37</v>
      </c>
      <c r="D1108">
        <v>5.7426940000000002</v>
      </c>
      <c r="E1108">
        <v>0.55703349999999996</v>
      </c>
      <c r="F1108" t="s">
        <v>38</v>
      </c>
      <c r="G1108">
        <v>-250.0746</v>
      </c>
      <c r="H1108">
        <v>1.045499</v>
      </c>
      <c r="I1108">
        <v>368.02800000000002</v>
      </c>
      <c r="J1108">
        <v>-250.67830000000001</v>
      </c>
      <c r="K1108">
        <v>1.10467</v>
      </c>
      <c r="L1108">
        <v>368.06330000000003</v>
      </c>
      <c r="M1108">
        <v>0.99883080000000002</v>
      </c>
      <c r="N1108">
        <v>0</v>
      </c>
      <c r="O1108">
        <v>4.622163E-2</v>
      </c>
      <c r="P1108">
        <v>0.99369319999999906</v>
      </c>
      <c r="Q1108">
        <v>-2.72235099999999E-3</v>
      </c>
      <c r="R1108">
        <v>0.1121012</v>
      </c>
      <c r="S1108">
        <v>3.0306700000000002</v>
      </c>
      <c r="T1108">
        <v>-0.23491899999999999</v>
      </c>
      <c r="U1108">
        <v>-0.10958859999999999</v>
      </c>
      <c r="V1108">
        <v>-6.6053260000000003E-2</v>
      </c>
      <c r="W1108">
        <v>1.138407E-2</v>
      </c>
      <c r="X1108">
        <v>0.99775119999999895</v>
      </c>
      <c r="Y1108">
        <v>8.1909739999999995E-2</v>
      </c>
      <c r="Z1108">
        <v>-6.74522199999999E-3</v>
      </c>
      <c r="AA1108">
        <v>0.99661690000000003</v>
      </c>
      <c r="AB1108">
        <v>29</v>
      </c>
      <c r="AC1108">
        <v>0.60370000000000301</v>
      </c>
      <c r="AD1108">
        <v>-5.9171000000000001E-2</v>
      </c>
      <c r="AE1108">
        <v>-3.53000000000065E-2</v>
      </c>
      <c r="AF1108">
        <v>6.25700163359241E-2</v>
      </c>
      <c r="AG1108">
        <v>-5.9171000000000001E-2</v>
      </c>
      <c r="AH1108">
        <v>0.59571944039480396</v>
      </c>
      <c r="AI1108">
        <v>95.641578573537998</v>
      </c>
      <c r="AJ1108">
        <v>84.004054385182599</v>
      </c>
      <c r="AK1108">
        <v>0.60191184225729899</v>
      </c>
    </row>
    <row r="1109" spans="1:37" x14ac:dyDescent="0.2">
      <c r="A1109" t="str">
        <f>"20200111155813991"</f>
        <v>20200111155813991</v>
      </c>
      <c r="B1109" t="str">
        <f>"1578729493981651"</f>
        <v>1578729493981651</v>
      </c>
      <c r="C1109" t="s">
        <v>37</v>
      </c>
      <c r="D1109">
        <v>5.8879250000000001</v>
      </c>
      <c r="E1109">
        <v>0.55709640000000005</v>
      </c>
      <c r="F1109" t="s">
        <v>38</v>
      </c>
      <c r="G1109">
        <v>-249.82</v>
      </c>
      <c r="H1109">
        <v>1.0376019999999999</v>
      </c>
      <c r="I1109">
        <v>368.03250000000003</v>
      </c>
      <c r="J1109">
        <v>-250.46940000000001</v>
      </c>
      <c r="K1109">
        <v>1.1046659999999999</v>
      </c>
      <c r="L1109">
        <v>368.07319999999999</v>
      </c>
      <c r="M1109">
        <v>0.99882039999999905</v>
      </c>
      <c r="N1109">
        <v>0</v>
      </c>
      <c r="O1109">
        <v>4.6446330000000001E-2</v>
      </c>
      <c r="P1109">
        <v>0.99365759999999903</v>
      </c>
      <c r="Q1109">
        <v>-3.151998E-3</v>
      </c>
      <c r="R1109">
        <v>0.1124043</v>
      </c>
      <c r="S1109">
        <v>3.030548</v>
      </c>
      <c r="T1109">
        <v>-0.23708460000000001</v>
      </c>
      <c r="U1109">
        <v>-0.10787960000000001</v>
      </c>
      <c r="V1109">
        <v>-6.6132549999999998E-2</v>
      </c>
      <c r="W1109">
        <v>1.0953030000000001E-2</v>
      </c>
      <c r="X1109">
        <v>0.99775069999999999</v>
      </c>
      <c r="Y1109">
        <v>8.1567319999999999E-2</v>
      </c>
      <c r="Z1109">
        <v>-6.8117179999999996E-3</v>
      </c>
      <c r="AA1109">
        <v>0.99664459999999999</v>
      </c>
      <c r="AB1109">
        <v>29</v>
      </c>
      <c r="AC1109">
        <v>0.64940000000001397</v>
      </c>
      <c r="AD1109">
        <v>-6.7063999999999693E-2</v>
      </c>
      <c r="AE1109">
        <v>-4.0699999999958401E-2</v>
      </c>
      <c r="AF1109">
        <v>7.0076903974832599E-2</v>
      </c>
      <c r="AG1109">
        <v>-6.7063999999999693E-2</v>
      </c>
      <c r="AH1109">
        <v>0.64000956918138896</v>
      </c>
      <c r="AI1109">
        <v>95.946677604846101</v>
      </c>
      <c r="AJ1109">
        <v>83.751375017015206</v>
      </c>
      <c r="AK1109">
        <v>0.64731800624611402</v>
      </c>
    </row>
    <row r="1110" spans="1:37" x14ac:dyDescent="0.2">
      <c r="A1110" t="str">
        <f>"20200111155814013"</f>
        <v>20200111155814013</v>
      </c>
      <c r="B1110" t="str">
        <f>"1578729494002146"</f>
        <v>1578729494002146</v>
      </c>
      <c r="C1110" t="s">
        <v>37</v>
      </c>
      <c r="D1110">
        <v>5.7700269999999998</v>
      </c>
      <c r="E1110">
        <v>0.55721500000000002</v>
      </c>
      <c r="F1110" t="s">
        <v>38</v>
      </c>
      <c r="G1110">
        <v>-249.5633</v>
      </c>
      <c r="H1110">
        <v>1.034119</v>
      </c>
      <c r="I1110">
        <v>368.041</v>
      </c>
      <c r="J1110">
        <v>-250.18039999999999</v>
      </c>
      <c r="K1110">
        <v>1.104668</v>
      </c>
      <c r="L1110">
        <v>368.08699999999999</v>
      </c>
      <c r="M1110">
        <v>0.99880569999999902</v>
      </c>
      <c r="N1110">
        <v>0</v>
      </c>
      <c r="O1110">
        <v>4.675758E-2</v>
      </c>
      <c r="P1110">
        <v>0.99364470000000005</v>
      </c>
      <c r="Q1110">
        <v>-3.5066339999999998E-3</v>
      </c>
      <c r="R1110">
        <v>0.11250739999999899</v>
      </c>
      <c r="S1110">
        <v>3.0305179999999998</v>
      </c>
      <c r="T1110">
        <v>-0.23608179999999901</v>
      </c>
      <c r="U1110">
        <v>-0.1072388</v>
      </c>
      <c r="V1110">
        <v>-6.592489E-2</v>
      </c>
      <c r="W1110">
        <v>1.0596380000000001E-2</v>
      </c>
      <c r="X1110">
        <v>0.99776830000000005</v>
      </c>
      <c r="Y1110">
        <v>8.1669770000000003E-2</v>
      </c>
      <c r="Z1110">
        <v>-6.8112590000000001E-3</v>
      </c>
      <c r="AA1110">
        <v>0.99663619999999997</v>
      </c>
      <c r="AB1110">
        <v>29</v>
      </c>
      <c r="AC1110">
        <v>0.61709999999999299</v>
      </c>
      <c r="AD1110">
        <v>-7.0548999999999903E-2</v>
      </c>
      <c r="AE1110">
        <v>-4.59999999999922E-2</v>
      </c>
      <c r="AF1110">
        <v>7.3846845712404005E-2</v>
      </c>
      <c r="AG1110">
        <v>-7.0548999999999903E-2</v>
      </c>
      <c r="AH1110">
        <v>0.60639219564479196</v>
      </c>
      <c r="AI1110">
        <v>96.587844937910901</v>
      </c>
      <c r="AJ1110">
        <v>83.056671499990003</v>
      </c>
      <c r="AK1110">
        <v>0.61493252716178803</v>
      </c>
    </row>
    <row r="1111" spans="1:37" x14ac:dyDescent="0.2">
      <c r="A1111" t="str">
        <f>"20200111155814026"</f>
        <v>20200111155814026</v>
      </c>
      <c r="B1111" t="str">
        <f>"1578729494021666"</f>
        <v>1578729494021666</v>
      </c>
      <c r="C1111" t="s">
        <v>37</v>
      </c>
      <c r="D1111">
        <v>5.753241</v>
      </c>
      <c r="E1111">
        <v>0.55724910000000005</v>
      </c>
      <c r="F1111" t="s">
        <v>38</v>
      </c>
      <c r="G1111">
        <v>-249.30410000000001</v>
      </c>
      <c r="H1111">
        <v>1.037021</v>
      </c>
      <c r="I1111">
        <v>368.05549999999999</v>
      </c>
      <c r="J1111">
        <v>-250.00630000000001</v>
      </c>
      <c r="K1111">
        <v>1.1046719999999901</v>
      </c>
      <c r="L1111">
        <v>368.09530000000001</v>
      </c>
      <c r="M1111">
        <v>0.99879689999999999</v>
      </c>
      <c r="N1111">
        <v>0</v>
      </c>
      <c r="O1111">
        <v>4.6944729999999997E-2</v>
      </c>
      <c r="P1111">
        <v>0.99366080000000001</v>
      </c>
      <c r="Q1111">
        <v>-3.5672519999999999E-3</v>
      </c>
      <c r="R1111">
        <v>0.112363</v>
      </c>
      <c r="S1111">
        <v>3.0305939999999998</v>
      </c>
      <c r="T1111">
        <v>-0.23421329999999899</v>
      </c>
      <c r="U1111">
        <v>-0.10800170000000001</v>
      </c>
      <c r="V1111">
        <v>-6.5592860000000003E-2</v>
      </c>
      <c r="W1111">
        <v>1.053487E-2</v>
      </c>
      <c r="X1111">
        <v>0.99779089999999904</v>
      </c>
      <c r="Y1111">
        <v>8.211048E-2</v>
      </c>
      <c r="Z1111">
        <v>-6.7887490000000002E-3</v>
      </c>
      <c r="AA1111">
        <v>0.99660009999999999</v>
      </c>
      <c r="AB1111">
        <v>29</v>
      </c>
      <c r="AC1111">
        <v>0.70220000000000404</v>
      </c>
      <c r="AD1111">
        <v>-6.7650999999999906E-2</v>
      </c>
      <c r="AE1111">
        <v>-3.9800000000013797E-2</v>
      </c>
      <c r="AF1111">
        <v>7.2057341350432305E-2</v>
      </c>
      <c r="AG1111">
        <v>-6.7650999999999906E-2</v>
      </c>
      <c r="AH1111">
        <v>0.69314412934743397</v>
      </c>
      <c r="AI1111">
        <v>95.544730513250698</v>
      </c>
      <c r="AJ1111">
        <v>84.065008420558598</v>
      </c>
      <c r="AK1111">
        <v>0.70015548436922603</v>
      </c>
    </row>
    <row r="1112" spans="1:37" x14ac:dyDescent="0.2">
      <c r="A1112" t="str">
        <f>"20200111155814039"</f>
        <v>20200111155814039</v>
      </c>
      <c r="B1112" t="str">
        <f>"1578729494032402"</f>
        <v>1578729494032402</v>
      </c>
      <c r="C1112" t="s">
        <v>37</v>
      </c>
      <c r="D1112">
        <v>5.758724</v>
      </c>
      <c r="E1112">
        <v>0.55725669999999905</v>
      </c>
      <c r="F1112" t="s">
        <v>38</v>
      </c>
      <c r="G1112">
        <v>-249.0496</v>
      </c>
      <c r="H1112">
        <v>1.030097</v>
      </c>
      <c r="I1112">
        <v>368.06099999999998</v>
      </c>
      <c r="J1112">
        <v>-249.83969999999999</v>
      </c>
      <c r="K1112">
        <v>1.104673</v>
      </c>
      <c r="L1112">
        <v>368.10329999999999</v>
      </c>
      <c r="M1112">
        <v>0.99878860000000003</v>
      </c>
      <c r="N1112">
        <v>0</v>
      </c>
      <c r="O1112">
        <v>4.7123779999999997E-2</v>
      </c>
      <c r="P1112">
        <v>0.99366659999999996</v>
      </c>
      <c r="Q1112">
        <v>-3.4863049999999999E-3</v>
      </c>
      <c r="R1112">
        <v>0.112314699999999</v>
      </c>
      <c r="S1112">
        <v>3.0305789999999999</v>
      </c>
      <c r="T1112">
        <v>-0.23620479999999899</v>
      </c>
      <c r="U1112">
        <v>-0.10855099999999999</v>
      </c>
      <c r="V1112">
        <v>-6.5365839999999995E-2</v>
      </c>
      <c r="W1112">
        <v>1.06144999999999E-2</v>
      </c>
      <c r="X1112">
        <v>0.99780489999999999</v>
      </c>
      <c r="Y1112">
        <v>8.2461560000000003E-2</v>
      </c>
      <c r="Z1112">
        <v>-6.8738969999999899E-3</v>
      </c>
      <c r="AA1112">
        <v>0.99657050000000003</v>
      </c>
      <c r="AB1112">
        <v>29</v>
      </c>
      <c r="AC1112">
        <v>0.79009999999999503</v>
      </c>
      <c r="AD1112">
        <v>-7.4575999999999906E-2</v>
      </c>
      <c r="AE1112">
        <v>-4.2300000000011502E-2</v>
      </c>
      <c r="AF1112">
        <v>7.8789296914176604E-2</v>
      </c>
      <c r="AG1112">
        <v>-7.4575999999999906E-2</v>
      </c>
      <c r="AH1112">
        <v>0.78029665641563795</v>
      </c>
      <c r="AI1112">
        <v>95.431944648149695</v>
      </c>
      <c r="AJ1112">
        <v>84.234186105605602</v>
      </c>
      <c r="AK1112">
        <v>0.78780213575342295</v>
      </c>
    </row>
    <row r="1113" spans="1:37" x14ac:dyDescent="0.2">
      <c r="A1113" t="str">
        <f>"20200111155814050"</f>
        <v>20200111155814050</v>
      </c>
      <c r="B1113" t="str">
        <f>"1578729494041930"</f>
        <v>1578729494041930</v>
      </c>
      <c r="C1113" t="s">
        <v>37</v>
      </c>
      <c r="D1113">
        <v>5.7875620000000003</v>
      </c>
      <c r="E1113">
        <v>0.55728409999999995</v>
      </c>
      <c r="F1113" t="s">
        <v>38</v>
      </c>
      <c r="G1113">
        <v>-249.04419999999999</v>
      </c>
      <c r="H1113">
        <v>1.0425059999999999</v>
      </c>
      <c r="I1113">
        <v>368.07479999999998</v>
      </c>
      <c r="J1113">
        <v>-249.6968</v>
      </c>
      <c r="K1113">
        <v>1.1046750000000001</v>
      </c>
      <c r="L1113">
        <v>368.11020000000002</v>
      </c>
      <c r="M1113">
        <v>0.99878140000000004</v>
      </c>
      <c r="N1113">
        <v>0</v>
      </c>
      <c r="O1113">
        <v>4.7277260000000002E-2</v>
      </c>
      <c r="P1113">
        <v>0.99368289999999904</v>
      </c>
      <c r="Q1113">
        <v>-3.4458039999999998E-3</v>
      </c>
      <c r="R1113">
        <v>0.11217100000000001</v>
      </c>
      <c r="S1113">
        <v>3.0305789999999999</v>
      </c>
      <c r="T1113">
        <v>-0.23679339999999999</v>
      </c>
      <c r="U1113">
        <v>-0.108856199999999</v>
      </c>
      <c r="V1113">
        <v>-6.5067959999999994E-2</v>
      </c>
      <c r="W1113">
        <v>1.065455E-2</v>
      </c>
      <c r="X1113">
        <v>0.99782399999999905</v>
      </c>
      <c r="Y1113">
        <v>8.2711740000000006E-2</v>
      </c>
      <c r="Z1113">
        <v>-6.9126859999999899E-3</v>
      </c>
      <c r="AA1113">
        <v>0.99654949999999998</v>
      </c>
      <c r="AB1113">
        <v>29</v>
      </c>
      <c r="AC1113">
        <v>0.65260000000000595</v>
      </c>
      <c r="AD1113">
        <v>-6.2169000000000099E-2</v>
      </c>
      <c r="AE1113">
        <v>-3.54000000000382E-2</v>
      </c>
      <c r="AF1113">
        <v>6.5622852728974806E-2</v>
      </c>
      <c r="AG1113">
        <v>-6.2169000000000099E-2</v>
      </c>
      <c r="AH1113">
        <v>0.64436577937506301</v>
      </c>
      <c r="AI1113">
        <v>95.482707256446602</v>
      </c>
      <c r="AJ1113">
        <v>84.184989082198499</v>
      </c>
      <c r="AK1113">
        <v>0.65067549592014096</v>
      </c>
    </row>
    <row r="1114" spans="1:37" x14ac:dyDescent="0.2">
      <c r="A1114" t="str">
        <f>"20200111155814064"</f>
        <v>20200111155814064</v>
      </c>
      <c r="B1114" t="str">
        <f>"1578729494051692"</f>
        <v>1578729494051692</v>
      </c>
      <c r="C1114" t="s">
        <v>37</v>
      </c>
      <c r="D1114">
        <v>5.7605829999999996</v>
      </c>
      <c r="E1114">
        <v>0.55730959999999996</v>
      </c>
      <c r="F1114" t="s">
        <v>38</v>
      </c>
      <c r="G1114">
        <v>-248.79069999999999</v>
      </c>
      <c r="H1114">
        <v>1.0338099999999999</v>
      </c>
      <c r="I1114">
        <v>368.07740000000001</v>
      </c>
      <c r="J1114">
        <v>-249.5231</v>
      </c>
      <c r="K1114">
        <v>1.104676</v>
      </c>
      <c r="L1114">
        <v>368.11860000000001</v>
      </c>
      <c r="M1114">
        <v>0.99877260000000001</v>
      </c>
      <c r="N1114">
        <v>0</v>
      </c>
      <c r="O1114">
        <v>4.7463699999999998E-2</v>
      </c>
      <c r="P1114">
        <v>0.99370210000000003</v>
      </c>
      <c r="Q1114">
        <v>-3.3215859999999901E-3</v>
      </c>
      <c r="R1114">
        <v>0.11200599999999999</v>
      </c>
      <c r="S1114">
        <v>3.0305629999999999</v>
      </c>
      <c r="T1114">
        <v>-0.23726459999999999</v>
      </c>
      <c r="U1114">
        <v>-0.10916140000000001</v>
      </c>
      <c r="V1114">
        <v>-6.4716250000000003E-2</v>
      </c>
      <c r="W1114">
        <v>1.077757E-2</v>
      </c>
      <c r="X1114">
        <v>0.99784549999999905</v>
      </c>
      <c r="Y1114">
        <v>8.2995150000000004E-2</v>
      </c>
      <c r="Z1114">
        <v>-6.9520619999999898E-3</v>
      </c>
      <c r="AA1114">
        <v>0.99652569999999996</v>
      </c>
      <c r="AB1114">
        <v>29</v>
      </c>
      <c r="AC1114">
        <v>0.73240000000001204</v>
      </c>
      <c r="AD1114">
        <v>-7.0865999999999804E-2</v>
      </c>
      <c r="AE1114">
        <v>-4.1200000000003401E-2</v>
      </c>
      <c r="AF1114">
        <v>7.52174742654238E-2</v>
      </c>
      <c r="AG1114">
        <v>-7.0865999999999804E-2</v>
      </c>
      <c r="AH1114">
        <v>0.72287234577290305</v>
      </c>
      <c r="AI1114">
        <v>95.569160682590194</v>
      </c>
      <c r="AJ1114">
        <v>84.059545383703906</v>
      </c>
      <c r="AK1114">
        <v>0.73022194343506897</v>
      </c>
    </row>
    <row r="1115" spans="1:37" x14ac:dyDescent="0.2">
      <c r="A1115" t="str">
        <f>"20200111155814080"</f>
        <v>20200111155814080</v>
      </c>
      <c r="B1115" t="str">
        <f>"1578729494072185"</f>
        <v>1578729494072185</v>
      </c>
      <c r="C1115" t="s">
        <v>37</v>
      </c>
      <c r="D1115">
        <v>5.7385120000000001</v>
      </c>
      <c r="E1115">
        <v>0.55736600000000003</v>
      </c>
      <c r="F1115" t="s">
        <v>38</v>
      </c>
      <c r="G1115">
        <v>-248.78399999999999</v>
      </c>
      <c r="H1115">
        <v>1.0468309999999901</v>
      </c>
      <c r="I1115">
        <v>368.09160000000003</v>
      </c>
      <c r="J1115">
        <v>-249.3152</v>
      </c>
      <c r="K1115">
        <v>1.1046750000000001</v>
      </c>
      <c r="L1115">
        <v>368.12869999999998</v>
      </c>
      <c r="M1115">
        <v>0.99876200000000004</v>
      </c>
      <c r="N1115">
        <v>0</v>
      </c>
      <c r="O1115">
        <v>4.7686979999999997E-2</v>
      </c>
      <c r="P1115">
        <v>0.99374130000000005</v>
      </c>
      <c r="Q1115">
        <v>-3.1600690000000002E-3</v>
      </c>
      <c r="R1115">
        <v>0.11166189999999999</v>
      </c>
      <c r="S1115">
        <v>3.0305939999999998</v>
      </c>
      <c r="T1115">
        <v>-0.23744870000000001</v>
      </c>
      <c r="U1115">
        <v>-0.10995480000000001</v>
      </c>
      <c r="V1115">
        <v>-6.4147540000000003E-2</v>
      </c>
      <c r="W1115">
        <v>1.0937779999999999E-2</v>
      </c>
      <c r="X1115">
        <v>0.99788049999999995</v>
      </c>
      <c r="Y1115">
        <v>8.3475369999999993E-2</v>
      </c>
      <c r="Z1115">
        <v>-6.9935780000000003E-3</v>
      </c>
      <c r="AA1115">
        <v>0.99648530000000002</v>
      </c>
      <c r="AB1115">
        <v>29</v>
      </c>
      <c r="AC1115">
        <v>0.53119999999998402</v>
      </c>
      <c r="AD1115">
        <v>-5.7844000000000201E-2</v>
      </c>
      <c r="AE1115">
        <v>-3.7099999999952601E-2</v>
      </c>
      <c r="AF1115">
        <v>6.1664002581765097E-2</v>
      </c>
      <c r="AG1115">
        <v>-5.7844000000000201E-2</v>
      </c>
      <c r="AH1115">
        <v>0.52265873656516104</v>
      </c>
      <c r="AI1115">
        <v>96.272219721862896</v>
      </c>
      <c r="AJ1115">
        <v>83.271269851517403</v>
      </c>
      <c r="AK1115">
        <v>0.52945305028708101</v>
      </c>
    </row>
    <row r="1116" spans="1:37" x14ac:dyDescent="0.2">
      <c r="A1116" t="str">
        <f>"20200111155814094"</f>
        <v>20200111155814094</v>
      </c>
      <c r="B1116" t="str">
        <f>"1578729494091706"</f>
        <v>1578729494091706</v>
      </c>
      <c r="C1116" t="s">
        <v>37</v>
      </c>
      <c r="D1116">
        <v>5.8446089999999904</v>
      </c>
      <c r="E1116">
        <v>0.55723400000000001</v>
      </c>
      <c r="F1116" t="s">
        <v>38</v>
      </c>
      <c r="G1116">
        <v>-248.52959999999999</v>
      </c>
      <c r="H1116">
        <v>1.043221</v>
      </c>
      <c r="I1116">
        <v>368.09989999999999</v>
      </c>
      <c r="J1116">
        <v>-249.13720000000001</v>
      </c>
      <c r="K1116">
        <v>1.1046750000000001</v>
      </c>
      <c r="L1116">
        <v>368.13749999999999</v>
      </c>
      <c r="M1116">
        <v>0.9987528</v>
      </c>
      <c r="N1116">
        <v>0</v>
      </c>
      <c r="O1116">
        <v>4.7878419999999998E-2</v>
      </c>
      <c r="P1116">
        <v>0.993721999999999</v>
      </c>
      <c r="Q1116">
        <v>-3.2372209999999898E-3</v>
      </c>
      <c r="R1116">
        <v>0.1118306</v>
      </c>
      <c r="S1116">
        <v>3.03064</v>
      </c>
      <c r="T1116">
        <v>-0.23699980000000001</v>
      </c>
      <c r="U1116">
        <v>-0.11126709999999999</v>
      </c>
      <c r="V1116">
        <v>-6.4125710000000002E-2</v>
      </c>
      <c r="W1116">
        <v>1.08591E-2</v>
      </c>
      <c r="X1116">
        <v>0.99788269999999901</v>
      </c>
      <c r="Y1116">
        <v>8.4095749999999997E-2</v>
      </c>
      <c r="Z1116">
        <v>-7.0193950000000003E-3</v>
      </c>
      <c r="AA1116">
        <v>0.99643300000000001</v>
      </c>
      <c r="AB1116">
        <v>29</v>
      </c>
      <c r="AC1116">
        <v>0.60760000000001901</v>
      </c>
      <c r="AD1116">
        <v>-6.1454000000000099E-2</v>
      </c>
      <c r="AE1116">
        <v>-3.7599999999997601E-2</v>
      </c>
      <c r="AF1116">
        <v>6.5978348564409803E-2</v>
      </c>
      <c r="AG1116">
        <v>-6.1454000000000099E-2</v>
      </c>
      <c r="AH1116">
        <v>0.59899841306395096</v>
      </c>
      <c r="AI1116">
        <v>95.822770682389503</v>
      </c>
      <c r="AJ1116">
        <v>83.714335405507597</v>
      </c>
      <c r="AK1116">
        <v>0.60574651088423004</v>
      </c>
    </row>
    <row r="1117" spans="1:37" x14ac:dyDescent="0.2">
      <c r="A1117" t="str">
        <f>"20200111155814131"</f>
        <v>20200111155814131</v>
      </c>
      <c r="B1117" t="str">
        <f>"1578729494121962"</f>
        <v>1578729494121962</v>
      </c>
      <c r="C1117" t="s">
        <v>37</v>
      </c>
      <c r="D1117">
        <v>5.780716</v>
      </c>
      <c r="E1117">
        <v>0.52938160000000001</v>
      </c>
      <c r="F1117" t="s">
        <v>38</v>
      </c>
      <c r="G1117">
        <v>-248.27549999999999</v>
      </c>
      <c r="H1117">
        <v>1.03759</v>
      </c>
      <c r="I1117">
        <v>368.10590000000002</v>
      </c>
      <c r="J1117">
        <v>-248.66480000000001</v>
      </c>
      <c r="K1117">
        <v>1.104668</v>
      </c>
      <c r="L1117">
        <v>368.16070000000002</v>
      </c>
      <c r="M1117">
        <v>0.99872839999999996</v>
      </c>
      <c r="N1117">
        <v>0</v>
      </c>
      <c r="O1117">
        <v>4.8386480000000003E-2</v>
      </c>
      <c r="P1117">
        <v>0.99376100000000001</v>
      </c>
      <c r="Q1117">
        <v>-3.1681859999999999E-3</v>
      </c>
      <c r="R1117">
        <v>0.111486999999999</v>
      </c>
      <c r="S1117">
        <v>3.030548</v>
      </c>
      <c r="T1117">
        <v>-0.23623449999999999</v>
      </c>
      <c r="U1117">
        <v>-0.10995480000000001</v>
      </c>
      <c r="V1117">
        <v>-6.3273430000000006E-2</v>
      </c>
      <c r="W1117">
        <v>1.092538E-2</v>
      </c>
      <c r="X1117">
        <v>0.99793639999999995</v>
      </c>
      <c r="Y1117">
        <v>8.4173620000000005E-2</v>
      </c>
      <c r="Z1117">
        <v>-7.03960099999999E-3</v>
      </c>
      <c r="AA1117">
        <v>0.99642619999999904</v>
      </c>
      <c r="AB1117">
        <v>29</v>
      </c>
      <c r="AC1117">
        <v>0.38930000000002002</v>
      </c>
      <c r="AD1117">
        <v>-6.7077999999999902E-2</v>
      </c>
      <c r="AE1117">
        <v>-5.4800000000000099E-2</v>
      </c>
      <c r="AF1117">
        <v>7.1493241352080406E-2</v>
      </c>
      <c r="AG1117">
        <v>-6.7077999999999902E-2</v>
      </c>
      <c r="AH1117">
        <v>0.375267339725878</v>
      </c>
      <c r="AI1117">
        <v>99.958993412089399</v>
      </c>
      <c r="AJ1117">
        <v>79.213676581851303</v>
      </c>
      <c r="AK1117">
        <v>0.38786120959431403</v>
      </c>
    </row>
    <row r="1118" spans="1:37" x14ac:dyDescent="0.2">
      <c r="A1118" t="str">
        <f>"20200111155814148"</f>
        <v>20200111155814148</v>
      </c>
      <c r="B1118" t="str">
        <f>"1578729494142457"</f>
        <v>1578729494142457</v>
      </c>
      <c r="C1118" t="s">
        <v>37</v>
      </c>
      <c r="D1118">
        <v>5.7231449999999997</v>
      </c>
      <c r="E1118">
        <v>0.53194160000000001</v>
      </c>
      <c r="F1118" t="s">
        <v>39</v>
      </c>
      <c r="G1118">
        <v>-230.59059999999999</v>
      </c>
      <c r="H1118" s="1">
        <v>-4.16172E-6</v>
      </c>
      <c r="I1118">
        <v>368.81150000000002</v>
      </c>
      <c r="J1118">
        <v>-248.45099999999999</v>
      </c>
      <c r="K1118">
        <v>1.104665</v>
      </c>
      <c r="L1118">
        <v>368.17129999999997</v>
      </c>
      <c r="M1118">
        <v>0.99871739999999998</v>
      </c>
      <c r="N1118">
        <v>0</v>
      </c>
      <c r="O1118">
        <v>4.8614919999999999E-2</v>
      </c>
      <c r="P1118">
        <v>0.99380119999999905</v>
      </c>
      <c r="Q1118">
        <v>-3.3943300000000001E-3</v>
      </c>
      <c r="R1118">
        <v>0.1111221</v>
      </c>
      <c r="S1118">
        <v>3.0061040000000001</v>
      </c>
      <c r="T1118">
        <v>-0.18372810000000001</v>
      </c>
      <c r="U1118">
        <v>0.1082458</v>
      </c>
      <c r="V1118">
        <v>-6.2678289999999998E-2</v>
      </c>
      <c r="W1118">
        <v>1.069842E-2</v>
      </c>
      <c r="X1118">
        <v>0.99797639999999999</v>
      </c>
      <c r="Y1118">
        <v>1.253163E-2</v>
      </c>
      <c r="Z1118">
        <v>-3.3487809999999999E-3</v>
      </c>
      <c r="AA1118">
        <v>0.99991589999999997</v>
      </c>
      <c r="AB1118">
        <v>29</v>
      </c>
      <c r="AC1118">
        <v>17.860399999999998</v>
      </c>
      <c r="AD1118">
        <v>-1.10466916172</v>
      </c>
      <c r="AE1118">
        <v>0.64020000000004895</v>
      </c>
      <c r="AF1118">
        <v>0.22805465661852001</v>
      </c>
      <c r="AG1118">
        <v>-1.10466916172</v>
      </c>
      <c r="AH1118">
        <v>17.8023892493859</v>
      </c>
      <c r="AI1118">
        <v>93.550459409540807</v>
      </c>
      <c r="AJ1118">
        <v>89.266061737691402</v>
      </c>
      <c r="AK1118">
        <v>17.838087505949499</v>
      </c>
    </row>
    <row r="1119" spans="1:37" x14ac:dyDescent="0.2">
      <c r="A1119" t="str">
        <f>"20200111155814161"</f>
        <v>20200111155814161</v>
      </c>
      <c r="B1119" t="str">
        <f>"1578729494152217"</f>
        <v>1578729494152217</v>
      </c>
      <c r="C1119" t="s">
        <v>37</v>
      </c>
      <c r="D1119">
        <v>5.7125810000000001</v>
      </c>
      <c r="E1119">
        <v>0.53209200000000001</v>
      </c>
      <c r="F1119" t="s">
        <v>38</v>
      </c>
      <c r="G1119">
        <v>-247.51240000000001</v>
      </c>
      <c r="H1119">
        <v>1.0320849999999999</v>
      </c>
      <c r="I1119">
        <v>368.19889999999998</v>
      </c>
      <c r="J1119">
        <v>-248.2724</v>
      </c>
      <c r="K1119">
        <v>1.1046609999999999</v>
      </c>
      <c r="L1119">
        <v>368.18020000000001</v>
      </c>
      <c r="M1119">
        <v>0.99870829999999999</v>
      </c>
      <c r="N1119">
        <v>0</v>
      </c>
      <c r="O1119">
        <v>4.8803300000000001E-2</v>
      </c>
      <c r="P1119">
        <v>0.99384219999999901</v>
      </c>
      <c r="Q1119">
        <v>-3.5448239999999998E-3</v>
      </c>
      <c r="R1119">
        <v>0.11074829999999999</v>
      </c>
      <c r="S1119">
        <v>3.0079799999999999</v>
      </c>
      <c r="T1119">
        <v>-0.23271620000000001</v>
      </c>
      <c r="U1119">
        <v>8.8958739999999994E-2</v>
      </c>
      <c r="V1119">
        <v>-6.2114460000000003E-2</v>
      </c>
      <c r="W1119">
        <v>1.0547269999999999E-2</v>
      </c>
      <c r="X1119">
        <v>0.99801329999999999</v>
      </c>
      <c r="Y1119">
        <v>1.90583E-2</v>
      </c>
      <c r="Z1119">
        <v>-4.5038229999999997E-3</v>
      </c>
      <c r="AA1119">
        <v>0.99980829999999998</v>
      </c>
      <c r="AB1119">
        <v>29</v>
      </c>
      <c r="AC1119">
        <v>0.75999999999999002</v>
      </c>
      <c r="AD1119">
        <v>-7.2575999999999904E-2</v>
      </c>
      <c r="AE1119">
        <v>1.8699999999967E-2</v>
      </c>
      <c r="AF1119">
        <v>1.8250177116417202E-2</v>
      </c>
      <c r="AG1119">
        <v>-7.2575999999999904E-2</v>
      </c>
      <c r="AH1119">
        <v>0.75314298293628801</v>
      </c>
      <c r="AI1119">
        <v>95.502659309440503</v>
      </c>
      <c r="AJ1119">
        <v>88.611879081488794</v>
      </c>
      <c r="AK1119">
        <v>0.75685183324541805</v>
      </c>
    </row>
    <row r="1120" spans="1:37" x14ac:dyDescent="0.2">
      <c r="A1120" t="str">
        <f>"20200111155814175"</f>
        <v>20200111155814175</v>
      </c>
      <c r="B1120" t="str">
        <f>"1578729494171739"</f>
        <v>1578729494171739</v>
      </c>
      <c r="C1120" t="s">
        <v>37</v>
      </c>
      <c r="D1120">
        <v>5.7203140000000001</v>
      </c>
      <c r="E1120">
        <v>0.53233240000000004</v>
      </c>
      <c r="F1120" t="s">
        <v>38</v>
      </c>
      <c r="G1120">
        <v>-247.5051</v>
      </c>
      <c r="H1120">
        <v>1.0422229999999999</v>
      </c>
      <c r="I1120">
        <v>368.2022</v>
      </c>
      <c r="J1120">
        <v>-248.09780000000001</v>
      </c>
      <c r="K1120">
        <v>1.1046559999999901</v>
      </c>
      <c r="L1120">
        <v>368.18889999999999</v>
      </c>
      <c r="M1120">
        <v>0.99869920000000001</v>
      </c>
      <c r="N1120">
        <v>0</v>
      </c>
      <c r="O1120">
        <v>4.8984939999999998E-2</v>
      </c>
      <c r="P1120">
        <v>0.99384819999999996</v>
      </c>
      <c r="Q1120">
        <v>-3.843319E-3</v>
      </c>
      <c r="R1120">
        <v>0.1106848</v>
      </c>
      <c r="S1120">
        <v>3.0080259999999899</v>
      </c>
      <c r="T1120">
        <v>-0.24491769999999999</v>
      </c>
      <c r="U1120">
        <v>8.7036130000000003E-2</v>
      </c>
      <c r="V1120">
        <v>-6.1869569999999999E-2</v>
      </c>
      <c r="W1120">
        <v>1.0247829999999999E-2</v>
      </c>
      <c r="X1120">
        <v>0.99803159999999902</v>
      </c>
      <c r="Y1120">
        <v>1.9854090000000001E-2</v>
      </c>
      <c r="Z1120">
        <v>-4.7862729999999997E-3</v>
      </c>
      <c r="AA1120">
        <v>0.9997914</v>
      </c>
      <c r="AB1120">
        <v>29</v>
      </c>
      <c r="AC1120">
        <v>0.592700000000007</v>
      </c>
      <c r="AD1120">
        <v>-6.2432999999999898E-2</v>
      </c>
      <c r="AE1120">
        <v>1.33000000000151E-2</v>
      </c>
      <c r="AF1120">
        <v>1.55794732124469E-2</v>
      </c>
      <c r="AG1120">
        <v>-6.2432999999999898E-2</v>
      </c>
      <c r="AH1120">
        <v>0.58613948389286397</v>
      </c>
      <c r="AI1120">
        <v>96.077839522691093</v>
      </c>
      <c r="AJ1120">
        <v>88.4774478369267</v>
      </c>
      <c r="AK1120">
        <v>0.58966099926378901</v>
      </c>
    </row>
    <row r="1121" spans="1:37" x14ac:dyDescent="0.2">
      <c r="A1121" t="str">
        <f>"20200111155814189"</f>
        <v>20200111155814189</v>
      </c>
      <c r="B1121" t="str">
        <f>"1578729494182474"</f>
        <v>1578729494182474</v>
      </c>
      <c r="C1121" t="s">
        <v>37</v>
      </c>
      <c r="D1121">
        <v>5.7122529999999996</v>
      </c>
      <c r="E1121">
        <v>0.53229740000000003</v>
      </c>
      <c r="F1121" t="s">
        <v>38</v>
      </c>
      <c r="G1121">
        <v>-247.25540000000001</v>
      </c>
      <c r="H1121">
        <v>1.0354369999999999</v>
      </c>
      <c r="I1121">
        <v>368.21249999999998</v>
      </c>
      <c r="J1121">
        <v>-247.92</v>
      </c>
      <c r="K1121">
        <v>1.104651</v>
      </c>
      <c r="L1121">
        <v>368.1979</v>
      </c>
      <c r="M1121">
        <v>0.99869050000000004</v>
      </c>
      <c r="N1121">
        <v>0</v>
      </c>
      <c r="O1121">
        <v>4.9165830000000001E-2</v>
      </c>
      <c r="P1121">
        <v>0.99386830000000004</v>
      </c>
      <c r="Q1121">
        <v>-4.0035579999999999E-3</v>
      </c>
      <c r="R1121">
        <v>0.110499499999999</v>
      </c>
      <c r="S1121">
        <v>3.0081630000000001</v>
      </c>
      <c r="T1121">
        <v>-0.24749169999999901</v>
      </c>
      <c r="U1121">
        <v>8.5021970000000002E-2</v>
      </c>
      <c r="V1121">
        <v>-6.1502269999999998E-2</v>
      </c>
      <c r="W1121">
        <v>1.0086670000000001E-2</v>
      </c>
      <c r="X1121">
        <v>0.99805599999999906</v>
      </c>
      <c r="Y1121">
        <v>2.0697139999999999E-2</v>
      </c>
      <c r="Z1121">
        <v>-4.8857010000000001E-3</v>
      </c>
      <c r="AA1121">
        <v>0.99977389999999999</v>
      </c>
      <c r="AB1121">
        <v>29</v>
      </c>
      <c r="AC1121">
        <v>0.66459999999997799</v>
      </c>
      <c r="AD1121">
        <v>-6.9213999999999803E-2</v>
      </c>
      <c r="AE1121">
        <v>1.4599999999972999E-2</v>
      </c>
      <c r="AF1121">
        <v>1.7902463721474401E-2</v>
      </c>
      <c r="AG1121">
        <v>-6.9213999999999803E-2</v>
      </c>
      <c r="AH1121">
        <v>0.657387438372663</v>
      </c>
      <c r="AI1121">
        <v>96.0081155980929</v>
      </c>
      <c r="AJ1121">
        <v>88.440064264148901</v>
      </c>
      <c r="AK1121">
        <v>0.66126342718577003</v>
      </c>
    </row>
    <row r="1122" spans="1:37" x14ac:dyDescent="0.2">
      <c r="A1122" t="str">
        <f>"20200111155814202"</f>
        <v>20200111155814202</v>
      </c>
      <c r="B1122" t="str">
        <f>"1578729494192234"</f>
        <v>1578729494192234</v>
      </c>
      <c r="C1122" t="s">
        <v>37</v>
      </c>
      <c r="D1122">
        <v>8.7364730000000002</v>
      </c>
      <c r="E1122">
        <v>0.53153799999999995</v>
      </c>
      <c r="F1122" t="s">
        <v>38</v>
      </c>
      <c r="G1122">
        <v>-247.00409999999999</v>
      </c>
      <c r="H1122">
        <v>1.027569</v>
      </c>
      <c r="I1122">
        <v>368.2235</v>
      </c>
      <c r="J1122">
        <v>-247.74590000000001</v>
      </c>
      <c r="K1122">
        <v>1.104649</v>
      </c>
      <c r="L1122">
        <v>368.20659999999998</v>
      </c>
      <c r="M1122">
        <v>0.99868210000000002</v>
      </c>
      <c r="N1122">
        <v>0</v>
      </c>
      <c r="O1122">
        <v>4.9337399999999997E-2</v>
      </c>
      <c r="P1122">
        <v>0.993919</v>
      </c>
      <c r="Q1122">
        <v>-4.2559340000000003E-3</v>
      </c>
      <c r="R1122">
        <v>0.11003259999999999</v>
      </c>
      <c r="S1122">
        <v>3.0080259999999899</v>
      </c>
      <c r="T1122">
        <v>-0.25340109999999999</v>
      </c>
      <c r="U1122">
        <v>8.5144040000000004E-2</v>
      </c>
      <c r="V1122">
        <v>-6.0861360000000003E-2</v>
      </c>
      <c r="W1122">
        <v>9.8344319999999902E-3</v>
      </c>
      <c r="X1122">
        <v>0.99809780000000003</v>
      </c>
      <c r="Y1122">
        <v>2.0814639999999999E-2</v>
      </c>
      <c r="Z1122">
        <v>-5.0215210000000001E-3</v>
      </c>
      <c r="AA1122">
        <v>0.99977079999999996</v>
      </c>
      <c r="AB1122">
        <v>29</v>
      </c>
      <c r="AC1122">
        <v>0.74180000000001201</v>
      </c>
      <c r="AD1122">
        <v>-7.7079999999999996E-2</v>
      </c>
      <c r="AE1122">
        <v>1.6900000000020999E-2</v>
      </c>
      <c r="AF1122">
        <v>1.9512160328337799E-2</v>
      </c>
      <c r="AG1122">
        <v>-7.7079999999999996E-2</v>
      </c>
      <c r="AH1122">
        <v>0.73381134538414305</v>
      </c>
      <c r="AI1122">
        <v>95.994291733602694</v>
      </c>
      <c r="AJ1122">
        <v>88.476855019794002</v>
      </c>
      <c r="AK1122">
        <v>0.73810645669521502</v>
      </c>
    </row>
    <row r="1123" spans="1:37" x14ac:dyDescent="0.2">
      <c r="A1123" t="str">
        <f>"20200111155814217"</f>
        <v>20200111155814217</v>
      </c>
      <c r="B1123" t="str">
        <f>"1578729494211754"</f>
        <v>1578729494211754</v>
      </c>
      <c r="C1123" t="s">
        <v>37</v>
      </c>
      <c r="D1123">
        <v>5.9143600000000003</v>
      </c>
      <c r="E1123">
        <v>0.53195009999999998</v>
      </c>
      <c r="F1123" t="s">
        <v>38</v>
      </c>
      <c r="G1123">
        <v>-246.99430000000001</v>
      </c>
      <c r="H1123">
        <v>1.0425169999999999</v>
      </c>
      <c r="I1123">
        <v>368.2287</v>
      </c>
      <c r="J1123">
        <v>-247.56299999999999</v>
      </c>
      <c r="K1123">
        <v>1.104641</v>
      </c>
      <c r="L1123">
        <v>368.2158</v>
      </c>
      <c r="M1123">
        <v>0.998673699999999</v>
      </c>
      <c r="N1123">
        <v>0</v>
      </c>
      <c r="O1123">
        <v>4.9507370000000002E-2</v>
      </c>
      <c r="P1123">
        <v>0.99392590000000003</v>
      </c>
      <c r="Q1123">
        <v>-4.4954940000000001E-3</v>
      </c>
      <c r="R1123">
        <v>0.1099605</v>
      </c>
      <c r="S1123">
        <v>3.007355</v>
      </c>
      <c r="T1123">
        <v>-0.248911299999999</v>
      </c>
      <c r="U1123">
        <v>8.9721679999999998E-2</v>
      </c>
      <c r="V1123">
        <v>-6.0618779999999997E-2</v>
      </c>
      <c r="W1123">
        <v>9.5945960000000004E-3</v>
      </c>
      <c r="X1123">
        <v>0.99811489999999903</v>
      </c>
      <c r="Y1123">
        <v>1.9470580000000001E-2</v>
      </c>
      <c r="Z1123">
        <v>-4.8923129999999997E-3</v>
      </c>
      <c r="AA1123">
        <v>0.99979850000000003</v>
      </c>
      <c r="AB1123">
        <v>29</v>
      </c>
      <c r="AC1123">
        <v>0.568699999999978</v>
      </c>
      <c r="AD1123">
        <v>-6.2123999999999999E-2</v>
      </c>
      <c r="AE1123">
        <v>1.29000000000019E-2</v>
      </c>
      <c r="AF1123">
        <v>1.5093458211916299E-2</v>
      </c>
      <c r="AG1123">
        <v>-6.2123999999999999E-2</v>
      </c>
      <c r="AH1123">
        <v>0.56193899418740301</v>
      </c>
      <c r="AI1123">
        <v>96.306342104821894</v>
      </c>
      <c r="AJ1123">
        <v>88.461428040822994</v>
      </c>
      <c r="AK1123">
        <v>0.56556399907096799</v>
      </c>
    </row>
    <row r="1124" spans="1:37" x14ac:dyDescent="0.2">
      <c r="A1124" t="str">
        <f>"20200111155814230"</f>
        <v>20200111155814230</v>
      </c>
      <c r="B1124" t="str">
        <f>"1578729494222491"</f>
        <v>1578729494222491</v>
      </c>
      <c r="C1124" t="s">
        <v>37</v>
      </c>
      <c r="D1124">
        <v>6.6464359999999996</v>
      </c>
      <c r="E1124">
        <v>0.53143390000000001</v>
      </c>
      <c r="F1124" t="s">
        <v>38</v>
      </c>
      <c r="G1124">
        <v>-246.7448</v>
      </c>
      <c r="H1124">
        <v>1.0367789999999999</v>
      </c>
      <c r="I1124">
        <v>368.23899999999998</v>
      </c>
      <c r="J1124">
        <v>-247.39179999999999</v>
      </c>
      <c r="K1124">
        <v>1.1046320000000001</v>
      </c>
      <c r="L1124">
        <v>368.22449999999998</v>
      </c>
      <c r="M1124">
        <v>0.99866619999999995</v>
      </c>
      <c r="N1124">
        <v>0</v>
      </c>
      <c r="O1124">
        <v>4.9657399999999997E-2</v>
      </c>
      <c r="P1124">
        <v>0.99391010000000002</v>
      </c>
      <c r="Q1124">
        <v>-4.4558200000000001E-3</v>
      </c>
      <c r="R1124">
        <v>0.1101056</v>
      </c>
      <c r="S1124">
        <v>3.0076749999999999</v>
      </c>
      <c r="T1124">
        <v>-0.2498321</v>
      </c>
      <c r="U1124">
        <v>8.612061E-2</v>
      </c>
      <c r="V1124">
        <v>-6.0614469999999997E-2</v>
      </c>
      <c r="W1124">
        <v>9.6341729999999993E-3</v>
      </c>
      <c r="X1124">
        <v>0.99811479999999997</v>
      </c>
      <c r="Y1124">
        <v>2.0813140000000001E-2</v>
      </c>
      <c r="Z1124">
        <v>-4.9780220000000003E-3</v>
      </c>
      <c r="AA1124">
        <v>0.99977099999999997</v>
      </c>
      <c r="AB1124">
        <v>29</v>
      </c>
      <c r="AC1124">
        <v>0.64699999999999103</v>
      </c>
      <c r="AD1124">
        <v>-6.78529999999999E-2</v>
      </c>
      <c r="AE1124">
        <v>1.4500000000055E-2</v>
      </c>
      <c r="AF1124">
        <v>1.74575340405968E-2</v>
      </c>
      <c r="AG1124">
        <v>-6.78529999999999E-2</v>
      </c>
      <c r="AH1124">
        <v>0.63988754061397601</v>
      </c>
      <c r="AI1124">
        <v>96.050729930383696</v>
      </c>
      <c r="AJ1124">
        <v>88.437233260132899</v>
      </c>
      <c r="AK1124">
        <v>0.64371178312718602</v>
      </c>
    </row>
    <row r="1125" spans="1:37" x14ac:dyDescent="0.2">
      <c r="A1125" t="str">
        <f>"20200111155814245"</f>
        <v>20200111155814245</v>
      </c>
      <c r="B1125" t="str">
        <f>"1578729494242010"</f>
        <v>1578729494242010</v>
      </c>
      <c r="C1125" t="s">
        <v>37</v>
      </c>
      <c r="D1125">
        <v>5.8856020000000004</v>
      </c>
      <c r="E1125">
        <v>0.53054840000000003</v>
      </c>
      <c r="F1125" t="s">
        <v>38</v>
      </c>
      <c r="G1125">
        <v>-246.49170000000001</v>
      </c>
      <c r="H1125">
        <v>1.0341610000000001</v>
      </c>
      <c r="I1125">
        <v>368.25139999999999</v>
      </c>
      <c r="J1125">
        <v>-247.21099999999899</v>
      </c>
      <c r="K1125">
        <v>1.104619</v>
      </c>
      <c r="L1125">
        <v>368.23360000000002</v>
      </c>
      <c r="M1125">
        <v>0.99865899999999996</v>
      </c>
      <c r="N1125">
        <v>0</v>
      </c>
      <c r="O1125">
        <v>4.9805059999999998E-2</v>
      </c>
      <c r="P1125">
        <v>0.993886099999999</v>
      </c>
      <c r="Q1125">
        <v>-4.7696639999999998E-3</v>
      </c>
      <c r="R1125">
        <v>0.11030860000000001</v>
      </c>
      <c r="S1125">
        <v>3.007339</v>
      </c>
      <c r="T1125">
        <v>-0.23557929999999899</v>
      </c>
      <c r="U1125">
        <v>9.0118409999999996E-2</v>
      </c>
      <c r="V1125">
        <v>-6.0669859999999999E-2</v>
      </c>
      <c r="W1125">
        <v>9.3204269999999992E-3</v>
      </c>
      <c r="X1125">
        <v>0.99811430000000001</v>
      </c>
      <c r="Y1125">
        <v>1.9659699999999999E-2</v>
      </c>
      <c r="Z1125">
        <v>-4.6617539999999997E-3</v>
      </c>
      <c r="AA1125">
        <v>0.99979589999999996</v>
      </c>
      <c r="AB1125">
        <v>29</v>
      </c>
      <c r="AC1125">
        <v>0.71929999999997496</v>
      </c>
      <c r="AD1125">
        <v>-7.0457999999999896E-2</v>
      </c>
      <c r="AE1125">
        <v>1.77999999999656E-2</v>
      </c>
      <c r="AF1125">
        <v>1.7879009167079799E-2</v>
      </c>
      <c r="AG1125">
        <v>-7.0457999999999896E-2</v>
      </c>
      <c r="AH1125">
        <v>0.71246194043978095</v>
      </c>
      <c r="AI1125">
        <v>95.646061746348806</v>
      </c>
      <c r="AJ1125">
        <v>88.562482070111002</v>
      </c>
      <c r="AK1125">
        <v>0.71616060022037897</v>
      </c>
    </row>
    <row r="1126" spans="1:37" x14ac:dyDescent="0.2">
      <c r="A1126" t="str">
        <f>"20200111155814258"</f>
        <v>20200111155814258</v>
      </c>
      <c r="B1126" t="str">
        <f>"1578729494251770"</f>
        <v>1578729494251770</v>
      </c>
      <c r="C1126" t="s">
        <v>37</v>
      </c>
      <c r="D1126">
        <v>5.7698239999999998</v>
      </c>
      <c r="E1126">
        <v>0.5305877</v>
      </c>
      <c r="F1126" t="s">
        <v>38</v>
      </c>
      <c r="G1126">
        <v>-246.23920000000001</v>
      </c>
      <c r="H1126">
        <v>1.030751</v>
      </c>
      <c r="I1126">
        <v>368.26490000000001</v>
      </c>
      <c r="J1126">
        <v>-247.03149999999999</v>
      </c>
      <c r="K1126">
        <v>1.1046020000000001</v>
      </c>
      <c r="L1126">
        <v>368.24270000000001</v>
      </c>
      <c r="M1126">
        <v>0.9986526</v>
      </c>
      <c r="N1126">
        <v>0</v>
      </c>
      <c r="O1126">
        <v>4.992999E-2</v>
      </c>
      <c r="P1126">
        <v>0.99384030000000001</v>
      </c>
      <c r="Q1126">
        <v>-4.6677630000000001E-3</v>
      </c>
      <c r="R1126">
        <v>0.11072369999999999</v>
      </c>
      <c r="S1126">
        <v>3.0065309999999998</v>
      </c>
      <c r="T1126">
        <v>-0.22875889999999999</v>
      </c>
      <c r="U1126">
        <v>9.7503660000000006E-2</v>
      </c>
      <c r="V1126">
        <v>-6.0962009999999997E-2</v>
      </c>
      <c r="W1126">
        <v>9.4229420000000001E-3</v>
      </c>
      <c r="X1126">
        <v>0.99809559999999997</v>
      </c>
      <c r="Y1126">
        <v>1.7341510000000001E-2</v>
      </c>
      <c r="Z1126">
        <v>-4.4496029999999999E-3</v>
      </c>
      <c r="AA1126">
        <v>0.999839699999999</v>
      </c>
      <c r="AB1126">
        <v>29</v>
      </c>
      <c r="AC1126">
        <v>0.79229999999998302</v>
      </c>
      <c r="AD1126">
        <v>-7.3851000000000097E-2</v>
      </c>
      <c r="AE1126">
        <v>2.2199999999997999E-2</v>
      </c>
      <c r="AF1126">
        <v>1.72415010442587E-2</v>
      </c>
      <c r="AG1126">
        <v>-7.3851000000000097E-2</v>
      </c>
      <c r="AH1126">
        <v>0.78559998657619701</v>
      </c>
      <c r="AI1126">
        <v>95.369071163260301</v>
      </c>
      <c r="AJ1126">
        <v>88.742735873820095</v>
      </c>
      <c r="AK1126">
        <v>0.78925191065196698</v>
      </c>
    </row>
    <row r="1127" spans="1:37" x14ac:dyDescent="0.2">
      <c r="A1127" t="str">
        <f>"20200111155814274"</f>
        <v>20200111155814274</v>
      </c>
      <c r="B1127" t="str">
        <f>"1578729494272266"</f>
        <v>1578729494272266</v>
      </c>
      <c r="C1127" t="s">
        <v>37</v>
      </c>
      <c r="D1127">
        <v>5.7744249999999999</v>
      </c>
      <c r="E1127">
        <v>0.53098449999999997</v>
      </c>
      <c r="F1127" t="s">
        <v>38</v>
      </c>
      <c r="G1127">
        <v>-246.23060000000001</v>
      </c>
      <c r="H1127">
        <v>1.042716</v>
      </c>
      <c r="I1127">
        <v>368.26870000000002</v>
      </c>
      <c r="J1127">
        <v>-246.8433</v>
      </c>
      <c r="K1127">
        <v>1.1045830000000001</v>
      </c>
      <c r="L1127">
        <v>368.25229999999999</v>
      </c>
      <c r="M1127">
        <v>0.99864699999999995</v>
      </c>
      <c r="N1127">
        <v>0</v>
      </c>
      <c r="O1127">
        <v>5.0044329999999998E-2</v>
      </c>
      <c r="P1127">
        <v>0.99381379999999997</v>
      </c>
      <c r="Q1127">
        <v>-4.3262969999999998E-3</v>
      </c>
      <c r="R1127">
        <v>0.110975</v>
      </c>
      <c r="S1127">
        <v>3.0065309999999998</v>
      </c>
      <c r="T1127">
        <v>-0.23263449999999899</v>
      </c>
      <c r="U1127">
        <v>9.8449709999999996E-2</v>
      </c>
      <c r="V1127">
        <v>-6.109937E-2</v>
      </c>
      <c r="W1127">
        <v>9.7652950000000002E-3</v>
      </c>
      <c r="X1127">
        <v>0.99808390000000002</v>
      </c>
      <c r="Y1127">
        <v>1.7135359999999999E-2</v>
      </c>
      <c r="Z1127">
        <v>-4.5255929999999996E-3</v>
      </c>
      <c r="AA1127">
        <v>0.99984289999999998</v>
      </c>
      <c r="AB1127">
        <v>29</v>
      </c>
      <c r="AC1127">
        <v>0.61269999999998903</v>
      </c>
      <c r="AD1127">
        <v>-6.1867000000000102E-2</v>
      </c>
      <c r="AE1127">
        <v>1.6400000000032802E-2</v>
      </c>
      <c r="AF1127">
        <v>1.4141693942356299E-2</v>
      </c>
      <c r="AG1127">
        <v>-6.1867000000000102E-2</v>
      </c>
      <c r="AH1127">
        <v>0.60657285823833296</v>
      </c>
      <c r="AI1127">
        <v>95.822135502608205</v>
      </c>
      <c r="AJ1127">
        <v>88.664443009120205</v>
      </c>
      <c r="AK1127">
        <v>0.60988371477518599</v>
      </c>
    </row>
    <row r="1128" spans="1:37" x14ac:dyDescent="0.2">
      <c r="A1128" t="str">
        <f>"20200111155814288"</f>
        <v>20200111155814288</v>
      </c>
      <c r="B1128" t="str">
        <f>"1578729494282026"</f>
        <v>1578729494282026</v>
      </c>
      <c r="C1128" t="s">
        <v>37</v>
      </c>
      <c r="D1128">
        <v>5.7450999999999999</v>
      </c>
      <c r="E1128">
        <v>0.53105849999999999</v>
      </c>
      <c r="F1128" t="s">
        <v>38</v>
      </c>
      <c r="G1128">
        <v>-245.98220000000001</v>
      </c>
      <c r="H1128">
        <v>1.0366029999999999</v>
      </c>
      <c r="I1128">
        <v>368.27980000000002</v>
      </c>
      <c r="J1128">
        <v>-246.6618</v>
      </c>
      <c r="K1128">
        <v>1.1045609999999999</v>
      </c>
      <c r="L1128">
        <v>368.26150000000001</v>
      </c>
      <c r="M1128">
        <v>0.99864229999999998</v>
      </c>
      <c r="N1128">
        <v>0</v>
      </c>
      <c r="O1128">
        <v>5.0137670000000002E-2</v>
      </c>
      <c r="P1128">
        <v>0.99379830000000002</v>
      </c>
      <c r="Q1128">
        <v>-3.943546E-3</v>
      </c>
      <c r="R1128">
        <v>0.1111273</v>
      </c>
      <c r="S1128">
        <v>3.0068509999999899</v>
      </c>
      <c r="T1128">
        <v>-0.23749999999999999</v>
      </c>
      <c r="U1128">
        <v>9.6527100000000005E-2</v>
      </c>
      <c r="V1128">
        <v>-6.1158629999999999E-2</v>
      </c>
      <c r="W1128">
        <v>1.0149129999999999E-2</v>
      </c>
      <c r="X1128">
        <v>0.99807639999999997</v>
      </c>
      <c r="Y1128">
        <v>1.7859969999999999E-2</v>
      </c>
      <c r="Z1128">
        <v>-4.6554409999999997E-3</v>
      </c>
      <c r="AA1128">
        <v>0.99982959999999999</v>
      </c>
      <c r="AB1128">
        <v>28</v>
      </c>
      <c r="AC1128">
        <v>0.67959999999999299</v>
      </c>
      <c r="AD1128">
        <v>-6.7957999999999893E-2</v>
      </c>
      <c r="AE1128">
        <v>1.8300000000010599E-2</v>
      </c>
      <c r="AF1128">
        <v>1.5643670552465599E-2</v>
      </c>
      <c r="AG1128">
        <v>-6.7957999999999893E-2</v>
      </c>
      <c r="AH1128">
        <v>0.67293860384215298</v>
      </c>
      <c r="AI1128">
        <v>95.765027347982596</v>
      </c>
      <c r="AJ1128">
        <v>88.668296208008002</v>
      </c>
      <c r="AK1128">
        <v>0.67654222243211204</v>
      </c>
    </row>
    <row r="1129" spans="1:37" x14ac:dyDescent="0.2">
      <c r="A1129" t="str">
        <f>"20200111155814301"</f>
        <v>20200111155814301</v>
      </c>
      <c r="B1129" t="str">
        <f>"1578729494291787"</f>
        <v>1578729494291787</v>
      </c>
      <c r="C1129" t="s">
        <v>37</v>
      </c>
      <c r="D1129">
        <v>5.7839419999999997</v>
      </c>
      <c r="E1129">
        <v>0.53106560000000003</v>
      </c>
      <c r="F1129" t="s">
        <v>38</v>
      </c>
      <c r="G1129">
        <v>-245.7319</v>
      </c>
      <c r="H1129">
        <v>1.03026</v>
      </c>
      <c r="I1129">
        <v>368.29109999999997</v>
      </c>
      <c r="J1129">
        <v>-246.4888</v>
      </c>
      <c r="K1129">
        <v>1.1045370000000001</v>
      </c>
      <c r="L1129">
        <v>368.27030000000002</v>
      </c>
      <c r="M1129">
        <v>0.99863899999999906</v>
      </c>
      <c r="N1129">
        <v>0</v>
      </c>
      <c r="O1129">
        <v>5.0203970000000001E-2</v>
      </c>
      <c r="P1129">
        <v>0.99375170000000002</v>
      </c>
      <c r="Q1129">
        <v>-3.7949809999999998E-3</v>
      </c>
      <c r="R1129">
        <v>0.1115501</v>
      </c>
      <c r="S1129">
        <v>3.0069889999999999</v>
      </c>
      <c r="T1129">
        <v>-0.24053369999999999</v>
      </c>
      <c r="U1129">
        <v>9.6496579999999998E-2</v>
      </c>
      <c r="V1129">
        <v>-6.1516899999999999E-2</v>
      </c>
      <c r="W1129">
        <v>1.029885E-2</v>
      </c>
      <c r="X1129">
        <v>0.99805290000000002</v>
      </c>
      <c r="Y1129">
        <v>1.7932099999999999E-2</v>
      </c>
      <c r="Z1129">
        <v>-4.7226730000000001E-3</v>
      </c>
      <c r="AA1129">
        <v>0.99982800000000005</v>
      </c>
      <c r="AB1129">
        <v>28</v>
      </c>
      <c r="AC1129">
        <v>0.75690000000000102</v>
      </c>
      <c r="AD1129">
        <v>-7.4277000000000107E-2</v>
      </c>
      <c r="AE1129">
        <v>2.07999999999515E-2</v>
      </c>
      <c r="AF1129">
        <v>1.70651983189237E-2</v>
      </c>
      <c r="AG1129">
        <v>-7.4277000000000107E-2</v>
      </c>
      <c r="AH1129">
        <v>0.749774722353173</v>
      </c>
      <c r="AI1129">
        <v>95.656134664111093</v>
      </c>
      <c r="AJ1129">
        <v>88.696148290760206</v>
      </c>
      <c r="AK1129">
        <v>0.75363812801797803</v>
      </c>
    </row>
    <row r="1130" spans="1:37" x14ac:dyDescent="0.2">
      <c r="A1130" t="str">
        <f>"20200111155814315"</f>
        <v>20200111155814315</v>
      </c>
      <c r="B1130" t="str">
        <f>"1578729494312282"</f>
        <v>1578729494312282</v>
      </c>
      <c r="C1130" t="s">
        <v>37</v>
      </c>
      <c r="D1130">
        <v>5.7559959999999997</v>
      </c>
      <c r="E1130">
        <v>0.53127650000000004</v>
      </c>
      <c r="F1130" t="s">
        <v>38</v>
      </c>
      <c r="G1130">
        <v>-245.72309999999999</v>
      </c>
      <c r="H1130">
        <v>1.0426329999999999</v>
      </c>
      <c r="I1130">
        <v>368.29489999999998</v>
      </c>
      <c r="J1130">
        <v>-246.3252</v>
      </c>
      <c r="K1130">
        <v>1.104519</v>
      </c>
      <c r="L1130">
        <v>368.27859999999998</v>
      </c>
      <c r="M1130">
        <v>0.99863679999999999</v>
      </c>
      <c r="N1130">
        <v>0</v>
      </c>
      <c r="O1130">
        <v>5.0247300000000002E-2</v>
      </c>
      <c r="P1130">
        <v>0.99372349999999998</v>
      </c>
      <c r="Q1130">
        <v>-3.1898339999999999E-3</v>
      </c>
      <c r="R1130">
        <v>0.1118181</v>
      </c>
      <c r="S1130">
        <v>3.0069729999999999</v>
      </c>
      <c r="T1130">
        <v>-0.24344099999999999</v>
      </c>
      <c r="U1130">
        <v>9.7564699999999893E-2</v>
      </c>
      <c r="V1130">
        <v>-6.1742070000000003E-2</v>
      </c>
      <c r="W1130">
        <v>1.0905349999999999E-2</v>
      </c>
      <c r="X1130">
        <v>0.99803259999999905</v>
      </c>
      <c r="Y1130">
        <v>1.7616159999999999E-2</v>
      </c>
      <c r="Z1130">
        <v>-4.7702909999999899E-3</v>
      </c>
      <c r="AA1130">
        <v>0.99983349999999904</v>
      </c>
      <c r="AB1130">
        <v>28</v>
      </c>
      <c r="AC1130">
        <v>0.60210000000000696</v>
      </c>
      <c r="AD1130">
        <v>-6.1886000000000101E-2</v>
      </c>
      <c r="AE1130">
        <v>1.6300000000001001E-2</v>
      </c>
      <c r="AF1130">
        <v>1.38315001602923E-2</v>
      </c>
      <c r="AG1130">
        <v>-6.1886000000000101E-2</v>
      </c>
      <c r="AH1130">
        <v>0.595867974899432</v>
      </c>
      <c r="AI1130">
        <v>95.927814346517906</v>
      </c>
      <c r="AJ1130">
        <v>88.6702687025779</v>
      </c>
      <c r="AK1130">
        <v>0.59923270179741905</v>
      </c>
    </row>
    <row r="1131" spans="1:37" x14ac:dyDescent="0.2">
      <c r="A1131" t="str">
        <f>"20200111155814330"</f>
        <v>20200111155814330</v>
      </c>
      <c r="B1131" t="str">
        <f>"1578729494322042"</f>
        <v>1578729494322042</v>
      </c>
      <c r="C1131" t="s">
        <v>37</v>
      </c>
      <c r="D1131">
        <v>5.7837079999999998</v>
      </c>
      <c r="E1131">
        <v>0.53132060000000003</v>
      </c>
      <c r="F1131" t="s">
        <v>38</v>
      </c>
      <c r="G1131">
        <v>-245.47640000000001</v>
      </c>
      <c r="H1131">
        <v>1.0349660000000001</v>
      </c>
      <c r="I1131">
        <v>368.30590000000001</v>
      </c>
      <c r="J1131">
        <v>-246.13059999999999</v>
      </c>
      <c r="K1131">
        <v>1.1044940000000001</v>
      </c>
      <c r="L1131">
        <v>368.28840000000002</v>
      </c>
      <c r="M1131">
        <v>0.99863519999999995</v>
      </c>
      <c r="N1131">
        <v>0</v>
      </c>
      <c r="O1131">
        <v>5.0279869999999997E-2</v>
      </c>
      <c r="P1131">
        <v>0.99371860000000001</v>
      </c>
      <c r="Q1131">
        <v>-2.770532E-3</v>
      </c>
      <c r="R1131">
        <v>0.11187319999999901</v>
      </c>
      <c r="S1131">
        <v>3.0072169999999998</v>
      </c>
      <c r="T1131">
        <v>-0.24648049999999999</v>
      </c>
      <c r="U1131">
        <v>9.7045899999999893E-2</v>
      </c>
      <c r="V1131">
        <v>-6.1764149999999997E-2</v>
      </c>
      <c r="W1131">
        <v>1.1326849999999999E-2</v>
      </c>
      <c r="X1131">
        <v>0.99802649999999904</v>
      </c>
      <c r="Y1131">
        <v>1.7817389999999999E-2</v>
      </c>
      <c r="Z1131">
        <v>-4.8401720000000002E-3</v>
      </c>
      <c r="AA1131">
        <v>0.99982950000000004</v>
      </c>
      <c r="AB1131">
        <v>28</v>
      </c>
      <c r="AC1131">
        <v>0.65419999999997402</v>
      </c>
      <c r="AD1131">
        <v>-6.9528000000000006E-2</v>
      </c>
      <c r="AE1131">
        <v>1.7499999999984001E-2</v>
      </c>
      <c r="AF1131">
        <v>1.5246424312883301E-2</v>
      </c>
      <c r="AG1131">
        <v>-6.9528000000000006E-2</v>
      </c>
      <c r="AH1131">
        <v>0.64695008627992201</v>
      </c>
      <c r="AI1131">
        <v>96.132368408584099</v>
      </c>
      <c r="AJ1131">
        <v>88.649982250335299</v>
      </c>
      <c r="AK1131">
        <v>0.65085406227197096</v>
      </c>
    </row>
    <row r="1132" spans="1:37" x14ac:dyDescent="0.2">
      <c r="A1132" t="str">
        <f>"20200111155814344"</f>
        <v>20200111155814344</v>
      </c>
      <c r="B1132" t="str">
        <f>"1578729494342538"</f>
        <v>1578729494342538</v>
      </c>
      <c r="C1132" t="s">
        <v>37</v>
      </c>
      <c r="D1132">
        <v>5.7662519999999997</v>
      </c>
      <c r="E1132">
        <v>0.53150350000000002</v>
      </c>
      <c r="F1132" t="s">
        <v>38</v>
      </c>
      <c r="G1132">
        <v>-245.22579999999999</v>
      </c>
      <c r="H1132">
        <v>1.0298799999999999</v>
      </c>
      <c r="I1132">
        <v>368.3175</v>
      </c>
      <c r="J1132">
        <v>-245.94739999999999</v>
      </c>
      <c r="K1132">
        <v>1.1044700000000001</v>
      </c>
      <c r="L1132">
        <v>368.29770000000002</v>
      </c>
      <c r="M1132">
        <v>0.99863489999999999</v>
      </c>
      <c r="N1132">
        <v>0</v>
      </c>
      <c r="O1132">
        <v>5.0289170000000001E-2</v>
      </c>
      <c r="P1132">
        <v>0.99368979999999996</v>
      </c>
      <c r="Q1132">
        <v>-2.3812389999999998E-3</v>
      </c>
      <c r="R1132">
        <v>0.1121395</v>
      </c>
      <c r="S1132">
        <v>3.00738499999999</v>
      </c>
      <c r="T1132">
        <v>-0.24803919999999999</v>
      </c>
      <c r="U1132">
        <v>9.6710210000000005E-2</v>
      </c>
      <c r="V1132">
        <v>-6.202133E-2</v>
      </c>
      <c r="W1132">
        <v>1.171783E-2</v>
      </c>
      <c r="X1132">
        <v>0.99800599999999995</v>
      </c>
      <c r="Y1132">
        <v>1.793668E-2</v>
      </c>
      <c r="Z1132">
        <v>-4.8760920000000003E-3</v>
      </c>
      <c r="AA1132">
        <v>0.99982719999999903</v>
      </c>
      <c r="AB1132">
        <v>28</v>
      </c>
      <c r="AC1132">
        <v>0.72159999999999502</v>
      </c>
      <c r="AD1132">
        <v>-7.4590000000000101E-2</v>
      </c>
      <c r="AE1132">
        <v>1.9799999999975101E-2</v>
      </c>
      <c r="AF1132">
        <v>1.6342850951818699E-2</v>
      </c>
      <c r="AG1132">
        <v>-7.4590000000000101E-2</v>
      </c>
      <c r="AH1132">
        <v>0.71405873578159795</v>
      </c>
      <c r="AI1132">
        <v>95.961893177206704</v>
      </c>
      <c r="AJ1132">
        <v>88.6888852562073</v>
      </c>
      <c r="AK1132">
        <v>0.71812995691813797</v>
      </c>
    </row>
    <row r="1133" spans="1:37" x14ac:dyDescent="0.2">
      <c r="A1133" t="str">
        <f>"20200111155814360"</f>
        <v>20200111155814360</v>
      </c>
      <c r="B1133" t="str">
        <f>"1578729494352297"</f>
        <v>1578729494352297</v>
      </c>
      <c r="C1133" t="s">
        <v>37</v>
      </c>
      <c r="D1133">
        <v>5.7914639999999897</v>
      </c>
      <c r="E1133">
        <v>0.53163830000000001</v>
      </c>
      <c r="F1133" t="s">
        <v>38</v>
      </c>
      <c r="G1133">
        <v>-245.21599999999901</v>
      </c>
      <c r="H1133">
        <v>1.0434889999999899</v>
      </c>
      <c r="I1133">
        <v>368.3211</v>
      </c>
      <c r="J1133">
        <v>-245.76050000000001</v>
      </c>
      <c r="K1133">
        <v>1.1044430000000001</v>
      </c>
      <c r="L1133">
        <v>368.30709999999999</v>
      </c>
      <c r="M1133">
        <v>0.99863609999999903</v>
      </c>
      <c r="N1133">
        <v>0</v>
      </c>
      <c r="O1133">
        <v>5.026373E-2</v>
      </c>
      <c r="P1133">
        <v>0.99369010000000002</v>
      </c>
      <c r="Q1133">
        <v>-1.5331920000000001E-3</v>
      </c>
      <c r="R1133">
        <v>0.11215070000000001</v>
      </c>
      <c r="S1133">
        <v>3.007584</v>
      </c>
      <c r="T1133">
        <v>-0.25082779999999999</v>
      </c>
      <c r="U1133">
        <v>9.6191410000000005E-2</v>
      </c>
      <c r="V1133">
        <v>-6.2056849999999997E-2</v>
      </c>
      <c r="W1133">
        <v>1.256845E-2</v>
      </c>
      <c r="X1133">
        <v>0.99799349999999998</v>
      </c>
      <c r="Y1133">
        <v>1.808003E-2</v>
      </c>
      <c r="Z1133">
        <v>-4.934267E-3</v>
      </c>
      <c r="AA1133">
        <v>0.9998243</v>
      </c>
      <c r="AB1133">
        <v>28</v>
      </c>
      <c r="AC1133">
        <v>0.54450000000002696</v>
      </c>
      <c r="AD1133">
        <v>-6.0954000000000098E-2</v>
      </c>
      <c r="AE1133">
        <v>1.4000000000009999E-2</v>
      </c>
      <c r="AF1133">
        <v>1.3223429129771499E-2</v>
      </c>
      <c r="AG1133">
        <v>-6.0954000000000098E-2</v>
      </c>
      <c r="AH1133">
        <v>0.53778053476809995</v>
      </c>
      <c r="AI1133">
        <v>96.464577344955799</v>
      </c>
      <c r="AJ1133">
        <v>88.591443922406299</v>
      </c>
      <c r="AK1133">
        <v>0.54138540132646096</v>
      </c>
    </row>
    <row r="1134" spans="1:37" x14ac:dyDescent="0.2">
      <c r="A1134" t="str">
        <f>"20200111155814374"</f>
        <v>20200111155814374</v>
      </c>
      <c r="B1134" t="str">
        <f>"1578729494371818"</f>
        <v>1578729494371818</v>
      </c>
      <c r="C1134" t="s">
        <v>37</v>
      </c>
      <c r="D1134">
        <v>5.7402819999999997</v>
      </c>
      <c r="E1134">
        <v>0.53174659999999996</v>
      </c>
      <c r="F1134" t="s">
        <v>38</v>
      </c>
      <c r="G1134">
        <v>-244.96770000000001</v>
      </c>
      <c r="H1134">
        <v>1.0385549999999999</v>
      </c>
      <c r="I1134">
        <v>368.33210000000003</v>
      </c>
      <c r="J1134">
        <v>-245.5735</v>
      </c>
      <c r="K1134">
        <v>1.104409</v>
      </c>
      <c r="L1134">
        <v>368.31650000000002</v>
      </c>
      <c r="M1134">
        <v>0.99863899999999906</v>
      </c>
      <c r="N1134">
        <v>0</v>
      </c>
      <c r="O1134">
        <v>5.020633E-2</v>
      </c>
      <c r="P1134">
        <v>0.99368159999999905</v>
      </c>
      <c r="Q1134">
        <v>-1.153208E-3</v>
      </c>
      <c r="R1134">
        <v>0.112231199999999</v>
      </c>
      <c r="S1134">
        <v>3.0079189999999998</v>
      </c>
      <c r="T1134">
        <v>-0.25007030000000002</v>
      </c>
      <c r="U1134">
        <v>9.5153810000000005E-2</v>
      </c>
      <c r="V1134">
        <v>-6.2194560000000003E-2</v>
      </c>
      <c r="W1134">
        <v>1.2951310000000001E-2</v>
      </c>
      <c r="X1134">
        <v>0.99797999999999998</v>
      </c>
      <c r="Y1134">
        <v>1.8371330000000002E-2</v>
      </c>
      <c r="Z1134">
        <v>-4.9262339999999998E-3</v>
      </c>
      <c r="AA1134">
        <v>0.99981909999999896</v>
      </c>
      <c r="AB1134">
        <v>28</v>
      </c>
      <c r="AC1134">
        <v>0.60579999999998702</v>
      </c>
      <c r="AD1134">
        <v>-6.5853999999999996E-2</v>
      </c>
      <c r="AE1134">
        <v>1.5600000000006199E-2</v>
      </c>
      <c r="AF1134">
        <v>1.46645308966154E-2</v>
      </c>
      <c r="AG1134">
        <v>-6.5853999999999996E-2</v>
      </c>
      <c r="AH1134">
        <v>0.59874845192377601</v>
      </c>
      <c r="AI1134">
        <v>96.274644280017696</v>
      </c>
      <c r="AJ1134">
        <v>88.596993806607102</v>
      </c>
      <c r="AK1134">
        <v>0.60253755606064596</v>
      </c>
    </row>
    <row r="1135" spans="1:37" x14ac:dyDescent="0.2">
      <c r="A1135" t="str">
        <f>"20200111155814389"</f>
        <v>20200111155814389</v>
      </c>
      <c r="B1135" t="str">
        <f>"1578729494382554"</f>
        <v>1578729494382554</v>
      </c>
      <c r="C1135" t="s">
        <v>37</v>
      </c>
      <c r="D1135">
        <v>5.7968359999999999</v>
      </c>
      <c r="E1135">
        <v>0.53185159999999998</v>
      </c>
      <c r="F1135" t="s">
        <v>38</v>
      </c>
      <c r="G1135">
        <v>-244.71899999999999</v>
      </c>
      <c r="H1135">
        <v>1.032953</v>
      </c>
      <c r="I1135">
        <v>368.34309999999999</v>
      </c>
      <c r="J1135">
        <v>-245.38570000000001</v>
      </c>
      <c r="K1135">
        <v>1.104373</v>
      </c>
      <c r="L1135">
        <v>368.32589999999999</v>
      </c>
      <c r="M1135">
        <v>0.99864359999999996</v>
      </c>
      <c r="N1135">
        <v>0</v>
      </c>
      <c r="O1135">
        <v>5.0114980000000003E-2</v>
      </c>
      <c r="P1135">
        <v>0.99366429999999994</v>
      </c>
      <c r="Q1135">
        <v>-8.2682449999999896E-4</v>
      </c>
      <c r="R1135">
        <v>0.11238620000000001</v>
      </c>
      <c r="S1135">
        <v>3.008057</v>
      </c>
      <c r="T1135">
        <v>-0.25185229999999997</v>
      </c>
      <c r="U1135">
        <v>9.4848630000000003E-2</v>
      </c>
      <c r="V1135">
        <v>-6.2440309999999999E-2</v>
      </c>
      <c r="W1135">
        <v>1.3280780000000001E-2</v>
      </c>
      <c r="X1135">
        <v>0.99796030000000002</v>
      </c>
      <c r="Y1135">
        <v>1.8379590000000001E-2</v>
      </c>
      <c r="Z1135">
        <v>-4.9537230000000002E-3</v>
      </c>
      <c r="AA1135">
        <v>0.99981880000000001</v>
      </c>
      <c r="AB1135">
        <v>28</v>
      </c>
      <c r="AC1135">
        <v>0.66669999999999097</v>
      </c>
      <c r="AD1135">
        <v>-7.1419999999999997E-2</v>
      </c>
      <c r="AE1135">
        <v>1.7200000000002501E-2</v>
      </c>
      <c r="AF1135">
        <v>1.6052515361246401E-2</v>
      </c>
      <c r="AG1135">
        <v>-7.1419999999999997E-2</v>
      </c>
      <c r="AH1135">
        <v>0.65916481845099195</v>
      </c>
      <c r="AI1135">
        <v>96.182011686207701</v>
      </c>
      <c r="AJ1135">
        <v>88.604962523341101</v>
      </c>
      <c r="AK1135">
        <v>0.66321697620986098</v>
      </c>
    </row>
    <row r="1136" spans="1:37" x14ac:dyDescent="0.2">
      <c r="A1136" t="str">
        <f>"20200111155814404"</f>
        <v>20200111155814404</v>
      </c>
      <c r="B1136" t="str">
        <f>"1578729494392314"</f>
        <v>1578729494392314</v>
      </c>
      <c r="C1136" t="s">
        <v>37</v>
      </c>
      <c r="D1136">
        <v>5.7645099999999996</v>
      </c>
      <c r="E1136">
        <v>0.53199790000000002</v>
      </c>
      <c r="F1136" t="s">
        <v>38</v>
      </c>
      <c r="G1136">
        <v>-244.46940000000001</v>
      </c>
      <c r="H1136">
        <v>1.0275160000000001</v>
      </c>
      <c r="I1136">
        <v>368.35449999999997</v>
      </c>
      <c r="J1136">
        <v>-245.19450000000001</v>
      </c>
      <c r="K1136">
        <v>1.1043369999999999</v>
      </c>
      <c r="L1136">
        <v>368.33530000000002</v>
      </c>
      <c r="M1136">
        <v>0.99865029999999999</v>
      </c>
      <c r="N1136">
        <v>0</v>
      </c>
      <c r="O1136">
        <v>4.9982329999999998E-2</v>
      </c>
      <c r="P1136">
        <v>0.99357899999999999</v>
      </c>
      <c r="Q1136" s="1">
        <v>-5.6968999999999901E-5</v>
      </c>
      <c r="R1136">
        <v>0.1131408</v>
      </c>
      <c r="S1136">
        <v>3.00827</v>
      </c>
      <c r="T1136">
        <v>-0.2523763</v>
      </c>
      <c r="U1136">
        <v>9.42688E-2</v>
      </c>
      <c r="V1136">
        <v>-6.3328529999999994E-2</v>
      </c>
      <c r="W1136">
        <v>1.4055089999999999E-2</v>
      </c>
      <c r="X1136">
        <v>0.99789380000000005</v>
      </c>
      <c r="Y1136">
        <v>1.8440829999999998E-2</v>
      </c>
      <c r="Z1136">
        <v>-4.9551350000000003E-3</v>
      </c>
      <c r="AA1136">
        <v>0.99981769999999903</v>
      </c>
      <c r="AB1136">
        <v>28</v>
      </c>
      <c r="AC1136">
        <v>0.72509999999999697</v>
      </c>
      <c r="AD1136">
        <v>-7.6821E-2</v>
      </c>
      <c r="AE1136">
        <v>1.9199999999955201E-2</v>
      </c>
      <c r="AF1136">
        <v>1.68804624679002E-2</v>
      </c>
      <c r="AG1136">
        <v>-7.6821E-2</v>
      </c>
      <c r="AH1136">
        <v>0.71710976953512096</v>
      </c>
      <c r="AI1136">
        <v>96.112860148050501</v>
      </c>
      <c r="AJ1136">
        <v>88.651530470961106</v>
      </c>
      <c r="AK1136">
        <v>0.72141031155428104</v>
      </c>
    </row>
    <row r="1137" spans="1:37" x14ac:dyDescent="0.2">
      <c r="A1137" t="str">
        <f>"20200111155814418"</f>
        <v>20200111155814418</v>
      </c>
      <c r="B1137" t="str">
        <f>"1578729494411833"</f>
        <v>1578729494411833</v>
      </c>
      <c r="C1137" t="s">
        <v>37</v>
      </c>
      <c r="D1137">
        <v>6.1491089999999904</v>
      </c>
      <c r="E1137">
        <v>0.53234879999999996</v>
      </c>
      <c r="F1137" t="s">
        <v>38</v>
      </c>
      <c r="G1137">
        <v>-244.459</v>
      </c>
      <c r="H1137">
        <v>1.042894</v>
      </c>
      <c r="I1137">
        <v>368.35860000000002</v>
      </c>
      <c r="J1137">
        <v>-245.01900000000001</v>
      </c>
      <c r="K1137">
        <v>1.104295</v>
      </c>
      <c r="L1137">
        <v>368.34399999999999</v>
      </c>
      <c r="M1137">
        <v>0.99865890000000002</v>
      </c>
      <c r="N1137">
        <v>0</v>
      </c>
      <c r="O1137">
        <v>4.981294E-2</v>
      </c>
      <c r="P1137">
        <v>0.99352569999999996</v>
      </c>
      <c r="Q1137">
        <v>5.2986669999999995E-4</v>
      </c>
      <c r="R1137">
        <v>0.113607999999999</v>
      </c>
      <c r="S1137">
        <v>3.0085139999999999</v>
      </c>
      <c r="T1137">
        <v>-0.25141029999999998</v>
      </c>
      <c r="U1137">
        <v>9.5397949999999995E-2</v>
      </c>
      <c r="V1137">
        <v>-6.3965590000000003E-2</v>
      </c>
      <c r="W1137">
        <v>1.464679E-2</v>
      </c>
      <c r="X1137">
        <v>0.99784459999999997</v>
      </c>
      <c r="Y1137">
        <v>1.7903220000000001E-2</v>
      </c>
      <c r="Z1137">
        <v>-4.8992669999999997E-3</v>
      </c>
      <c r="AA1137">
        <v>0.99982769999999999</v>
      </c>
      <c r="AB1137">
        <v>28</v>
      </c>
      <c r="AC1137">
        <v>0.56000000000000205</v>
      </c>
      <c r="AD1137">
        <v>-6.1400999999999997E-2</v>
      </c>
      <c r="AE1137">
        <v>1.46000000000299E-2</v>
      </c>
      <c r="AF1137">
        <v>1.3158073739906901E-2</v>
      </c>
      <c r="AG1137">
        <v>-6.1400999999999997E-2</v>
      </c>
      <c r="AH1137">
        <v>0.553383767390635</v>
      </c>
      <c r="AI1137">
        <v>96.329612764367099</v>
      </c>
      <c r="AJ1137">
        <v>88.637907168857296</v>
      </c>
      <c r="AK1137">
        <v>0.556935195257938</v>
      </c>
    </row>
    <row r="1138" spans="1:37" x14ac:dyDescent="0.2">
      <c r="A1138" t="str">
        <f>"20200111155814431"</f>
        <v>20200111155814431</v>
      </c>
      <c r="B1138" t="str">
        <f>"1578729494422570"</f>
        <v>1578729494422570</v>
      </c>
      <c r="C1138" t="s">
        <v>37</v>
      </c>
      <c r="D1138">
        <v>5.7917649999999998</v>
      </c>
      <c r="E1138">
        <v>0.53246389999999999</v>
      </c>
      <c r="F1138" t="s">
        <v>38</v>
      </c>
      <c r="G1138">
        <v>-244.21250000000001</v>
      </c>
      <c r="H1138">
        <v>1.036953</v>
      </c>
      <c r="I1138">
        <v>368.3691</v>
      </c>
      <c r="J1138">
        <v>-244.8544</v>
      </c>
      <c r="K1138">
        <v>1.1042529999999999</v>
      </c>
      <c r="L1138">
        <v>368.35199999999998</v>
      </c>
      <c r="M1138">
        <v>0.99866809999999995</v>
      </c>
      <c r="N1138">
        <v>0</v>
      </c>
      <c r="O1138">
        <v>4.962453E-2</v>
      </c>
      <c r="P1138">
        <v>0.99349319999999897</v>
      </c>
      <c r="Q1138">
        <v>1.049094E-3</v>
      </c>
      <c r="R1138">
        <v>0.113887899999999</v>
      </c>
      <c r="S1138">
        <v>3.0089419999999998</v>
      </c>
      <c r="T1138">
        <v>-0.25135819999999998</v>
      </c>
      <c r="U1138">
        <v>9.4146729999999998E-2</v>
      </c>
      <c r="V1138">
        <v>-6.4433279999999996E-2</v>
      </c>
      <c r="W1138">
        <v>1.517173E-2</v>
      </c>
      <c r="X1138">
        <v>0.99780669999999905</v>
      </c>
      <c r="Y1138">
        <v>1.813445E-2</v>
      </c>
      <c r="Z1138">
        <v>-4.8915540000000002E-3</v>
      </c>
      <c r="AA1138">
        <v>0.99982359999999904</v>
      </c>
      <c r="AB1138">
        <v>28</v>
      </c>
      <c r="AC1138">
        <v>0.64189999999999203</v>
      </c>
      <c r="AD1138">
        <v>-6.7300000000000096E-2</v>
      </c>
      <c r="AE1138">
        <v>1.71000000000276E-2</v>
      </c>
      <c r="AF1138">
        <v>1.46176646766177E-2</v>
      </c>
      <c r="AG1138">
        <v>-6.7300000000000096E-2</v>
      </c>
      <c r="AH1138">
        <v>0.63498257125015301</v>
      </c>
      <c r="AI1138">
        <v>96.048439998308297</v>
      </c>
      <c r="AJ1138">
        <v>88.681251063662899</v>
      </c>
      <c r="AK1138">
        <v>0.63870637378380202</v>
      </c>
    </row>
    <row r="1139" spans="1:37" x14ac:dyDescent="0.2">
      <c r="A1139" t="str">
        <f>"20200111155814445"</f>
        <v>20200111155814445</v>
      </c>
      <c r="B1139" t="str">
        <f>"1578729494442091"</f>
        <v>1578729494442091</v>
      </c>
      <c r="C1139" t="s">
        <v>37</v>
      </c>
      <c r="D1139">
        <v>5.7643899999999997</v>
      </c>
      <c r="E1139">
        <v>0.53263490000000002</v>
      </c>
      <c r="F1139" t="s">
        <v>38</v>
      </c>
      <c r="G1139">
        <v>-243.96459999999999</v>
      </c>
      <c r="H1139">
        <v>1.029841</v>
      </c>
      <c r="I1139">
        <v>368.37970000000001</v>
      </c>
      <c r="J1139">
        <v>-244.68369999999999</v>
      </c>
      <c r="K1139">
        <v>1.104206</v>
      </c>
      <c r="L1139">
        <v>368.3603</v>
      </c>
      <c r="M1139">
        <v>0.99867939999999999</v>
      </c>
      <c r="N1139">
        <v>0</v>
      </c>
      <c r="O1139">
        <v>4.9398659999999997E-2</v>
      </c>
      <c r="P1139">
        <v>0.99348910000000001</v>
      </c>
      <c r="Q1139">
        <v>1.3091579999999999E-3</v>
      </c>
      <c r="R1139">
        <v>0.11392089999999901</v>
      </c>
      <c r="S1139">
        <v>3.0091549999999998</v>
      </c>
      <c r="T1139">
        <v>-0.25172080000000002</v>
      </c>
      <c r="U1139">
        <v>9.4024659999999996E-2</v>
      </c>
      <c r="V1139">
        <v>-6.4689940000000001E-2</v>
      </c>
      <c r="W1139">
        <v>1.543777E-2</v>
      </c>
      <c r="X1139">
        <v>0.99778599999999995</v>
      </c>
      <c r="Y1139">
        <v>1.795184E-2</v>
      </c>
      <c r="Z1139">
        <v>-4.87179E-3</v>
      </c>
      <c r="AA1139">
        <v>0.99982700000000002</v>
      </c>
      <c r="AB1139">
        <v>28</v>
      </c>
      <c r="AC1139">
        <v>0.71909999999999696</v>
      </c>
      <c r="AD1139">
        <v>-7.4365000000000001E-2</v>
      </c>
      <c r="AE1139">
        <v>1.9400000000018701E-2</v>
      </c>
      <c r="AF1139">
        <v>1.59790420425335E-2</v>
      </c>
      <c r="AG1139">
        <v>-7.4365000000000001E-2</v>
      </c>
      <c r="AH1139">
        <v>0.71157595353900105</v>
      </c>
      <c r="AI1139">
        <v>95.964686298943107</v>
      </c>
      <c r="AJ1139">
        <v>88.713590838119799</v>
      </c>
      <c r="AK1139">
        <v>0.71562966726131105</v>
      </c>
    </row>
    <row r="1140" spans="1:37" x14ac:dyDescent="0.2">
      <c r="A1140" t="str">
        <f>"20200111155814461"</f>
        <v>20200111155814461</v>
      </c>
      <c r="B1140" t="str">
        <f>"1578729494451850"</f>
        <v>1578729494451850</v>
      </c>
      <c r="C1140" t="s">
        <v>37</v>
      </c>
      <c r="D1140">
        <v>5.9180769999999896</v>
      </c>
      <c r="E1140">
        <v>0.53270459999999997</v>
      </c>
      <c r="F1140" t="s">
        <v>38</v>
      </c>
      <c r="G1140">
        <v>-243.9554</v>
      </c>
      <c r="H1140">
        <v>1.0428919999999999</v>
      </c>
      <c r="I1140">
        <v>368.3827</v>
      </c>
      <c r="J1140">
        <v>-244.48500000000001</v>
      </c>
      <c r="K1140">
        <v>1.1041459999999901</v>
      </c>
      <c r="L1140">
        <v>368.3698</v>
      </c>
      <c r="M1140">
        <v>0.99869589999999997</v>
      </c>
      <c r="N1140">
        <v>0</v>
      </c>
      <c r="O1140">
        <v>4.9066510000000001E-2</v>
      </c>
      <c r="P1140">
        <v>0.99345779999999995</v>
      </c>
      <c r="Q1140">
        <v>1.2863969999999899E-3</v>
      </c>
      <c r="R1140">
        <v>0.11419360000000001</v>
      </c>
      <c r="S1140">
        <v>3.0093540000000001</v>
      </c>
      <c r="T1140">
        <v>-0.25343850000000001</v>
      </c>
      <c r="U1140">
        <v>9.2987059999999996E-2</v>
      </c>
      <c r="V1140">
        <v>-6.5293710000000005E-2</v>
      </c>
      <c r="W1140">
        <v>1.5422989999999999E-2</v>
      </c>
      <c r="X1140">
        <v>0.99774689999999999</v>
      </c>
      <c r="Y1140">
        <v>1.7963710000000001E-2</v>
      </c>
      <c r="Z1140">
        <v>-4.877246E-3</v>
      </c>
      <c r="AA1140">
        <v>0.99982669999999996</v>
      </c>
      <c r="AB1140">
        <v>28</v>
      </c>
      <c r="AC1140">
        <v>0.52960000000001595</v>
      </c>
      <c r="AD1140">
        <v>-6.1253999999999899E-2</v>
      </c>
      <c r="AE1140">
        <v>1.29000000000019E-2</v>
      </c>
      <c r="AF1140">
        <v>1.2930870966169501E-2</v>
      </c>
      <c r="AG1140">
        <v>-6.1253999999999899E-2</v>
      </c>
      <c r="AH1140">
        <v>0.52260798722395796</v>
      </c>
      <c r="AI1140">
        <v>96.683013493591702</v>
      </c>
      <c r="AJ1140">
        <v>88.582621750750306</v>
      </c>
      <c r="AK1140">
        <v>0.52634434379996897</v>
      </c>
    </row>
    <row r="1141" spans="1:37" x14ac:dyDescent="0.2">
      <c r="A1141" t="str">
        <f>"20200111155814475"</f>
        <v>20200111155814475</v>
      </c>
      <c r="B1141" t="str">
        <f>"1578729494472345"</f>
        <v>1578729494472345</v>
      </c>
      <c r="C1141" t="s">
        <v>37</v>
      </c>
      <c r="D1141">
        <v>5.8954699999999898</v>
      </c>
      <c r="E1141">
        <v>0.5327828</v>
      </c>
      <c r="F1141" t="s">
        <v>38</v>
      </c>
      <c r="G1141">
        <v>-243.7073</v>
      </c>
      <c r="H1141">
        <v>1.0391189999999999</v>
      </c>
      <c r="I1141">
        <v>368.39370000000002</v>
      </c>
      <c r="J1141">
        <v>-244.3014</v>
      </c>
      <c r="K1141">
        <v>1.1040909999999999</v>
      </c>
      <c r="L1141">
        <v>368.37849999999997</v>
      </c>
      <c r="M1141">
        <v>0.99871319999999997</v>
      </c>
      <c r="N1141">
        <v>0</v>
      </c>
      <c r="O1141">
        <v>4.8712079999999998E-2</v>
      </c>
      <c r="P1141">
        <v>0.99347559999999902</v>
      </c>
      <c r="Q1141">
        <v>1.5676100000000001E-3</v>
      </c>
      <c r="R1141">
        <v>0.1140347</v>
      </c>
      <c r="S1141">
        <v>3.0093990000000002</v>
      </c>
      <c r="T1141">
        <v>-0.25183280000000002</v>
      </c>
      <c r="U1141">
        <v>9.3109129999999998E-2</v>
      </c>
      <c r="V1141">
        <v>-6.5485619999999994E-2</v>
      </c>
      <c r="W1141">
        <v>1.571096E-2</v>
      </c>
      <c r="X1141">
        <v>0.9977298</v>
      </c>
      <c r="Y1141">
        <v>1.7574409999999999E-2</v>
      </c>
      <c r="Z1141">
        <v>-4.8005519999999996E-3</v>
      </c>
      <c r="AA1141">
        <v>0.99983409999999995</v>
      </c>
      <c r="AB1141">
        <v>28</v>
      </c>
      <c r="AC1141">
        <v>0.59409999999999696</v>
      </c>
      <c r="AD1141">
        <v>-6.4971999999999794E-2</v>
      </c>
      <c r="AE1141">
        <v>1.52000000000498E-2</v>
      </c>
      <c r="AF1141">
        <v>1.3598246429523699E-2</v>
      </c>
      <c r="AG1141">
        <v>-6.4971999999999794E-2</v>
      </c>
      <c r="AH1141">
        <v>0.58711770844984101</v>
      </c>
      <c r="AI1141">
        <v>96.313129396630998</v>
      </c>
      <c r="AJ1141">
        <v>88.673208375074793</v>
      </c>
      <c r="AK1141">
        <v>0.59085825429230499</v>
      </c>
    </row>
    <row r="1142" spans="1:37" x14ac:dyDescent="0.2">
      <c r="A1142" t="str">
        <f>"20200111155814489"</f>
        <v>20200111155814489</v>
      </c>
      <c r="B1142" t="str">
        <f>"1578729494482106"</f>
        <v>1578729494482106</v>
      </c>
      <c r="C1142" t="s">
        <v>37</v>
      </c>
      <c r="D1142">
        <v>5.7584029999999897</v>
      </c>
      <c r="E1142">
        <v>0.53285740000000004</v>
      </c>
      <c r="F1142" t="s">
        <v>38</v>
      </c>
      <c r="G1142">
        <v>-243.45949999999999</v>
      </c>
      <c r="H1142">
        <v>1.0347230000000001</v>
      </c>
      <c r="I1142">
        <v>368.40410000000003</v>
      </c>
      <c r="J1142">
        <v>-244.12299999999999</v>
      </c>
      <c r="K1142">
        <v>1.104039</v>
      </c>
      <c r="L1142">
        <v>368.38690000000003</v>
      </c>
      <c r="M1142">
        <v>0.99873199999999995</v>
      </c>
      <c r="N1142">
        <v>0</v>
      </c>
      <c r="O1142">
        <v>4.8328650000000001E-2</v>
      </c>
      <c r="P1142">
        <v>0.99352739999999995</v>
      </c>
      <c r="Q1142">
        <v>1.501676E-3</v>
      </c>
      <c r="R1142">
        <v>0.1135844</v>
      </c>
      <c r="S1142">
        <v>3.0095669999999899</v>
      </c>
      <c r="T1142">
        <v>-0.24809870000000001</v>
      </c>
      <c r="U1142">
        <v>9.1949459999999997E-2</v>
      </c>
      <c r="V1142">
        <v>-6.5414319999999998E-2</v>
      </c>
      <c r="W1142">
        <v>1.5652320000000001E-2</v>
      </c>
      <c r="X1142">
        <v>0.99773539999999905</v>
      </c>
      <c r="Y1142">
        <v>1.758525E-2</v>
      </c>
      <c r="Z1142">
        <v>-4.6983229999999999E-3</v>
      </c>
      <c r="AA1142">
        <v>0.99983429999999995</v>
      </c>
      <c r="AB1142">
        <v>28</v>
      </c>
      <c r="AC1142">
        <v>0.66349999999999898</v>
      </c>
      <c r="AD1142">
        <v>-6.9315999999999905E-2</v>
      </c>
      <c r="AE1142">
        <v>1.7200000000002501E-2</v>
      </c>
      <c r="AF1142">
        <v>1.47287068649144E-2</v>
      </c>
      <c r="AG1142">
        <v>-6.9315999999999905E-2</v>
      </c>
      <c r="AH1142">
        <v>0.65639675088806104</v>
      </c>
      <c r="AI1142">
        <v>96.026631012578903</v>
      </c>
      <c r="AJ1142">
        <v>88.714571407691295</v>
      </c>
      <c r="AK1142">
        <v>0.66021082787115504</v>
      </c>
    </row>
    <row r="1143" spans="1:37" x14ac:dyDescent="0.2">
      <c r="A1143" t="str">
        <f>"20200111155814505"</f>
        <v>20200111155814505</v>
      </c>
      <c r="B1143" t="str">
        <f>"1578729494502602"</f>
        <v>1578729494502602</v>
      </c>
      <c r="C1143" t="s">
        <v>37</v>
      </c>
      <c r="D1143">
        <v>5.772856</v>
      </c>
      <c r="E1143">
        <v>0.532941</v>
      </c>
      <c r="F1143" t="s">
        <v>38</v>
      </c>
      <c r="G1143">
        <v>-243.2116</v>
      </c>
      <c r="H1143">
        <v>1.028602</v>
      </c>
      <c r="I1143">
        <v>368.41390000000001</v>
      </c>
      <c r="J1143">
        <v>-243.92189999999999</v>
      </c>
      <c r="K1143">
        <v>1.103985</v>
      </c>
      <c r="L1143">
        <v>368.39609999999999</v>
      </c>
      <c r="M1143">
        <v>0.99875499999999995</v>
      </c>
      <c r="N1143">
        <v>0</v>
      </c>
      <c r="O1143">
        <v>4.7848330000000001E-2</v>
      </c>
      <c r="P1143">
        <v>0.99362870000000003</v>
      </c>
      <c r="Q1143">
        <v>1.6452870000000001E-3</v>
      </c>
      <c r="R1143">
        <v>0.112693</v>
      </c>
      <c r="S1143">
        <v>3.00962799999999</v>
      </c>
      <c r="T1143">
        <v>-0.2493513</v>
      </c>
      <c r="U1143">
        <v>8.9996339999999994E-2</v>
      </c>
      <c r="V1143">
        <v>-6.4996940000000003E-2</v>
      </c>
      <c r="W1143">
        <v>1.5803459999999998E-2</v>
      </c>
      <c r="X1143">
        <v>0.99776030000000004</v>
      </c>
      <c r="Y1143">
        <v>1.77521E-2</v>
      </c>
      <c r="Z1143">
        <v>-4.6891529999999997E-3</v>
      </c>
      <c r="AA1143">
        <v>0.99983140000000004</v>
      </c>
      <c r="AB1143">
        <v>28</v>
      </c>
      <c r="AC1143">
        <v>0.71029999999998905</v>
      </c>
      <c r="AD1143">
        <v>-7.5382999999999895E-2</v>
      </c>
      <c r="AE1143">
        <v>1.7800000000022399E-2</v>
      </c>
      <c r="AF1143">
        <v>1.6030006276169802E-2</v>
      </c>
      <c r="AG1143">
        <v>-7.5382999999999895E-2</v>
      </c>
      <c r="AH1143">
        <v>0.70243136911489401</v>
      </c>
      <c r="AI1143">
        <v>96.123799458044402</v>
      </c>
      <c r="AJ1143">
        <v>88.692694608562306</v>
      </c>
      <c r="AK1143">
        <v>0.70664657793471197</v>
      </c>
    </row>
    <row r="1144" spans="1:37" x14ac:dyDescent="0.2">
      <c r="A1144" t="str">
        <f>"20200111155814519"</f>
        <v>20200111155814519</v>
      </c>
      <c r="B1144" t="str">
        <f>"1578729494512362"</f>
        <v>1578729494512362</v>
      </c>
      <c r="C1144" t="s">
        <v>37</v>
      </c>
      <c r="D1144">
        <v>5.7364160000000002</v>
      </c>
      <c r="E1144">
        <v>0.53299549999999996</v>
      </c>
      <c r="F1144" t="s">
        <v>38</v>
      </c>
      <c r="G1144">
        <v>-242.9632</v>
      </c>
      <c r="H1144">
        <v>1.023916</v>
      </c>
      <c r="I1144">
        <v>368.42349999999999</v>
      </c>
      <c r="J1144">
        <v>-243.74209999999999</v>
      </c>
      <c r="K1144">
        <v>1.1039379999999901</v>
      </c>
      <c r="L1144">
        <v>368.4042</v>
      </c>
      <c r="M1144">
        <v>0.99877800000000005</v>
      </c>
      <c r="N1144">
        <v>0</v>
      </c>
      <c r="O1144">
        <v>4.7366070000000003E-2</v>
      </c>
      <c r="P1144">
        <v>0.99371919999999903</v>
      </c>
      <c r="Q1144">
        <v>1.4396700000000001E-3</v>
      </c>
      <c r="R1144">
        <v>0.1118948</v>
      </c>
      <c r="S1144">
        <v>3.0098569999999998</v>
      </c>
      <c r="T1144">
        <v>-0.25141190000000002</v>
      </c>
      <c r="U1144">
        <v>8.6425779999999994E-2</v>
      </c>
      <c r="V1144">
        <v>-6.4675499999999997E-2</v>
      </c>
      <c r="W1144">
        <v>1.5604160000000001E-2</v>
      </c>
      <c r="X1144">
        <v>0.99778429999999996</v>
      </c>
      <c r="Y1144">
        <v>1.8452199999999998E-2</v>
      </c>
      <c r="Z1144">
        <v>-4.7165439999999996E-3</v>
      </c>
      <c r="AA1144">
        <v>0.9998186</v>
      </c>
      <c r="AB1144">
        <v>28</v>
      </c>
      <c r="AC1144">
        <v>0.77889999999999204</v>
      </c>
      <c r="AD1144">
        <v>-8.0021999999999802E-2</v>
      </c>
      <c r="AE1144">
        <v>1.9299999999987001E-2</v>
      </c>
      <c r="AF1144">
        <v>1.74348585334211E-2</v>
      </c>
      <c r="AG1144">
        <v>-8.0021999999999802E-2</v>
      </c>
      <c r="AH1144">
        <v>0.77080899936741598</v>
      </c>
      <c r="AI1144">
        <v>95.925458907529602</v>
      </c>
      <c r="AJ1144">
        <v>88.704252927453794</v>
      </c>
      <c r="AK1144">
        <v>0.77514773319792196</v>
      </c>
    </row>
    <row r="1145" spans="1:37" x14ac:dyDescent="0.2">
      <c r="A1145" t="str">
        <f>"20200111155814534"</f>
        <v>20200111155814534</v>
      </c>
      <c r="B1145" t="str">
        <f>"1578729494522122"</f>
        <v>1578729494522122</v>
      </c>
      <c r="C1145" t="s">
        <v>37</v>
      </c>
      <c r="D1145">
        <v>5.7701769999999897</v>
      </c>
      <c r="E1145">
        <v>0.53303219999999996</v>
      </c>
      <c r="F1145" t="s">
        <v>38</v>
      </c>
      <c r="G1145">
        <v>-242.95570000000001</v>
      </c>
      <c r="H1145">
        <v>1.037787</v>
      </c>
      <c r="I1145">
        <v>368.42599999999999</v>
      </c>
      <c r="J1145">
        <v>-243.5702</v>
      </c>
      <c r="K1145">
        <v>1.1038939999999999</v>
      </c>
      <c r="L1145">
        <v>368.4119</v>
      </c>
      <c r="M1145">
        <v>0.9988011</v>
      </c>
      <c r="N1145">
        <v>0</v>
      </c>
      <c r="O1145">
        <v>4.687827E-2</v>
      </c>
      <c r="P1145">
        <v>0.99379859999999898</v>
      </c>
      <c r="Q1145">
        <v>1.3222010000000001E-3</v>
      </c>
      <c r="R1145">
        <v>0.11118689999999901</v>
      </c>
      <c r="S1145">
        <v>3.009903</v>
      </c>
      <c r="T1145">
        <v>-0.25324580000000002</v>
      </c>
      <c r="U1145">
        <v>8.3801269999999997E-2</v>
      </c>
      <c r="V1145">
        <v>-6.4450560000000004E-2</v>
      </c>
      <c r="W1145">
        <v>1.549069E-2</v>
      </c>
      <c r="X1145">
        <v>0.99780059999999904</v>
      </c>
      <c r="Y1145">
        <v>1.8832459999999999E-2</v>
      </c>
      <c r="Z1145">
        <v>-4.7258839999999996E-3</v>
      </c>
      <c r="AA1145">
        <v>0.99981149999999996</v>
      </c>
      <c r="AB1145">
        <v>28</v>
      </c>
      <c r="AC1145">
        <v>0.61449999999999205</v>
      </c>
      <c r="AD1145">
        <v>-6.6107000000000096E-2</v>
      </c>
      <c r="AE1145">
        <v>1.4099999999984901E-2</v>
      </c>
      <c r="AF1145">
        <v>1.45566871826761E-2</v>
      </c>
      <c r="AG1145">
        <v>-6.6107000000000096E-2</v>
      </c>
      <c r="AH1145">
        <v>0.60745883413906598</v>
      </c>
      <c r="AI1145">
        <v>96.209031056491597</v>
      </c>
      <c r="AJ1145">
        <v>88.627269697339401</v>
      </c>
      <c r="AK1145">
        <v>0.61121867426014398</v>
      </c>
    </row>
    <row r="1146" spans="1:37" x14ac:dyDescent="0.2">
      <c r="A1146" t="str">
        <f>"20200111155814550"</f>
        <v>20200111155814550</v>
      </c>
      <c r="B1146" t="str">
        <f>"1578729494542618"</f>
        <v>1578729494542618</v>
      </c>
      <c r="C1146" t="s">
        <v>37</v>
      </c>
      <c r="D1146">
        <v>5.8908579999999997</v>
      </c>
      <c r="E1146">
        <v>0.53302130000000003</v>
      </c>
      <c r="F1146" t="s">
        <v>38</v>
      </c>
      <c r="G1146">
        <v>-242.70930000000001</v>
      </c>
      <c r="H1146">
        <v>1.030994</v>
      </c>
      <c r="I1146">
        <v>368.435</v>
      </c>
      <c r="J1146">
        <v>-243.3655</v>
      </c>
      <c r="K1146">
        <v>1.10385</v>
      </c>
      <c r="L1146">
        <v>368.42079999999999</v>
      </c>
      <c r="M1146">
        <v>0.99882969999999904</v>
      </c>
      <c r="N1146">
        <v>0</v>
      </c>
      <c r="O1146">
        <v>4.6265220000000003E-2</v>
      </c>
      <c r="P1146">
        <v>0.9938688</v>
      </c>
      <c r="Q1146">
        <v>1.2106039999999899E-3</v>
      </c>
      <c r="R1146">
        <v>0.11056050000000001</v>
      </c>
      <c r="S1146">
        <v>3.009903</v>
      </c>
      <c r="T1146">
        <v>-0.25515409999999999</v>
      </c>
      <c r="U1146">
        <v>8.1726069999999998E-2</v>
      </c>
      <c r="V1146">
        <v>-6.4433069999999995E-2</v>
      </c>
      <c r="W1146">
        <v>1.5381509999999999E-2</v>
      </c>
      <c r="X1146">
        <v>0.99780349999999995</v>
      </c>
      <c r="Y1146">
        <v>1.8906030000000001E-2</v>
      </c>
      <c r="Z1146">
        <v>-4.7127269999999999E-3</v>
      </c>
      <c r="AA1146">
        <v>0.99981019999999898</v>
      </c>
      <c r="AB1146">
        <v>28</v>
      </c>
      <c r="AC1146">
        <v>0.65619999999998402</v>
      </c>
      <c r="AD1146">
        <v>-7.2856000000000004E-2</v>
      </c>
      <c r="AE1146">
        <v>1.42000000000166E-2</v>
      </c>
      <c r="AF1146">
        <v>1.5980562862160801E-2</v>
      </c>
      <c r="AG1146">
        <v>-7.2856000000000004E-2</v>
      </c>
      <c r="AH1146">
        <v>0.64816798538029197</v>
      </c>
      <c r="AI1146">
        <v>96.411364062454197</v>
      </c>
      <c r="AJ1146">
        <v>88.587660344958906</v>
      </c>
      <c r="AK1146">
        <v>0.65244548614986797</v>
      </c>
    </row>
    <row r="1147" spans="1:37" x14ac:dyDescent="0.2">
      <c r="A1147" t="str">
        <f>"20200111155814572"</f>
        <v>20200111155814572</v>
      </c>
      <c r="B1147" t="str">
        <f>"1578729494562138"</f>
        <v>1578729494562138</v>
      </c>
      <c r="C1147" t="s">
        <v>37</v>
      </c>
      <c r="D1147">
        <v>5.7703530000000001</v>
      </c>
      <c r="E1147">
        <v>0.56560929999999998</v>
      </c>
      <c r="F1147" t="s">
        <v>38</v>
      </c>
      <c r="G1147">
        <v>-242.46119999999999</v>
      </c>
      <c r="H1147">
        <v>1.0267790000000001</v>
      </c>
      <c r="I1147">
        <v>368.44459999999998</v>
      </c>
      <c r="J1147">
        <v>-243.0891</v>
      </c>
      <c r="K1147">
        <v>1.103804</v>
      </c>
      <c r="L1147">
        <v>368.43270000000001</v>
      </c>
      <c r="M1147">
        <v>0.99887039999999905</v>
      </c>
      <c r="N1147">
        <v>0</v>
      </c>
      <c r="O1147">
        <v>4.538333E-2</v>
      </c>
      <c r="P1147">
        <v>0.99391980000000002</v>
      </c>
      <c r="Q1147">
        <v>1.3678500000000001E-3</v>
      </c>
      <c r="R1147">
        <v>0.1100986</v>
      </c>
      <c r="S1147">
        <v>3.0099179999999999</v>
      </c>
      <c r="T1147">
        <v>-0.25664989999999999</v>
      </c>
      <c r="U1147">
        <v>7.9956050000000001E-2</v>
      </c>
      <c r="V1147">
        <v>-6.4848290000000003E-2</v>
      </c>
      <c r="W1147">
        <v>1.552979E-2</v>
      </c>
      <c r="X1147">
        <v>0.9977743</v>
      </c>
      <c r="Y1147">
        <v>1.8612449999999999E-2</v>
      </c>
      <c r="Z1147">
        <v>-4.6528159999999997E-3</v>
      </c>
      <c r="AA1147">
        <v>0.99981589999999998</v>
      </c>
      <c r="AB1147">
        <v>28</v>
      </c>
      <c r="AC1147">
        <v>0.627900000000011</v>
      </c>
      <c r="AD1147">
        <v>-7.7024999999999899E-2</v>
      </c>
      <c r="AE1147">
        <v>1.18999999999687E-2</v>
      </c>
      <c r="AF1147">
        <v>1.6365106273254298E-2</v>
      </c>
      <c r="AG1147">
        <v>-7.7024999999999899E-2</v>
      </c>
      <c r="AH1147">
        <v>0.61848926418071803</v>
      </c>
      <c r="AI1147">
        <v>97.096455093215098</v>
      </c>
      <c r="AJ1147">
        <v>88.484318413236196</v>
      </c>
      <c r="AK1147">
        <v>0.62348186600344702</v>
      </c>
    </row>
    <row r="1148" spans="1:37" x14ac:dyDescent="0.2">
      <c r="A1148" t="str">
        <f>"20200111155814594"</f>
        <v>20200111155814594</v>
      </c>
      <c r="B1148" t="str">
        <f>"1578729494582635"</f>
        <v>1578729494582635</v>
      </c>
      <c r="C1148" t="s">
        <v>37</v>
      </c>
      <c r="D1148">
        <v>5.723535</v>
      </c>
      <c r="E1148">
        <v>0.57510649999999996</v>
      </c>
      <c r="F1148" t="s">
        <v>38</v>
      </c>
      <c r="G1148">
        <v>-242.2099</v>
      </c>
      <c r="H1148">
        <v>1.023264</v>
      </c>
      <c r="I1148">
        <v>368.38060000000002</v>
      </c>
      <c r="J1148">
        <v>-242.81659999999999</v>
      </c>
      <c r="K1148">
        <v>1.103764</v>
      </c>
      <c r="L1148">
        <v>368.44409999999999</v>
      </c>
      <c r="M1148">
        <v>0.99891169999999996</v>
      </c>
      <c r="N1148">
        <v>0</v>
      </c>
      <c r="O1148">
        <v>4.447591E-2</v>
      </c>
      <c r="P1148">
        <v>0.99397639999999998</v>
      </c>
      <c r="Q1148">
        <v>1.890454E-3</v>
      </c>
      <c r="R1148">
        <v>0.1095796</v>
      </c>
      <c r="S1148">
        <v>3.0385740000000001</v>
      </c>
      <c r="T1148">
        <v>-0.27848829999999902</v>
      </c>
      <c r="U1148">
        <v>-0.1791382</v>
      </c>
      <c r="V1148">
        <v>-6.5231720000000007E-2</v>
      </c>
      <c r="W1148">
        <v>1.6021819999999999E-2</v>
      </c>
      <c r="X1148">
        <v>0.99774149999999995</v>
      </c>
      <c r="Y1148">
        <v>0.10258289999999901</v>
      </c>
      <c r="Z1148">
        <v>-8.7519899999999994E-3</v>
      </c>
      <c r="AA1148">
        <v>0.99468590000000001</v>
      </c>
      <c r="AB1148">
        <v>28</v>
      </c>
      <c r="AC1148">
        <v>0.60669999999998903</v>
      </c>
      <c r="AD1148">
        <v>-8.0500000000000002E-2</v>
      </c>
      <c r="AE1148">
        <v>-6.3499999999976298E-2</v>
      </c>
      <c r="AF1148">
        <v>8.8875620331480595E-2</v>
      </c>
      <c r="AG1148">
        <v>-8.0500000000000002E-2</v>
      </c>
      <c r="AH1148">
        <v>0.59294908933141199</v>
      </c>
      <c r="AI1148">
        <v>97.646931440831906</v>
      </c>
      <c r="AJ1148">
        <v>81.475541860822304</v>
      </c>
      <c r="AK1148">
        <v>0.60495268280110603</v>
      </c>
    </row>
    <row r="1149" spans="1:37" x14ac:dyDescent="0.2">
      <c r="A1149" t="str">
        <f>"20200111155814608"</f>
        <v>20200111155814608</v>
      </c>
      <c r="B1149" t="str">
        <f>"1578729494602153"</f>
        <v>1578729494602153</v>
      </c>
      <c r="C1149" t="s">
        <v>37</v>
      </c>
      <c r="D1149">
        <v>5.6658080000000002</v>
      </c>
      <c r="E1149">
        <v>0.57961049999999903</v>
      </c>
      <c r="F1149" t="s">
        <v>38</v>
      </c>
      <c r="G1149">
        <v>-241.95570000000001</v>
      </c>
      <c r="H1149">
        <v>1.030273</v>
      </c>
      <c r="I1149">
        <v>368.3716</v>
      </c>
      <c r="J1149">
        <v>-242.64070000000001</v>
      </c>
      <c r="K1149">
        <v>1.1037379999999899</v>
      </c>
      <c r="L1149">
        <v>368.4513</v>
      </c>
      <c r="M1149">
        <v>0.99893869999999896</v>
      </c>
      <c r="N1149">
        <v>0</v>
      </c>
      <c r="O1149">
        <v>4.3878159999999999E-2</v>
      </c>
      <c r="P1149">
        <v>0.9940234</v>
      </c>
      <c r="Q1149">
        <v>2.2899470000000001E-3</v>
      </c>
      <c r="R1149">
        <v>0.1091433</v>
      </c>
      <c r="S1149">
        <v>3.0469059999999999</v>
      </c>
      <c r="T1149">
        <v>-0.26016590000000001</v>
      </c>
      <c r="U1149">
        <v>-0.25604250000000001</v>
      </c>
      <c r="V1149">
        <v>-6.5389760000000005E-2</v>
      </c>
      <c r="W1149">
        <v>1.6386080000000001E-2</v>
      </c>
      <c r="X1149">
        <v>0.99772519999999998</v>
      </c>
      <c r="Y1149">
        <v>0.12676899999999999</v>
      </c>
      <c r="Z1149">
        <v>-9.1273829999999993E-3</v>
      </c>
      <c r="AA1149">
        <v>0.9918903</v>
      </c>
      <c r="AB1149">
        <v>28</v>
      </c>
      <c r="AC1149">
        <v>0.68500000000000205</v>
      </c>
      <c r="AD1149">
        <v>-7.3464999999999794E-2</v>
      </c>
      <c r="AE1149">
        <v>-7.9700000000002505E-2</v>
      </c>
      <c r="AF1149">
        <v>0.10845194199666</v>
      </c>
      <c r="AG1149">
        <v>-7.3464999999999794E-2</v>
      </c>
      <c r="AH1149">
        <v>0.67320283735752995</v>
      </c>
      <c r="AI1149">
        <v>96.149241197634495</v>
      </c>
      <c r="AJ1149">
        <v>80.848367333097599</v>
      </c>
      <c r="AK1149">
        <v>0.68582868864905</v>
      </c>
    </row>
    <row r="1150" spans="1:37" x14ac:dyDescent="0.2">
      <c r="A1150" t="str">
        <f>"20200111155814621"</f>
        <v>20200111155814621</v>
      </c>
      <c r="B1150" t="str">
        <f>"1578729494611914"</f>
        <v>1578729494611914</v>
      </c>
      <c r="C1150" t="s">
        <v>37</v>
      </c>
      <c r="D1150">
        <v>5.6250929999999997</v>
      </c>
      <c r="E1150">
        <v>0.58111259999999998</v>
      </c>
      <c r="F1150" t="s">
        <v>38</v>
      </c>
      <c r="G1150">
        <v>-241.7063</v>
      </c>
      <c r="H1150">
        <v>1.0274490000000001</v>
      </c>
      <c r="I1150">
        <v>368.36110000000002</v>
      </c>
      <c r="J1150">
        <v>-242.46950000000001</v>
      </c>
      <c r="K1150">
        <v>1.103718</v>
      </c>
      <c r="L1150">
        <v>368.45819999999998</v>
      </c>
      <c r="M1150">
        <v>0.99896509999999905</v>
      </c>
      <c r="N1150">
        <v>0</v>
      </c>
      <c r="O1150">
        <v>4.328916E-2</v>
      </c>
      <c r="P1150">
        <v>0.99406729999999999</v>
      </c>
      <c r="Q1150">
        <v>2.836449E-3</v>
      </c>
      <c r="R1150">
        <v>0.1087306</v>
      </c>
      <c r="S1150">
        <v>3.0508419999999998</v>
      </c>
      <c r="T1150">
        <v>-0.24930479999999899</v>
      </c>
      <c r="U1150">
        <v>-0.293518099999999</v>
      </c>
      <c r="V1150">
        <v>-6.5562399999999896E-2</v>
      </c>
      <c r="W1150">
        <v>1.6879060000000001E-2</v>
      </c>
      <c r="X1150">
        <v>0.99770569999999903</v>
      </c>
      <c r="Y1150">
        <v>0.1381714</v>
      </c>
      <c r="Z1150">
        <v>-9.1479590000000006E-3</v>
      </c>
      <c r="AA1150">
        <v>0.99036610000000003</v>
      </c>
      <c r="AB1150">
        <v>28</v>
      </c>
      <c r="AC1150">
        <v>0.76320000000001098</v>
      </c>
      <c r="AD1150">
        <v>-7.6268999999999906E-2</v>
      </c>
      <c r="AE1150">
        <v>-9.7099999999954806E-2</v>
      </c>
      <c r="AF1150">
        <v>0.12878482328195001</v>
      </c>
      <c r="AG1150">
        <v>-7.6268999999999906E-2</v>
      </c>
      <c r="AH1150">
        <v>0.75090111083284306</v>
      </c>
      <c r="AI1150">
        <v>95.716737341726898</v>
      </c>
      <c r="AJ1150">
        <v>80.268054205239494</v>
      </c>
      <c r="AK1150">
        <v>0.76567288662898403</v>
      </c>
    </row>
    <row r="1151" spans="1:37" x14ac:dyDescent="0.2">
      <c r="A1151" t="str">
        <f>"20200111155814635"</f>
        <v>20200111155814635</v>
      </c>
      <c r="B1151" t="str">
        <f>"1578729494632410"</f>
        <v>1578729494632410</v>
      </c>
      <c r="C1151" t="s">
        <v>37</v>
      </c>
      <c r="D1151">
        <v>5.640447</v>
      </c>
      <c r="E1151">
        <v>0.58298309999999998</v>
      </c>
      <c r="F1151" t="s">
        <v>38</v>
      </c>
      <c r="G1151">
        <v>-241.69900000000001</v>
      </c>
      <c r="H1151">
        <v>1.0421069999999999</v>
      </c>
      <c r="I1151">
        <v>368.38040000000001</v>
      </c>
      <c r="J1151">
        <v>-242.30590000000001</v>
      </c>
      <c r="K1151">
        <v>1.1036919999999999</v>
      </c>
      <c r="L1151">
        <v>368.46469999999999</v>
      </c>
      <c r="M1151">
        <v>0.9989903</v>
      </c>
      <c r="N1151">
        <v>0</v>
      </c>
      <c r="O1151">
        <v>4.2729110000000001E-2</v>
      </c>
      <c r="P1151">
        <v>0.99409780000000003</v>
      </c>
      <c r="Q1151">
        <v>3.5605579999999902E-3</v>
      </c>
      <c r="R1151">
        <v>0.1084297</v>
      </c>
      <c r="S1151">
        <v>3.052155</v>
      </c>
      <c r="T1151">
        <v>-0.24430979999999999</v>
      </c>
      <c r="U1151">
        <v>-0.30679319999999999</v>
      </c>
      <c r="V1151">
        <v>-6.5818080000000001E-2</v>
      </c>
      <c r="W1151">
        <v>1.753176E-2</v>
      </c>
      <c r="X1151">
        <v>0.99767759999999905</v>
      </c>
      <c r="Y1151">
        <v>0.1418555</v>
      </c>
      <c r="Z1151">
        <v>-9.0617939999999998E-3</v>
      </c>
      <c r="AA1151">
        <v>0.98984589999999995</v>
      </c>
      <c r="AB1151">
        <v>28</v>
      </c>
      <c r="AC1151">
        <v>0.606899999999996</v>
      </c>
      <c r="AD1151">
        <v>-6.1585000000000202E-2</v>
      </c>
      <c r="AE1151">
        <v>-8.4299999999984707E-2</v>
      </c>
      <c r="AF1151">
        <v>0.10905608117314999</v>
      </c>
      <c r="AG1151">
        <v>-6.1585000000000202E-2</v>
      </c>
      <c r="AH1151">
        <v>0.59671505933777202</v>
      </c>
      <c r="AI1151">
        <v>95.797096382641897</v>
      </c>
      <c r="AJ1151">
        <v>79.642886189248202</v>
      </c>
      <c r="AK1151">
        <v>0.60971698607331404</v>
      </c>
    </row>
    <row r="1152" spans="1:37" x14ac:dyDescent="0.2">
      <c r="A1152" t="str">
        <f>"20200111155814649"</f>
        <v>20200111155814649</v>
      </c>
      <c r="B1152" t="str">
        <f>"1578729494642170"</f>
        <v>1578729494642170</v>
      </c>
      <c r="C1152" t="s">
        <v>37</v>
      </c>
      <c r="D1152">
        <v>5.7595939999999999</v>
      </c>
      <c r="E1152">
        <v>0.58340909999999901</v>
      </c>
      <c r="F1152" t="s">
        <v>38</v>
      </c>
      <c r="G1152">
        <v>-241.44880000000001</v>
      </c>
      <c r="H1152">
        <v>1.0397080000000001</v>
      </c>
      <c r="I1152">
        <v>368.37389999999999</v>
      </c>
      <c r="J1152">
        <v>-242.11689999999999</v>
      </c>
      <c r="K1152">
        <v>1.1036779999999999</v>
      </c>
      <c r="L1152">
        <v>368.47199999999998</v>
      </c>
      <c r="M1152">
        <v>0.99901870000000004</v>
      </c>
      <c r="N1152">
        <v>0</v>
      </c>
      <c r="O1152">
        <v>4.2089639999999998E-2</v>
      </c>
      <c r="P1152">
        <v>0.99409130000000001</v>
      </c>
      <c r="Q1152">
        <v>4.5570899999999998E-3</v>
      </c>
      <c r="R1152">
        <v>0.1084509</v>
      </c>
      <c r="S1152">
        <v>3.053833</v>
      </c>
      <c r="T1152">
        <v>-0.22803760000000001</v>
      </c>
      <c r="U1152">
        <v>-0.32272339999999999</v>
      </c>
      <c r="V1152">
        <v>-6.6477320000000006E-2</v>
      </c>
      <c r="W1152">
        <v>1.843092E-2</v>
      </c>
      <c r="X1152">
        <v>0.99761769999999905</v>
      </c>
      <c r="Y1152">
        <v>0.146341</v>
      </c>
      <c r="Z1152">
        <v>-8.5723819999999999E-3</v>
      </c>
      <c r="AA1152">
        <v>0.98919709999999905</v>
      </c>
      <c r="AB1152">
        <v>28</v>
      </c>
      <c r="AC1152">
        <v>0.66809999999998104</v>
      </c>
      <c r="AD1152">
        <v>-6.3969999999999999E-2</v>
      </c>
      <c r="AE1152">
        <v>-9.8099999999988002E-2</v>
      </c>
      <c r="AF1152">
        <v>0.12501388722308801</v>
      </c>
      <c r="AG1152">
        <v>-6.3969999999999999E-2</v>
      </c>
      <c r="AH1152">
        <v>0.65747798187527895</v>
      </c>
      <c r="AI1152">
        <v>95.459944906854901</v>
      </c>
      <c r="AJ1152">
        <v>79.234205083250501</v>
      </c>
      <c r="AK1152">
        <v>0.67230791275234603</v>
      </c>
    </row>
    <row r="1153" spans="1:37" x14ac:dyDescent="0.2">
      <c r="A1153" t="str">
        <f>"20200111155814664"</f>
        <v>20200111155814664</v>
      </c>
      <c r="B1153" t="str">
        <f>"1578729494651930"</f>
        <v>1578729494651930</v>
      </c>
      <c r="C1153" t="s">
        <v>37</v>
      </c>
      <c r="D1153">
        <v>5.603396</v>
      </c>
      <c r="E1153">
        <v>0.58408090000000001</v>
      </c>
      <c r="F1153" t="s">
        <v>38</v>
      </c>
      <c r="G1153">
        <v>-241.2004</v>
      </c>
      <c r="H1153">
        <v>1.036308</v>
      </c>
      <c r="I1153">
        <v>368.3741</v>
      </c>
      <c r="J1153">
        <v>-241.9425</v>
      </c>
      <c r="K1153">
        <v>1.1036680000000001</v>
      </c>
      <c r="L1153">
        <v>368.47879999999998</v>
      </c>
      <c r="M1153">
        <v>0.99904439999999906</v>
      </c>
      <c r="N1153">
        <v>0</v>
      </c>
      <c r="O1153">
        <v>4.151208E-2</v>
      </c>
      <c r="P1153">
        <v>0.99414969999999903</v>
      </c>
      <c r="Q1153">
        <v>5.0746330000000003E-3</v>
      </c>
      <c r="R1153">
        <v>0.107892</v>
      </c>
      <c r="S1153">
        <v>3.0544129999999998</v>
      </c>
      <c r="T1153">
        <v>-0.2246522</v>
      </c>
      <c r="U1153">
        <v>-0.3260498</v>
      </c>
      <c r="V1153">
        <v>-6.6492490000000001E-2</v>
      </c>
      <c r="W1153">
        <v>1.8840929999999999E-2</v>
      </c>
      <c r="X1153">
        <v>0.99760899999999997</v>
      </c>
      <c r="Y1153">
        <v>0.1468305</v>
      </c>
      <c r="Z1153">
        <v>-8.4190020000000001E-3</v>
      </c>
      <c r="AA1153">
        <v>0.98912579999999894</v>
      </c>
      <c r="AB1153">
        <v>28</v>
      </c>
      <c r="AC1153">
        <v>0.74209999999999299</v>
      </c>
      <c r="AD1153">
        <v>-6.7360000000000003E-2</v>
      </c>
      <c r="AE1153">
        <v>-0.104699999999979</v>
      </c>
      <c r="AF1153">
        <v>0.134333542458803</v>
      </c>
      <c r="AG1153">
        <v>-6.7360000000000003E-2</v>
      </c>
      <c r="AH1153">
        <v>0.73120657147474999</v>
      </c>
      <c r="AI1153">
        <v>95.1771697236195</v>
      </c>
      <c r="AJ1153">
        <v>79.589992351247602</v>
      </c>
      <c r="AK1153">
        <v>0.74648906247673197</v>
      </c>
    </row>
    <row r="1154" spans="1:37" x14ac:dyDescent="0.2">
      <c r="A1154" t="str">
        <f>"20200111155814678"</f>
        <v>20200111155814678</v>
      </c>
      <c r="B1154" t="str">
        <f>"1578729494672426"</f>
        <v>1578729494672426</v>
      </c>
      <c r="C1154" t="s">
        <v>37</v>
      </c>
      <c r="D1154">
        <v>5.5780839999999996</v>
      </c>
      <c r="E1154">
        <v>0.58500450000000004</v>
      </c>
      <c r="F1154" t="s">
        <v>39</v>
      </c>
      <c r="G1154">
        <v>-226.75280000000001</v>
      </c>
      <c r="H1154" s="1">
        <v>-1.8710970000000001E-6</v>
      </c>
      <c r="I1154">
        <v>366.82170000000002</v>
      </c>
      <c r="J1154">
        <v>-241.7698</v>
      </c>
      <c r="K1154">
        <v>1.1036709999999901</v>
      </c>
      <c r="L1154">
        <v>368.4853</v>
      </c>
      <c r="M1154">
        <v>0.99906859999999997</v>
      </c>
      <c r="N1154">
        <v>0</v>
      </c>
      <c r="O1154">
        <v>4.0962409999999998E-2</v>
      </c>
      <c r="P1154">
        <v>0.99418329999999999</v>
      </c>
      <c r="Q1154">
        <v>5.421408E-3</v>
      </c>
      <c r="R1154">
        <v>0.10756499999999999</v>
      </c>
      <c r="S1154">
        <v>3.0549469999999999</v>
      </c>
      <c r="T1154">
        <v>-0.22196839999999901</v>
      </c>
      <c r="U1154">
        <v>-0.33325199999999999</v>
      </c>
      <c r="V1154">
        <v>-6.6713880000000003E-2</v>
      </c>
      <c r="W1154">
        <v>1.90692999999999E-2</v>
      </c>
      <c r="X1154">
        <v>0.99758989999999903</v>
      </c>
      <c r="Y1154">
        <v>0.14858199999999999</v>
      </c>
      <c r="Z1154">
        <v>-8.3397980000000007E-3</v>
      </c>
      <c r="AA1154">
        <v>0.98886499999999999</v>
      </c>
      <c r="AB1154">
        <v>28</v>
      </c>
      <c r="AC1154">
        <v>15.0169999999999</v>
      </c>
      <c r="AD1154">
        <v>-1.1036728710969901</v>
      </c>
      <c r="AE1154">
        <v>-1.66359999999997</v>
      </c>
      <c r="AF1154">
        <v>2.2653048806389902</v>
      </c>
      <c r="AG1154">
        <v>-1.1036728710969901</v>
      </c>
      <c r="AH1154">
        <v>14.8569654246611</v>
      </c>
      <c r="AI1154">
        <v>94.200136797128195</v>
      </c>
      <c r="AJ1154">
        <v>81.330639556548803</v>
      </c>
      <c r="AK1154">
        <v>15.0691446883431</v>
      </c>
    </row>
    <row r="1155" spans="1:37" x14ac:dyDescent="0.2">
      <c r="A1155" t="str">
        <f>"20200111155814690"</f>
        <v>20200111155814690</v>
      </c>
      <c r="B1155" t="str">
        <f>"1578729494682186"</f>
        <v>1578729494682186</v>
      </c>
      <c r="C1155" t="s">
        <v>37</v>
      </c>
      <c r="D1155">
        <v>5.5638769999999997</v>
      </c>
      <c r="E1155">
        <v>0.58556769999999903</v>
      </c>
      <c r="F1155" t="s">
        <v>38</v>
      </c>
      <c r="G1155">
        <v>-240.946</v>
      </c>
      <c r="H1155">
        <v>1.0440149999999999</v>
      </c>
      <c r="I1155">
        <v>368.39319999999998</v>
      </c>
      <c r="J1155">
        <v>-241.60939999999999</v>
      </c>
      <c r="K1155">
        <v>1.1036779999999999</v>
      </c>
      <c r="L1155">
        <v>368.49130000000002</v>
      </c>
      <c r="M1155">
        <v>0.99909029999999999</v>
      </c>
      <c r="N1155">
        <v>0</v>
      </c>
      <c r="O1155">
        <v>4.0467879999999998E-2</v>
      </c>
      <c r="P1155">
        <v>0.99428309999999998</v>
      </c>
      <c r="Q1155">
        <v>5.7085399999999998E-3</v>
      </c>
      <c r="R1155">
        <v>0.106624</v>
      </c>
      <c r="S1155">
        <v>3.0557099999999999</v>
      </c>
      <c r="T1155">
        <v>-0.22127939999999999</v>
      </c>
      <c r="U1155">
        <v>-0.34149170000000001</v>
      </c>
      <c r="V1155">
        <v>-6.6264610000000002E-2</v>
      </c>
      <c r="W1155">
        <v>1.924379E-2</v>
      </c>
      <c r="X1155">
        <v>0.99761650000000002</v>
      </c>
      <c r="Y1155">
        <v>0.1506991</v>
      </c>
      <c r="Z1155">
        <v>-8.3513800000000003E-3</v>
      </c>
      <c r="AA1155">
        <v>0.98854439999999999</v>
      </c>
      <c r="AB1155">
        <v>28</v>
      </c>
      <c r="AC1155">
        <v>0.66339999999999499</v>
      </c>
      <c r="AD1155">
        <v>-5.9663000000000202E-2</v>
      </c>
      <c r="AE1155">
        <v>-9.8100000000044901E-2</v>
      </c>
      <c r="AF1155">
        <v>0.123887842464106</v>
      </c>
      <c r="AG1155">
        <v>-5.9663000000000202E-2</v>
      </c>
      <c r="AH1155">
        <v>0.65371191605676704</v>
      </c>
      <c r="AI1155">
        <v>95.124117508956999</v>
      </c>
      <c r="AJ1155">
        <v>79.268886953152105</v>
      </c>
      <c r="AK1155">
        <v>0.66801732033984096</v>
      </c>
    </row>
    <row r="1156" spans="1:37" x14ac:dyDescent="0.2">
      <c r="A1156" t="str">
        <f>"20200111155814706"</f>
        <v>20200111155814706</v>
      </c>
      <c r="B1156" t="str">
        <f>"1578729494702681"</f>
        <v>1578729494702681</v>
      </c>
      <c r="C1156" t="s">
        <v>37</v>
      </c>
      <c r="D1156">
        <v>5.5601240000000001</v>
      </c>
      <c r="E1156">
        <v>0.58626460000000002</v>
      </c>
      <c r="F1156" t="s">
        <v>38</v>
      </c>
      <c r="G1156">
        <v>-240.69880000000001</v>
      </c>
      <c r="H1156">
        <v>1.0380259999999999</v>
      </c>
      <c r="I1156">
        <v>368.38720000000001</v>
      </c>
      <c r="J1156">
        <v>-241.41460000000001</v>
      </c>
      <c r="K1156">
        <v>1.1036979999999901</v>
      </c>
      <c r="L1156">
        <v>368.49860000000001</v>
      </c>
      <c r="M1156">
        <v>0.99911519999999998</v>
      </c>
      <c r="N1156">
        <v>0</v>
      </c>
      <c r="O1156">
        <v>3.9893709999999999E-2</v>
      </c>
      <c r="P1156">
        <v>0.99446559999999995</v>
      </c>
      <c r="Q1156">
        <v>6.0169830000000001E-3</v>
      </c>
      <c r="R1156">
        <v>0.10489179999999999</v>
      </c>
      <c r="S1156">
        <v>3.0559229999999999</v>
      </c>
      <c r="T1156">
        <v>-0.22039320000000001</v>
      </c>
      <c r="U1156">
        <v>-0.34893800000000003</v>
      </c>
      <c r="V1156">
        <v>-6.5101240000000005E-2</v>
      </c>
      <c r="W1156">
        <v>1.9413509999999998E-2</v>
      </c>
      <c r="X1156">
        <v>0.99768979999999996</v>
      </c>
      <c r="Y1156">
        <v>0.15250250000000001</v>
      </c>
      <c r="Z1156">
        <v>-8.3398320000000001E-3</v>
      </c>
      <c r="AA1156">
        <v>0.98826789999999998</v>
      </c>
      <c r="AB1156">
        <v>28</v>
      </c>
      <c r="AC1156">
        <v>0.71580000000000099</v>
      </c>
      <c r="AD1156">
        <v>-6.5671999999999703E-2</v>
      </c>
      <c r="AE1156">
        <v>-0.111400000000003</v>
      </c>
      <c r="AF1156">
        <v>0.138729625778855</v>
      </c>
      <c r="AG1156">
        <v>-6.5671999999999703E-2</v>
      </c>
      <c r="AH1156">
        <v>0.70499166432559801</v>
      </c>
      <c r="AI1156">
        <v>95.222326095225597</v>
      </c>
      <c r="AJ1156">
        <v>78.867466539608003</v>
      </c>
      <c r="AK1156">
        <v>0.72150673414828104</v>
      </c>
    </row>
    <row r="1157" spans="1:37" x14ac:dyDescent="0.2">
      <c r="A1157" t="str">
        <f>"20200111155814720"</f>
        <v>20200111155814720</v>
      </c>
      <c r="B1157" t="str">
        <f>"1578729494712443"</f>
        <v>1578729494712443</v>
      </c>
      <c r="C1157" t="s">
        <v>37</v>
      </c>
      <c r="D1157">
        <v>5.5391919999999999</v>
      </c>
      <c r="E1157">
        <v>0.58664209999999894</v>
      </c>
      <c r="F1157" t="s">
        <v>38</v>
      </c>
      <c r="G1157">
        <v>-240.4427</v>
      </c>
      <c r="H1157">
        <v>1.035256</v>
      </c>
      <c r="I1157">
        <v>368.38400000000001</v>
      </c>
      <c r="J1157">
        <v>-241.23849999999999</v>
      </c>
      <c r="K1157">
        <v>1.103721</v>
      </c>
      <c r="L1157">
        <v>368.505</v>
      </c>
      <c r="M1157">
        <v>0.99913569999999996</v>
      </c>
      <c r="N1157">
        <v>0</v>
      </c>
      <c r="O1157">
        <v>3.9413900000000002E-2</v>
      </c>
      <c r="P1157">
        <v>0.99459519999999901</v>
      </c>
      <c r="Q1157">
        <v>5.9420649999999998E-3</v>
      </c>
      <c r="R1157">
        <v>0.1036588</v>
      </c>
      <c r="S1157">
        <v>3.0559689999999899</v>
      </c>
      <c r="T1157">
        <v>-0.21530340000000001</v>
      </c>
      <c r="U1157">
        <v>-0.35989379999999999</v>
      </c>
      <c r="V1157">
        <v>-6.4346020000000004E-2</v>
      </c>
      <c r="W1157">
        <v>1.9215659999999999E-2</v>
      </c>
      <c r="X1157">
        <v>0.99774269999999998</v>
      </c>
      <c r="Y1157">
        <v>0.15553789999999901</v>
      </c>
      <c r="Z1157">
        <v>-8.2187219999999995E-3</v>
      </c>
      <c r="AA1157">
        <v>0.98779570000000005</v>
      </c>
      <c r="AB1157">
        <v>28</v>
      </c>
      <c r="AC1157">
        <v>0.79579999999998496</v>
      </c>
      <c r="AD1157">
        <v>-6.8464999999999998E-2</v>
      </c>
      <c r="AE1157">
        <v>-0.12099999999998</v>
      </c>
      <c r="AF1157">
        <v>0.15118057717313399</v>
      </c>
      <c r="AG1157">
        <v>-6.8464999999999998E-2</v>
      </c>
      <c r="AH1157">
        <v>0.78473493685579898</v>
      </c>
      <c r="AI1157">
        <v>94.896612401821699</v>
      </c>
      <c r="AJ1157">
        <v>79.095462850078704</v>
      </c>
      <c r="AK1157">
        <v>0.80209222927383905</v>
      </c>
    </row>
    <row r="1158" spans="1:37" x14ac:dyDescent="0.2">
      <c r="A1158" t="str">
        <f>"20200111155814733"</f>
        <v>20200111155814733</v>
      </c>
      <c r="B1158" t="str">
        <f>"1578729494722202"</f>
        <v>1578729494722202</v>
      </c>
      <c r="C1158" t="s">
        <v>37</v>
      </c>
      <c r="D1158">
        <v>5.5577259999999997</v>
      </c>
      <c r="E1158">
        <v>0.58687060000000002</v>
      </c>
      <c r="F1158" t="s">
        <v>39</v>
      </c>
      <c r="G1158">
        <v>-225.5986</v>
      </c>
      <c r="H1158" s="1">
        <v>-2.4005250000000002E-6</v>
      </c>
      <c r="I1158">
        <v>366.62849999999997</v>
      </c>
      <c r="J1158">
        <v>-241.0795</v>
      </c>
      <c r="K1158">
        <v>1.1037410000000001</v>
      </c>
      <c r="L1158">
        <v>368.51089999999999</v>
      </c>
      <c r="M1158">
        <v>0.99915309999999902</v>
      </c>
      <c r="N1158">
        <v>0</v>
      </c>
      <c r="O1158">
        <v>3.9006649999999997E-2</v>
      </c>
      <c r="P1158">
        <v>0.99474370000000001</v>
      </c>
      <c r="Q1158">
        <v>5.6986319999999899E-3</v>
      </c>
      <c r="R1158">
        <v>0.10223930000000001</v>
      </c>
      <c r="S1158">
        <v>3.0557859999999999</v>
      </c>
      <c r="T1158">
        <v>-0.2156487</v>
      </c>
      <c r="U1158">
        <v>-0.36663820000000003</v>
      </c>
      <c r="V1158">
        <v>-6.3330189999999995E-2</v>
      </c>
      <c r="W1158">
        <v>1.8864769999999999E-2</v>
      </c>
      <c r="X1158">
        <v>0.99781430000000004</v>
      </c>
      <c r="Y1158">
        <v>0.15728699999999901</v>
      </c>
      <c r="Z1158">
        <v>-8.2641190000000003E-3</v>
      </c>
      <c r="AA1158">
        <v>0.98751840000000002</v>
      </c>
      <c r="AB1158">
        <v>28</v>
      </c>
      <c r="AC1158">
        <v>15.480899999999901</v>
      </c>
      <c r="AD1158">
        <v>-1.103743400525</v>
      </c>
      <c r="AE1158">
        <v>-1.8824000000000101</v>
      </c>
      <c r="AF1158">
        <v>2.4724917682913499</v>
      </c>
      <c r="AG1158">
        <v>-1.103743400525</v>
      </c>
      <c r="AH1158">
        <v>15.3189479385388</v>
      </c>
      <c r="AI1158">
        <v>94.068615575197299</v>
      </c>
      <c r="AJ1158">
        <v>80.8314788691616</v>
      </c>
      <c r="AK1158">
        <v>15.556401607767</v>
      </c>
    </row>
    <row r="1159" spans="1:37" x14ac:dyDescent="0.2">
      <c r="A1159" t="str">
        <f>"20200111155814747"</f>
        <v>20200111155814747</v>
      </c>
      <c r="B1159" t="str">
        <f>"1578729494741722"</f>
        <v>1578729494741722</v>
      </c>
      <c r="C1159" t="s">
        <v>37</v>
      </c>
      <c r="D1159">
        <v>5.5103119999999999</v>
      </c>
      <c r="E1159">
        <v>0.58745340000000001</v>
      </c>
      <c r="F1159" t="s">
        <v>39</v>
      </c>
      <c r="G1159">
        <v>-225.5119</v>
      </c>
      <c r="H1159" s="1">
        <v>-2.44051E-6</v>
      </c>
      <c r="I1159">
        <v>366.61270000000002</v>
      </c>
      <c r="J1159">
        <v>-240.89769999999999</v>
      </c>
      <c r="K1159">
        <v>1.1037649999999899</v>
      </c>
      <c r="L1159">
        <v>368.51749999999998</v>
      </c>
      <c r="M1159">
        <v>0.99917160000000005</v>
      </c>
      <c r="N1159">
        <v>0</v>
      </c>
      <c r="O1159">
        <v>3.8568270000000002E-2</v>
      </c>
      <c r="P1159">
        <v>0.99491779999999996</v>
      </c>
      <c r="Q1159">
        <v>5.4349400000000001E-3</v>
      </c>
      <c r="R1159">
        <v>0.1005453</v>
      </c>
      <c r="S1159">
        <v>3.0553889999999999</v>
      </c>
      <c r="T1159">
        <v>-0.21662529999999899</v>
      </c>
      <c r="U1159">
        <v>-0.37252809999999997</v>
      </c>
      <c r="V1159">
        <v>-6.2071139999999997E-2</v>
      </c>
      <c r="W1159">
        <v>1.8481460000000002E-2</v>
      </c>
      <c r="X1159">
        <v>0.99790059999999903</v>
      </c>
      <c r="Y1159">
        <v>0.15873799999999999</v>
      </c>
      <c r="Z1159">
        <v>-8.3218240000000002E-3</v>
      </c>
      <c r="AA1159">
        <v>0.98728570000000004</v>
      </c>
      <c r="AB1159">
        <v>28</v>
      </c>
      <c r="AC1159">
        <v>15.3857999999999</v>
      </c>
      <c r="AD1159">
        <v>-1.10376744051</v>
      </c>
      <c r="AE1159">
        <v>-1.9047999999999601</v>
      </c>
      <c r="AF1159">
        <v>2.4842439988189802</v>
      </c>
      <c r="AG1159">
        <v>-1.10376744051</v>
      </c>
      <c r="AH1159">
        <v>15.223712853658901</v>
      </c>
      <c r="AI1159">
        <v>94.092920908049507</v>
      </c>
      <c r="AJ1159">
        <v>80.7320177974469</v>
      </c>
      <c r="AK1159">
        <v>15.464514342812601</v>
      </c>
    </row>
    <row r="1160" spans="1:37" x14ac:dyDescent="0.2">
      <c r="A1160" t="str">
        <f>"20200111155814761"</f>
        <v>20200111155814761</v>
      </c>
      <c r="B1160" t="str">
        <f>"1578729494752459"</f>
        <v>1578729494752459</v>
      </c>
      <c r="C1160" t="s">
        <v>37</v>
      </c>
      <c r="D1160">
        <v>5.5402899999999997</v>
      </c>
      <c r="E1160">
        <v>0.58764090000000002</v>
      </c>
      <c r="F1160" t="s">
        <v>39</v>
      </c>
      <c r="G1160">
        <v>-225.36529999999999</v>
      </c>
      <c r="H1160" s="1">
        <v>-2.5104379999999999E-6</v>
      </c>
      <c r="I1160">
        <v>366.57310000000001</v>
      </c>
      <c r="J1160">
        <v>-240.72470000000001</v>
      </c>
      <c r="K1160">
        <v>1.1037870000000001</v>
      </c>
      <c r="L1160">
        <v>368.52370000000002</v>
      </c>
      <c r="M1160">
        <v>0.99918719999999905</v>
      </c>
      <c r="N1160">
        <v>0</v>
      </c>
      <c r="O1160">
        <v>3.8195460000000001E-2</v>
      </c>
      <c r="P1160">
        <v>0.99518779999999996</v>
      </c>
      <c r="Q1160">
        <v>4.9058249999999999E-3</v>
      </c>
      <c r="R1160">
        <v>9.7864989999999999E-2</v>
      </c>
      <c r="S1160">
        <v>3.055161</v>
      </c>
      <c r="T1160">
        <v>-0.21710549999999901</v>
      </c>
      <c r="U1160">
        <v>-0.38244629999999902</v>
      </c>
      <c r="V1160">
        <v>-5.975722E-2</v>
      </c>
      <c r="W1160">
        <v>1.7839259999999999E-2</v>
      </c>
      <c r="X1160">
        <v>0.99805359999999999</v>
      </c>
      <c r="Y1160">
        <v>0.1615267</v>
      </c>
      <c r="Z1160">
        <v>-8.4114380000000002E-3</v>
      </c>
      <c r="AA1160">
        <v>0.9868325</v>
      </c>
      <c r="AB1160">
        <v>28</v>
      </c>
      <c r="AC1160">
        <v>15.359400000000001</v>
      </c>
      <c r="AD1160">
        <v>-1.103789510438</v>
      </c>
      <c r="AE1160">
        <v>-1.9505999999999999</v>
      </c>
      <c r="AF1160">
        <v>2.5230610447115001</v>
      </c>
      <c r="AG1160">
        <v>-1.103789510438</v>
      </c>
      <c r="AH1160">
        <v>15.196444345801201</v>
      </c>
      <c r="AI1160">
        <v>94.098457765779003</v>
      </c>
      <c r="AJ1160">
        <v>80.573190779845504</v>
      </c>
      <c r="AK1160">
        <v>15.4439667531929</v>
      </c>
    </row>
    <row r="1161" spans="1:37" x14ac:dyDescent="0.2">
      <c r="A1161" t="str">
        <f>"20200111155814776"</f>
        <v>20200111155814776</v>
      </c>
      <c r="B1161" t="str">
        <f>"1578729494771978"</f>
        <v>1578729494771978</v>
      </c>
      <c r="C1161" t="s">
        <v>37</v>
      </c>
      <c r="D1161">
        <v>5.5105389999999996</v>
      </c>
      <c r="E1161">
        <v>0.58798809999999901</v>
      </c>
      <c r="F1161" t="s">
        <v>39</v>
      </c>
      <c r="G1161">
        <v>-225.34710000000001</v>
      </c>
      <c r="H1161" s="1">
        <v>-2.522438E-6</v>
      </c>
      <c r="I1161">
        <v>366.54939999999999</v>
      </c>
      <c r="J1161">
        <v>-240.5395</v>
      </c>
      <c r="K1161">
        <v>1.103812</v>
      </c>
      <c r="L1161">
        <v>368.53039999999999</v>
      </c>
      <c r="M1161">
        <v>0.99920239999999905</v>
      </c>
      <c r="N1161">
        <v>0</v>
      </c>
      <c r="O1161">
        <v>3.7837790000000003E-2</v>
      </c>
      <c r="P1161">
        <v>0.99534020000000001</v>
      </c>
      <c r="Q1161">
        <v>5.0126929999999899E-3</v>
      </c>
      <c r="R1161">
        <v>9.6295859999999997E-2</v>
      </c>
      <c r="S1161">
        <v>3.0541689999999999</v>
      </c>
      <c r="T1161">
        <v>-0.21922459999999999</v>
      </c>
      <c r="U1161">
        <v>-0.39212039999999998</v>
      </c>
      <c r="V1161">
        <v>-5.8542660000000003E-2</v>
      </c>
      <c r="W1161">
        <v>1.782448E-2</v>
      </c>
      <c r="X1161">
        <v>0.99812579999999995</v>
      </c>
      <c r="Y1161">
        <v>0.1642728</v>
      </c>
      <c r="Z1161">
        <v>-8.5668910000000001E-3</v>
      </c>
      <c r="AA1161">
        <v>0.98637779999999997</v>
      </c>
      <c r="AB1161">
        <v>28</v>
      </c>
      <c r="AC1161">
        <v>15.1923999999999</v>
      </c>
      <c r="AD1161">
        <v>-1.103814522438</v>
      </c>
      <c r="AE1161">
        <v>-1.9809999999999901</v>
      </c>
      <c r="AF1161">
        <v>2.5412840388553302</v>
      </c>
      <c r="AG1161">
        <v>-1.103814522438</v>
      </c>
      <c r="AH1161">
        <v>15.028548948827501</v>
      </c>
      <c r="AI1161">
        <v>94.142115566936496</v>
      </c>
      <c r="AJ1161">
        <v>80.402241481512306</v>
      </c>
      <c r="AK1161">
        <v>15.281813196521901</v>
      </c>
    </row>
    <row r="1162" spans="1:37" x14ac:dyDescent="0.2">
      <c r="A1162" t="str">
        <f>"20200111155814789"</f>
        <v>20200111155814789</v>
      </c>
      <c r="B1162" t="str">
        <f>"1578729494781738"</f>
        <v>1578729494781738</v>
      </c>
      <c r="C1162" t="s">
        <v>37</v>
      </c>
      <c r="D1162">
        <v>5.5272540000000001</v>
      </c>
      <c r="E1162">
        <v>0.58791179999999998</v>
      </c>
      <c r="F1162" t="s">
        <v>39</v>
      </c>
      <c r="G1162">
        <v>-225.18270000000001</v>
      </c>
      <c r="H1162" s="1">
        <v>-2.598156E-6</v>
      </c>
      <c r="I1162">
        <v>366.52010000000001</v>
      </c>
      <c r="J1162">
        <v>-240.375</v>
      </c>
      <c r="K1162">
        <v>1.1038349999999999</v>
      </c>
      <c r="L1162">
        <v>368.53629999999998</v>
      </c>
      <c r="M1162">
        <v>0.99921469999999901</v>
      </c>
      <c r="N1162">
        <v>0</v>
      </c>
      <c r="O1162">
        <v>3.7548430000000001E-2</v>
      </c>
      <c r="P1162">
        <v>0.99545740000000005</v>
      </c>
      <c r="Q1162">
        <v>4.9801929999999999E-3</v>
      </c>
      <c r="R1162">
        <v>9.5079800000000006E-2</v>
      </c>
      <c r="S1162">
        <v>3.053833</v>
      </c>
      <c r="T1162">
        <v>-0.21950169999999999</v>
      </c>
      <c r="U1162">
        <v>-0.39974979999999999</v>
      </c>
      <c r="V1162">
        <v>-5.7613730000000002E-2</v>
      </c>
      <c r="W1162">
        <v>1.7684789999999999E-2</v>
      </c>
      <c r="X1162">
        <v>0.99818229999999997</v>
      </c>
      <c r="Y1162">
        <v>0.16641800000000001</v>
      </c>
      <c r="Z1162">
        <v>-8.6332560000000006E-3</v>
      </c>
      <c r="AA1162">
        <v>0.98601749999999899</v>
      </c>
      <c r="AB1162">
        <v>28</v>
      </c>
      <c r="AC1162">
        <v>15.1922999999999</v>
      </c>
      <c r="AD1162">
        <v>-1.103837598156</v>
      </c>
      <c r="AE1162">
        <v>-2.01619999999996</v>
      </c>
      <c r="AF1162">
        <v>2.5719280720008801</v>
      </c>
      <c r="AG1162">
        <v>-1.103837598156</v>
      </c>
      <c r="AH1162">
        <v>15.0279122219612</v>
      </c>
      <c r="AI1162">
        <v>94.140980388465394</v>
      </c>
      <c r="AJ1162">
        <v>80.288294565327604</v>
      </c>
      <c r="AK1162">
        <v>15.2863147030807</v>
      </c>
    </row>
    <row r="1163" spans="1:37" x14ac:dyDescent="0.2">
      <c r="A1163" t="str">
        <f>"20200111155814820"</f>
        <v>20200111155814820</v>
      </c>
      <c r="B1163" t="str">
        <f>"1578729494811996"</f>
        <v>1578729494811996</v>
      </c>
      <c r="C1163" t="s">
        <v>37</v>
      </c>
      <c r="D1163">
        <v>5.6875260000000001</v>
      </c>
      <c r="E1163">
        <v>0.53855339999999996</v>
      </c>
      <c r="F1163" t="s">
        <v>39</v>
      </c>
      <c r="G1163">
        <v>-225.14429999999999</v>
      </c>
      <c r="H1163" s="1">
        <v>-2.6132429999999999E-6</v>
      </c>
      <c r="I1163">
        <v>366.52800000000002</v>
      </c>
      <c r="J1163">
        <v>-239.97720000000001</v>
      </c>
      <c r="K1163">
        <v>1.103893</v>
      </c>
      <c r="L1163">
        <v>368.55040000000002</v>
      </c>
      <c r="M1163">
        <v>0.99923879999999998</v>
      </c>
      <c r="N1163">
        <v>0</v>
      </c>
      <c r="O1163">
        <v>3.698328E-2</v>
      </c>
      <c r="P1163">
        <v>0.99567859999999997</v>
      </c>
      <c r="Q1163">
        <v>5.9155559999999998E-3</v>
      </c>
      <c r="R1163">
        <v>9.2679689999999995E-2</v>
      </c>
      <c r="S1163">
        <v>3.0532379999999999</v>
      </c>
      <c r="T1163">
        <v>-0.22128029999999899</v>
      </c>
      <c r="U1163">
        <v>-0.4025879</v>
      </c>
      <c r="V1163">
        <v>-5.5775249999999998E-2</v>
      </c>
      <c r="W1163">
        <v>1.8353209999999998E-2</v>
      </c>
      <c r="X1163">
        <v>0.99827459999999901</v>
      </c>
      <c r="Y1163">
        <v>0.16677790000000001</v>
      </c>
      <c r="Z1163">
        <v>-8.6763989999999996E-3</v>
      </c>
      <c r="AA1163">
        <v>0.98595630000000001</v>
      </c>
      <c r="AB1163">
        <v>28</v>
      </c>
      <c r="AC1163">
        <v>14.8329</v>
      </c>
      <c r="AD1163">
        <v>-1.103895613243</v>
      </c>
      <c r="AE1163">
        <v>-2.0224000000000002</v>
      </c>
      <c r="AF1163">
        <v>2.5557308346962002</v>
      </c>
      <c r="AG1163">
        <v>-1.103895613243</v>
      </c>
      <c r="AH1163">
        <v>14.668191036591001</v>
      </c>
      <c r="AI1163">
        <v>94.240197519301006</v>
      </c>
      <c r="AJ1163">
        <v>80.116218439246893</v>
      </c>
      <c r="AK1163">
        <v>14.9300426627081</v>
      </c>
    </row>
    <row r="1164" spans="1:37" x14ac:dyDescent="0.2">
      <c r="A1164" t="str">
        <f>"20200111155814834"</f>
        <v>20200111155814834</v>
      </c>
      <c r="B1164" t="str">
        <f>"1578729494832491"</f>
        <v>1578729494832491</v>
      </c>
      <c r="C1164" t="s">
        <v>37</v>
      </c>
      <c r="D1164">
        <v>5.5855959999999998</v>
      </c>
      <c r="E1164">
        <v>0.53218650000000001</v>
      </c>
      <c r="F1164" t="s">
        <v>38</v>
      </c>
      <c r="G1164">
        <v>-239.19810000000001</v>
      </c>
      <c r="H1164">
        <v>1.0498069999999999</v>
      </c>
      <c r="I1164">
        <v>368.54559999999998</v>
      </c>
      <c r="J1164">
        <v>-239.8152</v>
      </c>
      <c r="K1164">
        <v>1.1039190000000001</v>
      </c>
      <c r="L1164">
        <v>368.55619999999999</v>
      </c>
      <c r="M1164">
        <v>0.999246999999999</v>
      </c>
      <c r="N1164">
        <v>0</v>
      </c>
      <c r="O1164">
        <v>3.6800270000000003E-2</v>
      </c>
      <c r="P1164">
        <v>0.99570979999999998</v>
      </c>
      <c r="Q1164">
        <v>6.1108530000000003E-3</v>
      </c>
      <c r="R1164">
        <v>9.2331350000000006E-2</v>
      </c>
      <c r="S1164">
        <v>3.0159150000000001</v>
      </c>
      <c r="T1164">
        <v>-0.20964179999999899</v>
      </c>
      <c r="U1164">
        <v>-1.7822270000000001E-2</v>
      </c>
      <c r="V1164">
        <v>-5.5610470000000002E-2</v>
      </c>
      <c r="W1164">
        <v>1.8438550000000001E-2</v>
      </c>
      <c r="X1164">
        <v>0.99828229999999996</v>
      </c>
      <c r="Y1164">
        <v>4.251634E-2</v>
      </c>
      <c r="Z1164">
        <v>-4.03068099999999E-3</v>
      </c>
      <c r="AA1164">
        <v>0.99908759999999996</v>
      </c>
      <c r="AB1164">
        <v>28</v>
      </c>
      <c r="AC1164">
        <v>0.61709999999999299</v>
      </c>
      <c r="AD1164">
        <v>-5.4112000000000098E-2</v>
      </c>
      <c r="AE1164">
        <v>-1.06000000000108E-2</v>
      </c>
      <c r="AF1164">
        <v>3.3049932633321101E-2</v>
      </c>
      <c r="AG1164">
        <v>-5.4112000000000098E-2</v>
      </c>
      <c r="AH1164">
        <v>0.61159062543389797</v>
      </c>
      <c r="AI1164">
        <v>95.048891584546695</v>
      </c>
      <c r="AJ1164">
        <v>86.906784511246101</v>
      </c>
      <c r="AK1164">
        <v>0.61486868493174496</v>
      </c>
    </row>
    <row r="1165" spans="1:37" x14ac:dyDescent="0.2">
      <c r="A1165" t="str">
        <f>"20200111155814852"</f>
        <v>20200111155814852</v>
      </c>
      <c r="B1165" t="str">
        <f>"1578729494842250"</f>
        <v>1578729494842250</v>
      </c>
      <c r="C1165" t="s">
        <v>37</v>
      </c>
      <c r="D1165">
        <v>5.6437330000000001</v>
      </c>
      <c r="E1165">
        <v>0.53152650000000001</v>
      </c>
      <c r="F1165" t="s">
        <v>38</v>
      </c>
      <c r="G1165">
        <v>-238.95679999999999</v>
      </c>
      <c r="H1165">
        <v>1.0381009999999999</v>
      </c>
      <c r="I1165">
        <v>368.56549999999999</v>
      </c>
      <c r="J1165">
        <v>-239.6026</v>
      </c>
      <c r="K1165">
        <v>1.1039509999999999</v>
      </c>
      <c r="L1165">
        <v>368.56380000000001</v>
      </c>
      <c r="M1165">
        <v>0.99925640000000004</v>
      </c>
      <c r="N1165">
        <v>0</v>
      </c>
      <c r="O1165">
        <v>3.6591789999999999E-2</v>
      </c>
      <c r="P1165">
        <v>0.99575139999999995</v>
      </c>
      <c r="Q1165">
        <v>6.2177609999999996E-3</v>
      </c>
      <c r="R1165">
        <v>9.1873049999999998E-2</v>
      </c>
      <c r="S1165">
        <v>3.0112759999999898</v>
      </c>
      <c r="T1165">
        <v>-0.23106119999999999</v>
      </c>
      <c r="U1165">
        <v>3.2897950000000002E-2</v>
      </c>
      <c r="V1165">
        <v>-5.5361529999999999E-2</v>
      </c>
      <c r="W1165">
        <v>1.840375E-2</v>
      </c>
      <c r="X1165">
        <v>0.99829669999999904</v>
      </c>
      <c r="Y1165">
        <v>2.549293E-2</v>
      </c>
      <c r="Z1165">
        <v>-3.7797509999999901E-3</v>
      </c>
      <c r="AA1165">
        <v>0.99966790000000005</v>
      </c>
      <c r="AB1165">
        <v>28</v>
      </c>
      <c r="AC1165">
        <v>0.64580000000000803</v>
      </c>
      <c r="AD1165">
        <v>-6.5850000000000103E-2</v>
      </c>
      <c r="AE1165">
        <v>1.6999999999711599E-3</v>
      </c>
      <c r="AF1165">
        <v>2.1708159808953E-2</v>
      </c>
      <c r="AG1165">
        <v>-6.5850000000000103E-2</v>
      </c>
      <c r="AH1165">
        <v>0.63878810444438805</v>
      </c>
      <c r="AI1165">
        <v>95.882221658728298</v>
      </c>
      <c r="AJ1165">
        <v>88.053646494037395</v>
      </c>
      <c r="AK1165">
        <v>0.64254004473024495</v>
      </c>
    </row>
    <row r="1166" spans="1:37" x14ac:dyDescent="0.2">
      <c r="A1166" t="str">
        <f>"20200111155814867"</f>
        <v>20200111155814867</v>
      </c>
      <c r="B1166" t="str">
        <f>"1578729494862746"</f>
        <v>1578729494862746</v>
      </c>
      <c r="C1166" t="s">
        <v>37</v>
      </c>
      <c r="D1166">
        <v>5.5267989999999996</v>
      </c>
      <c r="E1166">
        <v>0.53043479999999998</v>
      </c>
      <c r="F1166" t="s">
        <v>38</v>
      </c>
      <c r="G1166">
        <v>-238.708</v>
      </c>
      <c r="H1166">
        <v>1.0343450000000001</v>
      </c>
      <c r="I1166">
        <v>368.57479999999998</v>
      </c>
      <c r="J1166">
        <v>-239.40170000000001</v>
      </c>
      <c r="K1166">
        <v>1.103982</v>
      </c>
      <c r="L1166">
        <v>368.57089999999999</v>
      </c>
      <c r="M1166">
        <v>0.99926380000000004</v>
      </c>
      <c r="N1166">
        <v>0</v>
      </c>
      <c r="O1166">
        <v>3.6429049999999998E-2</v>
      </c>
      <c r="P1166">
        <v>0.99577159999999998</v>
      </c>
      <c r="Q1166">
        <v>6.262101E-3</v>
      </c>
      <c r="R1166">
        <v>9.165239E-2</v>
      </c>
      <c r="S1166">
        <v>3.010818</v>
      </c>
      <c r="T1166">
        <v>-0.234283399999999</v>
      </c>
      <c r="U1166">
        <v>3.701782E-2</v>
      </c>
      <c r="V1166">
        <v>-5.5304499999999902E-2</v>
      </c>
      <c r="W1166">
        <v>1.831698E-2</v>
      </c>
      <c r="X1166">
        <v>0.99830149999999995</v>
      </c>
      <c r="Y1166">
        <v>2.396061E-2</v>
      </c>
      <c r="Z1166">
        <v>-3.7606699999999998E-3</v>
      </c>
      <c r="AA1166">
        <v>0.99970590000000004</v>
      </c>
      <c r="AB1166">
        <v>28</v>
      </c>
      <c r="AC1166">
        <v>0.69370000000000598</v>
      </c>
      <c r="AD1166">
        <v>-6.9636999999999893E-2</v>
      </c>
      <c r="AE1166">
        <v>3.8999999999873498E-3</v>
      </c>
      <c r="AF1166">
        <v>2.11620051341746E-2</v>
      </c>
      <c r="AG1166">
        <v>-6.9636999999999893E-2</v>
      </c>
      <c r="AH1166">
        <v>0.68646419981710904</v>
      </c>
      <c r="AI1166">
        <v>95.789709874291106</v>
      </c>
      <c r="AJ1166">
        <v>88.234271056348106</v>
      </c>
      <c r="AK1166">
        <v>0.690311697612638</v>
      </c>
    </row>
    <row r="1167" spans="1:37" x14ac:dyDescent="0.2">
      <c r="A1167" t="str">
        <f>"20200111155814882"</f>
        <v>20200111155814882</v>
      </c>
      <c r="B1167" t="str">
        <f>"1578729494872506"</f>
        <v>1578729494872506</v>
      </c>
      <c r="C1167" t="s">
        <v>37</v>
      </c>
      <c r="D1167">
        <v>5.5284079999999998</v>
      </c>
      <c r="E1167">
        <v>0.53022279999999999</v>
      </c>
      <c r="F1167" t="s">
        <v>38</v>
      </c>
      <c r="G1167">
        <v>-238.4599</v>
      </c>
      <c r="H1167">
        <v>1.0287679999999999</v>
      </c>
      <c r="I1167">
        <v>368.58499999999998</v>
      </c>
      <c r="J1167">
        <v>-239.2099</v>
      </c>
      <c r="K1167">
        <v>1.1040049999999999</v>
      </c>
      <c r="L1167">
        <v>368.57780000000002</v>
      </c>
      <c r="M1167">
        <v>0.99926939999999997</v>
      </c>
      <c r="N1167">
        <v>0</v>
      </c>
      <c r="O1167">
        <v>3.6307060000000002E-2</v>
      </c>
      <c r="P1167">
        <v>0.99582019999999905</v>
      </c>
      <c r="Q1167">
        <v>6.119836E-3</v>
      </c>
      <c r="R1167">
        <v>9.1130230000000007E-2</v>
      </c>
      <c r="S1167">
        <v>3.0100709999999999</v>
      </c>
      <c r="T1167">
        <v>-0.24046970000000001</v>
      </c>
      <c r="U1167">
        <v>4.5379639999999999E-2</v>
      </c>
      <c r="V1167">
        <v>-5.4904420000000002E-2</v>
      </c>
      <c r="W1167">
        <v>1.8055709999999999E-2</v>
      </c>
      <c r="X1167">
        <v>0.99832829999999995</v>
      </c>
      <c r="Y1167">
        <v>2.1058569999999999E-2</v>
      </c>
      <c r="Z1167">
        <v>-3.735047E-3</v>
      </c>
      <c r="AA1167">
        <v>0.99977119999999997</v>
      </c>
      <c r="AB1167">
        <v>28</v>
      </c>
      <c r="AC1167">
        <v>0.75</v>
      </c>
      <c r="AD1167">
        <v>-7.5236999999999707E-2</v>
      </c>
      <c r="AE1167">
        <v>7.1999999999547903E-3</v>
      </c>
      <c r="AF1167">
        <v>1.9837371618599699E-2</v>
      </c>
      <c r="AG1167">
        <v>-7.5236999999999707E-2</v>
      </c>
      <c r="AH1167">
        <v>0.74229759507146598</v>
      </c>
      <c r="AI1167">
        <v>95.785507356026201</v>
      </c>
      <c r="AJ1167">
        <v>88.4691756883133</v>
      </c>
      <c r="AK1167">
        <v>0.74636441979144197</v>
      </c>
    </row>
    <row r="1168" spans="1:37" x14ac:dyDescent="0.2">
      <c r="A1168" t="str">
        <f>"20200111155814896"</f>
        <v>20200111155814896</v>
      </c>
      <c r="B1168" t="str">
        <f>"1578729494892026"</f>
        <v>1578729494892026</v>
      </c>
      <c r="C1168" t="s">
        <v>37</v>
      </c>
      <c r="D1168">
        <v>5.4959290000000003</v>
      </c>
      <c r="E1168">
        <v>0.52982149999999995</v>
      </c>
      <c r="F1168" t="s">
        <v>38</v>
      </c>
      <c r="G1168">
        <v>-238.45140000000001</v>
      </c>
      <c r="H1168">
        <v>1.0423439999999999</v>
      </c>
      <c r="I1168">
        <v>368.58909999999997</v>
      </c>
      <c r="J1168">
        <v>-239.0367</v>
      </c>
      <c r="K1168">
        <v>1.1040270000000001</v>
      </c>
      <c r="L1168">
        <v>368.58390000000003</v>
      </c>
      <c r="M1168">
        <v>0.999274</v>
      </c>
      <c r="N1168">
        <v>0</v>
      </c>
      <c r="O1168">
        <v>3.6218729999999998E-2</v>
      </c>
      <c r="P1168">
        <v>0.99591109999999905</v>
      </c>
      <c r="Q1168">
        <v>5.8665480000000001E-3</v>
      </c>
      <c r="R1168">
        <v>9.0150359999999999E-2</v>
      </c>
      <c r="S1168">
        <v>3.0099490000000002</v>
      </c>
      <c r="T1168">
        <v>-0.2447481</v>
      </c>
      <c r="U1168">
        <v>4.5440670000000002E-2</v>
      </c>
      <c r="V1168">
        <v>-5.4011690000000001E-2</v>
      </c>
      <c r="W1168">
        <v>1.7702909999999999E-2</v>
      </c>
      <c r="X1168">
        <v>0.99838329999999997</v>
      </c>
      <c r="Y1168">
        <v>2.0943369999999999E-2</v>
      </c>
      <c r="Z1168">
        <v>-3.789592E-3</v>
      </c>
      <c r="AA1168">
        <v>0.99977349999999998</v>
      </c>
      <c r="AB1168">
        <v>28</v>
      </c>
      <c r="AC1168">
        <v>0.58529999999998905</v>
      </c>
      <c r="AD1168">
        <v>-6.1682999999999898E-2</v>
      </c>
      <c r="AE1168">
        <v>5.1999999999452397E-3</v>
      </c>
      <c r="AF1168">
        <v>1.5827937796151999E-2</v>
      </c>
      <c r="AG1168">
        <v>-6.1682999999999898E-2</v>
      </c>
      <c r="AH1168">
        <v>0.57867774530518501</v>
      </c>
      <c r="AI1168">
        <v>96.082097513295196</v>
      </c>
      <c r="AJ1168">
        <v>88.433242006058094</v>
      </c>
      <c r="AK1168">
        <v>0.58217115096453598</v>
      </c>
    </row>
    <row r="1169" spans="1:37" x14ac:dyDescent="0.2">
      <c r="A1169" t="str">
        <f>"20200111155814910"</f>
        <v>20200111155814910</v>
      </c>
      <c r="B1169" t="str">
        <f>"1578729494901786"</f>
        <v>1578729494901786</v>
      </c>
      <c r="C1169" t="s">
        <v>37</v>
      </c>
      <c r="D1169">
        <v>5.507174</v>
      </c>
      <c r="E1169">
        <v>0.52980819999999995</v>
      </c>
      <c r="F1169" t="s">
        <v>38</v>
      </c>
      <c r="G1169">
        <v>-238.20570000000001</v>
      </c>
      <c r="H1169">
        <v>1.035496</v>
      </c>
      <c r="I1169">
        <v>368.59640000000002</v>
      </c>
      <c r="J1169">
        <v>-238.8587</v>
      </c>
      <c r="K1169">
        <v>1.1040430000000001</v>
      </c>
      <c r="L1169">
        <v>368.59030000000001</v>
      </c>
      <c r="M1169">
        <v>0.99927779999999999</v>
      </c>
      <c r="N1169">
        <v>0</v>
      </c>
      <c r="O1169">
        <v>3.6141350000000003E-2</v>
      </c>
      <c r="P1169">
        <v>0.99592400000000003</v>
      </c>
      <c r="Q1169">
        <v>5.8942309999999998E-3</v>
      </c>
      <c r="R1169">
        <v>9.0005929999999998E-2</v>
      </c>
      <c r="S1169">
        <v>3.00962799999999</v>
      </c>
      <c r="T1169">
        <v>-0.2484431</v>
      </c>
      <c r="U1169">
        <v>4.6020510000000001E-2</v>
      </c>
      <c r="V1169">
        <v>-5.3945100000000003E-2</v>
      </c>
      <c r="W1169">
        <v>1.7633300000000001E-2</v>
      </c>
      <c r="X1169">
        <v>0.99838819999999995</v>
      </c>
      <c r="Y1169">
        <v>2.0667169999999999E-2</v>
      </c>
      <c r="Z1169">
        <v>-3.8292550000000002E-3</v>
      </c>
      <c r="AA1169">
        <v>0.99977909999999903</v>
      </c>
      <c r="AB1169">
        <v>28</v>
      </c>
      <c r="AC1169">
        <v>0.65299999999999103</v>
      </c>
      <c r="AD1169">
        <v>-6.8547000000000094E-2</v>
      </c>
      <c r="AE1169">
        <v>6.1000000000035401E-3</v>
      </c>
      <c r="AF1169">
        <v>1.7315129691286402E-2</v>
      </c>
      <c r="AG1169">
        <v>-6.8547000000000094E-2</v>
      </c>
      <c r="AH1169">
        <v>0.64567954686033102</v>
      </c>
      <c r="AI1169">
        <v>96.057807309878299</v>
      </c>
      <c r="AJ1169">
        <v>88.463872454216002</v>
      </c>
      <c r="AK1169">
        <v>0.64953874569496495</v>
      </c>
    </row>
    <row r="1170" spans="1:37" x14ac:dyDescent="0.2">
      <c r="A1170" t="str">
        <f>"20200111155814923"</f>
        <v>20200111155814923</v>
      </c>
      <c r="B1170" t="str">
        <f>"1578729494912522"</f>
        <v>1578729494912522</v>
      </c>
      <c r="C1170" t="s">
        <v>37</v>
      </c>
      <c r="D1170">
        <v>5.4916989999999997</v>
      </c>
      <c r="E1170">
        <v>0.52964140000000004</v>
      </c>
      <c r="F1170" t="s">
        <v>38</v>
      </c>
      <c r="G1170">
        <v>-237.95750000000001</v>
      </c>
      <c r="H1170">
        <v>1.029239</v>
      </c>
      <c r="I1170">
        <v>368.60379999999998</v>
      </c>
      <c r="J1170">
        <v>-238.69049999999999</v>
      </c>
      <c r="K1170">
        <v>1.1040540000000001</v>
      </c>
      <c r="L1170">
        <v>368.59629999999999</v>
      </c>
      <c r="M1170">
        <v>0.99928090000000003</v>
      </c>
      <c r="N1170">
        <v>0</v>
      </c>
      <c r="O1170">
        <v>3.6080550000000003E-2</v>
      </c>
      <c r="P1170">
        <v>0.99591549999999995</v>
      </c>
      <c r="Q1170">
        <v>5.8187880000000001E-3</v>
      </c>
      <c r="R1170">
        <v>9.0102890000000005E-2</v>
      </c>
      <c r="S1170">
        <v>3.0096590000000001</v>
      </c>
      <c r="T1170">
        <v>-0.24993379999999901</v>
      </c>
      <c r="U1170">
        <v>4.5440670000000002E-2</v>
      </c>
      <c r="V1170">
        <v>-5.4104260000000001E-2</v>
      </c>
      <c r="W1170">
        <v>1.747216E-2</v>
      </c>
      <c r="X1170">
        <v>0.9983824</v>
      </c>
      <c r="Y1170">
        <v>2.0796479999999999E-2</v>
      </c>
      <c r="Z1170">
        <v>-3.8524430000000001E-3</v>
      </c>
      <c r="AA1170">
        <v>0.99977629999999995</v>
      </c>
      <c r="AB1170">
        <v>28</v>
      </c>
      <c r="AC1170">
        <v>0.732999999999975</v>
      </c>
      <c r="AD1170">
        <v>-7.4815000000000006E-2</v>
      </c>
      <c r="AE1170">
        <v>7.4999999999931797E-3</v>
      </c>
      <c r="AF1170">
        <v>1.8758327058201098E-2</v>
      </c>
      <c r="AG1170">
        <v>-7.4815000000000006E-2</v>
      </c>
      <c r="AH1170">
        <v>0.72523880330851798</v>
      </c>
      <c r="AI1170">
        <v>95.887793595542306</v>
      </c>
      <c r="AJ1170">
        <v>88.518372999304006</v>
      </c>
      <c r="AK1170">
        <v>0.72932878791625499</v>
      </c>
    </row>
    <row r="1171" spans="1:37" x14ac:dyDescent="0.2">
      <c r="A1171" t="str">
        <f>"20200111155814938"</f>
        <v>20200111155814938</v>
      </c>
      <c r="B1171" t="str">
        <f>"1578729494932042"</f>
        <v>1578729494932042</v>
      </c>
      <c r="C1171" t="s">
        <v>37</v>
      </c>
      <c r="D1171">
        <v>6.3346609999999997</v>
      </c>
      <c r="E1171">
        <v>0.52922029999999998</v>
      </c>
      <c r="F1171" t="s">
        <v>38</v>
      </c>
      <c r="G1171">
        <v>-237.94919999999999</v>
      </c>
      <c r="H1171">
        <v>1.0422719999999901</v>
      </c>
      <c r="I1171">
        <v>368.60770000000002</v>
      </c>
      <c r="J1171">
        <v>-238.5033</v>
      </c>
      <c r="K1171">
        <v>1.104061</v>
      </c>
      <c r="L1171">
        <v>368.60300000000001</v>
      </c>
      <c r="M1171">
        <v>0.9992839</v>
      </c>
      <c r="N1171">
        <v>0</v>
      </c>
      <c r="O1171">
        <v>3.6024819999999999E-2</v>
      </c>
      <c r="P1171">
        <v>0.99587389999999998</v>
      </c>
      <c r="Q1171">
        <v>5.7661530000000004E-3</v>
      </c>
      <c r="R1171">
        <v>9.0565300000000001E-2</v>
      </c>
      <c r="S1171">
        <v>3.0095519999999998</v>
      </c>
      <c r="T1171">
        <v>-0.25099050000000001</v>
      </c>
      <c r="U1171">
        <v>4.6783449999999997E-2</v>
      </c>
      <c r="V1171">
        <v>-5.4623779999999997E-2</v>
      </c>
      <c r="W1171">
        <v>1.7332469999999999E-2</v>
      </c>
      <c r="X1171">
        <v>0.99835659999999904</v>
      </c>
      <c r="Y1171">
        <v>2.029446E-2</v>
      </c>
      <c r="Z1171">
        <v>-3.8432559999999902E-3</v>
      </c>
      <c r="AA1171">
        <v>0.99978670000000003</v>
      </c>
      <c r="AB1171">
        <v>28</v>
      </c>
      <c r="AC1171">
        <v>0.55410000000000503</v>
      </c>
      <c r="AD1171">
        <v>-6.1789000000000101E-2</v>
      </c>
      <c r="AE1171">
        <v>4.7000000000139101E-3</v>
      </c>
      <c r="AF1171">
        <v>1.50782557776008E-2</v>
      </c>
      <c r="AG1171">
        <v>-6.1789000000000101E-2</v>
      </c>
      <c r="AH1171">
        <v>0.54710682329693106</v>
      </c>
      <c r="AI1171">
        <v>96.441126717187103</v>
      </c>
      <c r="AJ1171">
        <v>88.421328796721696</v>
      </c>
      <c r="AK1171">
        <v>0.55079134925700701</v>
      </c>
    </row>
    <row r="1172" spans="1:37" x14ac:dyDescent="0.2">
      <c r="A1172" t="str">
        <f>"20200111155814951"</f>
        <v>20200111155814951</v>
      </c>
      <c r="B1172" t="str">
        <f>"1578729494941802"</f>
        <v>1578729494941802</v>
      </c>
      <c r="C1172" t="s">
        <v>37</v>
      </c>
      <c r="D1172">
        <v>5.5306489999999897</v>
      </c>
      <c r="E1172">
        <v>0.52912769999999898</v>
      </c>
      <c r="F1172" t="s">
        <v>38</v>
      </c>
      <c r="G1172">
        <v>-237.70079999999999</v>
      </c>
      <c r="H1172">
        <v>1.0388919999999999</v>
      </c>
      <c r="I1172">
        <v>368.61649999999997</v>
      </c>
      <c r="J1172">
        <v>-238.3391</v>
      </c>
      <c r="K1172">
        <v>1.104063</v>
      </c>
      <c r="L1172">
        <v>368.60879999999997</v>
      </c>
      <c r="M1172">
        <v>0.99928649999999997</v>
      </c>
      <c r="N1172">
        <v>0</v>
      </c>
      <c r="O1172">
        <v>3.5979900000000002E-2</v>
      </c>
      <c r="P1172">
        <v>0.99586520000000001</v>
      </c>
      <c r="Q1172">
        <v>5.5529159999999998E-3</v>
      </c>
      <c r="R1172">
        <v>9.0674729999999995E-2</v>
      </c>
      <c r="S1172">
        <v>3.0091860000000001</v>
      </c>
      <c r="T1172">
        <v>-0.2444762</v>
      </c>
      <c r="U1172">
        <v>5.1483149999999998E-2</v>
      </c>
      <c r="V1172">
        <v>-5.4778750000000001E-2</v>
      </c>
      <c r="W1172">
        <v>1.7048310000000001E-2</v>
      </c>
      <c r="X1172">
        <v>0.99835289999999999</v>
      </c>
      <c r="Y1172">
        <v>1.8701860000000001E-2</v>
      </c>
      <c r="Z1172">
        <v>-3.6759969999999999E-3</v>
      </c>
      <c r="AA1172">
        <v>0.99981830000000005</v>
      </c>
      <c r="AB1172">
        <v>28</v>
      </c>
      <c r="AC1172">
        <v>0.63830000000001497</v>
      </c>
      <c r="AD1172">
        <v>-6.5171000000000007E-2</v>
      </c>
      <c r="AE1172">
        <v>7.6999999999998103E-3</v>
      </c>
      <c r="AF1172">
        <v>1.5114927628084199E-2</v>
      </c>
      <c r="AG1172">
        <v>-6.5171000000000007E-2</v>
      </c>
      <c r="AH1172">
        <v>0.63158070509263597</v>
      </c>
      <c r="AI1172">
        <v>95.889662051117298</v>
      </c>
      <c r="AJ1172">
        <v>88.6290646996421</v>
      </c>
      <c r="AK1172">
        <v>0.63511409000549901</v>
      </c>
    </row>
    <row r="1173" spans="1:37" x14ac:dyDescent="0.2">
      <c r="A1173" t="str">
        <f>"20200111155814974"</f>
        <v>20200111155814974</v>
      </c>
      <c r="B1173" t="str">
        <f>"1578729494962298"</f>
        <v>1578729494962298</v>
      </c>
      <c r="C1173" t="s">
        <v>37</v>
      </c>
      <c r="D1173">
        <v>5.5590330000000003</v>
      </c>
      <c r="E1173">
        <v>0.5289855</v>
      </c>
      <c r="F1173" t="s">
        <v>38</v>
      </c>
      <c r="G1173">
        <v>-237.45330000000001</v>
      </c>
      <c r="H1173">
        <v>1.0315809999999901</v>
      </c>
      <c r="I1173">
        <v>368.6241</v>
      </c>
      <c r="J1173">
        <v>-238.05670000000001</v>
      </c>
      <c r="K1173">
        <v>1.1040570000000001</v>
      </c>
      <c r="L1173">
        <v>368.6189</v>
      </c>
      <c r="M1173">
        <v>0.99929020000000002</v>
      </c>
      <c r="N1173">
        <v>0</v>
      </c>
      <c r="O1173">
        <v>3.5908299999999997E-2</v>
      </c>
      <c r="P1173">
        <v>0.99592130000000001</v>
      </c>
      <c r="Q1173">
        <v>4.9052009999999997E-3</v>
      </c>
      <c r="R1173">
        <v>9.0094560000000004E-2</v>
      </c>
      <c r="S1173">
        <v>3.0090330000000001</v>
      </c>
      <c r="T1173">
        <v>-0.24630869999999999</v>
      </c>
      <c r="U1173">
        <v>5.264282E-2</v>
      </c>
      <c r="V1173">
        <v>-5.4269110000000002E-2</v>
      </c>
      <c r="W1173">
        <v>1.6290240000000001E-2</v>
      </c>
      <c r="X1173">
        <v>0.99839349999999905</v>
      </c>
      <c r="Y1173">
        <v>1.8243160000000001E-2</v>
      </c>
      <c r="Z1173">
        <v>-3.679037E-3</v>
      </c>
      <c r="AA1173">
        <v>0.99982680000000002</v>
      </c>
      <c r="AB1173">
        <v>28</v>
      </c>
      <c r="AC1173">
        <v>0.60339999999999305</v>
      </c>
      <c r="AD1173">
        <v>-7.2476000000000207E-2</v>
      </c>
      <c r="AE1173">
        <v>5.2000000000020901E-3</v>
      </c>
      <c r="AF1173">
        <v>1.6237584136836E-2</v>
      </c>
      <c r="AG1173">
        <v>-7.2476000000000207E-2</v>
      </c>
      <c r="AH1173">
        <v>0.594619570679083</v>
      </c>
      <c r="AI1173">
        <v>96.946730001582694</v>
      </c>
      <c r="AJ1173">
        <v>88.435783252205397</v>
      </c>
      <c r="AK1173">
        <v>0.59924023859315201</v>
      </c>
    </row>
    <row r="1174" spans="1:37" x14ac:dyDescent="0.2">
      <c r="A1174" t="str">
        <f>"20200111155814996"</f>
        <v>20200111155814996</v>
      </c>
      <c r="B1174" t="str">
        <f>"1578729494992553"</f>
        <v>1578729494992553</v>
      </c>
      <c r="C1174" t="s">
        <v>37</v>
      </c>
      <c r="D1174">
        <v>5.5805199999999999</v>
      </c>
      <c r="E1174">
        <v>0.52885340000000003</v>
      </c>
      <c r="F1174" t="s">
        <v>38</v>
      </c>
      <c r="G1174">
        <v>-237.20079999999999</v>
      </c>
      <c r="H1174">
        <v>1.0328619999999999</v>
      </c>
      <c r="I1174">
        <v>368.63339999999999</v>
      </c>
      <c r="J1174">
        <v>-237.77799999999999</v>
      </c>
      <c r="K1174">
        <v>1.1040479999999999</v>
      </c>
      <c r="L1174">
        <v>368.62880000000001</v>
      </c>
      <c r="M1174">
        <v>0.99929400000000002</v>
      </c>
      <c r="N1174">
        <v>0</v>
      </c>
      <c r="O1174">
        <v>3.5834249999999998E-2</v>
      </c>
      <c r="P1174">
        <v>0.99603379999999997</v>
      </c>
      <c r="Q1174">
        <v>4.3872690000000001E-3</v>
      </c>
      <c r="R1174">
        <v>8.8870229999999995E-2</v>
      </c>
      <c r="S1174">
        <v>3.008804</v>
      </c>
      <c r="T1174">
        <v>-0.25072240000000001</v>
      </c>
      <c r="U1174">
        <v>5.2276610000000001E-2</v>
      </c>
      <c r="V1174">
        <v>-5.3116070000000001E-2</v>
      </c>
      <c r="W1174">
        <v>1.5680449999999999E-2</v>
      </c>
      <c r="X1174">
        <v>0.99846520000000005</v>
      </c>
      <c r="Y1174">
        <v>1.8282909999999999E-2</v>
      </c>
      <c r="Z1174">
        <v>-3.7405209999999901E-3</v>
      </c>
      <c r="AA1174">
        <v>0.99982579999999999</v>
      </c>
      <c r="AB1174">
        <v>28</v>
      </c>
      <c r="AC1174">
        <v>0.57720000000000404</v>
      </c>
      <c r="AD1174">
        <v>-7.1185999999999694E-2</v>
      </c>
      <c r="AE1174">
        <v>4.5999999999821696E-3</v>
      </c>
      <c r="AF1174">
        <v>1.5846783261641201E-2</v>
      </c>
      <c r="AG1174">
        <v>-7.1185999999999694E-2</v>
      </c>
      <c r="AH1174">
        <v>0.56834989377633205</v>
      </c>
      <c r="AI1174">
        <v>97.136392135880996</v>
      </c>
      <c r="AJ1174">
        <v>88.402887666629795</v>
      </c>
      <c r="AK1174">
        <v>0.57300974589557296</v>
      </c>
    </row>
    <row r="1175" spans="1:37" x14ac:dyDescent="0.2">
      <c r="A1175" t="str">
        <f>"20200111155815010"</f>
        <v>20200111155815010</v>
      </c>
      <c r="B1175" t="str">
        <f>"1578729495002315"</f>
        <v>1578729495002315</v>
      </c>
      <c r="C1175" t="s">
        <v>37</v>
      </c>
      <c r="D1175">
        <v>5.5631709999999996</v>
      </c>
      <c r="E1175">
        <v>0.52880050000000001</v>
      </c>
      <c r="F1175" t="s">
        <v>38</v>
      </c>
      <c r="G1175">
        <v>-236.94820000000001</v>
      </c>
      <c r="H1175">
        <v>1.0340559999999901</v>
      </c>
      <c r="I1175">
        <v>368.64240000000001</v>
      </c>
      <c r="J1175">
        <v>-237.61</v>
      </c>
      <c r="K1175">
        <v>1.1040449999999999</v>
      </c>
      <c r="L1175">
        <v>368.63479999999998</v>
      </c>
      <c r="M1175">
        <v>0.99929619999999997</v>
      </c>
      <c r="N1175">
        <v>0</v>
      </c>
      <c r="O1175">
        <v>3.5784980000000001E-2</v>
      </c>
      <c r="P1175">
        <v>0.99609780000000003</v>
      </c>
      <c r="Q1175">
        <v>3.9832979999999997E-3</v>
      </c>
      <c r="R1175">
        <v>8.8165610000000005E-2</v>
      </c>
      <c r="S1175">
        <v>3.00862099999999</v>
      </c>
      <c r="T1175">
        <v>-0.253936</v>
      </c>
      <c r="U1175">
        <v>4.9987789999999997E-2</v>
      </c>
      <c r="V1175">
        <v>-5.2458459999999998E-2</v>
      </c>
      <c r="W1175">
        <v>1.522942E-2</v>
      </c>
      <c r="X1175">
        <v>0.99850699999999903</v>
      </c>
      <c r="Y1175">
        <v>1.8985760000000001E-2</v>
      </c>
      <c r="Z1175">
        <v>-3.8140159999999999E-3</v>
      </c>
      <c r="AA1175">
        <v>0.99981249999999999</v>
      </c>
      <c r="AB1175">
        <v>28</v>
      </c>
      <c r="AC1175">
        <v>0.66179999999999894</v>
      </c>
      <c r="AD1175">
        <v>-6.9989000000000301E-2</v>
      </c>
      <c r="AE1175">
        <v>7.6000000000249202E-3</v>
      </c>
      <c r="AF1175">
        <v>1.5910938502665801E-2</v>
      </c>
      <c r="AG1175">
        <v>-6.9989000000000301E-2</v>
      </c>
      <c r="AH1175">
        <v>0.65433083385288804</v>
      </c>
      <c r="AI1175">
        <v>96.103508346064601</v>
      </c>
      <c r="AJ1175">
        <v>88.6070501904655</v>
      </c>
      <c r="AK1175">
        <v>0.65825561768635998</v>
      </c>
    </row>
    <row r="1176" spans="1:37" x14ac:dyDescent="0.2">
      <c r="A1176" t="str">
        <f>"20200111155815021"</f>
        <v>20200111155815021</v>
      </c>
      <c r="B1176" t="str">
        <f>"1578729495012074"</f>
        <v>1578729495012074</v>
      </c>
      <c r="C1176" t="s">
        <v>37</v>
      </c>
      <c r="D1176">
        <v>5.5859170000000002</v>
      </c>
      <c r="E1176">
        <v>0.52877929999999995</v>
      </c>
      <c r="F1176" t="s">
        <v>38</v>
      </c>
      <c r="G1176">
        <v>-236.6995</v>
      </c>
      <c r="H1176">
        <v>1.0266040000000001</v>
      </c>
      <c r="I1176">
        <v>368.64920000000001</v>
      </c>
      <c r="J1176">
        <v>-237.44810000000001</v>
      </c>
      <c r="K1176">
        <v>1.1040399999999999</v>
      </c>
      <c r="L1176">
        <v>368.64049999999997</v>
      </c>
      <c r="M1176">
        <v>0.99929849999999998</v>
      </c>
      <c r="N1176">
        <v>0</v>
      </c>
      <c r="O1176">
        <v>3.5733019999999997E-2</v>
      </c>
      <c r="P1176">
        <v>0.99615869999999995</v>
      </c>
      <c r="Q1176">
        <v>4.2262640000000004E-3</v>
      </c>
      <c r="R1176">
        <v>8.7464810000000004E-2</v>
      </c>
      <c r="S1176">
        <v>3.008499</v>
      </c>
      <c r="T1176">
        <v>-0.25606599999999902</v>
      </c>
      <c r="U1176">
        <v>4.8278809999999998E-2</v>
      </c>
      <c r="V1176">
        <v>-5.1807880000000001E-2</v>
      </c>
      <c r="W1176">
        <v>1.543253E-2</v>
      </c>
      <c r="X1176">
        <v>0.99853780000000003</v>
      </c>
      <c r="Y1176">
        <v>1.9495930000000002E-2</v>
      </c>
      <c r="Z1176">
        <v>-3.863333E-3</v>
      </c>
      <c r="AA1176">
        <v>0.99980249999999904</v>
      </c>
      <c r="AB1176">
        <v>28</v>
      </c>
      <c r="AC1176">
        <v>0.74860000000001004</v>
      </c>
      <c r="AD1176">
        <v>-7.7435999999999797E-2</v>
      </c>
      <c r="AE1176">
        <v>8.7000000000330095E-3</v>
      </c>
      <c r="AF1176">
        <v>1.7865836677617101E-2</v>
      </c>
      <c r="AG1176">
        <v>-7.7435999999999797E-2</v>
      </c>
      <c r="AH1176">
        <v>0.74051032535727901</v>
      </c>
      <c r="AI1176">
        <v>95.968063109684493</v>
      </c>
      <c r="AJ1176">
        <v>88.617928123780402</v>
      </c>
      <c r="AK1176">
        <v>0.74476242129751302</v>
      </c>
    </row>
    <row r="1177" spans="1:37" x14ac:dyDescent="0.2">
      <c r="A1177" t="str">
        <f>"20200111155815035"</f>
        <v>20200111155815035</v>
      </c>
      <c r="B1177" t="str">
        <f>"1578729495032570"</f>
        <v>1578729495032570</v>
      </c>
      <c r="C1177" t="s">
        <v>37</v>
      </c>
      <c r="D1177">
        <v>5.6250580000000001</v>
      </c>
      <c r="E1177">
        <v>0.52854190000000001</v>
      </c>
      <c r="F1177" t="s">
        <v>38</v>
      </c>
      <c r="G1177">
        <v>-236.69229999999999</v>
      </c>
      <c r="H1177">
        <v>1.039776</v>
      </c>
      <c r="I1177">
        <v>368.65190000000001</v>
      </c>
      <c r="J1177">
        <v>-237.2869</v>
      </c>
      <c r="K1177">
        <v>1.1040379999999901</v>
      </c>
      <c r="L1177">
        <v>368.64620000000002</v>
      </c>
      <c r="M1177">
        <v>0.99930099999999999</v>
      </c>
      <c r="N1177">
        <v>0</v>
      </c>
      <c r="O1177">
        <v>3.5675060000000001E-2</v>
      </c>
      <c r="P1177">
        <v>0.99619590000000002</v>
      </c>
      <c r="Q1177">
        <v>4.64519999999999E-3</v>
      </c>
      <c r="R1177">
        <v>8.7020650000000005E-2</v>
      </c>
      <c r="S1177">
        <v>3.008575</v>
      </c>
      <c r="T1177">
        <v>-0.25603130000000002</v>
      </c>
      <c r="U1177">
        <v>4.6356199999999903E-2</v>
      </c>
      <c r="V1177">
        <v>-5.1420479999999998E-2</v>
      </c>
      <c r="W1177">
        <v>1.581633E-2</v>
      </c>
      <c r="X1177">
        <v>0.99855179999999999</v>
      </c>
      <c r="Y1177">
        <v>2.0075269999999999E-2</v>
      </c>
      <c r="Z1177">
        <v>-3.8824240000000002E-3</v>
      </c>
      <c r="AA1177">
        <v>0.99979089999999904</v>
      </c>
      <c r="AB1177">
        <v>28</v>
      </c>
      <c r="AC1177">
        <v>0.59460000000001401</v>
      </c>
      <c r="AD1177">
        <v>-6.4261999999999805E-2</v>
      </c>
      <c r="AE1177">
        <v>5.6999999999902597E-3</v>
      </c>
      <c r="AF1177">
        <v>1.53382030238356E-2</v>
      </c>
      <c r="AG1177">
        <v>-6.4261999999999805E-2</v>
      </c>
      <c r="AH1177">
        <v>0.58756246712175697</v>
      </c>
      <c r="AI1177">
        <v>96.239550618180502</v>
      </c>
      <c r="AJ1177">
        <v>88.504644521222801</v>
      </c>
      <c r="AK1177">
        <v>0.59126518406397499</v>
      </c>
    </row>
    <row r="1178" spans="1:37" x14ac:dyDescent="0.2">
      <c r="A1178" t="str">
        <f>"20200111155815049"</f>
        <v>20200111155815049</v>
      </c>
      <c r="B1178" t="str">
        <f>"1578729495042330"</f>
        <v>1578729495042330</v>
      </c>
      <c r="C1178" t="s">
        <v>37</v>
      </c>
      <c r="D1178">
        <v>5.6180009999999996</v>
      </c>
      <c r="E1178">
        <v>0.52854190000000001</v>
      </c>
      <c r="F1178" t="s">
        <v>38</v>
      </c>
      <c r="G1178">
        <v>-236.4442</v>
      </c>
      <c r="H1178">
        <v>1.0324279999999999</v>
      </c>
      <c r="I1178">
        <v>368.65910000000002</v>
      </c>
      <c r="J1178">
        <v>-237.10650000000001</v>
      </c>
      <c r="K1178">
        <v>1.104034</v>
      </c>
      <c r="L1178">
        <v>368.65249999999997</v>
      </c>
      <c r="M1178">
        <v>0.99930399999999997</v>
      </c>
      <c r="N1178">
        <v>0</v>
      </c>
      <c r="O1178">
        <v>3.5605699999999997E-2</v>
      </c>
      <c r="P1178">
        <v>0.99624429999999997</v>
      </c>
      <c r="Q1178">
        <v>5.0920339999999996E-3</v>
      </c>
      <c r="R1178">
        <v>8.6440459999999997E-2</v>
      </c>
      <c r="S1178">
        <v>3.0086059999999999</v>
      </c>
      <c r="T1178">
        <v>-0.25566709999999998</v>
      </c>
      <c r="U1178">
        <v>4.6478270000000002E-2</v>
      </c>
      <c r="V1178">
        <v>-5.0907800000000003E-2</v>
      </c>
      <c r="W1178">
        <v>1.6227789999999999E-2</v>
      </c>
      <c r="X1178">
        <v>0.99857149999999995</v>
      </c>
      <c r="Y1178">
        <v>1.9966669999999999E-2</v>
      </c>
      <c r="Z1178">
        <v>-3.866394E-3</v>
      </c>
      <c r="AA1178">
        <v>0.99979319999999905</v>
      </c>
      <c r="AB1178">
        <v>28</v>
      </c>
      <c r="AC1178">
        <v>0.66230000000001599</v>
      </c>
      <c r="AD1178">
        <v>-7.1605999999999795E-2</v>
      </c>
      <c r="AE1178">
        <v>6.6000000000485601E-3</v>
      </c>
      <c r="AF1178">
        <v>1.6791043407396899E-2</v>
      </c>
      <c r="AG1178">
        <v>-7.1605999999999795E-2</v>
      </c>
      <c r="AH1178">
        <v>0.654465508010733</v>
      </c>
      <c r="AI1178">
        <v>96.241938557891999</v>
      </c>
      <c r="AJ1178">
        <v>88.530335203760998</v>
      </c>
      <c r="AK1178">
        <v>0.65858519536234295</v>
      </c>
    </row>
    <row r="1179" spans="1:37" x14ac:dyDescent="0.2">
      <c r="A1179" t="str">
        <f>"20200111155815062"</f>
        <v>20200111155815062</v>
      </c>
      <c r="B1179" t="str">
        <f>"1578729495052089"</f>
        <v>1578729495052089</v>
      </c>
      <c r="C1179" t="s">
        <v>37</v>
      </c>
      <c r="D1179">
        <v>5.6670489999999996</v>
      </c>
      <c r="E1179">
        <v>0.5283485</v>
      </c>
      <c r="F1179" t="s">
        <v>38</v>
      </c>
      <c r="G1179">
        <v>-236.1942</v>
      </c>
      <c r="H1179">
        <v>1.0269870000000001</v>
      </c>
      <c r="I1179">
        <v>368.66590000000002</v>
      </c>
      <c r="J1179">
        <v>-236.93960000000001</v>
      </c>
      <c r="K1179">
        <v>1.1040299999999901</v>
      </c>
      <c r="L1179">
        <v>368.65839999999997</v>
      </c>
      <c r="M1179">
        <v>0.99930669999999899</v>
      </c>
      <c r="N1179">
        <v>0</v>
      </c>
      <c r="O1179">
        <v>3.5536239999999997E-2</v>
      </c>
      <c r="P1179">
        <v>0.99634279999999997</v>
      </c>
      <c r="Q1179">
        <v>5.30516199999999E-3</v>
      </c>
      <c r="R1179">
        <v>8.5281460000000003E-2</v>
      </c>
      <c r="S1179">
        <v>3.0087429999999999</v>
      </c>
      <c r="T1179">
        <v>-0.25431100000000001</v>
      </c>
      <c r="U1179">
        <v>4.4982910000000001E-2</v>
      </c>
      <c r="V1179">
        <v>-4.9815320000000003E-2</v>
      </c>
      <c r="W1179">
        <v>1.6413250000000001E-2</v>
      </c>
      <c r="X1179">
        <v>0.9986235</v>
      </c>
      <c r="Y1179">
        <v>2.0395509999999999E-2</v>
      </c>
      <c r="Z1179">
        <v>-3.8580379999999998E-3</v>
      </c>
      <c r="AA1179">
        <v>0.99978449999999996</v>
      </c>
      <c r="AB1179">
        <v>28</v>
      </c>
      <c r="AC1179">
        <v>0.74540000000001705</v>
      </c>
      <c r="AD1179">
        <v>-7.7042999999999695E-2</v>
      </c>
      <c r="AE1179">
        <v>7.5000000000500196E-3</v>
      </c>
      <c r="AF1179">
        <v>1.8794327212637602E-2</v>
      </c>
      <c r="AG1179">
        <v>-7.7042999999999695E-2</v>
      </c>
      <c r="AH1179">
        <v>0.73731978905761697</v>
      </c>
      <c r="AI1179">
        <v>95.963301185724205</v>
      </c>
      <c r="AJ1179">
        <v>88.539843209560402</v>
      </c>
      <c r="AK1179">
        <v>0.74157219602702495</v>
      </c>
    </row>
    <row r="1180" spans="1:37" x14ac:dyDescent="0.2">
      <c r="A1180" t="str">
        <f>"20200111155815077"</f>
        <v>20200111155815077</v>
      </c>
      <c r="B1180" t="str">
        <f>"1578729495072587"</f>
        <v>1578729495072587</v>
      </c>
      <c r="C1180" t="s">
        <v>37</v>
      </c>
      <c r="D1180">
        <v>5.5915759999999999</v>
      </c>
      <c r="E1180">
        <v>0.52576210000000001</v>
      </c>
      <c r="F1180" t="s">
        <v>38</v>
      </c>
      <c r="G1180">
        <v>-236.1865</v>
      </c>
      <c r="H1180">
        <v>1.040643</v>
      </c>
      <c r="I1180">
        <v>368.66899999999998</v>
      </c>
      <c r="J1180">
        <v>-236.75069999999999</v>
      </c>
      <c r="K1180">
        <v>1.104023</v>
      </c>
      <c r="L1180">
        <v>368.66500000000002</v>
      </c>
      <c r="M1180">
        <v>0.99931000000000003</v>
      </c>
      <c r="N1180">
        <v>0</v>
      </c>
      <c r="O1180">
        <v>3.5452379999999999E-2</v>
      </c>
      <c r="P1180">
        <v>0.99637799999999999</v>
      </c>
      <c r="Q1180">
        <v>5.0979959999999996E-3</v>
      </c>
      <c r="R1180">
        <v>8.4882139999999995E-2</v>
      </c>
      <c r="S1180">
        <v>3.008667</v>
      </c>
      <c r="T1180">
        <v>-0.25346839999999998</v>
      </c>
      <c r="U1180">
        <v>4.3182369999999998E-2</v>
      </c>
      <c r="V1180">
        <v>-4.9498359999999998E-2</v>
      </c>
      <c r="W1180">
        <v>1.6184399999999901E-2</v>
      </c>
      <c r="X1180">
        <v>0.99864299999999995</v>
      </c>
      <c r="Y1180">
        <v>2.0909190000000001E-2</v>
      </c>
      <c r="Z1180">
        <v>-3.8599709999999998E-3</v>
      </c>
      <c r="AA1180">
        <v>0.99977389999999999</v>
      </c>
      <c r="AB1180">
        <v>28</v>
      </c>
      <c r="AC1180">
        <v>0.56419999999999904</v>
      </c>
      <c r="AD1180">
        <v>-6.3379999999999895E-2</v>
      </c>
      <c r="AE1180">
        <v>4.0000000000190898E-3</v>
      </c>
      <c r="AF1180">
        <v>1.5806515876660199E-2</v>
      </c>
      <c r="AG1180">
        <v>-6.3379999999999895E-2</v>
      </c>
      <c r="AH1180">
        <v>0.55695897153179497</v>
      </c>
      <c r="AI1180">
        <v>96.489542969989699</v>
      </c>
      <c r="AJ1180">
        <v>88.374380038163395</v>
      </c>
      <c r="AK1180">
        <v>0.56077639600282203</v>
      </c>
    </row>
    <row r="1181" spans="1:37" x14ac:dyDescent="0.2">
      <c r="A1181" t="str">
        <f>"20200111155815090"</f>
        <v>20200111155815090</v>
      </c>
      <c r="B1181" t="str">
        <f>"1578729495082346"</f>
        <v>1578729495082346</v>
      </c>
      <c r="C1181" t="s">
        <v>37</v>
      </c>
      <c r="D1181">
        <v>5.602328</v>
      </c>
      <c r="E1181">
        <v>0.52553499999999997</v>
      </c>
      <c r="F1181" t="s">
        <v>44</v>
      </c>
      <c r="G1181">
        <v>-202.70429999999999</v>
      </c>
      <c r="H1181" s="1">
        <v>-1.682722E-6</v>
      </c>
      <c r="I1181">
        <v>369.2878</v>
      </c>
      <c r="J1181">
        <v>-236.59</v>
      </c>
      <c r="K1181">
        <v>1.10402</v>
      </c>
      <c r="L1181">
        <v>368.67070000000001</v>
      </c>
      <c r="M1181">
        <v>0.9993126</v>
      </c>
      <c r="N1181">
        <v>0</v>
      </c>
      <c r="O1181">
        <v>3.5378560000000003E-2</v>
      </c>
      <c r="P1181">
        <v>0.99638530000000003</v>
      </c>
      <c r="Q1181">
        <v>4.6268780000000001E-3</v>
      </c>
      <c r="R1181">
        <v>8.4824259999999999E-2</v>
      </c>
      <c r="S1181">
        <v>3.0067140000000001</v>
      </c>
      <c r="T1181">
        <v>-9.7498660000000001E-2</v>
      </c>
      <c r="U1181">
        <v>5.4992680000000002E-2</v>
      </c>
      <c r="V1181">
        <v>-4.9514450000000002E-2</v>
      </c>
      <c r="W1181">
        <v>1.5700470000000001E-2</v>
      </c>
      <c r="X1181">
        <v>0.99865000000000004</v>
      </c>
      <c r="Y1181">
        <v>1.707181E-2</v>
      </c>
      <c r="Z1181">
        <v>-1.4233189999999999E-3</v>
      </c>
      <c r="AA1181">
        <v>0.99985329999999994</v>
      </c>
      <c r="AB1181">
        <v>28</v>
      </c>
      <c r="AC1181">
        <v>33.8857</v>
      </c>
      <c r="AD1181">
        <v>-1.104021682722</v>
      </c>
      <c r="AE1181">
        <v>0.61709999999999299</v>
      </c>
      <c r="AF1181">
        <v>0.58157004386035205</v>
      </c>
      <c r="AG1181">
        <v>-1.104021682722</v>
      </c>
      <c r="AH1181">
        <v>33.850397341169902</v>
      </c>
      <c r="AI1181">
        <v>91.8677489670727</v>
      </c>
      <c r="AJ1181">
        <v>89.015721123937794</v>
      </c>
      <c r="AK1181">
        <v>33.873389079732199</v>
      </c>
    </row>
    <row r="1182" spans="1:37" x14ac:dyDescent="0.2">
      <c r="A1182" t="str">
        <f>"20200111155815103"</f>
        <v>20200111155815103</v>
      </c>
      <c r="B1182" t="str">
        <f>"1578729495092106"</f>
        <v>1578729495092106</v>
      </c>
      <c r="C1182" t="s">
        <v>37</v>
      </c>
      <c r="D1182">
        <v>5.6415800000000003</v>
      </c>
      <c r="E1182">
        <v>0.52490319999999902</v>
      </c>
      <c r="F1182" t="s">
        <v>39</v>
      </c>
      <c r="G1182">
        <v>-215.02599999999899</v>
      </c>
      <c r="H1182" s="1">
        <v>-2.2084680000000001E-6</v>
      </c>
      <c r="I1182">
        <v>369.09620000000001</v>
      </c>
      <c r="J1182">
        <v>-236.41849999999999</v>
      </c>
      <c r="K1182">
        <v>1.1040159999999899</v>
      </c>
      <c r="L1182">
        <v>368.67669999999998</v>
      </c>
      <c r="M1182">
        <v>0.99931559999999897</v>
      </c>
      <c r="N1182">
        <v>0</v>
      </c>
      <c r="O1182">
        <v>3.5297259999999997E-2</v>
      </c>
      <c r="P1182">
        <v>0.99637730000000002</v>
      </c>
      <c r="Q1182">
        <v>4.3261259999999996E-3</v>
      </c>
      <c r="R1182">
        <v>8.4933460000000002E-2</v>
      </c>
      <c r="S1182">
        <v>3.0065309999999998</v>
      </c>
      <c r="T1182">
        <v>-0.1539257</v>
      </c>
      <c r="U1182">
        <v>5.9326169999999998E-2</v>
      </c>
      <c r="V1182">
        <v>-4.9705180000000002E-2</v>
      </c>
      <c r="W1182">
        <v>1.539105E-2</v>
      </c>
      <c r="X1182">
        <v>0.99864540000000002</v>
      </c>
      <c r="Y1182">
        <v>1.5509759999999999E-2</v>
      </c>
      <c r="Z1182">
        <v>-2.2021599999999999E-3</v>
      </c>
      <c r="AA1182">
        <v>0.99987729999999997</v>
      </c>
      <c r="AB1182">
        <v>28</v>
      </c>
      <c r="AC1182">
        <v>21.392499999999998</v>
      </c>
      <c r="AD1182">
        <v>-1.1040182084679999</v>
      </c>
      <c r="AE1182">
        <v>0.41950000000002702</v>
      </c>
      <c r="AF1182">
        <v>0.33501238957504498</v>
      </c>
      <c r="AG1182">
        <v>-1.1040182084679999</v>
      </c>
      <c r="AH1182">
        <v>21.3371692441006</v>
      </c>
      <c r="AI1182">
        <v>92.961566740248003</v>
      </c>
      <c r="AJ1182">
        <v>89.100479602744997</v>
      </c>
      <c r="AK1182">
        <v>21.368338280203101</v>
      </c>
    </row>
    <row r="1183" spans="1:37" x14ac:dyDescent="0.2">
      <c r="A1183" t="str">
        <f>"20200111155815120"</f>
        <v>20200111155815120</v>
      </c>
      <c r="B1183" t="str">
        <f>"1578729495112601"</f>
        <v>1578729495112601</v>
      </c>
      <c r="C1183" t="s">
        <v>37</v>
      </c>
      <c r="D1183">
        <v>5.6678199999999999</v>
      </c>
      <c r="E1183">
        <v>0.52478930000000001</v>
      </c>
      <c r="F1183" t="s">
        <v>39</v>
      </c>
      <c r="G1183">
        <v>-218.11850000000001</v>
      </c>
      <c r="H1183" s="1">
        <v>-8.8507450000000004E-7</v>
      </c>
      <c r="I1183">
        <v>369.07760000000002</v>
      </c>
      <c r="J1183">
        <v>-236.21789999999999</v>
      </c>
      <c r="K1183">
        <v>1.104015</v>
      </c>
      <c r="L1183">
        <v>368.68360000000001</v>
      </c>
      <c r="M1183">
        <v>0.99931909999999902</v>
      </c>
      <c r="N1183">
        <v>0</v>
      </c>
      <c r="O1183">
        <v>3.5199069999999999E-2</v>
      </c>
      <c r="P1183">
        <v>0.99628269999999997</v>
      </c>
      <c r="Q1183">
        <v>4.0337369999999999E-3</v>
      </c>
      <c r="R1183">
        <v>8.6049840000000002E-2</v>
      </c>
      <c r="S1183">
        <v>3.0060880000000001</v>
      </c>
      <c r="T1183">
        <v>-0.18135299999999999</v>
      </c>
      <c r="U1183">
        <v>6.5856929999999994E-2</v>
      </c>
      <c r="V1183">
        <v>-5.0922040000000002E-2</v>
      </c>
      <c r="W1183">
        <v>1.509449E-2</v>
      </c>
      <c r="X1183">
        <v>0.99858860000000005</v>
      </c>
      <c r="Y1183">
        <v>1.321581E-2</v>
      </c>
      <c r="Z1183">
        <v>-2.519159E-3</v>
      </c>
      <c r="AA1183">
        <v>0.99990949999999901</v>
      </c>
      <c r="AB1183">
        <v>28</v>
      </c>
      <c r="AC1183">
        <v>18.0993999999999</v>
      </c>
      <c r="AD1183">
        <v>-1.1040158850745001</v>
      </c>
      <c r="AE1183">
        <v>0.39400000000000501</v>
      </c>
      <c r="AF1183">
        <v>0.242463510148579</v>
      </c>
      <c r="AG1183">
        <v>-1.1040158850745001</v>
      </c>
      <c r="AH1183">
        <v>18.034981479344001</v>
      </c>
      <c r="AI1183">
        <v>93.502688432278404</v>
      </c>
      <c r="AJ1183">
        <v>89.229758070139795</v>
      </c>
      <c r="AK1183">
        <v>18.070367915140299</v>
      </c>
    </row>
    <row r="1184" spans="1:37" x14ac:dyDescent="0.2">
      <c r="A1184" t="str">
        <f>"20200111155815141"</f>
        <v>20200111155815141</v>
      </c>
      <c r="B1184" t="str">
        <f>"1578729495132121"</f>
        <v>1578729495132121</v>
      </c>
      <c r="C1184" t="s">
        <v>37</v>
      </c>
      <c r="D1184">
        <v>5.6735699999999998</v>
      </c>
      <c r="E1184">
        <v>0.52458269999999996</v>
      </c>
      <c r="F1184" t="s">
        <v>39</v>
      </c>
      <c r="G1184">
        <v>-220.43209999999999</v>
      </c>
      <c r="H1184" s="1">
        <v>-4.1858479999999901E-6</v>
      </c>
      <c r="I1184">
        <v>369.05860000000001</v>
      </c>
      <c r="J1184">
        <v>-235.9434</v>
      </c>
      <c r="K1184">
        <v>1.1040190000000001</v>
      </c>
      <c r="L1184">
        <v>368.69310000000002</v>
      </c>
      <c r="M1184">
        <v>0.99932399999999999</v>
      </c>
      <c r="N1184">
        <v>0</v>
      </c>
      <c r="O1184">
        <v>3.506273E-2</v>
      </c>
      <c r="P1184">
        <v>0.99614009999999997</v>
      </c>
      <c r="Q1184">
        <v>4.3916110000000001E-3</v>
      </c>
      <c r="R1184">
        <v>8.7668769999999993E-2</v>
      </c>
      <c r="S1184">
        <v>3.00589</v>
      </c>
      <c r="T1184">
        <v>-0.21022379999999999</v>
      </c>
      <c r="U1184">
        <v>7.1411130000000003E-2</v>
      </c>
      <c r="V1184">
        <v>-5.2680619999999997E-2</v>
      </c>
      <c r="W1184">
        <v>1.5450169999999999E-2</v>
      </c>
      <c r="X1184">
        <v>0.99849189999999999</v>
      </c>
      <c r="Y1184">
        <v>1.1206310000000001E-2</v>
      </c>
      <c r="Z1184">
        <v>-2.839711E-3</v>
      </c>
      <c r="AA1184">
        <v>0.99993319999999997</v>
      </c>
      <c r="AB1184">
        <v>28</v>
      </c>
      <c r="AC1184">
        <v>15.5113</v>
      </c>
      <c r="AD1184">
        <v>-1.1040231858480001</v>
      </c>
      <c r="AE1184">
        <v>0.36549999999999699</v>
      </c>
      <c r="AF1184">
        <v>0.17772665875892399</v>
      </c>
      <c r="AG1184">
        <v>-1.1040231858480001</v>
      </c>
      <c r="AH1184">
        <v>15.4364207778187</v>
      </c>
      <c r="AI1184">
        <v>94.0905967325955</v>
      </c>
      <c r="AJ1184">
        <v>89.340356311576301</v>
      </c>
      <c r="AK1184">
        <v>15.476871143419</v>
      </c>
    </row>
    <row r="1185" spans="1:37" x14ac:dyDescent="0.2">
      <c r="A1185" t="str">
        <f>"20200111155815157"</f>
        <v>20200111155815157</v>
      </c>
      <c r="B1185" t="str">
        <f>"1578729495152618"</f>
        <v>1578729495152618</v>
      </c>
      <c r="C1185" t="s">
        <v>37</v>
      </c>
      <c r="D1185">
        <v>5.7180559999999998</v>
      </c>
      <c r="E1185">
        <v>0.52440010000000004</v>
      </c>
      <c r="F1185" t="s">
        <v>39</v>
      </c>
      <c r="G1185">
        <v>-220.99690000000001</v>
      </c>
      <c r="H1185" s="1">
        <v>-3.939273E-6</v>
      </c>
      <c r="I1185">
        <v>369.08280000000002</v>
      </c>
      <c r="J1185">
        <v>-235.7474</v>
      </c>
      <c r="K1185">
        <v>1.1040190000000001</v>
      </c>
      <c r="L1185">
        <v>368.69990000000001</v>
      </c>
      <c r="M1185">
        <v>0.99932739999999998</v>
      </c>
      <c r="N1185">
        <v>0</v>
      </c>
      <c r="O1185">
        <v>3.4964820000000001E-2</v>
      </c>
      <c r="P1185">
        <v>0.99607690000000004</v>
      </c>
      <c r="Q1185">
        <v>5.0982909999999996E-3</v>
      </c>
      <c r="R1185">
        <v>8.8347029999999993E-2</v>
      </c>
      <c r="S1185">
        <v>3.0057070000000001</v>
      </c>
      <c r="T1185">
        <v>-0.222015299999999</v>
      </c>
      <c r="U1185">
        <v>7.8369140000000004E-2</v>
      </c>
      <c r="V1185">
        <v>-5.3458930000000002E-2</v>
      </c>
      <c r="W1185">
        <v>1.6159610000000001E-2</v>
      </c>
      <c r="X1185">
        <v>0.99843930000000003</v>
      </c>
      <c r="Y1185">
        <v>8.7873680000000003E-3</v>
      </c>
      <c r="Z1185">
        <v>-2.9022240000000001E-3</v>
      </c>
      <c r="AA1185">
        <v>0.99995719999999999</v>
      </c>
      <c r="AB1185">
        <v>28</v>
      </c>
      <c r="AC1185">
        <v>14.750499999999899</v>
      </c>
      <c r="AD1185">
        <v>-1.1040229392730001</v>
      </c>
      <c r="AE1185">
        <v>0.38290000000000601</v>
      </c>
      <c r="AF1185">
        <v>0.13237319546067899</v>
      </c>
      <c r="AG1185">
        <v>-1.1040229392730001</v>
      </c>
      <c r="AH1185">
        <v>14.6727272659609</v>
      </c>
      <c r="AI1185">
        <v>94.302834972724199</v>
      </c>
      <c r="AJ1185">
        <v>89.483107705596893</v>
      </c>
      <c r="AK1185">
        <v>14.7147991741169</v>
      </c>
    </row>
    <row r="1186" spans="1:37" x14ac:dyDescent="0.2">
      <c r="A1186" t="str">
        <f>"20200111155815170"</f>
        <v>20200111155815170</v>
      </c>
      <c r="B1186" t="str">
        <f>"1578729495162378"</f>
        <v>1578729495162378</v>
      </c>
      <c r="C1186" t="s">
        <v>37</v>
      </c>
      <c r="D1186">
        <v>5.6439430000000002</v>
      </c>
      <c r="E1186">
        <v>0.52427170000000001</v>
      </c>
      <c r="F1186" t="s">
        <v>38</v>
      </c>
      <c r="G1186">
        <v>-234.91909999999999</v>
      </c>
      <c r="H1186">
        <v>1.041892</v>
      </c>
      <c r="I1186">
        <v>368.72239999999999</v>
      </c>
      <c r="J1186">
        <v>-235.57660000000001</v>
      </c>
      <c r="K1186">
        <v>1.1040209999999999</v>
      </c>
      <c r="L1186">
        <v>368.70580000000001</v>
      </c>
      <c r="M1186">
        <v>0.9993303</v>
      </c>
      <c r="N1186">
        <v>0</v>
      </c>
      <c r="O1186">
        <v>3.487966E-2</v>
      </c>
      <c r="P1186">
        <v>0.99601049999999902</v>
      </c>
      <c r="Q1186">
        <v>5.2988080000000003E-3</v>
      </c>
      <c r="R1186">
        <v>8.9079889999999995E-2</v>
      </c>
      <c r="S1186">
        <v>3.0057070000000001</v>
      </c>
      <c r="T1186">
        <v>-0.22555429999999899</v>
      </c>
      <c r="U1186">
        <v>8.1909179999999998E-2</v>
      </c>
      <c r="V1186">
        <v>-5.4278559999999997E-2</v>
      </c>
      <c r="W1186">
        <v>1.6366530000000001E-2</v>
      </c>
      <c r="X1186">
        <v>0.99839169999999999</v>
      </c>
      <c r="Y1186">
        <v>7.5252299999999999E-3</v>
      </c>
      <c r="Z1186">
        <v>-2.89464E-3</v>
      </c>
      <c r="AA1186">
        <v>0.99996749999999901</v>
      </c>
      <c r="AB1186">
        <v>28</v>
      </c>
      <c r="AC1186">
        <v>0.65750000000002695</v>
      </c>
      <c r="AD1186">
        <v>-6.2128999999999802E-2</v>
      </c>
      <c r="AE1186">
        <v>1.6599999999982601E-2</v>
      </c>
      <c r="AF1186">
        <v>6.28876576949991E-3</v>
      </c>
      <c r="AG1186">
        <v>-6.2128999999999802E-2</v>
      </c>
      <c r="AH1186">
        <v>0.65186221801718303</v>
      </c>
      <c r="AI1186">
        <v>95.4441640341431</v>
      </c>
      <c r="AJ1186">
        <v>89.447262705154301</v>
      </c>
      <c r="AK1186">
        <v>0.65484648009604896</v>
      </c>
    </row>
    <row r="1187" spans="1:37" x14ac:dyDescent="0.2">
      <c r="A1187" t="str">
        <f>"20200111155815183"</f>
        <v>20200111155815183</v>
      </c>
      <c r="B1187" t="str">
        <f>"1578729495172138"</f>
        <v>1578729495172138</v>
      </c>
      <c r="C1187" t="s">
        <v>37</v>
      </c>
      <c r="D1187">
        <v>5.6494489999999997</v>
      </c>
      <c r="E1187">
        <v>0.52419150000000003</v>
      </c>
      <c r="F1187" t="s">
        <v>38</v>
      </c>
      <c r="G1187">
        <v>-234.6711</v>
      </c>
      <c r="H1187">
        <v>1.03556</v>
      </c>
      <c r="I1187">
        <v>368.73129999999998</v>
      </c>
      <c r="J1187">
        <v>-235.40610000000001</v>
      </c>
      <c r="K1187">
        <v>1.104025</v>
      </c>
      <c r="L1187">
        <v>368.71170000000001</v>
      </c>
      <c r="M1187">
        <v>0.99933309999999997</v>
      </c>
      <c r="N1187">
        <v>0</v>
      </c>
      <c r="O1187">
        <v>3.479459E-2</v>
      </c>
      <c r="P1187">
        <v>0.99596810000000002</v>
      </c>
      <c r="Q1187">
        <v>5.6676249999999999E-3</v>
      </c>
      <c r="R1187">
        <v>8.9529419999999998E-2</v>
      </c>
      <c r="S1187">
        <v>3.0056150000000001</v>
      </c>
      <c r="T1187">
        <v>-0.227481399999999</v>
      </c>
      <c r="U1187">
        <v>8.5235599999999995E-2</v>
      </c>
      <c r="V1187">
        <v>-5.4813790000000001E-2</v>
      </c>
      <c r="W1187">
        <v>1.6746520000000001E-2</v>
      </c>
      <c r="X1187">
        <v>0.99835620000000003</v>
      </c>
      <c r="Y1187">
        <v>6.3350300000000002E-3</v>
      </c>
      <c r="Z1187">
        <v>-2.8679409999999902E-3</v>
      </c>
      <c r="AA1187">
        <v>0.99997579999999997</v>
      </c>
      <c r="AB1187">
        <v>28</v>
      </c>
      <c r="AC1187">
        <v>0.73500000000001298</v>
      </c>
      <c r="AD1187">
        <v>-6.8464999999999998E-2</v>
      </c>
      <c r="AE1187">
        <v>1.95999999999685E-2</v>
      </c>
      <c r="AF1187">
        <v>5.93599303235786E-3</v>
      </c>
      <c r="AG1187">
        <v>-6.8464999999999998E-2</v>
      </c>
      <c r="AH1187">
        <v>0.728916694495505</v>
      </c>
      <c r="AI1187">
        <v>95.365704238320006</v>
      </c>
      <c r="AJ1187">
        <v>89.533417422820193</v>
      </c>
      <c r="AK1187">
        <v>0.73214905569326105</v>
      </c>
    </row>
    <row r="1188" spans="1:37" x14ac:dyDescent="0.2">
      <c r="A1188" t="str">
        <f>"20200111155815198"</f>
        <v>20200111155815198</v>
      </c>
      <c r="B1188" t="str">
        <f>"1578729495192634"</f>
        <v>1578729495192634</v>
      </c>
      <c r="C1188" t="s">
        <v>37</v>
      </c>
      <c r="D1188">
        <v>6.5689089999999997</v>
      </c>
      <c r="E1188">
        <v>0.52411660000000004</v>
      </c>
      <c r="F1188" t="s">
        <v>39</v>
      </c>
      <c r="G1188">
        <v>-220.88310000000001</v>
      </c>
      <c r="H1188" s="1">
        <v>-3.9789269999999998E-6</v>
      </c>
      <c r="I1188">
        <v>369.13440000000003</v>
      </c>
      <c r="J1188">
        <v>-235.22299999999899</v>
      </c>
      <c r="K1188">
        <v>1.1040299999999901</v>
      </c>
      <c r="L1188">
        <v>368.71800000000002</v>
      </c>
      <c r="M1188">
        <v>0.99933619999999901</v>
      </c>
      <c r="N1188">
        <v>0</v>
      </c>
      <c r="O1188">
        <v>3.4703600000000001E-2</v>
      </c>
      <c r="P1188">
        <v>0.99590800000000002</v>
      </c>
      <c r="Q1188">
        <v>6.0145989999999998E-3</v>
      </c>
      <c r="R1188">
        <v>9.017617E-2</v>
      </c>
      <c r="S1188">
        <v>3.0055540000000001</v>
      </c>
      <c r="T1188">
        <v>-0.2284794</v>
      </c>
      <c r="U1188">
        <v>8.7493899999999999E-2</v>
      </c>
      <c r="V1188">
        <v>-5.555322E-2</v>
      </c>
      <c r="W1188">
        <v>1.7108379999999999E-2</v>
      </c>
      <c r="X1188">
        <v>0.99830909999999995</v>
      </c>
      <c r="Y1188">
        <v>5.4943250000000004E-3</v>
      </c>
      <c r="Z1188">
        <v>-2.841704E-3</v>
      </c>
      <c r="AA1188">
        <v>0.99998089999999995</v>
      </c>
      <c r="AB1188">
        <v>28</v>
      </c>
      <c r="AC1188">
        <v>14.339899999999901</v>
      </c>
      <c r="AD1188">
        <v>-1.1040339789269999</v>
      </c>
      <c r="AE1188">
        <v>0.41640000000000998</v>
      </c>
      <c r="AF1188">
        <v>8.1047560839231397E-2</v>
      </c>
      <c r="AG1188">
        <v>-1.1040339789269999</v>
      </c>
      <c r="AH1188">
        <v>14.2612501966873</v>
      </c>
      <c r="AI1188">
        <v>94.426649604949901</v>
      </c>
      <c r="AJ1188">
        <v>89.674388071157296</v>
      </c>
      <c r="AK1188">
        <v>14.304150338494599</v>
      </c>
    </row>
    <row r="1189" spans="1:37" x14ac:dyDescent="0.2">
      <c r="A1189" t="str">
        <f>"20200111155815219"</f>
        <v>20200111155815219</v>
      </c>
      <c r="B1189" t="str">
        <f>"1578729495212153"</f>
        <v>1578729495212153</v>
      </c>
      <c r="C1189" t="s">
        <v>37</v>
      </c>
      <c r="D1189">
        <v>5.6782879999999896</v>
      </c>
      <c r="E1189">
        <v>0.52428889999999995</v>
      </c>
      <c r="F1189" t="s">
        <v>38</v>
      </c>
      <c r="G1189">
        <v>-234.41069999999999</v>
      </c>
      <c r="H1189">
        <v>1.043201</v>
      </c>
      <c r="I1189">
        <v>368.74209999999999</v>
      </c>
      <c r="J1189">
        <v>-234.94659999999999</v>
      </c>
      <c r="K1189">
        <v>1.104033</v>
      </c>
      <c r="L1189">
        <v>368.72739999999999</v>
      </c>
      <c r="M1189">
        <v>0.99934049999999996</v>
      </c>
      <c r="N1189">
        <v>0</v>
      </c>
      <c r="O1189">
        <v>3.4567769999999998E-2</v>
      </c>
      <c r="P1189">
        <v>0.99597169999999902</v>
      </c>
      <c r="Q1189">
        <v>6.1255540000000001E-3</v>
      </c>
      <c r="R1189">
        <v>8.946026E-2</v>
      </c>
      <c r="S1189">
        <v>3.0055239999999999</v>
      </c>
      <c r="T1189">
        <v>-0.225327</v>
      </c>
      <c r="U1189">
        <v>8.9965820000000002E-2</v>
      </c>
      <c r="V1189">
        <v>-5.4971369999999999E-2</v>
      </c>
      <c r="W1189">
        <v>1.7247599999999998E-2</v>
      </c>
      <c r="X1189">
        <v>0.99833890000000003</v>
      </c>
      <c r="Y1189">
        <v>4.5426099999999999E-3</v>
      </c>
      <c r="Z1189">
        <v>-2.7568150000000001E-3</v>
      </c>
      <c r="AA1189">
        <v>0.99998589999999998</v>
      </c>
      <c r="AB1189">
        <v>28</v>
      </c>
      <c r="AC1189">
        <v>0.53589999999999705</v>
      </c>
      <c r="AD1189">
        <v>-6.0831999999999997E-2</v>
      </c>
      <c r="AE1189">
        <v>1.47000000000048E-2</v>
      </c>
      <c r="AF1189">
        <v>3.7860516839430501E-3</v>
      </c>
      <c r="AG1189">
        <v>-6.0831999999999997E-2</v>
      </c>
      <c r="AH1189">
        <v>0.52927311179870995</v>
      </c>
      <c r="AI1189">
        <v>96.556353931546894</v>
      </c>
      <c r="AJ1189">
        <v>89.590152838318005</v>
      </c>
      <c r="AK1189">
        <v>0.53277095762104298</v>
      </c>
    </row>
    <row r="1190" spans="1:37" x14ac:dyDescent="0.2">
      <c r="A1190" t="str">
        <f>"20200111155815234"</f>
        <v>20200111155815234</v>
      </c>
      <c r="B1190" t="str">
        <f>"1578729495221914"</f>
        <v>1578729495221914</v>
      </c>
      <c r="C1190" t="s">
        <v>37</v>
      </c>
      <c r="D1190">
        <v>5.6808170000000002</v>
      </c>
      <c r="E1190">
        <v>0.5243852</v>
      </c>
      <c r="F1190" t="s">
        <v>38</v>
      </c>
      <c r="G1190">
        <v>-234.1567</v>
      </c>
      <c r="H1190">
        <v>1.043647</v>
      </c>
      <c r="I1190">
        <v>368.75009999999997</v>
      </c>
      <c r="J1190">
        <v>-234.77010000000001</v>
      </c>
      <c r="K1190">
        <v>1.1040350000000001</v>
      </c>
      <c r="L1190">
        <v>368.73340000000002</v>
      </c>
      <c r="M1190">
        <v>0.99934310000000004</v>
      </c>
      <c r="N1190">
        <v>0</v>
      </c>
      <c r="O1190">
        <v>3.4481789999999998E-2</v>
      </c>
      <c r="P1190">
        <v>0.99602409999999997</v>
      </c>
      <c r="Q1190">
        <v>5.7220650000000001E-3</v>
      </c>
      <c r="R1190">
        <v>8.8900709999999994E-2</v>
      </c>
      <c r="S1190">
        <v>3.0057369999999999</v>
      </c>
      <c r="T1190">
        <v>-0.23003019999999999</v>
      </c>
      <c r="U1190">
        <v>8.6853029999999998E-2</v>
      </c>
      <c r="V1190">
        <v>-5.449615E-2</v>
      </c>
      <c r="W1190">
        <v>1.6868089999999999E-2</v>
      </c>
      <c r="X1190">
        <v>0.99837149999999997</v>
      </c>
      <c r="Y1190">
        <v>5.4863119999999897E-3</v>
      </c>
      <c r="Z1190">
        <v>-2.8435330000000001E-3</v>
      </c>
      <c r="AA1190">
        <v>0.99998089999999995</v>
      </c>
      <c r="AB1190">
        <v>28</v>
      </c>
      <c r="AC1190">
        <v>0.61340000000001205</v>
      </c>
      <c r="AD1190">
        <v>-6.0388000000000101E-2</v>
      </c>
      <c r="AE1190">
        <v>1.6699999999957499E-2</v>
      </c>
      <c r="AF1190">
        <v>4.4195749003089202E-3</v>
      </c>
      <c r="AG1190">
        <v>-6.0388000000000101E-2</v>
      </c>
      <c r="AH1190">
        <v>0.60772534730899597</v>
      </c>
      <c r="AI1190">
        <v>95.674547190824001</v>
      </c>
      <c r="AJ1190">
        <v>89.583333941472702</v>
      </c>
      <c r="AK1190">
        <v>0.61073426377446605</v>
      </c>
    </row>
    <row r="1191" spans="1:37" x14ac:dyDescent="0.2">
      <c r="A1191" t="str">
        <f>"20200111155815249"</f>
        <v>20200111155815249</v>
      </c>
      <c r="B1191" t="str">
        <f>"1578729495242410"</f>
        <v>1578729495242410</v>
      </c>
      <c r="C1191" t="s">
        <v>37</v>
      </c>
      <c r="D1191">
        <v>6.297358</v>
      </c>
      <c r="E1191">
        <v>0.52451269999999905</v>
      </c>
      <c r="F1191" t="s">
        <v>38</v>
      </c>
      <c r="G1191">
        <v>-233.90889999999999</v>
      </c>
      <c r="H1191">
        <v>1.037013</v>
      </c>
      <c r="I1191">
        <v>368.75740000000002</v>
      </c>
      <c r="J1191">
        <v>-234.58349999999999</v>
      </c>
      <c r="K1191">
        <v>1.1040399999999999</v>
      </c>
      <c r="L1191">
        <v>368.7398</v>
      </c>
      <c r="M1191">
        <v>0.99934599999999996</v>
      </c>
      <c r="N1191">
        <v>0</v>
      </c>
      <c r="O1191">
        <v>3.4390690000000002E-2</v>
      </c>
      <c r="P1191">
        <v>0.99611439999999996</v>
      </c>
      <c r="Q1191">
        <v>5.8469619999999998E-3</v>
      </c>
      <c r="R1191">
        <v>8.7876019999999999E-2</v>
      </c>
      <c r="S1191">
        <v>3.0057830000000001</v>
      </c>
      <c r="T1191">
        <v>-0.23410629999999999</v>
      </c>
      <c r="U1191">
        <v>8.4259029999999999E-2</v>
      </c>
      <c r="V1191">
        <v>-5.3560040000000003E-2</v>
      </c>
      <c r="W1191">
        <v>1.7026380000000001E-2</v>
      </c>
      <c r="X1191">
        <v>0.99841950000000002</v>
      </c>
      <c r="Y1191">
        <v>6.2516809999999898E-3</v>
      </c>
      <c r="Z1191">
        <v>-2.916447E-3</v>
      </c>
      <c r="AA1191">
        <v>0.99997619999999898</v>
      </c>
      <c r="AB1191">
        <v>28</v>
      </c>
      <c r="AC1191">
        <v>0.67459999999999798</v>
      </c>
      <c r="AD1191">
        <v>-6.7026999999999906E-2</v>
      </c>
      <c r="AE1191">
        <v>1.7600000000015801E-2</v>
      </c>
      <c r="AF1191">
        <v>5.5569986150355802E-3</v>
      </c>
      <c r="AG1191">
        <v>-6.7026999999999906E-2</v>
      </c>
      <c r="AH1191">
        <v>0.66821406606018197</v>
      </c>
      <c r="AI1191">
        <v>95.727849852431007</v>
      </c>
      <c r="AJ1191">
        <v>89.523528096813905</v>
      </c>
      <c r="AK1191">
        <v>0.67159030445896795</v>
      </c>
    </row>
    <row r="1192" spans="1:37" x14ac:dyDescent="0.2">
      <c r="A1192" t="str">
        <f>"20200111155815263"</f>
        <v>20200111155815263</v>
      </c>
      <c r="B1192" t="str">
        <f>"1578729495252169"</f>
        <v>1578729495252169</v>
      </c>
      <c r="C1192" t="s">
        <v>37</v>
      </c>
      <c r="D1192">
        <v>5.5763239999999996</v>
      </c>
      <c r="E1192">
        <v>0.52436269999999996</v>
      </c>
      <c r="F1192" t="s">
        <v>38</v>
      </c>
      <c r="G1192">
        <v>-233.65819999999999</v>
      </c>
      <c r="H1192">
        <v>1.0325040000000001</v>
      </c>
      <c r="I1192">
        <v>368.76429999999999</v>
      </c>
      <c r="J1192">
        <v>-234.3912</v>
      </c>
      <c r="K1192">
        <v>1.10405</v>
      </c>
      <c r="L1192">
        <v>368.74630000000002</v>
      </c>
      <c r="M1192">
        <v>0.99934880000000004</v>
      </c>
      <c r="N1192">
        <v>0</v>
      </c>
      <c r="O1192">
        <v>3.4295930000000002E-2</v>
      </c>
      <c r="P1192">
        <v>0.99624809999999997</v>
      </c>
      <c r="Q1192">
        <v>6.3445960000000001E-3</v>
      </c>
      <c r="R1192">
        <v>8.6312319999999998E-2</v>
      </c>
      <c r="S1192">
        <v>3.0059659999999999</v>
      </c>
      <c r="T1192">
        <v>-0.23254839999999999</v>
      </c>
      <c r="U1192">
        <v>8.0200199999999999E-2</v>
      </c>
      <c r="V1192">
        <v>-5.2086979999999998E-2</v>
      </c>
      <c r="W1192">
        <v>1.7570849999999999E-2</v>
      </c>
      <c r="X1192">
        <v>0.99848789999999998</v>
      </c>
      <c r="Y1192">
        <v>7.505973E-3</v>
      </c>
      <c r="Z1192">
        <v>-2.938113E-3</v>
      </c>
      <c r="AA1192">
        <v>0.99996749999999901</v>
      </c>
      <c r="AB1192">
        <v>28</v>
      </c>
      <c r="AC1192">
        <v>0.73300000000000398</v>
      </c>
      <c r="AD1192">
        <v>-7.1545999999999804E-2</v>
      </c>
      <c r="AE1192">
        <v>1.7999999999972201E-2</v>
      </c>
      <c r="AF1192">
        <v>7.0836417737457401E-3</v>
      </c>
      <c r="AG1192">
        <v>-7.1545999999999804E-2</v>
      </c>
      <c r="AH1192">
        <v>0.72627098436614101</v>
      </c>
      <c r="AI1192">
        <v>95.625871073961903</v>
      </c>
      <c r="AJ1192">
        <v>89.441186668845404</v>
      </c>
      <c r="AK1192">
        <v>0.72982090325568405</v>
      </c>
    </row>
    <row r="1193" spans="1:37" x14ac:dyDescent="0.2">
      <c r="A1193" t="str">
        <f>"20200111155815288"</f>
        <v>20200111155815288</v>
      </c>
      <c r="B1193" t="str">
        <f>"1578729495282426"</f>
        <v>1578729495282426</v>
      </c>
      <c r="C1193" t="s">
        <v>37</v>
      </c>
      <c r="D1193">
        <v>5.6031599999999999</v>
      </c>
      <c r="E1193">
        <v>0.52455779999999996</v>
      </c>
      <c r="F1193" t="s">
        <v>39</v>
      </c>
      <c r="G1193">
        <v>-219.7911</v>
      </c>
      <c r="H1193" s="1">
        <v>-1.894144E-7</v>
      </c>
      <c r="I1193">
        <v>369.11939999999998</v>
      </c>
      <c r="J1193">
        <v>-234.09379999999999</v>
      </c>
      <c r="K1193">
        <v>1.1040719999999999</v>
      </c>
      <c r="L1193">
        <v>368.75630000000001</v>
      </c>
      <c r="M1193">
        <v>0.99935229999999997</v>
      </c>
      <c r="N1193">
        <v>0</v>
      </c>
      <c r="O1193">
        <v>3.4152120000000001E-2</v>
      </c>
      <c r="P1193">
        <v>0.99637419999999999</v>
      </c>
      <c r="Q1193">
        <v>6.6669099999999999E-3</v>
      </c>
      <c r="R1193">
        <v>8.48159E-2</v>
      </c>
      <c r="S1193">
        <v>3.0061040000000001</v>
      </c>
      <c r="T1193">
        <v>-0.2273182</v>
      </c>
      <c r="U1193">
        <v>7.6812740000000004E-2</v>
      </c>
      <c r="V1193">
        <v>-5.0730549999999999E-2</v>
      </c>
      <c r="W1193">
        <v>1.8005650000000002E-2</v>
      </c>
      <c r="X1193">
        <v>0.9985501</v>
      </c>
      <c r="Y1193">
        <v>8.4925239999999996E-3</v>
      </c>
      <c r="Z1193">
        <v>-2.8985409999999902E-3</v>
      </c>
      <c r="AA1193">
        <v>0.99995970000000001</v>
      </c>
      <c r="AB1193">
        <v>28</v>
      </c>
      <c r="AC1193">
        <v>14.3026999999999</v>
      </c>
      <c r="AD1193">
        <v>-1.1040721894143899</v>
      </c>
      <c r="AE1193">
        <v>0.363099999999974</v>
      </c>
      <c r="AF1193">
        <v>0.124867204859409</v>
      </c>
      <c r="AG1193">
        <v>-1.1040721894143899</v>
      </c>
      <c r="AH1193">
        <v>14.2220649525142</v>
      </c>
      <c r="AI1193">
        <v>94.438851434105402</v>
      </c>
      <c r="AJ1193">
        <v>89.496966155169602</v>
      </c>
      <c r="AK1193">
        <v>14.2654021580824</v>
      </c>
    </row>
    <row r="1194" spans="1:37" x14ac:dyDescent="0.2">
      <c r="A1194" t="str">
        <f>"20200111155815299"</f>
        <v>20200111155815299</v>
      </c>
      <c r="B1194" t="str">
        <f>"1578729495292187"</f>
        <v>1578729495292187</v>
      </c>
      <c r="C1194" t="s">
        <v>37</v>
      </c>
      <c r="D1194">
        <v>5.6684519999999896</v>
      </c>
      <c r="E1194">
        <v>0.5245109</v>
      </c>
      <c r="F1194" t="s">
        <v>38</v>
      </c>
      <c r="G1194">
        <v>-233.15170000000001</v>
      </c>
      <c r="H1194">
        <v>1.031507</v>
      </c>
      <c r="I1194">
        <v>368.77839999999998</v>
      </c>
      <c r="J1194">
        <v>-233.92529999999999</v>
      </c>
      <c r="K1194">
        <v>1.1040939999999999</v>
      </c>
      <c r="L1194">
        <v>368.76199999999898</v>
      </c>
      <c r="M1194">
        <v>0.99935359999999995</v>
      </c>
      <c r="N1194">
        <v>0</v>
      </c>
      <c r="O1194">
        <v>3.4078650000000002E-2</v>
      </c>
      <c r="P1194">
        <v>0.99640859999999998</v>
      </c>
      <c r="Q1194">
        <v>6.8455879999999997E-3</v>
      </c>
      <c r="R1194">
        <v>8.4397829999999993E-2</v>
      </c>
      <c r="S1194">
        <v>3.0064389999999999</v>
      </c>
      <c r="T1194">
        <v>-0.2317631</v>
      </c>
      <c r="U1194">
        <v>7.1044919999999998E-2</v>
      </c>
      <c r="V1194">
        <v>-5.0384610000000003E-2</v>
      </c>
      <c r="W1194">
        <v>1.829219E-2</v>
      </c>
      <c r="X1194">
        <v>0.99856230000000001</v>
      </c>
      <c r="Y1194">
        <v>1.0329140000000001E-2</v>
      </c>
      <c r="Z1194">
        <v>-3.0198429999999999E-3</v>
      </c>
      <c r="AA1194">
        <v>0.99994209999999994</v>
      </c>
      <c r="AB1194">
        <v>28</v>
      </c>
      <c r="AC1194">
        <v>0.77359999999998696</v>
      </c>
      <c r="AD1194">
        <v>-7.2587000000000096E-2</v>
      </c>
      <c r="AE1194">
        <v>1.6400000000032802E-2</v>
      </c>
      <c r="AF1194">
        <v>9.8874868106120801E-3</v>
      </c>
      <c r="AG1194">
        <v>-7.2587000000000096E-2</v>
      </c>
      <c r="AH1194">
        <v>0.76696016751871499</v>
      </c>
      <c r="AI1194">
        <v>95.406063176691703</v>
      </c>
      <c r="AJ1194">
        <v>89.261395953815494</v>
      </c>
      <c r="AK1194">
        <v>0.77045086379649497</v>
      </c>
    </row>
    <row r="1195" spans="1:37" x14ac:dyDescent="0.2">
      <c r="A1195" t="str">
        <f>"20200111155815320"</f>
        <v>20200111155815320</v>
      </c>
      <c r="B1195" t="str">
        <f>"1578729495311705"</f>
        <v>1578729495311705</v>
      </c>
      <c r="C1195" t="s">
        <v>37</v>
      </c>
      <c r="D1195">
        <v>5.7455540000000003</v>
      </c>
      <c r="E1195">
        <v>0.52463729999999997</v>
      </c>
      <c r="F1195" t="s">
        <v>38</v>
      </c>
      <c r="G1195">
        <v>-233.14259999999999</v>
      </c>
      <c r="H1195">
        <v>1.0436939999999999</v>
      </c>
      <c r="I1195">
        <v>368.78</v>
      </c>
      <c r="J1195">
        <v>-233.67910000000001</v>
      </c>
      <c r="K1195">
        <v>1.1041339999999999</v>
      </c>
      <c r="L1195">
        <v>368.77019999999999</v>
      </c>
      <c r="M1195">
        <v>0.99935529999999995</v>
      </c>
      <c r="N1195">
        <v>0</v>
      </c>
      <c r="O1195">
        <v>3.3967659999999997E-2</v>
      </c>
      <c r="P1195">
        <v>0.99644560000000004</v>
      </c>
      <c r="Q1195">
        <v>7.0973449999999997E-3</v>
      </c>
      <c r="R1195">
        <v>8.3942169999999997E-2</v>
      </c>
      <c r="S1195">
        <v>3.0064700000000002</v>
      </c>
      <c r="T1195">
        <v>-0.23221829999999999</v>
      </c>
      <c r="U1195">
        <v>7.0068359999999996E-2</v>
      </c>
      <c r="V1195">
        <v>-5.0038989999999998E-2</v>
      </c>
      <c r="W1195">
        <v>1.873271E-2</v>
      </c>
      <c r="X1195">
        <v>0.9985716</v>
      </c>
      <c r="Y1195">
        <v>1.054219E-2</v>
      </c>
      <c r="Z1195">
        <v>-3.02540599999999E-3</v>
      </c>
      <c r="AA1195">
        <v>0.99993989999999999</v>
      </c>
      <c r="AB1195">
        <v>28</v>
      </c>
      <c r="AC1195">
        <v>0.53650000000001796</v>
      </c>
      <c r="AD1195">
        <v>-6.0439999999999799E-2</v>
      </c>
      <c r="AE1195">
        <v>9.7999999999842605E-3</v>
      </c>
      <c r="AF1195">
        <v>8.3249178961810593E-3</v>
      </c>
      <c r="AG1195">
        <v>-6.0439999999999799E-2</v>
      </c>
      <c r="AH1195">
        <v>0.52980158707930503</v>
      </c>
      <c r="AI1195">
        <v>96.507395545957905</v>
      </c>
      <c r="AJ1195">
        <v>89.0997697611635</v>
      </c>
      <c r="AK1195">
        <v>0.53330293410943197</v>
      </c>
    </row>
    <row r="1196" spans="1:37" x14ac:dyDescent="0.2">
      <c r="A1196" t="str">
        <f>"20200111155815347"</f>
        <v>20200111155815347</v>
      </c>
      <c r="B1196" t="str">
        <f>"1578729495342938"</f>
        <v>1578729495342938</v>
      </c>
      <c r="C1196" t="s">
        <v>37</v>
      </c>
      <c r="D1196">
        <v>6.6785199999999998</v>
      </c>
      <c r="E1196">
        <v>0.52728580000000003</v>
      </c>
      <c r="F1196" t="s">
        <v>38</v>
      </c>
      <c r="G1196">
        <v>-232.89019999999999</v>
      </c>
      <c r="H1196">
        <v>1.0429520000000001</v>
      </c>
      <c r="I1196">
        <v>368.78789999999998</v>
      </c>
      <c r="J1196">
        <v>-233.3339</v>
      </c>
      <c r="K1196">
        <v>1.1041909999999999</v>
      </c>
      <c r="L1196">
        <v>368.7817</v>
      </c>
      <c r="M1196">
        <v>0.99935759999999996</v>
      </c>
      <c r="N1196">
        <v>0</v>
      </c>
      <c r="O1196">
        <v>3.380097E-2</v>
      </c>
      <c r="P1196">
        <v>0.99643630000000005</v>
      </c>
      <c r="Q1196">
        <v>7.488705E-3</v>
      </c>
      <c r="R1196">
        <v>8.4017510000000004E-2</v>
      </c>
      <c r="S1196">
        <v>3.0066380000000001</v>
      </c>
      <c r="T1196">
        <v>-0.2333896</v>
      </c>
      <c r="U1196">
        <v>6.7993159999999997E-2</v>
      </c>
      <c r="V1196">
        <v>-5.0280690000000003E-2</v>
      </c>
      <c r="W1196">
        <v>1.9413980000000001E-2</v>
      </c>
      <c r="X1196">
        <v>0.99854639999999995</v>
      </c>
      <c r="Y1196">
        <v>1.106423E-2</v>
      </c>
      <c r="Z1196">
        <v>-3.0478089999999998E-3</v>
      </c>
      <c r="AA1196">
        <v>0.99993410000000005</v>
      </c>
      <c r="AB1196">
        <v>28</v>
      </c>
      <c r="AC1196">
        <v>0.44370000000000598</v>
      </c>
      <c r="AD1196">
        <v>-6.1238999999999801E-2</v>
      </c>
      <c r="AE1196">
        <v>6.1999999999784398E-3</v>
      </c>
      <c r="AF1196">
        <v>8.6375904327074503E-3</v>
      </c>
      <c r="AG1196">
        <v>-6.1238999999999801E-2</v>
      </c>
      <c r="AH1196">
        <v>0.43536427436522601</v>
      </c>
      <c r="AI1196">
        <v>98.005225702112298</v>
      </c>
      <c r="AJ1196">
        <v>88.863405687592603</v>
      </c>
      <c r="AK1196">
        <v>0.439735004841601</v>
      </c>
    </row>
    <row r="1197" spans="1:37" x14ac:dyDescent="0.2">
      <c r="A1197" t="str">
        <f>"20200111155815360"</f>
        <v>20200111155815360</v>
      </c>
      <c r="B1197" t="str">
        <f>"1578729495352697"</f>
        <v>1578729495352697</v>
      </c>
      <c r="C1197" t="s">
        <v>37</v>
      </c>
      <c r="D1197">
        <v>5.4967800000000002</v>
      </c>
      <c r="E1197">
        <v>0.52728580000000003</v>
      </c>
      <c r="F1197" t="s">
        <v>38</v>
      </c>
      <c r="G1197">
        <v>-232.39250000000001</v>
      </c>
      <c r="H1197">
        <v>1.033247</v>
      </c>
      <c r="I1197">
        <v>368.7962</v>
      </c>
      <c r="J1197">
        <v>-233.1669</v>
      </c>
      <c r="K1197">
        <v>1.1042149999999999</v>
      </c>
      <c r="L1197">
        <v>368.78730000000002</v>
      </c>
      <c r="M1197">
        <v>0.99935869999999905</v>
      </c>
      <c r="N1197">
        <v>0</v>
      </c>
      <c r="O1197">
        <v>3.3717230000000001E-2</v>
      </c>
      <c r="P1197">
        <v>0.99645159999999999</v>
      </c>
      <c r="Q1197">
        <v>7.59683199999999E-3</v>
      </c>
      <c r="R1197">
        <v>8.382676E-2</v>
      </c>
      <c r="S1197">
        <v>3.0084689999999998</v>
      </c>
      <c r="T1197">
        <v>-0.22690189999999999</v>
      </c>
      <c r="U1197">
        <v>4.6752929999999998E-2</v>
      </c>
      <c r="V1197">
        <v>-5.0173790000000003E-2</v>
      </c>
      <c r="W1197">
        <v>1.9660460000000001E-2</v>
      </c>
      <c r="X1197">
        <v>0.99854699999999996</v>
      </c>
      <c r="Y1197">
        <v>1.803896E-2</v>
      </c>
      <c r="Z1197">
        <v>-3.21814E-3</v>
      </c>
      <c r="AA1197">
        <v>0.9998321</v>
      </c>
      <c r="AB1197">
        <v>28</v>
      </c>
      <c r="AC1197">
        <v>0.77439999999998499</v>
      </c>
      <c r="AD1197">
        <v>-7.0967999999999906E-2</v>
      </c>
      <c r="AE1197">
        <v>8.8999999999828001E-3</v>
      </c>
      <c r="AF1197">
        <v>1.70742053332902E-2</v>
      </c>
      <c r="AG1197">
        <v>-7.0967999999999906E-2</v>
      </c>
      <c r="AH1197">
        <v>0.76781221586660697</v>
      </c>
      <c r="AI1197">
        <v>95.279481220082602</v>
      </c>
      <c r="AJ1197">
        <v>88.726096463586302</v>
      </c>
      <c r="AK1197">
        <v>0.77127400082315301</v>
      </c>
    </row>
    <row r="1198" spans="1:37" x14ac:dyDescent="0.2">
      <c r="A1198" t="str">
        <f>"20200111155815415"</f>
        <v>20200111155815415</v>
      </c>
      <c r="B1198" t="str">
        <f>"1578729495402474"</f>
        <v>1578729495402474</v>
      </c>
      <c r="C1198" t="s">
        <v>37</v>
      </c>
      <c r="D1198">
        <v>5.4126709999999996</v>
      </c>
      <c r="E1198">
        <v>0.62264299999999995</v>
      </c>
      <c r="F1198" t="s">
        <v>38</v>
      </c>
      <c r="G1198">
        <v>-232.38339999999999</v>
      </c>
      <c r="H1198">
        <v>1.045261</v>
      </c>
      <c r="I1198">
        <v>368.79910000000001</v>
      </c>
      <c r="J1198">
        <v>-232.49010000000001</v>
      </c>
      <c r="K1198">
        <v>1.1042719999999999</v>
      </c>
      <c r="L1198">
        <v>368.8098</v>
      </c>
      <c r="M1198">
        <v>0.99936329999999995</v>
      </c>
      <c r="N1198">
        <v>0</v>
      </c>
      <c r="O1198">
        <v>3.3388599999999997E-2</v>
      </c>
      <c r="P1198">
        <v>0.99662999999999902</v>
      </c>
      <c r="Q1198">
        <v>8.2993340000000002E-3</v>
      </c>
      <c r="R1198">
        <v>8.1609370000000001E-2</v>
      </c>
      <c r="S1198">
        <v>3.008499</v>
      </c>
      <c r="T1198">
        <v>-0.22660069999999999</v>
      </c>
      <c r="U1198">
        <v>4.605103E-2</v>
      </c>
      <c r="V1198">
        <v>-4.8279370000000002E-2</v>
      </c>
      <c r="W1198">
        <v>2.0877099999999999E-2</v>
      </c>
      <c r="X1198">
        <v>0.998615699999999</v>
      </c>
      <c r="Y1198">
        <v>1.7945349999999999E-2</v>
      </c>
      <c r="Z1198">
        <v>-3.1856479999999902E-3</v>
      </c>
      <c r="AA1198">
        <v>0.99983389999999905</v>
      </c>
      <c r="AB1198">
        <v>28</v>
      </c>
      <c r="AC1198">
        <v>0.106700000000017</v>
      </c>
      <c r="AD1198">
        <v>-5.9010999999999897E-2</v>
      </c>
      <c r="AE1198">
        <v>-1.06999999999857E-2</v>
      </c>
      <c r="AF1198">
        <v>1.09430508425645E-2</v>
      </c>
      <c r="AG1198">
        <v>-5.9010999999999897E-2</v>
      </c>
      <c r="AH1198">
        <v>8.15790491878262E-2</v>
      </c>
      <c r="AI1198">
        <v>125.638189310317</v>
      </c>
      <c r="AJ1198">
        <v>82.359924501217094</v>
      </c>
      <c r="AK1198">
        <v>0.101277785072209</v>
      </c>
    </row>
    <row r="1199" spans="1:37" x14ac:dyDescent="0.2">
      <c r="A1199" t="str">
        <f>"20200111155815427"</f>
        <v>20200111155815427</v>
      </c>
      <c r="B1199" t="str">
        <f>"1578729495421993"</f>
        <v>1578729495421993</v>
      </c>
      <c r="C1199" t="s">
        <v>37</v>
      </c>
      <c r="D1199">
        <v>5.5134919999999896</v>
      </c>
      <c r="E1199">
        <v>0.61954379999999998</v>
      </c>
      <c r="F1199" t="s">
        <v>44</v>
      </c>
      <c r="G1199">
        <v>-199.33109999999999</v>
      </c>
      <c r="H1199" s="1">
        <v>-9.9183270000000001E-6</v>
      </c>
      <c r="I1199">
        <v>360.9812</v>
      </c>
      <c r="J1199">
        <v>-232.32859999999999</v>
      </c>
      <c r="K1199">
        <v>1.1042799999999999</v>
      </c>
      <c r="L1199">
        <v>368.815</v>
      </c>
      <c r="M1199">
        <v>0.99936460000000005</v>
      </c>
      <c r="N1199">
        <v>0</v>
      </c>
      <c r="O1199">
        <v>3.3311960000000002E-2</v>
      </c>
      <c r="P1199">
        <v>0.99664909999999995</v>
      </c>
      <c r="Q1199">
        <v>7.6572559999999899E-3</v>
      </c>
      <c r="R1199">
        <v>8.1437739999999995E-2</v>
      </c>
      <c r="S1199">
        <v>3.0703580000000001</v>
      </c>
      <c r="T1199">
        <v>-0.1022508</v>
      </c>
      <c r="U1199">
        <v>-0.72488399999999997</v>
      </c>
      <c r="V1199">
        <v>-4.8183709999999998E-2</v>
      </c>
      <c r="W1199">
        <v>2.0345539999999999E-2</v>
      </c>
      <c r="X1199">
        <v>0.99863119999999905</v>
      </c>
      <c r="Y1199">
        <v>0.2619146</v>
      </c>
      <c r="Z1199">
        <v>-5.3959740000000004E-3</v>
      </c>
      <c r="AA1199">
        <v>0.96507600000000004</v>
      </c>
      <c r="AB1199">
        <v>28</v>
      </c>
      <c r="AC1199">
        <v>32.997500000000002</v>
      </c>
      <c r="AD1199">
        <v>-1.1042899183270001</v>
      </c>
      <c r="AE1199">
        <v>-7.8337999999999903</v>
      </c>
      <c r="AF1199">
        <v>8.9192949820391902</v>
      </c>
      <c r="AG1199">
        <v>-1.1042899183270001</v>
      </c>
      <c r="AH1199">
        <v>32.683551924879801</v>
      </c>
      <c r="AI1199">
        <v>91.866916413672996</v>
      </c>
      <c r="AJ1199">
        <v>74.735745905169594</v>
      </c>
      <c r="AK1199">
        <v>33.896723228457702</v>
      </c>
    </row>
    <row r="1200" spans="1:37" x14ac:dyDescent="0.2">
      <c r="A1200" t="str">
        <f>"20200111155815439"</f>
        <v>20200111155815439</v>
      </c>
      <c r="B1200" t="str">
        <f>"1578729495431754"</f>
        <v>1578729495431754</v>
      </c>
      <c r="C1200" t="s">
        <v>37</v>
      </c>
      <c r="D1200">
        <v>5.4840289999999996</v>
      </c>
      <c r="E1200">
        <v>0.61881129999999995</v>
      </c>
      <c r="F1200" t="s">
        <v>39</v>
      </c>
      <c r="G1200">
        <v>-213.63489999999999</v>
      </c>
      <c r="H1200" s="1">
        <v>-3.6080879999999999E-6</v>
      </c>
      <c r="I1200">
        <v>364.56990000000002</v>
      </c>
      <c r="J1200">
        <v>-232.16890000000001</v>
      </c>
      <c r="K1200">
        <v>1.1042829999999999</v>
      </c>
      <c r="L1200">
        <v>368.82029999999997</v>
      </c>
      <c r="M1200">
        <v>0.99936579999999997</v>
      </c>
      <c r="N1200">
        <v>0</v>
      </c>
      <c r="O1200">
        <v>3.3231839999999999E-2</v>
      </c>
      <c r="P1200">
        <v>0.99664209999999998</v>
      </c>
      <c r="Q1200">
        <v>6.7627950000000003E-3</v>
      </c>
      <c r="R1200">
        <v>8.1600899999999907E-2</v>
      </c>
      <c r="S1200">
        <v>3.0684049999999998</v>
      </c>
      <c r="T1200">
        <v>-0.18125810000000001</v>
      </c>
      <c r="U1200">
        <v>-0.69680790000000004</v>
      </c>
      <c r="V1200">
        <v>-4.8426839999999999E-2</v>
      </c>
      <c r="W1200">
        <v>1.9552719999999999E-2</v>
      </c>
      <c r="X1200">
        <v>0.99863539999999995</v>
      </c>
      <c r="Y1200">
        <v>0.25326399999999999</v>
      </c>
      <c r="Z1200">
        <v>-9.3187099999999991E-3</v>
      </c>
      <c r="AA1200">
        <v>0.96735230000000005</v>
      </c>
      <c r="AB1200">
        <v>28</v>
      </c>
      <c r="AC1200">
        <v>18.533999999999999</v>
      </c>
      <c r="AD1200">
        <v>-1.1042866080879901</v>
      </c>
      <c r="AE1200">
        <v>-4.2503999999999502</v>
      </c>
      <c r="AF1200">
        <v>4.8476720451952202</v>
      </c>
      <c r="AG1200">
        <v>-1.1042866080879901</v>
      </c>
      <c r="AH1200">
        <v>18.320712785709301</v>
      </c>
      <c r="AI1200">
        <v>93.334852528443093</v>
      </c>
      <c r="AJ1200">
        <v>75.179156099898407</v>
      </c>
      <c r="AK1200">
        <v>18.983358242076701</v>
      </c>
    </row>
    <row r="1201" spans="1:37" x14ac:dyDescent="0.2">
      <c r="A1201" t="str">
        <f>"20200111155815454"</f>
        <v>20200111155815454</v>
      </c>
      <c r="B1201" t="str">
        <f>"1578729495452249"</f>
        <v>1578729495452249</v>
      </c>
      <c r="C1201" t="s">
        <v>37</v>
      </c>
      <c r="D1201">
        <v>5.5048620000000001</v>
      </c>
      <c r="E1201">
        <v>0.61816260000000001</v>
      </c>
      <c r="F1201" t="s">
        <v>39</v>
      </c>
      <c r="G1201">
        <v>-215.2638</v>
      </c>
      <c r="H1201" s="1">
        <v>-2.8295900000000001E-6</v>
      </c>
      <c r="I1201">
        <v>365.01929999999999</v>
      </c>
      <c r="J1201">
        <v>-231.99029999999999</v>
      </c>
      <c r="K1201">
        <v>1.1042809999999901</v>
      </c>
      <c r="L1201">
        <v>368.8261</v>
      </c>
      <c r="M1201">
        <v>0.99936769999999997</v>
      </c>
      <c r="N1201">
        <v>0</v>
      </c>
      <c r="O1201">
        <v>3.3132660000000001E-2</v>
      </c>
      <c r="P1201">
        <v>0.9965984</v>
      </c>
      <c r="Q1201">
        <v>5.5924540000000002E-3</v>
      </c>
      <c r="R1201">
        <v>8.2223119999999997E-2</v>
      </c>
      <c r="S1201">
        <v>3.0679470000000002</v>
      </c>
      <c r="T1201">
        <v>-0.20040520000000001</v>
      </c>
      <c r="U1201">
        <v>-0.68978879999999998</v>
      </c>
      <c r="V1201">
        <v>-4.9149730000000003E-2</v>
      </c>
      <c r="W1201">
        <v>1.8490039999999999E-2</v>
      </c>
      <c r="X1201">
        <v>0.99862030000000002</v>
      </c>
      <c r="Y1201">
        <v>0.25099139999999998</v>
      </c>
      <c r="Z1201">
        <v>-1.022557E-2</v>
      </c>
      <c r="AA1201">
        <v>0.96793530000000005</v>
      </c>
      <c r="AB1201">
        <v>28</v>
      </c>
      <c r="AC1201">
        <v>16.726499999999898</v>
      </c>
      <c r="AD1201">
        <v>-1.1042838295899999</v>
      </c>
      <c r="AE1201">
        <v>-3.8068</v>
      </c>
      <c r="AF1201">
        <v>4.3409602247329202</v>
      </c>
      <c r="AG1201">
        <v>-1.1042838295899999</v>
      </c>
      <c r="AH1201">
        <v>16.5227051060496</v>
      </c>
      <c r="AI1201">
        <v>93.698489369136695</v>
      </c>
      <c r="AJ1201">
        <v>75.279530753812296</v>
      </c>
      <c r="AK1201">
        <v>17.119087664664999</v>
      </c>
    </row>
    <row r="1202" spans="1:37" x14ac:dyDescent="0.2">
      <c r="A1202" t="str">
        <f>"20200111155815476"</f>
        <v>20200111155815476</v>
      </c>
      <c r="B1202" t="str">
        <f>"1578729495471770"</f>
        <v>1578729495471770</v>
      </c>
      <c r="C1202" t="s">
        <v>37</v>
      </c>
      <c r="D1202">
        <v>5.4837280000000002</v>
      </c>
      <c r="E1202">
        <v>0.61786929999999995</v>
      </c>
      <c r="F1202" t="s">
        <v>39</v>
      </c>
      <c r="G1202">
        <v>-216.92429999999999</v>
      </c>
      <c r="H1202" s="1">
        <v>-2.13423499999999E-6</v>
      </c>
      <c r="I1202">
        <v>365.47669999999999</v>
      </c>
      <c r="J1202">
        <v>-231.71109999999999</v>
      </c>
      <c r="K1202">
        <v>1.104257</v>
      </c>
      <c r="L1202">
        <v>368.83519999999999</v>
      </c>
      <c r="M1202">
        <v>0.99937189999999998</v>
      </c>
      <c r="N1202">
        <v>0</v>
      </c>
      <c r="O1202">
        <v>3.2948480000000002E-2</v>
      </c>
      <c r="P1202">
        <v>0.99653400000000003</v>
      </c>
      <c r="Q1202">
        <v>5.0287489999999999E-3</v>
      </c>
      <c r="R1202">
        <v>8.3035479999999995E-2</v>
      </c>
      <c r="S1202">
        <v>3.06778</v>
      </c>
      <c r="T1202">
        <v>-0.2248551</v>
      </c>
      <c r="U1202">
        <v>-0.68200680000000002</v>
      </c>
      <c r="V1202">
        <v>-5.0146719999999999E-2</v>
      </c>
      <c r="W1202">
        <v>1.8080510000000001E-2</v>
      </c>
      <c r="X1202">
        <v>0.99857819999999997</v>
      </c>
      <c r="Y1202">
        <v>0.24834249999999999</v>
      </c>
      <c r="Z1202">
        <v>-1.136466E-2</v>
      </c>
      <c r="AA1202">
        <v>0.96860559999999996</v>
      </c>
      <c r="AB1202">
        <v>28</v>
      </c>
      <c r="AC1202">
        <v>14.786799999999999</v>
      </c>
      <c r="AD1202">
        <v>-1.1042591342350001</v>
      </c>
      <c r="AE1202">
        <v>-3.35849999999999</v>
      </c>
      <c r="AF1202">
        <v>3.8236422279619999</v>
      </c>
      <c r="AG1202">
        <v>-1.1042591342350001</v>
      </c>
      <c r="AH1202">
        <v>14.590723912517999</v>
      </c>
      <c r="AI1202">
        <v>94.187162303482907</v>
      </c>
      <c r="AJ1202">
        <v>75.315294222137297</v>
      </c>
      <c r="AK1202">
        <v>15.1237843284782</v>
      </c>
    </row>
    <row r="1203" spans="1:37" x14ac:dyDescent="0.2">
      <c r="A1203" t="str">
        <f>"20200111155815490"</f>
        <v>20200111155815490</v>
      </c>
      <c r="B1203" t="str">
        <f>"1578729495482506"</f>
        <v>1578729495482506</v>
      </c>
      <c r="C1203" t="s">
        <v>37</v>
      </c>
      <c r="D1203">
        <v>5.509449</v>
      </c>
      <c r="E1203">
        <v>0.61793120000000001</v>
      </c>
      <c r="F1203" t="s">
        <v>39</v>
      </c>
      <c r="G1203">
        <v>-217.39330000000001</v>
      </c>
      <c r="H1203" s="1">
        <v>-1.921266E-6</v>
      </c>
      <c r="I1203">
        <v>365.6773</v>
      </c>
      <c r="J1203">
        <v>-231.53890000000001</v>
      </c>
      <c r="K1203">
        <v>1.1042369999999999</v>
      </c>
      <c r="L1203">
        <v>368.84070000000003</v>
      </c>
      <c r="M1203">
        <v>0.99937529999999997</v>
      </c>
      <c r="N1203">
        <v>0</v>
      </c>
      <c r="O1203">
        <v>3.2812099999999997E-2</v>
      </c>
      <c r="P1203">
        <v>0.99651299999999898</v>
      </c>
      <c r="Q1203">
        <v>4.3561499999999996E-3</v>
      </c>
      <c r="R1203">
        <v>8.3325109999999994E-2</v>
      </c>
      <c r="S1203">
        <v>3.067993</v>
      </c>
      <c r="T1203">
        <v>-0.23661639999999901</v>
      </c>
      <c r="U1203">
        <v>-0.67666630000000005</v>
      </c>
      <c r="V1203">
        <v>-5.0572449999999998E-2</v>
      </c>
      <c r="W1203">
        <v>1.749504E-2</v>
      </c>
      <c r="X1203">
        <v>0.99856719999999899</v>
      </c>
      <c r="Y1203">
        <v>0.2465165</v>
      </c>
      <c r="Z1203">
        <v>-1.1878959999999999E-2</v>
      </c>
      <c r="AA1203">
        <v>0.96906579999999998</v>
      </c>
      <c r="AB1203">
        <v>28</v>
      </c>
      <c r="AC1203">
        <v>14.1456</v>
      </c>
      <c r="AD1203">
        <v>-1.104238921266</v>
      </c>
      <c r="AE1203">
        <v>-3.1634000000000202</v>
      </c>
      <c r="AF1203">
        <v>3.6049618137987598</v>
      </c>
      <c r="AG1203">
        <v>-1.104238921266</v>
      </c>
      <c r="AH1203">
        <v>13.953197781141601</v>
      </c>
      <c r="AI1203">
        <v>94.381600321738006</v>
      </c>
      <c r="AJ1203">
        <v>75.513781661706503</v>
      </c>
      <c r="AK1203">
        <v>14.4536092929705</v>
      </c>
    </row>
    <row r="1204" spans="1:37" x14ac:dyDescent="0.2">
      <c r="A1204" t="str">
        <f>"20200111155815503"</f>
        <v>20200111155815503</v>
      </c>
      <c r="B1204" t="str">
        <f>"1578729495492266"</f>
        <v>1578729495492266</v>
      </c>
      <c r="C1204" t="s">
        <v>37</v>
      </c>
      <c r="D1204">
        <v>5.4811759999999996</v>
      </c>
      <c r="E1204">
        <v>0.61803680000000005</v>
      </c>
      <c r="F1204" t="s">
        <v>39</v>
      </c>
      <c r="G1204">
        <v>-217.5641</v>
      </c>
      <c r="H1204" s="1">
        <v>-1.84122E-6</v>
      </c>
      <c r="I1204">
        <v>365.75959999999998</v>
      </c>
      <c r="J1204">
        <v>-231.36539999999999</v>
      </c>
      <c r="K1204">
        <v>1.1042130000000001</v>
      </c>
      <c r="L1204">
        <v>368.84629999999999</v>
      </c>
      <c r="M1204">
        <v>0.99937919999999902</v>
      </c>
      <c r="N1204">
        <v>0</v>
      </c>
      <c r="O1204">
        <v>3.2657140000000001E-2</v>
      </c>
      <c r="P1204">
        <v>0.99650149999999904</v>
      </c>
      <c r="Q1204">
        <v>3.7938429999999999E-3</v>
      </c>
      <c r="R1204">
        <v>8.3489540000000001E-2</v>
      </c>
      <c r="S1204">
        <v>3.06813</v>
      </c>
      <c r="T1204">
        <v>-0.24243190000000001</v>
      </c>
      <c r="U1204">
        <v>-0.67645259999999996</v>
      </c>
      <c r="V1204">
        <v>-5.089142E-2</v>
      </c>
      <c r="W1204">
        <v>1.7015889999999999E-2</v>
      </c>
      <c r="X1204">
        <v>0.99855919999999898</v>
      </c>
      <c r="Y1204">
        <v>0.246254799999999</v>
      </c>
      <c r="Z1204">
        <v>-1.214731E-2</v>
      </c>
      <c r="AA1204">
        <v>0.96912900000000002</v>
      </c>
      <c r="AB1204">
        <v>28</v>
      </c>
      <c r="AC1204">
        <v>13.8012999999999</v>
      </c>
      <c r="AD1204">
        <v>-1.1042148412199999</v>
      </c>
      <c r="AE1204">
        <v>-3.0867</v>
      </c>
      <c r="AF1204">
        <v>3.5143788179527902</v>
      </c>
      <c r="AG1204">
        <v>-1.1042148412199999</v>
      </c>
      <c r="AH1204">
        <v>13.610153526612001</v>
      </c>
      <c r="AI1204">
        <v>94.491650212688398</v>
      </c>
      <c r="AJ1204">
        <v>75.521492120528507</v>
      </c>
      <c r="AK1204">
        <v>14.0998733295585</v>
      </c>
    </row>
    <row r="1205" spans="1:37" x14ac:dyDescent="0.2">
      <c r="A1205" t="str">
        <f>"20200111155815516"</f>
        <v>20200111155815516</v>
      </c>
      <c r="B1205" t="str">
        <f>"1578729495511786"</f>
        <v>1578729495511786</v>
      </c>
      <c r="C1205" t="s">
        <v>37</v>
      </c>
      <c r="D1205">
        <v>5.4658439999999997</v>
      </c>
      <c r="E1205">
        <v>0.61829979999999995</v>
      </c>
      <c r="F1205" t="s">
        <v>39</v>
      </c>
      <c r="G1205">
        <v>-217.6696</v>
      </c>
      <c r="H1205" s="1">
        <v>-1.7873849999999901E-6</v>
      </c>
      <c r="I1205">
        <v>365.82709999999997</v>
      </c>
      <c r="J1205">
        <v>-231.20949999999999</v>
      </c>
      <c r="K1205">
        <v>1.1041840000000001</v>
      </c>
      <c r="L1205">
        <v>368.85129999999998</v>
      </c>
      <c r="M1205">
        <v>0.99938400000000005</v>
      </c>
      <c r="N1205">
        <v>0</v>
      </c>
      <c r="O1205">
        <v>3.2486969999999997E-2</v>
      </c>
      <c r="P1205">
        <v>0.99648340000000002</v>
      </c>
      <c r="Q1205">
        <v>2.5901909999999999E-3</v>
      </c>
      <c r="R1205">
        <v>8.3751160000000005E-2</v>
      </c>
      <c r="S1205">
        <v>3.0681150000000001</v>
      </c>
      <c r="T1205">
        <v>-0.24736259999999999</v>
      </c>
      <c r="U1205">
        <v>-0.67636109999999905</v>
      </c>
      <c r="V1205">
        <v>-5.1323290000000001E-2</v>
      </c>
      <c r="W1205">
        <v>1.588022E-2</v>
      </c>
      <c r="X1205">
        <v>0.99855579999999999</v>
      </c>
      <c r="Y1205">
        <v>0.24603040000000001</v>
      </c>
      <c r="Z1205">
        <v>-1.237123E-2</v>
      </c>
      <c r="AA1205">
        <v>0.96918309999999996</v>
      </c>
      <c r="AB1205">
        <v>28</v>
      </c>
      <c r="AC1205">
        <v>13.5398999999999</v>
      </c>
      <c r="AD1205">
        <v>-1.1041857873850001</v>
      </c>
      <c r="AE1205">
        <v>-3.0242</v>
      </c>
      <c r="AF1205">
        <v>3.4407173666266302</v>
      </c>
      <c r="AG1205">
        <v>-1.1041857873850001</v>
      </c>
      <c r="AH1205">
        <v>13.3499312535609</v>
      </c>
      <c r="AI1205">
        <v>94.579248838563103</v>
      </c>
      <c r="AJ1205">
        <v>75.547517678439505</v>
      </c>
      <c r="AK1205">
        <v>13.8303444181579</v>
      </c>
    </row>
    <row r="1206" spans="1:37" x14ac:dyDescent="0.2">
      <c r="A1206" t="str">
        <f>"20200111155815533"</f>
        <v>20200111155815533</v>
      </c>
      <c r="B1206" t="str">
        <f>"1578729495522522"</f>
        <v>1578729495522522</v>
      </c>
      <c r="C1206" t="s">
        <v>37</v>
      </c>
      <c r="D1206">
        <v>5.4482999999999997</v>
      </c>
      <c r="E1206">
        <v>0.61852769999999901</v>
      </c>
      <c r="F1206" t="s">
        <v>39</v>
      </c>
      <c r="G1206">
        <v>-217.94030000000001</v>
      </c>
      <c r="H1206" s="1">
        <v>-1.670563E-6</v>
      </c>
      <c r="I1206">
        <v>365.91989999999998</v>
      </c>
      <c r="J1206">
        <v>-231.00489999999999</v>
      </c>
      <c r="K1206">
        <v>1.1041259999999999</v>
      </c>
      <c r="L1206">
        <v>368.85770000000002</v>
      </c>
      <c r="M1206">
        <v>0.99939129999999998</v>
      </c>
      <c r="N1206">
        <v>0</v>
      </c>
      <c r="O1206">
        <v>3.2231349999999999E-2</v>
      </c>
      <c r="P1206">
        <v>0.99652419999999997</v>
      </c>
      <c r="Q1206">
        <v>-5.5535510000000003E-4</v>
      </c>
      <c r="R1206">
        <v>8.3304900000000001E-2</v>
      </c>
      <c r="S1206">
        <v>3.0682369999999999</v>
      </c>
      <c r="T1206">
        <v>-0.25531979999999999</v>
      </c>
      <c r="U1206">
        <v>-0.67782589999999998</v>
      </c>
      <c r="V1206">
        <v>-5.1131740000000002E-2</v>
      </c>
      <c r="W1206">
        <v>1.281972E-2</v>
      </c>
      <c r="X1206">
        <v>0.99860969999999905</v>
      </c>
      <c r="Y1206">
        <v>0.24615989999999999</v>
      </c>
      <c r="Z1206">
        <v>-1.275106E-2</v>
      </c>
      <c r="AA1206">
        <v>0.96914539999999905</v>
      </c>
      <c r="AB1206">
        <v>28</v>
      </c>
      <c r="AC1206">
        <v>13.064599999999899</v>
      </c>
      <c r="AD1206">
        <v>-1.1041276705630001</v>
      </c>
      <c r="AE1206">
        <v>-2.9378000000000299</v>
      </c>
      <c r="AF1206">
        <v>3.3347288753617801</v>
      </c>
      <c r="AG1206">
        <v>-1.1041276705630001</v>
      </c>
      <c r="AH1206">
        <v>12.8755765192449</v>
      </c>
      <c r="AI1206">
        <v>94.745503000892796</v>
      </c>
      <c r="AJ1206">
        <v>75.479654201279402</v>
      </c>
      <c r="AK1206">
        <v>13.346159945392801</v>
      </c>
    </row>
    <row r="1207" spans="1:37" x14ac:dyDescent="0.2">
      <c r="A1207" t="str">
        <f>"20200111155815549"</f>
        <v>20200111155815549</v>
      </c>
      <c r="B1207" t="str">
        <f>"1578729495542042"</f>
        <v>1578729495542042</v>
      </c>
      <c r="C1207" t="s">
        <v>37</v>
      </c>
      <c r="D1207">
        <v>5.464931</v>
      </c>
      <c r="E1207">
        <v>0.61887440000000005</v>
      </c>
      <c r="F1207" t="s">
        <v>39</v>
      </c>
      <c r="G1207">
        <v>-218.21469999999999</v>
      </c>
      <c r="H1207" s="1">
        <v>-1.5516610000000001E-6</v>
      </c>
      <c r="I1207">
        <v>366.01580000000001</v>
      </c>
      <c r="J1207">
        <v>-230.80969999999999</v>
      </c>
      <c r="K1207">
        <v>1.104077</v>
      </c>
      <c r="L1207">
        <v>368.86369999999999</v>
      </c>
      <c r="M1207">
        <v>0.9993995</v>
      </c>
      <c r="N1207">
        <v>0</v>
      </c>
      <c r="O1207">
        <v>3.1943819999999998E-2</v>
      </c>
      <c r="P1207">
        <v>0.99658210000000003</v>
      </c>
      <c r="Q1207">
        <v>-2.144033E-3</v>
      </c>
      <c r="R1207">
        <v>8.2583219999999999E-2</v>
      </c>
      <c r="S1207">
        <v>3.067291</v>
      </c>
      <c r="T1207">
        <v>-0.26478489999999999</v>
      </c>
      <c r="U1207">
        <v>-0.68151859999999997</v>
      </c>
      <c r="V1207">
        <v>-5.0695539999999997E-2</v>
      </c>
      <c r="W1207">
        <v>1.1305870000000001E-2</v>
      </c>
      <c r="X1207">
        <v>0.99865009999999999</v>
      </c>
      <c r="Y1207">
        <v>0.2469847</v>
      </c>
      <c r="Z1207">
        <v>-1.323498E-2</v>
      </c>
      <c r="AA1207">
        <v>0.96892900000000004</v>
      </c>
      <c r="AB1207">
        <v>28</v>
      </c>
      <c r="AC1207">
        <v>12.595000000000001</v>
      </c>
      <c r="AD1207">
        <v>-1.1040785516609899</v>
      </c>
      <c r="AE1207">
        <v>-2.8478999999999801</v>
      </c>
      <c r="AF1207">
        <v>3.22523687308087</v>
      </c>
      <c r="AG1207">
        <v>-1.1040785516609899</v>
      </c>
      <c r="AH1207">
        <v>12.406889365907601</v>
      </c>
      <c r="AI1207">
        <v>94.922545496197003</v>
      </c>
      <c r="AJ1207">
        <v>75.428181803069293</v>
      </c>
      <c r="AK1207">
        <v>12.866702999354199</v>
      </c>
    </row>
    <row r="1208" spans="1:37" x14ac:dyDescent="0.2">
      <c r="A1208" t="str">
        <f>"20200111155815564"</f>
        <v>20200111155815564</v>
      </c>
      <c r="B1208" t="str">
        <f>"1578729495552312"</f>
        <v>1578729495552312</v>
      </c>
      <c r="C1208" t="s">
        <v>37</v>
      </c>
      <c r="D1208">
        <v>5.4586680000000003</v>
      </c>
      <c r="E1208">
        <v>0.61903469999999905</v>
      </c>
      <c r="F1208" t="s">
        <v>39</v>
      </c>
      <c r="G1208">
        <v>-218.3152</v>
      </c>
      <c r="H1208" s="1">
        <v>-1.5040009999999999E-6</v>
      </c>
      <c r="I1208">
        <v>366.06639999999999</v>
      </c>
      <c r="J1208">
        <v>-230.61770000000001</v>
      </c>
      <c r="K1208">
        <v>1.104023</v>
      </c>
      <c r="L1208">
        <v>368.86950000000002</v>
      </c>
      <c r="M1208">
        <v>0.99940910000000005</v>
      </c>
      <c r="N1208">
        <v>0</v>
      </c>
      <c r="O1208">
        <v>3.1615919999999999E-2</v>
      </c>
      <c r="P1208">
        <v>0.99666460000000001</v>
      </c>
      <c r="Q1208">
        <v>-3.8050800000000002E-3</v>
      </c>
      <c r="R1208">
        <v>8.1520239999999994E-2</v>
      </c>
      <c r="S1208">
        <v>3.0665740000000001</v>
      </c>
      <c r="T1208">
        <v>-0.27097719999999997</v>
      </c>
      <c r="U1208">
        <v>-0.686554</v>
      </c>
      <c r="V1208">
        <v>-4.9958259999999997E-2</v>
      </c>
      <c r="W1208">
        <v>9.7128449999999995E-3</v>
      </c>
      <c r="X1208">
        <v>0.99870409999999898</v>
      </c>
      <c r="Y1208">
        <v>0.24818019999999999</v>
      </c>
      <c r="Z1208">
        <v>-1.3567539999999999E-2</v>
      </c>
      <c r="AA1208">
        <v>0.96861889999999995</v>
      </c>
      <c r="AB1208">
        <v>28</v>
      </c>
      <c r="AC1208">
        <v>12.3025</v>
      </c>
      <c r="AD1208">
        <v>-1.1040245040009999</v>
      </c>
      <c r="AE1208">
        <v>-2.8031000000000201</v>
      </c>
      <c r="AF1208">
        <v>3.1664470243813598</v>
      </c>
      <c r="AG1208">
        <v>-1.1040245040009999</v>
      </c>
      <c r="AH1208">
        <v>12.1149684313515</v>
      </c>
      <c r="AI1208">
        <v>95.038582356037395</v>
      </c>
      <c r="AJ1208">
        <v>75.352470578795405</v>
      </c>
      <c r="AK1208">
        <v>12.570509812903</v>
      </c>
    </row>
    <row r="1209" spans="1:37" x14ac:dyDescent="0.2">
      <c r="A1209" t="str">
        <f>"20200111155815578"</f>
        <v>20200111155815578</v>
      </c>
      <c r="B1209" t="str">
        <f>"1578729495571831"</f>
        <v>1578729495571831</v>
      </c>
      <c r="C1209" t="s">
        <v>37</v>
      </c>
      <c r="D1209">
        <v>5.4807959999999998</v>
      </c>
      <c r="E1209">
        <v>0.61931930000000002</v>
      </c>
      <c r="F1209" t="s">
        <v>39</v>
      </c>
      <c r="G1209">
        <v>-218.3459</v>
      </c>
      <c r="H1209" s="1">
        <v>-1.484172E-6</v>
      </c>
      <c r="I1209">
        <v>366.10169999999999</v>
      </c>
      <c r="J1209">
        <v>-230.4418</v>
      </c>
      <c r="K1209">
        <v>1.10398</v>
      </c>
      <c r="L1209">
        <v>368.87470000000002</v>
      </c>
      <c r="M1209">
        <v>0.99941950000000002</v>
      </c>
      <c r="N1209">
        <v>0</v>
      </c>
      <c r="O1209">
        <v>3.1265550000000003E-2</v>
      </c>
      <c r="P1209">
        <v>0.99684110000000004</v>
      </c>
      <c r="Q1209">
        <v>-6.0787829999999999E-3</v>
      </c>
      <c r="R1209">
        <v>7.9191479999999995E-2</v>
      </c>
      <c r="S1209">
        <v>3.0655359999999998</v>
      </c>
      <c r="T1209">
        <v>-0.275787</v>
      </c>
      <c r="U1209">
        <v>-0.69140630000000003</v>
      </c>
      <c r="V1209">
        <v>-4.7975629999999998E-2</v>
      </c>
      <c r="W1209">
        <v>7.4946819999999999E-3</v>
      </c>
      <c r="X1209">
        <v>0.99882039999999905</v>
      </c>
      <c r="Y1209">
        <v>0.24932939999999901</v>
      </c>
      <c r="Z1209">
        <v>-1.382949E-2</v>
      </c>
      <c r="AA1209">
        <v>0.96831999999999996</v>
      </c>
      <c r="AB1209">
        <v>28</v>
      </c>
      <c r="AC1209">
        <v>12.0959</v>
      </c>
      <c r="AD1209">
        <v>-1.1039814841719999</v>
      </c>
      <c r="AE1209">
        <v>-2.7730000000000201</v>
      </c>
      <c r="AF1209">
        <v>3.12513104498706</v>
      </c>
      <c r="AG1209">
        <v>-1.1039814841719999</v>
      </c>
      <c r="AH1209">
        <v>11.9090287483053</v>
      </c>
      <c r="AI1209">
        <v>95.1237422070229</v>
      </c>
      <c r="AJ1209">
        <v>75.296147662599196</v>
      </c>
      <c r="AK1209">
        <v>12.361641674700699</v>
      </c>
    </row>
    <row r="1210" spans="1:37" x14ac:dyDescent="0.2">
      <c r="A1210" t="str">
        <f>"20200111155815599"</f>
        <v>20200111155815599</v>
      </c>
      <c r="B1210" t="str">
        <f>"1578729495592326"</f>
        <v>1578729495592326</v>
      </c>
      <c r="C1210" t="s">
        <v>37</v>
      </c>
      <c r="D1210">
        <v>5.4769489999999896</v>
      </c>
      <c r="E1210">
        <v>0.61983540000000004</v>
      </c>
      <c r="F1210" t="s">
        <v>39</v>
      </c>
      <c r="G1210">
        <v>-218.46719999999999</v>
      </c>
      <c r="H1210" s="1">
        <v>-1.4342120000000001E-6</v>
      </c>
      <c r="I1210">
        <v>366.1343</v>
      </c>
      <c r="J1210">
        <v>-230.17689999999999</v>
      </c>
      <c r="K1210">
        <v>1.103918</v>
      </c>
      <c r="L1210">
        <v>368.88240000000002</v>
      </c>
      <c r="M1210">
        <v>0.99943729999999997</v>
      </c>
      <c r="N1210">
        <v>0</v>
      </c>
      <c r="O1210">
        <v>3.0655310000000002E-2</v>
      </c>
      <c r="P1210">
        <v>0.9971082</v>
      </c>
      <c r="Q1210">
        <v>-5.84218699999999E-3</v>
      </c>
      <c r="R1210">
        <v>7.5769989999999995E-2</v>
      </c>
      <c r="S1210">
        <v>3.0634769999999998</v>
      </c>
      <c r="T1210">
        <v>-0.28243040000000003</v>
      </c>
      <c r="U1210">
        <v>-0.70108029999999999</v>
      </c>
      <c r="V1210">
        <v>-4.515578E-2</v>
      </c>
      <c r="W1210">
        <v>7.8079539999999998E-3</v>
      </c>
      <c r="X1210">
        <v>0.99894950000000005</v>
      </c>
      <c r="Y1210">
        <v>0.25172470000000002</v>
      </c>
      <c r="Z1210">
        <v>-1.4218980000000001E-2</v>
      </c>
      <c r="AA1210">
        <v>0.96769450000000001</v>
      </c>
      <c r="AB1210">
        <v>28</v>
      </c>
      <c r="AC1210">
        <v>11.7096999999999</v>
      </c>
      <c r="AD1210">
        <v>-1.103919434212</v>
      </c>
      <c r="AE1210">
        <v>-2.74810000000002</v>
      </c>
      <c r="AF1210">
        <v>3.0798623510143002</v>
      </c>
      <c r="AG1210">
        <v>-1.103919434212</v>
      </c>
      <c r="AH1210">
        <v>11.5228795501209</v>
      </c>
      <c r="AI1210">
        <v>95.287855693263793</v>
      </c>
      <c r="AJ1210">
        <v>75.035653674176501</v>
      </c>
      <c r="AK1210">
        <v>11.9783531148911</v>
      </c>
    </row>
    <row r="1211" spans="1:37" x14ac:dyDescent="0.2">
      <c r="A1211" t="str">
        <f>"20200111155815621"</f>
        <v>20200111155815621</v>
      </c>
      <c r="B1211" t="str">
        <f>"1578729495611845"</f>
        <v>1578729495611845</v>
      </c>
      <c r="C1211" t="s">
        <v>37</v>
      </c>
      <c r="D1211">
        <v>5.4250369999999997</v>
      </c>
      <c r="E1211">
        <v>0.62030819999999998</v>
      </c>
      <c r="F1211" t="s">
        <v>39</v>
      </c>
      <c r="G1211">
        <v>-218.2559</v>
      </c>
      <c r="H1211" s="1">
        <v>-1.5161369999999999E-6</v>
      </c>
      <c r="I1211">
        <v>366.09660000000002</v>
      </c>
      <c r="J1211">
        <v>-229.90110000000001</v>
      </c>
      <c r="K1211">
        <v>1.1038429999999999</v>
      </c>
      <c r="L1211">
        <v>368.89010000000002</v>
      </c>
      <c r="M1211">
        <v>0.99946000000000002</v>
      </c>
      <c r="N1211">
        <v>0</v>
      </c>
      <c r="O1211">
        <v>2.9881189999999998E-2</v>
      </c>
      <c r="P1211">
        <v>0.99741019999999903</v>
      </c>
      <c r="Q1211">
        <v>-3.7059109999999901E-3</v>
      </c>
      <c r="R1211">
        <v>7.1830309999999994E-2</v>
      </c>
      <c r="S1211">
        <v>3.0614169999999898</v>
      </c>
      <c r="T1211">
        <v>-0.2834952</v>
      </c>
      <c r="U1211">
        <v>-0.71542359999999905</v>
      </c>
      <c r="V1211">
        <v>-4.1978519999999998E-2</v>
      </c>
      <c r="W1211">
        <v>1.0015140000000001E-2</v>
      </c>
      <c r="X1211">
        <v>0.99906830000000002</v>
      </c>
      <c r="Y1211">
        <v>0.25539810000000002</v>
      </c>
      <c r="Z1211">
        <v>-1.4371139999999999E-2</v>
      </c>
      <c r="AA1211">
        <v>0.96672919999999996</v>
      </c>
      <c r="AB1211">
        <v>28</v>
      </c>
      <c r="AC1211">
        <v>11.645200000000001</v>
      </c>
      <c r="AD1211">
        <v>-1.1038445161370001</v>
      </c>
      <c r="AE1211">
        <v>-2.7934999999999901</v>
      </c>
      <c r="AF1211">
        <v>3.11380189823439</v>
      </c>
      <c r="AG1211">
        <v>-1.1038445161370001</v>
      </c>
      <c r="AH1211">
        <v>11.4591590674868</v>
      </c>
      <c r="AI1211">
        <v>95.310828141869393</v>
      </c>
      <c r="AJ1211">
        <v>74.798057013235507</v>
      </c>
      <c r="AK1211">
        <v>11.925877808833199</v>
      </c>
    </row>
    <row r="1212" spans="1:37" x14ac:dyDescent="0.2">
      <c r="A1212" t="str">
        <f>"20200111155815636"</f>
        <v>20200111155815636</v>
      </c>
      <c r="B1212" t="str">
        <f>"1578729495632342"</f>
        <v>1578729495632342</v>
      </c>
      <c r="C1212" t="s">
        <v>37</v>
      </c>
      <c r="D1212">
        <v>5.4882749999999998</v>
      </c>
      <c r="E1212">
        <v>0.62067659999999902</v>
      </c>
      <c r="F1212" t="s">
        <v>39</v>
      </c>
      <c r="G1212">
        <v>-217.67509999999999</v>
      </c>
      <c r="H1212" s="1">
        <v>-1.7476439999999999E-6</v>
      </c>
      <c r="I1212">
        <v>365.96940000000001</v>
      </c>
      <c r="J1212">
        <v>-229.72040000000001</v>
      </c>
      <c r="K1212">
        <v>1.103772</v>
      </c>
      <c r="L1212">
        <v>368.89490000000001</v>
      </c>
      <c r="M1212">
        <v>0.99947750000000002</v>
      </c>
      <c r="N1212">
        <v>0</v>
      </c>
      <c r="O1212">
        <v>2.9268479999999999E-2</v>
      </c>
      <c r="P1212">
        <v>0.99757739999999995</v>
      </c>
      <c r="Q1212">
        <v>-2.4214589999999999E-3</v>
      </c>
      <c r="R1212">
        <v>6.9526080000000004E-2</v>
      </c>
      <c r="S1212">
        <v>3.059402</v>
      </c>
      <c r="T1212">
        <v>-0.27622179999999902</v>
      </c>
      <c r="U1212">
        <v>-0.73086549999999995</v>
      </c>
      <c r="V1212">
        <v>-4.0278599999999998E-2</v>
      </c>
      <c r="W1212">
        <v>1.1342110000000001E-2</v>
      </c>
      <c r="X1212">
        <v>0.99912409999999996</v>
      </c>
      <c r="Y1212">
        <v>0.25961039999999902</v>
      </c>
      <c r="Z1212">
        <v>-1.4137520000000001E-2</v>
      </c>
      <c r="AA1212">
        <v>0.96560999999999997</v>
      </c>
      <c r="AB1212">
        <v>28</v>
      </c>
      <c r="AC1212">
        <v>12.045299999999999</v>
      </c>
      <c r="AD1212">
        <v>-1.1037737476439999</v>
      </c>
      <c r="AE1212">
        <v>-2.9254999999999902</v>
      </c>
      <c r="AF1212">
        <v>3.25104874412165</v>
      </c>
      <c r="AG1212">
        <v>-1.1037737476439999</v>
      </c>
      <c r="AH1212">
        <v>11.860460748175599</v>
      </c>
      <c r="AI1212">
        <v>95.128702078832603</v>
      </c>
      <c r="AJ1212">
        <v>74.671267074773993</v>
      </c>
      <c r="AK1212">
        <v>12.3473950119714</v>
      </c>
    </row>
    <row r="1213" spans="1:37" x14ac:dyDescent="0.2">
      <c r="A1213" t="str">
        <f>"20200111155815649"</f>
        <v>20200111155815649</v>
      </c>
      <c r="B1213" t="str">
        <f>"1578729495642103"</f>
        <v>1578729495642103</v>
      </c>
      <c r="C1213" t="s">
        <v>37</v>
      </c>
      <c r="D1213">
        <v>5.4726699999999999</v>
      </c>
      <c r="E1213">
        <v>0.62081709999999901</v>
      </c>
      <c r="F1213" t="s">
        <v>39</v>
      </c>
      <c r="G1213">
        <v>-217.25470000000001</v>
      </c>
      <c r="H1213" s="1">
        <v>-1.91614399999999E-6</v>
      </c>
      <c r="I1213">
        <v>365.87380000000002</v>
      </c>
      <c r="J1213">
        <v>-229.56290000000001</v>
      </c>
      <c r="K1213">
        <v>1.1036999999999999</v>
      </c>
      <c r="L1213">
        <v>368.899</v>
      </c>
      <c r="M1213">
        <v>0.99949440000000001</v>
      </c>
      <c r="N1213">
        <v>0</v>
      </c>
      <c r="O1213">
        <v>2.867511E-2</v>
      </c>
      <c r="P1213">
        <v>0.99772959999999999</v>
      </c>
      <c r="Q1213">
        <v>-9.5687249999999995E-4</v>
      </c>
      <c r="R1213">
        <v>6.7344169999999995E-2</v>
      </c>
      <c r="S1213">
        <v>3.0582889999999998</v>
      </c>
      <c r="T1213">
        <v>-0.27079320000000001</v>
      </c>
      <c r="U1213">
        <v>-0.74118039999999996</v>
      </c>
      <c r="V1213">
        <v>-3.8681359999999998E-2</v>
      </c>
      <c r="W1213">
        <v>1.2842599999999999E-2</v>
      </c>
      <c r="X1213">
        <v>0.99916909999999903</v>
      </c>
      <c r="Y1213">
        <v>0.26223029999999897</v>
      </c>
      <c r="Z1213">
        <v>-1.392264E-2</v>
      </c>
      <c r="AA1213">
        <v>0.96490489999999995</v>
      </c>
      <c r="AB1213">
        <v>28</v>
      </c>
      <c r="AC1213">
        <v>12.308199999999999</v>
      </c>
      <c r="AD1213">
        <v>-1.10370191614399</v>
      </c>
      <c r="AE1213">
        <v>-3.0251999999999799</v>
      </c>
      <c r="AF1213">
        <v>3.35151357454254</v>
      </c>
      <c r="AG1213">
        <v>-1.10370191614399</v>
      </c>
      <c r="AH1213">
        <v>12.124442150532699</v>
      </c>
      <c r="AI1213">
        <v>95.014328112759102</v>
      </c>
      <c r="AJ1213">
        <v>74.547806022173006</v>
      </c>
      <c r="AK1213">
        <v>12.6274660411999</v>
      </c>
    </row>
    <row r="1214" spans="1:37" x14ac:dyDescent="0.2">
      <c r="A1214" t="str">
        <f>"20200111155815661"</f>
        <v>20200111155815661</v>
      </c>
      <c r="B1214" t="str">
        <f>"1578729495652370"</f>
        <v>1578729495652370</v>
      </c>
      <c r="C1214" t="s">
        <v>37</v>
      </c>
      <c r="D1214">
        <v>5.4820869999999999</v>
      </c>
      <c r="E1214">
        <v>0.62096180000000001</v>
      </c>
      <c r="F1214" t="s">
        <v>39</v>
      </c>
      <c r="G1214">
        <v>-216.83599999999899</v>
      </c>
      <c r="H1214" s="1">
        <v>-2.0841219999999998E-6</v>
      </c>
      <c r="I1214">
        <v>365.77789999999999</v>
      </c>
      <c r="J1214">
        <v>-229.4059</v>
      </c>
      <c r="K1214">
        <v>1.1036159999999999</v>
      </c>
      <c r="L1214">
        <v>368.90280000000001</v>
      </c>
      <c r="M1214">
        <v>0.99951319999999999</v>
      </c>
      <c r="N1214">
        <v>0</v>
      </c>
      <c r="O1214">
        <v>2.799712E-2</v>
      </c>
      <c r="P1214">
        <v>0.99789859999999897</v>
      </c>
      <c r="Q1214">
        <v>2.9604700000000002E-4</v>
      </c>
      <c r="R1214">
        <v>6.4795679999999994E-2</v>
      </c>
      <c r="S1214">
        <v>3.057159</v>
      </c>
      <c r="T1214">
        <v>-0.265123</v>
      </c>
      <c r="U1214">
        <v>-0.74972530000000004</v>
      </c>
      <c r="V1214">
        <v>-3.680158E-2</v>
      </c>
      <c r="W1214">
        <v>1.412852E-2</v>
      </c>
      <c r="X1214">
        <v>0.99922269999999902</v>
      </c>
      <c r="Y1214">
        <v>0.26424239999999999</v>
      </c>
      <c r="Z1214">
        <v>-1.3660530000000001E-2</v>
      </c>
      <c r="AA1214">
        <v>0.96435949999999904</v>
      </c>
      <c r="AB1214">
        <v>28</v>
      </c>
      <c r="AC1214">
        <v>12.569900000000001</v>
      </c>
      <c r="AD1214">
        <v>-1.103618084122</v>
      </c>
      <c r="AE1214">
        <v>-3.1249000000000202</v>
      </c>
      <c r="AF1214">
        <v>3.4505783495976301</v>
      </c>
      <c r="AG1214">
        <v>-1.103618084122</v>
      </c>
      <c r="AH1214">
        <v>12.3875430131987</v>
      </c>
      <c r="AI1214">
        <v>94.905308302278598</v>
      </c>
      <c r="AJ1214">
        <v>74.434700305425096</v>
      </c>
      <c r="AK1214">
        <v>12.906420329671599</v>
      </c>
    </row>
    <row r="1215" spans="1:37" x14ac:dyDescent="0.2">
      <c r="A1215" t="str">
        <f>"20200111155815673"</f>
        <v>20200111155815673</v>
      </c>
      <c r="B1215" t="str">
        <f>"1578729495662133"</f>
        <v>1578729495662133</v>
      </c>
      <c r="C1215" t="s">
        <v>37</v>
      </c>
      <c r="D1215">
        <v>5.5200909999999999</v>
      </c>
      <c r="E1215">
        <v>0.62101629999999997</v>
      </c>
      <c r="F1215" t="s">
        <v>39</v>
      </c>
      <c r="G1215">
        <v>-216.4648</v>
      </c>
      <c r="H1215" s="1">
        <v>-2.2335120000000002E-6</v>
      </c>
      <c r="I1215">
        <v>365.69119999999998</v>
      </c>
      <c r="J1215">
        <v>-229.25309999999999</v>
      </c>
      <c r="K1215">
        <v>1.1035159999999999</v>
      </c>
      <c r="L1215">
        <v>368.90640000000002</v>
      </c>
      <c r="M1215">
        <v>0.99953359999999902</v>
      </c>
      <c r="N1215">
        <v>0</v>
      </c>
      <c r="O1215">
        <v>2.7243400000000001E-2</v>
      </c>
      <c r="P1215">
        <v>0.99805069999999996</v>
      </c>
      <c r="Q1215">
        <v>8.9222189999999999E-4</v>
      </c>
      <c r="R1215">
        <v>6.2401560000000002E-2</v>
      </c>
      <c r="S1215">
        <v>3.0556489999999998</v>
      </c>
      <c r="T1215">
        <v>-0.26058559999999997</v>
      </c>
      <c r="U1215">
        <v>-0.75833130000000004</v>
      </c>
      <c r="V1215">
        <v>-3.5152639999999999E-2</v>
      </c>
      <c r="W1215">
        <v>1.4756450000000001E-2</v>
      </c>
      <c r="X1215">
        <v>0.99927299999999997</v>
      </c>
      <c r="Y1215">
        <v>0.26621609999999901</v>
      </c>
      <c r="Z1215">
        <v>-1.3449020000000001E-2</v>
      </c>
      <c r="AA1215">
        <v>0.9638196</v>
      </c>
      <c r="AB1215">
        <v>28</v>
      </c>
      <c r="AC1215">
        <v>12.7882999999999</v>
      </c>
      <c r="AD1215">
        <v>-1.103518233512</v>
      </c>
      <c r="AE1215">
        <v>-3.21520000000003</v>
      </c>
      <c r="AF1215">
        <v>3.5376603828150501</v>
      </c>
      <c r="AG1215">
        <v>-1.103518233512</v>
      </c>
      <c r="AH1215">
        <v>12.607653653464499</v>
      </c>
      <c r="AI1215">
        <v>94.8171002224082</v>
      </c>
      <c r="AJ1215">
        <v>74.326079277527199</v>
      </c>
      <c r="AK1215">
        <v>13.1409940309532</v>
      </c>
    </row>
    <row r="1216" spans="1:37" x14ac:dyDescent="0.2">
      <c r="A1216" t="str">
        <f>"20200111155815692"</f>
        <v>20200111155815692</v>
      </c>
      <c r="B1216" t="str">
        <f>"1578729495682626"</f>
        <v>1578729495682626</v>
      </c>
      <c r="C1216" t="s">
        <v>37</v>
      </c>
      <c r="D1216">
        <v>5.4644830000000004</v>
      </c>
      <c r="E1216">
        <v>0.62107469999999998</v>
      </c>
      <c r="F1216" t="s">
        <v>39</v>
      </c>
      <c r="G1216">
        <v>-216.22120000000001</v>
      </c>
      <c r="H1216" s="1">
        <v>-2.331208E-6</v>
      </c>
      <c r="I1216">
        <v>365.63560000000001</v>
      </c>
      <c r="J1216">
        <v>-229.0231</v>
      </c>
      <c r="K1216">
        <v>1.1033379999999999</v>
      </c>
      <c r="L1216">
        <v>368.91140000000001</v>
      </c>
      <c r="M1216">
        <v>0.9995676</v>
      </c>
      <c r="N1216">
        <v>0</v>
      </c>
      <c r="O1216">
        <v>2.5951689999999999E-2</v>
      </c>
      <c r="P1216">
        <v>0.99832169999999898</v>
      </c>
      <c r="Q1216">
        <v>1.177825E-3</v>
      </c>
      <c r="R1216">
        <v>5.7903639999999999E-2</v>
      </c>
      <c r="S1216">
        <v>3.0540159999999998</v>
      </c>
      <c r="T1216">
        <v>-0.25860899999999998</v>
      </c>
      <c r="U1216">
        <v>-0.76651000000000002</v>
      </c>
      <c r="V1216">
        <v>-3.1933610000000001E-2</v>
      </c>
      <c r="W1216">
        <v>1.508543E-2</v>
      </c>
      <c r="X1216">
        <v>0.99937609999999999</v>
      </c>
      <c r="Y1216">
        <v>0.26753569999999999</v>
      </c>
      <c r="Z1216">
        <v>-1.329728E-2</v>
      </c>
      <c r="AA1216">
        <v>0.96345619999999998</v>
      </c>
      <c r="AB1216">
        <v>28</v>
      </c>
      <c r="AC1216">
        <v>12.8018999999999</v>
      </c>
      <c r="AD1216">
        <v>-1.1033403312079999</v>
      </c>
      <c r="AE1216">
        <v>-3.2757999999999998</v>
      </c>
      <c r="AF1216">
        <v>3.5819873624207399</v>
      </c>
      <c r="AG1216">
        <v>-1.1033403312079999</v>
      </c>
      <c r="AH1216">
        <v>12.624554719556601</v>
      </c>
      <c r="AI1216">
        <v>94.805988152091601</v>
      </c>
      <c r="AJ1216">
        <v>74.159675528342703</v>
      </c>
      <c r="AK1216">
        <v>13.1691827847475</v>
      </c>
    </row>
    <row r="1217" spans="1:37" x14ac:dyDescent="0.2">
      <c r="A1217" t="str">
        <f>"20200111155815707"</f>
        <v>20200111155815707</v>
      </c>
      <c r="B1217" t="str">
        <f>"1578729495702147"</f>
        <v>1578729495702147</v>
      </c>
      <c r="C1217" t="s">
        <v>37</v>
      </c>
      <c r="D1217">
        <v>5.4562540000000004</v>
      </c>
      <c r="E1217">
        <v>0.62112149999999999</v>
      </c>
      <c r="F1217" t="s">
        <v>39</v>
      </c>
      <c r="G1217">
        <v>-215.94710000000001</v>
      </c>
      <c r="H1217" s="1">
        <v>-2.4438400000000001E-6</v>
      </c>
      <c r="I1217">
        <v>365.56299999999999</v>
      </c>
      <c r="J1217">
        <v>-228.84649999999999</v>
      </c>
      <c r="K1217">
        <v>1.1031799999999901</v>
      </c>
      <c r="L1217">
        <v>368.91489999999999</v>
      </c>
      <c r="M1217">
        <v>0.99959609999999999</v>
      </c>
      <c r="N1217">
        <v>0</v>
      </c>
      <c r="O1217">
        <v>2.4820910000000002E-2</v>
      </c>
      <c r="P1217">
        <v>0.99845049999999902</v>
      </c>
      <c r="Q1217">
        <v>8.953772E-4</v>
      </c>
      <c r="R1217">
        <v>5.5644020000000002E-2</v>
      </c>
      <c r="S1217">
        <v>3.050659</v>
      </c>
      <c r="T1217">
        <v>-0.2574092</v>
      </c>
      <c r="U1217">
        <v>-0.78118900000000002</v>
      </c>
      <c r="V1217">
        <v>-3.0797149999999999E-2</v>
      </c>
      <c r="W1217">
        <v>1.48375E-2</v>
      </c>
      <c r="X1217">
        <v>0.99941550000000001</v>
      </c>
      <c r="Y1217">
        <v>0.27105059999999997</v>
      </c>
      <c r="Z1217">
        <v>-1.329405E-2</v>
      </c>
      <c r="AA1217">
        <v>0.96247329999999998</v>
      </c>
      <c r="AB1217">
        <v>28</v>
      </c>
      <c r="AC1217">
        <v>12.899399999999901</v>
      </c>
      <c r="AD1217">
        <v>-1.10318244383999</v>
      </c>
      <c r="AE1217">
        <v>-3.3518999999999401</v>
      </c>
      <c r="AF1217">
        <v>3.6460918317072801</v>
      </c>
      <c r="AG1217">
        <v>-1.10318244383999</v>
      </c>
      <c r="AH1217">
        <v>12.7250356942771</v>
      </c>
      <c r="AI1217">
        <v>94.764035926385503</v>
      </c>
      <c r="AJ1217">
        <v>74.011456368471599</v>
      </c>
      <c r="AK1217">
        <v>13.2829789795161</v>
      </c>
    </row>
    <row r="1218" spans="1:37" x14ac:dyDescent="0.2">
      <c r="A1218" t="str">
        <f>"20200111155815719"</f>
        <v>20200111155815719</v>
      </c>
      <c r="B1218" t="str">
        <f>"1578729495711907"</f>
        <v>1578729495711907</v>
      </c>
      <c r="C1218" t="s">
        <v>37</v>
      </c>
      <c r="D1218">
        <v>5.4867119999999998</v>
      </c>
      <c r="E1218">
        <v>0.6211103</v>
      </c>
      <c r="F1218" t="s">
        <v>39</v>
      </c>
      <c r="G1218">
        <v>-215.77599999999899</v>
      </c>
      <c r="H1218" s="1">
        <v>-2.5187300000000001E-6</v>
      </c>
      <c r="I1218">
        <v>365.53300000000002</v>
      </c>
      <c r="J1218">
        <v>-228.67359999999999</v>
      </c>
      <c r="K1218">
        <v>1.1030169999999999</v>
      </c>
      <c r="L1218">
        <v>368.91789999999997</v>
      </c>
      <c r="M1218">
        <v>0.99962669999999998</v>
      </c>
      <c r="N1218">
        <v>0</v>
      </c>
      <c r="O1218">
        <v>2.3538449999999999E-2</v>
      </c>
      <c r="P1218">
        <v>0.99859209999999998</v>
      </c>
      <c r="Q1218">
        <v>1.6633610000000001E-4</v>
      </c>
      <c r="R1218">
        <v>5.30483E-2</v>
      </c>
      <c r="S1218">
        <v>3.0488590000000002</v>
      </c>
      <c r="T1218">
        <v>-0.25733</v>
      </c>
      <c r="U1218">
        <v>-0.78887940000000001</v>
      </c>
      <c r="V1218">
        <v>-2.947783E-2</v>
      </c>
      <c r="W1218">
        <v>1.4140440000000001E-2</v>
      </c>
      <c r="X1218">
        <v>0.99946539999999995</v>
      </c>
      <c r="Y1218">
        <v>0.27222990000000002</v>
      </c>
      <c r="Z1218">
        <v>-1.323589E-2</v>
      </c>
      <c r="AA1218">
        <v>0.96214120000000003</v>
      </c>
      <c r="AB1218">
        <v>28</v>
      </c>
      <c r="AC1218">
        <v>12.897600000000001</v>
      </c>
      <c r="AD1218">
        <v>-1.10301951872999</v>
      </c>
      <c r="AE1218">
        <v>-3.3848999999999498</v>
      </c>
      <c r="AF1218">
        <v>3.66251955517204</v>
      </c>
      <c r="AG1218">
        <v>-1.10301951872999</v>
      </c>
      <c r="AH1218">
        <v>12.7272553760788</v>
      </c>
      <c r="AI1218">
        <v>94.760948546332799</v>
      </c>
      <c r="AJ1218">
        <v>73.945780243732003</v>
      </c>
      <c r="AK1218">
        <v>13.2896098873761</v>
      </c>
    </row>
    <row r="1219" spans="1:37" x14ac:dyDescent="0.2">
      <c r="A1219" t="str">
        <f>"20200111155815737"</f>
        <v>20200111155815737</v>
      </c>
      <c r="B1219" t="str">
        <f>"1578729495732402"</f>
        <v>1578729495732402</v>
      </c>
      <c r="C1219" t="s">
        <v>37</v>
      </c>
      <c r="D1219">
        <v>5.4572729999999998</v>
      </c>
      <c r="E1219">
        <v>0.62108299999999905</v>
      </c>
      <c r="F1219" t="s">
        <v>39</v>
      </c>
      <c r="G1219">
        <v>-215.6841</v>
      </c>
      <c r="H1219" s="1">
        <v>-2.5604559999999999E-6</v>
      </c>
      <c r="I1219">
        <v>365.52</v>
      </c>
      <c r="J1219">
        <v>-228.47130000000001</v>
      </c>
      <c r="K1219">
        <v>1.1028129999999901</v>
      </c>
      <c r="L1219">
        <v>368.92099999999999</v>
      </c>
      <c r="M1219">
        <v>0.9996642</v>
      </c>
      <c r="N1219">
        <v>0</v>
      </c>
      <c r="O1219">
        <v>2.1869380000000001E-2</v>
      </c>
      <c r="P1219">
        <v>0.99872549999999904</v>
      </c>
      <c r="Q1219">
        <v>-2.4920849999999998E-3</v>
      </c>
      <c r="R1219">
        <v>5.0409790000000003E-2</v>
      </c>
      <c r="S1219">
        <v>3.0466310000000001</v>
      </c>
      <c r="T1219">
        <v>-0.25870739999999998</v>
      </c>
      <c r="U1219">
        <v>-0.79696659999999997</v>
      </c>
      <c r="V1219">
        <v>-2.8509409999999999E-2</v>
      </c>
      <c r="W1219">
        <v>1.1519E-2</v>
      </c>
      <c r="X1219">
        <v>0.99952719999999995</v>
      </c>
      <c r="Y1219">
        <v>0.27317759999999902</v>
      </c>
      <c r="Z1219">
        <v>-1.321171E-2</v>
      </c>
      <c r="AA1219">
        <v>0.96187289999999903</v>
      </c>
      <c r="AB1219">
        <v>28</v>
      </c>
      <c r="AC1219">
        <v>12.7872</v>
      </c>
      <c r="AD1219">
        <v>-1.1028155604559899</v>
      </c>
      <c r="AE1219">
        <v>-3.40100000000001</v>
      </c>
      <c r="AF1219">
        <v>3.6544754996914199</v>
      </c>
      <c r="AG1219">
        <v>-1.1028155604559899</v>
      </c>
      <c r="AH1219">
        <v>12.622075976103099</v>
      </c>
      <c r="AI1219">
        <v>94.797312672734094</v>
      </c>
      <c r="AJ1219">
        <v>73.852659611526306</v>
      </c>
      <c r="AK1219">
        <v>13.186667330480001</v>
      </c>
    </row>
    <row r="1220" spans="1:37" x14ac:dyDescent="0.2">
      <c r="A1220" t="str">
        <f>"20200111155815756"</f>
        <v>20200111155815756</v>
      </c>
      <c r="B1220" t="str">
        <f>"1578729495751923"</f>
        <v>1578729495751923</v>
      </c>
      <c r="C1220" t="s">
        <v>37</v>
      </c>
      <c r="D1220">
        <v>5.5049570000000001</v>
      </c>
      <c r="E1220">
        <v>0.62111430000000001</v>
      </c>
      <c r="F1220" t="s">
        <v>39</v>
      </c>
      <c r="G1220">
        <v>-215.81120000000001</v>
      </c>
      <c r="H1220" s="1">
        <v>-2.4970369999999999E-6</v>
      </c>
      <c r="I1220">
        <v>365.57029999999997</v>
      </c>
      <c r="J1220">
        <v>-228.2285</v>
      </c>
      <c r="K1220">
        <v>1.1025659999999999</v>
      </c>
      <c r="L1220">
        <v>368.9239</v>
      </c>
      <c r="M1220">
        <v>0.9997106</v>
      </c>
      <c r="N1220">
        <v>0</v>
      </c>
      <c r="O1220">
        <v>1.9612379999999999E-2</v>
      </c>
      <c r="P1220">
        <v>0.99887569999999903</v>
      </c>
      <c r="Q1220">
        <v>-5.5065319999999997E-3</v>
      </c>
      <c r="R1220">
        <v>4.7086620000000003E-2</v>
      </c>
      <c r="S1220">
        <v>3.0438230000000002</v>
      </c>
      <c r="T1220">
        <v>-0.26514349999999998</v>
      </c>
      <c r="U1220">
        <v>-0.80557250000000002</v>
      </c>
      <c r="V1220">
        <v>-2.7447369999999999E-2</v>
      </c>
      <c r="W1220">
        <v>8.5465519999999903E-3</v>
      </c>
      <c r="X1220">
        <v>0.99958670000000005</v>
      </c>
      <c r="Y1220">
        <v>0.27372209999999902</v>
      </c>
      <c r="Z1220">
        <v>-1.3376610000000001E-2</v>
      </c>
      <c r="AA1220">
        <v>0.96171580000000001</v>
      </c>
      <c r="AB1220">
        <v>28</v>
      </c>
      <c r="AC1220">
        <v>12.4172999999999</v>
      </c>
      <c r="AD1220">
        <v>-1.102568497037</v>
      </c>
      <c r="AE1220">
        <v>-3.3536000000000201</v>
      </c>
      <c r="AF1220">
        <v>3.5702761622188302</v>
      </c>
      <c r="AG1220">
        <v>-1.102568497037</v>
      </c>
      <c r="AH1220">
        <v>12.259050710208101</v>
      </c>
      <c r="AI1220">
        <v>94.935337693839401</v>
      </c>
      <c r="AJ1220">
        <v>73.762541902634496</v>
      </c>
      <c r="AK1220">
        <v>12.815882859975799</v>
      </c>
    </row>
    <row r="1221" spans="1:37" x14ac:dyDescent="0.2">
      <c r="A1221" t="str">
        <f>"20200111155815771"</f>
        <v>20200111155815771</v>
      </c>
      <c r="B1221" t="str">
        <f>"1578729495762659"</f>
        <v>1578729495762659</v>
      </c>
      <c r="C1221" t="s">
        <v>37</v>
      </c>
      <c r="D1221">
        <v>5.4272390000000001</v>
      </c>
      <c r="E1221">
        <v>0.62112210000000001</v>
      </c>
      <c r="F1221" t="s">
        <v>39</v>
      </c>
      <c r="G1221">
        <v>-215.9829</v>
      </c>
      <c r="H1221" s="1">
        <v>-2.412361E-6</v>
      </c>
      <c r="I1221">
        <v>365.6354</v>
      </c>
      <c r="J1221">
        <v>-228.0401</v>
      </c>
      <c r="K1221">
        <v>1.102384</v>
      </c>
      <c r="L1221">
        <v>368.92570000000001</v>
      </c>
      <c r="M1221">
        <v>0.99974640000000004</v>
      </c>
      <c r="N1221">
        <v>0</v>
      </c>
      <c r="O1221">
        <v>1.7666939999999999E-2</v>
      </c>
      <c r="P1221">
        <v>0.99896849999999904</v>
      </c>
      <c r="Q1221">
        <v>-7.2083869999999897E-3</v>
      </c>
      <c r="R1221">
        <v>4.483256E-2</v>
      </c>
      <c r="S1221">
        <v>3.040359</v>
      </c>
      <c r="T1221">
        <v>-0.27374670000000001</v>
      </c>
      <c r="U1221">
        <v>-0.81646730000000001</v>
      </c>
      <c r="V1221">
        <v>-2.7141709999999999E-2</v>
      </c>
      <c r="W1221">
        <v>6.8771939999999997E-3</v>
      </c>
      <c r="X1221">
        <v>0.99960789999999999</v>
      </c>
      <c r="Y1221">
        <v>0.27527089999999999</v>
      </c>
      <c r="Z1221">
        <v>-1.371433E-2</v>
      </c>
      <c r="AA1221">
        <v>0.96126880000000003</v>
      </c>
      <c r="AB1221">
        <v>28</v>
      </c>
      <c r="AC1221">
        <v>12.0571999999999</v>
      </c>
      <c r="AD1221">
        <v>-1.1023864123610001</v>
      </c>
      <c r="AE1221">
        <v>-3.2902999999999998</v>
      </c>
      <c r="AF1221">
        <v>3.4757793442834899</v>
      </c>
      <c r="AG1221">
        <v>-1.1023864123610001</v>
      </c>
      <c r="AH1221">
        <v>11.904564881672201</v>
      </c>
      <c r="AI1221">
        <v>95.079708154154602</v>
      </c>
      <c r="AJ1221">
        <v>73.723763767494106</v>
      </c>
      <c r="AK1221">
        <v>12.450500506977599</v>
      </c>
    </row>
    <row r="1222" spans="1:37" x14ac:dyDescent="0.2">
      <c r="A1222" t="str">
        <f>"20200111155815789"</f>
        <v>20200111155815789</v>
      </c>
      <c r="B1222" t="str">
        <f>"1578729495782178"</f>
        <v>1578729495782178</v>
      </c>
      <c r="C1222" t="s">
        <v>37</v>
      </c>
      <c r="D1222">
        <v>5.4532769999999999</v>
      </c>
      <c r="E1222">
        <v>0.62103180000000002</v>
      </c>
      <c r="F1222" t="s">
        <v>39</v>
      </c>
      <c r="G1222">
        <v>-216.05969999999999</v>
      </c>
      <c r="H1222" s="1">
        <v>-2.374628E-6</v>
      </c>
      <c r="I1222">
        <v>365.67899999999997</v>
      </c>
      <c r="J1222">
        <v>-227.81720000000001</v>
      </c>
      <c r="K1222">
        <v>1.1021780000000001</v>
      </c>
      <c r="L1222">
        <v>368.9271</v>
      </c>
      <c r="M1222">
        <v>0.99978739999999999</v>
      </c>
      <c r="N1222">
        <v>0</v>
      </c>
      <c r="O1222">
        <v>1.515435E-2</v>
      </c>
      <c r="P1222">
        <v>0.99909099999999995</v>
      </c>
      <c r="Q1222">
        <v>-8.5380159999999903E-3</v>
      </c>
      <c r="R1222">
        <v>4.1763389999999997E-2</v>
      </c>
      <c r="S1222">
        <v>3.0380549999999999</v>
      </c>
      <c r="T1222">
        <v>-0.2795475</v>
      </c>
      <c r="U1222">
        <v>-0.82330319999999901</v>
      </c>
      <c r="V1222">
        <v>-2.6587099999999999E-2</v>
      </c>
      <c r="W1222">
        <v>5.5835590000000001E-3</v>
      </c>
      <c r="X1222">
        <v>0.99963089999999999</v>
      </c>
      <c r="Y1222">
        <v>0.27501729999999902</v>
      </c>
      <c r="Z1222">
        <v>-1.377168E-2</v>
      </c>
      <c r="AA1222">
        <v>0.96134059999999899</v>
      </c>
      <c r="AB1222">
        <v>28</v>
      </c>
      <c r="AC1222">
        <v>11.7575</v>
      </c>
      <c r="AD1222">
        <v>-1.1021803746279999</v>
      </c>
      <c r="AE1222">
        <v>-3.24809999999996</v>
      </c>
      <c r="AF1222">
        <v>3.3981768875113301</v>
      </c>
      <c r="AG1222">
        <v>-1.1021803746279999</v>
      </c>
      <c r="AH1222">
        <v>11.6121137175379</v>
      </c>
      <c r="AI1222">
        <v>95.2050435414898</v>
      </c>
      <c r="AJ1222">
        <v>73.688377021756693</v>
      </c>
      <c r="AK1222">
        <v>12.149221897967999</v>
      </c>
    </row>
    <row r="1223" spans="1:37" x14ac:dyDescent="0.2">
      <c r="A1223" t="str">
        <f>"20200111155815800"</f>
        <v>20200111155815800</v>
      </c>
      <c r="B1223" t="str">
        <f>"1578729495791938"</f>
        <v>1578729495791938</v>
      </c>
      <c r="C1223" t="s">
        <v>37</v>
      </c>
      <c r="D1223">
        <v>5.4741059999999999</v>
      </c>
      <c r="E1223">
        <v>0.62105120000000003</v>
      </c>
      <c r="F1223" t="s">
        <v>39</v>
      </c>
      <c r="G1223">
        <v>-216.1157</v>
      </c>
      <c r="H1223" s="1">
        <v>-2.3441839999999999E-6</v>
      </c>
      <c r="I1223">
        <v>365.72179999999997</v>
      </c>
      <c r="J1223">
        <v>-227.6728</v>
      </c>
      <c r="K1223">
        <v>1.102052</v>
      </c>
      <c r="L1223">
        <v>368.92759999999998</v>
      </c>
      <c r="M1223">
        <v>0.99981219999999904</v>
      </c>
      <c r="N1223">
        <v>0</v>
      </c>
      <c r="O1223">
        <v>1.3413319999999999E-2</v>
      </c>
      <c r="P1223">
        <v>0.99919990000000003</v>
      </c>
      <c r="Q1223">
        <v>-1.0425739999999999E-2</v>
      </c>
      <c r="R1223">
        <v>3.861411E-2</v>
      </c>
      <c r="S1223">
        <v>3.0350489999999999</v>
      </c>
      <c r="T1223">
        <v>-0.28587449999999998</v>
      </c>
      <c r="U1223">
        <v>-0.83135990000000004</v>
      </c>
      <c r="V1223">
        <v>-2.5185909999999999E-2</v>
      </c>
      <c r="W1223">
        <v>3.7115170000000001E-3</v>
      </c>
      <c r="X1223">
        <v>0.99967589999999995</v>
      </c>
      <c r="Y1223">
        <v>0.27590949999999997</v>
      </c>
      <c r="Z1223">
        <v>-1.3971030000000001E-2</v>
      </c>
      <c r="AA1223">
        <v>0.96108209999999905</v>
      </c>
      <c r="AB1223">
        <v>28</v>
      </c>
      <c r="AC1223">
        <v>11.557099999999901</v>
      </c>
      <c r="AD1223">
        <v>-1.1020543441840001</v>
      </c>
      <c r="AE1223">
        <v>-3.2058</v>
      </c>
      <c r="AF1223">
        <v>3.3324090704962601</v>
      </c>
      <c r="AG1223">
        <v>-1.1020543441840001</v>
      </c>
      <c r="AH1223">
        <v>11.4166605247632</v>
      </c>
      <c r="AI1223">
        <v>95.294113899024595</v>
      </c>
      <c r="AJ1223">
        <v>73.728003014855304</v>
      </c>
      <c r="AK1223">
        <v>11.9440199065619</v>
      </c>
    </row>
    <row r="1224" spans="1:37" x14ac:dyDescent="0.2">
      <c r="A1224" t="str">
        <f>"20200111155815817"</f>
        <v>20200111155815817</v>
      </c>
      <c r="B1224" t="str">
        <f>"1578729495812434"</f>
        <v>1578729495812434</v>
      </c>
      <c r="C1224" t="s">
        <v>37</v>
      </c>
      <c r="D1224">
        <v>5.4443679999999999</v>
      </c>
      <c r="E1224">
        <v>0.62105080000000001</v>
      </c>
      <c r="F1224" t="s">
        <v>39</v>
      </c>
      <c r="G1224">
        <v>-216.3176</v>
      </c>
      <c r="H1224" s="1">
        <v>-2.2600169999999998E-6</v>
      </c>
      <c r="I1224">
        <v>365.7799</v>
      </c>
      <c r="J1224">
        <v>-227.4854</v>
      </c>
      <c r="K1224">
        <v>1.101907</v>
      </c>
      <c r="L1224">
        <v>368.92759999999998</v>
      </c>
      <c r="M1224">
        <v>0.99984099999999998</v>
      </c>
      <c r="N1224">
        <v>0</v>
      </c>
      <c r="O1224">
        <v>1.102422E-2</v>
      </c>
      <c r="P1224">
        <v>0.99932659999999995</v>
      </c>
      <c r="Q1224">
        <v>-1.069434E-2</v>
      </c>
      <c r="R1224">
        <v>3.5102349999999997E-2</v>
      </c>
      <c r="S1224">
        <v>3.0318149999999999</v>
      </c>
      <c r="T1224">
        <v>-0.29424539999999999</v>
      </c>
      <c r="U1224">
        <v>-0.84042359999999905</v>
      </c>
      <c r="V1224">
        <v>-2.4061900000000001E-2</v>
      </c>
      <c r="W1224">
        <v>3.4645169999999999E-3</v>
      </c>
      <c r="X1224">
        <v>0.9997045</v>
      </c>
      <c r="Y1224">
        <v>0.27648109999999998</v>
      </c>
      <c r="Z1224">
        <v>-1.4187389999999999E-2</v>
      </c>
      <c r="AA1224">
        <v>0.96091459999999995</v>
      </c>
      <c r="AB1224">
        <v>28</v>
      </c>
      <c r="AC1224">
        <v>11.1678</v>
      </c>
      <c r="AD1224">
        <v>-1.101909260017</v>
      </c>
      <c r="AE1224">
        <v>-3.14769999999998</v>
      </c>
      <c r="AF1224">
        <v>3.2414029394931401</v>
      </c>
      <c r="AG1224">
        <v>-1.101909260017</v>
      </c>
      <c r="AH1224">
        <v>11.032911358142799</v>
      </c>
      <c r="AI1224">
        <v>95.473642642702103</v>
      </c>
      <c r="AJ1224">
        <v>73.627529421295407</v>
      </c>
      <c r="AK1224">
        <v>11.551884264919799</v>
      </c>
    </row>
    <row r="1225" spans="1:37" x14ac:dyDescent="0.2">
      <c r="A1225" t="str">
        <f>"20200111155815830"</f>
        <v>20200111155815830</v>
      </c>
      <c r="B1225" t="str">
        <f>"1578729495822194"</f>
        <v>1578729495822194</v>
      </c>
      <c r="C1225" t="s">
        <v>37</v>
      </c>
      <c r="D1225">
        <v>5.4782900000000003</v>
      </c>
      <c r="E1225">
        <v>0.62109269999999905</v>
      </c>
      <c r="F1225" t="s">
        <v>39</v>
      </c>
      <c r="G1225">
        <v>-216.22099999999901</v>
      </c>
      <c r="H1225" s="1">
        <v>-2.2974330000000001E-6</v>
      </c>
      <c r="I1225">
        <v>365.76280000000003</v>
      </c>
      <c r="J1225">
        <v>-227.321</v>
      </c>
      <c r="K1225">
        <v>1.10179</v>
      </c>
      <c r="L1225">
        <v>368.9273</v>
      </c>
      <c r="M1225">
        <v>0.99986249999999999</v>
      </c>
      <c r="N1225">
        <v>0</v>
      </c>
      <c r="O1225">
        <v>8.8400270000000003E-3</v>
      </c>
      <c r="P1225">
        <v>0.99944080000000002</v>
      </c>
      <c r="Q1225">
        <v>-1.0740619999999999E-2</v>
      </c>
      <c r="R1225">
        <v>3.1666640000000003E-2</v>
      </c>
      <c r="S1225">
        <v>3.02873199999999</v>
      </c>
      <c r="T1225">
        <v>-0.29627429999999999</v>
      </c>
      <c r="U1225">
        <v>-0.85092159999999994</v>
      </c>
      <c r="V1225">
        <v>-2.28077E-2</v>
      </c>
      <c r="W1225">
        <v>3.4330459999999999E-3</v>
      </c>
      <c r="X1225">
        <v>0.99973400000000001</v>
      </c>
      <c r="Y1225">
        <v>0.27770980000000001</v>
      </c>
      <c r="Z1225">
        <v>-1.414178E-2</v>
      </c>
      <c r="AA1225">
        <v>0.96056090000000005</v>
      </c>
      <c r="AB1225">
        <v>27</v>
      </c>
      <c r="AC1225">
        <v>11.1</v>
      </c>
      <c r="AD1225">
        <v>-1.1017922974329999</v>
      </c>
      <c r="AE1225">
        <v>-3.1644999999999701</v>
      </c>
      <c r="AF1225">
        <v>3.2330505191310701</v>
      </c>
      <c r="AG1225">
        <v>-1.1017922974329999</v>
      </c>
      <c r="AH1225">
        <v>10.971615108836</v>
      </c>
      <c r="AI1225">
        <v>95.502151509051899</v>
      </c>
      <c r="AJ1225">
        <v>73.581121477795904</v>
      </c>
      <c r="AK1225">
        <v>11.490992125242</v>
      </c>
    </row>
    <row r="1226" spans="1:37" x14ac:dyDescent="0.2">
      <c r="A1226" t="str">
        <f>"20200111155815841"</f>
        <v>20200111155815841</v>
      </c>
      <c r="B1226" t="str">
        <f>"1578729495831955"</f>
        <v>1578729495831955</v>
      </c>
      <c r="C1226" t="s">
        <v>37</v>
      </c>
      <c r="D1226">
        <v>5.465033</v>
      </c>
      <c r="E1226">
        <v>0.62111910000000004</v>
      </c>
      <c r="F1226" t="s">
        <v>39</v>
      </c>
      <c r="G1226">
        <v>-216.08629999999999</v>
      </c>
      <c r="H1226" s="1">
        <v>-2.3523700000000001E-6</v>
      </c>
      <c r="I1226">
        <v>365.72859999999997</v>
      </c>
      <c r="J1226">
        <v>-227.16650000000001</v>
      </c>
      <c r="K1226">
        <v>1.1016889999999999</v>
      </c>
      <c r="L1226">
        <v>368.92649999999998</v>
      </c>
      <c r="M1226">
        <v>0.99987890000000001</v>
      </c>
      <c r="N1226">
        <v>0</v>
      </c>
      <c r="O1226">
        <v>6.7063919999999898E-3</v>
      </c>
      <c r="P1226">
        <v>0.99954270000000001</v>
      </c>
      <c r="Q1226">
        <v>-1.0831779999999999E-2</v>
      </c>
      <c r="R1226">
        <v>2.8238590000000001E-2</v>
      </c>
      <c r="S1226">
        <v>3.0257869999999998</v>
      </c>
      <c r="T1226">
        <v>-0.29674070000000002</v>
      </c>
      <c r="U1226">
        <v>-0.86148069999999899</v>
      </c>
      <c r="V1226">
        <v>-2.1512460000000001E-2</v>
      </c>
      <c r="W1226">
        <v>3.3529379999999902E-3</v>
      </c>
      <c r="X1226">
        <v>0.99976299999999996</v>
      </c>
      <c r="Y1226">
        <v>0.27900649999999999</v>
      </c>
      <c r="Z1226">
        <v>-1.4027960000000001E-2</v>
      </c>
      <c r="AA1226">
        <v>0.96018680000000001</v>
      </c>
      <c r="AB1226">
        <v>27</v>
      </c>
      <c r="AC1226">
        <v>11.0802</v>
      </c>
      <c r="AD1226">
        <v>-1.1016913523699901</v>
      </c>
      <c r="AE1226">
        <v>-3.1979000000000002</v>
      </c>
      <c r="AF1226">
        <v>3.2425522854872599</v>
      </c>
      <c r="AG1226">
        <v>-1.1016913523699901</v>
      </c>
      <c r="AH1226">
        <v>10.958495915737</v>
      </c>
      <c r="AI1226">
        <v>95.506383019527604</v>
      </c>
      <c r="AJ1226">
        <v>73.516834902447698</v>
      </c>
      <c r="AK1226">
        <v>11.4811367858427</v>
      </c>
    </row>
    <row r="1227" spans="1:37" x14ac:dyDescent="0.2">
      <c r="A1227" t="str">
        <f>"20200111155815857"</f>
        <v>20200111155815857</v>
      </c>
      <c r="B1227" t="str">
        <f>"1578729495852243"</f>
        <v>1578729495852243</v>
      </c>
      <c r="C1227" t="s">
        <v>37</v>
      </c>
      <c r="D1227">
        <v>5.4929889999999997</v>
      </c>
      <c r="E1227">
        <v>0.62112369999999995</v>
      </c>
      <c r="F1227" t="s">
        <v>39</v>
      </c>
      <c r="G1227">
        <v>-215.95830000000001</v>
      </c>
      <c r="H1227" s="1">
        <v>-2.4122750000000001E-6</v>
      </c>
      <c r="I1227">
        <v>365.69229999999999</v>
      </c>
      <c r="J1227">
        <v>-226.994</v>
      </c>
      <c r="K1227">
        <v>1.1015900000000001</v>
      </c>
      <c r="L1227">
        <v>368.92509999999999</v>
      </c>
      <c r="M1227">
        <v>0.99989219999999901</v>
      </c>
      <c r="N1227">
        <v>0</v>
      </c>
      <c r="O1227">
        <v>4.2210679999999997E-3</v>
      </c>
      <c r="P1227">
        <v>0.99968210000000002</v>
      </c>
      <c r="Q1227">
        <v>-1.082409E-2</v>
      </c>
      <c r="R1227">
        <v>2.277127E-2</v>
      </c>
      <c r="S1227">
        <v>3.0228120000000001</v>
      </c>
      <c r="T1227">
        <v>-0.29712129999999998</v>
      </c>
      <c r="U1227">
        <v>-0.87225339999999996</v>
      </c>
      <c r="V1227">
        <v>-1.8528079999999999E-2</v>
      </c>
      <c r="W1227">
        <v>3.36009E-3</v>
      </c>
      <c r="X1227">
        <v>0.99982269999999895</v>
      </c>
      <c r="Y1227">
        <v>0.28003359999999999</v>
      </c>
      <c r="Z1227">
        <v>-1.386278E-2</v>
      </c>
      <c r="AA1227">
        <v>0.95989009999999997</v>
      </c>
      <c r="AB1227">
        <v>27</v>
      </c>
      <c r="AC1227">
        <v>11.0357</v>
      </c>
      <c r="AD1227">
        <v>-1.101592412275</v>
      </c>
      <c r="AE1227">
        <v>-3.2327999999999899</v>
      </c>
      <c r="AF1227">
        <v>3.2495381939384398</v>
      </c>
      <c r="AG1227">
        <v>-1.101592412275</v>
      </c>
      <c r="AH1227">
        <v>10.921728983569601</v>
      </c>
      <c r="AI1227">
        <v>95.521863673409698</v>
      </c>
      <c r="AJ1227">
        <v>73.430697718807394</v>
      </c>
      <c r="AK1227">
        <v>11.4480202789474</v>
      </c>
    </row>
    <row r="1228" spans="1:37" x14ac:dyDescent="0.2">
      <c r="A1228" t="str">
        <f>"20200111155815869"</f>
        <v>20200111155815869</v>
      </c>
      <c r="B1228" t="str">
        <f>"1578729495862004"</f>
        <v>1578729495862004</v>
      </c>
      <c r="C1228" t="s">
        <v>37</v>
      </c>
      <c r="D1228">
        <v>5.4694760000000002</v>
      </c>
      <c r="E1228">
        <v>0.62115299999999996</v>
      </c>
      <c r="F1228" t="s">
        <v>39</v>
      </c>
      <c r="G1228">
        <v>-215.7662</v>
      </c>
      <c r="H1228" s="1">
        <v>-2.50771E-6</v>
      </c>
      <c r="I1228">
        <v>365.61880000000002</v>
      </c>
      <c r="J1228">
        <v>-226.82470000000001</v>
      </c>
      <c r="K1228">
        <v>1.10149599999999</v>
      </c>
      <c r="L1228">
        <v>368.92329999999998</v>
      </c>
      <c r="M1228">
        <v>0.99989950000000005</v>
      </c>
      <c r="N1228">
        <v>0</v>
      </c>
      <c r="O1228">
        <v>1.7188920000000001E-3</v>
      </c>
      <c r="P1228">
        <v>0.99976069999999995</v>
      </c>
      <c r="Q1228">
        <v>-1.09414E-2</v>
      </c>
      <c r="R1228">
        <v>1.894581E-2</v>
      </c>
      <c r="S1228">
        <v>3.0179900000000002</v>
      </c>
      <c r="T1228">
        <v>-0.29610370000000003</v>
      </c>
      <c r="U1228">
        <v>-0.888702399999999</v>
      </c>
      <c r="V1228">
        <v>-1.72046E-2</v>
      </c>
      <c r="W1228">
        <v>3.2508959999999901E-3</v>
      </c>
      <c r="X1228">
        <v>0.99984669999999898</v>
      </c>
      <c r="Y1228">
        <v>0.28286669999999903</v>
      </c>
      <c r="Z1228">
        <v>-1.372221E-2</v>
      </c>
      <c r="AA1228">
        <v>0.959061099999999</v>
      </c>
      <c r="AB1228">
        <v>27</v>
      </c>
      <c r="AC1228">
        <v>11.0585</v>
      </c>
      <c r="AD1228">
        <v>-1.1014985077099999</v>
      </c>
      <c r="AE1228">
        <v>-3.30449999999996</v>
      </c>
      <c r="AF1228">
        <v>3.2935075810594698</v>
      </c>
      <c r="AG1228">
        <v>-1.1014985077099999</v>
      </c>
      <c r="AH1228">
        <v>10.9530409961356</v>
      </c>
      <c r="AI1228">
        <v>95.500957792213896</v>
      </c>
      <c r="AJ1228">
        <v>73.264312071379393</v>
      </c>
      <c r="AK1228">
        <v>11.4904133177189</v>
      </c>
    </row>
    <row r="1229" spans="1:37" x14ac:dyDescent="0.2">
      <c r="A1229" t="str">
        <f>"20200111155815883"</f>
        <v>20200111155815883</v>
      </c>
      <c r="B1229" t="str">
        <f>"1578729495871764"</f>
        <v>1578729495871764</v>
      </c>
      <c r="C1229" t="s">
        <v>37</v>
      </c>
      <c r="D1229">
        <v>5.472035</v>
      </c>
      <c r="E1229">
        <v>0.62119519999999995</v>
      </c>
      <c r="F1229" t="s">
        <v>39</v>
      </c>
      <c r="G1229">
        <v>-215.59</v>
      </c>
      <c r="H1229" s="1">
        <v>-2.592685E-6</v>
      </c>
      <c r="I1229">
        <v>365.5659</v>
      </c>
      <c r="J1229">
        <v>-226.66579999999999</v>
      </c>
      <c r="K1229">
        <v>1.1014139999999999</v>
      </c>
      <c r="L1229">
        <v>368.9212</v>
      </c>
      <c r="M1229">
        <v>0.99990059999999903</v>
      </c>
      <c r="N1229">
        <v>0</v>
      </c>
      <c r="O1229">
        <v>-6.9621570000000005E-4</v>
      </c>
      <c r="P1229">
        <v>0.99982399999999905</v>
      </c>
      <c r="Q1229">
        <v>-1.1145830000000001E-2</v>
      </c>
      <c r="R1229">
        <v>1.510011E-2</v>
      </c>
      <c r="S1229">
        <v>3.0145569999999999</v>
      </c>
      <c r="T1229">
        <v>-0.29555799999999999</v>
      </c>
      <c r="U1229">
        <v>-0.90084839999999999</v>
      </c>
      <c r="V1229">
        <v>-1.5774299999999901E-2</v>
      </c>
      <c r="W1229">
        <v>3.0511009999999901E-3</v>
      </c>
      <c r="X1229">
        <v>0.99987090000000001</v>
      </c>
      <c r="Y1229">
        <v>0.28440559999999998</v>
      </c>
      <c r="Z1229">
        <v>-1.354671E-2</v>
      </c>
      <c r="AA1229">
        <v>0.95860829999999997</v>
      </c>
      <c r="AB1229">
        <v>27</v>
      </c>
      <c r="AC1229">
        <v>11.0757999999999</v>
      </c>
      <c r="AD1229">
        <v>-1.1014165926849999</v>
      </c>
      <c r="AE1229">
        <v>-3.3553000000000002</v>
      </c>
      <c r="AF1229">
        <v>3.3175378103650699</v>
      </c>
      <c r="AG1229">
        <v>-1.1014165926849999</v>
      </c>
      <c r="AH1229">
        <v>10.9786911946129</v>
      </c>
      <c r="AI1229">
        <v>95.485538853628995</v>
      </c>
      <c r="AJ1229">
        <v>73.186247873098097</v>
      </c>
      <c r="AK1229">
        <v>11.5217549002101</v>
      </c>
    </row>
    <row r="1230" spans="1:37" x14ac:dyDescent="0.2">
      <c r="A1230" t="str">
        <f>"20200111155815896"</f>
        <v>20200111155815896</v>
      </c>
      <c r="B1230" t="str">
        <f>"1578729495892260"</f>
        <v>1578729495892260</v>
      </c>
      <c r="C1230" t="s">
        <v>37</v>
      </c>
      <c r="D1230">
        <v>5.4640979999999999</v>
      </c>
      <c r="E1230">
        <v>0.62129769999999995</v>
      </c>
      <c r="F1230" t="s">
        <v>39</v>
      </c>
      <c r="G1230">
        <v>-215.42070000000001</v>
      </c>
      <c r="H1230" s="1">
        <v>-2.6747500000000001E-6</v>
      </c>
      <c r="I1230">
        <v>365.5127</v>
      </c>
      <c r="J1230">
        <v>-226.50989999999999</v>
      </c>
      <c r="K1230">
        <v>1.101342</v>
      </c>
      <c r="L1230">
        <v>368.91849999999999</v>
      </c>
      <c r="M1230">
        <v>0.99989570000000005</v>
      </c>
      <c r="N1230">
        <v>0</v>
      </c>
      <c r="O1230">
        <v>-3.1410990000000001E-3</v>
      </c>
      <c r="P1230">
        <v>0.99986849999999905</v>
      </c>
      <c r="Q1230">
        <v>-1.132213E-2</v>
      </c>
      <c r="R1230">
        <v>1.1610880000000001E-2</v>
      </c>
      <c r="S1230">
        <v>3.0110169999999998</v>
      </c>
      <c r="T1230">
        <v>-0.29491780000000001</v>
      </c>
      <c r="U1230">
        <v>-0.91265869999999905</v>
      </c>
      <c r="V1230">
        <v>-1.473064E-2</v>
      </c>
      <c r="W1230">
        <v>2.8803940000000001E-3</v>
      </c>
      <c r="X1230">
        <v>0.99988729999999904</v>
      </c>
      <c r="Y1230">
        <v>0.28582750000000001</v>
      </c>
      <c r="Z1230">
        <v>-1.335951E-2</v>
      </c>
      <c r="AA1230">
        <v>0.95818789999999998</v>
      </c>
      <c r="AB1230">
        <v>27</v>
      </c>
      <c r="AC1230">
        <v>11.0891999999999</v>
      </c>
      <c r="AD1230">
        <v>-1.10134467475</v>
      </c>
      <c r="AE1230">
        <v>-3.4058000000000002</v>
      </c>
      <c r="AF1230">
        <v>3.34083447628465</v>
      </c>
      <c r="AG1230">
        <v>-1.10134467475</v>
      </c>
      <c r="AH1230">
        <v>11.000688376326</v>
      </c>
      <c r="AI1230">
        <v>95.471996759752102</v>
      </c>
      <c r="AJ1230">
        <v>73.106819764431904</v>
      </c>
      <c r="AK1230">
        <v>11.549427684676299</v>
      </c>
    </row>
    <row r="1231" spans="1:37" x14ac:dyDescent="0.2">
      <c r="A1231" t="str">
        <f>"20200111155815908"</f>
        <v>20200111155815908</v>
      </c>
      <c r="B1231" t="str">
        <f>"1578729495902020"</f>
        <v>1578729495902020</v>
      </c>
      <c r="C1231" t="s">
        <v>37</v>
      </c>
      <c r="D1231">
        <v>5.4679900000000004</v>
      </c>
      <c r="E1231">
        <v>0.62120889999999995</v>
      </c>
      <c r="F1231" t="s">
        <v>39</v>
      </c>
      <c r="G1231">
        <v>-215.239</v>
      </c>
      <c r="H1231" s="1">
        <v>-2.7631669999999998E-6</v>
      </c>
      <c r="I1231">
        <v>365.45370000000003</v>
      </c>
      <c r="J1231">
        <v>-226.3528</v>
      </c>
      <c r="K1231">
        <v>1.1012679999999999</v>
      </c>
      <c r="L1231">
        <v>368.91550000000001</v>
      </c>
      <c r="M1231">
        <v>0.99988459999999901</v>
      </c>
      <c r="N1231">
        <v>0</v>
      </c>
      <c r="O1231">
        <v>-5.6441479999999999E-3</v>
      </c>
      <c r="P1231">
        <v>0.99990429999999997</v>
      </c>
      <c r="Q1231">
        <v>-1.119357E-2</v>
      </c>
      <c r="R1231">
        <v>8.1359509999999902E-3</v>
      </c>
      <c r="S1231">
        <v>3.0077970000000001</v>
      </c>
      <c r="T1231">
        <v>-0.29390840000000001</v>
      </c>
      <c r="U1231">
        <v>-0.92462160000000004</v>
      </c>
      <c r="V1231">
        <v>-1.3757510000000001E-2</v>
      </c>
      <c r="W1231">
        <v>3.0148620000000001E-3</v>
      </c>
      <c r="X1231">
        <v>0.99990080000000003</v>
      </c>
      <c r="Y1231">
        <v>0.28721259999999998</v>
      </c>
      <c r="Z1231">
        <v>-1.3147570000000001E-2</v>
      </c>
      <c r="AA1231">
        <v>0.95777659999999998</v>
      </c>
      <c r="AB1231">
        <v>27</v>
      </c>
      <c r="AC1231">
        <v>11.1137999999999</v>
      </c>
      <c r="AD1231">
        <v>-1.101270763167</v>
      </c>
      <c r="AE1231">
        <v>-3.4617999999999798</v>
      </c>
      <c r="AF1231">
        <v>3.3688577376411502</v>
      </c>
      <c r="AG1231">
        <v>-1.101270763167</v>
      </c>
      <c r="AH1231">
        <v>11.0344004687432</v>
      </c>
      <c r="AI1231">
        <v>95.452581155595496</v>
      </c>
      <c r="AJ1231">
        <v>73.022307052377002</v>
      </c>
      <c r="AK1231">
        <v>11.5896502731908</v>
      </c>
    </row>
    <row r="1232" spans="1:37" x14ac:dyDescent="0.2">
      <c r="A1232" t="str">
        <f>"20200111155815922"</f>
        <v>20200111155815922</v>
      </c>
      <c r="B1232" t="str">
        <f>"1578729495911780"</f>
        <v>1578729495911780</v>
      </c>
      <c r="C1232" t="s">
        <v>37</v>
      </c>
      <c r="D1232">
        <v>5.7426839999999997</v>
      </c>
      <c r="E1232">
        <v>0.62120889999999995</v>
      </c>
      <c r="F1232" t="s">
        <v>39</v>
      </c>
      <c r="G1232">
        <v>-215.05879999999999</v>
      </c>
      <c r="H1232" s="1">
        <v>-2.8495769999999998E-6</v>
      </c>
      <c r="I1232">
        <v>365.40249999999997</v>
      </c>
      <c r="J1232">
        <v>-226.17769999999999</v>
      </c>
      <c r="K1232">
        <v>1.1011839999999999</v>
      </c>
      <c r="L1232">
        <v>368.91160000000002</v>
      </c>
      <c r="M1232">
        <v>0.99986430000000004</v>
      </c>
      <c r="N1232">
        <v>0</v>
      </c>
      <c r="O1232">
        <v>-8.5093400000000007E-3</v>
      </c>
      <c r="P1232">
        <v>0.99993430000000005</v>
      </c>
      <c r="Q1232">
        <v>-1.0707889999999999E-2</v>
      </c>
      <c r="R1232">
        <v>4.1100429999999999E-3</v>
      </c>
      <c r="S1232">
        <v>3.0046080000000002</v>
      </c>
      <c r="T1232">
        <v>-0.29297399999999901</v>
      </c>
      <c r="U1232">
        <v>-0.93457029999999996</v>
      </c>
      <c r="V1232">
        <v>-1.259221E-2</v>
      </c>
      <c r="W1232">
        <v>3.5045720000000001E-3</v>
      </c>
      <c r="X1232">
        <v>0.99991459999999999</v>
      </c>
      <c r="Y1232">
        <v>0.28766609999999998</v>
      </c>
      <c r="Z1232">
        <v>-1.286231E-2</v>
      </c>
      <c r="AA1232">
        <v>0.95764439999999995</v>
      </c>
      <c r="AB1232">
        <v>27</v>
      </c>
      <c r="AC1232">
        <v>11.118899999999901</v>
      </c>
      <c r="AD1232">
        <v>-1.1011868495770001</v>
      </c>
      <c r="AE1232">
        <v>-3.5091000000000401</v>
      </c>
      <c r="AF1232">
        <v>3.3841624208983001</v>
      </c>
      <c r="AG1232">
        <v>-1.1011868495770001</v>
      </c>
      <c r="AH1232">
        <v>11.0497967159755</v>
      </c>
      <c r="AI1232">
        <v>95.443164944848107</v>
      </c>
      <c r="AJ1232">
        <v>72.972023850998596</v>
      </c>
      <c r="AK1232">
        <v>11.608754249835901</v>
      </c>
    </row>
    <row r="1233" spans="1:37" x14ac:dyDescent="0.2">
      <c r="A1233" t="str">
        <f>"20200111155815937"</f>
        <v>20200111155815937</v>
      </c>
      <c r="B1233" t="str">
        <f>"1578729495932276"</f>
        <v>1578729495932276</v>
      </c>
      <c r="C1233" t="s">
        <v>37</v>
      </c>
      <c r="D1233">
        <v>5.497662</v>
      </c>
      <c r="E1233">
        <v>0.58993109999999904</v>
      </c>
      <c r="F1233" t="s">
        <v>39</v>
      </c>
      <c r="G1233">
        <v>-214.7972</v>
      </c>
      <c r="H1233" s="1">
        <v>-2.9762929999999998E-6</v>
      </c>
      <c r="I1233">
        <v>365.32069999999999</v>
      </c>
      <c r="J1233">
        <v>-226.0033</v>
      </c>
      <c r="K1233">
        <v>1.1011029999999999</v>
      </c>
      <c r="L1233">
        <v>368.90699999999998</v>
      </c>
      <c r="M1233">
        <v>0.99983480000000002</v>
      </c>
      <c r="N1233">
        <v>0</v>
      </c>
      <c r="O1233">
        <v>-1.1442799999999999E-2</v>
      </c>
      <c r="P1233">
        <v>0.99994669999999897</v>
      </c>
      <c r="Q1233">
        <v>-1.027979E-2</v>
      </c>
      <c r="R1233">
        <v>1.00084E-3</v>
      </c>
      <c r="S1233">
        <v>3.0009919999999899</v>
      </c>
      <c r="T1233">
        <v>-0.29037779999999902</v>
      </c>
      <c r="U1233">
        <v>-0.94689939999999995</v>
      </c>
      <c r="V1233">
        <v>-1.241244E-2</v>
      </c>
      <c r="W1233">
        <v>3.9446890000000004E-3</v>
      </c>
      <c r="X1233">
        <v>0.9999152</v>
      </c>
      <c r="Y1233">
        <v>0.28879490000000002</v>
      </c>
      <c r="Z1233">
        <v>-1.2532720000000001E-2</v>
      </c>
      <c r="AA1233">
        <v>0.95730890000000002</v>
      </c>
      <c r="AB1233">
        <v>27</v>
      </c>
      <c r="AC1233">
        <v>11.2060999999999</v>
      </c>
      <c r="AD1233">
        <v>-1.101105976293</v>
      </c>
      <c r="AE1233">
        <v>-3.5862999999999898</v>
      </c>
      <c r="AF1233">
        <v>3.42780269712694</v>
      </c>
      <c r="AG1233">
        <v>-1.101105976293</v>
      </c>
      <c r="AH1233">
        <v>11.148767293996199</v>
      </c>
      <c r="AI1233">
        <v>95.392939121996406</v>
      </c>
      <c r="AJ1233">
        <v>72.909418217800294</v>
      </c>
      <c r="AK1233">
        <v>11.715685121969599</v>
      </c>
    </row>
    <row r="1234" spans="1:37" x14ac:dyDescent="0.2">
      <c r="A1234" t="str">
        <f>"20200111155815952"</f>
        <v>20200111155815952</v>
      </c>
      <c r="B1234" t="str">
        <f>"1578729495942036"</f>
        <v>1578729495942036</v>
      </c>
      <c r="C1234" t="s">
        <v>37</v>
      </c>
      <c r="D1234">
        <v>5.5258139999999996</v>
      </c>
      <c r="E1234">
        <v>0.58993490000000004</v>
      </c>
      <c r="F1234" t="s">
        <v>39</v>
      </c>
      <c r="G1234">
        <v>-213.14230000000001</v>
      </c>
      <c r="H1234" s="1">
        <v>-3.5888089999999999E-6</v>
      </c>
      <c r="I1234">
        <v>365.87009999999998</v>
      </c>
      <c r="J1234">
        <v>-225.8305</v>
      </c>
      <c r="K1234">
        <v>1.10102099999999</v>
      </c>
      <c r="L1234">
        <v>368.90190000000001</v>
      </c>
      <c r="M1234">
        <v>0.99979629999999997</v>
      </c>
      <c r="N1234">
        <v>0</v>
      </c>
      <c r="O1234">
        <v>-1.440932E-2</v>
      </c>
      <c r="P1234">
        <v>0.99994719999999904</v>
      </c>
      <c r="Q1234">
        <v>-1.0033820000000001E-2</v>
      </c>
      <c r="R1234">
        <v>-2.2979479999999902E-3</v>
      </c>
      <c r="S1234">
        <v>2.99823</v>
      </c>
      <c r="T1234">
        <v>-0.25669409999999998</v>
      </c>
      <c r="U1234">
        <v>-0.70797730000000003</v>
      </c>
      <c r="V1234">
        <v>-1.2078190000000001E-2</v>
      </c>
      <c r="W1234">
        <v>4.2007479999999998E-3</v>
      </c>
      <c r="X1234">
        <v>0.99991819999999898</v>
      </c>
      <c r="Y1234">
        <v>0.21506799999999901</v>
      </c>
      <c r="Z1234">
        <v>-7.8513790000000003E-3</v>
      </c>
      <c r="AA1234">
        <v>0.97656749999999903</v>
      </c>
      <c r="AB1234">
        <v>27</v>
      </c>
      <c r="AC1234">
        <v>12.688199999999901</v>
      </c>
      <c r="AD1234">
        <v>-1.10102458880899</v>
      </c>
      <c r="AE1234">
        <v>-3.0318000000000298</v>
      </c>
      <c r="AF1234">
        <v>2.82849046115511</v>
      </c>
      <c r="AG1234">
        <v>-1.10102458880899</v>
      </c>
      <c r="AH1234">
        <v>12.6405309902567</v>
      </c>
      <c r="AI1234">
        <v>94.858503224747196</v>
      </c>
      <c r="AJ1234">
        <v>77.387062463452395</v>
      </c>
      <c r="AK1234">
        <v>12.9998321969804</v>
      </c>
    </row>
    <row r="1235" spans="1:37" x14ac:dyDescent="0.2">
      <c r="A1235" t="str">
        <f>"20200111155815968"</f>
        <v>20200111155815968</v>
      </c>
      <c r="B1235" t="str">
        <f>"1578729495961862"</f>
        <v>1578729495961862</v>
      </c>
      <c r="C1235" t="s">
        <v>37</v>
      </c>
      <c r="D1235">
        <v>5.526535</v>
      </c>
      <c r="E1235">
        <v>0.58871019999999996</v>
      </c>
      <c r="F1235" t="s">
        <v>39</v>
      </c>
      <c r="G1235">
        <v>-212.46350000000001</v>
      </c>
      <c r="H1235" s="1">
        <v>-3.9107700000000003E-6</v>
      </c>
      <c r="I1235">
        <v>365.69659999999999</v>
      </c>
      <c r="J1235">
        <v>-225.62280000000001</v>
      </c>
      <c r="K1235">
        <v>1.1009169999999999</v>
      </c>
      <c r="L1235">
        <v>368.89510000000001</v>
      </c>
      <c r="M1235">
        <v>0.99973679999999998</v>
      </c>
      <c r="N1235">
        <v>0</v>
      </c>
      <c r="O1235">
        <v>-1.806839E-2</v>
      </c>
      <c r="P1235">
        <v>0.99992959999999997</v>
      </c>
      <c r="Q1235">
        <v>-1.0229429999999999E-2</v>
      </c>
      <c r="R1235">
        <v>-6.0346649999999998E-3</v>
      </c>
      <c r="S1235">
        <v>2.9960330000000002</v>
      </c>
      <c r="T1235">
        <v>-0.246778</v>
      </c>
      <c r="U1235">
        <v>-0.71841429999999995</v>
      </c>
      <c r="V1235">
        <v>-1.200143E-2</v>
      </c>
      <c r="W1235">
        <v>4.0200289999999996E-3</v>
      </c>
      <c r="X1235">
        <v>0.99991989999999997</v>
      </c>
      <c r="Y1235">
        <v>0.2149385</v>
      </c>
      <c r="Z1235">
        <v>-7.2498019999999996E-3</v>
      </c>
      <c r="AA1235">
        <v>0.97660059999999904</v>
      </c>
      <c r="AB1235">
        <v>27</v>
      </c>
      <c r="AC1235">
        <v>13.1593</v>
      </c>
      <c r="AD1235">
        <v>-1.10092091077</v>
      </c>
      <c r="AE1235">
        <v>-3.1985000000000201</v>
      </c>
      <c r="AF1235">
        <v>2.9407519583465498</v>
      </c>
      <c r="AG1235">
        <v>-1.10092091077</v>
      </c>
      <c r="AH1235">
        <v>13.128188102625201</v>
      </c>
      <c r="AI1235">
        <v>94.678170568323694</v>
      </c>
      <c r="AJ1235">
        <v>77.374005934472805</v>
      </c>
      <c r="AK1235">
        <v>13.498495167617699</v>
      </c>
    </row>
    <row r="1236" spans="1:37" x14ac:dyDescent="0.2">
      <c r="A1236" t="str">
        <f>"20200111155815982"</f>
        <v>20200111155815982</v>
      </c>
      <c r="B1236" t="str">
        <f>"1578729495972597"</f>
        <v>1578729495972597</v>
      </c>
      <c r="C1236" t="s">
        <v>37</v>
      </c>
      <c r="D1236">
        <v>5.5791599999999999</v>
      </c>
      <c r="E1236">
        <v>0.58812519999999902</v>
      </c>
      <c r="F1236" t="s">
        <v>39</v>
      </c>
      <c r="G1236">
        <v>-212.12</v>
      </c>
      <c r="H1236" s="1">
        <v>-4.0668319999999998E-6</v>
      </c>
      <c r="I1236">
        <v>365.64760000000001</v>
      </c>
      <c r="J1236">
        <v>-225.44149999999999</v>
      </c>
      <c r="K1236">
        <v>1.100822</v>
      </c>
      <c r="L1236">
        <v>368.88839999999999</v>
      </c>
      <c r="M1236">
        <v>0.9996718</v>
      </c>
      <c r="N1236">
        <v>0</v>
      </c>
      <c r="O1236">
        <v>-2.135418E-2</v>
      </c>
      <c r="P1236">
        <v>0.99990679999999998</v>
      </c>
      <c r="Q1236">
        <v>-1.048265E-2</v>
      </c>
      <c r="R1236">
        <v>-8.7608089999999996E-3</v>
      </c>
      <c r="S1236">
        <v>2.9933619999999999</v>
      </c>
      <c r="T1236">
        <v>-0.2440552</v>
      </c>
      <c r="U1236">
        <v>-0.71990969999999999</v>
      </c>
      <c r="V1236">
        <v>-1.256263E-2</v>
      </c>
      <c r="W1236">
        <v>3.7849490000000001E-3</v>
      </c>
      <c r="X1236">
        <v>0.99991390000000002</v>
      </c>
      <c r="Y1236">
        <v>0.2124183</v>
      </c>
      <c r="Z1236">
        <v>-6.8113319999999998E-3</v>
      </c>
      <c r="AA1236">
        <v>0.97715509999999905</v>
      </c>
      <c r="AB1236">
        <v>27</v>
      </c>
      <c r="AC1236">
        <v>13.321499999999901</v>
      </c>
      <c r="AD1236">
        <v>-1.100826066832</v>
      </c>
      <c r="AE1236">
        <v>-3.2407999999999699</v>
      </c>
      <c r="AF1236">
        <v>2.9366301027320501</v>
      </c>
      <c r="AG1236">
        <v>-1.100826066832</v>
      </c>
      <c r="AH1236">
        <v>13.301915370026601</v>
      </c>
      <c r="AI1236">
        <v>94.620094788017198</v>
      </c>
      <c r="AJ1236">
        <v>77.550645880944202</v>
      </c>
      <c r="AK1236">
        <v>13.666622366226401</v>
      </c>
    </row>
    <row r="1237" spans="1:37" x14ac:dyDescent="0.2">
      <c r="A1237" t="str">
        <f>"20200111155815996"</f>
        <v>20200111155815996</v>
      </c>
      <c r="B1237" t="str">
        <f>"1578729495992118"</f>
        <v>1578729495992118</v>
      </c>
      <c r="C1237" t="s">
        <v>37</v>
      </c>
      <c r="D1237">
        <v>5.5608909999999998</v>
      </c>
      <c r="E1237">
        <v>0.58714709999999903</v>
      </c>
      <c r="F1237" t="s">
        <v>39</v>
      </c>
      <c r="G1237">
        <v>-212.01910000000001</v>
      </c>
      <c r="H1237" s="1">
        <v>-4.1111229999999999E-6</v>
      </c>
      <c r="I1237">
        <v>365.64179999999999</v>
      </c>
      <c r="J1237">
        <v>-225.2722</v>
      </c>
      <c r="K1237">
        <v>1.100738</v>
      </c>
      <c r="L1237">
        <v>368.88139999999999</v>
      </c>
      <c r="M1237">
        <v>0.99959940000000003</v>
      </c>
      <c r="N1237">
        <v>0</v>
      </c>
      <c r="O1237">
        <v>-2.4508060000000002E-2</v>
      </c>
      <c r="P1237">
        <v>0.99987819999999905</v>
      </c>
      <c r="Q1237">
        <v>-1.080454E-2</v>
      </c>
      <c r="R1237">
        <v>-1.1276960000000001E-2</v>
      </c>
      <c r="S1237">
        <v>2.9913639999999999</v>
      </c>
      <c r="T1237">
        <v>-0.245334</v>
      </c>
      <c r="U1237">
        <v>-0.72354130000000005</v>
      </c>
      <c r="V1237">
        <v>-1.320346E-2</v>
      </c>
      <c r="W1237">
        <v>3.4812059999999902E-3</v>
      </c>
      <c r="X1237">
        <v>0.99990679999999998</v>
      </c>
      <c r="Y1237">
        <v>0.21061369999999999</v>
      </c>
      <c r="Z1237">
        <v>-6.5233549999999998E-3</v>
      </c>
      <c r="AA1237">
        <v>0.97754759999999996</v>
      </c>
      <c r="AB1237">
        <v>27</v>
      </c>
      <c r="AC1237">
        <v>13.2530999999999</v>
      </c>
      <c r="AD1237">
        <v>-1.100742111123</v>
      </c>
      <c r="AE1237">
        <v>-3.23959999999999</v>
      </c>
      <c r="AF1237">
        <v>2.8949424547057601</v>
      </c>
      <c r="AG1237">
        <v>-1.100742111123</v>
      </c>
      <c r="AH1237">
        <v>13.242324811403501</v>
      </c>
      <c r="AI1237">
        <v>94.642528962099504</v>
      </c>
      <c r="AJ1237">
        <v>77.668411841483305</v>
      </c>
      <c r="AK1237">
        <v>13.5996871810336</v>
      </c>
    </row>
    <row r="1238" spans="1:37" x14ac:dyDescent="0.2">
      <c r="A1238" t="str">
        <f>"20200111155816010"</f>
        <v>20200111155816010</v>
      </c>
      <c r="B1238" t="str">
        <f>"1578729496001878"</f>
        <v>1578729496001878</v>
      </c>
      <c r="C1238" t="s">
        <v>37</v>
      </c>
      <c r="D1238">
        <v>5.5525659999999997</v>
      </c>
      <c r="E1238">
        <v>0.58669069999999901</v>
      </c>
      <c r="F1238" t="s">
        <v>39</v>
      </c>
      <c r="G1238">
        <v>-211.99780000000001</v>
      </c>
      <c r="H1238" s="1">
        <v>-4.1153409999999999E-6</v>
      </c>
      <c r="I1238">
        <v>365.66950000000003</v>
      </c>
      <c r="J1238">
        <v>-225.1079</v>
      </c>
      <c r="K1238">
        <v>1.1006559999999901</v>
      </c>
      <c r="L1238">
        <v>368.87419999999997</v>
      </c>
      <c r="M1238">
        <v>0.99951769999999995</v>
      </c>
      <c r="N1238">
        <v>0</v>
      </c>
      <c r="O1238">
        <v>-2.7624599999999999E-2</v>
      </c>
      <c r="P1238">
        <v>0.9998435</v>
      </c>
      <c r="Q1238">
        <v>-1.1003189999999999E-2</v>
      </c>
      <c r="R1238">
        <v>-1.385259E-2</v>
      </c>
      <c r="S1238">
        <v>2.9895480000000001</v>
      </c>
      <c r="T1238">
        <v>-0.24789989999999901</v>
      </c>
      <c r="U1238">
        <v>-0.72335819999999995</v>
      </c>
      <c r="V1238">
        <v>-1.3746059999999999E-2</v>
      </c>
      <c r="W1238">
        <v>3.300009E-3</v>
      </c>
      <c r="X1238">
        <v>0.99990009999999996</v>
      </c>
      <c r="Y1238">
        <v>0.207651</v>
      </c>
      <c r="Z1238">
        <v>-6.2204890000000001E-3</v>
      </c>
      <c r="AA1238">
        <v>0.97818320000000003</v>
      </c>
      <c r="AB1238">
        <v>27</v>
      </c>
      <c r="AC1238">
        <v>13.1100999999999</v>
      </c>
      <c r="AD1238">
        <v>-1.1006601153409901</v>
      </c>
      <c r="AE1238">
        <v>-3.2046999999999399</v>
      </c>
      <c r="AF1238">
        <v>2.8225064153632098</v>
      </c>
      <c r="AG1238">
        <v>-1.1006601153409901</v>
      </c>
      <c r="AH1238">
        <v>13.1064616097464</v>
      </c>
      <c r="AI1238">
        <v>94.693248413372501</v>
      </c>
      <c r="AJ1238">
        <v>77.846828754796107</v>
      </c>
      <c r="AK1238">
        <v>13.452038175757099</v>
      </c>
    </row>
    <row r="1239" spans="1:37" x14ac:dyDescent="0.2">
      <c r="A1239" t="str">
        <f>"20200111155816023"</f>
        <v>20200111155816023</v>
      </c>
      <c r="B1239" t="str">
        <f>"1578729496012614"</f>
        <v>1578729496012614</v>
      </c>
      <c r="C1239" t="s">
        <v>37</v>
      </c>
      <c r="D1239">
        <v>5.5729680000000004</v>
      </c>
      <c r="E1239">
        <v>0.58633219999999997</v>
      </c>
      <c r="F1239" t="s">
        <v>39</v>
      </c>
      <c r="G1239">
        <v>-211.9632</v>
      </c>
      <c r="H1239" s="1">
        <v>-4.1293819999999997E-6</v>
      </c>
      <c r="I1239">
        <v>365.67410000000001</v>
      </c>
      <c r="J1239">
        <v>-224.94560000000001</v>
      </c>
      <c r="K1239">
        <v>1.1005830000000001</v>
      </c>
      <c r="L1239">
        <v>368.86649999999997</v>
      </c>
      <c r="M1239">
        <v>0.99942589999999998</v>
      </c>
      <c r="N1239">
        <v>0</v>
      </c>
      <c r="O1239">
        <v>-3.0769419999999999E-2</v>
      </c>
      <c r="P1239">
        <v>0.9998243</v>
      </c>
      <c r="Q1239">
        <v>-1.071833E-2</v>
      </c>
      <c r="R1239">
        <v>-1.5395860000000001E-2</v>
      </c>
      <c r="S1239">
        <v>2.987625</v>
      </c>
      <c r="T1239">
        <v>-0.25016450000000001</v>
      </c>
      <c r="U1239">
        <v>-0.72732540000000001</v>
      </c>
      <c r="V1239">
        <v>-1.5345650000000001E-2</v>
      </c>
      <c r="W1239">
        <v>3.6118589999999998E-3</v>
      </c>
      <c r="X1239">
        <v>0.99987569999999903</v>
      </c>
      <c r="Y1239">
        <v>0.20594859999999901</v>
      </c>
      <c r="Z1239">
        <v>-5.9513600000000002E-3</v>
      </c>
      <c r="AA1239">
        <v>0.97854470000000005</v>
      </c>
      <c r="AB1239">
        <v>27</v>
      </c>
      <c r="AC1239">
        <v>12.9824</v>
      </c>
      <c r="AD1239">
        <v>-1.100587129382</v>
      </c>
      <c r="AE1239">
        <v>-3.1923999999999602</v>
      </c>
      <c r="AF1239">
        <v>2.7725969735031599</v>
      </c>
      <c r="AG1239">
        <v>-1.100587129382</v>
      </c>
      <c r="AH1239">
        <v>12.9864797316653</v>
      </c>
      <c r="AI1239">
        <v>94.737891995164702</v>
      </c>
      <c r="AJ1239">
        <v>77.9483609615706</v>
      </c>
      <c r="AK1239">
        <v>13.324685430725699</v>
      </c>
    </row>
    <row r="1240" spans="1:37" x14ac:dyDescent="0.2">
      <c r="A1240" t="str">
        <f>"20200111155816038"</f>
        <v>20200111155816038</v>
      </c>
      <c r="B1240" t="str">
        <f>"1578729496032133"</f>
        <v>1578729496032133</v>
      </c>
      <c r="C1240" t="s">
        <v>37</v>
      </c>
      <c r="D1240">
        <v>5.806419</v>
      </c>
      <c r="E1240">
        <v>0.5860592</v>
      </c>
      <c r="F1240" t="s">
        <v>39</v>
      </c>
      <c r="G1240">
        <v>-211.80070000000001</v>
      </c>
      <c r="H1240" s="1">
        <v>-4.2022920000000002E-6</v>
      </c>
      <c r="I1240">
        <v>365.65609999999998</v>
      </c>
      <c r="J1240">
        <v>-224.76320000000001</v>
      </c>
      <c r="K1240">
        <v>1.100495</v>
      </c>
      <c r="L1240">
        <v>368.856999999999</v>
      </c>
      <c r="M1240">
        <v>0.99930699999999995</v>
      </c>
      <c r="N1240">
        <v>0</v>
      </c>
      <c r="O1240">
        <v>-3.4409809999999999E-2</v>
      </c>
      <c r="P1240">
        <v>0.99977749999999999</v>
      </c>
      <c r="Q1240">
        <v>-1.06079E-2</v>
      </c>
      <c r="R1240">
        <v>-1.8234259999999999E-2</v>
      </c>
      <c r="S1240">
        <v>2.9866029999999899</v>
      </c>
      <c r="T1240">
        <v>-0.2500578</v>
      </c>
      <c r="U1240">
        <v>-0.72940059999999995</v>
      </c>
      <c r="V1240">
        <v>-1.6147100000000001E-2</v>
      </c>
      <c r="W1240">
        <v>3.7439420000000001E-3</v>
      </c>
      <c r="X1240">
        <v>0.99986260000000005</v>
      </c>
      <c r="Y1240">
        <v>0.203124</v>
      </c>
      <c r="Z1240">
        <v>-5.5347819999999898E-3</v>
      </c>
      <c r="AA1240">
        <v>0.97913739999999905</v>
      </c>
      <c r="AB1240">
        <v>27</v>
      </c>
      <c r="AC1240">
        <v>12.9625</v>
      </c>
      <c r="AD1240">
        <v>-1.1004992022919999</v>
      </c>
      <c r="AE1240">
        <v>-3.2008999999999901</v>
      </c>
      <c r="AF1240">
        <v>2.7343460837745099</v>
      </c>
      <c r="AG1240">
        <v>-1.1004992022919999</v>
      </c>
      <c r="AH1240">
        <v>12.976817128851801</v>
      </c>
      <c r="AI1240">
        <v>94.7436987436148</v>
      </c>
      <c r="AJ1240">
        <v>78.101260657920804</v>
      </c>
      <c r="AK1240">
        <v>13.307348713991001</v>
      </c>
    </row>
    <row r="1241" spans="1:37" x14ac:dyDescent="0.2">
      <c r="A1241" t="str">
        <f>"20200111155816052"</f>
        <v>20200111155816052</v>
      </c>
      <c r="B1241" t="str">
        <f>"1578729496041894"</f>
        <v>1578729496041894</v>
      </c>
      <c r="C1241" t="s">
        <v>37</v>
      </c>
      <c r="D1241">
        <v>5.6138490000000001</v>
      </c>
      <c r="E1241">
        <v>0.58487500000000003</v>
      </c>
      <c r="F1241" t="s">
        <v>39</v>
      </c>
      <c r="G1241">
        <v>-211.70249999999999</v>
      </c>
      <c r="H1241" s="1">
        <v>-4.2476239999999996E-6</v>
      </c>
      <c r="I1241">
        <v>365.63810000000001</v>
      </c>
      <c r="J1241">
        <v>-224.59829999999999</v>
      </c>
      <c r="K1241">
        <v>1.10042</v>
      </c>
      <c r="L1241">
        <v>368.84769999999997</v>
      </c>
      <c r="M1241">
        <v>0.99918580000000001</v>
      </c>
      <c r="N1241">
        <v>0</v>
      </c>
      <c r="O1241">
        <v>-3.7761070000000001E-2</v>
      </c>
      <c r="P1241">
        <v>0.99973129999999999</v>
      </c>
      <c r="Q1241">
        <v>-1.0286719999999999E-2</v>
      </c>
      <c r="R1241">
        <v>-2.0776579999999999E-2</v>
      </c>
      <c r="S1241">
        <v>2.9845890000000002</v>
      </c>
      <c r="T1241">
        <v>-0.25148130000000002</v>
      </c>
      <c r="U1241">
        <v>-0.73556519999999903</v>
      </c>
      <c r="V1241">
        <v>-1.695377E-2</v>
      </c>
      <c r="W1241">
        <v>4.0858309999999998E-3</v>
      </c>
      <c r="X1241">
        <v>0.99984789999999901</v>
      </c>
      <c r="Y1241">
        <v>0.2019087</v>
      </c>
      <c r="Z1241">
        <v>-5.241112E-3</v>
      </c>
      <c r="AA1241">
        <v>0.97939030000000005</v>
      </c>
      <c r="AB1241">
        <v>27</v>
      </c>
      <c r="AC1241">
        <v>12.895799999999999</v>
      </c>
      <c r="AD1241">
        <v>-1.100424247624</v>
      </c>
      <c r="AE1241">
        <v>-3.20959999999996</v>
      </c>
      <c r="AF1241">
        <v>2.7017765289776001</v>
      </c>
      <c r="AG1241">
        <v>-1.100424247624</v>
      </c>
      <c r="AH1241">
        <v>12.9192263678949</v>
      </c>
      <c r="AI1241">
        <v>94.765933260870597</v>
      </c>
      <c r="AJ1241">
        <v>78.188061559758907</v>
      </c>
      <c r="AK1241">
        <v>13.2445060263569</v>
      </c>
    </row>
    <row r="1242" spans="1:37" x14ac:dyDescent="0.2">
      <c r="A1242" t="str">
        <f>"20200111155816069"</f>
        <v>20200111155816069</v>
      </c>
      <c r="B1242" t="str">
        <f>"1578729496062502"</f>
        <v>1578729496062502</v>
      </c>
      <c r="C1242" t="s">
        <v>37</v>
      </c>
      <c r="D1242">
        <v>5.6172579999999996</v>
      </c>
      <c r="E1242">
        <v>0.58112869999999905</v>
      </c>
      <c r="F1242" t="s">
        <v>44</v>
      </c>
      <c r="G1242">
        <v>-196.50799999999899</v>
      </c>
      <c r="H1242" s="1">
        <v>-8.7732320000000002E-6</v>
      </c>
      <c r="I1242">
        <v>361.91079999999999</v>
      </c>
      <c r="J1242">
        <v>-224.39580000000001</v>
      </c>
      <c r="K1242">
        <v>1.1003350000000001</v>
      </c>
      <c r="L1242">
        <v>368.83569999999997</v>
      </c>
      <c r="M1242">
        <v>0.99901830000000003</v>
      </c>
      <c r="N1242">
        <v>0</v>
      </c>
      <c r="O1242">
        <v>-4.1955060000000002E-2</v>
      </c>
      <c r="P1242">
        <v>0.99966730000000004</v>
      </c>
      <c r="Q1242">
        <v>-9.4757419999999901E-3</v>
      </c>
      <c r="R1242">
        <v>-2.398699E-2</v>
      </c>
      <c r="S1242">
        <v>2.9842680000000001</v>
      </c>
      <c r="T1242">
        <v>-0.11690779999999899</v>
      </c>
      <c r="U1242">
        <v>-0.73696899999999999</v>
      </c>
      <c r="V1242">
        <v>-1.7931059999999999E-2</v>
      </c>
      <c r="W1242">
        <v>4.9217189999999997E-3</v>
      </c>
      <c r="X1242">
        <v>0.99982709999999997</v>
      </c>
      <c r="Y1242">
        <v>0.19868929999999899</v>
      </c>
      <c r="Z1242">
        <v>-2.2163909999999998E-3</v>
      </c>
      <c r="AA1242">
        <v>0.98006000000000004</v>
      </c>
      <c r="AB1242">
        <v>27</v>
      </c>
      <c r="AC1242">
        <v>27.887799999999999</v>
      </c>
      <c r="AD1242">
        <v>-1.1003437732320001</v>
      </c>
      <c r="AE1242">
        <v>-6.9248999999999796</v>
      </c>
      <c r="AF1242">
        <v>5.7402314533617602</v>
      </c>
      <c r="AG1242">
        <v>-1.1003437732320001</v>
      </c>
      <c r="AH1242">
        <v>28.1125803640236</v>
      </c>
      <c r="AI1242">
        <v>92.196179275284905</v>
      </c>
      <c r="AJ1242">
        <v>78.459568084403003</v>
      </c>
      <c r="AK1242">
        <v>28.713728219810399</v>
      </c>
    </row>
    <row r="1243" spans="1:37" x14ac:dyDescent="0.2">
      <c r="A1243" t="str">
        <f>"20200111155816082"</f>
        <v>20200111155816082</v>
      </c>
      <c r="B1243" t="str">
        <f>"1578729496072262"</f>
        <v>1578729496072262</v>
      </c>
      <c r="C1243" t="s">
        <v>37</v>
      </c>
      <c r="D1243">
        <v>5.6191059999999897</v>
      </c>
      <c r="E1243">
        <v>0.58083660000000004</v>
      </c>
      <c r="F1243" t="s">
        <v>38</v>
      </c>
      <c r="G1243">
        <v>-223.4813</v>
      </c>
      <c r="H1243">
        <v>1.0204469999999899</v>
      </c>
      <c r="I1243">
        <v>368.61689999999999</v>
      </c>
      <c r="J1243">
        <v>-224.2193</v>
      </c>
      <c r="K1243">
        <v>1.100268</v>
      </c>
      <c r="L1243">
        <v>368.82440000000003</v>
      </c>
      <c r="M1243">
        <v>0.99885480000000004</v>
      </c>
      <c r="N1243">
        <v>0</v>
      </c>
      <c r="O1243">
        <v>-4.5682479999999998E-2</v>
      </c>
      <c r="P1243">
        <v>0.99958029999999998</v>
      </c>
      <c r="Q1243">
        <v>-8.7555840000000003E-3</v>
      </c>
      <c r="R1243">
        <v>-2.7623140000000001E-2</v>
      </c>
      <c r="S1243">
        <v>2.9814449999999999</v>
      </c>
      <c r="T1243">
        <v>-0.26035639999999999</v>
      </c>
      <c r="U1243">
        <v>-0.71255489999999999</v>
      </c>
      <c r="V1243">
        <v>-1.801728E-2</v>
      </c>
      <c r="W1243">
        <v>5.6555599999999996E-3</v>
      </c>
      <c r="X1243">
        <v>0.99982169999999904</v>
      </c>
      <c r="Y1243">
        <v>0.18726319999999999</v>
      </c>
      <c r="Z1243">
        <v>-4.1274099999999998E-3</v>
      </c>
      <c r="AA1243">
        <v>0.98230110000000004</v>
      </c>
      <c r="AB1243">
        <v>27</v>
      </c>
      <c r="AC1243">
        <v>0.73799999999999899</v>
      </c>
      <c r="AD1243">
        <v>-7.98210000000001E-2</v>
      </c>
      <c r="AE1243">
        <v>-0.20750000000003799</v>
      </c>
      <c r="AF1243">
        <v>0.17170475882238301</v>
      </c>
      <c r="AG1243">
        <v>-7.98210000000001E-2</v>
      </c>
      <c r="AH1243">
        <v>0.73870102716900599</v>
      </c>
      <c r="AI1243">
        <v>96.008261267259599</v>
      </c>
      <c r="AJ1243">
        <v>76.914448336712894</v>
      </c>
      <c r="AK1243">
        <v>0.76258319138556796</v>
      </c>
    </row>
    <row r="1244" spans="1:37" x14ac:dyDescent="0.2">
      <c r="A1244" t="str">
        <f>"20200111155816096"</f>
        <v>20200111155816096</v>
      </c>
      <c r="B1244" t="str">
        <f>"1578729496091782"</f>
        <v>1578729496091782</v>
      </c>
      <c r="C1244" t="s">
        <v>37</v>
      </c>
      <c r="D1244">
        <v>5.6268799999999999</v>
      </c>
      <c r="E1244">
        <v>0.58028150000000001</v>
      </c>
      <c r="F1244" t="s">
        <v>39</v>
      </c>
      <c r="G1244">
        <v>-211.3682</v>
      </c>
      <c r="H1244" s="1">
        <v>-4.3774209999999997E-6</v>
      </c>
      <c r="I1244">
        <v>365.71480000000003</v>
      </c>
      <c r="J1244">
        <v>-224.0684</v>
      </c>
      <c r="K1244">
        <v>1.1002239999999901</v>
      </c>
      <c r="L1244">
        <v>368.81400000000002</v>
      </c>
      <c r="M1244">
        <v>0.99870119999999896</v>
      </c>
      <c r="N1244">
        <v>0</v>
      </c>
      <c r="O1244">
        <v>-4.892063E-2</v>
      </c>
      <c r="P1244">
        <v>0.99949809999999994</v>
      </c>
      <c r="Q1244">
        <v>-8.0619479999999993E-3</v>
      </c>
      <c r="R1244">
        <v>-3.0634809999999998E-2</v>
      </c>
      <c r="S1244">
        <v>2.9791110000000001</v>
      </c>
      <c r="T1244">
        <v>-0.25506190000000001</v>
      </c>
      <c r="U1244">
        <v>-0.72085569999999999</v>
      </c>
      <c r="V1244">
        <v>-1.8238899999999999E-2</v>
      </c>
      <c r="W1244">
        <v>6.3612669999999899E-3</v>
      </c>
      <c r="X1244">
        <v>0.99981339999999996</v>
      </c>
      <c r="Y1244">
        <v>0.1868727</v>
      </c>
      <c r="Z1244">
        <v>-3.7573089999999999E-3</v>
      </c>
      <c r="AA1244">
        <v>0.9823769</v>
      </c>
      <c r="AB1244">
        <v>27</v>
      </c>
      <c r="AC1244">
        <v>12.700199999999899</v>
      </c>
      <c r="AD1244">
        <v>-1.10022837742099</v>
      </c>
      <c r="AE1244">
        <v>-3.09919999999999</v>
      </c>
      <c r="AF1244">
        <v>2.4567225117115998</v>
      </c>
      <c r="AG1244">
        <v>-1.10022837742099</v>
      </c>
      <c r="AH1244">
        <v>12.746337189564599</v>
      </c>
      <c r="AI1244">
        <v>94.8446550518279</v>
      </c>
      <c r="AJ1244">
        <v>79.090617065409702</v>
      </c>
      <c r="AK1244">
        <v>13.027474802589801</v>
      </c>
    </row>
    <row r="1245" spans="1:37" x14ac:dyDescent="0.2">
      <c r="A1245" t="str">
        <f>"20200111155816110"</f>
        <v>20200111155816110</v>
      </c>
      <c r="B1245" t="str">
        <f>"1578729496102518"</f>
        <v>1578729496102518</v>
      </c>
      <c r="C1245" t="s">
        <v>37</v>
      </c>
      <c r="D1245">
        <v>5.6593589999999896</v>
      </c>
      <c r="E1245">
        <v>0.57979990000000003</v>
      </c>
      <c r="F1245" t="s">
        <v>38</v>
      </c>
      <c r="G1245">
        <v>-223.2424</v>
      </c>
      <c r="H1245">
        <v>1.029515</v>
      </c>
      <c r="I1245">
        <v>368.61250000000001</v>
      </c>
      <c r="J1245">
        <v>-223.89490000000001</v>
      </c>
      <c r="K1245">
        <v>1.1001799999999999</v>
      </c>
      <c r="L1245">
        <v>368.80160000000001</v>
      </c>
      <c r="M1245">
        <v>0.99851039999999902</v>
      </c>
      <c r="N1245">
        <v>0</v>
      </c>
      <c r="O1245">
        <v>-5.2671589999999997E-2</v>
      </c>
      <c r="P1245">
        <v>0.99935929999999995</v>
      </c>
      <c r="Q1245">
        <v>-7.4362990000000004E-3</v>
      </c>
      <c r="R1245">
        <v>-3.5015089999999999E-2</v>
      </c>
      <c r="S1245">
        <v>2.9772029999999998</v>
      </c>
      <c r="T1245">
        <v>-0.2547104</v>
      </c>
      <c r="U1245">
        <v>-0.72515869999999905</v>
      </c>
      <c r="V1245">
        <v>-1.7604749999999999E-2</v>
      </c>
      <c r="W1245">
        <v>6.9902009999999997E-3</v>
      </c>
      <c r="X1245">
        <v>0.99982059999999995</v>
      </c>
      <c r="Y1245">
        <v>0.18468860000000001</v>
      </c>
      <c r="Z1245">
        <v>-3.3474669999999998E-3</v>
      </c>
      <c r="AA1245">
        <v>0.98279139999999998</v>
      </c>
      <c r="AB1245">
        <v>27</v>
      </c>
      <c r="AC1245">
        <v>0.65250000000000297</v>
      </c>
      <c r="AD1245">
        <v>-7.0664999999999895E-2</v>
      </c>
      <c r="AE1245">
        <v>-0.18909999999999599</v>
      </c>
      <c r="AF1245">
        <v>0.152812346091766</v>
      </c>
      <c r="AG1245">
        <v>-7.0664999999999895E-2</v>
      </c>
      <c r="AH1245">
        <v>0.65447394448548502</v>
      </c>
      <c r="AI1245">
        <v>96.002263172460303</v>
      </c>
      <c r="AJ1245">
        <v>76.857529484668106</v>
      </c>
      <c r="AK1245">
        <v>0.67578199099521696</v>
      </c>
    </row>
    <row r="1246" spans="1:37" x14ac:dyDescent="0.2">
      <c r="A1246" t="str">
        <f>"20200111155816125"</f>
        <v>20200111155816125</v>
      </c>
      <c r="B1246" t="str">
        <f>"1578729496112277"</f>
        <v>1578729496112277</v>
      </c>
      <c r="C1246" t="s">
        <v>37</v>
      </c>
      <c r="D1246">
        <v>5.6519709999999996</v>
      </c>
      <c r="E1246">
        <v>0.57932349999999999</v>
      </c>
      <c r="F1246" t="s">
        <v>38</v>
      </c>
      <c r="G1246">
        <v>-222.99850000000001</v>
      </c>
      <c r="H1246">
        <v>1.02382</v>
      </c>
      <c r="I1246">
        <v>368.58010000000002</v>
      </c>
      <c r="J1246">
        <v>-223.7133</v>
      </c>
      <c r="K1246">
        <v>1.100149</v>
      </c>
      <c r="L1246">
        <v>368.78789999999998</v>
      </c>
      <c r="M1246">
        <v>0.99829349999999994</v>
      </c>
      <c r="N1246">
        <v>0</v>
      </c>
      <c r="O1246">
        <v>-5.6632059999999998E-2</v>
      </c>
      <c r="P1246">
        <v>0.99916700000000003</v>
      </c>
      <c r="Q1246">
        <v>-5.6987089999999997E-3</v>
      </c>
      <c r="R1246">
        <v>-4.0416460000000001E-2</v>
      </c>
      <c r="S1246">
        <v>2.9743189999999999</v>
      </c>
      <c r="T1246">
        <v>-0.25326870000000001</v>
      </c>
      <c r="U1246">
        <v>-0.73422240000000005</v>
      </c>
      <c r="V1246">
        <v>-1.6148510000000001E-2</v>
      </c>
      <c r="W1246">
        <v>8.7220219999999994E-3</v>
      </c>
      <c r="X1246">
        <v>0.99983159999999904</v>
      </c>
      <c r="Y1246">
        <v>0.1838553</v>
      </c>
      <c r="Z1246">
        <v>-2.9654759999999999E-3</v>
      </c>
      <c r="AA1246">
        <v>0.98294879999999996</v>
      </c>
      <c r="AB1246">
        <v>27</v>
      </c>
      <c r="AC1246">
        <v>0.71479999999999599</v>
      </c>
      <c r="AD1246">
        <v>-7.63289999999998E-2</v>
      </c>
      <c r="AE1246">
        <v>-0.20779999999996299</v>
      </c>
      <c r="AF1246">
        <v>0.16524432516802401</v>
      </c>
      <c r="AG1246">
        <v>-7.63289999999998E-2</v>
      </c>
      <c r="AH1246">
        <v>0.71787407544800697</v>
      </c>
      <c r="AI1246">
        <v>95.915693666088899</v>
      </c>
      <c r="AJ1246">
        <v>77.037132260649898</v>
      </c>
      <c r="AK1246">
        <v>0.74059097445321798</v>
      </c>
    </row>
    <row r="1247" spans="1:37" x14ac:dyDescent="0.2">
      <c r="A1247" t="str">
        <f>"20200111155816139"</f>
        <v>20200111155816139</v>
      </c>
      <c r="B1247" t="str">
        <f>"1578729496131797"</f>
        <v>1578729496131797</v>
      </c>
      <c r="C1247" t="s">
        <v>37</v>
      </c>
      <c r="D1247">
        <v>5.6793430000000003</v>
      </c>
      <c r="E1247">
        <v>0.57869150000000003</v>
      </c>
      <c r="F1247" t="s">
        <v>39</v>
      </c>
      <c r="G1247">
        <v>-210.59129999999999</v>
      </c>
      <c r="H1247" s="1">
        <v>-4.750335E-6</v>
      </c>
      <c r="I1247">
        <v>365.4914</v>
      </c>
      <c r="J1247">
        <v>-223.52860000000001</v>
      </c>
      <c r="K1247">
        <v>1.100131</v>
      </c>
      <c r="L1247">
        <v>368.77300000000002</v>
      </c>
      <c r="M1247">
        <v>0.99805440000000001</v>
      </c>
      <c r="N1247">
        <v>0</v>
      </c>
      <c r="O1247">
        <v>-6.0695619999999999E-2</v>
      </c>
      <c r="P1247">
        <v>0.99894919999999998</v>
      </c>
      <c r="Q1247">
        <v>-4.6377500000000004E-3</v>
      </c>
      <c r="R1247">
        <v>-4.5597409999999998E-2</v>
      </c>
      <c r="S1247">
        <v>2.9708709999999998</v>
      </c>
      <c r="T1247">
        <v>-0.2490772</v>
      </c>
      <c r="U1247">
        <v>-0.7463379</v>
      </c>
      <c r="V1247">
        <v>-1.502273E-2</v>
      </c>
      <c r="W1247">
        <v>9.7781689999999997E-3</v>
      </c>
      <c r="X1247">
        <v>0.99983940000000004</v>
      </c>
      <c r="Y1247">
        <v>0.18392069999999999</v>
      </c>
      <c r="Z1247">
        <v>-2.587953E-3</v>
      </c>
      <c r="AA1247">
        <v>0.98293770000000003</v>
      </c>
      <c r="AB1247">
        <v>27</v>
      </c>
      <c r="AC1247">
        <v>12.9373</v>
      </c>
      <c r="AD1247">
        <v>-1.100135750335</v>
      </c>
      <c r="AE1247">
        <v>-3.2816000000000201</v>
      </c>
      <c r="AF1247">
        <v>2.4734267851435399</v>
      </c>
      <c r="AG1247">
        <v>-1.100135750335</v>
      </c>
      <c r="AH1247">
        <v>13.0241559853567</v>
      </c>
      <c r="AI1247">
        <v>94.743857297043306</v>
      </c>
      <c r="AJ1247">
        <v>79.246970364345302</v>
      </c>
      <c r="AK1247">
        <v>13.302510209037001</v>
      </c>
    </row>
    <row r="1248" spans="1:37" x14ac:dyDescent="0.2">
      <c r="A1248" t="str">
        <f>"20200111155816154"</f>
        <v>20200111155816154</v>
      </c>
      <c r="B1248" t="str">
        <f>"1578729496142533"</f>
        <v>1578729496142533</v>
      </c>
      <c r="C1248" t="s">
        <v>37</v>
      </c>
      <c r="D1248">
        <v>5.6588409999999998</v>
      </c>
      <c r="E1248">
        <v>0.57836379999999998</v>
      </c>
      <c r="F1248" t="s">
        <v>39</v>
      </c>
      <c r="G1248">
        <v>-210.28829999999999</v>
      </c>
      <c r="H1248" s="1">
        <v>-4.8968310000000001E-6</v>
      </c>
      <c r="I1248">
        <v>365.39830000000001</v>
      </c>
      <c r="J1248">
        <v>-223.3664</v>
      </c>
      <c r="K1248">
        <v>1.1001259999999999</v>
      </c>
      <c r="L1248">
        <v>368.75920000000002</v>
      </c>
      <c r="M1248">
        <v>0.9978302</v>
      </c>
      <c r="N1248">
        <v>0</v>
      </c>
      <c r="O1248">
        <v>-6.4277819999999999E-2</v>
      </c>
      <c r="P1248">
        <v>0.99871679999999996</v>
      </c>
      <c r="Q1248">
        <v>-4.0608040000000003E-3</v>
      </c>
      <c r="R1248">
        <v>-5.0482720000000002E-2</v>
      </c>
      <c r="S1248">
        <v>2.9674839999999998</v>
      </c>
      <c r="T1248">
        <v>-0.24656629999999999</v>
      </c>
      <c r="U1248">
        <v>-0.75634769999999996</v>
      </c>
      <c r="V1248">
        <v>-1.371488E-2</v>
      </c>
      <c r="W1248">
        <v>1.0346050000000001E-2</v>
      </c>
      <c r="X1248">
        <v>0.99985239999999997</v>
      </c>
      <c r="Y1248">
        <v>0.18379319999999999</v>
      </c>
      <c r="Z1248">
        <v>-2.2677249999999999E-3</v>
      </c>
      <c r="AA1248">
        <v>0.98296229999999996</v>
      </c>
      <c r="AB1248">
        <v>27</v>
      </c>
      <c r="AC1248">
        <v>13.078099999999999</v>
      </c>
      <c r="AD1248">
        <v>-1.100130896831</v>
      </c>
      <c r="AE1248">
        <v>-3.3609000000000102</v>
      </c>
      <c r="AF1248">
        <v>2.49665883246954</v>
      </c>
      <c r="AG1248">
        <v>-1.100130896831</v>
      </c>
      <c r="AH1248">
        <v>13.179618983913601</v>
      </c>
      <c r="AI1248">
        <v>94.688538395215204</v>
      </c>
      <c r="AJ1248">
        <v>79.273373889286304</v>
      </c>
      <c r="AK1248">
        <v>13.4590471385253</v>
      </c>
    </row>
    <row r="1249" spans="1:37" x14ac:dyDescent="0.2">
      <c r="A1249" t="str">
        <f>"20200111155816170"</f>
        <v>20200111155816170</v>
      </c>
      <c r="B1249" t="str">
        <f>"1578729496162053"</f>
        <v>1578729496162053</v>
      </c>
      <c r="C1249" t="s">
        <v>37</v>
      </c>
      <c r="D1249">
        <v>5.6558060000000001</v>
      </c>
      <c r="E1249">
        <v>0.57805830000000002</v>
      </c>
      <c r="F1249" t="s">
        <v>39</v>
      </c>
      <c r="G1249">
        <v>-210.0994</v>
      </c>
      <c r="H1249" s="1">
        <v>-4.9917250000000001E-6</v>
      </c>
      <c r="I1249">
        <v>365.3202</v>
      </c>
      <c r="J1249">
        <v>-223.17060000000001</v>
      </c>
      <c r="K1249">
        <v>1.1001319999999899</v>
      </c>
      <c r="L1249">
        <v>368.741999999999</v>
      </c>
      <c r="M1249">
        <v>0.99754179999999903</v>
      </c>
      <c r="N1249">
        <v>0</v>
      </c>
      <c r="O1249">
        <v>-6.8607970000000004E-2</v>
      </c>
      <c r="P1249">
        <v>0.99831930000000002</v>
      </c>
      <c r="Q1249">
        <v>-2.3134229999999898E-3</v>
      </c>
      <c r="R1249">
        <v>-5.7913470000000002E-2</v>
      </c>
      <c r="S1249">
        <v>2.964035</v>
      </c>
      <c r="T1249">
        <v>-0.24578449999999999</v>
      </c>
      <c r="U1249">
        <v>-0.7683411</v>
      </c>
      <c r="V1249">
        <v>-1.059561E-2</v>
      </c>
      <c r="W1249">
        <v>1.206542E-2</v>
      </c>
      <c r="X1249">
        <v>0.99987109999999901</v>
      </c>
      <c r="Y1249">
        <v>0.1835484</v>
      </c>
      <c r="Z1249">
        <v>-1.901565E-3</v>
      </c>
      <c r="AA1249">
        <v>0.98300889999999996</v>
      </c>
      <c r="AB1249">
        <v>27</v>
      </c>
      <c r="AC1249">
        <v>13.071199999999999</v>
      </c>
      <c r="AD1249">
        <v>-1.1001369917249999</v>
      </c>
      <c r="AE1249">
        <v>-3.4217999999999602</v>
      </c>
      <c r="AF1249">
        <v>2.5002804608332498</v>
      </c>
      <c r="AG1249">
        <v>-1.1001369917249999</v>
      </c>
      <c r="AH1249">
        <v>13.1877533831655</v>
      </c>
      <c r="AI1249">
        <v>94.685550518661003</v>
      </c>
      <c r="AJ1249">
        <v>79.264647437924793</v>
      </c>
      <c r="AK1249">
        <v>13.467685141797</v>
      </c>
    </row>
    <row r="1250" spans="1:37" x14ac:dyDescent="0.2">
      <c r="A1250" t="str">
        <f>"20200111155816184"</f>
        <v>20200111155816184</v>
      </c>
      <c r="B1250" t="str">
        <f>"1578729496182549"</f>
        <v>1578729496182549</v>
      </c>
      <c r="C1250" t="s">
        <v>37</v>
      </c>
      <c r="D1250">
        <v>5.6808719999999999</v>
      </c>
      <c r="E1250">
        <v>0.5710731</v>
      </c>
      <c r="F1250" t="s">
        <v>44</v>
      </c>
      <c r="G1250">
        <v>-209.7166</v>
      </c>
      <c r="H1250" s="1">
        <v>-5.8863209999999998E-6</v>
      </c>
      <c r="I1250">
        <v>365.15949999999998</v>
      </c>
      <c r="J1250">
        <v>-222.99430000000001</v>
      </c>
      <c r="K1250">
        <v>1.1001379999999901</v>
      </c>
      <c r="L1250">
        <v>368.72579999999999</v>
      </c>
      <c r="M1250">
        <v>0.99726550000000003</v>
      </c>
      <c r="N1250">
        <v>0</v>
      </c>
      <c r="O1250">
        <v>-7.2512800000000002E-2</v>
      </c>
      <c r="P1250">
        <v>0.99799839999999995</v>
      </c>
      <c r="Q1250">
        <v>-1.2891479999999999E-3</v>
      </c>
      <c r="R1250">
        <v>-6.3231410000000002E-2</v>
      </c>
      <c r="S1250">
        <v>2.9588009999999998</v>
      </c>
      <c r="T1250">
        <v>-0.24194099999999999</v>
      </c>
      <c r="U1250">
        <v>-0.78787229999999997</v>
      </c>
      <c r="V1250">
        <v>-9.1723050000000004E-3</v>
      </c>
      <c r="W1250">
        <v>1.307814E-2</v>
      </c>
      <c r="X1250">
        <v>0.99987239999999999</v>
      </c>
      <c r="Y1250">
        <v>0.18620590000000001</v>
      </c>
      <c r="Z1250">
        <v>-1.669175E-3</v>
      </c>
      <c r="AA1250">
        <v>0.98250930000000003</v>
      </c>
      <c r="AB1250">
        <v>27</v>
      </c>
      <c r="AC1250">
        <v>13.277699999999999</v>
      </c>
      <c r="AD1250">
        <v>-1.10014388632099</v>
      </c>
      <c r="AE1250">
        <v>-3.5663000000000098</v>
      </c>
      <c r="AF1250">
        <v>2.5775041752344601</v>
      </c>
      <c r="AG1250">
        <v>-1.10014388632099</v>
      </c>
      <c r="AH1250">
        <v>13.4154651444248</v>
      </c>
      <c r="AI1250">
        <v>94.604249382759207</v>
      </c>
      <c r="AJ1250">
        <v>79.124328857281498</v>
      </c>
      <c r="AK1250">
        <v>13.705055614087801</v>
      </c>
    </row>
    <row r="1251" spans="1:37" x14ac:dyDescent="0.2">
      <c r="A1251" t="str">
        <f>"20200111155816198"</f>
        <v>20200111155816198</v>
      </c>
      <c r="B1251" t="str">
        <f>"1578729496192309"</f>
        <v>1578729496192309</v>
      </c>
      <c r="C1251" t="s">
        <v>37</v>
      </c>
      <c r="D1251">
        <v>5.6732389999999997</v>
      </c>
      <c r="E1251">
        <v>0.57065690000000002</v>
      </c>
      <c r="F1251" t="s">
        <v>38</v>
      </c>
      <c r="G1251">
        <v>-222.27860000000001</v>
      </c>
      <c r="H1251">
        <v>1.034791</v>
      </c>
      <c r="I1251">
        <v>368.54480000000001</v>
      </c>
      <c r="J1251">
        <v>-222.83260000000001</v>
      </c>
      <c r="K1251">
        <v>1.1001430000000001</v>
      </c>
      <c r="L1251">
        <v>368.71019999999999</v>
      </c>
      <c r="M1251">
        <v>0.99699899999999997</v>
      </c>
      <c r="N1251">
        <v>0</v>
      </c>
      <c r="O1251">
        <v>-7.6087710000000003E-2</v>
      </c>
      <c r="P1251">
        <v>0.99767240000000001</v>
      </c>
      <c r="Q1251">
        <v>-5.3456239999999996E-4</v>
      </c>
      <c r="R1251">
        <v>-6.8187830000000005E-2</v>
      </c>
      <c r="S1251">
        <v>2.9583279999999998</v>
      </c>
      <c r="T1251">
        <v>-0.27001900000000001</v>
      </c>
      <c r="U1251">
        <v>-0.74719239999999998</v>
      </c>
      <c r="V1251">
        <v>-7.7824169999999998E-3</v>
      </c>
      <c r="W1251">
        <v>1.382004E-2</v>
      </c>
      <c r="X1251">
        <v>0.99987420000000005</v>
      </c>
      <c r="Y1251">
        <v>0.17002799999999901</v>
      </c>
      <c r="Z1251">
        <v>-8.2086119999999995E-4</v>
      </c>
      <c r="AA1251">
        <v>0.98543890000000001</v>
      </c>
      <c r="AB1251">
        <v>27</v>
      </c>
      <c r="AC1251">
        <v>0.55400000000000205</v>
      </c>
      <c r="AD1251">
        <v>-6.5351999999999993E-2</v>
      </c>
      <c r="AE1251">
        <v>-0.16539999999997601</v>
      </c>
      <c r="AF1251">
        <v>0.12121482776913001</v>
      </c>
      <c r="AG1251">
        <v>-6.5351999999999993E-2</v>
      </c>
      <c r="AH1251">
        <v>0.55785241356492898</v>
      </c>
      <c r="AI1251">
        <v>96.530673156492497</v>
      </c>
      <c r="AJ1251">
        <v>77.740859315072996</v>
      </c>
      <c r="AK1251">
        <v>0.57459832378394304</v>
      </c>
    </row>
    <row r="1252" spans="1:37" x14ac:dyDescent="0.2">
      <c r="A1252" t="str">
        <f>"20200111155816214"</f>
        <v>20200111155816214</v>
      </c>
      <c r="B1252" t="str">
        <f>"1578729496202069"</f>
        <v>1578729496202069</v>
      </c>
      <c r="C1252" t="s">
        <v>37</v>
      </c>
      <c r="D1252">
        <v>5.7129300000000001</v>
      </c>
      <c r="E1252">
        <v>0.570106</v>
      </c>
      <c r="F1252" t="s">
        <v>38</v>
      </c>
      <c r="G1252">
        <v>-222.04310000000001</v>
      </c>
      <c r="H1252">
        <v>1.0290219999999899</v>
      </c>
      <c r="I1252">
        <v>368.50740000000002</v>
      </c>
      <c r="J1252">
        <v>-222.6422</v>
      </c>
      <c r="K1252">
        <v>1.1001620000000001</v>
      </c>
      <c r="L1252">
        <v>368.69110000000001</v>
      </c>
      <c r="M1252">
        <v>0.99666919999999903</v>
      </c>
      <c r="N1252">
        <v>0</v>
      </c>
      <c r="O1252">
        <v>-8.0291440000000006E-2</v>
      </c>
      <c r="P1252">
        <v>0.99724579999999996</v>
      </c>
      <c r="Q1252">
        <v>1.2115800000000001E-3</v>
      </c>
      <c r="R1252">
        <v>-7.4155949999999998E-2</v>
      </c>
      <c r="S1252">
        <v>2.9550169999999998</v>
      </c>
      <c r="T1252">
        <v>-0.2661557</v>
      </c>
      <c r="U1252">
        <v>-0.75851440000000003</v>
      </c>
      <c r="V1252">
        <v>-5.998153E-3</v>
      </c>
      <c r="W1252">
        <v>1.5548859999999999E-2</v>
      </c>
      <c r="X1252">
        <v>0.99986109999999995</v>
      </c>
      <c r="Y1252">
        <v>0.16970739999999901</v>
      </c>
      <c r="Z1252">
        <v>-4.2650379999999898E-4</v>
      </c>
      <c r="AA1252">
        <v>0.98549439999999999</v>
      </c>
      <c r="AB1252">
        <v>27</v>
      </c>
      <c r="AC1252">
        <v>0.59909999999999197</v>
      </c>
      <c r="AD1252">
        <v>-7.1140000000000203E-2</v>
      </c>
      <c r="AE1252">
        <v>-0.18369999999998701</v>
      </c>
      <c r="AF1252">
        <v>0.133281482520024</v>
      </c>
      <c r="AG1252">
        <v>-7.1140000000000203E-2</v>
      </c>
      <c r="AH1252">
        <v>0.60413005280166698</v>
      </c>
      <c r="AI1252">
        <v>96.5596836316832</v>
      </c>
      <c r="AJ1252">
        <v>77.558855274994499</v>
      </c>
      <c r="AK1252">
        <v>0.62273427228704903</v>
      </c>
    </row>
    <row r="1253" spans="1:37" x14ac:dyDescent="0.2">
      <c r="A1253" t="str">
        <f>"20200111155816238"</f>
        <v>20200111155816238</v>
      </c>
      <c r="B1253" t="str">
        <f>"1578729496232326"</f>
        <v>1578729496232326</v>
      </c>
      <c r="C1253" t="s">
        <v>37</v>
      </c>
      <c r="D1253">
        <v>5.6586270000000001</v>
      </c>
      <c r="E1253">
        <v>0.56373390000000001</v>
      </c>
      <c r="F1253" t="s">
        <v>38</v>
      </c>
      <c r="G1253">
        <v>-221.80670000000001</v>
      </c>
      <c r="H1253">
        <v>1.02528</v>
      </c>
      <c r="I1253">
        <v>368.47239999999999</v>
      </c>
      <c r="J1253">
        <v>-222.3657</v>
      </c>
      <c r="K1253">
        <v>1.100193</v>
      </c>
      <c r="L1253">
        <v>368.66199999999998</v>
      </c>
      <c r="M1253">
        <v>0.99616070000000001</v>
      </c>
      <c r="N1253">
        <v>0</v>
      </c>
      <c r="O1253">
        <v>-8.6372439999999995E-2</v>
      </c>
      <c r="P1253">
        <v>0.99669669999999899</v>
      </c>
      <c r="Q1253">
        <v>3.0868900000000001E-3</v>
      </c>
      <c r="R1253">
        <v>-8.1157149999999997E-2</v>
      </c>
      <c r="S1253">
        <v>2.9512019999999999</v>
      </c>
      <c r="T1253">
        <v>-0.26456740000000001</v>
      </c>
      <c r="U1253">
        <v>-0.77206419999999998</v>
      </c>
      <c r="V1253">
        <v>-5.0597089999999999E-3</v>
      </c>
      <c r="W1253">
        <v>1.7415900000000002E-2</v>
      </c>
      <c r="X1253">
        <v>0.99983559999999905</v>
      </c>
      <c r="Y1253">
        <v>0.16827139999999999</v>
      </c>
      <c r="Z1253">
        <v>1.6950719999999999E-4</v>
      </c>
      <c r="AA1253">
        <v>0.98574069999999903</v>
      </c>
      <c r="AB1253">
        <v>27</v>
      </c>
      <c r="AC1253">
        <v>0.55899999999999705</v>
      </c>
      <c r="AD1253">
        <v>-7.4912999999999993E-2</v>
      </c>
      <c r="AE1253">
        <v>-0.189599999999984</v>
      </c>
      <c r="AF1253">
        <v>0.13837545566555601</v>
      </c>
      <c r="AG1253">
        <v>-7.4912999999999993E-2</v>
      </c>
      <c r="AH1253">
        <v>0.56420114849193603</v>
      </c>
      <c r="AI1253">
        <v>97.348041408715005</v>
      </c>
      <c r="AJ1253">
        <v>76.219696429500999</v>
      </c>
      <c r="AK1253">
        <v>0.58573258425605002</v>
      </c>
    </row>
    <row r="1254" spans="1:37" x14ac:dyDescent="0.2">
      <c r="A1254" t="str">
        <f>"20200111155816251"</f>
        <v>20200111155816251</v>
      </c>
      <c r="B1254" t="str">
        <f>"1578729496242085"</f>
        <v>1578729496242085</v>
      </c>
      <c r="C1254" t="s">
        <v>37</v>
      </c>
      <c r="D1254">
        <v>9.0247820000000001</v>
      </c>
      <c r="E1254">
        <v>0.56423459999999903</v>
      </c>
      <c r="F1254" t="s">
        <v>38</v>
      </c>
      <c r="G1254">
        <v>-221.56599999999901</v>
      </c>
      <c r="H1254">
        <v>1.0272920000000001</v>
      </c>
      <c r="I1254">
        <v>368.46080000000001</v>
      </c>
      <c r="J1254">
        <v>-222.19540000000001</v>
      </c>
      <c r="K1254">
        <v>1.100212</v>
      </c>
      <c r="L1254">
        <v>368.64319999999998</v>
      </c>
      <c r="M1254">
        <v>0.9958302</v>
      </c>
      <c r="N1254">
        <v>0</v>
      </c>
      <c r="O1254">
        <v>-9.0102280000000007E-2</v>
      </c>
      <c r="P1254">
        <v>0.99636619999999998</v>
      </c>
      <c r="Q1254">
        <v>3.9002629999999902E-3</v>
      </c>
      <c r="R1254">
        <v>-8.5085439999999998E-2</v>
      </c>
      <c r="S1254">
        <v>2.9503629999999998</v>
      </c>
      <c r="T1254">
        <v>-0.26894439999999997</v>
      </c>
      <c r="U1254">
        <v>-0.74191280000000004</v>
      </c>
      <c r="V1254">
        <v>-4.8546320000000002E-3</v>
      </c>
      <c r="W1254">
        <v>1.8226869999999999E-2</v>
      </c>
      <c r="X1254">
        <v>0.99982209999999905</v>
      </c>
      <c r="Y1254">
        <v>0.15523629999999999</v>
      </c>
      <c r="Z1254">
        <v>1.0885839999999901E-3</v>
      </c>
      <c r="AA1254">
        <v>0.9878768</v>
      </c>
      <c r="AB1254">
        <v>27</v>
      </c>
      <c r="AC1254">
        <v>0.62940000000003204</v>
      </c>
      <c r="AD1254">
        <v>-7.2920000000000096E-2</v>
      </c>
      <c r="AE1254">
        <v>-0.182399999999972</v>
      </c>
      <c r="AF1254">
        <v>0.12341358594957499</v>
      </c>
      <c r="AG1254">
        <v>-7.2920000000000096E-2</v>
      </c>
      <c r="AH1254">
        <v>0.63540764221978097</v>
      </c>
      <c r="AI1254">
        <v>96.427596981512096</v>
      </c>
      <c r="AJ1254">
        <v>79.0084413038132</v>
      </c>
      <c r="AK1254">
        <v>0.65137632086853903</v>
      </c>
    </row>
    <row r="1255" spans="1:37" x14ac:dyDescent="0.2">
      <c r="A1255" t="str">
        <f>"20200111155816270"</f>
        <v>20200111155816270</v>
      </c>
      <c r="B1255" t="str">
        <f>"1578729496262580"</f>
        <v>1578729496262580</v>
      </c>
      <c r="C1255" t="s">
        <v>37</v>
      </c>
      <c r="D1255">
        <v>5.7725879999999998</v>
      </c>
      <c r="E1255">
        <v>0.56374679999999999</v>
      </c>
      <c r="F1255" t="s">
        <v>44</v>
      </c>
      <c r="G1255">
        <v>-203.22219999999999</v>
      </c>
      <c r="H1255" s="1">
        <v>-3.3615419999999998E-6</v>
      </c>
      <c r="I1255">
        <v>363.7475</v>
      </c>
      <c r="J1255">
        <v>-221.9752</v>
      </c>
      <c r="K1255">
        <v>1.1002399999999899</v>
      </c>
      <c r="L1255">
        <v>368.61799999999999</v>
      </c>
      <c r="M1255">
        <v>0.99538389999999999</v>
      </c>
      <c r="N1255">
        <v>0</v>
      </c>
      <c r="O1255">
        <v>-9.4906519999999994E-2</v>
      </c>
      <c r="P1255">
        <v>0.99588449999999995</v>
      </c>
      <c r="Q1255">
        <v>4.1986239999999998E-3</v>
      </c>
      <c r="R1255">
        <v>-9.0536749999999999E-2</v>
      </c>
      <c r="S1255">
        <v>2.9466860000000001</v>
      </c>
      <c r="T1255">
        <v>-0.17087160000000001</v>
      </c>
      <c r="U1255">
        <v>-0.76034550000000001</v>
      </c>
      <c r="V1255">
        <v>-4.2057500000000003E-3</v>
      </c>
      <c r="W1255">
        <v>1.851817E-2</v>
      </c>
      <c r="X1255">
        <v>0.99981969999999998</v>
      </c>
      <c r="Y1255">
        <v>0.15671940000000001</v>
      </c>
      <c r="Z1255">
        <v>9.2153299999999999E-4</v>
      </c>
      <c r="AA1255">
        <v>0.98764269999999998</v>
      </c>
      <c r="AB1255">
        <v>27</v>
      </c>
      <c r="AC1255">
        <v>18.753</v>
      </c>
      <c r="AD1255">
        <v>-1.100243361542</v>
      </c>
      <c r="AE1255">
        <v>-4.8705000000000496</v>
      </c>
      <c r="AF1255">
        <v>3.0586844905025101</v>
      </c>
      <c r="AG1255">
        <v>-1.100243361542</v>
      </c>
      <c r="AH1255">
        <v>19.069132601062201</v>
      </c>
      <c r="AI1255">
        <v>93.260582175875001</v>
      </c>
      <c r="AJ1255">
        <v>80.887391053243505</v>
      </c>
      <c r="AK1255">
        <v>19.344195626180699</v>
      </c>
    </row>
    <row r="1256" spans="1:37" x14ac:dyDescent="0.2">
      <c r="A1256" t="str">
        <f>"20200111155816284"</f>
        <v>20200111155816284</v>
      </c>
      <c r="B1256" t="str">
        <f>"1578729496272341"</f>
        <v>1578729496272341</v>
      </c>
      <c r="C1256" t="s">
        <v>37</v>
      </c>
      <c r="D1256">
        <v>5.7482670000000002</v>
      </c>
      <c r="E1256">
        <v>0.55832729999999997</v>
      </c>
      <c r="F1256" t="s">
        <v>44</v>
      </c>
      <c r="G1256">
        <v>-202.48689999999999</v>
      </c>
      <c r="H1256" s="1">
        <v>-3.046392E-6</v>
      </c>
      <c r="I1256">
        <v>363.50009999999997</v>
      </c>
      <c r="J1256">
        <v>-221.80779999999999</v>
      </c>
      <c r="K1256">
        <v>1.1002559999999999</v>
      </c>
      <c r="L1256">
        <v>368.59820000000002</v>
      </c>
      <c r="M1256">
        <v>0.99503019999999998</v>
      </c>
      <c r="N1256">
        <v>0</v>
      </c>
      <c r="O1256">
        <v>-9.8544190000000004E-2</v>
      </c>
      <c r="P1256">
        <v>0.99557669999999998</v>
      </c>
      <c r="Q1256">
        <v>4.1360099999999999E-3</v>
      </c>
      <c r="R1256">
        <v>-9.3860399999999997E-2</v>
      </c>
      <c r="S1256">
        <v>2.9428099999999899</v>
      </c>
      <c r="T1256">
        <v>-0.16614100000000001</v>
      </c>
      <c r="U1256">
        <v>-0.77282709999999999</v>
      </c>
      <c r="V1256">
        <v>-4.5237469999999998E-3</v>
      </c>
      <c r="W1256">
        <v>1.8458099999999901E-2</v>
      </c>
      <c r="X1256">
        <v>0.99981939999999903</v>
      </c>
      <c r="Y1256">
        <v>0.15735660000000001</v>
      </c>
      <c r="Z1256">
        <v>1.078643E-3</v>
      </c>
      <c r="AA1256">
        <v>0.98754129999999996</v>
      </c>
      <c r="AB1256">
        <v>27</v>
      </c>
      <c r="AC1256">
        <v>19.320899999999899</v>
      </c>
      <c r="AD1256">
        <v>-1.1002590463919999</v>
      </c>
      <c r="AE1256">
        <v>-5.0981000000000396</v>
      </c>
      <c r="AF1256">
        <v>3.1595450184815701</v>
      </c>
      <c r="AG1256">
        <v>-1.1002590463919999</v>
      </c>
      <c r="AH1256">
        <v>19.6696441787299</v>
      </c>
      <c r="AI1256">
        <v>93.161173173272303</v>
      </c>
      <c r="AJ1256">
        <v>80.874502595386701</v>
      </c>
      <c r="AK1256">
        <v>19.952147674143301</v>
      </c>
    </row>
    <row r="1257" spans="1:37" x14ac:dyDescent="0.2">
      <c r="A1257" t="str">
        <f>"20200111155816296"</f>
        <v>20200111155816296</v>
      </c>
      <c r="B1257" t="str">
        <f>"1578729496291861"</f>
        <v>1578729496291861</v>
      </c>
      <c r="C1257" t="s">
        <v>37</v>
      </c>
      <c r="D1257">
        <v>5.7770409999999996</v>
      </c>
      <c r="E1257">
        <v>0.55786930000000001</v>
      </c>
      <c r="F1257" t="s">
        <v>38</v>
      </c>
      <c r="G1257">
        <v>-221.08699999999999</v>
      </c>
      <c r="H1257">
        <v>1.0300559999999901</v>
      </c>
      <c r="I1257">
        <v>368.41809999999998</v>
      </c>
      <c r="J1257">
        <v>-221.6568</v>
      </c>
      <c r="K1257">
        <v>1.1002670000000001</v>
      </c>
      <c r="L1257">
        <v>368.57960000000003</v>
      </c>
      <c r="M1257">
        <v>0.99470159999999996</v>
      </c>
      <c r="N1257">
        <v>0</v>
      </c>
      <c r="O1257">
        <v>-0.1018082</v>
      </c>
      <c r="P1257">
        <v>0.99528159999999899</v>
      </c>
      <c r="Q1257">
        <v>3.9680590000000003E-3</v>
      </c>
      <c r="R1257">
        <v>-9.6947039999999998E-2</v>
      </c>
      <c r="S1257">
        <v>2.9451450000000001</v>
      </c>
      <c r="T1257">
        <v>-0.28688350000000001</v>
      </c>
      <c r="U1257">
        <v>-0.73574830000000002</v>
      </c>
      <c r="V1257">
        <v>-4.706834E-3</v>
      </c>
      <c r="W1257">
        <v>1.829076E-2</v>
      </c>
      <c r="X1257">
        <v>0.99982159999999998</v>
      </c>
      <c r="Y1257">
        <v>0.14214669999999999</v>
      </c>
      <c r="Z1257">
        <v>2.8999E-3</v>
      </c>
      <c r="AA1257">
        <v>0.98984130000000004</v>
      </c>
      <c r="AB1257">
        <v>27</v>
      </c>
      <c r="AC1257">
        <v>0.56979999999998598</v>
      </c>
      <c r="AD1257">
        <v>-7.0211000000000204E-2</v>
      </c>
      <c r="AE1257">
        <v>-0.161500000000046</v>
      </c>
      <c r="AF1257">
        <v>0.101221860740991</v>
      </c>
      <c r="AG1257">
        <v>-7.0211000000000204E-2</v>
      </c>
      <c r="AH1257">
        <v>0.57519846403520303</v>
      </c>
      <c r="AI1257">
        <v>96.855013551459095</v>
      </c>
      <c r="AJ1257">
        <v>80.019433406069695</v>
      </c>
      <c r="AK1257">
        <v>0.58824206126502498</v>
      </c>
    </row>
    <row r="1258" spans="1:37" x14ac:dyDescent="0.2">
      <c r="A1258" t="str">
        <f>"20200111155816316"</f>
        <v>20200111155816316</v>
      </c>
      <c r="B1258" t="str">
        <f>"1578729496312357"</f>
        <v>1578729496312357</v>
      </c>
      <c r="C1258" t="s">
        <v>37</v>
      </c>
      <c r="D1258">
        <v>5.702229</v>
      </c>
      <c r="E1258">
        <v>0.58987970000000001</v>
      </c>
      <c r="F1258" t="s">
        <v>38</v>
      </c>
      <c r="G1258">
        <v>-220.85499999999999</v>
      </c>
      <c r="H1258">
        <v>1.0202659999999999</v>
      </c>
      <c r="I1258">
        <v>368.3775</v>
      </c>
      <c r="J1258">
        <v>-221.4237</v>
      </c>
      <c r="K1258">
        <v>1.100301</v>
      </c>
      <c r="L1258">
        <v>368.55020000000002</v>
      </c>
      <c r="M1258">
        <v>0.99417599999999995</v>
      </c>
      <c r="N1258">
        <v>0</v>
      </c>
      <c r="O1258">
        <v>-0.1068204</v>
      </c>
      <c r="P1258">
        <v>0.99485919999999906</v>
      </c>
      <c r="Q1258">
        <v>2.93588099999999E-3</v>
      </c>
      <c r="R1258">
        <v>-0.1012281</v>
      </c>
      <c r="S1258">
        <v>2.9432369999999999</v>
      </c>
      <c r="T1258">
        <v>-0.2935702</v>
      </c>
      <c r="U1258">
        <v>-0.74093629999999999</v>
      </c>
      <c r="V1258">
        <v>-5.4568630000000002E-3</v>
      </c>
      <c r="W1258">
        <v>1.726333E-2</v>
      </c>
      <c r="X1258">
        <v>0.99983609999999901</v>
      </c>
      <c r="Y1258">
        <v>0.13897870000000001</v>
      </c>
      <c r="Z1258">
        <v>3.6093549999999999E-3</v>
      </c>
      <c r="AA1258">
        <v>0.99028879999999997</v>
      </c>
      <c r="AB1258">
        <v>27</v>
      </c>
      <c r="AC1258">
        <v>0.56870000000000598</v>
      </c>
      <c r="AD1258">
        <v>-8.0034999999999995E-2</v>
      </c>
      <c r="AE1258">
        <v>-0.17270000000002</v>
      </c>
      <c r="AF1258">
        <v>0.10898051474479301</v>
      </c>
      <c r="AG1258">
        <v>-8.0034999999999995E-2</v>
      </c>
      <c r="AH1258">
        <v>0.57349564622936799</v>
      </c>
      <c r="AI1258">
        <v>97.806746695589496</v>
      </c>
      <c r="AJ1258">
        <v>79.2404571419316</v>
      </c>
      <c r="AK1258">
        <v>0.58921949226335102</v>
      </c>
    </row>
    <row r="1259" spans="1:37" x14ac:dyDescent="0.2">
      <c r="A1259" t="str">
        <f>"20200111155816329"</f>
        <v>20200111155816329</v>
      </c>
      <c r="B1259" t="str">
        <f>"1578729496322118"</f>
        <v>1578729496322118</v>
      </c>
      <c r="C1259" t="s">
        <v>37</v>
      </c>
      <c r="D1259">
        <v>5.7861379999999896</v>
      </c>
      <c r="E1259">
        <v>0.6022246</v>
      </c>
      <c r="F1259" t="s">
        <v>39</v>
      </c>
      <c r="G1259">
        <v>-210.4734</v>
      </c>
      <c r="H1259" s="1">
        <v>-4.9301539999999998E-6</v>
      </c>
      <c r="I1259">
        <v>364.7629</v>
      </c>
      <c r="J1259">
        <v>-221.2664</v>
      </c>
      <c r="K1259">
        <v>1.1003289999999999</v>
      </c>
      <c r="L1259">
        <v>368.52969999999999</v>
      </c>
      <c r="M1259">
        <v>0.99380919999999895</v>
      </c>
      <c r="N1259">
        <v>0</v>
      </c>
      <c r="O1259">
        <v>-0.1101799</v>
      </c>
      <c r="P1259">
        <v>0.99453939999999996</v>
      </c>
      <c r="Q1259">
        <v>2.8735869999999999E-3</v>
      </c>
      <c r="R1259">
        <v>-0.10432279999999999</v>
      </c>
      <c r="S1259">
        <v>2.9138029999999899</v>
      </c>
      <c r="T1259">
        <v>-0.29278159999999998</v>
      </c>
      <c r="U1259">
        <v>-1.007782</v>
      </c>
      <c r="V1259">
        <v>-5.727668E-3</v>
      </c>
      <c r="W1259">
        <v>1.7201830000000001E-2</v>
      </c>
      <c r="X1259">
        <v>0.99983559999999905</v>
      </c>
      <c r="Y1259">
        <v>0.22024579999999999</v>
      </c>
      <c r="Z1259" s="1">
        <v>-5.8912670000000001E-5</v>
      </c>
      <c r="AA1259">
        <v>0.97544439999999999</v>
      </c>
      <c r="AB1259">
        <v>27</v>
      </c>
      <c r="AC1259">
        <v>10.792999999999999</v>
      </c>
      <c r="AD1259">
        <v>-1.1003339301540001</v>
      </c>
      <c r="AE1259">
        <v>-3.7667999999999799</v>
      </c>
      <c r="AF1259">
        <v>2.5311180487971101</v>
      </c>
      <c r="AG1259">
        <v>-1.1003339301540001</v>
      </c>
      <c r="AH1259">
        <v>11.040056373903401</v>
      </c>
      <c r="AI1259">
        <v>95.5486978736852</v>
      </c>
      <c r="AJ1259">
        <v>77.087142214813895</v>
      </c>
      <c r="AK1259">
        <v>11.379812743352099</v>
      </c>
    </row>
    <row r="1260" spans="1:37" x14ac:dyDescent="0.2">
      <c r="A1260" t="str">
        <f>"20200111155816342"</f>
        <v>20200111155816342</v>
      </c>
      <c r="B1260" t="str">
        <f>"1578729496331877"</f>
        <v>1578729496331877</v>
      </c>
      <c r="C1260" t="s">
        <v>37</v>
      </c>
      <c r="D1260">
        <v>5.8187030000000002</v>
      </c>
      <c r="E1260">
        <v>0.60759079999999999</v>
      </c>
      <c r="F1260" t="s">
        <v>39</v>
      </c>
      <c r="G1260">
        <v>-210.1652</v>
      </c>
      <c r="H1260" s="1">
        <v>-5.1513909999999999E-6</v>
      </c>
      <c r="I1260">
        <v>364.260999999999</v>
      </c>
      <c r="J1260">
        <v>-221.10839999999999</v>
      </c>
      <c r="K1260">
        <v>1.1003590000000001</v>
      </c>
      <c r="L1260">
        <v>368.5086</v>
      </c>
      <c r="M1260">
        <v>0.99343159999999897</v>
      </c>
      <c r="N1260">
        <v>0</v>
      </c>
      <c r="O1260">
        <v>-0.1135359</v>
      </c>
      <c r="P1260">
        <v>0.99419769999999896</v>
      </c>
      <c r="Q1260">
        <v>2.94123E-3</v>
      </c>
      <c r="R1260">
        <v>-0.10752780000000001</v>
      </c>
      <c r="S1260">
        <v>2.9002840000000001</v>
      </c>
      <c r="T1260">
        <v>-0.28746850000000002</v>
      </c>
      <c r="U1260">
        <v>-1.1152340000000001</v>
      </c>
      <c r="V1260">
        <v>-5.8826080000000001E-3</v>
      </c>
      <c r="W1260">
        <v>1.7267620000000001E-2</v>
      </c>
      <c r="X1260">
        <v>0.99983359999999899</v>
      </c>
      <c r="Y1260">
        <v>0.25002489999999999</v>
      </c>
      <c r="Z1260">
        <v>-1.16884E-3</v>
      </c>
      <c r="AA1260">
        <v>0.96823869999999901</v>
      </c>
      <c r="AB1260">
        <v>27</v>
      </c>
      <c r="AC1260">
        <v>10.9431999999999</v>
      </c>
      <c r="AD1260">
        <v>-1.1003641513910001</v>
      </c>
      <c r="AE1260">
        <v>-4.2476000000000296</v>
      </c>
      <c r="AF1260">
        <v>2.95162093849151</v>
      </c>
      <c r="AG1260">
        <v>-1.1003641513910001</v>
      </c>
      <c r="AH1260">
        <v>11.2558256515066</v>
      </c>
      <c r="AI1260">
        <v>95.401957042978594</v>
      </c>
      <c r="AJ1260">
        <v>75.306142148042397</v>
      </c>
      <c r="AK1260">
        <v>11.6883052033784</v>
      </c>
    </row>
    <row r="1261" spans="1:37" x14ac:dyDescent="0.2">
      <c r="A1261" t="str">
        <f>"20200111155816355"</f>
        <v>20200111155816355</v>
      </c>
      <c r="B1261" t="str">
        <f>"1578729496352378"</f>
        <v>1578729496352378</v>
      </c>
      <c r="C1261" t="s">
        <v>37</v>
      </c>
      <c r="D1261">
        <v>5.6921910000000002</v>
      </c>
      <c r="E1261">
        <v>0.61495889999999997</v>
      </c>
      <c r="F1261" t="s">
        <v>39</v>
      </c>
      <c r="G1261">
        <v>-210.6198</v>
      </c>
      <c r="H1261" s="1">
        <v>-4.953206E-6</v>
      </c>
      <c r="I1261">
        <v>364.27879999999999</v>
      </c>
      <c r="J1261">
        <v>-220.96029999999999</v>
      </c>
      <c r="K1261">
        <v>1.1003909999999999</v>
      </c>
      <c r="L1261">
        <v>368.48829999999998</v>
      </c>
      <c r="M1261">
        <v>0.99307019999999901</v>
      </c>
      <c r="N1261">
        <v>0</v>
      </c>
      <c r="O1261">
        <v>-0.11665399999999999</v>
      </c>
      <c r="P1261">
        <v>0.99385429999999997</v>
      </c>
      <c r="Q1261">
        <v>2.7470529999999902E-3</v>
      </c>
      <c r="R1261">
        <v>-0.110662699999999</v>
      </c>
      <c r="S1261">
        <v>2.8922729999999999</v>
      </c>
      <c r="T1261">
        <v>-0.30342859999999899</v>
      </c>
      <c r="U1261">
        <v>-1.166382</v>
      </c>
      <c r="V1261">
        <v>-5.8721390000000002E-3</v>
      </c>
      <c r="W1261">
        <v>1.7070720000000001E-2</v>
      </c>
      <c r="X1261">
        <v>0.99983699999999998</v>
      </c>
      <c r="Y1261">
        <v>0.26257179999999902</v>
      </c>
      <c r="Z1261">
        <v>-1.558203E-3</v>
      </c>
      <c r="AA1261">
        <v>0.96491119999999997</v>
      </c>
      <c r="AB1261">
        <v>27</v>
      </c>
      <c r="AC1261">
        <v>10.340499999999899</v>
      </c>
      <c r="AD1261">
        <v>-1.1003959532059999</v>
      </c>
      <c r="AE1261">
        <v>-4.2094999999999896</v>
      </c>
      <c r="AF1261">
        <v>2.9457543469031799</v>
      </c>
      <c r="AG1261">
        <v>-1.1003959532059999</v>
      </c>
      <c r="AH1261">
        <v>10.657460144283</v>
      </c>
      <c r="AI1261">
        <v>95.683340458253397</v>
      </c>
      <c r="AJ1261">
        <v>74.549039435412197</v>
      </c>
      <c r="AK1261">
        <v>11.111696389530801</v>
      </c>
    </row>
    <row r="1262" spans="1:37" x14ac:dyDescent="0.2">
      <c r="A1262" t="str">
        <f>"20200111155816370"</f>
        <v>20200111155816370</v>
      </c>
      <c r="B1262" t="str">
        <f>"1578729496362137"</f>
        <v>1578729496362137</v>
      </c>
      <c r="C1262" t="s">
        <v>37</v>
      </c>
      <c r="D1262">
        <v>5.7773209999999997</v>
      </c>
      <c r="E1262">
        <v>0.61649940000000003</v>
      </c>
      <c r="F1262" t="s">
        <v>39</v>
      </c>
      <c r="G1262">
        <v>-210.63849999999999</v>
      </c>
      <c r="H1262" s="1">
        <v>-4.982687E-6</v>
      </c>
      <c r="I1262">
        <v>364.06729999999999</v>
      </c>
      <c r="J1262">
        <v>-220.7764</v>
      </c>
      <c r="K1262">
        <v>1.1004370000000001</v>
      </c>
      <c r="L1262">
        <v>368.4624</v>
      </c>
      <c r="M1262">
        <v>0.99261109999999897</v>
      </c>
      <c r="N1262">
        <v>0</v>
      </c>
      <c r="O1262">
        <v>-0.12049790000000001</v>
      </c>
      <c r="P1262">
        <v>0.99340669999999898</v>
      </c>
      <c r="Q1262">
        <v>2.8754039999999998E-3</v>
      </c>
      <c r="R1262">
        <v>-0.11460679999999999</v>
      </c>
      <c r="S1262">
        <v>2.881958</v>
      </c>
      <c r="T1262">
        <v>-0.30724249999999997</v>
      </c>
      <c r="U1262">
        <v>-1.234375</v>
      </c>
      <c r="V1262">
        <v>-5.7743909999999898E-3</v>
      </c>
      <c r="W1262">
        <v>1.7193730000000001E-2</v>
      </c>
      <c r="X1262">
        <v>0.99983549999999999</v>
      </c>
      <c r="Y1262">
        <v>0.27931790000000001</v>
      </c>
      <c r="Z1262">
        <v>-2.0479179999999902E-3</v>
      </c>
      <c r="AA1262">
        <v>0.96019650000000001</v>
      </c>
      <c r="AB1262">
        <v>27</v>
      </c>
      <c r="AC1262">
        <v>10.1379</v>
      </c>
      <c r="AD1262">
        <v>-1.100441982687</v>
      </c>
      <c r="AE1262">
        <v>-4.39510000000001</v>
      </c>
      <c r="AF1262">
        <v>3.1104979052381401</v>
      </c>
      <c r="AG1262">
        <v>-1.100441982687</v>
      </c>
      <c r="AH1262">
        <v>10.4896301188493</v>
      </c>
      <c r="AI1262">
        <v>95.743425085764997</v>
      </c>
      <c r="AJ1262">
        <v>73.483290247410807</v>
      </c>
      <c r="AK1262">
        <v>10.9962952764111</v>
      </c>
    </row>
    <row r="1263" spans="1:37" x14ac:dyDescent="0.2">
      <c r="A1263" t="str">
        <f>"20200111155816383"</f>
        <v>20200111155816383</v>
      </c>
      <c r="B1263" t="str">
        <f>"1578729496371897"</f>
        <v>1578729496371897</v>
      </c>
      <c r="C1263" t="s">
        <v>37</v>
      </c>
      <c r="D1263">
        <v>5.721336</v>
      </c>
      <c r="E1263">
        <v>0.61792269999999905</v>
      </c>
      <c r="F1263" t="s">
        <v>39</v>
      </c>
      <c r="G1263">
        <v>-210.51949999999999</v>
      </c>
      <c r="H1263" s="1">
        <v>-5.0498380000000001E-6</v>
      </c>
      <c r="I1263">
        <v>363.97660000000002</v>
      </c>
      <c r="J1263">
        <v>-220.61869999999999</v>
      </c>
      <c r="K1263">
        <v>1.1004769999999999</v>
      </c>
      <c r="L1263">
        <v>368.43979999999999</v>
      </c>
      <c r="M1263">
        <v>0.99220849999999905</v>
      </c>
      <c r="N1263">
        <v>0</v>
      </c>
      <c r="O1263">
        <v>-0.1237703</v>
      </c>
      <c r="P1263">
        <v>0.99298660000000005</v>
      </c>
      <c r="Q1263">
        <v>2.863867E-3</v>
      </c>
      <c r="R1263">
        <v>-0.11819349999999899</v>
      </c>
      <c r="S1263">
        <v>2.8756870000000001</v>
      </c>
      <c r="T1263">
        <v>-0.30852309999999999</v>
      </c>
      <c r="U1263">
        <v>-1.25766</v>
      </c>
      <c r="V1263">
        <v>-5.4625919999999996E-3</v>
      </c>
      <c r="W1263">
        <v>1.7174660000000001E-2</v>
      </c>
      <c r="X1263">
        <v>0.99983759999999999</v>
      </c>
      <c r="Y1263">
        <v>0.28344340000000001</v>
      </c>
      <c r="Z1263">
        <v>-1.9410529999999899E-3</v>
      </c>
      <c r="AA1263">
        <v>0.95898700000000003</v>
      </c>
      <c r="AB1263">
        <v>27</v>
      </c>
      <c r="AC1263">
        <v>10.0991999999999</v>
      </c>
      <c r="AD1263">
        <v>-1.1004820498379999</v>
      </c>
      <c r="AE1263">
        <v>-4.4631999999999703</v>
      </c>
      <c r="AF1263">
        <v>3.1475005297926</v>
      </c>
      <c r="AG1263">
        <v>-1.1004820498379999</v>
      </c>
      <c r="AH1263">
        <v>10.4699920106909</v>
      </c>
      <c r="AI1263">
        <v>95.747928068211294</v>
      </c>
      <c r="AJ1263">
        <v>73.268113195262401</v>
      </c>
      <c r="AK1263">
        <v>10.9881096204484</v>
      </c>
    </row>
    <row r="1264" spans="1:37" x14ac:dyDescent="0.2">
      <c r="A1264" t="str">
        <f>"20200111155816438"</f>
        <v>20200111155816438</v>
      </c>
      <c r="B1264" t="str">
        <f>"1578729496432409"</f>
        <v>1578729496432409</v>
      </c>
      <c r="C1264" t="s">
        <v>37</v>
      </c>
      <c r="D1264">
        <v>5.7759919999999996</v>
      </c>
      <c r="E1264">
        <v>0.61932200000000004</v>
      </c>
      <c r="F1264" t="s">
        <v>39</v>
      </c>
      <c r="G1264">
        <v>-210.39709999999999</v>
      </c>
      <c r="H1264" s="1">
        <v>-5.1192860000000003E-6</v>
      </c>
      <c r="I1264">
        <v>363.8811</v>
      </c>
      <c r="J1264">
        <v>-219.9863</v>
      </c>
      <c r="K1264">
        <v>1.100654</v>
      </c>
      <c r="L1264">
        <v>368.34379999999999</v>
      </c>
      <c r="M1264">
        <v>0.9905311</v>
      </c>
      <c r="N1264">
        <v>0</v>
      </c>
      <c r="O1264">
        <v>-0.136548</v>
      </c>
      <c r="P1264">
        <v>0.99121890000000001</v>
      </c>
      <c r="Q1264">
        <v>1.4644110000000001E-3</v>
      </c>
      <c r="R1264">
        <v>-0.13222439999999999</v>
      </c>
      <c r="S1264">
        <v>2.8697360000000001</v>
      </c>
      <c r="T1264">
        <v>-0.30896200000000001</v>
      </c>
      <c r="U1264">
        <v>-1.2798769999999999</v>
      </c>
      <c r="V1264">
        <v>-4.2302650000000004E-3</v>
      </c>
      <c r="W1264">
        <v>1.5742909999999999E-2</v>
      </c>
      <c r="X1264">
        <v>0.99986710000000001</v>
      </c>
      <c r="Y1264">
        <v>0.27810609999999902</v>
      </c>
      <c r="Z1264">
        <v>-3.8847980000000001E-4</v>
      </c>
      <c r="AA1264">
        <v>0.96055029999999997</v>
      </c>
      <c r="AB1264">
        <v>26</v>
      </c>
      <c r="AC1264">
        <v>9.5891999999999999</v>
      </c>
      <c r="AD1264">
        <v>-1.100659119286</v>
      </c>
      <c r="AE1264">
        <v>-4.4626999999999803</v>
      </c>
      <c r="AF1264">
        <v>3.0780397051620798</v>
      </c>
      <c r="AG1264">
        <v>-1.100659119286</v>
      </c>
      <c r="AH1264">
        <v>10.000500742271701</v>
      </c>
      <c r="AI1264">
        <v>96.004892777213698</v>
      </c>
      <c r="AJ1264">
        <v>72.8922333683511</v>
      </c>
      <c r="AK1264">
        <v>10.5212068708679</v>
      </c>
    </row>
    <row r="1265" spans="1:37" x14ac:dyDescent="0.2">
      <c r="A1265" t="str">
        <f>"20200111155816449"</f>
        <v>20200111155816449</v>
      </c>
      <c r="B1265" t="str">
        <f>"1578729496442169"</f>
        <v>1578729496442169</v>
      </c>
      <c r="C1265" t="s">
        <v>37</v>
      </c>
      <c r="D1265">
        <v>5.7534429999999999</v>
      </c>
      <c r="E1265">
        <v>0.61985579999999996</v>
      </c>
      <c r="F1265" t="s">
        <v>39</v>
      </c>
      <c r="G1265">
        <v>-210.0574</v>
      </c>
      <c r="H1265" s="1">
        <v>-5.2963239999999901E-6</v>
      </c>
      <c r="I1265">
        <v>363.7047</v>
      </c>
      <c r="J1265">
        <v>-219.84700000000001</v>
      </c>
      <c r="K1265">
        <v>1.1006959999999999</v>
      </c>
      <c r="L1265">
        <v>368.32159999999999</v>
      </c>
      <c r="M1265">
        <v>0.99014849999999999</v>
      </c>
      <c r="N1265">
        <v>0</v>
      </c>
      <c r="O1265">
        <v>-0.13929549999999999</v>
      </c>
      <c r="P1265">
        <v>0.99084499999999998</v>
      </c>
      <c r="Q1265">
        <v>1.155019E-3</v>
      </c>
      <c r="R1265">
        <v>-0.13499910000000001</v>
      </c>
      <c r="S1265">
        <v>2.8494419999999998</v>
      </c>
      <c r="T1265">
        <v>-0.3158685</v>
      </c>
      <c r="U1265">
        <v>-1.331329</v>
      </c>
      <c r="V1265">
        <v>-4.2088309999999997E-3</v>
      </c>
      <c r="W1265">
        <v>1.542871E-2</v>
      </c>
      <c r="X1265">
        <v>0.99987209999999904</v>
      </c>
      <c r="Y1265">
        <v>0.2921995</v>
      </c>
      <c r="Z1265">
        <v>-8.608922E-4</v>
      </c>
      <c r="AA1265">
        <v>0.95635700000000001</v>
      </c>
      <c r="AB1265">
        <v>26</v>
      </c>
      <c r="AC1265">
        <v>9.7896000000000001</v>
      </c>
      <c r="AD1265">
        <v>-1.1007012963239999</v>
      </c>
      <c r="AE1265">
        <v>-4.6168999999999798</v>
      </c>
      <c r="AF1265">
        <v>3.17525721343958</v>
      </c>
      <c r="AG1265">
        <v>-1.1007012963239999</v>
      </c>
      <c r="AH1265">
        <v>10.231508444199999</v>
      </c>
      <c r="AI1265">
        <v>95.8662985251826</v>
      </c>
      <c r="AJ1265">
        <v>72.758737312239205</v>
      </c>
      <c r="AK1265">
        <v>10.7692881268432</v>
      </c>
    </row>
    <row r="1266" spans="1:37" x14ac:dyDescent="0.2">
      <c r="A1266" t="str">
        <f>"20200111155816462"</f>
        <v>20200111155816462</v>
      </c>
      <c r="B1266" t="str">
        <f>"1578729496451931"</f>
        <v>1578729496451931</v>
      </c>
      <c r="C1266" t="s">
        <v>37</v>
      </c>
      <c r="D1266">
        <v>5.6878080000000004</v>
      </c>
      <c r="E1266">
        <v>0.62051979999999995</v>
      </c>
      <c r="F1266" t="s">
        <v>39</v>
      </c>
      <c r="G1266">
        <v>-209.9708</v>
      </c>
      <c r="H1266" s="1">
        <v>-5.3420400000000001E-6</v>
      </c>
      <c r="I1266">
        <v>363.65640000000002</v>
      </c>
      <c r="J1266">
        <v>-219.69399999999999</v>
      </c>
      <c r="K1266">
        <v>1.1007400000000001</v>
      </c>
      <c r="L1266">
        <v>368.29680000000002</v>
      </c>
      <c r="M1266">
        <v>0.98972399999999905</v>
      </c>
      <c r="N1266">
        <v>0</v>
      </c>
      <c r="O1266">
        <v>-0.1422812</v>
      </c>
      <c r="P1266">
        <v>0.99044639999999995</v>
      </c>
      <c r="Q1266">
        <v>9.5895679999999904E-4</v>
      </c>
      <c r="R1266">
        <v>-0.13789460000000001</v>
      </c>
      <c r="S1266">
        <v>2.844986</v>
      </c>
      <c r="T1266">
        <v>-0.31707009999999902</v>
      </c>
      <c r="U1266">
        <v>-1.343872</v>
      </c>
      <c r="V1266">
        <v>-4.3061050000000002E-3</v>
      </c>
      <c r="W1266">
        <v>1.522798E-2</v>
      </c>
      <c r="X1266">
        <v>0.99987479999999995</v>
      </c>
      <c r="Y1266">
        <v>0.293346</v>
      </c>
      <c r="Z1266">
        <v>-6.1823889999999999E-4</v>
      </c>
      <c r="AA1266">
        <v>0.95600620000000003</v>
      </c>
      <c r="AB1266">
        <v>26</v>
      </c>
      <c r="AC1266">
        <v>9.7232000000000198</v>
      </c>
      <c r="AD1266">
        <v>-1.10074534204</v>
      </c>
      <c r="AE1266">
        <v>-4.6403999999999996</v>
      </c>
      <c r="AF1266">
        <v>3.1764541303365799</v>
      </c>
      <c r="AG1266">
        <v>-1.10074534204</v>
      </c>
      <c r="AH1266">
        <v>10.178320630419</v>
      </c>
      <c r="AI1266">
        <v>95.894083365929404</v>
      </c>
      <c r="AJ1266">
        <v>72.667881630207503</v>
      </c>
      <c r="AK1266">
        <v>10.7191283230386</v>
      </c>
    </row>
    <row r="1267" spans="1:37" x14ac:dyDescent="0.2">
      <c r="A1267" t="str">
        <f>"20200111155816475"</f>
        <v>20200111155816475</v>
      </c>
      <c r="B1267" t="str">
        <f>"1578729496472425"</f>
        <v>1578729496472425</v>
      </c>
      <c r="C1267" t="s">
        <v>37</v>
      </c>
      <c r="D1267">
        <v>5.7888859999999998</v>
      </c>
      <c r="E1267">
        <v>0.62101669999999998</v>
      </c>
      <c r="F1267" t="s">
        <v>44</v>
      </c>
      <c r="G1267">
        <v>-209.84540000000001</v>
      </c>
      <c r="H1267" s="1">
        <v>-6.1747049999999999E-6</v>
      </c>
      <c r="I1267">
        <v>363.58920000000001</v>
      </c>
      <c r="J1267">
        <v>-219.5472</v>
      </c>
      <c r="K1267">
        <v>1.100784</v>
      </c>
      <c r="L1267">
        <v>368.27260000000001</v>
      </c>
      <c r="M1267">
        <v>0.98931369999999896</v>
      </c>
      <c r="N1267">
        <v>0</v>
      </c>
      <c r="O1267">
        <v>-0.1451086</v>
      </c>
      <c r="P1267">
        <v>0.99010959999999903</v>
      </c>
      <c r="Q1267">
        <v>1.0344149999999999E-3</v>
      </c>
      <c r="R1267">
        <v>-0.1402928</v>
      </c>
      <c r="S1267">
        <v>2.8402400000000001</v>
      </c>
      <c r="T1267">
        <v>-0.31744309999999998</v>
      </c>
      <c r="U1267">
        <v>-1.3576349999999999</v>
      </c>
      <c r="V1267">
        <v>-4.7418750000000004E-3</v>
      </c>
      <c r="W1267">
        <v>1.530189E-2</v>
      </c>
      <c r="X1267">
        <v>0.99987169999999903</v>
      </c>
      <c r="Y1267">
        <v>0.29501329999999998</v>
      </c>
      <c r="Z1267">
        <v>-4.1680040000000002E-4</v>
      </c>
      <c r="AA1267">
        <v>0.95549300000000004</v>
      </c>
      <c r="AB1267">
        <v>26</v>
      </c>
      <c r="AC1267">
        <v>9.7017999999999898</v>
      </c>
      <c r="AD1267">
        <v>-1.100790174705</v>
      </c>
      <c r="AE1267">
        <v>-4.6833999999999998</v>
      </c>
      <c r="AF1267">
        <v>3.19253057182017</v>
      </c>
      <c r="AG1267">
        <v>-1.100790174705</v>
      </c>
      <c r="AH1267">
        <v>10.1725543497022</v>
      </c>
      <c r="AI1267">
        <v>95.894706811644497</v>
      </c>
      <c r="AJ1267">
        <v>72.576178831979206</v>
      </c>
      <c r="AK1267">
        <v>10.718435168361999</v>
      </c>
    </row>
    <row r="1268" spans="1:37" x14ac:dyDescent="0.2">
      <c r="A1268" t="str">
        <f>"20200111155816489"</f>
        <v>20200111155816489</v>
      </c>
      <c r="B1268" t="str">
        <f>"1578729496482185"</f>
        <v>1578729496482185</v>
      </c>
      <c r="C1268" t="s">
        <v>37</v>
      </c>
      <c r="D1268">
        <v>5.7182440000000003</v>
      </c>
      <c r="E1268">
        <v>0.62120419999999998</v>
      </c>
      <c r="F1268" t="s">
        <v>44</v>
      </c>
      <c r="G1268">
        <v>-209.81790000000001</v>
      </c>
      <c r="H1268" s="1">
        <v>-6.1669150000000004E-6</v>
      </c>
      <c r="I1268">
        <v>363.58019999999999</v>
      </c>
      <c r="J1268">
        <v>-219.3879</v>
      </c>
      <c r="K1268">
        <v>1.1008340000000001</v>
      </c>
      <c r="L1268">
        <v>368.24579999999997</v>
      </c>
      <c r="M1268">
        <v>0.98886229999999997</v>
      </c>
      <c r="N1268">
        <v>0</v>
      </c>
      <c r="O1268">
        <v>-0.14815390000000001</v>
      </c>
      <c r="P1268">
        <v>0.98974010000000001</v>
      </c>
      <c r="Q1268">
        <v>1.0327159999999999E-3</v>
      </c>
      <c r="R1268">
        <v>-0.1428769</v>
      </c>
      <c r="S1268">
        <v>2.8364720000000001</v>
      </c>
      <c r="T1268">
        <v>-0.32092280000000001</v>
      </c>
      <c r="U1268">
        <v>-1.3680110000000001</v>
      </c>
      <c r="V1268">
        <v>-5.2129289999999998E-3</v>
      </c>
      <c r="W1268">
        <v>1.529807E-2</v>
      </c>
      <c r="X1268">
        <v>0.99986939999999902</v>
      </c>
      <c r="Y1268">
        <v>0.29540259999999902</v>
      </c>
      <c r="Z1268">
        <v>-1.2563360000000001E-4</v>
      </c>
      <c r="AA1268">
        <v>0.95537289999999997</v>
      </c>
      <c r="AB1268">
        <v>26</v>
      </c>
      <c r="AC1268">
        <v>9.5699999999999896</v>
      </c>
      <c r="AD1268">
        <v>-1.1008401669150001</v>
      </c>
      <c r="AE1268">
        <v>-4.66559999999998</v>
      </c>
      <c r="AF1268">
        <v>3.16231738824463</v>
      </c>
      <c r="AG1268">
        <v>-1.1008401669150001</v>
      </c>
      <c r="AH1268">
        <v>10.0482383877837</v>
      </c>
      <c r="AI1268">
        <v>95.965897515452696</v>
      </c>
      <c r="AJ1268">
        <v>72.530501578042902</v>
      </c>
      <c r="AK1268">
        <v>10.591468030203201</v>
      </c>
    </row>
    <row r="1269" spans="1:37" x14ac:dyDescent="0.2">
      <c r="A1269" t="str">
        <f>"20200111155816503"</f>
        <v>20200111155816503</v>
      </c>
      <c r="B1269" t="str">
        <f>"1578729496491945"</f>
        <v>1578729496491945</v>
      </c>
      <c r="C1269" t="s">
        <v>37</v>
      </c>
      <c r="D1269">
        <v>5.7473910000000004</v>
      </c>
      <c r="E1269">
        <v>0.62131459999999905</v>
      </c>
      <c r="F1269" t="s">
        <v>44</v>
      </c>
      <c r="G1269">
        <v>-209.69919999999999</v>
      </c>
      <c r="H1269" s="1">
        <v>-6.1340019999999997E-6</v>
      </c>
      <c r="I1269">
        <v>363.53640000000001</v>
      </c>
      <c r="J1269">
        <v>-219.2081</v>
      </c>
      <c r="K1269">
        <v>1.1008879999999901</v>
      </c>
      <c r="L1269">
        <v>368.21519999999998</v>
      </c>
      <c r="M1269">
        <v>0.98834829999999996</v>
      </c>
      <c r="N1269">
        <v>0</v>
      </c>
      <c r="O1269">
        <v>-0.15154419999999999</v>
      </c>
      <c r="P1269">
        <v>0.98940859999999997</v>
      </c>
      <c r="Q1269">
        <v>1.151628E-3</v>
      </c>
      <c r="R1269">
        <v>-0.1451529</v>
      </c>
      <c r="S1269">
        <v>2.8326720000000001</v>
      </c>
      <c r="T1269">
        <v>-0.32185140000000001</v>
      </c>
      <c r="U1269">
        <v>-1.376892</v>
      </c>
      <c r="V1269">
        <v>-6.3428699999999996E-3</v>
      </c>
      <c r="W1269">
        <v>1.541965E-2</v>
      </c>
      <c r="X1269">
        <v>0.999861</v>
      </c>
      <c r="Y1269">
        <v>0.29506830000000001</v>
      </c>
      <c r="Z1269">
        <v>2.4557019999999998E-4</v>
      </c>
      <c r="AA1269">
        <v>0.95547610000000005</v>
      </c>
      <c r="AB1269">
        <v>26</v>
      </c>
      <c r="AC1269">
        <v>9.5089000000000095</v>
      </c>
      <c r="AD1269">
        <v>-1.10089413400199</v>
      </c>
      <c r="AE1269">
        <v>-4.6787999999999599</v>
      </c>
      <c r="AF1269">
        <v>3.1495988543368099</v>
      </c>
      <c r="AG1269">
        <v>-1.10089413400199</v>
      </c>
      <c r="AH1269">
        <v>10.000255936991101</v>
      </c>
      <c r="AI1269">
        <v>95.994200371694703</v>
      </c>
      <c r="AJ1269">
        <v>72.518083793478397</v>
      </c>
      <c r="AK1269">
        <v>10.542156308974199</v>
      </c>
    </row>
    <row r="1270" spans="1:37" x14ac:dyDescent="0.2">
      <c r="A1270" t="str">
        <f>"20200111155816517"</f>
        <v>20200111155816517</v>
      </c>
      <c r="B1270" t="str">
        <f>"1578729496512443"</f>
        <v>1578729496512443</v>
      </c>
      <c r="C1270" t="s">
        <v>37</v>
      </c>
      <c r="D1270">
        <v>5.7908980000000003</v>
      </c>
      <c r="E1270">
        <v>0.62145539999999999</v>
      </c>
      <c r="F1270" t="s">
        <v>44</v>
      </c>
      <c r="G1270">
        <v>-209.56649999999999</v>
      </c>
      <c r="H1270" s="1">
        <v>-6.0956149999999999E-6</v>
      </c>
      <c r="I1270">
        <v>363.49790000000002</v>
      </c>
      <c r="J1270">
        <v>-219.05719999999999</v>
      </c>
      <c r="K1270">
        <v>1.1009329999999999</v>
      </c>
      <c r="L1270">
        <v>368.18889999999999</v>
      </c>
      <c r="M1270">
        <v>0.98791410000000002</v>
      </c>
      <c r="N1270">
        <v>0</v>
      </c>
      <c r="O1270">
        <v>-0.1543495</v>
      </c>
      <c r="P1270">
        <v>0.98911640000000001</v>
      </c>
      <c r="Q1270">
        <v>1.133132E-3</v>
      </c>
      <c r="R1270">
        <v>-0.14713199999999901</v>
      </c>
      <c r="S1270">
        <v>2.8293759999999999</v>
      </c>
      <c r="T1270">
        <v>-0.32306180000000001</v>
      </c>
      <c r="U1270">
        <v>-1.3843379999999901</v>
      </c>
      <c r="V1270">
        <v>-7.1834159999999998E-3</v>
      </c>
      <c r="W1270">
        <v>1.5402010000000001E-2</v>
      </c>
      <c r="X1270">
        <v>0.99985559999999996</v>
      </c>
      <c r="Y1270">
        <v>0.294834599999999</v>
      </c>
      <c r="Z1270">
        <v>5.5282279999999996E-4</v>
      </c>
      <c r="AA1270">
        <v>0.95554819999999996</v>
      </c>
      <c r="AB1270">
        <v>26</v>
      </c>
      <c r="AC1270">
        <v>9.4907000000000004</v>
      </c>
      <c r="AD1270">
        <v>-1.100939095615</v>
      </c>
      <c r="AE1270">
        <v>-4.6909999999999696</v>
      </c>
      <c r="AF1270">
        <v>3.1358282107115301</v>
      </c>
      <c r="AG1270">
        <v>-1.100939095615</v>
      </c>
      <c r="AH1270">
        <v>9.9930015040589595</v>
      </c>
      <c r="AI1270">
        <v>96.000721923767301</v>
      </c>
      <c r="AJ1270">
        <v>72.578015684754604</v>
      </c>
      <c r="AK1270">
        <v>10.5311710896496</v>
      </c>
    </row>
    <row r="1271" spans="1:37" x14ac:dyDescent="0.2">
      <c r="A1271" t="str">
        <f>"20200111155816530"</f>
        <v>20200111155816530</v>
      </c>
      <c r="B1271" t="str">
        <f>"1578729496522202"</f>
        <v>1578729496522202</v>
      </c>
      <c r="C1271" t="s">
        <v>37</v>
      </c>
      <c r="D1271">
        <v>5.7793089999999996</v>
      </c>
      <c r="E1271">
        <v>0.62147790000000003</v>
      </c>
      <c r="F1271" t="s">
        <v>44</v>
      </c>
      <c r="G1271">
        <v>-209.4957</v>
      </c>
      <c r="H1271" s="1">
        <v>-6.0741189999999901E-6</v>
      </c>
      <c r="I1271">
        <v>363.48379999999997</v>
      </c>
      <c r="J1271">
        <v>-218.8954</v>
      </c>
      <c r="K1271">
        <v>1.1009869999999999</v>
      </c>
      <c r="L1271">
        <v>368.16030000000001</v>
      </c>
      <c r="M1271">
        <v>0.98744460000000001</v>
      </c>
      <c r="N1271">
        <v>0</v>
      </c>
      <c r="O1271">
        <v>-0.15732639999999901</v>
      </c>
      <c r="P1271">
        <v>0.98882559999999997</v>
      </c>
      <c r="Q1271">
        <v>9.6471789999999903E-4</v>
      </c>
      <c r="R1271">
        <v>-0.1490735</v>
      </c>
      <c r="S1271">
        <v>2.826492</v>
      </c>
      <c r="T1271">
        <v>-0.3254513</v>
      </c>
      <c r="U1271">
        <v>-1.3909</v>
      </c>
      <c r="V1271">
        <v>-8.2370910000000002E-3</v>
      </c>
      <c r="W1271">
        <v>1.523561E-2</v>
      </c>
      <c r="X1271">
        <v>0.99985000000000002</v>
      </c>
      <c r="Y1271">
        <v>0.29413549999999999</v>
      </c>
      <c r="Z1271">
        <v>9.0897919999999896E-4</v>
      </c>
      <c r="AA1271">
        <v>0.95576329999999998</v>
      </c>
      <c r="AB1271">
        <v>26</v>
      </c>
      <c r="AC1271">
        <v>9.3996999999999904</v>
      </c>
      <c r="AD1271">
        <v>-1.1009930741189999</v>
      </c>
      <c r="AE1271">
        <v>-4.6765000000000301</v>
      </c>
      <c r="AF1271">
        <v>3.1051315073805301</v>
      </c>
      <c r="AG1271">
        <v>-1.1009930741189999</v>
      </c>
      <c r="AH1271">
        <v>9.9094507232450209</v>
      </c>
      <c r="AI1271">
        <v>96.052012232635505</v>
      </c>
      <c r="AJ1271">
        <v>72.601590586392703</v>
      </c>
      <c r="AK1271">
        <v>10.442760222460601</v>
      </c>
    </row>
    <row r="1272" spans="1:37" x14ac:dyDescent="0.2">
      <c r="A1272" t="str">
        <f>"20200111155816544"</f>
        <v>20200111155816544</v>
      </c>
      <c r="B1272" t="str">
        <f>"1578729496531963"</f>
        <v>1578729496531963</v>
      </c>
      <c r="C1272" t="s">
        <v>37</v>
      </c>
      <c r="D1272">
        <v>5.7064839999999997</v>
      </c>
      <c r="E1272">
        <v>0.62155919999999998</v>
      </c>
      <c r="F1272" t="s">
        <v>44</v>
      </c>
      <c r="G1272">
        <v>-209.4085</v>
      </c>
      <c r="H1272" s="1">
        <v>-6.0475860000000004E-6</v>
      </c>
      <c r="I1272">
        <v>363.46660000000003</v>
      </c>
      <c r="J1272">
        <v>-218.73830000000001</v>
      </c>
      <c r="K1272">
        <v>1.10104</v>
      </c>
      <c r="L1272">
        <v>368.13220000000001</v>
      </c>
      <c r="M1272">
        <v>0.98698509999999995</v>
      </c>
      <c r="N1272">
        <v>0</v>
      </c>
      <c r="O1272">
        <v>-0.16018460000000001</v>
      </c>
      <c r="P1272">
        <v>0.98849789999999904</v>
      </c>
      <c r="Q1272">
        <v>7.8358589999999895E-4</v>
      </c>
      <c r="R1272">
        <v>-0.1512329</v>
      </c>
      <c r="S1272">
        <v>2.8235779999999999</v>
      </c>
      <c r="T1272">
        <v>-0.32768609999999998</v>
      </c>
      <c r="U1272">
        <v>-1.396973</v>
      </c>
      <c r="V1272">
        <v>-8.9517869999999992E-3</v>
      </c>
      <c r="W1272">
        <v>1.5053479999999999E-2</v>
      </c>
      <c r="X1272">
        <v>0.99984660000000003</v>
      </c>
      <c r="Y1272">
        <v>0.29342109999999999</v>
      </c>
      <c r="Z1272">
        <v>1.2580110000000001E-3</v>
      </c>
      <c r="AA1272">
        <v>0.95598240000000001</v>
      </c>
      <c r="AB1272">
        <v>26</v>
      </c>
      <c r="AC1272">
        <v>9.3298000000000005</v>
      </c>
      <c r="AD1272">
        <v>-1.101046047586</v>
      </c>
      <c r="AE1272">
        <v>-4.66559999999998</v>
      </c>
      <c r="AF1272">
        <v>3.0764255848804898</v>
      </c>
      <c r="AG1272">
        <v>-1.101046047586</v>
      </c>
      <c r="AH1272">
        <v>9.8470258419286694</v>
      </c>
      <c r="AI1272">
        <v>96.091982182901504</v>
      </c>
      <c r="AJ1272">
        <v>72.650057113350201</v>
      </c>
      <c r="AK1272">
        <v>10.3749995040878</v>
      </c>
    </row>
    <row r="1273" spans="1:37" x14ac:dyDescent="0.2">
      <c r="A1273" t="str">
        <f>"20200111155816560"</f>
        <v>20200111155816560</v>
      </c>
      <c r="B1273" t="str">
        <f>"1578729496552457"</f>
        <v>1578729496552457</v>
      </c>
      <c r="C1273" t="s">
        <v>37</v>
      </c>
      <c r="D1273">
        <v>5.7342370000000003</v>
      </c>
      <c r="E1273">
        <v>0.62174549999999995</v>
      </c>
      <c r="F1273" t="s">
        <v>44</v>
      </c>
      <c r="G1273">
        <v>-209.30029999999999</v>
      </c>
      <c r="H1273" s="1">
        <v>-6.0162089999999997E-6</v>
      </c>
      <c r="I1273">
        <v>363.43579999999997</v>
      </c>
      <c r="J1273">
        <v>-218.55609999999999</v>
      </c>
      <c r="K1273">
        <v>1.101111</v>
      </c>
      <c r="L1273">
        <v>368.09890000000001</v>
      </c>
      <c r="M1273">
        <v>0.98645260000000001</v>
      </c>
      <c r="N1273">
        <v>0</v>
      </c>
      <c r="O1273">
        <v>-0.16343189999999999</v>
      </c>
      <c r="P1273">
        <v>0.98820789999999903</v>
      </c>
      <c r="Q1273">
        <v>7.8559759999999995E-4</v>
      </c>
      <c r="R1273">
        <v>-0.15311620000000001</v>
      </c>
      <c r="S1273">
        <v>2.8204189999999998</v>
      </c>
      <c r="T1273">
        <v>-0.32903529999999998</v>
      </c>
      <c r="U1273">
        <v>-1.403473</v>
      </c>
      <c r="V1273">
        <v>-1.0339640000000001E-2</v>
      </c>
      <c r="W1273">
        <v>1.505825E-2</v>
      </c>
      <c r="X1273">
        <v>0.99983319999999998</v>
      </c>
      <c r="Y1273">
        <v>0.29248439999999998</v>
      </c>
      <c r="Z1273">
        <v>1.6612109999999999E-3</v>
      </c>
      <c r="AA1273">
        <v>0.95626880000000003</v>
      </c>
      <c r="AB1273">
        <v>26</v>
      </c>
      <c r="AC1273">
        <v>9.25579999999999</v>
      </c>
      <c r="AD1273">
        <v>-1.101117016209</v>
      </c>
      <c r="AE1273">
        <v>-4.66310000000004</v>
      </c>
      <c r="AF1273">
        <v>3.0530826670206799</v>
      </c>
      <c r="AG1273">
        <v>-1.101117016209</v>
      </c>
      <c r="AH1273">
        <v>9.7830747889457594</v>
      </c>
      <c r="AI1273">
        <v>96.132489946626393</v>
      </c>
      <c r="AJ1273">
        <v>72.668004337490004</v>
      </c>
      <c r="AK1273">
        <v>10.3073917545203</v>
      </c>
    </row>
    <row r="1274" spans="1:37" x14ac:dyDescent="0.2">
      <c r="A1274" t="str">
        <f>"20200111155816575"</f>
        <v>20200111155816575</v>
      </c>
      <c r="B1274" t="str">
        <f>"1578729496571978"</f>
        <v>1578729496571978</v>
      </c>
      <c r="C1274" t="s">
        <v>37</v>
      </c>
      <c r="D1274">
        <v>5.75617</v>
      </c>
      <c r="E1274">
        <v>0.62151889999999999</v>
      </c>
      <c r="F1274" t="s">
        <v>44</v>
      </c>
      <c r="G1274">
        <v>-209.15119999999999</v>
      </c>
      <c r="H1274" s="1">
        <v>-5.9731600000000004E-6</v>
      </c>
      <c r="I1274">
        <v>363.39170000000001</v>
      </c>
      <c r="J1274">
        <v>-218.3827</v>
      </c>
      <c r="K1274">
        <v>1.101178</v>
      </c>
      <c r="L1274">
        <v>368.06670000000003</v>
      </c>
      <c r="M1274">
        <v>0.98594459999999995</v>
      </c>
      <c r="N1274">
        <v>0</v>
      </c>
      <c r="O1274">
        <v>-0.166469799999999</v>
      </c>
      <c r="P1274">
        <v>0.98779789999999901</v>
      </c>
      <c r="Q1274">
        <v>1.051618E-3</v>
      </c>
      <c r="R1274">
        <v>-0.15573779999999901</v>
      </c>
      <c r="S1274">
        <v>2.8175659999999998</v>
      </c>
      <c r="T1274">
        <v>-0.32987689999999997</v>
      </c>
      <c r="U1274">
        <v>-1.4102170000000001</v>
      </c>
      <c r="V1274">
        <v>-1.076677E-2</v>
      </c>
      <c r="W1274">
        <v>1.531857E-2</v>
      </c>
      <c r="X1274">
        <v>0.99982469999999901</v>
      </c>
      <c r="Y1274">
        <v>0.29177399999999998</v>
      </c>
      <c r="Z1274">
        <v>2.0294520000000002E-3</v>
      </c>
      <c r="AA1274">
        <v>0.95648519999999904</v>
      </c>
      <c r="AB1274">
        <v>26</v>
      </c>
      <c r="AC1274">
        <v>9.2315000000000094</v>
      </c>
      <c r="AD1274">
        <v>-1.1011839731599999</v>
      </c>
      <c r="AE1274">
        <v>-4.6750000000000096</v>
      </c>
      <c r="AF1274">
        <v>3.0384247093488002</v>
      </c>
      <c r="AG1274">
        <v>-1.1011839731599999</v>
      </c>
      <c r="AH1274">
        <v>9.7703410422764794</v>
      </c>
      <c r="AI1274">
        <v>96.1426845776611</v>
      </c>
      <c r="AJ1274">
        <v>72.725115511099403</v>
      </c>
      <c r="AK1274">
        <v>10.290976384168699</v>
      </c>
    </row>
    <row r="1275" spans="1:37" x14ac:dyDescent="0.2">
      <c r="A1275" t="str">
        <f>"20200111155816590"</f>
        <v>20200111155816590</v>
      </c>
      <c r="B1275" t="str">
        <f>"1578729496582714"</f>
        <v>1578729496582714</v>
      </c>
      <c r="C1275" t="s">
        <v>37</v>
      </c>
      <c r="D1275">
        <v>5.7252219999999996</v>
      </c>
      <c r="E1275">
        <v>0.62145360000000005</v>
      </c>
      <c r="F1275" t="s">
        <v>44</v>
      </c>
      <c r="G1275">
        <v>-209.0531</v>
      </c>
      <c r="H1275" s="1">
        <v>-5.9432159999999997E-6</v>
      </c>
      <c r="I1275">
        <v>363.37329999999997</v>
      </c>
      <c r="J1275">
        <v>-218.209</v>
      </c>
      <c r="K1275">
        <v>1.101251</v>
      </c>
      <c r="L1275">
        <v>368.03410000000002</v>
      </c>
      <c r="M1275">
        <v>0.98543519999999896</v>
      </c>
      <c r="N1275">
        <v>0</v>
      </c>
      <c r="O1275">
        <v>-0.16946029999999901</v>
      </c>
      <c r="P1275">
        <v>0.98736999999999997</v>
      </c>
      <c r="Q1275">
        <v>8.4697729999999897E-4</v>
      </c>
      <c r="R1275">
        <v>-0.1584295</v>
      </c>
      <c r="S1275">
        <v>2.8141940000000001</v>
      </c>
      <c r="T1275">
        <v>-0.33216289999999998</v>
      </c>
      <c r="U1275">
        <v>-1.4157409999999999</v>
      </c>
      <c r="V1275">
        <v>-1.1079550000000001E-2</v>
      </c>
      <c r="W1275">
        <v>1.510688E-2</v>
      </c>
      <c r="X1275">
        <v>0.9998245</v>
      </c>
      <c r="Y1275">
        <v>0.29084189999999999</v>
      </c>
      <c r="Z1275">
        <v>2.4178559999999999E-3</v>
      </c>
      <c r="AA1275">
        <v>0.95676810000000001</v>
      </c>
      <c r="AB1275">
        <v>26</v>
      </c>
      <c r="AC1275">
        <v>9.1559000000000008</v>
      </c>
      <c r="AD1275">
        <v>-1.101256943216</v>
      </c>
      <c r="AE1275">
        <v>-4.6608000000000498</v>
      </c>
      <c r="AF1275">
        <v>3.0071095768314202</v>
      </c>
      <c r="AG1275">
        <v>-1.101256943216</v>
      </c>
      <c r="AH1275">
        <v>9.7018807962460691</v>
      </c>
      <c r="AI1275">
        <v>96.1878979169323</v>
      </c>
      <c r="AJ1275">
        <v>72.779114835457605</v>
      </c>
      <c r="AK1275">
        <v>10.216749279816</v>
      </c>
    </row>
    <row r="1276" spans="1:37" x14ac:dyDescent="0.2">
      <c r="A1276" t="str">
        <f>"20200111155816604"</f>
        <v>20200111155816604</v>
      </c>
      <c r="B1276" t="str">
        <f>"1578729496592474"</f>
        <v>1578729496592474</v>
      </c>
      <c r="C1276" t="s">
        <v>37</v>
      </c>
      <c r="D1276">
        <v>5.7362519999999897</v>
      </c>
      <c r="E1276">
        <v>0.62130030000000003</v>
      </c>
      <c r="F1276" t="s">
        <v>44</v>
      </c>
      <c r="G1276">
        <v>-208.94130000000001</v>
      </c>
      <c r="H1276" s="1">
        <v>-5.9108399999999996E-6</v>
      </c>
      <c r="I1276">
        <v>363.34100000000001</v>
      </c>
      <c r="J1276">
        <v>-218.042</v>
      </c>
      <c r="K1276">
        <v>1.1013299999999999</v>
      </c>
      <c r="L1276">
        <v>368.00220000000002</v>
      </c>
      <c r="M1276">
        <v>0.98494539999999997</v>
      </c>
      <c r="N1276">
        <v>0</v>
      </c>
      <c r="O1276">
        <v>-0.17228470000000001</v>
      </c>
      <c r="P1276">
        <v>0.98677709999999996</v>
      </c>
      <c r="Q1276">
        <v>1.771981E-4</v>
      </c>
      <c r="R1276">
        <v>-0.162083</v>
      </c>
      <c r="S1276">
        <v>2.810333</v>
      </c>
      <c r="T1276">
        <v>-0.33394550000000001</v>
      </c>
      <c r="U1276">
        <v>-1.4231259999999999</v>
      </c>
      <c r="V1276">
        <v>-1.025249E-2</v>
      </c>
      <c r="W1276">
        <v>1.4421740000000001E-2</v>
      </c>
      <c r="X1276">
        <v>0.99984340000000005</v>
      </c>
      <c r="Y1276">
        <v>0.29063909999999998</v>
      </c>
      <c r="Z1276">
        <v>2.7484340000000001E-3</v>
      </c>
      <c r="AA1276">
        <v>0.95682880000000003</v>
      </c>
      <c r="AB1276">
        <v>26</v>
      </c>
      <c r="AC1276">
        <v>9.1006999999999891</v>
      </c>
      <c r="AD1276">
        <v>-1.1013359108399901</v>
      </c>
      <c r="AE1276">
        <v>-4.6612</v>
      </c>
      <c r="AF1276">
        <v>2.98874510751024</v>
      </c>
      <c r="AG1276">
        <v>-1.1013359108399901</v>
      </c>
      <c r="AH1276">
        <v>9.6557039862590699</v>
      </c>
      <c r="AI1276">
        <v>96.2184333311465</v>
      </c>
      <c r="AJ1276">
        <v>72.801053591276201</v>
      </c>
      <c r="AK1276">
        <v>10.1675049828574</v>
      </c>
    </row>
    <row r="1277" spans="1:37" x14ac:dyDescent="0.2">
      <c r="A1277" t="str">
        <f>"20200111155816617"</f>
        <v>20200111155816617</v>
      </c>
      <c r="B1277" t="str">
        <f>"1578729496611994"</f>
        <v>1578729496611994</v>
      </c>
      <c r="C1277" t="s">
        <v>37</v>
      </c>
      <c r="D1277">
        <v>5.7235069999999997</v>
      </c>
      <c r="E1277">
        <v>0.621139</v>
      </c>
      <c r="F1277" t="s">
        <v>44</v>
      </c>
      <c r="G1277">
        <v>-208.8878</v>
      </c>
      <c r="H1277" s="1">
        <v>-5.8947219999999998E-6</v>
      </c>
      <c r="I1277">
        <v>363.32940000000002</v>
      </c>
      <c r="J1277">
        <v>-217.89359999999999</v>
      </c>
      <c r="K1277">
        <v>1.1014010000000001</v>
      </c>
      <c r="L1277">
        <v>367.97340000000003</v>
      </c>
      <c r="M1277">
        <v>0.98451469999999897</v>
      </c>
      <c r="N1277">
        <v>0</v>
      </c>
      <c r="O1277">
        <v>-0.17472969999999999</v>
      </c>
      <c r="P1277">
        <v>0.98625589999999996</v>
      </c>
      <c r="Q1277">
        <v>-4.7140099999999998E-4</v>
      </c>
      <c r="R1277">
        <v>-0.16522490000000001</v>
      </c>
      <c r="S1277">
        <v>2.805069</v>
      </c>
      <c r="T1277">
        <v>-0.33747480000000002</v>
      </c>
      <c r="U1277">
        <v>-1.431854</v>
      </c>
      <c r="V1277">
        <v>-9.5579310000000004E-3</v>
      </c>
      <c r="W1277">
        <v>1.3759E-2</v>
      </c>
      <c r="X1277">
        <v>0.99985959999999996</v>
      </c>
      <c r="Y1277">
        <v>0.29134679999999902</v>
      </c>
      <c r="Z1277">
        <v>3.0063030000000001E-3</v>
      </c>
      <c r="AA1277">
        <v>0.95661280000000004</v>
      </c>
      <c r="AB1277">
        <v>26</v>
      </c>
      <c r="AC1277">
        <v>9.00579999999999</v>
      </c>
      <c r="AD1277">
        <v>-1.1014068947219999</v>
      </c>
      <c r="AE1277">
        <v>-4.6440000000000001</v>
      </c>
      <c r="AF1277">
        <v>2.9637877082290802</v>
      </c>
      <c r="AG1277">
        <v>-1.1014068947219999</v>
      </c>
      <c r="AH1277">
        <v>9.5657341470807804</v>
      </c>
      <c r="AI1277">
        <v>96.276325260257295</v>
      </c>
      <c r="AJ1277">
        <v>72.785252176447599</v>
      </c>
      <c r="AK1277">
        <v>10.0747409147738</v>
      </c>
    </row>
    <row r="1278" spans="1:37" x14ac:dyDescent="0.2">
      <c r="A1278" t="str">
        <f>"20200111155816629"</f>
        <v>20200111155816629</v>
      </c>
      <c r="B1278" t="str">
        <f>"1578729496621754"</f>
        <v>1578729496621754</v>
      </c>
      <c r="C1278" t="s">
        <v>37</v>
      </c>
      <c r="D1278">
        <v>5.743881</v>
      </c>
      <c r="E1278">
        <v>0.62103489999999995</v>
      </c>
      <c r="F1278" t="s">
        <v>44</v>
      </c>
      <c r="G1278">
        <v>-208.87620000000001</v>
      </c>
      <c r="H1278" s="1">
        <v>-5.8894489999999998E-6</v>
      </c>
      <c r="I1278">
        <v>363.33839999999998</v>
      </c>
      <c r="J1278">
        <v>-217.75739999999999</v>
      </c>
      <c r="K1278">
        <v>1.1014709999999901</v>
      </c>
      <c r="L1278">
        <v>367.9468</v>
      </c>
      <c r="M1278">
        <v>0.98411849999999901</v>
      </c>
      <c r="N1278">
        <v>0</v>
      </c>
      <c r="O1278">
        <v>-0.17694840000000001</v>
      </c>
      <c r="P1278">
        <v>0.985691599999999</v>
      </c>
      <c r="Q1278">
        <v>-8.6423939999999996E-4</v>
      </c>
      <c r="R1278">
        <v>-0.1685566</v>
      </c>
      <c r="S1278">
        <v>2.8004609999999999</v>
      </c>
      <c r="T1278">
        <v>-0.34205380000000002</v>
      </c>
      <c r="U1278">
        <v>-1.4394530000000001</v>
      </c>
      <c r="V1278">
        <v>-8.4380359999999995E-3</v>
      </c>
      <c r="W1278">
        <v>1.335039E-2</v>
      </c>
      <c r="X1278">
        <v>0.99987519999999996</v>
      </c>
      <c r="Y1278">
        <v>0.29187459999999998</v>
      </c>
      <c r="Z1278">
        <v>3.2641419999999998E-3</v>
      </c>
      <c r="AA1278">
        <v>0.9564511</v>
      </c>
      <c r="AB1278">
        <v>26</v>
      </c>
      <c r="AC1278">
        <v>8.8811999999999696</v>
      </c>
      <c r="AD1278">
        <v>-1.1014768894489999</v>
      </c>
      <c r="AE1278">
        <v>-4.6084000000000103</v>
      </c>
      <c r="AF1278">
        <v>2.9285040531364199</v>
      </c>
      <c r="AG1278">
        <v>-1.1014768894489999</v>
      </c>
      <c r="AH1278">
        <v>9.4421307303875892</v>
      </c>
      <c r="AI1278">
        <v>96.357649475379702</v>
      </c>
      <c r="AJ1278">
        <v>72.768572673435401</v>
      </c>
      <c r="AK1278">
        <v>9.9470206623368593</v>
      </c>
    </row>
    <row r="1279" spans="1:37" x14ac:dyDescent="0.2">
      <c r="A1279" t="str">
        <f>"20200111155816641"</f>
        <v>20200111155816641</v>
      </c>
      <c r="B1279" t="str">
        <f>"1578729496632490"</f>
        <v>1578729496632490</v>
      </c>
      <c r="C1279" t="s">
        <v>37</v>
      </c>
      <c r="D1279">
        <v>5.7110510000000003</v>
      </c>
      <c r="E1279">
        <v>0.62103520000000001</v>
      </c>
      <c r="F1279" t="s">
        <v>44</v>
      </c>
      <c r="G1279">
        <v>-208.82380000000001</v>
      </c>
      <c r="H1279" s="1">
        <v>-5.8749919999999901E-6</v>
      </c>
      <c r="I1279">
        <v>363.31869999999998</v>
      </c>
      <c r="J1279">
        <v>-217.6122</v>
      </c>
      <c r="K1279">
        <v>1.1015459999999999</v>
      </c>
      <c r="L1279">
        <v>367.91809999999998</v>
      </c>
      <c r="M1279">
        <v>0.98369899999999999</v>
      </c>
      <c r="N1279">
        <v>0</v>
      </c>
      <c r="O1279">
        <v>-0.1792656</v>
      </c>
      <c r="P1279">
        <v>0.98501179999999999</v>
      </c>
      <c r="Q1279">
        <v>-1.490672E-3</v>
      </c>
      <c r="R1279">
        <v>-0.17248060000000001</v>
      </c>
      <c r="S1279">
        <v>2.7955779999999999</v>
      </c>
      <c r="T1279">
        <v>-0.3446862</v>
      </c>
      <c r="U1279">
        <v>-1.4482729999999999</v>
      </c>
      <c r="V1279">
        <v>-6.817516E-3</v>
      </c>
      <c r="W1279">
        <v>1.270481E-2</v>
      </c>
      <c r="X1279">
        <v>0.99989599999999901</v>
      </c>
      <c r="Y1279">
        <v>0.29268109999999897</v>
      </c>
      <c r="Z1279">
        <v>3.5029000000000002E-3</v>
      </c>
      <c r="AA1279">
        <v>0.95620369999999999</v>
      </c>
      <c r="AB1279">
        <v>26</v>
      </c>
      <c r="AC1279">
        <v>8.7883999999999904</v>
      </c>
      <c r="AD1279">
        <v>-1.1015518749919999</v>
      </c>
      <c r="AE1279">
        <v>-4.5994000000000002</v>
      </c>
      <c r="AF1279">
        <v>2.9133333380694899</v>
      </c>
      <c r="AG1279">
        <v>-1.1015518749919999</v>
      </c>
      <c r="AH1279">
        <v>9.3552272923575508</v>
      </c>
      <c r="AI1279">
        <v>96.414379526720495</v>
      </c>
      <c r="AJ1279">
        <v>72.702766277144207</v>
      </c>
      <c r="AK1279">
        <v>9.8600814075583099</v>
      </c>
    </row>
    <row r="1280" spans="1:37" x14ac:dyDescent="0.2">
      <c r="A1280" t="str">
        <f>"20200111155816654"</f>
        <v>20200111155816654</v>
      </c>
      <c r="B1280" t="str">
        <f>"1578729496652010"</f>
        <v>1578729496652010</v>
      </c>
      <c r="C1280" t="s">
        <v>37</v>
      </c>
      <c r="D1280">
        <v>5.9008620000000001</v>
      </c>
      <c r="E1280">
        <v>0.6208494</v>
      </c>
      <c r="F1280" t="s">
        <v>44</v>
      </c>
      <c r="G1280">
        <v>-208.74510000000001</v>
      </c>
      <c r="H1280" s="1">
        <v>-5.8546419999999997E-6</v>
      </c>
      <c r="I1280">
        <v>363.2801</v>
      </c>
      <c r="J1280">
        <v>-217.4683</v>
      </c>
      <c r="K1280">
        <v>1.1016159999999999</v>
      </c>
      <c r="L1280">
        <v>367.88929999999999</v>
      </c>
      <c r="M1280">
        <v>0.98328729999999998</v>
      </c>
      <c r="N1280">
        <v>0</v>
      </c>
      <c r="O1280">
        <v>-0.18151139999999999</v>
      </c>
      <c r="P1280">
        <v>0.98431429999999998</v>
      </c>
      <c r="Q1280">
        <v>-2.0170650000000002E-3</v>
      </c>
      <c r="R1280">
        <v>-0.17641319999999999</v>
      </c>
      <c r="S1280">
        <v>2.7896269999999999</v>
      </c>
      <c r="T1280">
        <v>-0.34655180000000002</v>
      </c>
      <c r="U1280">
        <v>-1.459106</v>
      </c>
      <c r="V1280">
        <v>-5.113027E-3</v>
      </c>
      <c r="W1280">
        <v>1.2157919999999999E-2</v>
      </c>
      <c r="X1280">
        <v>0.99991299999999905</v>
      </c>
      <c r="Y1280">
        <v>0.29424670000000003</v>
      </c>
      <c r="Z1280">
        <v>3.6849489999999999E-3</v>
      </c>
      <c r="AA1280">
        <v>0.95572239999999997</v>
      </c>
      <c r="AB1280">
        <v>26</v>
      </c>
      <c r="AC1280">
        <v>8.7231999999999896</v>
      </c>
      <c r="AD1280">
        <v>-1.101621854642</v>
      </c>
      <c r="AE1280">
        <v>-4.60919999999998</v>
      </c>
      <c r="AF1280">
        <v>2.9127869624276599</v>
      </c>
      <c r="AG1280">
        <v>-1.101621854642</v>
      </c>
      <c r="AH1280">
        <v>9.2990387190876191</v>
      </c>
      <c r="AI1280">
        <v>96.449899884200093</v>
      </c>
      <c r="AJ1280">
        <v>72.607603236650405</v>
      </c>
      <c r="AK1280">
        <v>9.8066314144156692</v>
      </c>
    </row>
    <row r="1281" spans="1:37" x14ac:dyDescent="0.2">
      <c r="A1281" t="str">
        <f>"20200111155816667"</f>
        <v>20200111155816667</v>
      </c>
      <c r="B1281" t="str">
        <f>"1578729496661769"</f>
        <v>1578729496661769</v>
      </c>
      <c r="C1281" t="s">
        <v>37</v>
      </c>
      <c r="D1281">
        <v>5.6846420000000002</v>
      </c>
      <c r="E1281">
        <v>0.62075740000000001</v>
      </c>
      <c r="F1281" t="s">
        <v>44</v>
      </c>
      <c r="G1281">
        <v>-208.6447</v>
      </c>
      <c r="H1281" s="1">
        <v>-5.8285280000000001E-6</v>
      </c>
      <c r="I1281">
        <v>363.2321</v>
      </c>
      <c r="J1281">
        <v>-217.31180000000001</v>
      </c>
      <c r="K1281">
        <v>1.101691</v>
      </c>
      <c r="L1281">
        <v>367.85770000000002</v>
      </c>
      <c r="M1281">
        <v>0.98283989999999999</v>
      </c>
      <c r="N1281">
        <v>0</v>
      </c>
      <c r="O1281">
        <v>-0.1839192</v>
      </c>
      <c r="P1281">
        <v>0.98357119999999998</v>
      </c>
      <c r="Q1281">
        <v>-2.8865700000000002E-3</v>
      </c>
      <c r="R1281">
        <v>-0.1804982</v>
      </c>
      <c r="S1281">
        <v>2.7837679999999998</v>
      </c>
      <c r="T1281">
        <v>-0.34754980000000002</v>
      </c>
      <c r="U1281">
        <v>-1.4692689999999999</v>
      </c>
      <c r="V1281">
        <v>-3.418047E-3</v>
      </c>
      <c r="W1281">
        <v>1.126868E-2</v>
      </c>
      <c r="X1281">
        <v>0.99993069999999895</v>
      </c>
      <c r="Y1281">
        <v>0.29546709999999998</v>
      </c>
      <c r="Z1281">
        <v>3.89783599999999E-3</v>
      </c>
      <c r="AA1281">
        <v>0.955345</v>
      </c>
      <c r="AB1281">
        <v>26</v>
      </c>
      <c r="AC1281">
        <v>8.6670999999999996</v>
      </c>
      <c r="AD1281">
        <v>-1.101696828528</v>
      </c>
      <c r="AE1281">
        <v>-4.6256000000000199</v>
      </c>
      <c r="AF1281">
        <v>2.9158044820737801</v>
      </c>
      <c r="AG1281">
        <v>-1.101696828528</v>
      </c>
      <c r="AH1281">
        <v>9.25367196426145</v>
      </c>
      <c r="AI1281">
        <v>96.478269590842402</v>
      </c>
      <c r="AJ1281">
        <v>72.510515642362193</v>
      </c>
      <c r="AK1281">
        <v>9.7645325797924691</v>
      </c>
    </row>
    <row r="1282" spans="1:37" x14ac:dyDescent="0.2">
      <c r="A1282" t="str">
        <f>"20200111155816680"</f>
        <v>20200111155816680</v>
      </c>
      <c r="B1282" t="str">
        <f>"1578729496672506"</f>
        <v>1578729496672506</v>
      </c>
      <c r="C1282" t="s">
        <v>37</v>
      </c>
      <c r="D1282">
        <v>5.6327699999999998</v>
      </c>
      <c r="E1282">
        <v>0.62078049999999996</v>
      </c>
      <c r="F1282" t="s">
        <v>44</v>
      </c>
      <c r="G1282">
        <v>-208.5556</v>
      </c>
      <c r="H1282" s="1">
        <v>-5.805342E-6</v>
      </c>
      <c r="I1282">
        <v>363.18979999999999</v>
      </c>
      <c r="J1282">
        <v>-217.16630000000001</v>
      </c>
      <c r="K1282">
        <v>1.10175499999999</v>
      </c>
      <c r="L1282">
        <v>367.82799999999997</v>
      </c>
      <c r="M1282">
        <v>0.98242799999999997</v>
      </c>
      <c r="N1282">
        <v>0</v>
      </c>
      <c r="O1282">
        <v>-0.18610699999999999</v>
      </c>
      <c r="P1282">
        <v>0.9828114</v>
      </c>
      <c r="Q1282">
        <v>-3.4030779999999999E-3</v>
      </c>
      <c r="R1282">
        <v>-0.18458269999999999</v>
      </c>
      <c r="S1282">
        <v>2.7773590000000001</v>
      </c>
      <c r="T1282">
        <v>-0.34944639999999999</v>
      </c>
      <c r="U1282">
        <v>-1.480591</v>
      </c>
      <c r="V1282">
        <v>-1.4955770000000001E-3</v>
      </c>
      <c r="W1282">
        <v>1.07318E-2</v>
      </c>
      <c r="X1282">
        <v>0.99994130000000003</v>
      </c>
      <c r="Y1282">
        <v>0.29728119999999902</v>
      </c>
      <c r="Z1282">
        <v>4.0628330000000001E-3</v>
      </c>
      <c r="AA1282">
        <v>0.95478130000000005</v>
      </c>
      <c r="AB1282">
        <v>26</v>
      </c>
      <c r="AC1282">
        <v>8.6106999999999996</v>
      </c>
      <c r="AD1282">
        <v>-1.1017608053419901</v>
      </c>
      <c r="AE1282">
        <v>-4.6382000000000403</v>
      </c>
      <c r="AF1282">
        <v>2.91745838774855</v>
      </c>
      <c r="AG1282">
        <v>-1.1017608053419901</v>
      </c>
      <c r="AH1282">
        <v>9.2066920622343993</v>
      </c>
      <c r="AI1282">
        <v>96.508104147652801</v>
      </c>
      <c r="AJ1282">
        <v>72.417396365051601</v>
      </c>
      <c r="AK1282">
        <v>9.72052565683782</v>
      </c>
    </row>
    <row r="1283" spans="1:37" x14ac:dyDescent="0.2">
      <c r="A1283" t="str">
        <f>"20200111155816693"</f>
        <v>20200111155816693</v>
      </c>
      <c r="B1283" t="str">
        <f>"1578729496682265"</f>
        <v>1578729496682265</v>
      </c>
      <c r="C1283" t="s">
        <v>37</v>
      </c>
      <c r="D1283">
        <v>5.5340369999999997</v>
      </c>
      <c r="E1283">
        <v>0.62089819999999996</v>
      </c>
      <c r="F1283" t="s">
        <v>44</v>
      </c>
      <c r="G1283">
        <v>-208.4348</v>
      </c>
      <c r="H1283" s="1">
        <v>-5.775008E-6</v>
      </c>
      <c r="I1283">
        <v>363.12509999999997</v>
      </c>
      <c r="J1283">
        <v>-217.0172</v>
      </c>
      <c r="K1283">
        <v>1.101823</v>
      </c>
      <c r="L1283">
        <v>367.79719999999998</v>
      </c>
      <c r="M1283">
        <v>0.98200799999999999</v>
      </c>
      <c r="N1283">
        <v>0</v>
      </c>
      <c r="O1283">
        <v>-0.18831049999999999</v>
      </c>
      <c r="P1283">
        <v>0.98176469999999905</v>
      </c>
      <c r="Q1283">
        <v>-4.5009949999999998E-3</v>
      </c>
      <c r="R1283">
        <v>-0.19004670000000001</v>
      </c>
      <c r="S1283">
        <v>2.770966</v>
      </c>
      <c r="T1283">
        <v>-0.349647599999999</v>
      </c>
      <c r="U1283">
        <v>-1.492462</v>
      </c>
      <c r="V1283">
        <v>1.8158789999999901E-3</v>
      </c>
      <c r="W1283">
        <v>9.6050849999999993E-3</v>
      </c>
      <c r="X1283">
        <v>0.99995219999999996</v>
      </c>
      <c r="Y1283">
        <v>0.29922929999999998</v>
      </c>
      <c r="Z1283">
        <v>4.202753E-3</v>
      </c>
      <c r="AA1283">
        <v>0.95417199999999902</v>
      </c>
      <c r="AB1283">
        <v>26</v>
      </c>
      <c r="AC1283">
        <v>8.5823999999999998</v>
      </c>
      <c r="AD1283">
        <v>-1.101828775008</v>
      </c>
      <c r="AE1283">
        <v>-4.6721000000000004</v>
      </c>
      <c r="AF1283">
        <v>2.9348655665106298</v>
      </c>
      <c r="AG1283">
        <v>-1.101828775008</v>
      </c>
      <c r="AH1283">
        <v>9.1918524955798198</v>
      </c>
      <c r="AI1283">
        <v>96.514430423480107</v>
      </c>
      <c r="AJ1283">
        <v>72.292243037682397</v>
      </c>
      <c r="AK1283">
        <v>9.7117256367456299</v>
      </c>
    </row>
    <row r="1284" spans="1:37" x14ac:dyDescent="0.2">
      <c r="A1284" t="str">
        <f>"20200111155816707"</f>
        <v>20200111155816707</v>
      </c>
      <c r="B1284" t="str">
        <f>"1578729496701786"</f>
        <v>1578729496701786</v>
      </c>
      <c r="C1284" t="s">
        <v>37</v>
      </c>
      <c r="D1284">
        <v>5.4800230000000001</v>
      </c>
      <c r="E1284">
        <v>0.62112869999999998</v>
      </c>
      <c r="F1284" t="s">
        <v>44</v>
      </c>
      <c r="G1284">
        <v>-208.3134</v>
      </c>
      <c r="H1284" s="1">
        <v>-5.7477009999999901E-6</v>
      </c>
      <c r="I1284">
        <v>363.03960000000001</v>
      </c>
      <c r="J1284">
        <v>-216.8623</v>
      </c>
      <c r="K1284">
        <v>1.1018790000000001</v>
      </c>
      <c r="L1284">
        <v>367.76499999999999</v>
      </c>
      <c r="M1284">
        <v>0.98157190000000005</v>
      </c>
      <c r="N1284">
        <v>0</v>
      </c>
      <c r="O1284">
        <v>-0.1905724</v>
      </c>
      <c r="P1284">
        <v>0.98106979999999999</v>
      </c>
      <c r="Q1284">
        <v>-4.8755869999999998E-3</v>
      </c>
      <c r="R1284">
        <v>-0.19359409999999999</v>
      </c>
      <c r="S1284">
        <v>2.7619020000000001</v>
      </c>
      <c r="T1284">
        <v>-0.34963050000000001</v>
      </c>
      <c r="U1284">
        <v>-1.509674</v>
      </c>
      <c r="V1284">
        <v>3.1229890000000001E-3</v>
      </c>
      <c r="W1284">
        <v>9.2155269999999994E-3</v>
      </c>
      <c r="X1284">
        <v>0.99995270000000003</v>
      </c>
      <c r="Y1284">
        <v>0.30291649999999998</v>
      </c>
      <c r="Z1284">
        <v>4.2449740000000003E-3</v>
      </c>
      <c r="AA1284">
        <v>0.95300759999999995</v>
      </c>
      <c r="AB1284">
        <v>26</v>
      </c>
      <c r="AC1284">
        <v>8.5488999999999997</v>
      </c>
      <c r="AD1284">
        <v>-1.1018847477010001</v>
      </c>
      <c r="AE1284">
        <v>-4.7253999999999703</v>
      </c>
      <c r="AF1284">
        <v>2.9716201291073099</v>
      </c>
      <c r="AG1284">
        <v>-1.1018847477010001</v>
      </c>
      <c r="AH1284">
        <v>9.17604745790638</v>
      </c>
      <c r="AI1284">
        <v>96.517299521943002</v>
      </c>
      <c r="AJ1284">
        <v>72.055696014260505</v>
      </c>
      <c r="AK1284">
        <v>9.7079618426671797</v>
      </c>
    </row>
    <row r="1285" spans="1:37" x14ac:dyDescent="0.2">
      <c r="A1285" t="str">
        <f>"20200111155816718"</f>
        <v>20200111155816718</v>
      </c>
      <c r="B1285" t="str">
        <f>"1578729496712523"</f>
        <v>1578729496712523</v>
      </c>
      <c r="C1285" t="s">
        <v>37</v>
      </c>
      <c r="D1285">
        <v>5.457916</v>
      </c>
      <c r="E1285">
        <v>0.62134339999999999</v>
      </c>
      <c r="F1285" t="s">
        <v>44</v>
      </c>
      <c r="G1285">
        <v>-208.113</v>
      </c>
      <c r="H1285" s="1">
        <v>-5.6973889999999998E-6</v>
      </c>
      <c r="I1285">
        <v>362.9323</v>
      </c>
      <c r="J1285">
        <v>-216.73259999999999</v>
      </c>
      <c r="K1285">
        <v>1.101917</v>
      </c>
      <c r="L1285">
        <v>367.73770000000002</v>
      </c>
      <c r="M1285">
        <v>0.98120909999999995</v>
      </c>
      <c r="N1285">
        <v>0</v>
      </c>
      <c r="O1285">
        <v>-0.1924312</v>
      </c>
      <c r="P1285">
        <v>0.98047489999999904</v>
      </c>
      <c r="Q1285">
        <v>-5.6463700000000004E-3</v>
      </c>
      <c r="R1285">
        <v>-0.19656299999999999</v>
      </c>
      <c r="S1285">
        <v>2.755798</v>
      </c>
      <c r="T1285">
        <v>-0.34706310000000001</v>
      </c>
      <c r="U1285">
        <v>-1.522186</v>
      </c>
      <c r="V1285">
        <v>4.2510300000000003E-3</v>
      </c>
      <c r="W1285">
        <v>8.4321139999999992E-3</v>
      </c>
      <c r="X1285">
        <v>0.99995540000000005</v>
      </c>
      <c r="Y1285">
        <v>0.305326599999999</v>
      </c>
      <c r="Z1285">
        <v>4.2838440000000002E-3</v>
      </c>
      <c r="AA1285">
        <v>0.95223809999999998</v>
      </c>
      <c r="AB1285">
        <v>26</v>
      </c>
      <c r="AC1285">
        <v>8.6195999999999895</v>
      </c>
      <c r="AD1285">
        <v>-1.1019226973889999</v>
      </c>
      <c r="AE1285">
        <v>-4.8054000000000201</v>
      </c>
      <c r="AF1285">
        <v>3.0190848772853398</v>
      </c>
      <c r="AG1285">
        <v>-1.1019226973889999</v>
      </c>
      <c r="AH1285">
        <v>9.2677238692381696</v>
      </c>
      <c r="AI1285">
        <v>96.449992119185794</v>
      </c>
      <c r="AJ1285">
        <v>71.956288320949994</v>
      </c>
      <c r="AK1285">
        <v>9.80916983458442</v>
      </c>
    </row>
    <row r="1286" spans="1:37" x14ac:dyDescent="0.2">
      <c r="A1286" t="str">
        <f>"20200111155816730"</f>
        <v>20200111155816730</v>
      </c>
      <c r="B1286" t="str">
        <f>"1578729496722281"</f>
        <v>1578729496722281</v>
      </c>
      <c r="C1286" t="s">
        <v>37</v>
      </c>
      <c r="D1286">
        <v>5.4757819999999997</v>
      </c>
      <c r="E1286">
        <v>0.62151149999999999</v>
      </c>
      <c r="F1286" t="s">
        <v>44</v>
      </c>
      <c r="G1286">
        <v>-207.98480000000001</v>
      </c>
      <c r="H1286" s="1">
        <v>-5.6652109999999997E-6</v>
      </c>
      <c r="I1286">
        <v>362.86349999999999</v>
      </c>
      <c r="J1286">
        <v>-216.60380000000001</v>
      </c>
      <c r="K1286">
        <v>1.10195</v>
      </c>
      <c r="L1286">
        <v>367.71039999999999</v>
      </c>
      <c r="M1286">
        <v>0.980847899999999</v>
      </c>
      <c r="N1286">
        <v>0</v>
      </c>
      <c r="O1286">
        <v>-0.194264299999999</v>
      </c>
      <c r="P1286">
        <v>0.98003200000000001</v>
      </c>
      <c r="Q1286">
        <v>-6.4584409999999997E-3</v>
      </c>
      <c r="R1286">
        <v>-0.19873550000000001</v>
      </c>
      <c r="S1286">
        <v>2.7505039999999998</v>
      </c>
      <c r="T1286">
        <v>-0.346468</v>
      </c>
      <c r="U1286">
        <v>-1.532532</v>
      </c>
      <c r="V1286">
        <v>4.5935699999999999E-3</v>
      </c>
      <c r="W1286">
        <v>7.612934E-3</v>
      </c>
      <c r="X1286">
        <v>0.99996049999999903</v>
      </c>
      <c r="Y1286">
        <v>0.30706240000000001</v>
      </c>
      <c r="Z1286">
        <v>4.3828080000000002E-3</v>
      </c>
      <c r="AA1286">
        <v>0.95167930000000001</v>
      </c>
      <c r="AB1286">
        <v>26</v>
      </c>
      <c r="AC1286">
        <v>8.6189999999999998</v>
      </c>
      <c r="AD1286">
        <v>-1.1019556652110001</v>
      </c>
      <c r="AE1286">
        <v>-4.8468999999999998</v>
      </c>
      <c r="AF1286">
        <v>3.0422329081111199</v>
      </c>
      <c r="AG1286">
        <v>-1.1019556652110001</v>
      </c>
      <c r="AH1286">
        <v>9.2811804221035707</v>
      </c>
      <c r="AI1286">
        <v>96.437098857302701</v>
      </c>
      <c r="AJ1286">
        <v>71.851625683364304</v>
      </c>
      <c r="AK1286">
        <v>9.8290283030889398</v>
      </c>
    </row>
    <row r="1287" spans="1:37" x14ac:dyDescent="0.2">
      <c r="A1287" t="str">
        <f>"20200111155816741"</f>
        <v>20200111155816741</v>
      </c>
      <c r="B1287" t="str">
        <f>"1578729496732042"</f>
        <v>1578729496732042</v>
      </c>
      <c r="C1287" t="s">
        <v>37</v>
      </c>
      <c r="D1287">
        <v>5.7365170000000001</v>
      </c>
      <c r="E1287">
        <v>0.62151149999999999</v>
      </c>
      <c r="F1287" t="s">
        <v>44</v>
      </c>
      <c r="G1287">
        <v>-207.8674</v>
      </c>
      <c r="H1287" s="1">
        <v>-5.6342019999999998E-6</v>
      </c>
      <c r="I1287">
        <v>362.81049999999999</v>
      </c>
      <c r="J1287">
        <v>-216.4682</v>
      </c>
      <c r="K1287">
        <v>1.1019809999999901</v>
      </c>
      <c r="L1287">
        <v>367.6814</v>
      </c>
      <c r="M1287">
        <v>0.98046710000000004</v>
      </c>
      <c r="N1287">
        <v>0</v>
      </c>
      <c r="O1287">
        <v>-0.1961773</v>
      </c>
      <c r="P1287">
        <v>0.97955619999999999</v>
      </c>
      <c r="Q1287">
        <v>-7.5012719999999998E-3</v>
      </c>
      <c r="R1287">
        <v>-0.20103109999999999</v>
      </c>
      <c r="S1287">
        <v>2.7464599999999999</v>
      </c>
      <c r="T1287">
        <v>-0.34641949999999999</v>
      </c>
      <c r="U1287">
        <v>-1.540375</v>
      </c>
      <c r="V1287">
        <v>4.9798840000000004E-3</v>
      </c>
      <c r="W1287">
        <v>6.562488E-3</v>
      </c>
      <c r="X1287">
        <v>0.99996609999999997</v>
      </c>
      <c r="Y1287">
        <v>0.30787769999999998</v>
      </c>
      <c r="Z1287">
        <v>4.5509770000000003E-3</v>
      </c>
      <c r="AA1287">
        <v>0.95141509999999996</v>
      </c>
      <c r="AB1287">
        <v>26</v>
      </c>
      <c r="AC1287">
        <v>8.6007999999999907</v>
      </c>
      <c r="AD1287">
        <v>-1.1019866342019999</v>
      </c>
      <c r="AE1287">
        <v>-4.8708999999999998</v>
      </c>
      <c r="AF1287">
        <v>3.0508611244244199</v>
      </c>
      <c r="AG1287">
        <v>-1.1019866342019999</v>
      </c>
      <c r="AH1287">
        <v>9.2740211729240407</v>
      </c>
      <c r="AI1287">
        <v>96.439965457865796</v>
      </c>
      <c r="AJ1287">
        <v>71.790421387044802</v>
      </c>
      <c r="AK1287">
        <v>9.8249476771292503</v>
      </c>
    </row>
    <row r="1288" spans="1:37" x14ac:dyDescent="0.2">
      <c r="A1288" t="str">
        <f>"20200111155816754"</f>
        <v>20200111155816754</v>
      </c>
      <c r="B1288" t="str">
        <f>"1578729496752538"</f>
        <v>1578729496752538</v>
      </c>
      <c r="C1288" t="s">
        <v>37</v>
      </c>
      <c r="D1288">
        <v>8.4140060000000005</v>
      </c>
      <c r="E1288">
        <v>0.62181549999999997</v>
      </c>
      <c r="F1288" t="s">
        <v>44</v>
      </c>
      <c r="G1288">
        <v>-207.80330000000001</v>
      </c>
      <c r="H1288" s="1">
        <v>-5.6153199999999898E-6</v>
      </c>
      <c r="I1288">
        <v>362.79399999999998</v>
      </c>
      <c r="J1288">
        <v>-216.3237</v>
      </c>
      <c r="K1288">
        <v>1.102001</v>
      </c>
      <c r="L1288">
        <v>367.65010000000001</v>
      </c>
      <c r="M1288">
        <v>0.98006059999999995</v>
      </c>
      <c r="N1288">
        <v>0</v>
      </c>
      <c r="O1288">
        <v>-0.19819870000000001</v>
      </c>
      <c r="P1288">
        <v>0.97921219999999998</v>
      </c>
      <c r="Q1288">
        <v>-8.7678169999999903E-3</v>
      </c>
      <c r="R1288">
        <v>-0.20264879999999999</v>
      </c>
      <c r="S1288">
        <v>2.7424770000000001</v>
      </c>
      <c r="T1288">
        <v>-0.34878520000000002</v>
      </c>
      <c r="U1288">
        <v>-1.546875</v>
      </c>
      <c r="V1288">
        <v>4.5635279999999999E-3</v>
      </c>
      <c r="W1288">
        <v>5.2936469999999899E-3</v>
      </c>
      <c r="X1288">
        <v>0.99997559999999996</v>
      </c>
      <c r="Y1288">
        <v>0.3082182</v>
      </c>
      <c r="Z1288">
        <v>4.7927439999999998E-3</v>
      </c>
      <c r="AA1288">
        <v>0.95130360000000003</v>
      </c>
      <c r="AB1288">
        <v>26</v>
      </c>
      <c r="AC1288">
        <v>8.5203999999999898</v>
      </c>
      <c r="AD1288">
        <v>-1.1020066153200001</v>
      </c>
      <c r="AE1288">
        <v>-4.8560999999999597</v>
      </c>
      <c r="AF1288">
        <v>3.03255383922024</v>
      </c>
      <c r="AG1288">
        <v>-1.1020066153200001</v>
      </c>
      <c r="AH1288">
        <v>9.1977683784576492</v>
      </c>
      <c r="AI1288">
        <v>96.491608510101898</v>
      </c>
      <c r="AJ1288">
        <v>71.752333440778798</v>
      </c>
      <c r="AK1288">
        <v>9.7472942148954296</v>
      </c>
    </row>
    <row r="1289" spans="1:37" x14ac:dyDescent="0.2">
      <c r="A1289" t="str">
        <f>"20200111155816768"</f>
        <v>20200111155816768</v>
      </c>
      <c r="B1289" t="str">
        <f>"1578729496762299"</f>
        <v>1578729496762299</v>
      </c>
      <c r="C1289" t="s">
        <v>37</v>
      </c>
      <c r="D1289">
        <v>5.714378</v>
      </c>
      <c r="E1289">
        <v>0.62181549999999997</v>
      </c>
      <c r="F1289" t="s">
        <v>44</v>
      </c>
      <c r="G1289">
        <v>-195.9802</v>
      </c>
      <c r="H1289" s="1">
        <v>-4.9775430000000003E-6</v>
      </c>
      <c r="I1289">
        <v>356.08890000000002</v>
      </c>
      <c r="J1289">
        <v>-216.1754</v>
      </c>
      <c r="K1289">
        <v>1.102015</v>
      </c>
      <c r="L1289">
        <v>367.61779999999999</v>
      </c>
      <c r="M1289">
        <v>0.97964030000000002</v>
      </c>
      <c r="N1289">
        <v>0</v>
      </c>
      <c r="O1289">
        <v>-0.20026640000000001</v>
      </c>
      <c r="P1289">
        <v>0.97889590000000004</v>
      </c>
      <c r="Q1289">
        <v>-9.7318370000000001E-3</v>
      </c>
      <c r="R1289">
        <v>-0.20412810000000001</v>
      </c>
      <c r="S1289">
        <v>2.7400820000000001</v>
      </c>
      <c r="T1289">
        <v>-0.14843000000000001</v>
      </c>
      <c r="U1289">
        <v>-1.5571900000000001</v>
      </c>
      <c r="V1289">
        <v>3.959766E-3</v>
      </c>
      <c r="W1289">
        <v>4.3285390000000002E-3</v>
      </c>
      <c r="X1289">
        <v>0.99998279999999995</v>
      </c>
      <c r="Y1289">
        <v>0.3098243</v>
      </c>
      <c r="Z1289">
        <v>2.1033089999999998E-3</v>
      </c>
      <c r="AA1289">
        <v>0.95079150000000001</v>
      </c>
      <c r="AB1289">
        <v>26</v>
      </c>
      <c r="AC1289">
        <v>20.1952</v>
      </c>
      <c r="AD1289">
        <v>-1.102019977543</v>
      </c>
      <c r="AE1289">
        <v>-11.528899999999901</v>
      </c>
      <c r="AF1289">
        <v>7.2342270968235196</v>
      </c>
      <c r="AG1289">
        <v>-1.102019977543</v>
      </c>
      <c r="AH1289">
        <v>22.045563234510801</v>
      </c>
      <c r="AI1289">
        <v>92.719300198307906</v>
      </c>
      <c r="AJ1289">
        <v>71.832807750206001</v>
      </c>
      <c r="AK1289">
        <v>23.228330720181599</v>
      </c>
    </row>
    <row r="1290" spans="1:37" x14ac:dyDescent="0.2">
      <c r="A1290" t="str">
        <f>"20200111155816784"</f>
        <v>20200111155816784</v>
      </c>
      <c r="B1290" t="str">
        <f>"1578729496781818"</f>
        <v>1578729496781818</v>
      </c>
      <c r="C1290" t="s">
        <v>37</v>
      </c>
      <c r="D1290">
        <v>6.6520049999999999</v>
      </c>
      <c r="E1290">
        <v>0.54567159999999904</v>
      </c>
      <c r="F1290" t="s">
        <v>44</v>
      </c>
      <c r="G1290">
        <v>-196.2011</v>
      </c>
      <c r="H1290" s="1">
        <v>-5.0903950000000001E-6</v>
      </c>
      <c r="I1290">
        <v>356.226</v>
      </c>
      <c r="J1290">
        <v>-215.9829</v>
      </c>
      <c r="K1290">
        <v>1.1020299999999901</v>
      </c>
      <c r="L1290">
        <v>367.5754</v>
      </c>
      <c r="M1290">
        <v>0.97908989999999996</v>
      </c>
      <c r="N1290">
        <v>0</v>
      </c>
      <c r="O1290">
        <v>-0.20294039999999999</v>
      </c>
      <c r="P1290">
        <v>0.97871859999999999</v>
      </c>
      <c r="Q1290">
        <v>-1.1566460000000001E-2</v>
      </c>
      <c r="R1290">
        <v>-0.20488119999999899</v>
      </c>
      <c r="S1290">
        <v>2.7375790000000002</v>
      </c>
      <c r="T1290">
        <v>-0.1510377</v>
      </c>
      <c r="U1290">
        <v>-1.56131</v>
      </c>
      <c r="V1290">
        <v>1.9914160000000002E-3</v>
      </c>
      <c r="W1290">
        <v>2.500834E-3</v>
      </c>
      <c r="X1290">
        <v>0.99999490000000002</v>
      </c>
      <c r="Y1290">
        <v>0.3086816</v>
      </c>
      <c r="Z1290">
        <v>2.3014730000000001E-3</v>
      </c>
      <c r="AA1290">
        <v>0.95116259999999997</v>
      </c>
      <c r="AB1290">
        <v>26</v>
      </c>
      <c r="AC1290">
        <v>19.7818</v>
      </c>
      <c r="AD1290">
        <v>-1.10203509039499</v>
      </c>
      <c r="AE1290">
        <v>-11.349399999999999</v>
      </c>
      <c r="AF1290">
        <v>7.0817242712998203</v>
      </c>
      <c r="AG1290">
        <v>-1.10203509039499</v>
      </c>
      <c r="AH1290">
        <v>21.623070807973701</v>
      </c>
      <c r="AI1290">
        <v>92.772913724123597</v>
      </c>
      <c r="AJ1290">
        <v>71.865975140731805</v>
      </c>
      <c r="AK1290">
        <v>22.779870306079999</v>
      </c>
    </row>
    <row r="1291" spans="1:37" x14ac:dyDescent="0.2">
      <c r="A1291" t="str">
        <f>"20200111155816798"</f>
        <v>20200111155816798</v>
      </c>
      <c r="B1291" t="str">
        <f>"1578729496792554"</f>
        <v>1578729496792554</v>
      </c>
      <c r="C1291" t="s">
        <v>37</v>
      </c>
      <c r="D1291">
        <v>5.6320379999999997</v>
      </c>
      <c r="E1291">
        <v>0.54598029999999997</v>
      </c>
      <c r="F1291" t="s">
        <v>38</v>
      </c>
      <c r="G1291">
        <v>-215.28469999999999</v>
      </c>
      <c r="H1291">
        <v>1.042745</v>
      </c>
      <c r="I1291">
        <v>367.33890000000002</v>
      </c>
      <c r="J1291">
        <v>-215.8313</v>
      </c>
      <c r="K1291">
        <v>1.1020350000000001</v>
      </c>
      <c r="L1291">
        <v>367.54149999999998</v>
      </c>
      <c r="M1291">
        <v>0.97865190000000002</v>
      </c>
      <c r="N1291">
        <v>0</v>
      </c>
      <c r="O1291">
        <v>-0.20504220000000001</v>
      </c>
      <c r="P1291">
        <v>0.97852790000000001</v>
      </c>
      <c r="Q1291">
        <v>-1.2306630000000001E-2</v>
      </c>
      <c r="R1291">
        <v>-0.2057467</v>
      </c>
      <c r="S1291">
        <v>2.859772</v>
      </c>
      <c r="T1291">
        <v>-0.24285699999999999</v>
      </c>
      <c r="U1291">
        <v>-0.96777340000000001</v>
      </c>
      <c r="V1291">
        <v>7.2587859999999999E-4</v>
      </c>
      <c r="W1291">
        <v>1.7641219999999999E-3</v>
      </c>
      <c r="X1291">
        <v>0.99999819999999995</v>
      </c>
      <c r="Y1291">
        <v>0.11976199999999999</v>
      </c>
      <c r="Z1291">
        <v>1.1744020000000001E-2</v>
      </c>
      <c r="AA1291">
        <v>0.99273319999999998</v>
      </c>
      <c r="AB1291">
        <v>26</v>
      </c>
      <c r="AC1291">
        <v>0.54660000000001197</v>
      </c>
      <c r="AD1291">
        <v>-5.9290000000000002E-2</v>
      </c>
      <c r="AE1291">
        <v>-0.20259999999996101</v>
      </c>
      <c r="AF1291">
        <v>8.5324695304166795E-2</v>
      </c>
      <c r="AG1291">
        <v>-5.9290000000000002E-2</v>
      </c>
      <c r="AH1291">
        <v>0.57062686277600905</v>
      </c>
      <c r="AI1291">
        <v>95.867167704513406</v>
      </c>
      <c r="AJ1291">
        <v>81.495684562421104</v>
      </c>
      <c r="AK1291">
        <v>0.58000915876418702</v>
      </c>
    </row>
    <row r="1292" spans="1:37" x14ac:dyDescent="0.2">
      <c r="A1292" t="str">
        <f>"20200111155816810"</f>
        <v>20200111155816810</v>
      </c>
      <c r="B1292" t="str">
        <f>"1578729496802314"</f>
        <v>1578729496802314</v>
      </c>
      <c r="C1292" t="s">
        <v>37</v>
      </c>
      <c r="D1292">
        <v>5.6640930000000003</v>
      </c>
      <c r="E1292">
        <v>0.54589659999999995</v>
      </c>
      <c r="F1292" t="s">
        <v>38</v>
      </c>
      <c r="G1292">
        <v>-215.0591</v>
      </c>
      <c r="H1292">
        <v>1.0435749999999999</v>
      </c>
      <c r="I1292">
        <v>367.27859999999998</v>
      </c>
      <c r="J1292">
        <v>-215.6926</v>
      </c>
      <c r="K1292">
        <v>1.102042</v>
      </c>
      <c r="L1292">
        <v>367.5102</v>
      </c>
      <c r="M1292">
        <v>0.97824669999999903</v>
      </c>
      <c r="N1292">
        <v>0</v>
      </c>
      <c r="O1292">
        <v>-0.2069674</v>
      </c>
      <c r="P1292">
        <v>0.97837070000000004</v>
      </c>
      <c r="Q1292">
        <v>-1.303938E-2</v>
      </c>
      <c r="R1292">
        <v>-0.20644850000000001</v>
      </c>
      <c r="S1292">
        <v>2.858536</v>
      </c>
      <c r="T1292">
        <v>-0.21641959999999999</v>
      </c>
      <c r="U1292">
        <v>-0.97293090000000004</v>
      </c>
      <c r="V1292">
        <v>-5.2672999999999999E-4</v>
      </c>
      <c r="W1292">
        <v>1.0355150000000001E-3</v>
      </c>
      <c r="X1292">
        <v>0.99999930000000004</v>
      </c>
      <c r="Y1292">
        <v>0.11949609999999999</v>
      </c>
      <c r="Z1292">
        <v>1.0616459999999999E-2</v>
      </c>
      <c r="AA1292">
        <v>0.99277789999999999</v>
      </c>
      <c r="AB1292">
        <v>26</v>
      </c>
      <c r="AC1292">
        <v>0.63349999999999795</v>
      </c>
      <c r="AD1292">
        <v>-5.8466999999999998E-2</v>
      </c>
      <c r="AE1292">
        <v>-0.23160000000001399</v>
      </c>
      <c r="AF1292">
        <v>9.4745653078540798E-2</v>
      </c>
      <c r="AG1292">
        <v>-5.8466999999999998E-2</v>
      </c>
      <c r="AH1292">
        <v>0.66273945066760998</v>
      </c>
      <c r="AI1292">
        <v>94.991107042512098</v>
      </c>
      <c r="AJ1292">
        <v>81.864086628842102</v>
      </c>
      <c r="AK1292">
        <v>0.67202582415967005</v>
      </c>
    </row>
    <row r="1293" spans="1:37" x14ac:dyDescent="0.2">
      <c r="A1293" t="str">
        <f>"20200111155816821"</f>
        <v>20200111155816821</v>
      </c>
      <c r="B1293" t="str">
        <f>"1578729496812074"</f>
        <v>1578729496812074</v>
      </c>
      <c r="C1293" t="s">
        <v>37</v>
      </c>
      <c r="D1293">
        <v>8.8910229999999899</v>
      </c>
      <c r="E1293">
        <v>0.54595349999999998</v>
      </c>
      <c r="F1293" t="s">
        <v>38</v>
      </c>
      <c r="G1293">
        <v>-214.83789999999999</v>
      </c>
      <c r="H1293">
        <v>1.039922</v>
      </c>
      <c r="I1293">
        <v>367.21850000000001</v>
      </c>
      <c r="J1293">
        <v>-215.5515</v>
      </c>
      <c r="K1293">
        <v>1.1020459999999901</v>
      </c>
      <c r="L1293">
        <v>367.47809999999998</v>
      </c>
      <c r="M1293">
        <v>0.97783039999999999</v>
      </c>
      <c r="N1293">
        <v>0</v>
      </c>
      <c r="O1293">
        <v>-0.20892629999999901</v>
      </c>
      <c r="P1293">
        <v>0.97815509999999894</v>
      </c>
      <c r="Q1293">
        <v>-1.3728219999999999E-2</v>
      </c>
      <c r="R1293">
        <v>-0.20742389999999999</v>
      </c>
      <c r="S1293">
        <v>2.8579249999999998</v>
      </c>
      <c r="T1293">
        <v>-0.2077561</v>
      </c>
      <c r="U1293">
        <v>-0.97448729999999995</v>
      </c>
      <c r="V1293">
        <v>-1.53524E-3</v>
      </c>
      <c r="W1293">
        <v>3.4886990000000001E-4</v>
      </c>
      <c r="X1293">
        <v>0.99999869999999902</v>
      </c>
      <c r="Y1293">
        <v>0.11804729999999999</v>
      </c>
      <c r="Z1293">
        <v>1.037833E-2</v>
      </c>
      <c r="AA1293">
        <v>0.99295370000000005</v>
      </c>
      <c r="AB1293">
        <v>26</v>
      </c>
      <c r="AC1293">
        <v>0.713600000000013</v>
      </c>
      <c r="AD1293">
        <v>-6.2123999999999797E-2</v>
      </c>
      <c r="AE1293">
        <v>-0.25959999999997702</v>
      </c>
      <c r="AF1293">
        <v>0.104068761763575</v>
      </c>
      <c r="AG1293">
        <v>-6.2123999999999797E-2</v>
      </c>
      <c r="AH1293">
        <v>0.74709091737301903</v>
      </c>
      <c r="AI1293">
        <v>94.708215379017901</v>
      </c>
      <c r="AJ1293">
        <v>82.069804899301104</v>
      </c>
      <c r="AK1293">
        <v>0.75685833375359202</v>
      </c>
    </row>
    <row r="1294" spans="1:37" x14ac:dyDescent="0.2">
      <c r="A1294" t="str">
        <f>"20200111155816834"</f>
        <v>20200111155816834</v>
      </c>
      <c r="B1294" t="str">
        <f>"1578729496822810"</f>
        <v>1578729496822810</v>
      </c>
      <c r="C1294" t="s">
        <v>37</v>
      </c>
      <c r="D1294">
        <v>5.6756199999999897</v>
      </c>
      <c r="E1294">
        <v>0.54552069999999997</v>
      </c>
      <c r="F1294" t="s">
        <v>38</v>
      </c>
      <c r="G1294">
        <v>-214.82759999999999</v>
      </c>
      <c r="H1294">
        <v>1.0496840000000001</v>
      </c>
      <c r="I1294">
        <v>367.23009999999999</v>
      </c>
      <c r="J1294">
        <v>-215.4195</v>
      </c>
      <c r="K1294">
        <v>1.1020479999999999</v>
      </c>
      <c r="L1294">
        <v>367.44779999999997</v>
      </c>
      <c r="M1294">
        <v>0.97743590000000002</v>
      </c>
      <c r="N1294">
        <v>0</v>
      </c>
      <c r="O1294">
        <v>-0.21076309999999901</v>
      </c>
      <c r="P1294">
        <v>0.9779738</v>
      </c>
      <c r="Q1294">
        <v>-1.4184840000000001E-2</v>
      </c>
      <c r="R1294">
        <v>-0.20824490000000001</v>
      </c>
      <c r="S1294">
        <v>2.856735</v>
      </c>
      <c r="T1294">
        <v>-0.2067388</v>
      </c>
      <c r="U1294">
        <v>-0.97796629999999996</v>
      </c>
      <c r="V1294">
        <v>-2.5756970000000001E-3</v>
      </c>
      <c r="W1294">
        <v>-1.045437E-4</v>
      </c>
      <c r="X1294">
        <v>0.99999669999999896</v>
      </c>
      <c r="Y1294">
        <v>0.1173944</v>
      </c>
      <c r="Z1294">
        <v>1.04768999999999E-2</v>
      </c>
      <c r="AA1294">
        <v>0.99303009999999903</v>
      </c>
      <c r="AB1294">
        <v>26</v>
      </c>
      <c r="AC1294">
        <v>0.59190000000000897</v>
      </c>
      <c r="AD1294">
        <v>-5.23639999999998E-2</v>
      </c>
      <c r="AE1294">
        <v>-0.21769999999997899</v>
      </c>
      <c r="AF1294">
        <v>8.7443005581082894E-2</v>
      </c>
      <c r="AG1294">
        <v>-5.23639999999998E-2</v>
      </c>
      <c r="AH1294">
        <v>0.62021354088000402</v>
      </c>
      <c r="AI1294">
        <v>94.778937859326504</v>
      </c>
      <c r="AJ1294">
        <v>81.974846420734295</v>
      </c>
      <c r="AK1294">
        <v>0.62853250036252295</v>
      </c>
    </row>
    <row r="1295" spans="1:37" x14ac:dyDescent="0.2">
      <c r="A1295" t="str">
        <f>"20200111155816847"</f>
        <v>20200111155816847</v>
      </c>
      <c r="B1295" t="str">
        <f>"1578729496842329"</f>
        <v>1578729496842329</v>
      </c>
      <c r="C1295" t="s">
        <v>37</v>
      </c>
      <c r="D1295">
        <v>5.6949069999999997</v>
      </c>
      <c r="E1295">
        <v>0.54519960000000001</v>
      </c>
      <c r="F1295" t="s">
        <v>38</v>
      </c>
      <c r="G1295">
        <v>-214.6096</v>
      </c>
      <c r="H1295">
        <v>1.042851</v>
      </c>
      <c r="I1295">
        <v>367.17079999999999</v>
      </c>
      <c r="J1295">
        <v>-215.2783</v>
      </c>
      <c r="K1295">
        <v>1.1020479999999999</v>
      </c>
      <c r="L1295">
        <v>367.41520000000003</v>
      </c>
      <c r="M1295">
        <v>0.97700980000000004</v>
      </c>
      <c r="N1295">
        <v>0</v>
      </c>
      <c r="O1295">
        <v>-0.21273</v>
      </c>
      <c r="P1295">
        <v>0.97767929999999903</v>
      </c>
      <c r="Q1295">
        <v>-1.468593E-2</v>
      </c>
      <c r="R1295">
        <v>-0.20958869999999999</v>
      </c>
      <c r="S1295">
        <v>2.8565669999999899</v>
      </c>
      <c r="T1295">
        <v>-0.2087984</v>
      </c>
      <c r="U1295">
        <v>-0.97653199999999996</v>
      </c>
      <c r="V1295">
        <v>-3.2156089999999999E-3</v>
      </c>
      <c r="W1295">
        <v>-6.0504880000000001E-4</v>
      </c>
      <c r="X1295">
        <v>0.99999459999999996</v>
      </c>
      <c r="Y1295">
        <v>0.114981</v>
      </c>
      <c r="Z1295">
        <v>1.080308E-2</v>
      </c>
      <c r="AA1295">
        <v>0.993309</v>
      </c>
      <c r="AB1295">
        <v>26</v>
      </c>
      <c r="AC1295">
        <v>0.66870000000000096</v>
      </c>
      <c r="AD1295">
        <v>-5.9196999999999902E-2</v>
      </c>
      <c r="AE1295">
        <v>-0.244400000000041</v>
      </c>
      <c r="AF1295">
        <v>9.5875377826049601E-2</v>
      </c>
      <c r="AG1295">
        <v>-5.9196999999999902E-2</v>
      </c>
      <c r="AH1295">
        <v>0.700544364428212</v>
      </c>
      <c r="AI1295">
        <v>94.785700036368198</v>
      </c>
      <c r="AJ1295">
        <v>82.207005707863104</v>
      </c>
      <c r="AK1295">
        <v>0.70954829251744</v>
      </c>
    </row>
    <row r="1296" spans="1:37" x14ac:dyDescent="0.2">
      <c r="A1296" t="str">
        <f>"20200111155816860"</f>
        <v>20200111155816860</v>
      </c>
      <c r="B1296" t="str">
        <f>"1578729496852090"</f>
        <v>1578729496852090</v>
      </c>
      <c r="C1296" t="s">
        <v>37</v>
      </c>
      <c r="D1296">
        <v>5.6175379999999997</v>
      </c>
      <c r="E1296">
        <v>0.54509390000000002</v>
      </c>
      <c r="F1296" t="s">
        <v>38</v>
      </c>
      <c r="G1296">
        <v>-214.39359999999999</v>
      </c>
      <c r="H1296">
        <v>1.0294809999999901</v>
      </c>
      <c r="I1296">
        <v>367.11219999999997</v>
      </c>
      <c r="J1296">
        <v>-215.1146</v>
      </c>
      <c r="K1296">
        <v>1.102039</v>
      </c>
      <c r="L1296">
        <v>367.37699999999899</v>
      </c>
      <c r="M1296">
        <v>0.97650899999999996</v>
      </c>
      <c r="N1296">
        <v>0</v>
      </c>
      <c r="O1296">
        <v>-0.2150174</v>
      </c>
      <c r="P1296">
        <v>0.977302</v>
      </c>
      <c r="Q1296">
        <v>-1.641981E-2</v>
      </c>
      <c r="R1296">
        <v>-0.2112145</v>
      </c>
      <c r="S1296">
        <v>2.8554689999999998</v>
      </c>
      <c r="T1296">
        <v>-0.234187799999999</v>
      </c>
      <c r="U1296">
        <v>-0.97732540000000001</v>
      </c>
      <c r="V1296">
        <v>-3.8993790000000001E-3</v>
      </c>
      <c r="W1296">
        <v>-2.3385339999999902E-3</v>
      </c>
      <c r="X1296">
        <v>0.99998969999999898</v>
      </c>
      <c r="Y1296">
        <v>0.1130883</v>
      </c>
      <c r="Z1296">
        <v>1.2367700000000001E-2</v>
      </c>
      <c r="AA1296">
        <v>0.99350799999999995</v>
      </c>
      <c r="AB1296">
        <v>26</v>
      </c>
      <c r="AC1296">
        <v>0.72100000000000297</v>
      </c>
      <c r="AD1296">
        <v>-7.2558000000000095E-2</v>
      </c>
      <c r="AE1296">
        <v>-0.264799999999979</v>
      </c>
      <c r="AF1296">
        <v>0.102646283877733</v>
      </c>
      <c r="AG1296">
        <v>-7.2558000000000095E-2</v>
      </c>
      <c r="AH1296">
        <v>0.75434324881289805</v>
      </c>
      <c r="AI1296">
        <v>95.444338629608794</v>
      </c>
      <c r="AJ1296">
        <v>82.251142962443893</v>
      </c>
      <c r="AK1296">
        <v>0.76474483325322695</v>
      </c>
    </row>
    <row r="1297" spans="1:37" x14ac:dyDescent="0.2">
      <c r="A1297" t="str">
        <f>"20200111155816874"</f>
        <v>20200111155816874</v>
      </c>
      <c r="B1297" t="str">
        <f>"1578729496863802"</f>
        <v>1578729496863802</v>
      </c>
      <c r="C1297" t="s">
        <v>37</v>
      </c>
      <c r="D1297">
        <v>5.6416409999999999</v>
      </c>
      <c r="E1297">
        <v>0.5449484</v>
      </c>
      <c r="F1297" t="s">
        <v>38</v>
      </c>
      <c r="G1297">
        <v>-214.386</v>
      </c>
      <c r="H1297">
        <v>1.038613</v>
      </c>
      <c r="I1297">
        <v>367.12639999999999</v>
      </c>
      <c r="J1297">
        <v>-214.96979999999999</v>
      </c>
      <c r="K1297">
        <v>1.102025</v>
      </c>
      <c r="L1297">
        <v>367.34269999999998</v>
      </c>
      <c r="M1297">
        <v>0.97606000000000004</v>
      </c>
      <c r="N1297">
        <v>0</v>
      </c>
      <c r="O1297">
        <v>-0.21704689999999999</v>
      </c>
      <c r="P1297">
        <v>0.97688390000000003</v>
      </c>
      <c r="Q1297">
        <v>-1.7177499999999998E-2</v>
      </c>
      <c r="R1297">
        <v>-0.21307899999999999</v>
      </c>
      <c r="S1297">
        <v>2.853561</v>
      </c>
      <c r="T1297">
        <v>-0.2484567</v>
      </c>
      <c r="U1297">
        <v>-0.98062130000000003</v>
      </c>
      <c r="V1297">
        <v>-4.0715059999999999E-3</v>
      </c>
      <c r="W1297">
        <v>-3.098244E-3</v>
      </c>
      <c r="X1297">
        <v>0.99998690000000001</v>
      </c>
      <c r="Y1297">
        <v>0.11229889999999999</v>
      </c>
      <c r="Z1297">
        <v>1.332272E-2</v>
      </c>
      <c r="AA1297">
        <v>0.99358519999999995</v>
      </c>
      <c r="AB1297">
        <v>26</v>
      </c>
      <c r="AC1297">
        <v>0.58379999999999599</v>
      </c>
      <c r="AD1297">
        <v>-6.3411999999999996E-2</v>
      </c>
      <c r="AE1297">
        <v>-0.216299999999989</v>
      </c>
      <c r="AF1297">
        <v>8.3551365894901405E-2</v>
      </c>
      <c r="AG1297">
        <v>-6.3411999999999996E-2</v>
      </c>
      <c r="AH1297">
        <v>0.61049862580700198</v>
      </c>
      <c r="AI1297">
        <v>95.875620143538299</v>
      </c>
      <c r="AJ1297">
        <v>82.207051457701795</v>
      </c>
      <c r="AK1297">
        <v>0.619443689611204</v>
      </c>
    </row>
    <row r="1298" spans="1:37" x14ac:dyDescent="0.2">
      <c r="A1298" t="str">
        <f>"20200111155816887"</f>
        <v>20200111155816887</v>
      </c>
      <c r="B1298" t="str">
        <f>"1578729496882347"</f>
        <v>1578729496882347</v>
      </c>
      <c r="C1298" t="s">
        <v>37</v>
      </c>
      <c r="D1298">
        <v>5.7130929999999998</v>
      </c>
      <c r="E1298">
        <v>0.54481569999999901</v>
      </c>
      <c r="F1298" t="s">
        <v>38</v>
      </c>
      <c r="G1298">
        <v>-214.1679</v>
      </c>
      <c r="H1298">
        <v>1.029325</v>
      </c>
      <c r="I1298">
        <v>367.06569999999999</v>
      </c>
      <c r="J1298">
        <v>-214.82</v>
      </c>
      <c r="K1298">
        <v>1.102012</v>
      </c>
      <c r="L1298">
        <v>367.30699999999899</v>
      </c>
      <c r="M1298">
        <v>0.97559050000000003</v>
      </c>
      <c r="N1298">
        <v>0</v>
      </c>
      <c r="O1298">
        <v>-0.21914800000000001</v>
      </c>
      <c r="P1298">
        <v>0.97635280000000002</v>
      </c>
      <c r="Q1298">
        <v>-1.8600909999999998E-2</v>
      </c>
      <c r="R1298">
        <v>-0.21538199999999999</v>
      </c>
      <c r="S1298">
        <v>2.8516240000000002</v>
      </c>
      <c r="T1298">
        <v>-0.25846789999999997</v>
      </c>
      <c r="U1298">
        <v>-0.98495480000000002</v>
      </c>
      <c r="V1298">
        <v>-3.869787E-3</v>
      </c>
      <c r="W1298">
        <v>-4.5260719999999999E-3</v>
      </c>
      <c r="X1298">
        <v>0.99998229999999999</v>
      </c>
      <c r="Y1298">
        <v>0.1117538</v>
      </c>
      <c r="Z1298">
        <v>1.406431E-2</v>
      </c>
      <c r="AA1298">
        <v>0.99363639999999998</v>
      </c>
      <c r="AB1298">
        <v>26</v>
      </c>
      <c r="AC1298">
        <v>0.65209999999999002</v>
      </c>
      <c r="AD1298">
        <v>-7.2686999999999904E-2</v>
      </c>
      <c r="AE1298">
        <v>-0.24129999999996599</v>
      </c>
      <c r="AF1298">
        <v>9.1512627082637604E-2</v>
      </c>
      <c r="AG1298">
        <v>-7.2686999999999904E-2</v>
      </c>
      <c r="AH1298">
        <v>0.68168135156659804</v>
      </c>
      <c r="AI1298">
        <v>96.032681343464702</v>
      </c>
      <c r="AJ1298">
        <v>82.354014589148406</v>
      </c>
      <c r="AK1298">
        <v>0.69162665214567198</v>
      </c>
    </row>
    <row r="1299" spans="1:37" x14ac:dyDescent="0.2">
      <c r="A1299" t="str">
        <f>"20200111155816898"</f>
        <v>20200111155816898</v>
      </c>
      <c r="B1299" t="str">
        <f>"1578729496892105"</f>
        <v>1578729496892105</v>
      </c>
      <c r="C1299" t="s">
        <v>37</v>
      </c>
      <c r="D1299">
        <v>5.6867489999999998</v>
      </c>
      <c r="E1299">
        <v>0.54469969999999901</v>
      </c>
      <c r="F1299" t="s">
        <v>38</v>
      </c>
      <c r="G1299">
        <v>-213.95089999999999</v>
      </c>
      <c r="H1299">
        <v>1.0183869999999999</v>
      </c>
      <c r="I1299">
        <v>367.00470000000001</v>
      </c>
      <c r="J1299">
        <v>-214.68610000000001</v>
      </c>
      <c r="K1299">
        <v>1.1019920000000001</v>
      </c>
      <c r="L1299">
        <v>367.2747</v>
      </c>
      <c r="M1299">
        <v>0.97516589999999903</v>
      </c>
      <c r="N1299">
        <v>0</v>
      </c>
      <c r="O1299">
        <v>-0.22103</v>
      </c>
      <c r="P1299">
        <v>0.97585219999999995</v>
      </c>
      <c r="Q1299">
        <v>-2.0459310000000001E-2</v>
      </c>
      <c r="R1299">
        <v>-0.217472899999999</v>
      </c>
      <c r="S1299">
        <v>2.8490449999999998</v>
      </c>
      <c r="T1299">
        <v>-0.27418520000000002</v>
      </c>
      <c r="U1299">
        <v>-0.99005129999999997</v>
      </c>
      <c r="V1299">
        <v>-3.6604209999999901E-3</v>
      </c>
      <c r="W1299">
        <v>-6.3886739999999996E-3</v>
      </c>
      <c r="X1299">
        <v>0.99997289999999905</v>
      </c>
      <c r="Y1299">
        <v>0.1117553</v>
      </c>
      <c r="Z1299">
        <v>1.509255E-2</v>
      </c>
      <c r="AA1299">
        <v>0.99362109999999904</v>
      </c>
      <c r="AB1299">
        <v>26</v>
      </c>
      <c r="AC1299">
        <v>0.73520000000001995</v>
      </c>
      <c r="AD1299">
        <v>-8.3604999999999902E-2</v>
      </c>
      <c r="AE1299">
        <v>-0.26999999999998098</v>
      </c>
      <c r="AF1299">
        <v>9.9667781189929194E-2</v>
      </c>
      <c r="AG1299">
        <v>-8.3604999999999902E-2</v>
      </c>
      <c r="AH1299">
        <v>0.76794605563442497</v>
      </c>
      <c r="AI1299">
        <v>96.161948539103804</v>
      </c>
      <c r="AJ1299">
        <v>82.6052092367147</v>
      </c>
      <c r="AK1299">
        <v>0.77888677418273999</v>
      </c>
    </row>
    <row r="1300" spans="1:37" x14ac:dyDescent="0.2">
      <c r="A1300" t="str">
        <f>"20200111155816910"</f>
        <v>20200111155816910</v>
      </c>
      <c r="B1300" t="str">
        <f>"1578729496902842"</f>
        <v>1578729496902842</v>
      </c>
      <c r="C1300" t="s">
        <v>37</v>
      </c>
      <c r="D1300">
        <v>7.2015479999999998</v>
      </c>
      <c r="E1300">
        <v>0.54483479999999995</v>
      </c>
      <c r="F1300" t="s">
        <v>38</v>
      </c>
      <c r="G1300">
        <v>-213.94390000000001</v>
      </c>
      <c r="H1300">
        <v>1.0278639999999899</v>
      </c>
      <c r="I1300">
        <v>367.01499999999999</v>
      </c>
      <c r="J1300">
        <v>-214.56299999999999</v>
      </c>
      <c r="K1300">
        <v>1.1019829999999999</v>
      </c>
      <c r="L1300">
        <v>367.24489999999997</v>
      </c>
      <c r="M1300">
        <v>0.97477139999999995</v>
      </c>
      <c r="N1300">
        <v>0</v>
      </c>
      <c r="O1300">
        <v>-0.22276319999999999</v>
      </c>
      <c r="P1300">
        <v>0.97534909999999997</v>
      </c>
      <c r="Q1300">
        <v>-2.1989709999999999E-2</v>
      </c>
      <c r="R1300">
        <v>-0.2195694</v>
      </c>
      <c r="S1300">
        <v>2.8464969999999998</v>
      </c>
      <c r="T1300">
        <v>-0.2843272</v>
      </c>
      <c r="U1300">
        <v>-0.99514769999999897</v>
      </c>
      <c r="V1300">
        <v>-3.2908459999999901E-3</v>
      </c>
      <c r="W1300">
        <v>-7.9239610000000002E-3</v>
      </c>
      <c r="X1300">
        <v>0.99996319999999905</v>
      </c>
      <c r="Y1300">
        <v>0.11189010000000001</v>
      </c>
      <c r="Z1300">
        <v>1.5810910000000001E-2</v>
      </c>
      <c r="AA1300">
        <v>0.9935948</v>
      </c>
      <c r="AB1300">
        <v>26</v>
      </c>
      <c r="AC1300">
        <v>0.619099999999974</v>
      </c>
      <c r="AD1300">
        <v>-7.4119000000000004E-2</v>
      </c>
      <c r="AE1300">
        <v>-0.229899999999986</v>
      </c>
      <c r="AF1300">
        <v>8.5123530072218304E-2</v>
      </c>
      <c r="AG1300">
        <v>-7.4119000000000004E-2</v>
      </c>
      <c r="AH1300">
        <v>0.64661403778384297</v>
      </c>
      <c r="AI1300">
        <v>96.483607725333101</v>
      </c>
      <c r="AJ1300">
        <v>82.500420078306604</v>
      </c>
      <c r="AK1300">
        <v>0.65639116035492195</v>
      </c>
    </row>
    <row r="1301" spans="1:37" x14ac:dyDescent="0.2">
      <c r="A1301" t="str">
        <f>"20200111155816921"</f>
        <v>20200111155816921</v>
      </c>
      <c r="B1301" t="str">
        <f>"1578729496912602"</f>
        <v>1578729496912602</v>
      </c>
      <c r="C1301" t="s">
        <v>37</v>
      </c>
      <c r="D1301">
        <v>5.7421030000000002</v>
      </c>
      <c r="E1301">
        <v>0.54501409999999995</v>
      </c>
      <c r="F1301" t="s">
        <v>38</v>
      </c>
      <c r="G1301">
        <v>-213.72720000000001</v>
      </c>
      <c r="H1301">
        <v>1.0186949999999999</v>
      </c>
      <c r="I1301">
        <v>366.95030000000003</v>
      </c>
      <c r="J1301">
        <v>-214.434</v>
      </c>
      <c r="K1301">
        <v>1.101979</v>
      </c>
      <c r="L1301">
        <v>367.21339999999998</v>
      </c>
      <c r="M1301">
        <v>0.97435459999999996</v>
      </c>
      <c r="N1301">
        <v>0</v>
      </c>
      <c r="O1301">
        <v>-0.22457929999999901</v>
      </c>
      <c r="P1301">
        <v>0.97478909999999996</v>
      </c>
      <c r="Q1301">
        <v>-2.3184070000000001E-2</v>
      </c>
      <c r="R1301">
        <v>-0.22192100000000001</v>
      </c>
      <c r="S1301">
        <v>2.84379599999999</v>
      </c>
      <c r="T1301">
        <v>-0.28337679999999998</v>
      </c>
      <c r="U1301">
        <v>-1.0023500000000001</v>
      </c>
      <c r="V1301">
        <v>-2.743905E-3</v>
      </c>
      <c r="W1301">
        <v>-9.1243000000000001E-3</v>
      </c>
      <c r="X1301">
        <v>0.99995460000000003</v>
      </c>
      <c r="Y1301">
        <v>0.1125739</v>
      </c>
      <c r="Z1301">
        <v>1.5900069999999999E-2</v>
      </c>
      <c r="AA1301">
        <v>0.99351610000000001</v>
      </c>
      <c r="AB1301">
        <v>26</v>
      </c>
      <c r="AC1301">
        <v>0.70680000000001497</v>
      </c>
      <c r="AD1301">
        <v>-8.32839999999999E-2</v>
      </c>
      <c r="AE1301">
        <v>-0.26309999999995098</v>
      </c>
      <c r="AF1301">
        <v>9.6453449752758602E-2</v>
      </c>
      <c r="AG1301">
        <v>-8.32839999999999E-2</v>
      </c>
      <c r="AH1301">
        <v>0.73882462415013594</v>
      </c>
      <c r="AI1301">
        <v>96.377847938722098</v>
      </c>
      <c r="AJ1301">
        <v>82.562109088992699</v>
      </c>
      <c r="AK1301">
        <v>0.74973416480496502</v>
      </c>
    </row>
    <row r="1302" spans="1:37" x14ac:dyDescent="0.2">
      <c r="A1302" t="str">
        <f>"20200111155816935"</f>
        <v>20200111155816935</v>
      </c>
      <c r="B1302" t="str">
        <f>"1578729496932121"</f>
        <v>1578729496932121</v>
      </c>
      <c r="C1302" t="s">
        <v>37</v>
      </c>
      <c r="D1302">
        <v>5.6800620000000004</v>
      </c>
      <c r="E1302">
        <v>0.54488840000000005</v>
      </c>
      <c r="F1302" t="s">
        <v>38</v>
      </c>
      <c r="G1302">
        <v>-213.7191</v>
      </c>
      <c r="H1302">
        <v>1.0308440000000001</v>
      </c>
      <c r="I1302">
        <v>366.959</v>
      </c>
      <c r="J1302">
        <v>-214.29310000000001</v>
      </c>
      <c r="K1302">
        <v>1.101982</v>
      </c>
      <c r="L1302">
        <v>367.17860000000002</v>
      </c>
      <c r="M1302">
        <v>0.97389439999999905</v>
      </c>
      <c r="N1302">
        <v>0</v>
      </c>
      <c r="O1302">
        <v>-0.22656689999999999</v>
      </c>
      <c r="P1302">
        <v>0.97415569999999896</v>
      </c>
      <c r="Q1302">
        <v>-2.3875960000000002E-2</v>
      </c>
      <c r="R1302">
        <v>-0.2246126</v>
      </c>
      <c r="S1302">
        <v>2.8407900000000001</v>
      </c>
      <c r="T1302">
        <v>-0.2826477</v>
      </c>
      <c r="U1302">
        <v>-1.010529</v>
      </c>
      <c r="V1302">
        <v>-2.0229459999999999E-3</v>
      </c>
      <c r="W1302">
        <v>-9.8232219999999995E-3</v>
      </c>
      <c r="X1302">
        <v>0.99994969999999905</v>
      </c>
      <c r="Y1302">
        <v>0.113419899999999</v>
      </c>
      <c r="Z1302">
        <v>1.6009289999999999E-2</v>
      </c>
      <c r="AA1302">
        <v>0.99341819999999903</v>
      </c>
      <c r="AB1302">
        <v>26</v>
      </c>
      <c r="AC1302">
        <v>0.57400000000001195</v>
      </c>
      <c r="AD1302">
        <v>-7.1137999999999896E-2</v>
      </c>
      <c r="AE1302">
        <v>-0.21960000000001401</v>
      </c>
      <c r="AF1302">
        <v>8.2717778640623504E-2</v>
      </c>
      <c r="AG1302">
        <v>-7.1137999999999896E-2</v>
      </c>
      <c r="AH1302">
        <v>0.600779942170939</v>
      </c>
      <c r="AI1302">
        <v>96.690379882753405</v>
      </c>
      <c r="AJ1302">
        <v>82.160577590216306</v>
      </c>
      <c r="AK1302">
        <v>0.610605752398515</v>
      </c>
    </row>
    <row r="1303" spans="1:37" x14ac:dyDescent="0.2">
      <c r="A1303" t="str">
        <f>"20200111155816947"</f>
        <v>20200111155816947</v>
      </c>
      <c r="B1303" t="str">
        <f>"1578729496941882"</f>
        <v>1578729496941882</v>
      </c>
      <c r="C1303" t="s">
        <v>37</v>
      </c>
      <c r="D1303">
        <v>5.6990910000000001</v>
      </c>
      <c r="E1303">
        <v>0.54487819999999998</v>
      </c>
      <c r="F1303" t="s">
        <v>38</v>
      </c>
      <c r="G1303">
        <v>-213.50290000000001</v>
      </c>
      <c r="H1303">
        <v>1.020999</v>
      </c>
      <c r="I1303">
        <v>366.89519999999999</v>
      </c>
      <c r="J1303">
        <v>-214.1499</v>
      </c>
      <c r="K1303">
        <v>1.1019829999999999</v>
      </c>
      <c r="L1303">
        <v>367.14299999999997</v>
      </c>
      <c r="M1303">
        <v>0.97342249999999997</v>
      </c>
      <c r="N1303">
        <v>0</v>
      </c>
      <c r="O1303">
        <v>-0.228586499999999</v>
      </c>
      <c r="P1303">
        <v>0.97350409999999898</v>
      </c>
      <c r="Q1303">
        <v>-2.4557309999999999E-2</v>
      </c>
      <c r="R1303">
        <v>-0.22734770000000001</v>
      </c>
      <c r="S1303">
        <v>2.8378909999999999</v>
      </c>
      <c r="T1303">
        <v>-0.2908905</v>
      </c>
      <c r="U1303">
        <v>-1.017212</v>
      </c>
      <c r="V1303">
        <v>-1.2891210000000001E-3</v>
      </c>
      <c r="W1303">
        <v>-1.0511660000000001E-2</v>
      </c>
      <c r="X1303">
        <v>0.9999439</v>
      </c>
      <c r="Y1303">
        <v>0.11378959999999901</v>
      </c>
      <c r="Z1303">
        <v>1.6656020000000001E-2</v>
      </c>
      <c r="AA1303">
        <v>0.99336519999999995</v>
      </c>
      <c r="AB1303">
        <v>26</v>
      </c>
      <c r="AC1303">
        <v>0.64699999999999103</v>
      </c>
      <c r="AD1303">
        <v>-8.0983999999999903E-2</v>
      </c>
      <c r="AE1303">
        <v>-0.24780000000003999</v>
      </c>
      <c r="AF1303">
        <v>9.2069869542657404E-2</v>
      </c>
      <c r="AG1303">
        <v>-8.0983999999999903E-2</v>
      </c>
      <c r="AH1303">
        <v>0.67726226045787397</v>
      </c>
      <c r="AI1303">
        <v>96.757226517285801</v>
      </c>
      <c r="AJ1303">
        <v>82.258429073688902</v>
      </c>
      <c r="AK1303">
        <v>0.68827279371925698</v>
      </c>
    </row>
    <row r="1304" spans="1:37" x14ac:dyDescent="0.2">
      <c r="A1304" t="str">
        <f>"20200111155816961"</f>
        <v>20200111155816961</v>
      </c>
      <c r="B1304" t="str">
        <f>"1578729496952617"</f>
        <v>1578729496952617</v>
      </c>
      <c r="C1304" t="s">
        <v>37</v>
      </c>
      <c r="D1304">
        <v>5.9602680000000001</v>
      </c>
      <c r="E1304">
        <v>0.54501460000000002</v>
      </c>
      <c r="F1304" t="s">
        <v>38</v>
      </c>
      <c r="G1304">
        <v>-213.28659999999999</v>
      </c>
      <c r="H1304">
        <v>1.012257</v>
      </c>
      <c r="I1304">
        <v>366.83089999999999</v>
      </c>
      <c r="J1304">
        <v>-213.98949999999999</v>
      </c>
      <c r="K1304">
        <v>1.10199</v>
      </c>
      <c r="L1304">
        <v>367.10270000000003</v>
      </c>
      <c r="M1304">
        <v>0.97288839999999999</v>
      </c>
      <c r="N1304">
        <v>0</v>
      </c>
      <c r="O1304">
        <v>-0.23084869999999999</v>
      </c>
      <c r="P1304">
        <v>0.97280370000000005</v>
      </c>
      <c r="Q1304">
        <v>-2.4471489999999999E-2</v>
      </c>
      <c r="R1304">
        <v>-0.23033429999999999</v>
      </c>
      <c r="S1304">
        <v>2.834854</v>
      </c>
      <c r="T1304">
        <v>-0.29470639999999998</v>
      </c>
      <c r="U1304">
        <v>-1.025085</v>
      </c>
      <c r="V1304">
        <v>-5.4482040000000003E-4</v>
      </c>
      <c r="W1304">
        <v>-1.0433049999999999E-2</v>
      </c>
      <c r="X1304">
        <v>0.99994539999999998</v>
      </c>
      <c r="Y1304">
        <v>0.11428149999999999</v>
      </c>
      <c r="Z1304">
        <v>1.707448E-2</v>
      </c>
      <c r="AA1304">
        <v>0.99330169999999995</v>
      </c>
      <c r="AB1304">
        <v>26</v>
      </c>
      <c r="AC1304">
        <v>0.70289999999999897</v>
      </c>
      <c r="AD1304">
        <v>-8.9732999999999993E-2</v>
      </c>
      <c r="AE1304">
        <v>-0.27180000000004101</v>
      </c>
      <c r="AF1304">
        <v>0.100749212640676</v>
      </c>
      <c r="AG1304">
        <v>-8.9732999999999993E-2</v>
      </c>
      <c r="AH1304">
        <v>0.73622369853595004</v>
      </c>
      <c r="AI1304">
        <v>96.885545811308901</v>
      </c>
      <c r="AJ1304">
        <v>82.207707119959494</v>
      </c>
      <c r="AK1304">
        <v>0.74848363336994195</v>
      </c>
    </row>
    <row r="1305" spans="1:37" x14ac:dyDescent="0.2">
      <c r="A1305" t="str">
        <f>"20200111155816977"</f>
        <v>20200111155816977</v>
      </c>
      <c r="B1305" t="str">
        <f>"1578729496973114"</f>
        <v>1578729496973114</v>
      </c>
      <c r="C1305" t="s">
        <v>37</v>
      </c>
      <c r="D1305">
        <v>5.7420169999999997</v>
      </c>
      <c r="E1305">
        <v>0.54480890000000004</v>
      </c>
      <c r="F1305" t="s">
        <v>38</v>
      </c>
      <c r="G1305">
        <v>-213.27549999999999</v>
      </c>
      <c r="H1305">
        <v>1.0292410000000001</v>
      </c>
      <c r="I1305">
        <v>366.84179999999998</v>
      </c>
      <c r="J1305">
        <v>-213.81729999999999</v>
      </c>
      <c r="K1305">
        <v>1.1019920000000001</v>
      </c>
      <c r="L1305">
        <v>367.05889999999999</v>
      </c>
      <c r="M1305">
        <v>0.97230859999999997</v>
      </c>
      <c r="N1305">
        <v>0</v>
      </c>
      <c r="O1305">
        <v>-0.23327880000000001</v>
      </c>
      <c r="P1305">
        <v>0.97217199999999904</v>
      </c>
      <c r="Q1305">
        <v>-2.4237350000000001E-2</v>
      </c>
      <c r="R1305">
        <v>-0.23301079999999899</v>
      </c>
      <c r="S1305">
        <v>2.8315890000000001</v>
      </c>
      <c r="T1305">
        <v>-0.28852800000000001</v>
      </c>
      <c r="U1305">
        <v>-1.0348820000000001</v>
      </c>
      <c r="V1305">
        <v>-2.9115750000000001E-4</v>
      </c>
      <c r="W1305">
        <v>-1.020326E-2</v>
      </c>
      <c r="X1305">
        <v>0.999947899999999</v>
      </c>
      <c r="Y1305">
        <v>0.1151851</v>
      </c>
      <c r="Z1305">
        <v>1.6909520000000001E-2</v>
      </c>
      <c r="AA1305">
        <v>0.99320010000000003</v>
      </c>
      <c r="AB1305">
        <v>26</v>
      </c>
      <c r="AC1305">
        <v>0.54179999999999495</v>
      </c>
      <c r="AD1305">
        <v>-7.2750999999999996E-2</v>
      </c>
      <c r="AE1305">
        <v>-0.217100000000016</v>
      </c>
      <c r="AF1305">
        <v>8.3410247352543404E-2</v>
      </c>
      <c r="AG1305">
        <v>-7.2750999999999996E-2</v>
      </c>
      <c r="AH1305">
        <v>0.56866389947690699</v>
      </c>
      <c r="AI1305">
        <v>97.214067624056796</v>
      </c>
      <c r="AJ1305">
        <v>81.655496025738699</v>
      </c>
      <c r="AK1305">
        <v>0.57933462518020995</v>
      </c>
    </row>
    <row r="1306" spans="1:37" x14ac:dyDescent="0.2">
      <c r="A1306" t="str">
        <f>"20200111155816990"</f>
        <v>20200111155816990</v>
      </c>
      <c r="B1306" t="str">
        <f>"1578729496981898"</f>
        <v>1578729496981898</v>
      </c>
      <c r="C1306" t="s">
        <v>37</v>
      </c>
      <c r="D1306">
        <v>5.7242150000000001</v>
      </c>
      <c r="E1306">
        <v>0.54460540000000002</v>
      </c>
      <c r="F1306" t="s">
        <v>38</v>
      </c>
      <c r="G1306">
        <v>-213.05690000000001</v>
      </c>
      <c r="H1306">
        <v>1.0250219999999901</v>
      </c>
      <c r="I1306">
        <v>366.77910000000003</v>
      </c>
      <c r="J1306">
        <v>-213.67160000000001</v>
      </c>
      <c r="K1306">
        <v>1.101993</v>
      </c>
      <c r="L1306">
        <v>367.02170000000001</v>
      </c>
      <c r="M1306">
        <v>0.9718135</v>
      </c>
      <c r="N1306">
        <v>0</v>
      </c>
      <c r="O1306">
        <v>-0.23533379999999901</v>
      </c>
      <c r="P1306">
        <v>0.97165429999999997</v>
      </c>
      <c r="Q1306">
        <v>-2.4152150000000001E-2</v>
      </c>
      <c r="R1306">
        <v>-0.23516989999999999</v>
      </c>
      <c r="S1306">
        <v>2.829269</v>
      </c>
      <c r="T1306">
        <v>-0.286439099999999</v>
      </c>
      <c r="U1306">
        <v>-1.040802</v>
      </c>
      <c r="V1306">
        <v>-1.838749E-4</v>
      </c>
      <c r="W1306">
        <v>-1.0121049999999999E-2</v>
      </c>
      <c r="X1306">
        <v>0.99994869999999902</v>
      </c>
      <c r="Y1306">
        <v>0.11518099999999901</v>
      </c>
      <c r="Z1306">
        <v>1.698612E-2</v>
      </c>
      <c r="AA1306">
        <v>0.99319930000000001</v>
      </c>
      <c r="AB1306">
        <v>26</v>
      </c>
      <c r="AC1306">
        <v>0.61469999999999902</v>
      </c>
      <c r="AD1306">
        <v>-7.6971000000000095E-2</v>
      </c>
      <c r="AE1306">
        <v>-0.242599999999981</v>
      </c>
      <c r="AF1306">
        <v>8.98917265155037E-2</v>
      </c>
      <c r="AG1306">
        <v>-7.6971000000000095E-2</v>
      </c>
      <c r="AH1306">
        <v>0.64576937874646301</v>
      </c>
      <c r="AI1306">
        <v>96.732857666362307</v>
      </c>
      <c r="AJ1306">
        <v>82.075295284535599</v>
      </c>
      <c r="AK1306">
        <v>0.65652353184294299</v>
      </c>
    </row>
    <row r="1307" spans="1:37" x14ac:dyDescent="0.2">
      <c r="A1307" t="str">
        <f>"20200111155817007"</f>
        <v>20200111155817007</v>
      </c>
      <c r="B1307" t="str">
        <f>"1578729497002394"</f>
        <v>1578729497002394</v>
      </c>
      <c r="C1307" t="s">
        <v>37</v>
      </c>
      <c r="D1307">
        <v>5.8755790000000001</v>
      </c>
      <c r="E1307">
        <v>0.54439380000000004</v>
      </c>
      <c r="F1307" t="s">
        <v>38</v>
      </c>
      <c r="G1307">
        <v>-212.8409</v>
      </c>
      <c r="H1307">
        <v>1.0172190000000001</v>
      </c>
      <c r="I1307">
        <v>366.71460000000002</v>
      </c>
      <c r="J1307">
        <v>-213.48390000000001</v>
      </c>
      <c r="K1307">
        <v>1.1019889999999899</v>
      </c>
      <c r="L1307">
        <v>366.97309999999999</v>
      </c>
      <c r="M1307">
        <v>0.97116829999999998</v>
      </c>
      <c r="N1307">
        <v>0</v>
      </c>
      <c r="O1307">
        <v>-0.2379822</v>
      </c>
      <c r="P1307">
        <v>0.97090390000000004</v>
      </c>
      <c r="Q1307">
        <v>-2.4026490000000001E-2</v>
      </c>
      <c r="R1307">
        <v>-0.238261</v>
      </c>
      <c r="S1307">
        <v>2.8273160000000002</v>
      </c>
      <c r="T1307">
        <v>-0.28853519999999999</v>
      </c>
      <c r="U1307">
        <v>-1.0453490000000001</v>
      </c>
      <c r="V1307">
        <v>2.7279609999999999E-4</v>
      </c>
      <c r="W1307">
        <v>-1.0001080000000001E-2</v>
      </c>
      <c r="X1307">
        <v>0.99994989999999995</v>
      </c>
      <c r="Y1307">
        <v>0.1141249</v>
      </c>
      <c r="Z1307">
        <v>1.7417169999999999E-2</v>
      </c>
      <c r="AA1307">
        <v>0.99331369999999897</v>
      </c>
      <c r="AB1307">
        <v>26</v>
      </c>
      <c r="AC1307">
        <v>0.64300000000000002</v>
      </c>
      <c r="AD1307">
        <v>-8.4769999999999707E-2</v>
      </c>
      <c r="AE1307">
        <v>-0.25849999999996898</v>
      </c>
      <c r="AF1307">
        <v>9.6588898309348706E-2</v>
      </c>
      <c r="AG1307">
        <v>-8.4769999999999707E-2</v>
      </c>
      <c r="AH1307">
        <v>0.67593355220413998</v>
      </c>
      <c r="AI1307">
        <v>97.077092522169195</v>
      </c>
      <c r="AJ1307">
        <v>81.867657899195294</v>
      </c>
      <c r="AK1307">
        <v>0.688041812081155</v>
      </c>
    </row>
    <row r="1308" spans="1:37" x14ac:dyDescent="0.2">
      <c r="A1308" t="str">
        <f>"20200111155817019"</f>
        <v>20200111155817019</v>
      </c>
      <c r="B1308" t="str">
        <f>"1578729497012154"</f>
        <v>1578729497012154</v>
      </c>
      <c r="C1308" t="s">
        <v>37</v>
      </c>
      <c r="D1308">
        <v>5.6994509999999998</v>
      </c>
      <c r="E1308">
        <v>0.54411639999999994</v>
      </c>
      <c r="F1308" t="s">
        <v>38</v>
      </c>
      <c r="G1308">
        <v>-212.62190000000001</v>
      </c>
      <c r="H1308">
        <v>1.0149429999999999</v>
      </c>
      <c r="I1308">
        <v>366.65190000000001</v>
      </c>
      <c r="J1308">
        <v>-213.3443</v>
      </c>
      <c r="K1308">
        <v>1.101987</v>
      </c>
      <c r="L1308">
        <v>366.93650000000002</v>
      </c>
      <c r="M1308">
        <v>0.97068349999999903</v>
      </c>
      <c r="N1308">
        <v>0</v>
      </c>
      <c r="O1308">
        <v>-0.23995239999999901</v>
      </c>
      <c r="P1308">
        <v>0.97037289999999998</v>
      </c>
      <c r="Q1308">
        <v>-2.3636310000000001E-2</v>
      </c>
      <c r="R1308">
        <v>-0.240454</v>
      </c>
      <c r="S1308">
        <v>2.8246150000000001</v>
      </c>
      <c r="T1308">
        <v>-0.28524739999999998</v>
      </c>
      <c r="U1308">
        <v>-1.052216</v>
      </c>
      <c r="V1308">
        <v>5.027683E-4</v>
      </c>
      <c r="W1308">
        <v>-9.6143189999999996E-3</v>
      </c>
      <c r="X1308">
        <v>0.9999536</v>
      </c>
      <c r="Y1308">
        <v>0.1145345</v>
      </c>
      <c r="Z1308">
        <v>1.739011E-2</v>
      </c>
      <c r="AA1308">
        <v>0.99326709999999996</v>
      </c>
      <c r="AB1308">
        <v>25</v>
      </c>
      <c r="AC1308">
        <v>0.72239999999999305</v>
      </c>
      <c r="AD1308">
        <v>-8.7044000000000094E-2</v>
      </c>
      <c r="AE1308">
        <v>-0.28460000000001101</v>
      </c>
      <c r="AF1308">
        <v>0.101647523709875</v>
      </c>
      <c r="AG1308">
        <v>-8.7044000000000094E-2</v>
      </c>
      <c r="AH1308">
        <v>0.76003574897221804</v>
      </c>
      <c r="AI1308">
        <v>96.476236533544096</v>
      </c>
      <c r="AJ1308">
        <v>82.382439183973503</v>
      </c>
      <c r="AK1308">
        <v>0.77172742385385695</v>
      </c>
    </row>
    <row r="1309" spans="1:37" x14ac:dyDescent="0.2">
      <c r="A1309" t="str">
        <f>"20200111155817032"</f>
        <v>20200111155817032</v>
      </c>
      <c r="B1309" t="str">
        <f>"1578729497021915"</f>
        <v>1578729497021915</v>
      </c>
      <c r="C1309" t="s">
        <v>37</v>
      </c>
      <c r="D1309">
        <v>5.7945679999999999</v>
      </c>
      <c r="E1309">
        <v>0.54375490000000004</v>
      </c>
      <c r="F1309" t="s">
        <v>38</v>
      </c>
      <c r="G1309">
        <v>-212.6129</v>
      </c>
      <c r="H1309">
        <v>1.0275399999999999</v>
      </c>
      <c r="I1309">
        <v>366.6628</v>
      </c>
      <c r="J1309">
        <v>-213.2097</v>
      </c>
      <c r="K1309">
        <v>1.1019920000000001</v>
      </c>
      <c r="L1309">
        <v>366.90109999999999</v>
      </c>
      <c r="M1309">
        <v>0.97021170000000001</v>
      </c>
      <c r="N1309">
        <v>0</v>
      </c>
      <c r="O1309">
        <v>-0.24185189999999901</v>
      </c>
      <c r="P1309">
        <v>0.96976640000000003</v>
      </c>
      <c r="Q1309">
        <v>-2.3167790000000001E-2</v>
      </c>
      <c r="R1309">
        <v>-0.24293299999999901</v>
      </c>
      <c r="S1309">
        <v>2.8229060000000001</v>
      </c>
      <c r="T1309">
        <v>-0.28737699999999999</v>
      </c>
      <c r="U1309">
        <v>-1.0560609999999999</v>
      </c>
      <c r="V1309">
        <v>1.100887E-3</v>
      </c>
      <c r="W1309">
        <v>-9.1513540000000004E-3</v>
      </c>
      <c r="X1309">
        <v>0.99995750000000005</v>
      </c>
      <c r="Y1309">
        <v>0.1139926</v>
      </c>
      <c r="Z1309">
        <v>1.7729290000000002E-2</v>
      </c>
      <c r="AA1309">
        <v>0.99332339999999997</v>
      </c>
      <c r="AB1309">
        <v>25</v>
      </c>
      <c r="AC1309">
        <v>0.596800000000001</v>
      </c>
      <c r="AD1309">
        <v>-7.4452000000000101E-2</v>
      </c>
      <c r="AE1309">
        <v>-0.238299999999981</v>
      </c>
      <c r="AF1309">
        <v>8.5722144399226402E-2</v>
      </c>
      <c r="AG1309">
        <v>-7.4452000000000101E-2</v>
      </c>
      <c r="AH1309">
        <v>0.62828491034421696</v>
      </c>
      <c r="AI1309">
        <v>96.6965849850138</v>
      </c>
      <c r="AJ1309">
        <v>82.230632478728097</v>
      </c>
      <c r="AK1309">
        <v>0.63846167849812496</v>
      </c>
    </row>
    <row r="1310" spans="1:37" x14ac:dyDescent="0.2">
      <c r="A1310" t="str">
        <f>"20200111155817044"</f>
        <v>20200111155817044</v>
      </c>
      <c r="B1310" t="str">
        <f>"1578729497032650"</f>
        <v>1578729497032650</v>
      </c>
      <c r="C1310" t="s">
        <v>37</v>
      </c>
      <c r="D1310">
        <v>5.9360029999999897</v>
      </c>
      <c r="E1310">
        <v>0.54348189999999996</v>
      </c>
      <c r="F1310" t="s">
        <v>38</v>
      </c>
      <c r="G1310">
        <v>-212.39840000000001</v>
      </c>
      <c r="H1310">
        <v>1.0191479999999999</v>
      </c>
      <c r="I1310">
        <v>366.59620000000001</v>
      </c>
      <c r="J1310">
        <v>-213.07149999999999</v>
      </c>
      <c r="K1310">
        <v>1.1019939999999999</v>
      </c>
      <c r="L1310">
        <v>366.86439999999999</v>
      </c>
      <c r="M1310">
        <v>0.96972400000000003</v>
      </c>
      <c r="N1310">
        <v>0</v>
      </c>
      <c r="O1310">
        <v>-0.24380070000000001</v>
      </c>
      <c r="P1310">
        <v>0.96911170000000002</v>
      </c>
      <c r="Q1310">
        <v>-2.2080369999999998E-2</v>
      </c>
      <c r="R1310">
        <v>-0.24563209999999999</v>
      </c>
      <c r="S1310">
        <v>2.8210299999999999</v>
      </c>
      <c r="T1310">
        <v>-0.2881071</v>
      </c>
      <c r="U1310">
        <v>-1.0603639999999901</v>
      </c>
      <c r="V1310">
        <v>1.8763860000000001E-3</v>
      </c>
      <c r="W1310">
        <v>-8.0704829999999998E-3</v>
      </c>
      <c r="X1310">
        <v>0.99996569999999996</v>
      </c>
      <c r="Y1310">
        <v>0.1135549</v>
      </c>
      <c r="Z1310">
        <v>1.7984480000000001E-2</v>
      </c>
      <c r="AA1310">
        <v>0.9933689</v>
      </c>
      <c r="AB1310">
        <v>25</v>
      </c>
      <c r="AC1310">
        <v>0.67309999999997605</v>
      </c>
      <c r="AD1310">
        <v>-8.2846000000000197E-2</v>
      </c>
      <c r="AE1310">
        <v>-0.26819999999997801</v>
      </c>
      <c r="AF1310">
        <v>9.4748477482233001E-2</v>
      </c>
      <c r="AG1310">
        <v>-8.2846000000000197E-2</v>
      </c>
      <c r="AH1310">
        <v>0.70891129614292303</v>
      </c>
      <c r="AI1310">
        <v>96.607335938555593</v>
      </c>
      <c r="AJ1310">
        <v>82.387333487767705</v>
      </c>
      <c r="AK1310">
        <v>0.71999719409192198</v>
      </c>
    </row>
    <row r="1311" spans="1:37" x14ac:dyDescent="0.2">
      <c r="A1311" t="str">
        <f>"20200111155817058"</f>
        <v>20200111155817058</v>
      </c>
      <c r="B1311" t="str">
        <f>"1578729497052170"</f>
        <v>1578729497052170</v>
      </c>
      <c r="C1311" t="s">
        <v>37</v>
      </c>
      <c r="D1311">
        <v>6.0668069999999998</v>
      </c>
      <c r="E1311">
        <v>0.54308669999999903</v>
      </c>
      <c r="F1311" t="s">
        <v>38</v>
      </c>
      <c r="G1311">
        <v>-212.3887</v>
      </c>
      <c r="H1311">
        <v>1.0334000000000001</v>
      </c>
      <c r="I1311">
        <v>366.60640000000001</v>
      </c>
      <c r="J1311">
        <v>-212.92850000000001</v>
      </c>
      <c r="K1311">
        <v>1.101998</v>
      </c>
      <c r="L1311">
        <v>366.825999999999</v>
      </c>
      <c r="M1311">
        <v>0.96921409999999997</v>
      </c>
      <c r="N1311">
        <v>0</v>
      </c>
      <c r="O1311">
        <v>-0.24582010000000001</v>
      </c>
      <c r="P1311">
        <v>0.96843080000000004</v>
      </c>
      <c r="Q1311">
        <v>-2.0854890000000001E-2</v>
      </c>
      <c r="R1311">
        <v>-0.24840970000000001</v>
      </c>
      <c r="S1311">
        <v>2.8191069999999998</v>
      </c>
      <c r="T1311">
        <v>-0.28319420000000001</v>
      </c>
      <c r="U1311">
        <v>-1.0655209999999999</v>
      </c>
      <c r="V1311">
        <v>2.6609870000000001E-3</v>
      </c>
      <c r="W1311">
        <v>-6.8516480000000001E-3</v>
      </c>
      <c r="X1311">
        <v>0.999973</v>
      </c>
      <c r="Y1311">
        <v>0.1132901</v>
      </c>
      <c r="Z1311">
        <v>1.788329E-2</v>
      </c>
      <c r="AA1311">
        <v>0.99340099999999998</v>
      </c>
      <c r="AB1311">
        <v>25</v>
      </c>
      <c r="AC1311">
        <v>0.53980000000001305</v>
      </c>
      <c r="AD1311">
        <v>-6.8597999999999895E-2</v>
      </c>
      <c r="AE1311">
        <v>-0.219599999999957</v>
      </c>
      <c r="AF1311">
        <v>7.9058155018560505E-2</v>
      </c>
      <c r="AG1311">
        <v>-6.8597999999999895E-2</v>
      </c>
      <c r="AH1311">
        <v>0.56933179574702997</v>
      </c>
      <c r="AI1311">
        <v>96.805689341107097</v>
      </c>
      <c r="AJ1311">
        <v>82.094387943631801</v>
      </c>
      <c r="AK1311">
        <v>0.57887353638551897</v>
      </c>
    </row>
    <row r="1312" spans="1:37" x14ac:dyDescent="0.2">
      <c r="A1312" t="str">
        <f>"20200111155817069"</f>
        <v>20200111155817069</v>
      </c>
      <c r="B1312" t="str">
        <f>"1578729497061930"</f>
        <v>1578729497061930</v>
      </c>
      <c r="C1312" t="s">
        <v>37</v>
      </c>
      <c r="D1312">
        <v>5.7343710000000003</v>
      </c>
      <c r="E1312">
        <v>0.54277989999999998</v>
      </c>
      <c r="F1312" t="s">
        <v>38</v>
      </c>
      <c r="G1312">
        <v>-212.17339999999999</v>
      </c>
      <c r="H1312">
        <v>1.0274779999999999</v>
      </c>
      <c r="I1312">
        <v>366.53879999999998</v>
      </c>
      <c r="J1312">
        <v>-212.79079999999999</v>
      </c>
      <c r="K1312">
        <v>1.1020000000000001</v>
      </c>
      <c r="L1312">
        <v>366.78890000000001</v>
      </c>
      <c r="M1312">
        <v>0.96871939999999901</v>
      </c>
      <c r="N1312">
        <v>0</v>
      </c>
      <c r="O1312">
        <v>-0.24776239999999899</v>
      </c>
      <c r="P1312">
        <v>0.96767909999999902</v>
      </c>
      <c r="Q1312">
        <v>-1.9294749999999999E-2</v>
      </c>
      <c r="R1312">
        <v>-0.251446</v>
      </c>
      <c r="S1312">
        <v>2.817123</v>
      </c>
      <c r="T1312">
        <v>-0.27804240000000002</v>
      </c>
      <c r="U1312">
        <v>-1.070862</v>
      </c>
      <c r="V1312">
        <v>3.7945329999999901E-3</v>
      </c>
      <c r="W1312">
        <v>-5.3001150000000002E-3</v>
      </c>
      <c r="X1312">
        <v>0.99997879999999995</v>
      </c>
      <c r="Y1312">
        <v>0.11316469999999999</v>
      </c>
      <c r="Z1312">
        <v>1.774622E-2</v>
      </c>
      <c r="AA1312">
        <v>0.99341769999999996</v>
      </c>
      <c r="AB1312">
        <v>25</v>
      </c>
      <c r="AC1312">
        <v>0.61740000000000295</v>
      </c>
      <c r="AD1312">
        <v>-7.4521999999999894E-2</v>
      </c>
      <c r="AE1312">
        <v>-0.25010000000003102</v>
      </c>
      <c r="AF1312">
        <v>8.8212965197384294E-2</v>
      </c>
      <c r="AG1312">
        <v>-7.4521999999999894E-2</v>
      </c>
      <c r="AH1312">
        <v>0.65195803169740696</v>
      </c>
      <c r="AI1312">
        <v>96.462504597295904</v>
      </c>
      <c r="AJ1312">
        <v>82.294409162745893</v>
      </c>
      <c r="AK1312">
        <v>0.66210598155255496</v>
      </c>
    </row>
    <row r="1313" spans="1:37" x14ac:dyDescent="0.2">
      <c r="A1313" t="str">
        <f>"20200111155817081"</f>
        <v>20200111155817081</v>
      </c>
      <c r="B1313" t="str">
        <f>"1578729497072665"</f>
        <v>1578729497072665</v>
      </c>
      <c r="C1313" t="s">
        <v>37</v>
      </c>
      <c r="D1313">
        <v>5.7332159999999996</v>
      </c>
      <c r="E1313">
        <v>0.54241870000000003</v>
      </c>
      <c r="F1313" t="s">
        <v>38</v>
      </c>
      <c r="G1313">
        <v>-211.95910000000001</v>
      </c>
      <c r="H1313">
        <v>1.0206389999999901</v>
      </c>
      <c r="I1313">
        <v>366.47059999999999</v>
      </c>
      <c r="J1313">
        <v>-212.6627</v>
      </c>
      <c r="K1313">
        <v>1.1020049999999999</v>
      </c>
      <c r="L1313">
        <v>366.75409999999999</v>
      </c>
      <c r="M1313">
        <v>0.96825509999999904</v>
      </c>
      <c r="N1313">
        <v>0</v>
      </c>
      <c r="O1313">
        <v>-0.2495706</v>
      </c>
      <c r="P1313">
        <v>0.9669143</v>
      </c>
      <c r="Q1313">
        <v>-1.7739270000000001E-2</v>
      </c>
      <c r="R1313">
        <v>-0.25448399999999999</v>
      </c>
      <c r="S1313">
        <v>2.8148650000000002</v>
      </c>
      <c r="T1313">
        <v>-0.27532990000000002</v>
      </c>
      <c r="U1313">
        <v>-1.0769959999999901</v>
      </c>
      <c r="V1313">
        <v>5.0699439999999998E-3</v>
      </c>
      <c r="W1313">
        <v>-3.7540020000000002E-3</v>
      </c>
      <c r="X1313">
        <v>0.99998009999999904</v>
      </c>
      <c r="Y1313">
        <v>0.1134595</v>
      </c>
      <c r="Z1313">
        <v>1.7727489999999999E-2</v>
      </c>
      <c r="AA1313">
        <v>0.993384499999999</v>
      </c>
      <c r="AB1313">
        <v>25</v>
      </c>
      <c r="AC1313">
        <v>0.70359999999999401</v>
      </c>
      <c r="AD1313">
        <v>-8.1365999999999994E-2</v>
      </c>
      <c r="AE1313">
        <v>-0.28350000000000303</v>
      </c>
      <c r="AF1313">
        <v>9.7787101485163203E-2</v>
      </c>
      <c r="AG1313">
        <v>-8.1365999999999994E-2</v>
      </c>
      <c r="AH1313">
        <v>0.74353688184590105</v>
      </c>
      <c r="AI1313">
        <v>96.192183730750003</v>
      </c>
      <c r="AJ1313">
        <v>82.507679680428396</v>
      </c>
      <c r="AK1313">
        <v>0.75434066431420399</v>
      </c>
    </row>
    <row r="1314" spans="1:37" x14ac:dyDescent="0.2">
      <c r="A1314" t="str">
        <f>"20200111155817098"</f>
        <v>20200111155817098</v>
      </c>
      <c r="B1314" t="str">
        <f>"1578729497092187"</f>
        <v>1578729497092187</v>
      </c>
      <c r="C1314" t="s">
        <v>37</v>
      </c>
      <c r="D1314">
        <v>5.7179869999999999</v>
      </c>
      <c r="E1314">
        <v>0.54171800000000003</v>
      </c>
      <c r="F1314" t="s">
        <v>38</v>
      </c>
      <c r="G1314">
        <v>-211.95050000000001</v>
      </c>
      <c r="H1314">
        <v>1.033023</v>
      </c>
      <c r="I1314">
        <v>366.47989999999999</v>
      </c>
      <c r="J1314">
        <v>-212.49379999999999</v>
      </c>
      <c r="K1314">
        <v>1.102012</v>
      </c>
      <c r="L1314">
        <v>366.70760000000001</v>
      </c>
      <c r="M1314">
        <v>0.96763759999999999</v>
      </c>
      <c r="N1314">
        <v>0</v>
      </c>
      <c r="O1314">
        <v>-0.25195439999999902</v>
      </c>
      <c r="P1314">
        <v>0.9656344</v>
      </c>
      <c r="Q1314">
        <v>-1.4851960000000001E-2</v>
      </c>
      <c r="R1314">
        <v>-0.25947989999999999</v>
      </c>
      <c r="S1314">
        <v>2.8126530000000001</v>
      </c>
      <c r="T1314">
        <v>-0.27243800000000001</v>
      </c>
      <c r="U1314">
        <v>-1.0828249999999999</v>
      </c>
      <c r="V1314">
        <v>7.782204E-3</v>
      </c>
      <c r="W1314">
        <v>-8.852326E-4</v>
      </c>
      <c r="X1314">
        <v>0.99996929999999995</v>
      </c>
      <c r="Y1314">
        <v>0.1130671</v>
      </c>
      <c r="Z1314">
        <v>1.7777419999999999E-2</v>
      </c>
      <c r="AA1314">
        <v>0.99342830000000004</v>
      </c>
      <c r="AB1314">
        <v>25</v>
      </c>
      <c r="AC1314">
        <v>0.54329999999998702</v>
      </c>
      <c r="AD1314">
        <v>-6.8988999999999898E-2</v>
      </c>
      <c r="AE1314">
        <v>-0.22770000000002699</v>
      </c>
      <c r="AF1314">
        <v>8.2323371406662599E-2</v>
      </c>
      <c r="AG1314">
        <v>-6.8988999999999898E-2</v>
      </c>
      <c r="AH1314">
        <v>0.575255064648866</v>
      </c>
      <c r="AI1314">
        <v>96.770361631207606</v>
      </c>
      <c r="AJ1314">
        <v>81.855835032358101</v>
      </c>
      <c r="AK1314">
        <v>0.58519655587240904</v>
      </c>
    </row>
    <row r="1315" spans="1:37" x14ac:dyDescent="0.2">
      <c r="A1315" t="str">
        <f>"20200111155817108"</f>
        <v>20200111155817108</v>
      </c>
      <c r="B1315" t="str">
        <f>"1578729497101946"</f>
        <v>1578729497101946</v>
      </c>
      <c r="C1315" t="s">
        <v>37</v>
      </c>
      <c r="D1315">
        <v>5.6282269999999999</v>
      </c>
      <c r="E1315">
        <v>0.54157419999999901</v>
      </c>
      <c r="F1315" t="s">
        <v>38</v>
      </c>
      <c r="G1315">
        <v>-211.73429999999999</v>
      </c>
      <c r="H1315">
        <v>1.0302629999999999</v>
      </c>
      <c r="I1315">
        <v>366.41239999999999</v>
      </c>
      <c r="J1315">
        <v>-212.36189999999999</v>
      </c>
      <c r="K1315">
        <v>1.1020190000000001</v>
      </c>
      <c r="L1315">
        <v>366.67110000000002</v>
      </c>
      <c r="M1315">
        <v>0.96715099999999998</v>
      </c>
      <c r="N1315">
        <v>0</v>
      </c>
      <c r="O1315">
        <v>-0.25381569999999998</v>
      </c>
      <c r="P1315">
        <v>0.96473770000000003</v>
      </c>
      <c r="Q1315">
        <v>-1.44154E-2</v>
      </c>
      <c r="R1315">
        <v>-0.262818099999999</v>
      </c>
      <c r="S1315">
        <v>2.8091889999999999</v>
      </c>
      <c r="T1315">
        <v>-0.2654744</v>
      </c>
      <c r="U1315">
        <v>-1.0921940000000001</v>
      </c>
      <c r="V1315">
        <v>9.3175800000000007E-3</v>
      </c>
      <c r="W1315">
        <v>-4.5982150000000002E-4</v>
      </c>
      <c r="X1315">
        <v>0.99995650000000003</v>
      </c>
      <c r="Y1315">
        <v>0.1144222</v>
      </c>
      <c r="Z1315">
        <v>1.74319E-2</v>
      </c>
      <c r="AA1315">
        <v>0.99327929999999998</v>
      </c>
      <c r="AB1315">
        <v>25</v>
      </c>
      <c r="AC1315">
        <v>0.62760000000000005</v>
      </c>
      <c r="AD1315">
        <v>-7.1756000000000097E-2</v>
      </c>
      <c r="AE1315">
        <v>-0.25870000000003301</v>
      </c>
      <c r="AF1315">
        <v>8.9911520633351893E-2</v>
      </c>
      <c r="AG1315">
        <v>-7.1756000000000097E-2</v>
      </c>
      <c r="AH1315">
        <v>0.66527857547000502</v>
      </c>
      <c r="AI1315">
        <v>96.101000982147994</v>
      </c>
      <c r="AJ1315">
        <v>82.303186190669507</v>
      </c>
      <c r="AK1315">
        <v>0.67515078912640003</v>
      </c>
    </row>
    <row r="1316" spans="1:37" x14ac:dyDescent="0.2">
      <c r="A1316" t="str">
        <f>"20200111155817122"</f>
        <v>20200111155817122</v>
      </c>
      <c r="B1316" t="str">
        <f>"1578729497112681"</f>
        <v>1578729497112681</v>
      </c>
      <c r="C1316" t="s">
        <v>37</v>
      </c>
      <c r="D1316">
        <v>5.6284539999999996</v>
      </c>
      <c r="E1316">
        <v>0.54140080000000002</v>
      </c>
      <c r="F1316" t="s">
        <v>38</v>
      </c>
      <c r="G1316">
        <v>-211.52180000000001</v>
      </c>
      <c r="H1316">
        <v>1.022526</v>
      </c>
      <c r="I1316">
        <v>366.34160000000003</v>
      </c>
      <c r="J1316">
        <v>-212.2176</v>
      </c>
      <c r="K1316">
        <v>1.1020209999999999</v>
      </c>
      <c r="L1316">
        <v>366.6309</v>
      </c>
      <c r="M1316">
        <v>0.96661439999999998</v>
      </c>
      <c r="N1316">
        <v>0</v>
      </c>
      <c r="O1316">
        <v>-0.25585219999999997</v>
      </c>
      <c r="P1316">
        <v>0.96384059999999905</v>
      </c>
      <c r="Q1316">
        <v>-1.40633999999999E-2</v>
      </c>
      <c r="R1316">
        <v>-0.26610840000000002</v>
      </c>
      <c r="S1316">
        <v>2.8058930000000002</v>
      </c>
      <c r="T1316">
        <v>-0.2655382</v>
      </c>
      <c r="U1316">
        <v>-1.1005549999999999</v>
      </c>
      <c r="V1316">
        <v>1.062395E-2</v>
      </c>
      <c r="W1316">
        <v>-1.176762E-4</v>
      </c>
      <c r="X1316">
        <v>0.99994359999999904</v>
      </c>
      <c r="Y1316">
        <v>0.11529629999999901</v>
      </c>
      <c r="Z1316">
        <v>1.7580450000000001E-2</v>
      </c>
      <c r="AA1316">
        <v>0.99317559999999905</v>
      </c>
      <c r="AB1316">
        <v>25</v>
      </c>
      <c r="AC1316">
        <v>0.69579999999999098</v>
      </c>
      <c r="AD1316">
        <v>-7.9494999999999802E-2</v>
      </c>
      <c r="AE1316">
        <v>-0.28929999999996803</v>
      </c>
      <c r="AF1316">
        <v>0.10051096265087001</v>
      </c>
      <c r="AG1316">
        <v>-7.9494999999999802E-2</v>
      </c>
      <c r="AH1316">
        <v>0.73844340869610903</v>
      </c>
      <c r="AI1316">
        <v>96.088635486876399</v>
      </c>
      <c r="AJ1316">
        <v>82.248992505699107</v>
      </c>
      <c r="AK1316">
        <v>0.74948020419803896</v>
      </c>
    </row>
    <row r="1317" spans="1:37" x14ac:dyDescent="0.2">
      <c r="A1317" t="str">
        <f>"20200111155817140"</f>
        <v>20200111155817140</v>
      </c>
      <c r="B1317" t="str">
        <f>"1578729497132202"</f>
        <v>1578729497132202</v>
      </c>
      <c r="C1317" t="s">
        <v>37</v>
      </c>
      <c r="D1317">
        <v>5.6847979999999998</v>
      </c>
      <c r="E1317">
        <v>0.54117660000000001</v>
      </c>
      <c r="F1317" t="s">
        <v>38</v>
      </c>
      <c r="G1317">
        <v>-211.5127</v>
      </c>
      <c r="H1317">
        <v>1.0351980000000001</v>
      </c>
      <c r="I1317">
        <v>366.35199999999998</v>
      </c>
      <c r="J1317">
        <v>-212.0136</v>
      </c>
      <c r="K1317">
        <v>1.102026</v>
      </c>
      <c r="L1317">
        <v>366.57330000000002</v>
      </c>
      <c r="M1317">
        <v>0.96584749999999997</v>
      </c>
      <c r="N1317">
        <v>0</v>
      </c>
      <c r="O1317">
        <v>-0.25873259999999998</v>
      </c>
      <c r="P1317">
        <v>0.96244259999999904</v>
      </c>
      <c r="Q1317">
        <v>-1.4641309999999999E-2</v>
      </c>
      <c r="R1317">
        <v>-0.27109060000000001</v>
      </c>
      <c r="S1317">
        <v>2.8025669999999998</v>
      </c>
      <c r="T1317">
        <v>-0.26571090000000003</v>
      </c>
      <c r="U1317">
        <v>-1.1087039999999999</v>
      </c>
      <c r="V1317">
        <v>1.28139999999999E-2</v>
      </c>
      <c r="W1317">
        <v>-7.1181219999999999E-4</v>
      </c>
      <c r="X1317">
        <v>0.99991759999999996</v>
      </c>
      <c r="Y1317">
        <v>0.1152464</v>
      </c>
      <c r="Z1317">
        <v>1.7851889999999999E-2</v>
      </c>
      <c r="AA1317">
        <v>0.99317649999999902</v>
      </c>
      <c r="AB1317">
        <v>25</v>
      </c>
      <c r="AC1317">
        <v>0.50090000000000101</v>
      </c>
      <c r="AD1317">
        <v>-6.6827999999999804E-2</v>
      </c>
      <c r="AE1317">
        <v>-0.22130000000004199</v>
      </c>
      <c r="AF1317">
        <v>8.2916283104085803E-2</v>
      </c>
      <c r="AG1317">
        <v>-6.6827999999999804E-2</v>
      </c>
      <c r="AH1317">
        <v>0.53316326816615001</v>
      </c>
      <c r="AI1317">
        <v>97.060337874332404</v>
      </c>
      <c r="AJ1317">
        <v>81.160307587832506</v>
      </c>
      <c r="AK1317">
        <v>0.54369491639099099</v>
      </c>
    </row>
    <row r="1318" spans="1:37" x14ac:dyDescent="0.2">
      <c r="A1318" t="str">
        <f>"20200111155817163"</f>
        <v>20200111155817163</v>
      </c>
      <c r="B1318" t="str">
        <f>"1578729497152697"</f>
        <v>1578729497152697</v>
      </c>
      <c r="C1318" t="s">
        <v>37</v>
      </c>
      <c r="D1318">
        <v>5.6866519999999996</v>
      </c>
      <c r="E1318">
        <v>0.54062769999999905</v>
      </c>
      <c r="F1318" t="s">
        <v>38</v>
      </c>
      <c r="G1318">
        <v>-211.29599999999999</v>
      </c>
      <c r="H1318">
        <v>1.0342309999999999</v>
      </c>
      <c r="I1318">
        <v>366.28550000000001</v>
      </c>
      <c r="J1318">
        <v>-211.77119999999999</v>
      </c>
      <c r="K1318">
        <v>1.1020289999999999</v>
      </c>
      <c r="L1318">
        <v>366.50420000000003</v>
      </c>
      <c r="M1318">
        <v>0.96492429999999996</v>
      </c>
      <c r="N1318">
        <v>0</v>
      </c>
      <c r="O1318">
        <v>-0.26215440000000001</v>
      </c>
      <c r="P1318">
        <v>0.96110450000000003</v>
      </c>
      <c r="Q1318">
        <v>-1.5291509999999999E-2</v>
      </c>
      <c r="R1318">
        <v>-0.27576139999999999</v>
      </c>
      <c r="S1318">
        <v>2.7971650000000001</v>
      </c>
      <c r="T1318">
        <v>-0.2643086</v>
      </c>
      <c r="U1318">
        <v>-1.1213679999999999</v>
      </c>
      <c r="V1318">
        <v>1.412453E-2</v>
      </c>
      <c r="W1318">
        <v>-1.3732939999999999E-3</v>
      </c>
      <c r="X1318">
        <v>0.99989930000000005</v>
      </c>
      <c r="Y1318">
        <v>0.11626489999999901</v>
      </c>
      <c r="Z1318">
        <v>1.8020700000000001E-2</v>
      </c>
      <c r="AA1318">
        <v>0.99305469999999896</v>
      </c>
      <c r="AB1318">
        <v>25</v>
      </c>
      <c r="AC1318">
        <v>0.47520000000000101</v>
      </c>
      <c r="AD1318">
        <v>-6.7798000000000205E-2</v>
      </c>
      <c r="AE1318">
        <v>-0.218700000000012</v>
      </c>
      <c r="AF1318">
        <v>8.5033300820499896E-2</v>
      </c>
      <c r="AG1318">
        <v>-6.7798000000000205E-2</v>
      </c>
      <c r="AH1318">
        <v>0.50739282882914005</v>
      </c>
      <c r="AI1318">
        <v>97.507323262461497</v>
      </c>
      <c r="AJ1318">
        <v>80.486285084076201</v>
      </c>
      <c r="AK1318">
        <v>0.51891686598111897</v>
      </c>
    </row>
    <row r="1319" spans="1:37" x14ac:dyDescent="0.2">
      <c r="A1319" t="str">
        <f>"20200111155817176"</f>
        <v>20200111155817176</v>
      </c>
      <c r="B1319" t="str">
        <f>"1578729497172218"</f>
        <v>1578729497172218</v>
      </c>
      <c r="C1319" t="s">
        <v>37</v>
      </c>
      <c r="D1319">
        <v>5.7354919999999998</v>
      </c>
      <c r="E1319">
        <v>0.54012230000000006</v>
      </c>
      <c r="F1319" t="s">
        <v>38</v>
      </c>
      <c r="G1319">
        <v>-211.07759999999999</v>
      </c>
      <c r="H1319">
        <v>1.0348809999999999</v>
      </c>
      <c r="I1319">
        <v>366.22359999999998</v>
      </c>
      <c r="J1319">
        <v>-211.63329999999999</v>
      </c>
      <c r="K1319">
        <v>1.102034</v>
      </c>
      <c r="L1319">
        <v>366.46440000000001</v>
      </c>
      <c r="M1319">
        <v>0.96439330000000001</v>
      </c>
      <c r="N1319">
        <v>0</v>
      </c>
      <c r="O1319">
        <v>-0.26410149999999999</v>
      </c>
      <c r="P1319">
        <v>0.96049490000000004</v>
      </c>
      <c r="Q1319">
        <v>-1.5234569999999999E-2</v>
      </c>
      <c r="R1319">
        <v>-0.2778814</v>
      </c>
      <c r="S1319">
        <v>2.7928470000000001</v>
      </c>
      <c r="T1319">
        <v>-0.27043449999999902</v>
      </c>
      <c r="U1319">
        <v>-1.130066</v>
      </c>
      <c r="V1319">
        <v>1.431225E-2</v>
      </c>
      <c r="W1319">
        <v>-1.319195E-3</v>
      </c>
      <c r="X1319">
        <v>0.99989669999999897</v>
      </c>
      <c r="Y1319">
        <v>0.1174785</v>
      </c>
      <c r="Z1319">
        <v>1.8565390000000001E-2</v>
      </c>
      <c r="AA1319">
        <v>0.9929019</v>
      </c>
      <c r="AB1319">
        <v>25</v>
      </c>
      <c r="AC1319">
        <v>0.55570000000000097</v>
      </c>
      <c r="AD1319">
        <v>-6.7153000000000004E-2</v>
      </c>
      <c r="AE1319">
        <v>-0.24080000000003501</v>
      </c>
      <c r="AF1319">
        <v>8.4434978286870493E-2</v>
      </c>
      <c r="AG1319">
        <v>-6.7153000000000004E-2</v>
      </c>
      <c r="AH1319">
        <v>0.59228579050269303</v>
      </c>
      <c r="AI1319">
        <v>96.404333920798393</v>
      </c>
      <c r="AJ1319">
        <v>81.886704607047193</v>
      </c>
      <c r="AK1319">
        <v>0.60203093657942897</v>
      </c>
    </row>
    <row r="1320" spans="1:37" x14ac:dyDescent="0.2">
      <c r="A1320" t="str">
        <f>"20200111155817187"</f>
        <v>20200111155817187</v>
      </c>
      <c r="B1320" t="str">
        <f>"1578729497181978"</f>
        <v>1578729497181978</v>
      </c>
      <c r="C1320" t="s">
        <v>37</v>
      </c>
      <c r="D1320">
        <v>5.7162819999999996</v>
      </c>
      <c r="E1320">
        <v>0.5399024</v>
      </c>
      <c r="F1320" t="s">
        <v>38</v>
      </c>
      <c r="G1320">
        <v>-210.86619999999999</v>
      </c>
      <c r="H1320">
        <v>1.0268679999999999</v>
      </c>
      <c r="I1320">
        <v>366.15320000000003</v>
      </c>
      <c r="J1320">
        <v>-211.5001</v>
      </c>
      <c r="K1320">
        <v>1.1020369999999999</v>
      </c>
      <c r="L1320">
        <v>366.42579999999998</v>
      </c>
      <c r="M1320">
        <v>0.96387619999999896</v>
      </c>
      <c r="N1320">
        <v>0</v>
      </c>
      <c r="O1320">
        <v>-0.26598280000000002</v>
      </c>
      <c r="P1320">
        <v>0.95996150000000002</v>
      </c>
      <c r="Q1320">
        <v>-1.4728110000000001E-2</v>
      </c>
      <c r="R1320">
        <v>-0.27974509999999903</v>
      </c>
      <c r="S1320">
        <v>2.7915190000000001</v>
      </c>
      <c r="T1320">
        <v>-0.27351900000000001</v>
      </c>
      <c r="U1320">
        <v>-1.1321410000000001</v>
      </c>
      <c r="V1320">
        <v>1.4303120000000001E-2</v>
      </c>
      <c r="W1320">
        <v>-8.1424929999999996E-4</v>
      </c>
      <c r="X1320">
        <v>0.99989740000000005</v>
      </c>
      <c r="Y1320">
        <v>0.1163633</v>
      </c>
      <c r="Z1320">
        <v>1.900139E-2</v>
      </c>
      <c r="AA1320">
        <v>0.99302489999999999</v>
      </c>
      <c r="AB1320">
        <v>25</v>
      </c>
      <c r="AC1320">
        <v>0.63390000000001101</v>
      </c>
      <c r="AD1320">
        <v>-7.5169E-2</v>
      </c>
      <c r="AE1320">
        <v>-0.27259999999995399</v>
      </c>
      <c r="AF1320">
        <v>9.3051131689060707E-2</v>
      </c>
      <c r="AG1320">
        <v>-7.5169E-2</v>
      </c>
      <c r="AH1320">
        <v>0.67555808296141795</v>
      </c>
      <c r="AI1320">
        <v>96.290248253068597</v>
      </c>
      <c r="AJ1320">
        <v>82.157447960073696</v>
      </c>
      <c r="AK1320">
        <v>0.68606677162220897</v>
      </c>
    </row>
    <row r="1321" spans="1:37" x14ac:dyDescent="0.2">
      <c r="A1321" t="str">
        <f>"20200111155817199"</f>
        <v>20200111155817199</v>
      </c>
      <c r="B1321" t="str">
        <f>"1578729497192714"</f>
        <v>1578729497192714</v>
      </c>
      <c r="C1321" t="s">
        <v>37</v>
      </c>
      <c r="D1321">
        <v>5.7332960000000002</v>
      </c>
      <c r="E1321">
        <v>0.53968389999999999</v>
      </c>
      <c r="F1321" t="s">
        <v>38</v>
      </c>
      <c r="G1321">
        <v>-210.65520000000001</v>
      </c>
      <c r="H1321">
        <v>1.0190729999999999</v>
      </c>
      <c r="I1321">
        <v>366.08190000000002</v>
      </c>
      <c r="J1321">
        <v>-211.3672</v>
      </c>
      <c r="K1321">
        <v>1.1020399999999999</v>
      </c>
      <c r="L1321">
        <v>366.38690000000003</v>
      </c>
      <c r="M1321">
        <v>0.9633564</v>
      </c>
      <c r="N1321">
        <v>0</v>
      </c>
      <c r="O1321">
        <v>-0.26785959999999998</v>
      </c>
      <c r="P1321">
        <v>0.95961730000000001</v>
      </c>
      <c r="Q1321">
        <v>-1.3887129999999999E-2</v>
      </c>
      <c r="R1321">
        <v>-0.28096700000000002</v>
      </c>
      <c r="S1321">
        <v>2.7899630000000002</v>
      </c>
      <c r="T1321">
        <v>-0.27395340000000001</v>
      </c>
      <c r="U1321">
        <v>-1.135742</v>
      </c>
      <c r="V1321">
        <v>1.363021E-2</v>
      </c>
      <c r="W1321" s="1">
        <v>2.9362589999999998E-5</v>
      </c>
      <c r="X1321">
        <v>0.99990709999999905</v>
      </c>
      <c r="Y1321">
        <v>0.1157333</v>
      </c>
      <c r="Z1321">
        <v>1.9232840000000001E-2</v>
      </c>
      <c r="AA1321">
        <v>0.99309409999999898</v>
      </c>
      <c r="AB1321">
        <v>25</v>
      </c>
      <c r="AC1321">
        <v>0.71199999999998898</v>
      </c>
      <c r="AD1321">
        <v>-8.2966999999999999E-2</v>
      </c>
      <c r="AE1321">
        <v>-0.30500000000000599</v>
      </c>
      <c r="AF1321">
        <v>0.10194809255265</v>
      </c>
      <c r="AG1321">
        <v>-8.2966999999999999E-2</v>
      </c>
      <c r="AH1321">
        <v>0.75897423791805196</v>
      </c>
      <c r="AI1321">
        <v>96.183399542410797</v>
      </c>
      <c r="AJ1321">
        <v>82.349621242095907</v>
      </c>
      <c r="AK1321">
        <v>0.77027191983572396</v>
      </c>
    </row>
    <row r="1322" spans="1:37" x14ac:dyDescent="0.2">
      <c r="A1322" t="str">
        <f>"20200111155817212"</f>
        <v>20200111155817212</v>
      </c>
      <c r="B1322" t="str">
        <f>"1578729497202473"</f>
        <v>1578729497202473</v>
      </c>
      <c r="C1322" t="s">
        <v>37</v>
      </c>
      <c r="D1322">
        <v>5.7259010000000004</v>
      </c>
      <c r="E1322">
        <v>0.53945889999999996</v>
      </c>
      <c r="F1322" t="s">
        <v>38</v>
      </c>
      <c r="G1322">
        <v>-210.64599999999999</v>
      </c>
      <c r="H1322">
        <v>1.0313889999999999</v>
      </c>
      <c r="I1322">
        <v>366.09280000000001</v>
      </c>
      <c r="J1322">
        <v>-211.23779999999999</v>
      </c>
      <c r="K1322">
        <v>1.1020430000000001</v>
      </c>
      <c r="L1322">
        <v>366.34870000000001</v>
      </c>
      <c r="M1322">
        <v>0.96284579999999997</v>
      </c>
      <c r="N1322">
        <v>0</v>
      </c>
      <c r="O1322">
        <v>-0.26968880000000001</v>
      </c>
      <c r="P1322">
        <v>0.95928029999999997</v>
      </c>
      <c r="Q1322">
        <v>-1.293791E-2</v>
      </c>
      <c r="R1322">
        <v>-0.2821592</v>
      </c>
      <c r="S1322">
        <v>2.7891849999999998</v>
      </c>
      <c r="T1322">
        <v>-0.27325270000000002</v>
      </c>
      <c r="U1322">
        <v>-1.137634</v>
      </c>
      <c r="V1322">
        <v>1.297593E-2</v>
      </c>
      <c r="W1322">
        <v>9.8115599999999996E-4</v>
      </c>
      <c r="X1322">
        <v>0.99991529999999995</v>
      </c>
      <c r="Y1322">
        <v>0.1145297</v>
      </c>
      <c r="Z1322">
        <v>1.9405099999999901E-2</v>
      </c>
      <c r="AA1322">
        <v>0.99323030000000001</v>
      </c>
      <c r="AB1322">
        <v>25</v>
      </c>
      <c r="AC1322">
        <v>0.59180000000000599</v>
      </c>
      <c r="AD1322">
        <v>-7.0654000000000203E-2</v>
      </c>
      <c r="AE1322">
        <v>-0.25589999999999602</v>
      </c>
      <c r="AF1322">
        <v>8.5768973410776994E-2</v>
      </c>
      <c r="AG1322">
        <v>-7.0654000000000203E-2</v>
      </c>
      <c r="AH1322">
        <v>0.63130718086682602</v>
      </c>
      <c r="AI1322">
        <v>96.328141570200003</v>
      </c>
      <c r="AJ1322">
        <v>82.263202783684306</v>
      </c>
      <c r="AK1322">
        <v>0.64101252806006703</v>
      </c>
    </row>
    <row r="1323" spans="1:37" x14ac:dyDescent="0.2">
      <c r="A1323" t="str">
        <f>"20200111155817223"</f>
        <v>20200111155817223</v>
      </c>
      <c r="B1323" t="str">
        <f>"1578729497212233"</f>
        <v>1578729497212233</v>
      </c>
      <c r="C1323" t="s">
        <v>37</v>
      </c>
      <c r="D1323">
        <v>5.6447229999999999</v>
      </c>
      <c r="E1323">
        <v>0.53917809999999999</v>
      </c>
      <c r="F1323" t="s">
        <v>38</v>
      </c>
      <c r="G1323">
        <v>-210.43539999999999</v>
      </c>
      <c r="H1323">
        <v>1.0238320000000001</v>
      </c>
      <c r="I1323">
        <v>366.02080000000001</v>
      </c>
      <c r="J1323">
        <v>-211.10640000000001</v>
      </c>
      <c r="K1323">
        <v>1.1020459999999901</v>
      </c>
      <c r="L1323">
        <v>366.3098</v>
      </c>
      <c r="M1323">
        <v>0.96232390000000001</v>
      </c>
      <c r="N1323">
        <v>0</v>
      </c>
      <c r="O1323">
        <v>-0.27154539999999999</v>
      </c>
      <c r="P1323">
        <v>0.95887710000000004</v>
      </c>
      <c r="Q1323">
        <v>-1.210251E-2</v>
      </c>
      <c r="R1323">
        <v>-0.28356409999999999</v>
      </c>
      <c r="S1323">
        <v>2.7885439999999999</v>
      </c>
      <c r="T1323">
        <v>-0.27187319999999998</v>
      </c>
      <c r="U1323">
        <v>-1.1392819999999999</v>
      </c>
      <c r="V1323">
        <v>1.2513979999999999E-2</v>
      </c>
      <c r="W1323">
        <v>1.818004E-3</v>
      </c>
      <c r="X1323">
        <v>0.99992009999999898</v>
      </c>
      <c r="Y1323">
        <v>0.1132025</v>
      </c>
      <c r="Z1323">
        <v>1.953533E-2</v>
      </c>
      <c r="AA1323">
        <v>0.99337989999999998</v>
      </c>
      <c r="AB1323">
        <v>25</v>
      </c>
      <c r="AC1323">
        <v>0.67100000000002002</v>
      </c>
      <c r="AD1323">
        <v>-7.82139999999997E-2</v>
      </c>
      <c r="AE1323">
        <v>-0.28899999999998699</v>
      </c>
      <c r="AF1323">
        <v>9.4827222620710902E-2</v>
      </c>
      <c r="AG1323">
        <v>-7.82139999999997E-2</v>
      </c>
      <c r="AH1323">
        <v>0.71606012632405802</v>
      </c>
      <c r="AI1323">
        <v>96.180072941280002</v>
      </c>
      <c r="AJ1323">
        <v>82.456264515827996</v>
      </c>
      <c r="AK1323">
        <v>0.72653405732779197</v>
      </c>
    </row>
    <row r="1324" spans="1:37" x14ac:dyDescent="0.2">
      <c r="A1324" t="str">
        <f>"20200111155817237"</f>
        <v>20200111155817237</v>
      </c>
      <c r="B1324" t="str">
        <f>"1578729497232731"</f>
        <v>1578729497232731</v>
      </c>
      <c r="C1324" t="s">
        <v>37</v>
      </c>
      <c r="D1324">
        <v>5.7158259999999999</v>
      </c>
      <c r="E1324">
        <v>0.53913999999999995</v>
      </c>
      <c r="F1324" t="s">
        <v>38</v>
      </c>
      <c r="G1324">
        <v>-210.42609999999999</v>
      </c>
      <c r="H1324">
        <v>1.036478</v>
      </c>
      <c r="I1324">
        <v>366.03129999999999</v>
      </c>
      <c r="J1324">
        <v>-210.9597</v>
      </c>
      <c r="K1324">
        <v>1.1020459999999901</v>
      </c>
      <c r="L1324">
        <v>366.26589999999999</v>
      </c>
      <c r="M1324">
        <v>0.9617367</v>
      </c>
      <c r="N1324">
        <v>0</v>
      </c>
      <c r="O1324">
        <v>-0.27361790000000002</v>
      </c>
      <c r="P1324">
        <v>0.95840419999999904</v>
      </c>
      <c r="Q1324">
        <v>-1.1197550000000001E-2</v>
      </c>
      <c r="R1324">
        <v>-0.28519499999999998</v>
      </c>
      <c r="S1324">
        <v>2.787766</v>
      </c>
      <c r="T1324">
        <v>-0.26877309999999999</v>
      </c>
      <c r="U1324">
        <v>-1.1412659999999999</v>
      </c>
      <c r="V1324">
        <v>1.2063580000000001E-2</v>
      </c>
      <c r="W1324">
        <v>2.7239930000000001E-3</v>
      </c>
      <c r="X1324">
        <v>0.99992349999999997</v>
      </c>
      <c r="Y1324">
        <v>0.111763899999999</v>
      </c>
      <c r="Z1324">
        <v>1.9562980000000001E-2</v>
      </c>
      <c r="AA1324">
        <v>0.99354219999999904</v>
      </c>
      <c r="AB1324">
        <v>25</v>
      </c>
      <c r="AC1324">
        <v>0.53360000000000696</v>
      </c>
      <c r="AD1324">
        <v>-6.5567999999999793E-2</v>
      </c>
      <c r="AE1324">
        <v>-0.2346</v>
      </c>
      <c r="AF1324">
        <v>7.86337367498844E-2</v>
      </c>
      <c r="AG1324">
        <v>-6.5567999999999793E-2</v>
      </c>
      <c r="AH1324">
        <v>0.57021488544968302</v>
      </c>
      <c r="AI1324">
        <v>96.498563890766803</v>
      </c>
      <c r="AJ1324">
        <v>82.148322787203497</v>
      </c>
      <c r="AK1324">
        <v>0.57933361957308005</v>
      </c>
    </row>
    <row r="1325" spans="1:37" x14ac:dyDescent="0.2">
      <c r="A1325" t="str">
        <f>"20200111155817250"</f>
        <v>20200111155817250</v>
      </c>
      <c r="B1325" t="str">
        <f>"1578729497242490"</f>
        <v>1578729497242490</v>
      </c>
      <c r="C1325" t="s">
        <v>37</v>
      </c>
      <c r="D1325">
        <v>6.0798680000000003</v>
      </c>
      <c r="E1325">
        <v>0.53922079999999994</v>
      </c>
      <c r="F1325" t="s">
        <v>38</v>
      </c>
      <c r="G1325">
        <v>-210.215</v>
      </c>
      <c r="H1325">
        <v>1.0304359999999999</v>
      </c>
      <c r="I1325">
        <v>365.9597</v>
      </c>
      <c r="J1325">
        <v>-210.8219</v>
      </c>
      <c r="K1325">
        <v>1.1020509999999999</v>
      </c>
      <c r="L1325">
        <v>366.22430000000003</v>
      </c>
      <c r="M1325">
        <v>0.96118049999999999</v>
      </c>
      <c r="N1325">
        <v>0</v>
      </c>
      <c r="O1325">
        <v>-0.27556579999999897</v>
      </c>
      <c r="P1325">
        <v>0.95801539999999996</v>
      </c>
      <c r="Q1325">
        <v>-1.017478E-2</v>
      </c>
      <c r="R1325">
        <v>-0.28653689999999998</v>
      </c>
      <c r="S1325">
        <v>2.7862239999999998</v>
      </c>
      <c r="T1325">
        <v>-0.2678797</v>
      </c>
      <c r="U1325">
        <v>-1.1454469999999899</v>
      </c>
      <c r="V1325">
        <v>1.1440850000000001E-2</v>
      </c>
      <c r="W1325">
        <v>3.7487100000000001E-3</v>
      </c>
      <c r="X1325">
        <v>0.99992749999999997</v>
      </c>
      <c r="Y1325">
        <v>0.1112243</v>
      </c>
      <c r="Z1325">
        <v>1.969601E-2</v>
      </c>
      <c r="AA1325">
        <v>0.99360009999999999</v>
      </c>
      <c r="AB1325">
        <v>25</v>
      </c>
      <c r="AC1325">
        <v>0.606899999999996</v>
      </c>
      <c r="AD1325">
        <v>-7.1614999999999901E-2</v>
      </c>
      <c r="AE1325">
        <v>-0.26460000000002898</v>
      </c>
      <c r="AF1325">
        <v>8.6088729962897695E-2</v>
      </c>
      <c r="AG1325">
        <v>-7.1614999999999901E-2</v>
      </c>
      <c r="AH1325">
        <v>0.64872901749008904</v>
      </c>
      <c r="AI1325">
        <v>96.245221405032297</v>
      </c>
      <c r="AJ1325">
        <v>82.440805697477003</v>
      </c>
      <c r="AK1325">
        <v>0.65832310895583901</v>
      </c>
    </row>
    <row r="1326" spans="1:37" x14ac:dyDescent="0.2">
      <c r="A1326" t="str">
        <f>"20200111155817263"</f>
        <v>20200111155817263</v>
      </c>
      <c r="B1326" t="str">
        <f>"1578729497252250"</f>
        <v>1578729497252250</v>
      </c>
      <c r="C1326" t="s">
        <v>37</v>
      </c>
      <c r="D1326">
        <v>5.6176529999999998</v>
      </c>
      <c r="E1326">
        <v>0.53922079999999994</v>
      </c>
      <c r="F1326" t="s">
        <v>38</v>
      </c>
      <c r="G1326">
        <v>-210.00489999999999</v>
      </c>
      <c r="H1326">
        <v>1.0237399999999901</v>
      </c>
      <c r="I1326">
        <v>365.88679999999999</v>
      </c>
      <c r="J1326">
        <v>-210.6781</v>
      </c>
      <c r="K1326">
        <v>1.1020570000000001</v>
      </c>
      <c r="L1326">
        <v>366.18079999999998</v>
      </c>
      <c r="M1326">
        <v>0.96059570000000005</v>
      </c>
      <c r="N1326">
        <v>0</v>
      </c>
      <c r="O1326">
        <v>-0.27759699999999998</v>
      </c>
      <c r="P1326">
        <v>0.95760699999999999</v>
      </c>
      <c r="Q1326">
        <v>-8.6191859999999992E-3</v>
      </c>
      <c r="R1326">
        <v>-0.28794910000000001</v>
      </c>
      <c r="S1326">
        <v>2.7846679999999999</v>
      </c>
      <c r="T1326">
        <v>-0.26683659999999998</v>
      </c>
      <c r="U1326">
        <v>-1.149902</v>
      </c>
      <c r="V1326">
        <v>1.0806420000000001E-2</v>
      </c>
      <c r="W1326">
        <v>5.3065209999999998E-3</v>
      </c>
      <c r="X1326">
        <v>0.99992749999999997</v>
      </c>
      <c r="Y1326">
        <v>0.1106823</v>
      </c>
      <c r="Z1326">
        <v>1.9823569999999999E-2</v>
      </c>
      <c r="AA1326">
        <v>0.99365809999999999</v>
      </c>
      <c r="AB1326">
        <v>25</v>
      </c>
      <c r="AC1326">
        <v>0.67320000000000801</v>
      </c>
      <c r="AD1326">
        <v>-7.8317000000000095E-2</v>
      </c>
      <c r="AE1326">
        <v>-0.293999999999982</v>
      </c>
      <c r="AF1326">
        <v>9.4472404595740495E-2</v>
      </c>
      <c r="AG1326">
        <v>-7.8317000000000095E-2</v>
      </c>
      <c r="AH1326">
        <v>0.72017228419329105</v>
      </c>
      <c r="AI1326">
        <v>96.154074057246007</v>
      </c>
      <c r="AJ1326">
        <v>82.526596529752595</v>
      </c>
      <c r="AK1326">
        <v>0.73055232984316998</v>
      </c>
    </row>
    <row r="1327" spans="1:37" x14ac:dyDescent="0.2">
      <c r="A1327" t="str">
        <f>"20200111155817276"</f>
        <v>20200111155817276</v>
      </c>
      <c r="B1327" t="str">
        <f>"1578729497272745"</f>
        <v>1578729497272745</v>
      </c>
      <c r="C1327" t="s">
        <v>37</v>
      </c>
      <c r="D1327">
        <v>5.8210089999999903</v>
      </c>
      <c r="E1327">
        <v>0.55336209999999997</v>
      </c>
      <c r="F1327" t="s">
        <v>38</v>
      </c>
      <c r="G1327">
        <v>-209.9948</v>
      </c>
      <c r="H1327">
        <v>1.0375840000000001</v>
      </c>
      <c r="I1327">
        <v>365.89729999999997</v>
      </c>
      <c r="J1327">
        <v>-210.5436</v>
      </c>
      <c r="K1327">
        <v>1.102066</v>
      </c>
      <c r="L1327">
        <v>366.13959999999997</v>
      </c>
      <c r="M1327">
        <v>0.96004419999999902</v>
      </c>
      <c r="N1327">
        <v>0</v>
      </c>
      <c r="O1327">
        <v>-0.27949849999999998</v>
      </c>
      <c r="P1327">
        <v>0.95708490000000002</v>
      </c>
      <c r="Q1327">
        <v>-8.0805919999999993E-3</v>
      </c>
      <c r="R1327">
        <v>-0.28969479999999997</v>
      </c>
      <c r="S1327">
        <v>2.7834779999999899</v>
      </c>
      <c r="T1327">
        <v>-0.26256469999999998</v>
      </c>
      <c r="U1327">
        <v>-1.1538999999999999</v>
      </c>
      <c r="V1327">
        <v>1.065193E-2</v>
      </c>
      <c r="W1327">
        <v>5.844386E-3</v>
      </c>
      <c r="X1327">
        <v>0.99992619999999899</v>
      </c>
      <c r="Y1327">
        <v>0.110072</v>
      </c>
      <c r="Z1327">
        <v>1.9698440000000001E-2</v>
      </c>
      <c r="AA1327">
        <v>0.99372839999999996</v>
      </c>
      <c r="AB1327">
        <v>25</v>
      </c>
      <c r="AC1327">
        <v>0.54879999999999995</v>
      </c>
      <c r="AD1327">
        <v>-6.4481999999999901E-2</v>
      </c>
      <c r="AE1327">
        <v>-0.24229999999999999</v>
      </c>
      <c r="AF1327">
        <v>7.8332685920878706E-2</v>
      </c>
      <c r="AG1327">
        <v>-6.4481999999999901E-2</v>
      </c>
      <c r="AH1327">
        <v>0.58786119856840902</v>
      </c>
      <c r="AI1327">
        <v>96.205287361773102</v>
      </c>
      <c r="AJ1327">
        <v>82.410030577302194</v>
      </c>
      <c r="AK1327">
        <v>0.59655236718151206</v>
      </c>
    </row>
    <row r="1328" spans="1:37" x14ac:dyDescent="0.2">
      <c r="A1328" t="str">
        <f>"20200111155817289"</f>
        <v>20200111155817289</v>
      </c>
      <c r="B1328" t="str">
        <f>"1578729497282506"</f>
        <v>1578729497282506</v>
      </c>
      <c r="C1328" t="s">
        <v>37</v>
      </c>
      <c r="D1328">
        <v>5.7641010000000001</v>
      </c>
      <c r="E1328">
        <v>0.55341750000000001</v>
      </c>
      <c r="F1328" t="s">
        <v>38</v>
      </c>
      <c r="G1328">
        <v>-209.81610000000001</v>
      </c>
      <c r="H1328">
        <v>0.97981669999999998</v>
      </c>
      <c r="I1328">
        <v>365.80669999999998</v>
      </c>
      <c r="J1328">
        <v>-210.40479999999999</v>
      </c>
      <c r="K1328">
        <v>1.1020729999999901</v>
      </c>
      <c r="L1328">
        <v>366.09679999999997</v>
      </c>
      <c r="M1328">
        <v>0.95947059999999995</v>
      </c>
      <c r="N1328">
        <v>0</v>
      </c>
      <c r="O1328">
        <v>-0.28146199999999999</v>
      </c>
      <c r="P1328">
        <v>0.95639319999999906</v>
      </c>
      <c r="Q1328">
        <v>-7.28671599999999E-3</v>
      </c>
      <c r="R1328">
        <v>-0.29199190000000003</v>
      </c>
      <c r="S1328">
        <v>2.749908</v>
      </c>
      <c r="T1328">
        <v>-0.46207120000000002</v>
      </c>
      <c r="U1328">
        <v>-1.2579039999999999</v>
      </c>
      <c r="V1328">
        <v>1.100989E-2</v>
      </c>
      <c r="W1328">
        <v>6.6344890000000004E-3</v>
      </c>
      <c r="X1328">
        <v>0.99991739999999996</v>
      </c>
      <c r="Y1328">
        <v>0.14465210000000001</v>
      </c>
      <c r="Z1328">
        <v>3.2149400000000002E-2</v>
      </c>
      <c r="AA1328">
        <v>0.98896010000000001</v>
      </c>
      <c r="AB1328">
        <v>25</v>
      </c>
      <c r="AC1328">
        <v>0.58869999999998801</v>
      </c>
      <c r="AD1328">
        <v>-0.122256299999999</v>
      </c>
      <c r="AE1328">
        <v>-0.29009999999999497</v>
      </c>
      <c r="AF1328">
        <v>0.108878551524758</v>
      </c>
      <c r="AG1328">
        <v>-0.122256299999999</v>
      </c>
      <c r="AH1328">
        <v>0.62487194363450504</v>
      </c>
      <c r="AI1328">
        <v>100.90975099927201</v>
      </c>
      <c r="AJ1328">
        <v>80.115933905136799</v>
      </c>
      <c r="AK1328">
        <v>0.64596136712142704</v>
      </c>
    </row>
    <row r="1329" spans="1:37" x14ac:dyDescent="0.2">
      <c r="A1329" t="str">
        <f>"20200111155817302"</f>
        <v>20200111155817302</v>
      </c>
      <c r="B1329" t="str">
        <f>"1578729497292266"</f>
        <v>1578729497292266</v>
      </c>
      <c r="C1329" t="s">
        <v>37</v>
      </c>
      <c r="D1329">
        <v>5.8178429999999999</v>
      </c>
      <c r="E1329">
        <v>0.5525793</v>
      </c>
      <c r="F1329" t="s">
        <v>38</v>
      </c>
      <c r="G1329">
        <v>-209.61</v>
      </c>
      <c r="H1329">
        <v>0.96822389999999903</v>
      </c>
      <c r="I1329">
        <v>365.73070000000001</v>
      </c>
      <c r="J1329">
        <v>-210.26089999999999</v>
      </c>
      <c r="K1329">
        <v>1.102082</v>
      </c>
      <c r="L1329">
        <v>366.05220000000003</v>
      </c>
      <c r="M1329">
        <v>0.95887119999999904</v>
      </c>
      <c r="N1329">
        <v>0</v>
      </c>
      <c r="O1329">
        <v>-0.28349659999999999</v>
      </c>
      <c r="P1329">
        <v>0.95560029999999996</v>
      </c>
      <c r="Q1329">
        <v>-6.3942109999999899E-3</v>
      </c>
      <c r="R1329">
        <v>-0.29459689999999999</v>
      </c>
      <c r="S1329">
        <v>2.7470699999999999</v>
      </c>
      <c r="T1329">
        <v>-0.46263109999999902</v>
      </c>
      <c r="U1329">
        <v>-1.264832</v>
      </c>
      <c r="V1329">
        <v>1.161677E-2</v>
      </c>
      <c r="W1329">
        <v>7.5218609999999899E-3</v>
      </c>
      <c r="X1329">
        <v>0.99990419999999902</v>
      </c>
      <c r="Y1329">
        <v>0.1450205</v>
      </c>
      <c r="Z1329">
        <v>3.2473040000000002E-2</v>
      </c>
      <c r="AA1329">
        <v>0.98889559999999999</v>
      </c>
      <c r="AB1329">
        <v>25</v>
      </c>
      <c r="AC1329">
        <v>0.65089999999997805</v>
      </c>
      <c r="AD1329">
        <v>-0.13385810000000001</v>
      </c>
      <c r="AE1329">
        <v>-0.321500000000014</v>
      </c>
      <c r="AF1329">
        <v>0.11969199400529</v>
      </c>
      <c r="AG1329">
        <v>-0.13385810000000001</v>
      </c>
      <c r="AH1329">
        <v>0.69182292844540105</v>
      </c>
      <c r="AI1329">
        <v>100.79411503876</v>
      </c>
      <c r="AJ1329">
        <v>80.184445678858495</v>
      </c>
      <c r="AK1329">
        <v>0.71474689834048499</v>
      </c>
    </row>
    <row r="1330" spans="1:37" x14ac:dyDescent="0.2">
      <c r="A1330" t="str">
        <f>"20200111155817327"</f>
        <v>20200111155817327</v>
      </c>
      <c r="B1330" t="str">
        <f>"1578729497322522"</f>
        <v>1578729497322522</v>
      </c>
      <c r="C1330" t="s">
        <v>37</v>
      </c>
      <c r="D1330">
        <v>5.8057080000000001</v>
      </c>
      <c r="E1330">
        <v>0.55253769999999902</v>
      </c>
      <c r="F1330" t="s">
        <v>38</v>
      </c>
      <c r="G1330">
        <v>-209.59479999999999</v>
      </c>
      <c r="H1330">
        <v>0.99076219999999904</v>
      </c>
      <c r="I1330">
        <v>365.7448</v>
      </c>
      <c r="J1330">
        <v>-209.9924</v>
      </c>
      <c r="K1330">
        <v>1.102096</v>
      </c>
      <c r="L1330">
        <v>365.96800000000002</v>
      </c>
      <c r="M1330">
        <v>0.95774009999999998</v>
      </c>
      <c r="N1330">
        <v>0</v>
      </c>
      <c r="O1330">
        <v>-0.28729499999999902</v>
      </c>
      <c r="P1330">
        <v>0.95384139999999995</v>
      </c>
      <c r="Q1330">
        <v>-4.6208429999999899E-3</v>
      </c>
      <c r="R1330">
        <v>-0.30027509999999902</v>
      </c>
      <c r="S1330">
        <v>2.7460019999999998</v>
      </c>
      <c r="T1330">
        <v>-0.45893840000000002</v>
      </c>
      <c r="U1330">
        <v>-1.266022</v>
      </c>
      <c r="V1330">
        <v>1.3607899999999999E-2</v>
      </c>
      <c r="W1330">
        <v>9.2798969999999901E-3</v>
      </c>
      <c r="X1330">
        <v>0.99986430000000004</v>
      </c>
      <c r="Y1330">
        <v>0.1416499</v>
      </c>
      <c r="Z1330">
        <v>3.3054239999999999E-2</v>
      </c>
      <c r="AA1330">
        <v>0.98936480000000004</v>
      </c>
      <c r="AB1330">
        <v>25</v>
      </c>
      <c r="AC1330">
        <v>0.397600000000011</v>
      </c>
      <c r="AD1330">
        <v>-0.1113338</v>
      </c>
      <c r="AE1330">
        <v>-0.22320000000001899</v>
      </c>
      <c r="AF1330">
        <v>9.3947678021222294E-2</v>
      </c>
      <c r="AG1330">
        <v>-0.1113338</v>
      </c>
      <c r="AH1330">
        <v>0.41992907360790399</v>
      </c>
      <c r="AI1330">
        <v>104.506002634369</v>
      </c>
      <c r="AJ1330">
        <v>77.389291480523497</v>
      </c>
      <c r="AK1330">
        <v>0.44447925495934199</v>
      </c>
    </row>
    <row r="1331" spans="1:37" x14ac:dyDescent="0.2">
      <c r="A1331" t="str">
        <f>"20200111155817341"</f>
        <v>20200111155817341</v>
      </c>
      <c r="B1331" t="str">
        <f>"1578729497332282"</f>
        <v>1578729497332282</v>
      </c>
      <c r="C1331" t="s">
        <v>37</v>
      </c>
      <c r="D1331">
        <v>8.8930330000000009</v>
      </c>
      <c r="E1331">
        <v>0.55380549999999995</v>
      </c>
      <c r="F1331" t="s">
        <v>38</v>
      </c>
      <c r="G1331">
        <v>-209.18389999999999</v>
      </c>
      <c r="H1331">
        <v>0.96858330000000004</v>
      </c>
      <c r="I1331">
        <v>365.58960000000002</v>
      </c>
      <c r="J1331">
        <v>-209.8426</v>
      </c>
      <c r="K1331">
        <v>1.102104</v>
      </c>
      <c r="L1331">
        <v>365.92039999999997</v>
      </c>
      <c r="M1331">
        <v>0.95710119999999899</v>
      </c>
      <c r="N1331">
        <v>0</v>
      </c>
      <c r="O1331">
        <v>-0.28941650000000002</v>
      </c>
      <c r="P1331">
        <v>0.95239099999999999</v>
      </c>
      <c r="Q1331">
        <v>-3.30467E-3</v>
      </c>
      <c r="R1331">
        <v>-0.30486170000000001</v>
      </c>
      <c r="S1331">
        <v>2.7395320000000001</v>
      </c>
      <c r="T1331">
        <v>-0.45243699999999998</v>
      </c>
      <c r="U1331">
        <v>-1.281647</v>
      </c>
      <c r="V1331">
        <v>1.6209729999999999E-2</v>
      </c>
      <c r="W1331">
        <v>1.0578260000000001E-2</v>
      </c>
      <c r="X1331">
        <v>0.9998127</v>
      </c>
      <c r="Y1331">
        <v>0.14492820000000001</v>
      </c>
      <c r="Z1331">
        <v>3.2669120000000003E-2</v>
      </c>
      <c r="AA1331">
        <v>0.98890270000000002</v>
      </c>
      <c r="AB1331">
        <v>25</v>
      </c>
      <c r="AC1331">
        <v>0.65870000000001006</v>
      </c>
      <c r="AD1331">
        <v>-0.13352069999999999</v>
      </c>
      <c r="AE1331">
        <v>-0.33079999999995302</v>
      </c>
      <c r="AF1331">
        <v>0.12198019919799399</v>
      </c>
      <c r="AG1331">
        <v>-0.13352069999999999</v>
      </c>
      <c r="AH1331">
        <v>0.70317907032071403</v>
      </c>
      <c r="AI1331">
        <v>100.59682050332199</v>
      </c>
      <c r="AJ1331">
        <v>80.158855870009901</v>
      </c>
      <c r="AK1331">
        <v>0.72606318682465698</v>
      </c>
    </row>
    <row r="1332" spans="1:37" x14ac:dyDescent="0.2">
      <c r="A1332" t="str">
        <f>"20200111155817354"</f>
        <v>20200111155817354</v>
      </c>
      <c r="B1332" t="str">
        <f>"1578729497342042"</f>
        <v>1578729497342042</v>
      </c>
      <c r="C1332" t="s">
        <v>37</v>
      </c>
      <c r="D1332">
        <v>8.7827059999999992</v>
      </c>
      <c r="E1332">
        <v>0.55447679999999999</v>
      </c>
      <c r="F1332" t="s">
        <v>38</v>
      </c>
      <c r="G1332">
        <v>-209.1696</v>
      </c>
      <c r="H1332">
        <v>0.99174209999999996</v>
      </c>
      <c r="I1332">
        <v>365.59890000000001</v>
      </c>
      <c r="J1332">
        <v>-209.714</v>
      </c>
      <c r="K1332">
        <v>1.1021080000000001</v>
      </c>
      <c r="L1332">
        <v>365.8793</v>
      </c>
      <c r="M1332">
        <v>0.95654789999999901</v>
      </c>
      <c r="N1332">
        <v>0</v>
      </c>
      <c r="O1332">
        <v>-0.29124060000000002</v>
      </c>
      <c r="P1332">
        <v>0.95140440000000004</v>
      </c>
      <c r="Q1332">
        <v>-2.7393069999999999E-3</v>
      </c>
      <c r="R1332">
        <v>-0.30793290000000001</v>
      </c>
      <c r="S1332">
        <v>2.730988</v>
      </c>
      <c r="T1332">
        <v>-0.44791140000000002</v>
      </c>
      <c r="U1332">
        <v>-1.304138</v>
      </c>
      <c r="V1332">
        <v>1.7532240000000001E-2</v>
      </c>
      <c r="W1332">
        <v>1.113374E-2</v>
      </c>
      <c r="X1332">
        <v>0.99978429999999996</v>
      </c>
      <c r="Y1332">
        <v>0.15080839999999901</v>
      </c>
      <c r="Z1332">
        <v>3.2179720000000002E-2</v>
      </c>
      <c r="AA1332">
        <v>0.98803909999999995</v>
      </c>
      <c r="AB1332">
        <v>25</v>
      </c>
      <c r="AC1332">
        <v>0.54440000000002398</v>
      </c>
      <c r="AD1332">
        <v>-0.1103659</v>
      </c>
      <c r="AE1332">
        <v>-0.28039999999998599</v>
      </c>
      <c r="AF1332">
        <v>0.10622493772890799</v>
      </c>
      <c r="AG1332">
        <v>-0.1103659</v>
      </c>
      <c r="AH1332">
        <v>0.58351356265397802</v>
      </c>
      <c r="AI1332">
        <v>100.541149595909</v>
      </c>
      <c r="AJ1332">
        <v>79.682649139365395</v>
      </c>
      <c r="AK1332">
        <v>0.60328471477359602</v>
      </c>
    </row>
    <row r="1333" spans="1:37" x14ac:dyDescent="0.2">
      <c r="A1333" t="str">
        <f>"20200111155817367"</f>
        <v>20200111155817367</v>
      </c>
      <c r="B1333" t="str">
        <f>"1578729497362538"</f>
        <v>1578729497362538</v>
      </c>
      <c r="C1333" t="s">
        <v>37</v>
      </c>
      <c r="D1333">
        <v>5.702388</v>
      </c>
      <c r="E1333">
        <v>0.55354729999999996</v>
      </c>
      <c r="F1333" t="s">
        <v>38</v>
      </c>
      <c r="G1333">
        <v>-208.96639999999999</v>
      </c>
      <c r="H1333">
        <v>0.97942569999999995</v>
      </c>
      <c r="I1333">
        <v>365.51780000000002</v>
      </c>
      <c r="J1333">
        <v>-209.57570000000001</v>
      </c>
      <c r="K1333">
        <v>1.1021080000000001</v>
      </c>
      <c r="L1333">
        <v>365.8349</v>
      </c>
      <c r="M1333">
        <v>0.95594869999999899</v>
      </c>
      <c r="N1333">
        <v>0</v>
      </c>
      <c r="O1333">
        <v>-0.2932012</v>
      </c>
      <c r="P1333">
        <v>0.9503741</v>
      </c>
      <c r="Q1333">
        <v>-2.2289290000000002E-3</v>
      </c>
      <c r="R1333">
        <v>-0.31110189999999999</v>
      </c>
      <c r="S1333">
        <v>2.7253720000000001</v>
      </c>
      <c r="T1333">
        <v>-0.44730760000000003</v>
      </c>
      <c r="U1333">
        <v>-1.3179019999999999</v>
      </c>
      <c r="V1333">
        <v>1.8816969999999999E-2</v>
      </c>
      <c r="W1333">
        <v>1.1635339999999999E-2</v>
      </c>
      <c r="X1333">
        <v>0.99975530000000001</v>
      </c>
      <c r="Y1333">
        <v>0.15361169999999999</v>
      </c>
      <c r="Z1333">
        <v>3.2221600000000003E-2</v>
      </c>
      <c r="AA1333">
        <v>0.98760579999999998</v>
      </c>
      <c r="AB1333">
        <v>25</v>
      </c>
      <c r="AC1333">
        <v>0.60930000000001805</v>
      </c>
      <c r="AD1333">
        <v>-0.12268229999999999</v>
      </c>
      <c r="AE1333">
        <v>-0.31709999999998201</v>
      </c>
      <c r="AF1333">
        <v>0.120647199887488</v>
      </c>
      <c r="AG1333">
        <v>-0.12268229999999999</v>
      </c>
      <c r="AH1333">
        <v>0.65461650874296196</v>
      </c>
      <c r="AI1333">
        <v>100.44281505357</v>
      </c>
      <c r="AJ1333">
        <v>79.5574499219004</v>
      </c>
      <c r="AK1333">
        <v>0.67685261844274902</v>
      </c>
    </row>
    <row r="1334" spans="1:37" x14ac:dyDescent="0.2">
      <c r="A1334" t="str">
        <f>"20200111155817391"</f>
        <v>20200111155817391</v>
      </c>
      <c r="B1334" t="str">
        <f>"1578729497382057"</f>
        <v>1578729497382057</v>
      </c>
      <c r="C1334" t="s">
        <v>37</v>
      </c>
      <c r="D1334">
        <v>5.7523819999999999</v>
      </c>
      <c r="E1334">
        <v>0.55380830000000003</v>
      </c>
      <c r="F1334" t="s">
        <v>38</v>
      </c>
      <c r="G1334">
        <v>-208.762</v>
      </c>
      <c r="H1334">
        <v>0.96785489999999996</v>
      </c>
      <c r="I1334">
        <v>365.44049999999999</v>
      </c>
      <c r="J1334">
        <v>-209.31200000000001</v>
      </c>
      <c r="K1334">
        <v>1.1021099999999999</v>
      </c>
      <c r="L1334">
        <v>365.74919999999997</v>
      </c>
      <c r="M1334">
        <v>0.95478799999999997</v>
      </c>
      <c r="N1334">
        <v>0</v>
      </c>
      <c r="O1334">
        <v>-0.29695919999999998</v>
      </c>
      <c r="P1334">
        <v>0.94845009999999996</v>
      </c>
      <c r="Q1334">
        <v>-1.8696239999999901E-3</v>
      </c>
      <c r="R1334">
        <v>-0.31692140000000002</v>
      </c>
      <c r="S1334">
        <v>2.723633</v>
      </c>
      <c r="T1334">
        <v>-0.44934979999999902</v>
      </c>
      <c r="U1334">
        <v>-1.3195190000000001</v>
      </c>
      <c r="V1334">
        <v>2.1014499999999998E-2</v>
      </c>
      <c r="W1334">
        <v>1.1977689999999999E-2</v>
      </c>
      <c r="X1334">
        <v>0.99970740000000002</v>
      </c>
      <c r="Y1334">
        <v>0.15052839999999901</v>
      </c>
      <c r="Z1334">
        <v>3.3164640000000002E-2</v>
      </c>
      <c r="AA1334">
        <v>0.98804930000000002</v>
      </c>
      <c r="AB1334">
        <v>25</v>
      </c>
      <c r="AC1334">
        <v>0.55000000000001104</v>
      </c>
      <c r="AD1334">
        <v>-0.13425509999999999</v>
      </c>
      <c r="AE1334">
        <v>-0.30869999999998698</v>
      </c>
      <c r="AF1334">
        <v>0.12573133319827401</v>
      </c>
      <c r="AG1334">
        <v>-0.13425509999999999</v>
      </c>
      <c r="AH1334">
        <v>0.59012582598103902</v>
      </c>
      <c r="AI1334">
        <v>102.544425575037</v>
      </c>
      <c r="AJ1334">
        <v>77.972486113763395</v>
      </c>
      <c r="AK1334">
        <v>0.61812724459744495</v>
      </c>
    </row>
    <row r="1335" spans="1:37" x14ac:dyDescent="0.2">
      <c r="A1335" t="str">
        <f>"20200111155817405"</f>
        <v>20200111155817405</v>
      </c>
      <c r="B1335" t="str">
        <f>"1578729497402554"</f>
        <v>1578729497402554</v>
      </c>
      <c r="C1335" t="s">
        <v>37</v>
      </c>
      <c r="D1335">
        <v>5.9066650000000003</v>
      </c>
      <c r="E1335">
        <v>0.55485759999999995</v>
      </c>
      <c r="F1335" t="s">
        <v>38</v>
      </c>
      <c r="G1335">
        <v>-208.54560000000001</v>
      </c>
      <c r="H1335">
        <v>0.97625209999999996</v>
      </c>
      <c r="I1335">
        <v>365.37119999999999</v>
      </c>
      <c r="J1335">
        <v>-209.16460000000001</v>
      </c>
      <c r="K1335">
        <v>1.1021030000000001</v>
      </c>
      <c r="L1335">
        <v>365.70089999999999</v>
      </c>
      <c r="M1335">
        <v>0.95413040000000005</v>
      </c>
      <c r="N1335">
        <v>0</v>
      </c>
      <c r="O1335">
        <v>-0.29906549999999998</v>
      </c>
      <c r="P1335">
        <v>0.94743379999999999</v>
      </c>
      <c r="Q1335">
        <v>-1.464218E-3</v>
      </c>
      <c r="R1335">
        <v>-0.31994899999999998</v>
      </c>
      <c r="S1335">
        <v>2.7149049999999999</v>
      </c>
      <c r="T1335">
        <v>-0.44577619999999901</v>
      </c>
      <c r="U1335">
        <v>-1.3385309999999999</v>
      </c>
      <c r="V1335">
        <v>2.2003470000000001E-2</v>
      </c>
      <c r="W1335">
        <v>1.237534E-2</v>
      </c>
      <c r="X1335">
        <v>0.99968129999999999</v>
      </c>
      <c r="Y1335">
        <v>0.15512479999999901</v>
      </c>
      <c r="Z1335">
        <v>3.288721E-2</v>
      </c>
      <c r="AA1335">
        <v>0.98734730000000004</v>
      </c>
      <c r="AB1335">
        <v>25</v>
      </c>
      <c r="AC1335">
        <v>0.618999999999999</v>
      </c>
      <c r="AD1335">
        <v>-0.12585089999999999</v>
      </c>
      <c r="AE1335">
        <v>-0.32970000000000199</v>
      </c>
      <c r="AF1335">
        <v>0.12542894386720699</v>
      </c>
      <c r="AG1335">
        <v>-0.12585089999999999</v>
      </c>
      <c r="AH1335">
        <v>0.66777291387017601</v>
      </c>
      <c r="AI1335">
        <v>100.49365544430199</v>
      </c>
      <c r="AJ1335">
        <v>79.361984427308201</v>
      </c>
      <c r="AK1335">
        <v>0.691007621874837</v>
      </c>
    </row>
    <row r="1336" spans="1:37" x14ac:dyDescent="0.2">
      <c r="A1336" t="str">
        <f>"20200111155817420"</f>
        <v>20200111155817420</v>
      </c>
      <c r="B1336" t="str">
        <f>"1578729497412314"</f>
        <v>1578729497412314</v>
      </c>
      <c r="C1336" t="s">
        <v>37</v>
      </c>
      <c r="D1336">
        <v>8.2621610000000008</v>
      </c>
      <c r="E1336">
        <v>0.55485759999999995</v>
      </c>
      <c r="F1336" t="s">
        <v>38</v>
      </c>
      <c r="G1336">
        <v>-208.34229999999999</v>
      </c>
      <c r="H1336">
        <v>0.96662320000000002</v>
      </c>
      <c r="I1336">
        <v>365.28910000000002</v>
      </c>
      <c r="J1336">
        <v>-209.00280000000001</v>
      </c>
      <c r="K1336">
        <v>1.1020920000000001</v>
      </c>
      <c r="L1336">
        <v>365.64729999999997</v>
      </c>
      <c r="M1336">
        <v>0.95339649999999998</v>
      </c>
      <c r="N1336">
        <v>0</v>
      </c>
      <c r="O1336">
        <v>-0.30139679999999902</v>
      </c>
      <c r="P1336">
        <v>0.94590469999999904</v>
      </c>
      <c r="Q1336">
        <v>-1.2893659999999999E-3</v>
      </c>
      <c r="R1336">
        <v>-0.32444190000000001</v>
      </c>
      <c r="S1336">
        <v>2.7081909999999998</v>
      </c>
      <c r="T1336">
        <v>-0.44603189999999998</v>
      </c>
      <c r="U1336">
        <v>-1.3549500000000001</v>
      </c>
      <c r="V1336">
        <v>2.4305980000000001E-2</v>
      </c>
      <c r="W1336">
        <v>1.2534109999999999E-2</v>
      </c>
      <c r="X1336">
        <v>0.99962600000000001</v>
      </c>
      <c r="Y1336">
        <v>0.15846930000000001</v>
      </c>
      <c r="Z1336">
        <v>3.3003669999999999E-2</v>
      </c>
      <c r="AA1336">
        <v>0.98681219999999903</v>
      </c>
      <c r="AB1336">
        <v>25</v>
      </c>
      <c r="AC1336">
        <v>0.66050000000001297</v>
      </c>
      <c r="AD1336">
        <v>-0.1354688</v>
      </c>
      <c r="AE1336">
        <v>-0.358199999999953</v>
      </c>
      <c r="AF1336">
        <v>0.13796330840788301</v>
      </c>
      <c r="AG1336">
        <v>-0.1354688</v>
      </c>
      <c r="AH1336">
        <v>0.71452440092329805</v>
      </c>
      <c r="AI1336">
        <v>100.545172665431</v>
      </c>
      <c r="AJ1336">
        <v>79.071580142746498</v>
      </c>
      <c r="AK1336">
        <v>0.74022347284795498</v>
      </c>
    </row>
    <row r="1337" spans="1:37" x14ac:dyDescent="0.2">
      <c r="A1337" t="str">
        <f>"20200111155817433"</f>
        <v>20200111155817433</v>
      </c>
      <c r="B1337" t="str">
        <f>"1578729497422073"</f>
        <v>1578729497422073</v>
      </c>
      <c r="C1337" t="s">
        <v>37</v>
      </c>
      <c r="D1337">
        <v>5.8241360000000002</v>
      </c>
      <c r="E1337">
        <v>0.59709489999999998</v>
      </c>
      <c r="F1337" t="s">
        <v>38</v>
      </c>
      <c r="G1337">
        <v>-208.32599999999999</v>
      </c>
      <c r="H1337">
        <v>0.99045849999999902</v>
      </c>
      <c r="I1337">
        <v>365.30419999999998</v>
      </c>
      <c r="J1337">
        <v>-208.8663</v>
      </c>
      <c r="K1337">
        <v>1.102079</v>
      </c>
      <c r="L1337">
        <v>365.60169999999999</v>
      </c>
      <c r="M1337">
        <v>0.95276870000000002</v>
      </c>
      <c r="N1337">
        <v>0</v>
      </c>
      <c r="O1337">
        <v>-0.30337579999999997</v>
      </c>
      <c r="P1337">
        <v>0.94489100000000004</v>
      </c>
      <c r="Q1337">
        <v>-1.30247E-3</v>
      </c>
      <c r="R1337">
        <v>-0.32738309999999998</v>
      </c>
      <c r="S1337">
        <v>2.7017820000000001</v>
      </c>
      <c r="T1337">
        <v>-0.44539049999999902</v>
      </c>
      <c r="U1337">
        <v>-1.36792</v>
      </c>
      <c r="V1337">
        <v>2.5340350000000001E-2</v>
      </c>
      <c r="W1337">
        <v>1.251266E-2</v>
      </c>
      <c r="X1337">
        <v>0.99960059999999995</v>
      </c>
      <c r="Y1337">
        <v>0.1611223</v>
      </c>
      <c r="Z1337">
        <v>3.306369E-2</v>
      </c>
      <c r="AA1337">
        <v>0.98638049999999999</v>
      </c>
      <c r="AB1337">
        <v>25</v>
      </c>
      <c r="AC1337">
        <v>0.540300000000002</v>
      </c>
      <c r="AD1337">
        <v>-0.1116205</v>
      </c>
      <c r="AE1337">
        <v>-0.29750000000001298</v>
      </c>
      <c r="AF1337">
        <v>0.11575539352933099</v>
      </c>
      <c r="AG1337">
        <v>-0.1116205</v>
      </c>
      <c r="AH1337">
        <v>0.58590572906421801</v>
      </c>
      <c r="AI1337">
        <v>100.586259240117</v>
      </c>
      <c r="AJ1337">
        <v>78.824192025070502</v>
      </c>
      <c r="AK1337">
        <v>0.60757219365409898</v>
      </c>
    </row>
    <row r="1338" spans="1:37" x14ac:dyDescent="0.2">
      <c r="A1338" t="str">
        <f>"20200111155817447"</f>
        <v>20200111155817447</v>
      </c>
      <c r="B1338" t="str">
        <f>"1578729497442570"</f>
        <v>1578729497442570</v>
      </c>
      <c r="C1338" t="s">
        <v>37</v>
      </c>
      <c r="D1338">
        <v>8.2126669999999997</v>
      </c>
      <c r="E1338">
        <v>0.59390120000000002</v>
      </c>
      <c r="F1338" t="s">
        <v>44</v>
      </c>
      <c r="G1338">
        <v>-190.315</v>
      </c>
      <c r="H1338" s="1">
        <v>-2.292128E-6</v>
      </c>
      <c r="I1338">
        <v>353.33350000000002</v>
      </c>
      <c r="J1338">
        <v>-208.73269999999999</v>
      </c>
      <c r="K1338">
        <v>1.1020669999999999</v>
      </c>
      <c r="L1338">
        <v>365.55689999999998</v>
      </c>
      <c r="M1338">
        <v>0.95214719999999997</v>
      </c>
      <c r="N1338">
        <v>0</v>
      </c>
      <c r="O1338">
        <v>-0.3053208</v>
      </c>
      <c r="P1338">
        <v>0.94382500000000003</v>
      </c>
      <c r="Q1338">
        <v>-1.160031E-3</v>
      </c>
      <c r="R1338">
        <v>-0.3304434</v>
      </c>
      <c r="S1338">
        <v>2.5829469999999999</v>
      </c>
      <c r="T1338">
        <v>-0.1534452</v>
      </c>
      <c r="U1338">
        <v>-1.7081299999999999</v>
      </c>
      <c r="V1338">
        <v>2.6539879999999998E-2</v>
      </c>
      <c r="W1338">
        <v>1.264616E-2</v>
      </c>
      <c r="X1338">
        <v>0.99956769999999995</v>
      </c>
      <c r="Y1338">
        <v>0.27059549999999999</v>
      </c>
      <c r="Z1338">
        <v>8.619547E-3</v>
      </c>
      <c r="AA1338">
        <v>0.96265449999999997</v>
      </c>
      <c r="AB1338">
        <v>25</v>
      </c>
      <c r="AC1338">
        <v>18.4177</v>
      </c>
      <c r="AD1338">
        <v>-1.102069292128</v>
      </c>
      <c r="AE1338">
        <v>-12.2233999999999</v>
      </c>
      <c r="AF1338">
        <v>6.0008393907022803</v>
      </c>
      <c r="AG1338">
        <v>-1.102069292128</v>
      </c>
      <c r="AH1338">
        <v>21.217752497637399</v>
      </c>
      <c r="AI1338">
        <v>92.861287097711298</v>
      </c>
      <c r="AJ1338">
        <v>74.207949306951207</v>
      </c>
      <c r="AK1338">
        <v>22.077537253250199</v>
      </c>
    </row>
    <row r="1339" spans="1:37" x14ac:dyDescent="0.2">
      <c r="A1339" t="str">
        <f>"20200111155817459"</f>
        <v>20200111155817459</v>
      </c>
      <c r="B1339" t="str">
        <f>"1578729497452330"</f>
        <v>1578729497452330</v>
      </c>
      <c r="C1339" t="s">
        <v>37</v>
      </c>
      <c r="D1339">
        <v>8.0165779999999902</v>
      </c>
      <c r="E1339">
        <v>0.59351909999999997</v>
      </c>
      <c r="F1339" t="s">
        <v>44</v>
      </c>
      <c r="G1339">
        <v>-192.8115</v>
      </c>
      <c r="H1339" s="1">
        <v>-3.8365649999999999E-6</v>
      </c>
      <c r="I1339">
        <v>355.14780000000002</v>
      </c>
      <c r="J1339">
        <v>-208.59209999999999</v>
      </c>
      <c r="K1339">
        <v>1.102047</v>
      </c>
      <c r="L1339">
        <v>365.50920000000002</v>
      </c>
      <c r="M1339">
        <v>0.95147899999999996</v>
      </c>
      <c r="N1339">
        <v>0</v>
      </c>
      <c r="O1339">
        <v>-0.30739689999999997</v>
      </c>
      <c r="P1339">
        <v>0.9427238</v>
      </c>
      <c r="Q1339">
        <v>-1.485543E-3</v>
      </c>
      <c r="R1339">
        <v>-0.33357129999999902</v>
      </c>
      <c r="S1339">
        <v>2.5863040000000002</v>
      </c>
      <c r="T1339">
        <v>-0.17902419999999999</v>
      </c>
      <c r="U1339">
        <v>-1.69088699999999</v>
      </c>
      <c r="V1339">
        <v>2.7672740000000001E-2</v>
      </c>
      <c r="W1339">
        <v>1.231145E-2</v>
      </c>
      <c r="X1339">
        <v>0.99954120000000002</v>
      </c>
      <c r="Y1339">
        <v>0.26345659999999999</v>
      </c>
      <c r="Z1339">
        <v>1.040894E-2</v>
      </c>
      <c r="AA1339">
        <v>0.96461509999999995</v>
      </c>
      <c r="AB1339">
        <v>25</v>
      </c>
      <c r="AC1339">
        <v>15.7805999999999</v>
      </c>
      <c r="AD1339">
        <v>-1.1020508365649999</v>
      </c>
      <c r="AE1339">
        <v>-10.3614</v>
      </c>
      <c r="AF1339">
        <v>4.99122552789611</v>
      </c>
      <c r="AG1339">
        <v>-1.1020508365649999</v>
      </c>
      <c r="AH1339">
        <v>18.139926750286801</v>
      </c>
      <c r="AI1339">
        <v>93.352320303474301</v>
      </c>
      <c r="AJ1339">
        <v>74.615686469012502</v>
      </c>
      <c r="AK1339">
        <v>18.846320352325201</v>
      </c>
    </row>
    <row r="1340" spans="1:37" x14ac:dyDescent="0.2">
      <c r="A1340" t="str">
        <f>"20200111155817471"</f>
        <v>20200111155817471</v>
      </c>
      <c r="B1340" t="str">
        <f>"1578729497462090"</f>
        <v>1578729497462090</v>
      </c>
      <c r="C1340" t="s">
        <v>37</v>
      </c>
      <c r="D1340">
        <v>5.8819679999999996</v>
      </c>
      <c r="E1340">
        <v>0.59310779999999996</v>
      </c>
      <c r="F1340" t="s">
        <v>44</v>
      </c>
      <c r="G1340">
        <v>-191.7603</v>
      </c>
      <c r="H1340" s="1">
        <v>-3.27011199999999E-6</v>
      </c>
      <c r="I1340">
        <v>354.44459999999998</v>
      </c>
      <c r="J1340">
        <v>-208.46770000000001</v>
      </c>
      <c r="K1340">
        <v>1.102026</v>
      </c>
      <c r="L1340">
        <v>365.46679999999998</v>
      </c>
      <c r="M1340">
        <v>0.95087809999999995</v>
      </c>
      <c r="N1340">
        <v>0</v>
      </c>
      <c r="O1340">
        <v>-0.30924990000000002</v>
      </c>
      <c r="P1340">
        <v>0.94159020000000004</v>
      </c>
      <c r="Q1340">
        <v>-1.844807E-3</v>
      </c>
      <c r="R1340">
        <v>-0.336756099999999</v>
      </c>
      <c r="S1340">
        <v>2.5815429999999999</v>
      </c>
      <c r="T1340">
        <v>-0.16902490000000001</v>
      </c>
      <c r="U1340">
        <v>-1.6970209999999999</v>
      </c>
      <c r="V1340">
        <v>2.910273E-2</v>
      </c>
      <c r="W1340">
        <v>1.1941449999999999E-2</v>
      </c>
      <c r="X1340">
        <v>0.99950509999999904</v>
      </c>
      <c r="Y1340">
        <v>0.26398919999999998</v>
      </c>
      <c r="Z1340">
        <v>9.9215799999999993E-3</v>
      </c>
      <c r="AA1340">
        <v>0.96447459999999996</v>
      </c>
      <c r="AB1340">
        <v>25</v>
      </c>
      <c r="AC1340">
        <v>16.7074</v>
      </c>
      <c r="AD1340">
        <v>-1.102029270112</v>
      </c>
      <c r="AE1340">
        <v>-11.0221999999999</v>
      </c>
      <c r="AF1340">
        <v>5.2984640020782798</v>
      </c>
      <c r="AG1340">
        <v>-1.102029270112</v>
      </c>
      <c r="AH1340">
        <v>19.238878606522501</v>
      </c>
      <c r="AI1340">
        <v>93.160965474637507</v>
      </c>
      <c r="AJ1340">
        <v>74.602231269779594</v>
      </c>
      <c r="AK1340">
        <v>19.985560770966899</v>
      </c>
    </row>
    <row r="1341" spans="1:37" x14ac:dyDescent="0.2">
      <c r="A1341" t="str">
        <f>"20200111155817485"</f>
        <v>20200111155817485</v>
      </c>
      <c r="B1341" t="str">
        <f>"1578729497482585"</f>
        <v>1578729497482585</v>
      </c>
      <c r="C1341" t="s">
        <v>37</v>
      </c>
      <c r="D1341">
        <v>8.4456520000000008</v>
      </c>
      <c r="E1341">
        <v>0.59210969999999996</v>
      </c>
      <c r="F1341" t="s">
        <v>44</v>
      </c>
      <c r="G1341">
        <v>-191.78380000000001</v>
      </c>
      <c r="H1341" s="1">
        <v>-3.2742599999999999E-6</v>
      </c>
      <c r="I1341">
        <v>354.4425</v>
      </c>
      <c r="J1341">
        <v>-208.32159999999999</v>
      </c>
      <c r="K1341">
        <v>1.101998</v>
      </c>
      <c r="L1341">
        <v>365.41669999999999</v>
      </c>
      <c r="M1341">
        <v>0.95016160000000005</v>
      </c>
      <c r="N1341">
        <v>0</v>
      </c>
      <c r="O1341">
        <v>-0.31144499999999897</v>
      </c>
      <c r="P1341">
        <v>0.94030119999999895</v>
      </c>
      <c r="Q1341">
        <v>-2.9586980000000001E-3</v>
      </c>
      <c r="R1341">
        <v>-0.3403313</v>
      </c>
      <c r="S1341">
        <v>2.576813</v>
      </c>
      <c r="T1341">
        <v>-0.17020729999999901</v>
      </c>
      <c r="U1341">
        <v>-1.702698</v>
      </c>
      <c r="V1341">
        <v>3.0587E-2</v>
      </c>
      <c r="W1341">
        <v>1.081619E-2</v>
      </c>
      <c r="X1341">
        <v>0.99947359999999896</v>
      </c>
      <c r="Y1341">
        <v>0.26405809999999902</v>
      </c>
      <c r="Z1341">
        <v>1.01178E-2</v>
      </c>
      <c r="AA1341">
        <v>0.96445369999999997</v>
      </c>
      <c r="AB1341">
        <v>25</v>
      </c>
      <c r="AC1341">
        <v>16.537799999999901</v>
      </c>
      <c r="AD1341">
        <v>-1.1020012742600001</v>
      </c>
      <c r="AE1341">
        <v>-10.9741999999999</v>
      </c>
      <c r="AF1341">
        <v>5.2609443619758203</v>
      </c>
      <c r="AG1341">
        <v>-1.1020012742600001</v>
      </c>
      <c r="AH1341">
        <v>19.0745047263662</v>
      </c>
      <c r="AI1341">
        <v>93.187737131594901</v>
      </c>
      <c r="AJ1341">
        <v>74.580596521384905</v>
      </c>
      <c r="AK1341">
        <v>19.817383100309801</v>
      </c>
    </row>
    <row r="1342" spans="1:37" x14ac:dyDescent="0.2">
      <c r="A1342" t="str">
        <f>"20200111155817498"</f>
        <v>20200111155817498</v>
      </c>
      <c r="B1342" t="str">
        <f>"1578729497492346"</f>
        <v>1578729497492346</v>
      </c>
      <c r="C1342" t="s">
        <v>37</v>
      </c>
      <c r="D1342">
        <v>5.889805</v>
      </c>
      <c r="E1342">
        <v>0.59175149999999999</v>
      </c>
      <c r="F1342" t="s">
        <v>44</v>
      </c>
      <c r="G1342">
        <v>-193.20310000000001</v>
      </c>
      <c r="H1342" s="1">
        <v>-4.0421519999999902E-6</v>
      </c>
      <c r="I1342">
        <v>355.40269999999998</v>
      </c>
      <c r="J1342">
        <v>-208.178</v>
      </c>
      <c r="K1342">
        <v>1.101955</v>
      </c>
      <c r="L1342">
        <v>365.36689999999999</v>
      </c>
      <c r="M1342">
        <v>0.9494359</v>
      </c>
      <c r="N1342">
        <v>0</v>
      </c>
      <c r="O1342">
        <v>-0.3136504</v>
      </c>
      <c r="P1342">
        <v>0.93841049999999904</v>
      </c>
      <c r="Q1342">
        <v>-5.355828E-3</v>
      </c>
      <c r="R1342">
        <v>-0.3454817</v>
      </c>
      <c r="S1342">
        <v>2.573013</v>
      </c>
      <c r="T1342">
        <v>-0.18754979999999999</v>
      </c>
      <c r="U1342">
        <v>-1.7042849999999901</v>
      </c>
      <c r="V1342">
        <v>3.3735689999999999E-2</v>
      </c>
      <c r="W1342">
        <v>8.395876E-3</v>
      </c>
      <c r="X1342">
        <v>0.99939549999999999</v>
      </c>
      <c r="Y1342">
        <v>0.26290439999999998</v>
      </c>
      <c r="Z1342">
        <v>1.13298999999999E-2</v>
      </c>
      <c r="AA1342">
        <v>0.96475540000000004</v>
      </c>
      <c r="AB1342">
        <v>25</v>
      </c>
      <c r="AC1342">
        <v>14.9748999999999</v>
      </c>
      <c r="AD1342">
        <v>-1.101959042152</v>
      </c>
      <c r="AE1342">
        <v>-9.9641999999999999</v>
      </c>
      <c r="AF1342">
        <v>4.7461364460007998</v>
      </c>
      <c r="AG1342">
        <v>-1.101959042152</v>
      </c>
      <c r="AH1342">
        <v>17.2798170691695</v>
      </c>
      <c r="AI1342">
        <v>93.518919233717597</v>
      </c>
      <c r="AJ1342">
        <v>74.641670434450603</v>
      </c>
      <c r="AK1342">
        <v>17.9536125289202</v>
      </c>
    </row>
    <row r="1343" spans="1:37" x14ac:dyDescent="0.2">
      <c r="A1343" t="str">
        <f>"20200111155817509"</f>
        <v>20200111155817509</v>
      </c>
      <c r="B1343" t="str">
        <f>"1578729497502106"</f>
        <v>1578729497502106</v>
      </c>
      <c r="C1343" t="s">
        <v>37</v>
      </c>
      <c r="D1343">
        <v>5.863626</v>
      </c>
      <c r="E1343">
        <v>0.59126630000000002</v>
      </c>
      <c r="F1343" t="s">
        <v>44</v>
      </c>
      <c r="G1343">
        <v>-193.98490000000001</v>
      </c>
      <c r="H1343" s="1">
        <v>-4.4358909999999997E-6</v>
      </c>
      <c r="I1343">
        <v>355.87580000000003</v>
      </c>
      <c r="J1343">
        <v>-208.05869999999999</v>
      </c>
      <c r="K1343">
        <v>1.10192</v>
      </c>
      <c r="L1343">
        <v>365.3252</v>
      </c>
      <c r="M1343">
        <v>0.94882199999999906</v>
      </c>
      <c r="N1343">
        <v>0</v>
      </c>
      <c r="O1343">
        <v>-0.31550229999999901</v>
      </c>
      <c r="P1343">
        <v>0.93722179999999999</v>
      </c>
      <c r="Q1343">
        <v>-6.3690300000000004E-3</v>
      </c>
      <c r="R1343">
        <v>-0.34867599999999999</v>
      </c>
      <c r="S1343">
        <v>2.5644529999999999</v>
      </c>
      <c r="T1343">
        <v>-0.19910610000000001</v>
      </c>
      <c r="U1343">
        <v>-1.714874</v>
      </c>
      <c r="V1343">
        <v>3.5186179999999997E-2</v>
      </c>
      <c r="W1343">
        <v>7.3707069999999998E-3</v>
      </c>
      <c r="X1343">
        <v>0.99935359999999995</v>
      </c>
      <c r="Y1343">
        <v>0.26526869999999902</v>
      </c>
      <c r="Z1343">
        <v>1.207973E-2</v>
      </c>
      <c r="AA1343">
        <v>0.96409889999999998</v>
      </c>
      <c r="AB1343">
        <v>25</v>
      </c>
      <c r="AC1343">
        <v>14.073799999999901</v>
      </c>
      <c r="AD1343">
        <v>-1.1019244358910001</v>
      </c>
      <c r="AE1343">
        <v>-9.4493999999999598</v>
      </c>
      <c r="AF1343">
        <v>4.5068802987318097</v>
      </c>
      <c r="AG1343">
        <v>-1.1019244358910001</v>
      </c>
      <c r="AH1343">
        <v>16.267693987711802</v>
      </c>
      <c r="AI1343">
        <v>93.734861477880003</v>
      </c>
      <c r="AJ1343">
        <v>74.514883665768096</v>
      </c>
      <c r="AK1343">
        <v>16.916384813764001</v>
      </c>
    </row>
    <row r="1344" spans="1:37" x14ac:dyDescent="0.2">
      <c r="A1344" t="str">
        <f>"20200111155817522"</f>
        <v>20200111155817522</v>
      </c>
      <c r="B1344" t="str">
        <f>"1578729497511866"</f>
        <v>1578729497511866</v>
      </c>
      <c r="C1344" t="s">
        <v>37</v>
      </c>
      <c r="D1344">
        <v>5.8710820000000004</v>
      </c>
      <c r="E1344">
        <v>0.59126990000000001</v>
      </c>
      <c r="F1344" t="s">
        <v>44</v>
      </c>
      <c r="G1344">
        <v>-194.23650000000001</v>
      </c>
      <c r="H1344" s="1">
        <v>-4.5663379999999996E-6</v>
      </c>
      <c r="I1344">
        <v>356.03609999999998</v>
      </c>
      <c r="J1344">
        <v>-207.92830000000001</v>
      </c>
      <c r="K1344">
        <v>1.1018809999999899</v>
      </c>
      <c r="L1344">
        <v>365.27940000000001</v>
      </c>
      <c r="M1344">
        <v>0.94813749999999997</v>
      </c>
      <c r="N1344">
        <v>0</v>
      </c>
      <c r="O1344">
        <v>-0.31755339999999999</v>
      </c>
      <c r="P1344">
        <v>0.93588259999999901</v>
      </c>
      <c r="Q1344">
        <v>-7.0518550000000001E-3</v>
      </c>
      <c r="R1344">
        <v>-0.3522419</v>
      </c>
      <c r="S1344">
        <v>2.5596009999999998</v>
      </c>
      <c r="T1344">
        <v>-0.2040544</v>
      </c>
      <c r="U1344">
        <v>-1.720154</v>
      </c>
      <c r="V1344">
        <v>3.6827579999999999E-2</v>
      </c>
      <c r="W1344">
        <v>6.6745419999999899E-3</v>
      </c>
      <c r="X1344">
        <v>0.9992993</v>
      </c>
      <c r="Y1344">
        <v>0.2654069</v>
      </c>
      <c r="Z1344">
        <v>1.2520689999999999E-2</v>
      </c>
      <c r="AA1344">
        <v>0.9640552</v>
      </c>
      <c r="AB1344">
        <v>25</v>
      </c>
      <c r="AC1344">
        <v>13.691800000000001</v>
      </c>
      <c r="AD1344">
        <v>-1.1018855663379901</v>
      </c>
      <c r="AE1344">
        <v>-9.2433000000000298</v>
      </c>
      <c r="AF1344">
        <v>4.39691071429717</v>
      </c>
      <c r="AG1344">
        <v>-1.1018855663379901</v>
      </c>
      <c r="AH1344">
        <v>15.847995595979301</v>
      </c>
      <c r="AI1344">
        <v>93.832953417423894</v>
      </c>
      <c r="AJ1344">
        <v>74.493713742463797</v>
      </c>
      <c r="AK1344">
        <v>16.483505089664099</v>
      </c>
    </row>
    <row r="1345" spans="1:37" x14ac:dyDescent="0.2">
      <c r="A1345" t="str">
        <f>"20200111155817536"</f>
        <v>20200111155817536</v>
      </c>
      <c r="B1345" t="str">
        <f>"1578729497532362"</f>
        <v>1578729497532362</v>
      </c>
      <c r="C1345" t="s">
        <v>37</v>
      </c>
      <c r="D1345">
        <v>5.8298370000000004</v>
      </c>
      <c r="E1345">
        <v>0.58184460000000005</v>
      </c>
      <c r="F1345" t="s">
        <v>44</v>
      </c>
      <c r="G1345">
        <v>-194.33</v>
      </c>
      <c r="H1345" s="1">
        <v>-4.601734E-6</v>
      </c>
      <c r="I1345">
        <v>356.06760000000003</v>
      </c>
      <c r="J1345">
        <v>-207.79470000000001</v>
      </c>
      <c r="K1345">
        <v>1.1018349999999999</v>
      </c>
      <c r="L1345">
        <v>365.231999999999</v>
      </c>
      <c r="M1345">
        <v>0.94741359999999997</v>
      </c>
      <c r="N1345">
        <v>0</v>
      </c>
      <c r="O1345">
        <v>-0.31970679999999901</v>
      </c>
      <c r="P1345">
        <v>0.9344517</v>
      </c>
      <c r="Q1345">
        <v>-7.7630019999999997E-3</v>
      </c>
      <c r="R1345">
        <v>-0.35600599999999999</v>
      </c>
      <c r="S1345">
        <v>2.5530550000000001</v>
      </c>
      <c r="T1345">
        <v>-0.20687620000000001</v>
      </c>
      <c r="U1345">
        <v>-1.72949199999999</v>
      </c>
      <c r="V1345">
        <v>3.8577109999999998E-2</v>
      </c>
      <c r="W1345">
        <v>5.9483339999999996E-3</v>
      </c>
      <c r="X1345">
        <v>0.99923790000000001</v>
      </c>
      <c r="Y1345">
        <v>0.26678469999999999</v>
      </c>
      <c r="Z1345">
        <v>1.279887E-2</v>
      </c>
      <c r="AA1345">
        <v>0.963671099999999</v>
      </c>
      <c r="AB1345">
        <v>25</v>
      </c>
      <c r="AC1345">
        <v>13.464699999999899</v>
      </c>
      <c r="AD1345">
        <v>-1.101839601734</v>
      </c>
      <c r="AE1345">
        <v>-9.1643999999999401</v>
      </c>
      <c r="AF1345">
        <v>4.3582030759190697</v>
      </c>
      <c r="AG1345">
        <v>-1.101839601734</v>
      </c>
      <c r="AH1345">
        <v>15.616622721975199</v>
      </c>
      <c r="AI1345">
        <v>93.8877730514414</v>
      </c>
      <c r="AJ1345">
        <v>74.4069310364725</v>
      </c>
      <c r="AK1345">
        <v>16.250750438038601</v>
      </c>
    </row>
    <row r="1346" spans="1:37" x14ac:dyDescent="0.2">
      <c r="A1346" t="str">
        <f>"20200111155817550"</f>
        <v>20200111155817550</v>
      </c>
      <c r="B1346" t="str">
        <f>"1578729497542121"</f>
        <v>1578729497542121</v>
      </c>
      <c r="C1346" t="s">
        <v>37</v>
      </c>
      <c r="D1346">
        <v>5.9559530000000001</v>
      </c>
      <c r="E1346">
        <v>0.58221880000000004</v>
      </c>
      <c r="F1346" t="s">
        <v>38</v>
      </c>
      <c r="G1346">
        <v>-207.08920000000001</v>
      </c>
      <c r="H1346">
        <v>0.99452039999999997</v>
      </c>
      <c r="I1346">
        <v>364.77679999999998</v>
      </c>
      <c r="J1346">
        <v>-207.63720000000001</v>
      </c>
      <c r="K1346">
        <v>1.101774</v>
      </c>
      <c r="L1346">
        <v>365.17579999999998</v>
      </c>
      <c r="M1346">
        <v>0.94653699999999996</v>
      </c>
      <c r="N1346">
        <v>0</v>
      </c>
      <c r="O1346">
        <v>-0.32229239999999998</v>
      </c>
      <c r="P1346">
        <v>0.93279729999999905</v>
      </c>
      <c r="Q1346">
        <v>-8.1521609999999998E-3</v>
      </c>
      <c r="R1346">
        <v>-0.36030909999999999</v>
      </c>
      <c r="S1346">
        <v>2.5747070000000001</v>
      </c>
      <c r="T1346">
        <v>-0.39149980000000001</v>
      </c>
      <c r="U1346">
        <v>-1.660156</v>
      </c>
      <c r="V1346">
        <v>4.0453709999999997E-2</v>
      </c>
      <c r="W1346">
        <v>5.5420759999999999E-3</v>
      </c>
      <c r="X1346">
        <v>0.99916609999999995</v>
      </c>
      <c r="Y1346">
        <v>0.24263950000000001</v>
      </c>
      <c r="Z1346">
        <v>2.6174619999999999E-2</v>
      </c>
      <c r="AA1346">
        <v>0.96976329999999999</v>
      </c>
      <c r="AB1346">
        <v>25</v>
      </c>
      <c r="AC1346">
        <v>0.54800000000000104</v>
      </c>
      <c r="AD1346">
        <v>-0.1072536</v>
      </c>
      <c r="AE1346">
        <v>-0.39900000000000002</v>
      </c>
      <c r="AF1346">
        <v>0.196160935270766</v>
      </c>
      <c r="AG1346">
        <v>-0.1072536</v>
      </c>
      <c r="AH1346">
        <v>0.63154982938443505</v>
      </c>
      <c r="AI1346">
        <v>99.212185255233095</v>
      </c>
      <c r="AJ1346">
        <v>72.745076761007397</v>
      </c>
      <c r="AK1346">
        <v>0.66995345676753604</v>
      </c>
    </row>
    <row r="1347" spans="1:37" x14ac:dyDescent="0.2">
      <c r="A1347" t="str">
        <f>"20200111155817567"</f>
        <v>20200111155817567</v>
      </c>
      <c r="B1347" t="str">
        <f>"1578729497562618"</f>
        <v>1578729497562618</v>
      </c>
      <c r="C1347" t="s">
        <v>37</v>
      </c>
      <c r="D1347">
        <v>5.8235799999999998</v>
      </c>
      <c r="E1347">
        <v>0.58104709999999904</v>
      </c>
      <c r="F1347" t="s">
        <v>44</v>
      </c>
      <c r="G1347">
        <v>-200.38319999999999</v>
      </c>
      <c r="H1347" s="1">
        <v>-2.6626539999999999E-6</v>
      </c>
      <c r="I1347">
        <v>360.44130000000001</v>
      </c>
      <c r="J1347">
        <v>-207.47069999999999</v>
      </c>
      <c r="K1347">
        <v>1.101696</v>
      </c>
      <c r="L1347">
        <v>365.11559999999997</v>
      </c>
      <c r="M1347">
        <v>0.94557729999999995</v>
      </c>
      <c r="N1347">
        <v>0</v>
      </c>
      <c r="O1347">
        <v>-0.3250979</v>
      </c>
      <c r="P1347">
        <v>0.93024580000000001</v>
      </c>
      <c r="Q1347">
        <v>-8.1353129999999999E-3</v>
      </c>
      <c r="R1347">
        <v>-0.36684689999999998</v>
      </c>
      <c r="S1347">
        <v>2.5658720000000002</v>
      </c>
      <c r="T1347">
        <v>-0.38971719999999999</v>
      </c>
      <c r="U1347">
        <v>-1.674652</v>
      </c>
      <c r="V1347">
        <v>4.4503979999999999E-2</v>
      </c>
      <c r="W1347">
        <v>5.5249089999999997E-3</v>
      </c>
      <c r="X1347">
        <v>0.99899389999999999</v>
      </c>
      <c r="Y1347">
        <v>0.24513019999999999</v>
      </c>
      <c r="Z1347">
        <v>2.626641E-2</v>
      </c>
      <c r="AA1347">
        <v>0.9691343</v>
      </c>
      <c r="AB1347">
        <v>25</v>
      </c>
      <c r="AC1347">
        <v>7.0875000000000004</v>
      </c>
      <c r="AD1347">
        <v>-1.101698662654</v>
      </c>
      <c r="AE1347">
        <v>-4.6742999999999597</v>
      </c>
      <c r="AF1347">
        <v>2.0809470615588399</v>
      </c>
      <c r="AG1347">
        <v>-1.101698662654</v>
      </c>
      <c r="AH1347">
        <v>8.0860299470021797</v>
      </c>
      <c r="AI1347">
        <v>97.516630332799906</v>
      </c>
      <c r="AJ1347">
        <v>75.568046901187401</v>
      </c>
      <c r="AK1347">
        <v>8.4218739553688504</v>
      </c>
    </row>
    <row r="1348" spans="1:37" x14ac:dyDescent="0.2">
      <c r="A1348" t="str">
        <f>"20200111155817581"</f>
        <v>20200111155817581</v>
      </c>
      <c r="B1348" t="str">
        <f>"1578729497572378"</f>
        <v>1578729497572378</v>
      </c>
      <c r="C1348" t="s">
        <v>37</v>
      </c>
      <c r="D1348">
        <v>5.8123129999999996</v>
      </c>
      <c r="E1348">
        <v>0.58069320000000002</v>
      </c>
      <c r="F1348" t="s">
        <v>44</v>
      </c>
      <c r="G1348">
        <v>-200.17779999999999</v>
      </c>
      <c r="H1348" s="1">
        <v>-2.5747320000000001E-6</v>
      </c>
      <c r="I1348">
        <v>360.31479999999999</v>
      </c>
      <c r="J1348">
        <v>-207.3152</v>
      </c>
      <c r="K1348">
        <v>1.1016189999999999</v>
      </c>
      <c r="L1348">
        <v>365.05880000000002</v>
      </c>
      <c r="M1348">
        <v>0.94464249999999905</v>
      </c>
      <c r="N1348">
        <v>0</v>
      </c>
      <c r="O1348">
        <v>-0.32780379999999998</v>
      </c>
      <c r="P1348">
        <v>0.92837459999999905</v>
      </c>
      <c r="Q1348">
        <v>-8.1652549999999997E-3</v>
      </c>
      <c r="R1348">
        <v>-0.3715562</v>
      </c>
      <c r="S1348">
        <v>2.5576020000000002</v>
      </c>
      <c r="T1348">
        <v>-0.38636379999999998</v>
      </c>
      <c r="U1348">
        <v>-1.683624</v>
      </c>
      <c r="V1348">
        <v>4.67068E-2</v>
      </c>
      <c r="W1348">
        <v>5.4743650000000001E-3</v>
      </c>
      <c r="X1348">
        <v>0.99889359999999905</v>
      </c>
      <c r="Y1348">
        <v>0.2461663</v>
      </c>
      <c r="Z1348">
        <v>2.6349190000000001E-2</v>
      </c>
      <c r="AA1348">
        <v>0.96886939999999999</v>
      </c>
      <c r="AB1348">
        <v>25</v>
      </c>
      <c r="AC1348">
        <v>7.1374000000000102</v>
      </c>
      <c r="AD1348">
        <v>-1.101621574732</v>
      </c>
      <c r="AE1348">
        <v>-4.7440000000000202</v>
      </c>
      <c r="AF1348">
        <v>2.1071107940610698</v>
      </c>
      <c r="AG1348">
        <v>-1.101621574732</v>
      </c>
      <c r="AH1348">
        <v>8.1633213314590005</v>
      </c>
      <c r="AI1348">
        <v>97.444382024857902</v>
      </c>
      <c r="AJ1348">
        <v>75.526763001723793</v>
      </c>
      <c r="AK1348">
        <v>8.5025467451239205</v>
      </c>
    </row>
    <row r="1349" spans="1:37" x14ac:dyDescent="0.2">
      <c r="A1349" t="str">
        <f>"20200111155817594"</f>
        <v>20200111155817594</v>
      </c>
      <c r="B1349" t="str">
        <f>"1578729497582138"</f>
        <v>1578729497582138</v>
      </c>
      <c r="C1349" t="s">
        <v>37</v>
      </c>
      <c r="D1349">
        <v>5.8167559999999998</v>
      </c>
      <c r="E1349">
        <v>0.58026469999999997</v>
      </c>
      <c r="F1349" t="s">
        <v>38</v>
      </c>
      <c r="G1349">
        <v>-206.66890000000001</v>
      </c>
      <c r="H1349">
        <v>1.003824</v>
      </c>
      <c r="I1349">
        <v>364.62950000000001</v>
      </c>
      <c r="J1349">
        <v>-207.18010000000001</v>
      </c>
      <c r="K1349">
        <v>1.1015489999999999</v>
      </c>
      <c r="L1349">
        <v>365.00900000000001</v>
      </c>
      <c r="M1349">
        <v>0.94380119999999901</v>
      </c>
      <c r="N1349">
        <v>0</v>
      </c>
      <c r="O1349">
        <v>-0.33021790000000001</v>
      </c>
      <c r="P1349">
        <v>0.92661360000000004</v>
      </c>
      <c r="Q1349">
        <v>-8.1840030000000005E-3</v>
      </c>
      <c r="R1349">
        <v>-0.37592550000000002</v>
      </c>
      <c r="S1349">
        <v>2.5502470000000002</v>
      </c>
      <c r="T1349">
        <v>-0.38577909999999999</v>
      </c>
      <c r="U1349">
        <v>-1.6936340000000001</v>
      </c>
      <c r="V1349">
        <v>4.8859130000000001E-2</v>
      </c>
      <c r="W1349">
        <v>5.4347880000000003E-3</v>
      </c>
      <c r="X1349">
        <v>0.99879089999999904</v>
      </c>
      <c r="Y1349">
        <v>0.24761910000000001</v>
      </c>
      <c r="Z1349">
        <v>2.6540669999999999E-2</v>
      </c>
      <c r="AA1349">
        <v>0.96849390000000002</v>
      </c>
      <c r="AB1349">
        <v>25</v>
      </c>
      <c r="AC1349">
        <v>0.51120000000000199</v>
      </c>
      <c r="AD1349">
        <v>-9.7724999999999798E-2</v>
      </c>
      <c r="AE1349">
        <v>-0.379500000000007</v>
      </c>
      <c r="AF1349">
        <v>0.18502439158636499</v>
      </c>
      <c r="AG1349">
        <v>-9.7724999999999798E-2</v>
      </c>
      <c r="AH1349">
        <v>0.59385666462353004</v>
      </c>
      <c r="AI1349">
        <v>98.928805846431104</v>
      </c>
      <c r="AJ1349">
        <v>72.694843008122007</v>
      </c>
      <c r="AK1349">
        <v>0.62964270759271701</v>
      </c>
    </row>
    <row r="1350" spans="1:37" x14ac:dyDescent="0.2">
      <c r="A1350" t="str">
        <f>"20200111155817611"</f>
        <v>20200111155817611</v>
      </c>
      <c r="B1350" t="str">
        <f>"1578729497602634"</f>
        <v>1578729497602634</v>
      </c>
      <c r="C1350" t="s">
        <v>37</v>
      </c>
      <c r="D1350">
        <v>5.762721</v>
      </c>
      <c r="E1350">
        <v>0.57942169999999904</v>
      </c>
      <c r="F1350" t="s">
        <v>44</v>
      </c>
      <c r="G1350">
        <v>-199.91730000000001</v>
      </c>
      <c r="H1350" s="1">
        <v>-1.02509199999999E-5</v>
      </c>
      <c r="I1350">
        <v>360.14940000000001</v>
      </c>
      <c r="J1350">
        <v>-207.00899999999999</v>
      </c>
      <c r="K1350">
        <v>1.1014629999999901</v>
      </c>
      <c r="L1350">
        <v>364.9452</v>
      </c>
      <c r="M1350">
        <v>0.94269879999999995</v>
      </c>
      <c r="N1350">
        <v>0</v>
      </c>
      <c r="O1350">
        <v>-0.33335189999999998</v>
      </c>
      <c r="P1350">
        <v>0.9238324</v>
      </c>
      <c r="Q1350">
        <v>-8.2086209999999993E-3</v>
      </c>
      <c r="R1350">
        <v>-0.38270969999999999</v>
      </c>
      <c r="S1350">
        <v>2.5436860000000001</v>
      </c>
      <c r="T1350">
        <v>-0.38580529999999902</v>
      </c>
      <c r="U1350">
        <v>-1.7019959999999901</v>
      </c>
      <c r="V1350">
        <v>5.2864510000000003E-2</v>
      </c>
      <c r="W1350">
        <v>5.3728019999999899E-3</v>
      </c>
      <c r="X1350">
        <v>0.99858729999999996</v>
      </c>
      <c r="Y1350">
        <v>0.2477743</v>
      </c>
      <c r="Z1350">
        <v>2.6950399999999999E-2</v>
      </c>
      <c r="AA1350">
        <v>0.9684429</v>
      </c>
      <c r="AB1350">
        <v>25</v>
      </c>
      <c r="AC1350">
        <v>7.0917000000000003</v>
      </c>
      <c r="AD1350">
        <v>-1.10147325091999</v>
      </c>
      <c r="AE1350">
        <v>-4.7957999999999803</v>
      </c>
      <c r="AF1350">
        <v>2.1220466265615099</v>
      </c>
      <c r="AG1350">
        <v>-1.10147325091999</v>
      </c>
      <c r="AH1350">
        <v>8.1499255038965792</v>
      </c>
      <c r="AI1350">
        <v>97.451447531581394</v>
      </c>
      <c r="AJ1350">
        <v>75.405595855572898</v>
      </c>
      <c r="AK1350">
        <v>8.4933863050527307</v>
      </c>
    </row>
    <row r="1351" spans="1:37" x14ac:dyDescent="0.2">
      <c r="A1351" t="str">
        <f>"20200111155817623"</f>
        <v>20200111155817623</v>
      </c>
      <c r="B1351" t="str">
        <f>"1578729497612394"</f>
        <v>1578729497612394</v>
      </c>
      <c r="C1351" t="s">
        <v>37</v>
      </c>
      <c r="D1351">
        <v>5.7908850000000003</v>
      </c>
      <c r="E1351">
        <v>0.57888779999999995</v>
      </c>
      <c r="F1351" t="s">
        <v>44</v>
      </c>
      <c r="G1351">
        <v>-199.72389999999999</v>
      </c>
      <c r="H1351" s="1">
        <v>-1.0199999999999901E-5</v>
      </c>
      <c r="I1351">
        <v>360.01440000000002</v>
      </c>
      <c r="J1351">
        <v>-206.8777</v>
      </c>
      <c r="K1351">
        <v>1.1013930000000001</v>
      </c>
      <c r="L1351">
        <v>364.89589999999998</v>
      </c>
      <c r="M1351">
        <v>0.94182279999999996</v>
      </c>
      <c r="N1351">
        <v>0</v>
      </c>
      <c r="O1351">
        <v>-0.33581929999999999</v>
      </c>
      <c r="P1351">
        <v>0.92203429999999997</v>
      </c>
      <c r="Q1351">
        <v>-8.1136929999999999E-3</v>
      </c>
      <c r="R1351">
        <v>-0.38702399999999998</v>
      </c>
      <c r="S1351">
        <v>2.53353899999999</v>
      </c>
      <c r="T1351">
        <v>-0.38306249999999997</v>
      </c>
      <c r="U1351">
        <v>-1.7148129999999999</v>
      </c>
      <c r="V1351">
        <v>5.4918679999999997E-2</v>
      </c>
      <c r="W1351">
        <v>5.445755E-3</v>
      </c>
      <c r="X1351">
        <v>0.99847600000000003</v>
      </c>
      <c r="Y1351">
        <v>0.25038640000000001</v>
      </c>
      <c r="Z1351">
        <v>2.6931730000000001E-2</v>
      </c>
      <c r="AA1351">
        <v>0.96777139999999995</v>
      </c>
      <c r="AB1351">
        <v>25</v>
      </c>
      <c r="AC1351">
        <v>7.1538000000000102</v>
      </c>
      <c r="AD1351">
        <v>-1.1014032</v>
      </c>
      <c r="AE1351">
        <v>-4.88149999999996</v>
      </c>
      <c r="AF1351">
        <v>2.1603975313459101</v>
      </c>
      <c r="AG1351">
        <v>-1.1014032</v>
      </c>
      <c r="AH1351">
        <v>8.2443929958368596</v>
      </c>
      <c r="AI1351">
        <v>97.363574352019697</v>
      </c>
      <c r="AJ1351">
        <v>75.316116664768302</v>
      </c>
      <c r="AK1351">
        <v>8.5936268462285295</v>
      </c>
    </row>
    <row r="1352" spans="1:37" x14ac:dyDescent="0.2">
      <c r="A1352" t="str">
        <f>"20200111155817637"</f>
        <v>20200111155817637</v>
      </c>
      <c r="B1352" t="str">
        <f>"1578729497631914"</f>
        <v>1578729497631914</v>
      </c>
      <c r="C1352" t="s">
        <v>37</v>
      </c>
      <c r="D1352">
        <v>5.7509249999999996</v>
      </c>
      <c r="E1352">
        <v>0.57797639999999995</v>
      </c>
      <c r="F1352" t="s">
        <v>44</v>
      </c>
      <c r="G1352">
        <v>-199.5942</v>
      </c>
      <c r="H1352" s="1">
        <v>-1.0165789999999999E-5</v>
      </c>
      <c r="I1352">
        <v>359.93079999999998</v>
      </c>
      <c r="J1352">
        <v>-206.7439</v>
      </c>
      <c r="K1352">
        <v>1.1013139999999999</v>
      </c>
      <c r="L1352">
        <v>364.8449</v>
      </c>
      <c r="M1352">
        <v>0.9408879</v>
      </c>
      <c r="N1352">
        <v>0</v>
      </c>
      <c r="O1352">
        <v>-0.33842909999999998</v>
      </c>
      <c r="P1352">
        <v>0.92009810000000003</v>
      </c>
      <c r="Q1352">
        <v>-7.9564470000000002E-3</v>
      </c>
      <c r="R1352">
        <v>-0.391607599999999</v>
      </c>
      <c r="S1352">
        <v>2.5271759999999999</v>
      </c>
      <c r="T1352">
        <v>-0.38215979999999999</v>
      </c>
      <c r="U1352">
        <v>-1.7227779999999999</v>
      </c>
      <c r="V1352">
        <v>5.7120949999999997E-2</v>
      </c>
      <c r="W1352">
        <v>5.5787909999999996E-3</v>
      </c>
      <c r="X1352">
        <v>0.99835169999999995</v>
      </c>
      <c r="Y1352">
        <v>0.25092969999999998</v>
      </c>
      <c r="Z1352">
        <v>2.7181609999999998E-2</v>
      </c>
      <c r="AA1352">
        <v>0.96762359999999903</v>
      </c>
      <c r="AB1352">
        <v>25</v>
      </c>
      <c r="AC1352">
        <v>7.1496999999999904</v>
      </c>
      <c r="AD1352">
        <v>-1.1013241657899999</v>
      </c>
      <c r="AE1352">
        <v>-4.9141000000000101</v>
      </c>
      <c r="AF1352">
        <v>2.1692097481585302</v>
      </c>
      <c r="AG1352">
        <v>-1.1013241657899999</v>
      </c>
      <c r="AH1352">
        <v>8.25788660454519</v>
      </c>
      <c r="AI1352">
        <v>97.350011792184901</v>
      </c>
      <c r="AJ1352">
        <v>75.281865773365496</v>
      </c>
      <c r="AK1352">
        <v>8.6087790669284807</v>
      </c>
    </row>
    <row r="1353" spans="1:37" x14ac:dyDescent="0.2">
      <c r="A1353" t="str">
        <f>"20200111155817650"</f>
        <v>20200111155817650</v>
      </c>
      <c r="B1353" t="str">
        <f>"1578729497642650"</f>
        <v>1578729497642650</v>
      </c>
      <c r="C1353" t="s">
        <v>37</v>
      </c>
      <c r="D1353">
        <v>5.7735389999999898</v>
      </c>
      <c r="E1353">
        <v>0.57797639999999995</v>
      </c>
      <c r="F1353" t="s">
        <v>44</v>
      </c>
      <c r="G1353">
        <v>-199.4579</v>
      </c>
      <c r="H1353" s="1">
        <v>-1.013052E-5</v>
      </c>
      <c r="I1353">
        <v>359.8503</v>
      </c>
      <c r="J1353">
        <v>-206.60659999999999</v>
      </c>
      <c r="K1353">
        <v>1.101232</v>
      </c>
      <c r="L1353">
        <v>364.79219999999998</v>
      </c>
      <c r="M1353">
        <v>0.93989820000000002</v>
      </c>
      <c r="N1353">
        <v>0</v>
      </c>
      <c r="O1353">
        <v>-0.34116779999999902</v>
      </c>
      <c r="P1353">
        <v>0.91802659999999903</v>
      </c>
      <c r="Q1353">
        <v>-7.8937339999999995E-3</v>
      </c>
      <c r="R1353">
        <v>-0.39644049999999997</v>
      </c>
      <c r="S1353">
        <v>2.5215450000000001</v>
      </c>
      <c r="T1353">
        <v>-0.38114749999999997</v>
      </c>
      <c r="U1353">
        <v>-1.7285459999999999</v>
      </c>
      <c r="V1353">
        <v>5.9464499999999899E-2</v>
      </c>
      <c r="W1353">
        <v>5.61503E-3</v>
      </c>
      <c r="X1353">
        <v>0.99821459999999995</v>
      </c>
      <c r="Y1353">
        <v>0.25064110000000001</v>
      </c>
      <c r="Z1353">
        <v>2.749559E-2</v>
      </c>
      <c r="AA1353">
        <v>0.96768949999999998</v>
      </c>
      <c r="AB1353">
        <v>25</v>
      </c>
      <c r="AC1353">
        <v>7.1486999999999901</v>
      </c>
      <c r="AD1353">
        <v>-1.10124213052</v>
      </c>
      <c r="AE1353">
        <v>-4.9418999999999702</v>
      </c>
      <c r="AF1353">
        <v>2.1713275221050701</v>
      </c>
      <c r="AG1353">
        <v>-1.10124213052</v>
      </c>
      <c r="AH1353">
        <v>8.2730495330083293</v>
      </c>
      <c r="AI1353">
        <v>97.336548856486203</v>
      </c>
      <c r="AJ1353">
        <v>75.293950736889698</v>
      </c>
      <c r="AK1353">
        <v>8.6238475180103098</v>
      </c>
    </row>
    <row r="1354" spans="1:37" x14ac:dyDescent="0.2">
      <c r="A1354" t="str">
        <f>"20200111155817662"</f>
        <v>20200111155817662</v>
      </c>
      <c r="B1354" t="str">
        <f>"1578729497652410"</f>
        <v>1578729497652410</v>
      </c>
      <c r="C1354" t="s">
        <v>37</v>
      </c>
      <c r="D1354">
        <v>5.7899000000000003</v>
      </c>
      <c r="E1354">
        <v>0.56951609999999997</v>
      </c>
      <c r="F1354" t="s">
        <v>44</v>
      </c>
      <c r="G1354">
        <v>-199.35310000000001</v>
      </c>
      <c r="H1354" s="1">
        <v>-1.0107250000000001E-5</v>
      </c>
      <c r="I1354">
        <v>359.76369999999997</v>
      </c>
      <c r="J1354">
        <v>-206.48070000000001</v>
      </c>
      <c r="K1354">
        <v>1.101153</v>
      </c>
      <c r="L1354">
        <v>364.74340000000001</v>
      </c>
      <c r="M1354">
        <v>0.93895669999999898</v>
      </c>
      <c r="N1354">
        <v>0</v>
      </c>
      <c r="O1354">
        <v>-0.343750099999999</v>
      </c>
      <c r="P1354">
        <v>0.91605349999999997</v>
      </c>
      <c r="Q1354">
        <v>-7.5485589999999998E-3</v>
      </c>
      <c r="R1354">
        <v>-0.40098549999999999</v>
      </c>
      <c r="S1354">
        <v>2.5124360000000001</v>
      </c>
      <c r="T1354">
        <v>-0.38144470000000003</v>
      </c>
      <c r="U1354">
        <v>-1.74175999999999</v>
      </c>
      <c r="V1354">
        <v>6.1670450000000002E-2</v>
      </c>
      <c r="W1354">
        <v>5.9345069999999899E-3</v>
      </c>
      <c r="X1354">
        <v>0.99807889999999999</v>
      </c>
      <c r="Y1354">
        <v>0.25306139999999999</v>
      </c>
      <c r="Z1354">
        <v>2.770415E-2</v>
      </c>
      <c r="AA1354">
        <v>0.96705350000000001</v>
      </c>
      <c r="AB1354">
        <v>24</v>
      </c>
      <c r="AC1354">
        <v>7.1276000000000002</v>
      </c>
      <c r="AD1354">
        <v>-1.1011631072500001</v>
      </c>
      <c r="AE1354">
        <v>-4.9797000000000304</v>
      </c>
      <c r="AF1354">
        <v>2.19069102185912</v>
      </c>
      <c r="AG1354">
        <v>-1.1011631072500001</v>
      </c>
      <c r="AH1354">
        <v>8.2724221587528799</v>
      </c>
      <c r="AI1354">
        <v>97.332356924985902</v>
      </c>
      <c r="AJ1354">
        <v>75.167486351814503</v>
      </c>
      <c r="AK1354">
        <v>8.6281316468079101</v>
      </c>
    </row>
    <row r="1355" spans="1:37" x14ac:dyDescent="0.2">
      <c r="A1355" t="str">
        <f>"20200111155817677"</f>
        <v>20200111155817677</v>
      </c>
      <c r="B1355" t="str">
        <f>"1578729497671929"</f>
        <v>1578729497671929</v>
      </c>
      <c r="C1355" t="s">
        <v>37</v>
      </c>
      <c r="D1355">
        <v>5.7615270000000001</v>
      </c>
      <c r="E1355">
        <v>0.56801959999999996</v>
      </c>
      <c r="F1355" t="s">
        <v>38</v>
      </c>
      <c r="G1355">
        <v>-205.84880000000001</v>
      </c>
      <c r="H1355">
        <v>1.003935</v>
      </c>
      <c r="I1355">
        <v>364.320999999999</v>
      </c>
      <c r="J1355">
        <v>-206.3237</v>
      </c>
      <c r="K1355">
        <v>1.1010500000000001</v>
      </c>
      <c r="L1355">
        <v>364.68180000000001</v>
      </c>
      <c r="M1355">
        <v>0.93772710000000004</v>
      </c>
      <c r="N1355">
        <v>0</v>
      </c>
      <c r="O1355">
        <v>-0.34709000000000001</v>
      </c>
      <c r="P1355">
        <v>0.91273470000000001</v>
      </c>
      <c r="Q1355">
        <v>-7.1868749999999997E-3</v>
      </c>
      <c r="R1355">
        <v>-0.4084894</v>
      </c>
      <c r="S1355">
        <v>2.531342</v>
      </c>
      <c r="T1355">
        <v>-0.38923439999999998</v>
      </c>
      <c r="U1355">
        <v>-1.6914369999999901</v>
      </c>
      <c r="V1355">
        <v>6.6311469999999997E-2</v>
      </c>
      <c r="W1355">
        <v>6.2458749999999997E-3</v>
      </c>
      <c r="X1355">
        <v>0.99777939999999998</v>
      </c>
      <c r="Y1355">
        <v>0.233202399999999</v>
      </c>
      <c r="Z1355">
        <v>3.006663E-2</v>
      </c>
      <c r="AA1355">
        <v>0.97196329999999997</v>
      </c>
      <c r="AB1355">
        <v>24</v>
      </c>
      <c r="AC1355">
        <v>0.474899999999991</v>
      </c>
      <c r="AD1355">
        <v>-9.7115000000000007E-2</v>
      </c>
      <c r="AE1355">
        <v>-0.36080000000003998</v>
      </c>
      <c r="AF1355">
        <v>0.16903411222701101</v>
      </c>
      <c r="AG1355">
        <v>-9.7115000000000007E-2</v>
      </c>
      <c r="AH1355">
        <v>0.55587408529219096</v>
      </c>
      <c r="AI1355">
        <v>99.489242230766493</v>
      </c>
      <c r="AJ1355">
        <v>73.086162504628504</v>
      </c>
      <c r="AK1355">
        <v>0.58906693424500101</v>
      </c>
    </row>
    <row r="1356" spans="1:37" x14ac:dyDescent="0.2">
      <c r="A1356" t="str">
        <f>"20200111155817690"</f>
        <v>20200111155817690</v>
      </c>
      <c r="B1356" t="str">
        <f>"1578729497682666"</f>
        <v>1578729497682666</v>
      </c>
      <c r="C1356" t="s">
        <v>37</v>
      </c>
      <c r="D1356">
        <v>5.7773979999999998</v>
      </c>
      <c r="E1356">
        <v>0.56798669999999996</v>
      </c>
      <c r="F1356" t="s">
        <v>44</v>
      </c>
      <c r="G1356">
        <v>-195.7176</v>
      </c>
      <c r="H1356" s="1">
        <v>-5.4757599999999999E-6</v>
      </c>
      <c r="I1356">
        <v>357.49579999999997</v>
      </c>
      <c r="J1356">
        <v>-206.19299999999899</v>
      </c>
      <c r="K1356">
        <v>1.100956</v>
      </c>
      <c r="L1356">
        <v>364.62990000000002</v>
      </c>
      <c r="M1356">
        <v>0.93666430000000001</v>
      </c>
      <c r="N1356">
        <v>0</v>
      </c>
      <c r="O1356">
        <v>-0.34994779999999998</v>
      </c>
      <c r="P1356">
        <v>0.9106341</v>
      </c>
      <c r="Q1356">
        <v>-6.7190399999999999E-3</v>
      </c>
      <c r="R1356">
        <v>-0.4131592</v>
      </c>
      <c r="S1356">
        <v>2.52046199999999</v>
      </c>
      <c r="T1356">
        <v>-0.26165749999999999</v>
      </c>
      <c r="U1356">
        <v>-1.707703</v>
      </c>
      <c r="V1356">
        <v>6.8383810000000003E-2</v>
      </c>
      <c r="W1356">
        <v>6.6859869999999896E-3</v>
      </c>
      <c r="X1356">
        <v>0.99763670000000004</v>
      </c>
      <c r="Y1356">
        <v>0.236054299999999</v>
      </c>
      <c r="Z1356">
        <v>2.039827E-2</v>
      </c>
      <c r="AA1356">
        <v>0.97152569999999905</v>
      </c>
      <c r="AB1356">
        <v>24</v>
      </c>
      <c r="AC1356">
        <v>10.475399999999899</v>
      </c>
      <c r="AD1356">
        <v>-1.1009614757599999</v>
      </c>
      <c r="AE1356">
        <v>-7.1341000000000401</v>
      </c>
      <c r="AF1356">
        <v>2.9941163159803801</v>
      </c>
      <c r="AG1356">
        <v>-1.1009614757599999</v>
      </c>
      <c r="AH1356">
        <v>12.2175115981148</v>
      </c>
      <c r="AI1356">
        <v>95.001979043049502</v>
      </c>
      <c r="AJ1356">
        <v>76.230045187954701</v>
      </c>
      <c r="AK1356">
        <v>12.6271310413251</v>
      </c>
    </row>
    <row r="1357" spans="1:37" x14ac:dyDescent="0.2">
      <c r="A1357" t="str">
        <f>"20200111155817702"</f>
        <v>20200111155817702</v>
      </c>
      <c r="B1357" t="str">
        <f>"1578729497692426"</f>
        <v>1578729497692426</v>
      </c>
      <c r="C1357" t="s">
        <v>37</v>
      </c>
      <c r="D1357">
        <v>5.7524139999999999</v>
      </c>
      <c r="E1357">
        <v>0.5674304</v>
      </c>
      <c r="F1357" t="s">
        <v>44</v>
      </c>
      <c r="G1357">
        <v>-195.2201</v>
      </c>
      <c r="H1357" s="1">
        <v>-5.270193E-6</v>
      </c>
      <c r="I1357">
        <v>357.11380000000003</v>
      </c>
      <c r="J1357">
        <v>-206.0685</v>
      </c>
      <c r="K1357">
        <v>1.1008610000000001</v>
      </c>
      <c r="L1357">
        <v>364.58</v>
      </c>
      <c r="M1357">
        <v>0.93561459999999996</v>
      </c>
      <c r="N1357">
        <v>0</v>
      </c>
      <c r="O1357">
        <v>-0.35274450000000002</v>
      </c>
      <c r="P1357">
        <v>0.90852809999999995</v>
      </c>
      <c r="Q1357">
        <v>-6.8671740000000002E-3</v>
      </c>
      <c r="R1357">
        <v>-0.41776769999999902</v>
      </c>
      <c r="S1357">
        <v>2.5119020000000001</v>
      </c>
      <c r="T1357">
        <v>-0.25203029999999998</v>
      </c>
      <c r="U1357">
        <v>-1.7205809999999999</v>
      </c>
      <c r="V1357">
        <v>7.0458489999999999E-2</v>
      </c>
      <c r="W1357">
        <v>6.5100369999999998E-3</v>
      </c>
      <c r="X1357">
        <v>0.99749339999999997</v>
      </c>
      <c r="Y1357">
        <v>0.23806179999999999</v>
      </c>
      <c r="Z1357">
        <v>1.980991E-2</v>
      </c>
      <c r="AA1357">
        <v>0.97104799999999902</v>
      </c>
      <c r="AB1357">
        <v>24</v>
      </c>
      <c r="AC1357">
        <v>10.8483999999999</v>
      </c>
      <c r="AD1357">
        <v>-1.1008662701930001</v>
      </c>
      <c r="AE1357">
        <v>-7.46619999999995</v>
      </c>
      <c r="AF1357">
        <v>3.1371610708962101</v>
      </c>
      <c r="AG1357">
        <v>-1.1008662701930001</v>
      </c>
      <c r="AH1357">
        <v>12.696121586111801</v>
      </c>
      <c r="AI1357">
        <v>94.811652382623805</v>
      </c>
      <c r="AJ1357">
        <v>76.120461795072103</v>
      </c>
      <c r="AK1357">
        <v>13.124221480108099</v>
      </c>
    </row>
    <row r="1358" spans="1:37" x14ac:dyDescent="0.2">
      <c r="A1358" t="str">
        <f>"20200111155817713"</f>
        <v>20200111155817713</v>
      </c>
      <c r="B1358" t="str">
        <f>"1578729497702186"</f>
        <v>1578729497702186</v>
      </c>
      <c r="C1358" t="s">
        <v>37</v>
      </c>
      <c r="D1358">
        <v>5.7839229999999997</v>
      </c>
      <c r="E1358">
        <v>0.56637249999999995</v>
      </c>
      <c r="F1358" t="s">
        <v>44</v>
      </c>
      <c r="G1358">
        <v>-195.6833</v>
      </c>
      <c r="H1358" s="1">
        <v>-5.4430999999999996E-6</v>
      </c>
      <c r="I1358">
        <v>357.41419999999999</v>
      </c>
      <c r="J1358">
        <v>-205.95269999999999</v>
      </c>
      <c r="K1358">
        <v>1.1007709999999999</v>
      </c>
      <c r="L1358">
        <v>364.53300000000002</v>
      </c>
      <c r="M1358">
        <v>0.93459190000000003</v>
      </c>
      <c r="N1358">
        <v>0</v>
      </c>
      <c r="O1358">
        <v>-0.35544419999999999</v>
      </c>
      <c r="P1358">
        <v>0.90650259999999905</v>
      </c>
      <c r="Q1358">
        <v>-6.4886010000000001E-3</v>
      </c>
      <c r="R1358">
        <v>-0.42215049999999998</v>
      </c>
      <c r="S1358">
        <v>2.505188</v>
      </c>
      <c r="T1358">
        <v>-0.2655592</v>
      </c>
      <c r="U1358">
        <v>-1.728607</v>
      </c>
      <c r="V1358">
        <v>7.2399560000000002E-2</v>
      </c>
      <c r="W1358">
        <v>6.861458E-3</v>
      </c>
      <c r="X1358">
        <v>0.99735209999999996</v>
      </c>
      <c r="Y1358">
        <v>0.23862420000000001</v>
      </c>
      <c r="Z1358">
        <v>2.109745E-2</v>
      </c>
      <c r="AA1358">
        <v>0.97088280000000005</v>
      </c>
      <c r="AB1358">
        <v>24</v>
      </c>
      <c r="AC1358">
        <v>10.2693999999999</v>
      </c>
      <c r="AD1358">
        <v>-1.1007764431</v>
      </c>
      <c r="AE1358">
        <v>-7.1188000000000198</v>
      </c>
      <c r="AF1358">
        <v>2.9801431752257601</v>
      </c>
      <c r="AG1358">
        <v>-1.1007764431</v>
      </c>
      <c r="AH1358">
        <v>12.035827359031201</v>
      </c>
      <c r="AI1358">
        <v>95.073268707349399</v>
      </c>
      <c r="AJ1358">
        <v>76.092926100150507</v>
      </c>
      <c r="AK1358">
        <v>12.4480561670862</v>
      </c>
    </row>
    <row r="1359" spans="1:37" x14ac:dyDescent="0.2">
      <c r="A1359" t="str">
        <f>"20200111155817726"</f>
        <v>20200111155817726</v>
      </c>
      <c r="B1359" t="str">
        <f>"1578729497722681"</f>
        <v>1578729497722681</v>
      </c>
      <c r="C1359" t="s">
        <v>37</v>
      </c>
      <c r="D1359">
        <v>5.8530519999999999</v>
      </c>
      <c r="E1359">
        <v>0.56476159999999997</v>
      </c>
      <c r="F1359" t="s">
        <v>44</v>
      </c>
      <c r="G1359">
        <v>-196.47059999999999</v>
      </c>
      <c r="H1359" s="1">
        <v>-5.7515379999999997E-6</v>
      </c>
      <c r="I1359">
        <v>357.96820000000002</v>
      </c>
      <c r="J1359">
        <v>-205.82390000000001</v>
      </c>
      <c r="K1359">
        <v>1.1006689999999999</v>
      </c>
      <c r="L1359">
        <v>364.48039999999997</v>
      </c>
      <c r="M1359">
        <v>0.93342669999999905</v>
      </c>
      <c r="N1359">
        <v>0</v>
      </c>
      <c r="O1359">
        <v>-0.3584928</v>
      </c>
      <c r="P1359">
        <v>0.90426390000000001</v>
      </c>
      <c r="Q1359">
        <v>-5.8756969999999896E-3</v>
      </c>
      <c r="R1359">
        <v>-0.42693370000000003</v>
      </c>
      <c r="S1359">
        <v>2.5009919999999899</v>
      </c>
      <c r="T1359">
        <v>-0.29034209999999999</v>
      </c>
      <c r="U1359">
        <v>-1.7315369999999899</v>
      </c>
      <c r="V1359">
        <v>7.4419269999999996E-2</v>
      </c>
      <c r="W1359">
        <v>7.4446159999999898E-3</v>
      </c>
      <c r="X1359">
        <v>0.99719919999999995</v>
      </c>
      <c r="Y1359">
        <v>0.23707600000000001</v>
      </c>
      <c r="Z1359">
        <v>2.34456E-2</v>
      </c>
      <c r="AA1359">
        <v>0.97120819999999997</v>
      </c>
      <c r="AB1359">
        <v>24</v>
      </c>
      <c r="AC1359">
        <v>9.3533000000000097</v>
      </c>
      <c r="AD1359">
        <v>-1.100674751538</v>
      </c>
      <c r="AE1359">
        <v>-6.5121999999999503</v>
      </c>
      <c r="AF1359">
        <v>2.7006514322002202</v>
      </c>
      <c r="AG1359">
        <v>-1.100674751538</v>
      </c>
      <c r="AH1359">
        <v>10.964030412194999</v>
      </c>
      <c r="AI1359">
        <v>95.567378543888793</v>
      </c>
      <c r="AJ1359">
        <v>76.162415403651295</v>
      </c>
      <c r="AK1359">
        <v>11.3452618280257</v>
      </c>
    </row>
    <row r="1360" spans="1:37" x14ac:dyDescent="0.2">
      <c r="A1360" t="str">
        <f>"20200111155817738"</f>
        <v>20200111155817738</v>
      </c>
      <c r="B1360" t="str">
        <f>"1578729497732441"</f>
        <v>1578729497732441</v>
      </c>
      <c r="C1360" t="s">
        <v>37</v>
      </c>
      <c r="D1360">
        <v>5.7455360000000004</v>
      </c>
      <c r="E1360">
        <v>0.56425590000000003</v>
      </c>
      <c r="F1360" t="s">
        <v>44</v>
      </c>
      <c r="G1360">
        <v>-196.58070000000001</v>
      </c>
      <c r="H1360" s="1">
        <v>-5.8028409999999901E-6</v>
      </c>
      <c r="I1360">
        <v>358.07010000000002</v>
      </c>
      <c r="J1360">
        <v>-205.69730000000001</v>
      </c>
      <c r="K1360">
        <v>1.100563</v>
      </c>
      <c r="L1360">
        <v>364.42790000000002</v>
      </c>
      <c r="M1360">
        <v>0.93221869999999996</v>
      </c>
      <c r="N1360">
        <v>0</v>
      </c>
      <c r="O1360">
        <v>-0.36162240000000001</v>
      </c>
      <c r="P1360">
        <v>0.90204660000000003</v>
      </c>
      <c r="Q1360">
        <v>-5.4394990000000004E-3</v>
      </c>
      <c r="R1360">
        <v>-0.43160470000000001</v>
      </c>
      <c r="S1360">
        <v>2.4978180000000001</v>
      </c>
      <c r="T1360">
        <v>-0.29743849999999999</v>
      </c>
      <c r="U1360">
        <v>-1.7322689999999901</v>
      </c>
      <c r="V1360">
        <v>7.6236040000000005E-2</v>
      </c>
      <c r="W1360">
        <v>7.8518219999999996E-3</v>
      </c>
      <c r="X1360">
        <v>0.99705889999999997</v>
      </c>
      <c r="Y1360">
        <v>0.23463229999999999</v>
      </c>
      <c r="Z1360">
        <v>2.4468299999999998E-2</v>
      </c>
      <c r="AA1360">
        <v>0.97177619999999898</v>
      </c>
      <c r="AB1360">
        <v>24</v>
      </c>
      <c r="AC1360">
        <v>9.1166</v>
      </c>
      <c r="AD1360">
        <v>-1.1005688028409999</v>
      </c>
      <c r="AE1360">
        <v>-6.3577999999999903</v>
      </c>
      <c r="AF1360">
        <v>2.60481288130083</v>
      </c>
      <c r="AG1360">
        <v>-1.1005688028409999</v>
      </c>
      <c r="AH1360">
        <v>10.6939997996173</v>
      </c>
      <c r="AI1360">
        <v>95.710089430483507</v>
      </c>
      <c r="AJ1360">
        <v>76.310637151848596</v>
      </c>
      <c r="AK1360">
        <v>11.0615520407669</v>
      </c>
    </row>
    <row r="1361" spans="1:37" x14ac:dyDescent="0.2">
      <c r="A1361" t="str">
        <f>"20200111155817750"</f>
        <v>20200111155817750</v>
      </c>
      <c r="B1361" t="str">
        <f>"1578729497742202"</f>
        <v>1578729497742202</v>
      </c>
      <c r="C1361" t="s">
        <v>37</v>
      </c>
      <c r="D1361">
        <v>5.7469339999999898</v>
      </c>
      <c r="E1361">
        <v>0.56483669999999997</v>
      </c>
      <c r="F1361" t="s">
        <v>44</v>
      </c>
      <c r="G1361">
        <v>-196.7945</v>
      </c>
      <c r="H1361" s="1">
        <v>-5.8822899999999997E-6</v>
      </c>
      <c r="I1361">
        <v>358.20769999999999</v>
      </c>
      <c r="J1361">
        <v>-205.57679999999999</v>
      </c>
      <c r="K1361">
        <v>1.1004609999999999</v>
      </c>
      <c r="L1361">
        <v>364.37740000000002</v>
      </c>
      <c r="M1361">
        <v>0.93103099999999905</v>
      </c>
      <c r="N1361">
        <v>0</v>
      </c>
      <c r="O1361">
        <v>-0.36466880000000002</v>
      </c>
      <c r="P1361">
        <v>0.89972600000000003</v>
      </c>
      <c r="Q1361">
        <v>-5.041523E-3</v>
      </c>
      <c r="R1361">
        <v>-0.43642629999999999</v>
      </c>
      <c r="S1361">
        <v>2.4911349999999999</v>
      </c>
      <c r="T1361">
        <v>-0.30795800000000001</v>
      </c>
      <c r="U1361">
        <v>-1.7405090000000001</v>
      </c>
      <c r="V1361">
        <v>7.8316990000000003E-2</v>
      </c>
      <c r="W1361">
        <v>8.2184990000000006E-3</v>
      </c>
      <c r="X1361">
        <v>0.99689470000000002</v>
      </c>
      <c r="Y1361">
        <v>0.23488600000000001</v>
      </c>
      <c r="Z1361">
        <v>2.5644710000000001E-2</v>
      </c>
      <c r="AA1361">
        <v>0.97168460000000001</v>
      </c>
      <c r="AB1361">
        <v>24</v>
      </c>
      <c r="AC1361">
        <v>8.7822999999999904</v>
      </c>
      <c r="AD1361">
        <v>-1.1004668822899999</v>
      </c>
      <c r="AE1361">
        <v>-6.1697000000000299</v>
      </c>
      <c r="AF1361">
        <v>2.5153589234478502</v>
      </c>
      <c r="AG1361">
        <v>-1.1004668822899999</v>
      </c>
      <c r="AH1361">
        <v>10.3190393004769</v>
      </c>
      <c r="AI1361">
        <v>95.915339646139401</v>
      </c>
      <c r="AJ1361">
        <v>76.300795084600196</v>
      </c>
      <c r="AK1361">
        <v>10.678044294606201</v>
      </c>
    </row>
    <row r="1362" spans="1:37" x14ac:dyDescent="0.2">
      <c r="A1362" t="str">
        <f>"20200111155817763"</f>
        <v>20200111155817763</v>
      </c>
      <c r="B1362" t="str">
        <f>"1578729497751962"</f>
        <v>1578729497751962</v>
      </c>
      <c r="C1362" t="s">
        <v>37</v>
      </c>
      <c r="D1362">
        <v>5.6792639999999999</v>
      </c>
      <c r="E1362">
        <v>0.56671139999999998</v>
      </c>
      <c r="F1362" t="s">
        <v>44</v>
      </c>
      <c r="G1362">
        <v>-196.845</v>
      </c>
      <c r="H1362" s="1">
        <v>-5.883958E-6</v>
      </c>
      <c r="I1362">
        <v>358.1891</v>
      </c>
      <c r="J1362">
        <v>-205.452</v>
      </c>
      <c r="K1362">
        <v>1.1003559999999999</v>
      </c>
      <c r="L1362">
        <v>364.32459999999998</v>
      </c>
      <c r="M1362">
        <v>0.92976159999999997</v>
      </c>
      <c r="N1362">
        <v>0</v>
      </c>
      <c r="O1362">
        <v>-0.36789250000000001</v>
      </c>
      <c r="P1362">
        <v>0.89726319999999904</v>
      </c>
      <c r="Q1362">
        <v>-4.3117870000000001E-3</v>
      </c>
      <c r="R1362">
        <v>-0.44147529999999902</v>
      </c>
      <c r="S1362">
        <v>2.4800719999999998</v>
      </c>
      <c r="T1362">
        <v>-0.31256319999999999</v>
      </c>
      <c r="U1362">
        <v>-1.7576290000000001</v>
      </c>
      <c r="V1362">
        <v>8.0472689999999999E-2</v>
      </c>
      <c r="W1362">
        <v>8.9151319999999992E-3</v>
      </c>
      <c r="X1362">
        <v>0.99671690000000002</v>
      </c>
      <c r="Y1362">
        <v>0.23804529999999999</v>
      </c>
      <c r="Z1362">
        <v>2.620774E-2</v>
      </c>
      <c r="AA1362">
        <v>0.9709004</v>
      </c>
      <c r="AB1362">
        <v>24</v>
      </c>
      <c r="AC1362">
        <v>8.6069999999999993</v>
      </c>
      <c r="AD1362">
        <v>-1.1003618839579901</v>
      </c>
      <c r="AE1362">
        <v>-6.1354999999999702</v>
      </c>
      <c r="AF1362">
        <v>2.5111394681819101</v>
      </c>
      <c r="AG1362">
        <v>-1.1003618839579901</v>
      </c>
      <c r="AH1362">
        <v>10.1506748237612</v>
      </c>
      <c r="AI1362">
        <v>96.007160189066198</v>
      </c>
      <c r="AJ1362">
        <v>76.104779491884798</v>
      </c>
      <c r="AK1362">
        <v>10.514409973083101</v>
      </c>
    </row>
    <row r="1363" spans="1:37" x14ac:dyDescent="0.2">
      <c r="A1363" t="str">
        <f>"20200111155817778"</f>
        <v>20200111155817778</v>
      </c>
      <c r="B1363" t="str">
        <f>"1578729497771925"</f>
        <v>1578729497771925</v>
      </c>
      <c r="C1363" t="s">
        <v>37</v>
      </c>
      <c r="D1363">
        <v>5.5666630000000001</v>
      </c>
      <c r="E1363">
        <v>0.60886109999999904</v>
      </c>
      <c r="F1363" t="s">
        <v>44</v>
      </c>
      <c r="G1363">
        <v>-196.7131</v>
      </c>
      <c r="H1363" s="1">
        <v>-5.7981709999999996E-6</v>
      </c>
      <c r="I1363">
        <v>357.99439999999998</v>
      </c>
      <c r="J1363">
        <v>-205.3039</v>
      </c>
      <c r="K1363">
        <v>1.10022999999999</v>
      </c>
      <c r="L1363">
        <v>364.26089999999999</v>
      </c>
      <c r="M1363">
        <v>0.92817439999999996</v>
      </c>
      <c r="N1363">
        <v>0</v>
      </c>
      <c r="O1363">
        <v>-0.37187880000000001</v>
      </c>
      <c r="P1363">
        <v>0.89353379999999905</v>
      </c>
      <c r="Q1363">
        <v>-2.7017439999999998E-3</v>
      </c>
      <c r="R1363">
        <v>-0.44898769999999999</v>
      </c>
      <c r="S1363">
        <v>2.4638520000000002</v>
      </c>
      <c r="T1363">
        <v>-0.31023820000000002</v>
      </c>
      <c r="U1363">
        <v>-1.7847599999999999</v>
      </c>
      <c r="V1363">
        <v>8.4574999999999997E-2</v>
      </c>
      <c r="W1363">
        <v>1.046716E-2</v>
      </c>
      <c r="X1363">
        <v>0.99636209999999903</v>
      </c>
      <c r="Y1363">
        <v>0.24391260000000001</v>
      </c>
      <c r="Z1363">
        <v>2.6126799999999999E-2</v>
      </c>
      <c r="AA1363">
        <v>0.96944519999999901</v>
      </c>
      <c r="AB1363">
        <v>24</v>
      </c>
      <c r="AC1363">
        <v>8.5907999999999998</v>
      </c>
      <c r="AD1363">
        <v>-1.10023579817099</v>
      </c>
      <c r="AE1363">
        <v>-6.2664999999999997</v>
      </c>
      <c r="AF1363">
        <v>2.59415602099544</v>
      </c>
      <c r="AG1363">
        <v>-1.10023579817099</v>
      </c>
      <c r="AH1363">
        <v>10.196004856419099</v>
      </c>
      <c r="AI1363">
        <v>95.970106524404301</v>
      </c>
      <c r="AJ1363">
        <v>75.725188184615703</v>
      </c>
      <c r="AK1363">
        <v>10.578217208252299</v>
      </c>
    </row>
    <row r="1364" spans="1:37" x14ac:dyDescent="0.2">
      <c r="A1364" t="str">
        <f>"20200111155817789"</f>
        <v>20200111155817789</v>
      </c>
      <c r="B1364" t="str">
        <f>"1578729497782662"</f>
        <v>1578729497782662</v>
      </c>
      <c r="C1364" t="s">
        <v>37</v>
      </c>
      <c r="D1364">
        <v>5.5272949999999996</v>
      </c>
      <c r="E1364">
        <v>0.61302599999999996</v>
      </c>
      <c r="F1364" t="s">
        <v>44</v>
      </c>
      <c r="G1364">
        <v>-192.09950000000001</v>
      </c>
      <c r="H1364" s="1">
        <v>-2.039227E-6</v>
      </c>
      <c r="I1364">
        <v>352.10410000000002</v>
      </c>
      <c r="J1364">
        <v>-205.1859</v>
      </c>
      <c r="K1364">
        <v>1.100131</v>
      </c>
      <c r="L1364">
        <v>364.20960000000002</v>
      </c>
      <c r="M1364">
        <v>0.92686309999999905</v>
      </c>
      <c r="N1364">
        <v>0</v>
      </c>
      <c r="O1364">
        <v>-0.37513429999999998</v>
      </c>
      <c r="P1364">
        <v>0.89103670000000001</v>
      </c>
      <c r="Q1364">
        <v>-1.5460089999999899E-3</v>
      </c>
      <c r="R1364">
        <v>-0.45392899999999903</v>
      </c>
      <c r="S1364">
        <v>2.2951199999999998</v>
      </c>
      <c r="T1364">
        <v>-0.19123609999999999</v>
      </c>
      <c r="U1364">
        <v>-2.1130369999999998</v>
      </c>
      <c r="V1364">
        <v>8.6609270000000002E-2</v>
      </c>
      <c r="W1364">
        <v>1.1588620000000001E-2</v>
      </c>
      <c r="X1364">
        <v>0.99617489999999997</v>
      </c>
      <c r="Y1364">
        <v>0.35185179999999999</v>
      </c>
      <c r="Z1364">
        <v>1.265793E-2</v>
      </c>
      <c r="AA1364">
        <v>0.93597009999999903</v>
      </c>
      <c r="AB1364">
        <v>24</v>
      </c>
      <c r="AC1364">
        <v>13.0863999999999</v>
      </c>
      <c r="AD1364">
        <v>-1.1001330392269999</v>
      </c>
      <c r="AE1364">
        <v>-12.105499999999999</v>
      </c>
      <c r="AF1364">
        <v>6.2876661092519699</v>
      </c>
      <c r="AG1364">
        <v>-1.1001330392269999</v>
      </c>
      <c r="AH1364">
        <v>16.6088958872297</v>
      </c>
      <c r="AI1364">
        <v>93.544778961203406</v>
      </c>
      <c r="AJ1364">
        <v>69.264727844465597</v>
      </c>
      <c r="AK1364">
        <v>17.793270087262499</v>
      </c>
    </row>
    <row r="1365" spans="1:37" x14ac:dyDescent="0.2">
      <c r="A1365" t="str">
        <f>"20200111155817801"</f>
        <v>20200111155817801</v>
      </c>
      <c r="B1365" t="str">
        <f>"1578729497792422"</f>
        <v>1578729497792422</v>
      </c>
      <c r="C1365" t="s">
        <v>37</v>
      </c>
      <c r="D1365">
        <v>5.5418589999999996</v>
      </c>
      <c r="E1365">
        <v>0.61514009999999997</v>
      </c>
      <c r="F1365" t="s">
        <v>44</v>
      </c>
      <c r="G1365">
        <v>-191.00739999999999</v>
      </c>
      <c r="H1365" s="1">
        <v>-9.3616760000000003E-7</v>
      </c>
      <c r="I1365">
        <v>350.73140000000001</v>
      </c>
      <c r="J1365">
        <v>-205.06729999999999</v>
      </c>
      <c r="K1365">
        <v>1.1000219999999901</v>
      </c>
      <c r="L1365">
        <v>364.15750000000003</v>
      </c>
      <c r="M1365">
        <v>0.9254947</v>
      </c>
      <c r="N1365">
        <v>0</v>
      </c>
      <c r="O1365">
        <v>-0.37849699999999997</v>
      </c>
      <c r="P1365">
        <v>0.8884841</v>
      </c>
      <c r="Q1365">
        <v>-1.1629610000000001E-4</v>
      </c>
      <c r="R1365">
        <v>-0.45890779999999998</v>
      </c>
      <c r="S1365">
        <v>2.2681429999999998</v>
      </c>
      <c r="T1365">
        <v>-0.1759896</v>
      </c>
      <c r="U1365">
        <v>-2.1561279999999998</v>
      </c>
      <c r="V1365">
        <v>8.8584899999999994E-2</v>
      </c>
      <c r="W1365">
        <v>1.298421E-2</v>
      </c>
      <c r="X1365">
        <v>0.99598399999999998</v>
      </c>
      <c r="Y1365">
        <v>0.36335970000000001</v>
      </c>
      <c r="Z1365">
        <v>1.148599E-2</v>
      </c>
      <c r="AA1365">
        <v>0.93157819999999902</v>
      </c>
      <c r="AB1365">
        <v>24</v>
      </c>
      <c r="AC1365">
        <v>14.059900000000001</v>
      </c>
      <c r="AD1365">
        <v>-1.1000229361675999</v>
      </c>
      <c r="AE1365">
        <v>-13.4261</v>
      </c>
      <c r="AF1365">
        <v>7.08218847039418</v>
      </c>
      <c r="AG1365">
        <v>-1.1000229361675999</v>
      </c>
      <c r="AH1365">
        <v>18.038154783055401</v>
      </c>
      <c r="AI1365">
        <v>93.248888741446294</v>
      </c>
      <c r="AJ1365">
        <v>68.563902779429299</v>
      </c>
      <c r="AK1365">
        <v>19.409855021811499</v>
      </c>
    </row>
    <row r="1366" spans="1:37" x14ac:dyDescent="0.2">
      <c r="A1366" t="str">
        <f>"20200111155817814"</f>
        <v>20200111155817814</v>
      </c>
      <c r="B1366" t="str">
        <f>"1578729497802182"</f>
        <v>1578729497802182</v>
      </c>
      <c r="C1366" t="s">
        <v>37</v>
      </c>
      <c r="D1366">
        <v>5.5183519999999904</v>
      </c>
      <c r="E1366">
        <v>0.61604380000000003</v>
      </c>
      <c r="F1366" t="s">
        <v>44</v>
      </c>
      <c r="G1366">
        <v>-190.20339999999999</v>
      </c>
      <c r="H1366" s="1">
        <v>-1.2261469999999999E-7</v>
      </c>
      <c r="I1366">
        <v>349.71839999999997</v>
      </c>
      <c r="J1366">
        <v>-204.94399999999999</v>
      </c>
      <c r="K1366">
        <v>1.0999079999999899</v>
      </c>
      <c r="L1366">
        <v>364.1026</v>
      </c>
      <c r="M1366">
        <v>0.92400959999999999</v>
      </c>
      <c r="N1366">
        <v>0</v>
      </c>
      <c r="O1366">
        <v>-0.38210769999999999</v>
      </c>
      <c r="P1366">
        <v>0.88573829999999998</v>
      </c>
      <c r="Q1366">
        <v>1.1650160000000001E-3</v>
      </c>
      <c r="R1366">
        <v>-0.46418379999999998</v>
      </c>
      <c r="S1366">
        <v>2.248383</v>
      </c>
      <c r="T1366">
        <v>-0.16639509999999999</v>
      </c>
      <c r="U1366">
        <v>-2.1841430000000002</v>
      </c>
      <c r="V1366">
        <v>9.0638090000000004E-2</v>
      </c>
      <c r="W1366">
        <v>1.4230069999999999E-2</v>
      </c>
      <c r="X1366">
        <v>0.99578219999999995</v>
      </c>
      <c r="Y1366">
        <v>0.36979050000000002</v>
      </c>
      <c r="Z1366">
        <v>1.0873789999999999E-2</v>
      </c>
      <c r="AA1366">
        <v>0.92905149999999903</v>
      </c>
      <c r="AB1366">
        <v>24</v>
      </c>
      <c r="AC1366">
        <v>14.740600000000001</v>
      </c>
      <c r="AD1366">
        <v>-1.0999081226146901</v>
      </c>
      <c r="AE1366">
        <v>-14.3842</v>
      </c>
      <c r="AF1366">
        <v>7.6376253437120303</v>
      </c>
      <c r="AG1366">
        <v>-1.0999081226146901</v>
      </c>
      <c r="AH1366">
        <v>19.0643094083559</v>
      </c>
      <c r="AI1366">
        <v>93.065636869933101</v>
      </c>
      <c r="AJ1366">
        <v>68.167761851656493</v>
      </c>
      <c r="AK1366">
        <v>20.566745293960199</v>
      </c>
    </row>
    <row r="1367" spans="1:37" x14ac:dyDescent="0.2">
      <c r="A1367" t="str">
        <f>"20200111155817828"</f>
        <v>20200111155817828</v>
      </c>
      <c r="B1367" t="str">
        <f>"1578729497822678"</f>
        <v>1578729497822678</v>
      </c>
      <c r="C1367" t="s">
        <v>37</v>
      </c>
      <c r="D1367">
        <v>5.606122</v>
      </c>
      <c r="E1367">
        <v>0.61993160000000003</v>
      </c>
      <c r="F1367" t="s">
        <v>39</v>
      </c>
      <c r="G1367">
        <v>-189.56450000000001</v>
      </c>
      <c r="H1367" s="1">
        <v>-4.0611589999999997E-6</v>
      </c>
      <c r="I1367">
        <v>348.9194</v>
      </c>
      <c r="J1367">
        <v>-204.80439999999999</v>
      </c>
      <c r="K1367">
        <v>1.0997760000000001</v>
      </c>
      <c r="L1367">
        <v>364.03969999999998</v>
      </c>
      <c r="M1367">
        <v>0.92227169999999903</v>
      </c>
      <c r="N1367">
        <v>0</v>
      </c>
      <c r="O1367">
        <v>-0.38628289999999998</v>
      </c>
      <c r="P1367">
        <v>0.88278259999999897</v>
      </c>
      <c r="Q1367">
        <v>2.45255E-3</v>
      </c>
      <c r="R1367">
        <v>-0.46977570000000002</v>
      </c>
      <c r="S1367">
        <v>2.2323</v>
      </c>
      <c r="T1367">
        <v>-0.15964879999999901</v>
      </c>
      <c r="U1367">
        <v>-2.2037960000000001</v>
      </c>
      <c r="V1367">
        <v>9.2452300000000001E-2</v>
      </c>
      <c r="W1367">
        <v>1.5482579999999999E-2</v>
      </c>
      <c r="X1367">
        <v>0.99559679999999995</v>
      </c>
      <c r="Y1367">
        <v>0.3730813</v>
      </c>
      <c r="Z1367">
        <v>1.0569139999999999E-2</v>
      </c>
      <c r="AA1367">
        <v>0.92773850000000002</v>
      </c>
      <c r="AB1367">
        <v>24</v>
      </c>
      <c r="AC1367">
        <v>15.239899999999899</v>
      </c>
      <c r="AD1367">
        <v>-1.0997800611589901</v>
      </c>
      <c r="AE1367">
        <v>-15.120299999999901</v>
      </c>
      <c r="AF1367">
        <v>8.0378254351883296</v>
      </c>
      <c r="AG1367">
        <v>-1.0997800611589901</v>
      </c>
      <c r="AH1367">
        <v>19.845952823250698</v>
      </c>
      <c r="AI1367">
        <v>92.940304132163206</v>
      </c>
      <c r="AJ1367">
        <v>67.951520429896405</v>
      </c>
      <c r="AK1367">
        <v>21.440102550411801</v>
      </c>
    </row>
    <row r="1368" spans="1:37" x14ac:dyDescent="0.2">
      <c r="A1368" t="str">
        <f>"20200111155817845"</f>
        <v>20200111155817845</v>
      </c>
      <c r="B1368" t="str">
        <f>"1578729497842197"</f>
        <v>1578729497842197</v>
      </c>
      <c r="C1368" t="s">
        <v>37</v>
      </c>
      <c r="D1368">
        <v>5.5973680000000003</v>
      </c>
      <c r="E1368">
        <v>0.61317869999999997</v>
      </c>
      <c r="F1368" t="s">
        <v>45</v>
      </c>
      <c r="G1368">
        <v>-168.40049999999999</v>
      </c>
      <c r="H1368">
        <v>1.4008039999999999</v>
      </c>
      <c r="I1368">
        <v>326.66070000000002</v>
      </c>
      <c r="J1368">
        <v>-204.63329999999999</v>
      </c>
      <c r="K1368">
        <v>1.0996139999999901</v>
      </c>
      <c r="L1368">
        <v>363.96129999999999</v>
      </c>
      <c r="M1368">
        <v>0.920037199999999</v>
      </c>
      <c r="N1368">
        <v>0</v>
      </c>
      <c r="O1368">
        <v>-0.39157439999999999</v>
      </c>
      <c r="P1368">
        <v>0.8783145</v>
      </c>
      <c r="Q1368">
        <v>4.0997339999999998E-3</v>
      </c>
      <c r="R1368">
        <v>-0.4780664</v>
      </c>
      <c r="S1368">
        <v>2.1975560000000001</v>
      </c>
      <c r="T1368">
        <v>1.817214E-2</v>
      </c>
      <c r="U1368">
        <v>-2.2564090000000001</v>
      </c>
      <c r="V1368">
        <v>9.6134919999999999E-2</v>
      </c>
      <c r="W1368">
        <v>1.706643E-2</v>
      </c>
      <c r="X1368">
        <v>0.99522199999999905</v>
      </c>
      <c r="Y1368">
        <v>0.38593949999999999</v>
      </c>
      <c r="Z1368">
        <v>-1.1937E-3</v>
      </c>
      <c r="AA1368">
        <v>0.92252330000000005</v>
      </c>
      <c r="AB1368">
        <v>24</v>
      </c>
      <c r="AC1368">
        <v>36.232799999999997</v>
      </c>
      <c r="AD1368">
        <v>0.30119000000000001</v>
      </c>
      <c r="AE1368">
        <v>-37.300599999999903</v>
      </c>
      <c r="AF1368">
        <v>20.131451099460101</v>
      </c>
      <c r="AG1368">
        <v>0.30119000000000001</v>
      </c>
      <c r="AH1368">
        <v>47.944695338765598</v>
      </c>
      <c r="AI1368">
        <v>89.6681380510975</v>
      </c>
      <c r="AJ1368">
        <v>67.222999731936596</v>
      </c>
      <c r="AK1368">
        <v>52.000575476749297</v>
      </c>
    </row>
    <row r="1369" spans="1:37" x14ac:dyDescent="0.2">
      <c r="A1369" t="str">
        <f>"20200111155817856"</f>
        <v>20200111155817856</v>
      </c>
      <c r="B1369" t="str">
        <f>"1578729497851958"</f>
        <v>1578729497851958</v>
      </c>
      <c r="C1369" t="s">
        <v>37</v>
      </c>
      <c r="D1369">
        <v>5.6326159999999996</v>
      </c>
      <c r="E1369">
        <v>0.61187179999999997</v>
      </c>
      <c r="F1369" t="s">
        <v>39</v>
      </c>
      <c r="G1369">
        <v>-189.73330000000001</v>
      </c>
      <c r="H1369" s="1">
        <v>-4.0641800000000003E-6</v>
      </c>
      <c r="I1369">
        <v>348.99619999999999</v>
      </c>
      <c r="J1369">
        <v>-204.52029999999999</v>
      </c>
      <c r="K1369">
        <v>1.09951</v>
      </c>
      <c r="L1369">
        <v>363.90839999999997</v>
      </c>
      <c r="M1369">
        <v>0.91848129999999994</v>
      </c>
      <c r="N1369">
        <v>0</v>
      </c>
      <c r="O1369">
        <v>-0.39520949999999999</v>
      </c>
      <c r="P1369">
        <v>0.87575270000000005</v>
      </c>
      <c r="Q1369">
        <v>4.4107590000000002E-3</v>
      </c>
      <c r="R1369">
        <v>-0.48274020000000001</v>
      </c>
      <c r="S1369">
        <v>2.2088619999999999</v>
      </c>
      <c r="T1369">
        <v>-0.16301379999999999</v>
      </c>
      <c r="U1369">
        <v>-2.2185060000000001</v>
      </c>
      <c r="V1369">
        <v>9.7512280000000007E-2</v>
      </c>
      <c r="W1369">
        <v>1.7350580000000001E-2</v>
      </c>
      <c r="X1369">
        <v>0.9950831</v>
      </c>
      <c r="Y1369">
        <v>0.37207509999999999</v>
      </c>
      <c r="Z1369">
        <v>1.134251E-2</v>
      </c>
      <c r="AA1369">
        <v>0.92813330000000005</v>
      </c>
      <c r="AB1369">
        <v>24</v>
      </c>
      <c r="AC1369">
        <v>14.7869999999999</v>
      </c>
      <c r="AD1369">
        <v>-1.0995140641800001</v>
      </c>
      <c r="AE1369">
        <v>-14.912199999999901</v>
      </c>
      <c r="AF1369">
        <v>7.8319368521926798</v>
      </c>
      <c r="AG1369">
        <v>-1.0995140641800001</v>
      </c>
      <c r="AH1369">
        <v>19.423745417346499</v>
      </c>
      <c r="AI1369">
        <v>93.005246671713294</v>
      </c>
      <c r="AJ1369">
        <v>68.039990517680707</v>
      </c>
      <c r="AK1369">
        <v>20.972125597372202</v>
      </c>
    </row>
    <row r="1370" spans="1:37" x14ac:dyDescent="0.2">
      <c r="A1370" t="str">
        <f>"20200111155817868"</f>
        <v>20200111155817868</v>
      </c>
      <c r="B1370" t="str">
        <f>"1578729497862225"</f>
        <v>1578729497862225</v>
      </c>
      <c r="C1370" t="s">
        <v>37</v>
      </c>
      <c r="D1370">
        <v>5.6117939999999997</v>
      </c>
      <c r="E1370">
        <v>0.61106969999999905</v>
      </c>
      <c r="F1370" t="s">
        <v>39</v>
      </c>
      <c r="G1370">
        <v>-189.83850000000001</v>
      </c>
      <c r="H1370" s="1">
        <v>-4.0922280000000003E-6</v>
      </c>
      <c r="I1370">
        <v>349.10509999999999</v>
      </c>
      <c r="J1370">
        <v>-204.4101</v>
      </c>
      <c r="K1370">
        <v>1.09941</v>
      </c>
      <c r="L1370">
        <v>363.85660000000001</v>
      </c>
      <c r="M1370">
        <v>0.91693719999999901</v>
      </c>
      <c r="N1370">
        <v>0</v>
      </c>
      <c r="O1370">
        <v>-0.39877779999999902</v>
      </c>
      <c r="P1370">
        <v>0.87314439999999904</v>
      </c>
      <c r="Q1370">
        <v>4.2425839999999998E-3</v>
      </c>
      <c r="R1370">
        <v>-0.48744309999999902</v>
      </c>
      <c r="S1370">
        <v>2.2024080000000001</v>
      </c>
      <c r="T1370">
        <v>-0.1649379</v>
      </c>
      <c r="U1370">
        <v>-2.2206419999999998</v>
      </c>
      <c r="V1370">
        <v>9.8996849999999997E-2</v>
      </c>
      <c r="W1370">
        <v>1.7153680000000001E-2</v>
      </c>
      <c r="X1370">
        <v>0.99493989999999999</v>
      </c>
      <c r="Y1370">
        <v>0.3702762</v>
      </c>
      <c r="Z1370">
        <v>1.173956E-2</v>
      </c>
      <c r="AA1370">
        <v>0.9288476</v>
      </c>
      <c r="AB1370">
        <v>24</v>
      </c>
      <c r="AC1370">
        <v>14.571599999999901</v>
      </c>
      <c r="AD1370">
        <v>-1.099414092228</v>
      </c>
      <c r="AE1370">
        <v>-14.7515</v>
      </c>
      <c r="AF1370">
        <v>7.6945175138502204</v>
      </c>
      <c r="AG1370">
        <v>-1.099414092228</v>
      </c>
      <c r="AH1370">
        <v>19.1918058721912</v>
      </c>
      <c r="AI1370">
        <v>93.043626404631695</v>
      </c>
      <c r="AJ1370">
        <v>68.152806707826301</v>
      </c>
      <c r="AK1370">
        <v>20.7060310961085</v>
      </c>
    </row>
    <row r="1371" spans="1:37" x14ac:dyDescent="0.2">
      <c r="A1371" t="str">
        <f>"20200111155817879"</f>
        <v>20200111155817879</v>
      </c>
      <c r="B1371" t="str">
        <f>"1578729497871984"</f>
        <v>1578729497871984</v>
      </c>
      <c r="C1371" t="s">
        <v>37</v>
      </c>
      <c r="D1371">
        <v>5.6239109999999997</v>
      </c>
      <c r="E1371">
        <v>0.6102803</v>
      </c>
      <c r="F1371" t="s">
        <v>39</v>
      </c>
      <c r="G1371">
        <v>-190.14070000000001</v>
      </c>
      <c r="H1371" s="1">
        <v>-4.2348349999999996E-6</v>
      </c>
      <c r="I1371">
        <v>349.3734</v>
      </c>
      <c r="J1371">
        <v>-204.28880000000001</v>
      </c>
      <c r="K1371">
        <v>1.0993059999999999</v>
      </c>
      <c r="L1371">
        <v>363.7987</v>
      </c>
      <c r="M1371">
        <v>0.91517199999999999</v>
      </c>
      <c r="N1371">
        <v>0</v>
      </c>
      <c r="O1371">
        <v>-0.40281220000000001</v>
      </c>
      <c r="P1371">
        <v>0.87025359999999996</v>
      </c>
      <c r="Q1371">
        <v>4.1198379999999998E-3</v>
      </c>
      <c r="R1371">
        <v>-0.4925871</v>
      </c>
      <c r="S1371">
        <v>2.193695</v>
      </c>
      <c r="T1371">
        <v>-0.1690169</v>
      </c>
      <c r="U1371">
        <v>-2.2265630000000001</v>
      </c>
      <c r="V1371">
        <v>0.10048899999999999</v>
      </c>
      <c r="W1371">
        <v>1.7003020000000001E-2</v>
      </c>
      <c r="X1371">
        <v>0.99479289999999998</v>
      </c>
      <c r="Y1371">
        <v>0.36926900000000001</v>
      </c>
      <c r="Z1371">
        <v>1.2300820000000001E-2</v>
      </c>
      <c r="AA1371">
        <v>0.92924119999999999</v>
      </c>
      <c r="AB1371">
        <v>24</v>
      </c>
      <c r="AC1371">
        <v>14.148099999999999</v>
      </c>
      <c r="AD1371">
        <v>-1.0993102348349999</v>
      </c>
      <c r="AE1371">
        <v>-14.425299999999901</v>
      </c>
      <c r="AF1371">
        <v>7.4812181507919</v>
      </c>
      <c r="AG1371">
        <v>-1.0993102348349999</v>
      </c>
      <c r="AH1371">
        <v>18.705162714437598</v>
      </c>
      <c r="AI1371">
        <v>93.1234078385</v>
      </c>
      <c r="AJ1371">
        <v>68.200826967830494</v>
      </c>
      <c r="AK1371">
        <v>20.175733448520202</v>
      </c>
    </row>
    <row r="1372" spans="1:37" x14ac:dyDescent="0.2">
      <c r="A1372" t="str">
        <f>"20200111155817891"</f>
        <v>20200111155817891</v>
      </c>
      <c r="B1372" t="str">
        <f>"1578729497882720"</f>
        <v>1578729497882720</v>
      </c>
      <c r="C1372" t="s">
        <v>37</v>
      </c>
      <c r="D1372">
        <v>5.6116199999999896</v>
      </c>
      <c r="E1372">
        <v>0.60950459999999995</v>
      </c>
      <c r="F1372" t="s">
        <v>39</v>
      </c>
      <c r="G1372">
        <v>-190.37629999999999</v>
      </c>
      <c r="H1372" s="1">
        <v>-4.3480380000000003E-6</v>
      </c>
      <c r="I1372">
        <v>349.56760000000003</v>
      </c>
      <c r="J1372">
        <v>-204.17670000000001</v>
      </c>
      <c r="K1372">
        <v>1.09921</v>
      </c>
      <c r="L1372">
        <v>363.74439999999998</v>
      </c>
      <c r="M1372">
        <v>0.91348809999999903</v>
      </c>
      <c r="N1372">
        <v>0</v>
      </c>
      <c r="O1372">
        <v>-0.40661579999999897</v>
      </c>
      <c r="P1372">
        <v>0.86740360000000005</v>
      </c>
      <c r="Q1372">
        <v>3.5187809999999999E-3</v>
      </c>
      <c r="R1372">
        <v>-0.497592699999999</v>
      </c>
      <c r="S1372">
        <v>2.1837309999999999</v>
      </c>
      <c r="T1372">
        <v>-0.17254920000000001</v>
      </c>
      <c r="U1372">
        <v>-2.2337340000000001</v>
      </c>
      <c r="V1372">
        <v>0.1020771</v>
      </c>
      <c r="W1372">
        <v>1.6371770000000001E-2</v>
      </c>
      <c r="X1372">
        <v>0.99464180000000002</v>
      </c>
      <c r="Y1372">
        <v>0.3690174</v>
      </c>
      <c r="Z1372">
        <v>1.2799690000000001E-2</v>
      </c>
      <c r="AA1372">
        <v>0.92933429999999995</v>
      </c>
      <c r="AB1372">
        <v>24</v>
      </c>
      <c r="AC1372">
        <v>13.8004</v>
      </c>
      <c r="AD1372">
        <v>-1.0992143480380001</v>
      </c>
      <c r="AE1372">
        <v>-14.176799999999901</v>
      </c>
      <c r="AF1372">
        <v>7.3170365355765297</v>
      </c>
      <c r="AG1372">
        <v>-1.0992143480380001</v>
      </c>
      <c r="AH1372">
        <v>18.3163389780761</v>
      </c>
      <c r="AI1372">
        <v>93.189818443633101</v>
      </c>
      <c r="AJ1372">
        <v>68.224210803954307</v>
      </c>
      <c r="AK1372">
        <v>19.754381018034501</v>
      </c>
    </row>
    <row r="1373" spans="1:37" x14ac:dyDescent="0.2">
      <c r="A1373" t="str">
        <f>"20200111155817903"</f>
        <v>20200111155817903</v>
      </c>
      <c r="B1373" t="str">
        <f>"1578729497892481"</f>
        <v>1578729497892481</v>
      </c>
      <c r="C1373" t="s">
        <v>37</v>
      </c>
      <c r="D1373">
        <v>5.6281339999999904</v>
      </c>
      <c r="E1373">
        <v>0.60875829999999997</v>
      </c>
      <c r="F1373" t="s">
        <v>44</v>
      </c>
      <c r="G1373">
        <v>-190.75040000000001</v>
      </c>
      <c r="H1373" s="1">
        <v>-3.7917799999999998E-7</v>
      </c>
      <c r="I1373">
        <v>349.90589999999997</v>
      </c>
      <c r="J1373">
        <v>-204.0625</v>
      </c>
      <c r="K1373">
        <v>1.0991139999999999</v>
      </c>
      <c r="L1373">
        <v>363.68869999999998</v>
      </c>
      <c r="M1373">
        <v>0.91172799999999998</v>
      </c>
      <c r="N1373">
        <v>0</v>
      </c>
      <c r="O1373">
        <v>-0.41054669999999999</v>
      </c>
      <c r="P1373">
        <v>0.86435680000000004</v>
      </c>
      <c r="Q1373">
        <v>2.6893579999999898E-3</v>
      </c>
      <c r="R1373">
        <v>-0.50287249999999994</v>
      </c>
      <c r="S1373">
        <v>2.17395</v>
      </c>
      <c r="T1373">
        <v>-0.17798129999999901</v>
      </c>
      <c r="U1373">
        <v>-2.2406919999999899</v>
      </c>
      <c r="V1373">
        <v>0.103849</v>
      </c>
      <c r="W1373">
        <v>1.5509759999999999E-2</v>
      </c>
      <c r="X1373">
        <v>0.99447209999999997</v>
      </c>
      <c r="Y1373">
        <v>0.36855110000000002</v>
      </c>
      <c r="Z1373">
        <v>1.3466209999999999E-2</v>
      </c>
      <c r="AA1373">
        <v>0.9295099</v>
      </c>
      <c r="AB1373">
        <v>24</v>
      </c>
      <c r="AC1373">
        <v>13.3120999999999</v>
      </c>
      <c r="AD1373">
        <v>-1.099114379178</v>
      </c>
      <c r="AE1373">
        <v>-13.7828</v>
      </c>
      <c r="AF1373">
        <v>7.0783599048334596</v>
      </c>
      <c r="AG1373">
        <v>-1.099114379178</v>
      </c>
      <c r="AH1373">
        <v>17.738945014611499</v>
      </c>
      <c r="AI1373">
        <v>93.2936331694345</v>
      </c>
      <c r="AJ1373">
        <v>68.246549212230306</v>
      </c>
      <c r="AK1373">
        <v>19.130640386361399</v>
      </c>
    </row>
    <row r="1374" spans="1:37" x14ac:dyDescent="0.2">
      <c r="A1374" t="str">
        <f>"20200111155817915"</f>
        <v>20200111155817915</v>
      </c>
      <c r="B1374" t="str">
        <f>"1578729497912000"</f>
        <v>1578729497912000</v>
      </c>
      <c r="C1374" t="s">
        <v>37</v>
      </c>
      <c r="D1374">
        <v>5.6218899999999996</v>
      </c>
      <c r="E1374">
        <v>0.60735899999999998</v>
      </c>
      <c r="F1374" t="s">
        <v>44</v>
      </c>
      <c r="G1374">
        <v>-190.97409999999999</v>
      </c>
      <c r="H1374" s="1">
        <v>-5.4436500000000002E-7</v>
      </c>
      <c r="I1374">
        <v>350.08440000000002</v>
      </c>
      <c r="J1374">
        <v>-203.9435</v>
      </c>
      <c r="K1374">
        <v>1.0990139999999999</v>
      </c>
      <c r="L1374">
        <v>363.62950000000001</v>
      </c>
      <c r="M1374">
        <v>0.90981599999999996</v>
      </c>
      <c r="N1374">
        <v>0</v>
      </c>
      <c r="O1374">
        <v>-0.41476570000000001</v>
      </c>
      <c r="P1374">
        <v>0.86115909999999996</v>
      </c>
      <c r="Q1374">
        <v>1.5628650000000001E-3</v>
      </c>
      <c r="R1374">
        <v>-0.50833329999999999</v>
      </c>
      <c r="S1374">
        <v>2.163208</v>
      </c>
      <c r="T1374">
        <v>-0.18165889999999901</v>
      </c>
      <c r="U1374">
        <v>-2.2484739999999999</v>
      </c>
      <c r="V1374">
        <v>0.1055242</v>
      </c>
      <c r="W1374">
        <v>1.435118E-2</v>
      </c>
      <c r="X1374">
        <v>0.99431320000000001</v>
      </c>
      <c r="Y1374">
        <v>0.36816359999999998</v>
      </c>
      <c r="Z1374">
        <v>1.403018E-2</v>
      </c>
      <c r="AA1374">
        <v>0.92965509999999996</v>
      </c>
      <c r="AB1374">
        <v>24</v>
      </c>
      <c r="AC1374">
        <v>12.9694</v>
      </c>
      <c r="AD1374">
        <v>-1.0990145443649999</v>
      </c>
      <c r="AE1374">
        <v>-13.5450999999999</v>
      </c>
      <c r="AF1374">
        <v>6.9212247180125903</v>
      </c>
      <c r="AG1374">
        <v>-1.0990145443649999</v>
      </c>
      <c r="AH1374">
        <v>17.359966619985901</v>
      </c>
      <c r="AI1374">
        <v>93.365460102468703</v>
      </c>
      <c r="AJ1374">
        <v>68.263382464543596</v>
      </c>
      <c r="AK1374">
        <v>18.7211010790759</v>
      </c>
    </row>
    <row r="1375" spans="1:37" x14ac:dyDescent="0.2">
      <c r="A1375" t="str">
        <f>"20200111155817927"</f>
        <v>20200111155817927</v>
      </c>
      <c r="B1375" t="str">
        <f>"1578729497922736"</f>
        <v>1578729497922736</v>
      </c>
      <c r="C1375" t="s">
        <v>37</v>
      </c>
      <c r="D1375">
        <v>5.637092</v>
      </c>
      <c r="E1375">
        <v>0.60680940000000005</v>
      </c>
      <c r="F1375" t="s">
        <v>44</v>
      </c>
      <c r="G1375">
        <v>-191.43979999999999</v>
      </c>
      <c r="H1375" s="1">
        <v>-9.5046660000000001E-7</v>
      </c>
      <c r="I1375">
        <v>350.56119999999999</v>
      </c>
      <c r="J1375">
        <v>-203.8211</v>
      </c>
      <c r="K1375">
        <v>1.098905</v>
      </c>
      <c r="L1375">
        <v>363.56819999999999</v>
      </c>
      <c r="M1375">
        <v>0.90780169999999905</v>
      </c>
      <c r="N1375">
        <v>0</v>
      </c>
      <c r="O1375">
        <v>-0.41915559999999902</v>
      </c>
      <c r="P1375">
        <v>0.85775569999999901</v>
      </c>
      <c r="Q1375">
        <v>6.7055229999999895E-4</v>
      </c>
      <c r="R1375">
        <v>-0.51405699999999999</v>
      </c>
      <c r="S1375">
        <v>2.1546939999999899</v>
      </c>
      <c r="T1375">
        <v>-0.1893888</v>
      </c>
      <c r="U1375">
        <v>-2.252014</v>
      </c>
      <c r="V1375">
        <v>0.1073344</v>
      </c>
      <c r="W1375">
        <v>1.34243E-2</v>
      </c>
      <c r="X1375">
        <v>0.99413229999999997</v>
      </c>
      <c r="Y1375">
        <v>0.36624689999999999</v>
      </c>
      <c r="Z1375">
        <v>1.4990170000000001E-2</v>
      </c>
      <c r="AA1375">
        <v>0.93039699999999903</v>
      </c>
      <c r="AB1375">
        <v>24</v>
      </c>
      <c r="AC1375">
        <v>12.3813</v>
      </c>
      <c r="AD1375">
        <v>-1.0989059504665999</v>
      </c>
      <c r="AE1375">
        <v>-13.007</v>
      </c>
      <c r="AF1375">
        <v>6.5940698149263799</v>
      </c>
      <c r="AG1375">
        <v>-1.0989059504665999</v>
      </c>
      <c r="AH1375">
        <v>16.6311512620183</v>
      </c>
      <c r="AI1375">
        <v>93.514881408979207</v>
      </c>
      <c r="AJ1375">
        <v>68.372214894305102</v>
      </c>
      <c r="AK1375">
        <v>17.924411937696199</v>
      </c>
    </row>
    <row r="1376" spans="1:37" x14ac:dyDescent="0.2">
      <c r="A1376" t="str">
        <f>"20200111155817939"</f>
        <v>20200111155817939</v>
      </c>
      <c r="B1376" t="str">
        <f>"1578729497932497"</f>
        <v>1578729497932497</v>
      </c>
      <c r="C1376" t="s">
        <v>37</v>
      </c>
      <c r="D1376">
        <v>5.5984949999999998</v>
      </c>
      <c r="E1376">
        <v>0.60680940000000005</v>
      </c>
      <c r="F1376" t="s">
        <v>44</v>
      </c>
      <c r="G1376">
        <v>-191.73949999999999</v>
      </c>
      <c r="H1376" s="1">
        <v>-1.1765150000000001E-6</v>
      </c>
      <c r="I1376">
        <v>350.80840000000001</v>
      </c>
      <c r="J1376">
        <v>-203.70070000000001</v>
      </c>
      <c r="K1376">
        <v>1.0988009999999999</v>
      </c>
      <c r="L1376">
        <v>363.5068</v>
      </c>
      <c r="M1376">
        <v>0.90574189999999999</v>
      </c>
      <c r="N1376">
        <v>0</v>
      </c>
      <c r="O1376">
        <v>-0.4235872</v>
      </c>
      <c r="P1376">
        <v>0.85442479999999998</v>
      </c>
      <c r="Q1376">
        <v>-4.591048E-4</v>
      </c>
      <c r="R1376">
        <v>-0.51957500000000001</v>
      </c>
      <c r="S1376">
        <v>2.141937</v>
      </c>
      <c r="T1376">
        <v>-0.194824</v>
      </c>
      <c r="U1376">
        <v>-2.2621769999999999</v>
      </c>
      <c r="V1376">
        <v>0.1088706</v>
      </c>
      <c r="W1376">
        <v>1.2264250000000001E-2</v>
      </c>
      <c r="X1376">
        <v>0.99398030000000004</v>
      </c>
      <c r="Y1376">
        <v>0.36655939999999998</v>
      </c>
      <c r="Z1376">
        <v>1.571784E-2</v>
      </c>
      <c r="AA1376">
        <v>0.93026189999999997</v>
      </c>
      <c r="AB1376">
        <v>24</v>
      </c>
      <c r="AC1376">
        <v>11.9612</v>
      </c>
      <c r="AD1376">
        <v>-1.098802176515</v>
      </c>
      <c r="AE1376">
        <v>-12.6983999999999</v>
      </c>
      <c r="AF1376">
        <v>6.4100914197922902</v>
      </c>
      <c r="AG1376">
        <v>-1.098802176515</v>
      </c>
      <c r="AH1376">
        <v>16.150230905925</v>
      </c>
      <c r="AI1376">
        <v>93.618418923201702</v>
      </c>
      <c r="AJ1376">
        <v>68.351673511337495</v>
      </c>
      <c r="AK1376">
        <v>17.4105311966035</v>
      </c>
    </row>
    <row r="1377" spans="1:37" x14ac:dyDescent="0.2">
      <c r="A1377" t="str">
        <f>"20200111155817952"</f>
        <v>20200111155817952</v>
      </c>
      <c r="B1377" t="str">
        <f>"1578729497942257"</f>
        <v>1578729497942257</v>
      </c>
      <c r="C1377" t="s">
        <v>37</v>
      </c>
      <c r="D1377">
        <v>5.6288549999999997</v>
      </c>
      <c r="E1377">
        <v>0.5988424</v>
      </c>
      <c r="F1377" t="s">
        <v>44</v>
      </c>
      <c r="G1377">
        <v>-191.9417</v>
      </c>
      <c r="H1377" s="1">
        <v>-1.300928E-6</v>
      </c>
      <c r="I1377">
        <v>350.92770000000002</v>
      </c>
      <c r="J1377">
        <v>-203.58969999999999</v>
      </c>
      <c r="K1377">
        <v>1.098706</v>
      </c>
      <c r="L1377">
        <v>363.4495</v>
      </c>
      <c r="M1377">
        <v>0.90378609999999904</v>
      </c>
      <c r="N1377">
        <v>0</v>
      </c>
      <c r="O1377">
        <v>-0.42774420000000002</v>
      </c>
      <c r="P1377">
        <v>0.85122019999999998</v>
      </c>
      <c r="Q1377">
        <v>-1.2276279999999999E-3</v>
      </c>
      <c r="R1377">
        <v>-0.52480760000000004</v>
      </c>
      <c r="S1377">
        <v>2.127243</v>
      </c>
      <c r="T1377">
        <v>-0.19877639999999999</v>
      </c>
      <c r="U1377">
        <v>-2.275604</v>
      </c>
      <c r="V1377">
        <v>0.1103946</v>
      </c>
      <c r="W1377">
        <v>1.146608E-2</v>
      </c>
      <c r="X1377">
        <v>0.99382169999999903</v>
      </c>
      <c r="Y1377">
        <v>0.36823400000000001</v>
      </c>
      <c r="Z1377">
        <v>1.6272289999999998E-2</v>
      </c>
      <c r="AA1377">
        <v>0.92959080000000005</v>
      </c>
      <c r="AB1377">
        <v>24</v>
      </c>
      <c r="AC1377">
        <v>11.6479999999999</v>
      </c>
      <c r="AD1377">
        <v>-1.098707300928</v>
      </c>
      <c r="AE1377">
        <v>-12.521799999999899</v>
      </c>
      <c r="AF1377">
        <v>6.3092744566846397</v>
      </c>
      <c r="AG1377">
        <v>-1.098707300928</v>
      </c>
      <c r="AH1377">
        <v>15.819765648584299</v>
      </c>
      <c r="AI1377">
        <v>93.691054214579296</v>
      </c>
      <c r="AJ1377">
        <v>68.2567868624878</v>
      </c>
      <c r="AK1377">
        <v>17.066900336001702</v>
      </c>
    </row>
    <row r="1378" spans="1:37" x14ac:dyDescent="0.2">
      <c r="A1378" t="str">
        <f>"20200111155817965"</f>
        <v>20200111155817965</v>
      </c>
      <c r="B1378" t="str">
        <f>"1578729497962284"</f>
        <v>1578729497962284</v>
      </c>
      <c r="C1378" t="s">
        <v>37</v>
      </c>
      <c r="D1378">
        <v>5.6843170000000001</v>
      </c>
      <c r="E1378">
        <v>0.603649199999999</v>
      </c>
      <c r="F1378" t="s">
        <v>44</v>
      </c>
      <c r="G1378">
        <v>-192.72749999999999</v>
      </c>
      <c r="H1378" s="1">
        <v>-2.234946E-6</v>
      </c>
      <c r="I1378">
        <v>352.1524</v>
      </c>
      <c r="J1378">
        <v>-203.45949999999999</v>
      </c>
      <c r="K1378">
        <v>1.0986020000000001</v>
      </c>
      <c r="L1378">
        <v>363.38159999999999</v>
      </c>
      <c r="M1378">
        <v>0.90143719999999905</v>
      </c>
      <c r="N1378">
        <v>0</v>
      </c>
      <c r="O1378">
        <v>-0.43267119999999998</v>
      </c>
      <c r="P1378">
        <v>0.84752109999999903</v>
      </c>
      <c r="Q1378">
        <v>-1.810491E-3</v>
      </c>
      <c r="R1378">
        <v>-0.53075850000000002</v>
      </c>
      <c r="S1378">
        <v>2.1472169999999999</v>
      </c>
      <c r="T1378">
        <v>-0.21719089999999999</v>
      </c>
      <c r="U1378">
        <v>-2.23318499999999</v>
      </c>
      <c r="V1378">
        <v>0.1119276</v>
      </c>
      <c r="W1378">
        <v>1.08529E-2</v>
      </c>
      <c r="X1378">
        <v>0.99365709999999996</v>
      </c>
      <c r="Y1378">
        <v>0.3500798</v>
      </c>
      <c r="Z1378">
        <v>1.88843E-2</v>
      </c>
      <c r="AA1378">
        <v>0.93652950000000001</v>
      </c>
      <c r="AB1378">
        <v>24</v>
      </c>
      <c r="AC1378">
        <v>10.731999999999999</v>
      </c>
      <c r="AD1378">
        <v>-1.0986042349459999</v>
      </c>
      <c r="AE1378">
        <v>-11.229199999999899</v>
      </c>
      <c r="AF1378">
        <v>5.4522829103408803</v>
      </c>
      <c r="AG1378">
        <v>-1.0986042349459999</v>
      </c>
      <c r="AH1378">
        <v>14.461932711538701</v>
      </c>
      <c r="AI1378">
        <v>94.065826262379701</v>
      </c>
      <c r="AJ1378">
        <v>69.343091281178303</v>
      </c>
      <c r="AK1378">
        <v>15.4945738228745</v>
      </c>
    </row>
    <row r="1379" spans="1:37" x14ac:dyDescent="0.2">
      <c r="A1379" t="str">
        <f>"20200111155817978"</f>
        <v>20200111155817978</v>
      </c>
      <c r="B1379" t="str">
        <f>"1578729497972043"</f>
        <v>1578729497972043</v>
      </c>
      <c r="C1379" t="s">
        <v>37</v>
      </c>
      <c r="D1379">
        <v>5.7170569999999996</v>
      </c>
      <c r="E1379">
        <v>0.60285409999999995</v>
      </c>
      <c r="F1379" t="s">
        <v>45</v>
      </c>
      <c r="G1379">
        <v>-168.40039999999999</v>
      </c>
      <c r="H1379">
        <v>1.246702</v>
      </c>
      <c r="I1379">
        <v>325.08839999999998</v>
      </c>
      <c r="J1379">
        <v>-203.3218</v>
      </c>
      <c r="K1379">
        <v>1.098495</v>
      </c>
      <c r="L1379">
        <v>363.30810000000002</v>
      </c>
      <c r="M1379">
        <v>0.89884399999999998</v>
      </c>
      <c r="N1379">
        <v>0</v>
      </c>
      <c r="O1379">
        <v>-0.43803229999999999</v>
      </c>
      <c r="P1379">
        <v>0.84294400000000003</v>
      </c>
      <c r="Q1379">
        <v>-2.6363469999999998E-3</v>
      </c>
      <c r="R1379">
        <v>-0.53799519999999901</v>
      </c>
      <c r="S1379">
        <v>2.1019739999999998</v>
      </c>
      <c r="T1379">
        <v>8.8797809999999998E-3</v>
      </c>
      <c r="U1379">
        <v>-2.295868</v>
      </c>
      <c r="V1379">
        <v>0.1145081</v>
      </c>
      <c r="W1379">
        <v>9.9793840000000009E-3</v>
      </c>
      <c r="X1379">
        <v>0.99337219999999904</v>
      </c>
      <c r="Y1379">
        <v>0.36720190000000003</v>
      </c>
      <c r="Z1379">
        <v>-7.6183539999999904E-4</v>
      </c>
      <c r="AA1379">
        <v>0.930141</v>
      </c>
      <c r="AB1379">
        <v>24</v>
      </c>
      <c r="AC1379">
        <v>34.921399999999998</v>
      </c>
      <c r="AD1379">
        <v>0.14820699999999901</v>
      </c>
      <c r="AE1379">
        <v>-38.219700000000003</v>
      </c>
      <c r="AF1379">
        <v>19.058664964543102</v>
      </c>
      <c r="AG1379">
        <v>0.14820699999999901</v>
      </c>
      <c r="AH1379">
        <v>48.134945785049197</v>
      </c>
      <c r="AI1379">
        <v>89.835976491289301</v>
      </c>
      <c r="AJ1379">
        <v>68.399288210784405</v>
      </c>
      <c r="AK1379">
        <v>51.7709153992392</v>
      </c>
    </row>
    <row r="1380" spans="1:37" x14ac:dyDescent="0.2">
      <c r="A1380" t="str">
        <f>"20200111155817991"</f>
        <v>20200111155817991</v>
      </c>
      <c r="B1380" t="str">
        <f>"1578729497982780"</f>
        <v>1578729497982780</v>
      </c>
      <c r="C1380" t="s">
        <v>37</v>
      </c>
      <c r="D1380">
        <v>5.7279609999999996</v>
      </c>
      <c r="E1380">
        <v>0.60159119999999899</v>
      </c>
      <c r="F1380" t="s">
        <v>45</v>
      </c>
      <c r="G1380">
        <v>-168.40029999999999</v>
      </c>
      <c r="H1380">
        <v>1.000661</v>
      </c>
      <c r="I1380">
        <v>324.68329999999997</v>
      </c>
      <c r="J1380">
        <v>-203.2089</v>
      </c>
      <c r="K1380">
        <v>1.0984119999999999</v>
      </c>
      <c r="L1380">
        <v>363.24709999999999</v>
      </c>
      <c r="M1380">
        <v>0.89665839999999997</v>
      </c>
      <c r="N1380">
        <v>0</v>
      </c>
      <c r="O1380">
        <v>-0.4424883</v>
      </c>
      <c r="P1380">
        <v>0.8394549</v>
      </c>
      <c r="Q1380">
        <v>-2.6265889999999999E-3</v>
      </c>
      <c r="R1380">
        <v>-0.54342309999999905</v>
      </c>
      <c r="S1380">
        <v>2.0862270000000001</v>
      </c>
      <c r="T1380">
        <v>-5.8442349999999997E-3</v>
      </c>
      <c r="U1380">
        <v>-2.3074650000000001</v>
      </c>
      <c r="V1380">
        <v>0.1159896</v>
      </c>
      <c r="W1380">
        <v>9.9607889999999994E-3</v>
      </c>
      <c r="X1380">
        <v>0.99320049999999904</v>
      </c>
      <c r="Y1380">
        <v>0.36839899999999998</v>
      </c>
      <c r="Z1380">
        <v>5.097589E-4</v>
      </c>
      <c r="AA1380">
        <v>0.92966769999999999</v>
      </c>
      <c r="AB1380">
        <v>24</v>
      </c>
      <c r="AC1380">
        <v>34.808599999999998</v>
      </c>
      <c r="AD1380">
        <v>-9.7751000000000102E-2</v>
      </c>
      <c r="AE1380">
        <v>-38.563800000000001</v>
      </c>
      <c r="AF1380">
        <v>19.178081952175098</v>
      </c>
      <c r="AG1380">
        <v>-9.7751000000000102E-2</v>
      </c>
      <c r="AH1380">
        <v>48.280299984788201</v>
      </c>
      <c r="AI1380">
        <v>90.107810010643803</v>
      </c>
      <c r="AJ1380">
        <v>68.335848583534798</v>
      </c>
      <c r="AK1380">
        <v>51.9499350263645</v>
      </c>
    </row>
    <row r="1381" spans="1:37" x14ac:dyDescent="0.2">
      <c r="A1381" t="str">
        <f>"20200111155818004"</f>
        <v>20200111155818004</v>
      </c>
      <c r="B1381" t="str">
        <f>"1578729497992540"</f>
        <v>1578729497992540</v>
      </c>
      <c r="C1381" t="s">
        <v>37</v>
      </c>
      <c r="D1381">
        <v>5.7100160000000004</v>
      </c>
      <c r="E1381">
        <v>0.60159119999999899</v>
      </c>
      <c r="F1381" t="s">
        <v>45</v>
      </c>
      <c r="G1381">
        <v>-168.40029999999999</v>
      </c>
      <c r="H1381">
        <v>0.96314630000000001</v>
      </c>
      <c r="I1381">
        <v>324.47989999999999</v>
      </c>
      <c r="J1381">
        <v>-203.08879999999999</v>
      </c>
      <c r="K1381">
        <v>1.098325</v>
      </c>
      <c r="L1381">
        <v>363.1816</v>
      </c>
      <c r="M1381">
        <v>0.89428180000000002</v>
      </c>
      <c r="N1381">
        <v>0</v>
      </c>
      <c r="O1381">
        <v>-0.44727159999999899</v>
      </c>
      <c r="P1381">
        <v>0.83587829999999996</v>
      </c>
      <c r="Q1381">
        <v>-2.1264829999999898E-3</v>
      </c>
      <c r="R1381">
        <v>-0.54891069999999997</v>
      </c>
      <c r="S1381">
        <v>2.0765530000000001</v>
      </c>
      <c r="T1381">
        <v>-8.0690380000000006E-3</v>
      </c>
      <c r="U1381">
        <v>-2.3127140000000002</v>
      </c>
      <c r="V1381">
        <v>0.11719980000000001</v>
      </c>
      <c r="W1381">
        <v>1.0435689999999999E-2</v>
      </c>
      <c r="X1381">
        <v>0.99305350000000003</v>
      </c>
      <c r="Y1381">
        <v>0.3666317</v>
      </c>
      <c r="Z1381">
        <v>7.2028139999999897E-4</v>
      </c>
      <c r="AA1381">
        <v>0.93036589999999997</v>
      </c>
      <c r="AB1381">
        <v>24</v>
      </c>
      <c r="AC1381">
        <v>34.688499999999998</v>
      </c>
      <c r="AD1381">
        <v>-0.13517869999999901</v>
      </c>
      <c r="AE1381">
        <v>-38.701700000000002</v>
      </c>
      <c r="AF1381">
        <v>19.0969037448953</v>
      </c>
      <c r="AG1381">
        <v>-0.13517869999999901</v>
      </c>
      <c r="AH1381">
        <v>48.336170062461399</v>
      </c>
      <c r="AI1381">
        <v>90.149025789277601</v>
      </c>
      <c r="AJ1381">
        <v>68.441759169832295</v>
      </c>
      <c r="AK1381">
        <v>51.972063093838401</v>
      </c>
    </row>
    <row r="1382" spans="1:37" x14ac:dyDescent="0.2">
      <c r="A1382" t="str">
        <f>"20200111155818016"</f>
        <v>20200111155818016</v>
      </c>
      <c r="B1382" t="str">
        <f>"1578729498012060"</f>
        <v>1578729498012060</v>
      </c>
      <c r="C1382" t="s">
        <v>37</v>
      </c>
      <c r="D1382">
        <v>5.566872</v>
      </c>
      <c r="E1382">
        <v>0.59121599999999996</v>
      </c>
      <c r="F1382" t="s">
        <v>45</v>
      </c>
      <c r="G1382">
        <v>-168.40029999999999</v>
      </c>
      <c r="H1382">
        <v>0.99590979999999996</v>
      </c>
      <c r="I1382">
        <v>324.05189999999999</v>
      </c>
      <c r="J1382">
        <v>-202.97479999999999</v>
      </c>
      <c r="K1382">
        <v>1.098249</v>
      </c>
      <c r="L1382">
        <v>363.1182</v>
      </c>
      <c r="M1382">
        <v>0.89194019999999996</v>
      </c>
      <c r="N1382">
        <v>0</v>
      </c>
      <c r="O1382">
        <v>-0.45192270000000001</v>
      </c>
      <c r="P1382">
        <v>0.83231730000000004</v>
      </c>
      <c r="Q1382">
        <v>-1.61414E-3</v>
      </c>
      <c r="R1382">
        <v>-0.5542977</v>
      </c>
      <c r="S1382">
        <v>2.0617519999999998</v>
      </c>
      <c r="T1382">
        <v>-6.086826E-3</v>
      </c>
      <c r="U1382">
        <v>-2.3257140000000001</v>
      </c>
      <c r="V1382">
        <v>0.118451</v>
      </c>
      <c r="W1382">
        <v>1.092395E-2</v>
      </c>
      <c r="X1382">
        <v>0.9928998</v>
      </c>
      <c r="Y1382">
        <v>0.36768299999999998</v>
      </c>
      <c r="Z1382">
        <v>5.5232480000000003E-4</v>
      </c>
      <c r="AA1382">
        <v>0.92995110000000003</v>
      </c>
      <c r="AB1382">
        <v>24</v>
      </c>
      <c r="AC1382">
        <v>34.5745</v>
      </c>
      <c r="AD1382">
        <v>-0.10233920000000001</v>
      </c>
      <c r="AE1382">
        <v>-39.066299999999998</v>
      </c>
      <c r="AF1382">
        <v>19.221732559685101</v>
      </c>
      <c r="AG1382">
        <v>-0.10233920000000001</v>
      </c>
      <c r="AH1382">
        <v>48.498205088860097</v>
      </c>
      <c r="AI1382">
        <v>90.112397295787403</v>
      </c>
      <c r="AJ1382">
        <v>68.379643429953802</v>
      </c>
      <c r="AK1382">
        <v>52.1685860719749</v>
      </c>
    </row>
    <row r="1383" spans="1:37" x14ac:dyDescent="0.2">
      <c r="A1383" t="str">
        <f>"20200111155818029"</f>
        <v>20200111155818029</v>
      </c>
      <c r="B1383" t="str">
        <f>"1578729498022796"</f>
        <v>1578729498022796</v>
      </c>
      <c r="C1383" t="s">
        <v>37</v>
      </c>
      <c r="D1383">
        <v>5.7215639999999999</v>
      </c>
      <c r="E1383">
        <v>0.59005759999999996</v>
      </c>
      <c r="F1383" t="s">
        <v>44</v>
      </c>
      <c r="G1383">
        <v>-192.11070000000001</v>
      </c>
      <c r="H1383" s="1">
        <v>-1.654768E-6</v>
      </c>
      <c r="I1383">
        <v>351.4495</v>
      </c>
      <c r="J1383">
        <v>-202.84989999999999</v>
      </c>
      <c r="K1383">
        <v>1.0981639999999999</v>
      </c>
      <c r="L1383">
        <v>363.048</v>
      </c>
      <c r="M1383">
        <v>0.88931759999999904</v>
      </c>
      <c r="N1383">
        <v>0</v>
      </c>
      <c r="O1383">
        <v>-0.4570612</v>
      </c>
      <c r="P1383">
        <v>0.82853009999999905</v>
      </c>
      <c r="Q1383">
        <v>-1.1771189999999999E-3</v>
      </c>
      <c r="R1383">
        <v>-0.55994379999999999</v>
      </c>
      <c r="S1383">
        <v>2.101089</v>
      </c>
      <c r="T1383">
        <v>-0.21239810000000001</v>
      </c>
      <c r="U1383">
        <v>-2.2566830000000002</v>
      </c>
      <c r="V1383">
        <v>0.1194818</v>
      </c>
      <c r="W1383">
        <v>1.13402E-2</v>
      </c>
      <c r="X1383">
        <v>0.99277159999999998</v>
      </c>
      <c r="Y1383">
        <v>0.33965099999999998</v>
      </c>
      <c r="Z1383">
        <v>2.073473E-2</v>
      </c>
      <c r="AA1383">
        <v>0.94032299999999902</v>
      </c>
      <c r="AB1383">
        <v>24</v>
      </c>
      <c r="AC1383">
        <v>10.739199999999901</v>
      </c>
      <c r="AD1383">
        <v>-1.0981656547679901</v>
      </c>
      <c r="AE1383">
        <v>-11.5985</v>
      </c>
      <c r="AF1383">
        <v>5.3808726718375102</v>
      </c>
      <c r="AG1383">
        <v>-1.0981656547679901</v>
      </c>
      <c r="AH1383">
        <v>14.7819905035866</v>
      </c>
      <c r="AI1383">
        <v>93.993310420574304</v>
      </c>
      <c r="AJ1383">
        <v>69.997713280095596</v>
      </c>
      <c r="AK1383">
        <v>15.769178855094699</v>
      </c>
    </row>
    <row r="1384" spans="1:37" x14ac:dyDescent="0.2">
      <c r="A1384" t="str">
        <f>"20200111155818042"</f>
        <v>20200111155818042</v>
      </c>
      <c r="B1384" t="str">
        <f>"1578729498032556"</f>
        <v>1578729498032556</v>
      </c>
      <c r="C1384" t="s">
        <v>37</v>
      </c>
      <c r="D1384">
        <v>5.8001490000000002</v>
      </c>
      <c r="E1384">
        <v>0.5902944</v>
      </c>
      <c r="F1384" t="s">
        <v>44</v>
      </c>
      <c r="G1384">
        <v>-192.14680000000001</v>
      </c>
      <c r="H1384" s="1">
        <v>-1.67176799999999E-6</v>
      </c>
      <c r="I1384">
        <v>351.46199999999999</v>
      </c>
      <c r="J1384">
        <v>-202.72909999999999</v>
      </c>
      <c r="K1384">
        <v>1.0980889999999901</v>
      </c>
      <c r="L1384">
        <v>362.97910000000002</v>
      </c>
      <c r="M1384">
        <v>0.88670339999999903</v>
      </c>
      <c r="N1384">
        <v>0</v>
      </c>
      <c r="O1384">
        <v>-0.46211179999999902</v>
      </c>
      <c r="P1384">
        <v>0.82461930000000006</v>
      </c>
      <c r="Q1384">
        <v>-4.5581349999999899E-4</v>
      </c>
      <c r="R1384">
        <v>-0.56568839999999998</v>
      </c>
      <c r="S1384">
        <v>2.0909119999999999</v>
      </c>
      <c r="T1384">
        <v>-0.2145328</v>
      </c>
      <c r="U1384">
        <v>-2.2633969999999999</v>
      </c>
      <c r="V1384">
        <v>0.1207481</v>
      </c>
      <c r="W1384">
        <v>1.2037290000000001E-2</v>
      </c>
      <c r="X1384">
        <v>0.992610199999999</v>
      </c>
      <c r="Y1384">
        <v>0.33798679999999998</v>
      </c>
      <c r="Z1384">
        <v>2.139506E-2</v>
      </c>
      <c r="AA1384">
        <v>0.94090769999999901</v>
      </c>
      <c r="AB1384">
        <v>24</v>
      </c>
      <c r="AC1384">
        <v>10.582299999999901</v>
      </c>
      <c r="AD1384">
        <v>-1.0980906717679999</v>
      </c>
      <c r="AE1384">
        <v>-11.517099999999999</v>
      </c>
      <c r="AF1384">
        <v>5.2964972530960397</v>
      </c>
      <c r="AG1384">
        <v>-1.0980906717679999</v>
      </c>
      <c r="AH1384">
        <v>14.6349544059556</v>
      </c>
      <c r="AI1384">
        <v>94.035743221765799</v>
      </c>
      <c r="AJ1384">
        <v>70.104438635742895</v>
      </c>
      <c r="AK1384">
        <v>15.602582374077601</v>
      </c>
    </row>
    <row r="1385" spans="1:37" x14ac:dyDescent="0.2">
      <c r="A1385" t="str">
        <f>"20200111155818058"</f>
        <v>20200111155818058</v>
      </c>
      <c r="B1385" t="str">
        <f>"1578729498052076"</f>
        <v>1578729498052076</v>
      </c>
      <c r="C1385" t="s">
        <v>37</v>
      </c>
      <c r="D1385">
        <v>5.6498280000000003</v>
      </c>
      <c r="E1385">
        <v>0.59079349999999997</v>
      </c>
      <c r="F1385" t="s">
        <v>44</v>
      </c>
      <c r="G1385">
        <v>-191.45840000000001</v>
      </c>
      <c r="H1385" s="1">
        <v>-9.7003790000000008E-7</v>
      </c>
      <c r="I1385">
        <v>350.58589999999998</v>
      </c>
      <c r="J1385">
        <v>-202.58260000000001</v>
      </c>
      <c r="K1385">
        <v>1.098012</v>
      </c>
      <c r="L1385">
        <v>362.89389999999997</v>
      </c>
      <c r="M1385">
        <v>0.88342949999999998</v>
      </c>
      <c r="N1385">
        <v>0</v>
      </c>
      <c r="O1385">
        <v>-0.46833909999999901</v>
      </c>
      <c r="P1385">
        <v>0.81947049999999999</v>
      </c>
      <c r="Q1385">
        <v>1.3029389999999999E-3</v>
      </c>
      <c r="R1385">
        <v>-0.57312010000000002</v>
      </c>
      <c r="S1385">
        <v>2.0737000000000001</v>
      </c>
      <c r="T1385">
        <v>-0.20203740000000001</v>
      </c>
      <c r="U1385">
        <v>-2.2802119999999899</v>
      </c>
      <c r="V1385">
        <v>0.1227684</v>
      </c>
      <c r="W1385">
        <v>1.3759479999999999E-2</v>
      </c>
      <c r="X1385">
        <v>0.99234</v>
      </c>
      <c r="Y1385">
        <v>0.33869369999999999</v>
      </c>
      <c r="Z1385">
        <v>2.0569790000000001E-2</v>
      </c>
      <c r="AA1385">
        <v>0.94067179999999995</v>
      </c>
      <c r="AB1385">
        <v>24</v>
      </c>
      <c r="AC1385">
        <v>11.1242</v>
      </c>
      <c r="AD1385">
        <v>-1.0980129700379</v>
      </c>
      <c r="AE1385">
        <v>-12.3079999999999</v>
      </c>
      <c r="AF1385">
        <v>5.6392474525632599</v>
      </c>
      <c r="AG1385">
        <v>-1.0980129700379</v>
      </c>
      <c r="AH1385">
        <v>15.525400613164701</v>
      </c>
      <c r="AI1385">
        <v>93.803104570672005</v>
      </c>
      <c r="AJ1385">
        <v>70.0376027504051</v>
      </c>
      <c r="AK1385">
        <v>16.5542987925453</v>
      </c>
    </row>
    <row r="1386" spans="1:37" x14ac:dyDescent="0.2">
      <c r="A1386" t="str">
        <f>"20200111155818070"</f>
        <v>20200111155818070</v>
      </c>
      <c r="B1386" t="str">
        <f>"1578729498062342"</f>
        <v>1578729498062342</v>
      </c>
      <c r="C1386" t="s">
        <v>37</v>
      </c>
      <c r="D1386">
        <v>5.7141029999999997</v>
      </c>
      <c r="E1386">
        <v>0.59035499999999996</v>
      </c>
      <c r="F1386" t="s">
        <v>44</v>
      </c>
      <c r="G1386">
        <v>-190.88290000000001</v>
      </c>
      <c r="H1386" s="1">
        <v>-3.2850140000000001E-7</v>
      </c>
      <c r="I1386">
        <v>349.76080000000002</v>
      </c>
      <c r="J1386">
        <v>-202.46950000000001</v>
      </c>
      <c r="K1386">
        <v>1.097952</v>
      </c>
      <c r="L1386">
        <v>362.8272</v>
      </c>
      <c r="M1386">
        <v>0.88083459999999902</v>
      </c>
      <c r="N1386">
        <v>0</v>
      </c>
      <c r="O1386">
        <v>-0.47320089999999998</v>
      </c>
      <c r="P1386">
        <v>0.81577379999999999</v>
      </c>
      <c r="Q1386">
        <v>2.0880289999999999E-3</v>
      </c>
      <c r="R1386">
        <v>-0.57836730000000003</v>
      </c>
      <c r="S1386">
        <v>2.0510250000000001</v>
      </c>
      <c r="T1386">
        <v>-0.19248750000000001</v>
      </c>
      <c r="U1386">
        <v>-2.3023069999999999</v>
      </c>
      <c r="V1386">
        <v>0.1236833</v>
      </c>
      <c r="W1386">
        <v>1.452854E-2</v>
      </c>
      <c r="X1386">
        <v>0.99221539999999997</v>
      </c>
      <c r="Y1386">
        <v>0.34314040000000001</v>
      </c>
      <c r="Z1386">
        <v>1.9789339999999999E-2</v>
      </c>
      <c r="AA1386">
        <v>0.93907559999999901</v>
      </c>
      <c r="AB1386">
        <v>24</v>
      </c>
      <c r="AC1386">
        <v>11.586600000000001</v>
      </c>
      <c r="AD1386">
        <v>-1.0979523285013999</v>
      </c>
      <c r="AE1386">
        <v>-13.0663999999999</v>
      </c>
      <c r="AF1386">
        <v>6.0034545801169097</v>
      </c>
      <c r="AG1386">
        <v>-1.0979523285013999</v>
      </c>
      <c r="AH1386">
        <v>16.326109855353401</v>
      </c>
      <c r="AI1386">
        <v>93.611668357225298</v>
      </c>
      <c r="AJ1386">
        <v>69.810461487911098</v>
      </c>
      <c r="AK1386">
        <v>17.429538984731</v>
      </c>
    </row>
    <row r="1387" spans="1:37" x14ac:dyDescent="0.2">
      <c r="A1387" t="str">
        <f>"20200111155818081"</f>
        <v>20200111155818081</v>
      </c>
      <c r="B1387" t="str">
        <f>"1578729498072103"</f>
        <v>1578729498072103</v>
      </c>
      <c r="C1387" t="s">
        <v>37</v>
      </c>
      <c r="D1387">
        <v>5.6726150000000004</v>
      </c>
      <c r="E1387">
        <v>0.59012259999999905</v>
      </c>
      <c r="F1387" t="s">
        <v>39</v>
      </c>
      <c r="G1387">
        <v>-190.38919999999999</v>
      </c>
      <c r="H1387" s="1">
        <v>-4.189205E-6</v>
      </c>
      <c r="I1387">
        <v>349.11290000000002</v>
      </c>
      <c r="J1387">
        <v>-202.3569</v>
      </c>
      <c r="K1387">
        <v>1.0978950000000001</v>
      </c>
      <c r="L1387">
        <v>362.76</v>
      </c>
      <c r="M1387">
        <v>0.87818909999999994</v>
      </c>
      <c r="N1387">
        <v>0</v>
      </c>
      <c r="O1387">
        <v>-0.47809220000000002</v>
      </c>
      <c r="P1387">
        <v>0.81205839999999996</v>
      </c>
      <c r="Q1387">
        <v>2.4404169999999998E-3</v>
      </c>
      <c r="R1387">
        <v>-0.58357109999999901</v>
      </c>
      <c r="S1387">
        <v>2.0377809999999998</v>
      </c>
      <c r="T1387">
        <v>-0.1852096</v>
      </c>
      <c r="U1387">
        <v>-2.3134160000000001</v>
      </c>
      <c r="V1387">
        <v>0.1245174</v>
      </c>
      <c r="W1387">
        <v>1.486611E-2</v>
      </c>
      <c r="X1387">
        <v>0.99210599999999904</v>
      </c>
      <c r="Y1387">
        <v>0.34317419999999998</v>
      </c>
      <c r="Z1387">
        <v>1.9366250000000002E-2</v>
      </c>
      <c r="AA1387">
        <v>0.93907209999999997</v>
      </c>
      <c r="AB1387">
        <v>24</v>
      </c>
      <c r="AC1387">
        <v>11.967700000000001</v>
      </c>
      <c r="AD1387">
        <v>-1.0978991892049901</v>
      </c>
      <c r="AE1387">
        <v>-13.647099999999901</v>
      </c>
      <c r="AF1387">
        <v>6.2409009538449496</v>
      </c>
      <c r="AG1387">
        <v>-1.0978991892049901</v>
      </c>
      <c r="AH1387">
        <v>16.974178547866401</v>
      </c>
      <c r="AI1387">
        <v>93.474009708621196</v>
      </c>
      <c r="AJ1387">
        <v>69.813025020225993</v>
      </c>
      <c r="AK1387">
        <v>18.118415071970499</v>
      </c>
    </row>
    <row r="1388" spans="1:37" x14ac:dyDescent="0.2">
      <c r="A1388" t="str">
        <f>"20200111155818095"</f>
        <v>20200111155818095</v>
      </c>
      <c r="B1388" t="str">
        <f>"1578729498092598"</f>
        <v>1578729498092598</v>
      </c>
      <c r="C1388" t="s">
        <v>37</v>
      </c>
      <c r="D1388">
        <v>5.7226509999999999</v>
      </c>
      <c r="E1388">
        <v>0.58921420000000002</v>
      </c>
      <c r="F1388" t="s">
        <v>39</v>
      </c>
      <c r="G1388">
        <v>-190.24529999999999</v>
      </c>
      <c r="H1388" s="1">
        <v>-4.0372080000000003E-6</v>
      </c>
      <c r="I1388">
        <v>348.84780000000001</v>
      </c>
      <c r="J1388">
        <v>-202.2406</v>
      </c>
      <c r="K1388">
        <v>1.097837</v>
      </c>
      <c r="L1388">
        <v>362.68939999999998</v>
      </c>
      <c r="M1388">
        <v>0.8753822</v>
      </c>
      <c r="N1388">
        <v>0</v>
      </c>
      <c r="O1388">
        <v>-0.48321179999999903</v>
      </c>
      <c r="P1388">
        <v>0.8080929</v>
      </c>
      <c r="Q1388">
        <v>2.7718509999999901E-3</v>
      </c>
      <c r="R1388">
        <v>-0.58904840000000003</v>
      </c>
      <c r="S1388">
        <v>2.0240629999999999</v>
      </c>
      <c r="T1388">
        <v>-0.183478799999999</v>
      </c>
      <c r="U1388">
        <v>-2.3249819999999999</v>
      </c>
      <c r="V1388">
        <v>0.12544069999999999</v>
      </c>
      <c r="W1388">
        <v>1.518269E-2</v>
      </c>
      <c r="X1388">
        <v>0.99198500000000001</v>
      </c>
      <c r="Y1388">
        <v>0.34315830000000003</v>
      </c>
      <c r="Z1388">
        <v>1.9522060000000001E-2</v>
      </c>
      <c r="AA1388">
        <v>0.93907469999999904</v>
      </c>
      <c r="AB1388">
        <v>24</v>
      </c>
      <c r="AC1388">
        <v>11.9953</v>
      </c>
      <c r="AD1388">
        <v>-1.0978410372080001</v>
      </c>
      <c r="AE1388">
        <v>-13.8415999999999</v>
      </c>
      <c r="AF1388">
        <v>6.2984627346527704</v>
      </c>
      <c r="AG1388">
        <v>-1.0978410372080001</v>
      </c>
      <c r="AH1388">
        <v>17.129182648552501</v>
      </c>
      <c r="AI1388">
        <v>93.442429905478093</v>
      </c>
      <c r="AJ1388">
        <v>69.811341412109996</v>
      </c>
      <c r="AK1388">
        <v>18.2834566198588</v>
      </c>
    </row>
    <row r="1389" spans="1:37" x14ac:dyDescent="0.2">
      <c r="A1389" t="str">
        <f>"20200111155818108"</f>
        <v>20200111155818108</v>
      </c>
      <c r="B1389" t="str">
        <f>"1578729498102359"</f>
        <v>1578729498102359</v>
      </c>
      <c r="C1389" t="s">
        <v>37</v>
      </c>
      <c r="D1389">
        <v>5.7215509999999998</v>
      </c>
      <c r="E1389">
        <v>0.58890450000000005</v>
      </c>
      <c r="F1389" t="s">
        <v>39</v>
      </c>
      <c r="G1389">
        <v>-190.28540000000001</v>
      </c>
      <c r="H1389" s="1">
        <v>-4.0411710000000002E-6</v>
      </c>
      <c r="I1389">
        <v>348.8322</v>
      </c>
      <c r="J1389">
        <v>-202.11670000000001</v>
      </c>
      <c r="K1389">
        <v>1.097782</v>
      </c>
      <c r="L1389">
        <v>362.61329999999998</v>
      </c>
      <c r="M1389">
        <v>0.87232860000000001</v>
      </c>
      <c r="N1389">
        <v>0</v>
      </c>
      <c r="O1389">
        <v>-0.48870239999999998</v>
      </c>
      <c r="P1389">
        <v>0.80403179999999996</v>
      </c>
      <c r="Q1389">
        <v>3.070859E-3</v>
      </c>
      <c r="R1389">
        <v>-0.59457839999999995</v>
      </c>
      <c r="S1389">
        <v>2.0126189999999999</v>
      </c>
      <c r="T1389">
        <v>-0.18481879999999901</v>
      </c>
      <c r="U1389">
        <v>-2.3328250000000001</v>
      </c>
      <c r="V1389">
        <v>0.12602089999999999</v>
      </c>
      <c r="W1389">
        <v>1.547258E-2</v>
      </c>
      <c r="X1389">
        <v>0.99190689999999904</v>
      </c>
      <c r="Y1389">
        <v>0.34146870000000001</v>
      </c>
      <c r="Z1389">
        <v>2.0084060000000001E-2</v>
      </c>
      <c r="AA1389">
        <v>0.93967849999999997</v>
      </c>
      <c r="AB1389">
        <v>24</v>
      </c>
      <c r="AC1389">
        <v>11.831300000000001</v>
      </c>
      <c r="AD1389">
        <v>-1.0977860411710001</v>
      </c>
      <c r="AE1389">
        <v>-13.781099999999901</v>
      </c>
      <c r="AF1389">
        <v>6.2176136679732696</v>
      </c>
      <c r="AG1389">
        <v>-1.0977860411710001</v>
      </c>
      <c r="AH1389">
        <v>16.9953679568778</v>
      </c>
      <c r="AI1389">
        <v>93.471378734142206</v>
      </c>
      <c r="AJ1389">
        <v>69.905374996011005</v>
      </c>
      <c r="AK1389">
        <v>18.130261606111102</v>
      </c>
    </row>
    <row r="1390" spans="1:37" x14ac:dyDescent="0.2">
      <c r="A1390" t="str">
        <f>"20200111155818121"</f>
        <v>20200111155818121</v>
      </c>
      <c r="B1390" t="str">
        <f>"1578729498113094"</f>
        <v>1578729498113094</v>
      </c>
      <c r="C1390" t="s">
        <v>37</v>
      </c>
      <c r="D1390">
        <v>5.7427239999999999</v>
      </c>
      <c r="E1390">
        <v>0.58836719999999998</v>
      </c>
      <c r="F1390" t="s">
        <v>39</v>
      </c>
      <c r="G1390">
        <v>-190.2731</v>
      </c>
      <c r="H1390" s="1">
        <v>-3.9891959999999997E-6</v>
      </c>
      <c r="I1390">
        <v>348.71870000000001</v>
      </c>
      <c r="J1390">
        <v>-201.9898</v>
      </c>
      <c r="K1390">
        <v>1.097731</v>
      </c>
      <c r="L1390">
        <v>362.53410000000002</v>
      </c>
      <c r="M1390">
        <v>0.86911879999999997</v>
      </c>
      <c r="N1390">
        <v>0</v>
      </c>
      <c r="O1390">
        <v>-0.49438769999999999</v>
      </c>
      <c r="P1390">
        <v>0.7997763</v>
      </c>
      <c r="Q1390">
        <v>3.1793490000000002E-3</v>
      </c>
      <c r="R1390">
        <v>-0.60028990000000004</v>
      </c>
      <c r="S1390">
        <v>1.9982759999999999</v>
      </c>
      <c r="T1390">
        <v>-0.18522049999999901</v>
      </c>
      <c r="U1390">
        <v>-2.3443299999999998</v>
      </c>
      <c r="V1390">
        <v>0.12661310000000001</v>
      </c>
      <c r="W1390">
        <v>1.55727E-2</v>
      </c>
      <c r="X1390">
        <v>0.99182990000000004</v>
      </c>
      <c r="Y1390">
        <v>0.34094629999999998</v>
      </c>
      <c r="Z1390">
        <v>2.052182E-2</v>
      </c>
      <c r="AA1390">
        <v>0.93985869999999905</v>
      </c>
      <c r="AB1390">
        <v>24</v>
      </c>
      <c r="AC1390">
        <v>11.716699999999999</v>
      </c>
      <c r="AD1390">
        <v>-1.097734989196</v>
      </c>
      <c r="AE1390">
        <v>-13.8154</v>
      </c>
      <c r="AF1390">
        <v>6.1925540874140497</v>
      </c>
      <c r="AG1390">
        <v>-1.097734989196</v>
      </c>
      <c r="AH1390">
        <v>16.952928251191398</v>
      </c>
      <c r="AI1390">
        <v>93.480515700883004</v>
      </c>
      <c r="AJ1390">
        <v>69.9337967725384</v>
      </c>
      <c r="AK1390">
        <v>18.081883876468702</v>
      </c>
    </row>
    <row r="1391" spans="1:37" x14ac:dyDescent="0.2">
      <c r="A1391" t="str">
        <f>"20200111155818136"</f>
        <v>20200111155818136</v>
      </c>
      <c r="B1391" t="str">
        <f>"1578729498132615"</f>
        <v>1578729498132615</v>
      </c>
      <c r="C1391" t="s">
        <v>37</v>
      </c>
      <c r="D1391">
        <v>5.7211980000000002</v>
      </c>
      <c r="E1391">
        <v>0.58729019999999899</v>
      </c>
      <c r="F1391" t="s">
        <v>39</v>
      </c>
      <c r="G1391">
        <v>-190.2671</v>
      </c>
      <c r="H1391" s="1">
        <v>-3.9436379999999996E-6</v>
      </c>
      <c r="I1391">
        <v>348.61619999999999</v>
      </c>
      <c r="J1391">
        <v>-201.8623</v>
      </c>
      <c r="K1391">
        <v>1.0976870000000001</v>
      </c>
      <c r="L1391">
        <v>362.45310000000001</v>
      </c>
      <c r="M1391">
        <v>0.86580380000000001</v>
      </c>
      <c r="N1391">
        <v>0</v>
      </c>
      <c r="O1391">
        <v>-0.50016959999999999</v>
      </c>
      <c r="P1391">
        <v>0.79531839999999998</v>
      </c>
      <c r="Q1391">
        <v>3.0438959999999999E-3</v>
      </c>
      <c r="R1391">
        <v>-0.60618419999999995</v>
      </c>
      <c r="S1391">
        <v>1.9838709999999999</v>
      </c>
      <c r="T1391">
        <v>-0.18577270000000001</v>
      </c>
      <c r="U1391">
        <v>-2.3553769999999998</v>
      </c>
      <c r="V1391">
        <v>0.1273319</v>
      </c>
      <c r="W1391">
        <v>1.542728E-2</v>
      </c>
      <c r="X1391">
        <v>0.99174019999999996</v>
      </c>
      <c r="Y1391">
        <v>0.34022289999999999</v>
      </c>
      <c r="Z1391">
        <v>2.099285E-2</v>
      </c>
      <c r="AA1391">
        <v>0.94011039999999901</v>
      </c>
      <c r="AB1391">
        <v>24</v>
      </c>
      <c r="AC1391">
        <v>11.5952</v>
      </c>
      <c r="AD1391">
        <v>-1.097690943638</v>
      </c>
      <c r="AE1391">
        <v>-13.8369</v>
      </c>
      <c r="AF1391">
        <v>6.1583676630294102</v>
      </c>
      <c r="AG1391">
        <v>-1.097690943638</v>
      </c>
      <c r="AH1391">
        <v>16.899302360651198</v>
      </c>
      <c r="AI1391">
        <v>93.492362081720998</v>
      </c>
      <c r="AJ1391">
        <v>69.977475865167904</v>
      </c>
      <c r="AK1391">
        <v>18.019901163921599</v>
      </c>
    </row>
    <row r="1392" spans="1:37" x14ac:dyDescent="0.2">
      <c r="A1392" t="str">
        <f>"20200111155818149"</f>
        <v>20200111155818149</v>
      </c>
      <c r="B1392" t="str">
        <f>"1578729498142375"</f>
        <v>1578729498142375</v>
      </c>
      <c r="C1392" t="s">
        <v>37</v>
      </c>
      <c r="D1392">
        <v>5.9393630000000002</v>
      </c>
      <c r="E1392">
        <v>0.58648469999999997</v>
      </c>
      <c r="F1392" t="s">
        <v>39</v>
      </c>
      <c r="G1392">
        <v>-190.4084</v>
      </c>
      <c r="H1392" s="1">
        <v>-4.0282230000000002E-6</v>
      </c>
      <c r="I1392">
        <v>348.72570000000002</v>
      </c>
      <c r="J1392">
        <v>-201.7491</v>
      </c>
      <c r="K1392">
        <v>1.097645</v>
      </c>
      <c r="L1392">
        <v>362.3802</v>
      </c>
      <c r="M1392">
        <v>0.86280040000000002</v>
      </c>
      <c r="N1392">
        <v>0</v>
      </c>
      <c r="O1392">
        <v>-0.50533260000000002</v>
      </c>
      <c r="P1392">
        <v>0.79150589999999998</v>
      </c>
      <c r="Q1392">
        <v>3.03374E-3</v>
      </c>
      <c r="R1392">
        <v>-0.61115410000000003</v>
      </c>
      <c r="S1392">
        <v>1.971695</v>
      </c>
      <c r="T1392">
        <v>-0.1889595</v>
      </c>
      <c r="U1392">
        <v>-2.3630680000000002</v>
      </c>
      <c r="V1392">
        <v>0.12762119999999999</v>
      </c>
      <c r="W1392">
        <v>1.5414890000000001E-2</v>
      </c>
      <c r="X1392">
        <v>0.99170319999999901</v>
      </c>
      <c r="Y1392">
        <v>0.33897939999999999</v>
      </c>
      <c r="Z1392">
        <v>2.175036E-2</v>
      </c>
      <c r="AA1392">
        <v>0.94054230000000005</v>
      </c>
      <c r="AB1392">
        <v>24</v>
      </c>
      <c r="AC1392">
        <v>11.340699999999901</v>
      </c>
      <c r="AD1392">
        <v>-1.097649028223</v>
      </c>
      <c r="AE1392">
        <v>-13.654499999999899</v>
      </c>
      <c r="AF1392">
        <v>6.0278797561127604</v>
      </c>
      <c r="AG1392">
        <v>-1.097649028223</v>
      </c>
      <c r="AH1392">
        <v>16.623044184340301</v>
      </c>
      <c r="AI1392">
        <v>93.552159030857695</v>
      </c>
      <c r="AJ1392">
        <v>70.068246754110902</v>
      </c>
      <c r="AK1392">
        <v>17.716257101821501</v>
      </c>
    </row>
    <row r="1393" spans="1:37" x14ac:dyDescent="0.2">
      <c r="A1393" t="str">
        <f>"20200111155818160"</f>
        <v>20200111155818160</v>
      </c>
      <c r="B1393" t="str">
        <f>"1578729498152134"</f>
        <v>1578729498152134</v>
      </c>
      <c r="C1393" t="s">
        <v>37</v>
      </c>
      <c r="D1393">
        <v>5.7777539999999998</v>
      </c>
      <c r="E1393">
        <v>0.58603570000000005</v>
      </c>
      <c r="F1393" t="s">
        <v>39</v>
      </c>
      <c r="G1393">
        <v>-190.41139999999999</v>
      </c>
      <c r="H1393" s="1">
        <v>-4.0069889999999998E-6</v>
      </c>
      <c r="I1393">
        <v>348.67430000000002</v>
      </c>
      <c r="J1393">
        <v>-201.64060000000001</v>
      </c>
      <c r="K1393">
        <v>1.0976079999999999</v>
      </c>
      <c r="L1393">
        <v>362.30950000000001</v>
      </c>
      <c r="M1393">
        <v>0.85985889999999998</v>
      </c>
      <c r="N1393">
        <v>0</v>
      </c>
      <c r="O1393">
        <v>-0.51032129999999998</v>
      </c>
      <c r="P1393">
        <v>0.78757860000000002</v>
      </c>
      <c r="Q1393">
        <v>3.04383E-3</v>
      </c>
      <c r="R1393">
        <v>-0.61620680000000005</v>
      </c>
      <c r="S1393">
        <v>1.9607540000000001</v>
      </c>
      <c r="T1393">
        <v>-0.18982979999999899</v>
      </c>
      <c r="U1393">
        <v>-2.3703310000000002</v>
      </c>
      <c r="V1393">
        <v>0.12822529999999999</v>
      </c>
      <c r="W1393">
        <v>1.541679E-2</v>
      </c>
      <c r="X1393">
        <v>0.99162519999999998</v>
      </c>
      <c r="Y1393">
        <v>0.3375322</v>
      </c>
      <c r="Z1393">
        <v>2.224129E-2</v>
      </c>
      <c r="AA1393">
        <v>0.94105119999999898</v>
      </c>
      <c r="AB1393">
        <v>24</v>
      </c>
      <c r="AC1393">
        <v>11.229200000000001</v>
      </c>
      <c r="AD1393">
        <v>-1.0976120069890001</v>
      </c>
      <c r="AE1393">
        <v>-13.6351999999999</v>
      </c>
      <c r="AF1393">
        <v>5.9714350988484597</v>
      </c>
      <c r="AG1393">
        <v>-1.0976120069890001</v>
      </c>
      <c r="AH1393">
        <v>16.551735686310401</v>
      </c>
      <c r="AI1393">
        <v>93.569406757153402</v>
      </c>
      <c r="AJ1393">
        <v>70.161876787323195</v>
      </c>
      <c r="AK1393">
        <v>17.630165724891199</v>
      </c>
    </row>
    <row r="1394" spans="1:37" x14ac:dyDescent="0.2">
      <c r="A1394" t="str">
        <f>"20200111155818172"</f>
        <v>20200111155818172</v>
      </c>
      <c r="B1394" t="str">
        <f>"1578729498162324"</f>
        <v>1578729498162324</v>
      </c>
      <c r="C1394" t="s">
        <v>37</v>
      </c>
      <c r="D1394">
        <v>5.8040849999999997</v>
      </c>
      <c r="E1394">
        <v>0.58606899999999995</v>
      </c>
      <c r="F1394" t="s">
        <v>39</v>
      </c>
      <c r="G1394">
        <v>-190.49719999999999</v>
      </c>
      <c r="H1394" s="1">
        <v>-4.0396149999999996E-6</v>
      </c>
      <c r="I1394">
        <v>348.69720000000001</v>
      </c>
      <c r="J1394">
        <v>-201.53819999999999</v>
      </c>
      <c r="K1394">
        <v>1.097577</v>
      </c>
      <c r="L1394">
        <v>362.24169999999998</v>
      </c>
      <c r="M1394">
        <v>0.85702469999999997</v>
      </c>
      <c r="N1394">
        <v>0</v>
      </c>
      <c r="O1394">
        <v>-0.51506649999999998</v>
      </c>
      <c r="P1394">
        <v>0.78375439999999996</v>
      </c>
      <c r="Q1394">
        <v>2.7523389999999999E-3</v>
      </c>
      <c r="R1394">
        <v>-0.62106499999999998</v>
      </c>
      <c r="S1394">
        <v>1.9480439999999899</v>
      </c>
      <c r="T1394">
        <v>-0.19187969999999999</v>
      </c>
      <c r="U1394">
        <v>-2.3796390000000001</v>
      </c>
      <c r="V1394">
        <v>0.12887119999999999</v>
      </c>
      <c r="W1394">
        <v>1.511642E-2</v>
      </c>
      <c r="X1394">
        <v>0.99154609999999999</v>
      </c>
      <c r="Y1394">
        <v>0.33715319999999999</v>
      </c>
      <c r="Z1394">
        <v>2.2824770000000001E-2</v>
      </c>
      <c r="AA1394">
        <v>0.94117309999999998</v>
      </c>
      <c r="AB1394">
        <v>24</v>
      </c>
      <c r="AC1394">
        <v>11.040999999999899</v>
      </c>
      <c r="AD1394">
        <v>-1.0975810396150001</v>
      </c>
      <c r="AE1394">
        <v>-13.5444999999999</v>
      </c>
      <c r="AF1394">
        <v>5.89848842675665</v>
      </c>
      <c r="AG1394">
        <v>-1.0975810396150001</v>
      </c>
      <c r="AH1394">
        <v>16.375891140646601</v>
      </c>
      <c r="AI1394">
        <v>93.608199310079897</v>
      </c>
      <c r="AJ1394">
        <v>70.191312973050003</v>
      </c>
      <c r="AK1394">
        <v>17.440374437190702</v>
      </c>
    </row>
    <row r="1395" spans="1:37" x14ac:dyDescent="0.2">
      <c r="A1395" t="str">
        <f>"20200111155818184"</f>
        <v>20200111155818184</v>
      </c>
      <c r="B1395" t="str">
        <f>"1578729498172083"</f>
        <v>1578729498172083</v>
      </c>
      <c r="C1395" t="s">
        <v>37</v>
      </c>
      <c r="D1395">
        <v>6.1776900000000001</v>
      </c>
      <c r="E1395">
        <v>0.58606899999999995</v>
      </c>
      <c r="F1395" t="s">
        <v>39</v>
      </c>
      <c r="G1395">
        <v>-190.66470000000001</v>
      </c>
      <c r="H1395" s="1">
        <v>-4.1243520000000002E-6</v>
      </c>
      <c r="I1395">
        <v>348.79079999999999</v>
      </c>
      <c r="J1395">
        <v>-201.42670000000001</v>
      </c>
      <c r="K1395">
        <v>1.097545</v>
      </c>
      <c r="L1395">
        <v>362.16730000000001</v>
      </c>
      <c r="M1395">
        <v>0.8538888</v>
      </c>
      <c r="N1395">
        <v>0</v>
      </c>
      <c r="O1395">
        <v>-0.52024840000000006</v>
      </c>
      <c r="P1395">
        <v>0.77939809999999998</v>
      </c>
      <c r="Q1395">
        <v>2.6590229999999999E-3</v>
      </c>
      <c r="R1395">
        <v>-0.62652350000000001</v>
      </c>
      <c r="S1395">
        <v>1.93331899999999</v>
      </c>
      <c r="T1395">
        <v>-0.19515070000000001</v>
      </c>
      <c r="U1395">
        <v>-2.3915709999999999</v>
      </c>
      <c r="V1395">
        <v>0.1297894</v>
      </c>
      <c r="W1395">
        <v>1.50101E-2</v>
      </c>
      <c r="X1395">
        <v>0.99142799999999998</v>
      </c>
      <c r="Y1395">
        <v>0.33726590000000001</v>
      </c>
      <c r="Z1395">
        <v>2.3572619999999999E-2</v>
      </c>
      <c r="AA1395">
        <v>0.94111420000000001</v>
      </c>
      <c r="AB1395">
        <v>24</v>
      </c>
      <c r="AC1395">
        <v>10.762</v>
      </c>
      <c r="AD1395">
        <v>-1.0975491243519999</v>
      </c>
      <c r="AE1395">
        <v>-13.3765</v>
      </c>
      <c r="AF1395">
        <v>5.8000537197322597</v>
      </c>
      <c r="AG1395">
        <v>-1.0975491243519999</v>
      </c>
      <c r="AH1395">
        <v>16.0846583492315</v>
      </c>
      <c r="AI1395">
        <v>93.672776808170994</v>
      </c>
      <c r="AJ1395">
        <v>70.170929677754302</v>
      </c>
      <c r="AK1395">
        <v>17.133635675000502</v>
      </c>
    </row>
    <row r="1396" spans="1:37" x14ac:dyDescent="0.2">
      <c r="A1396" t="str">
        <f>"20200111155818211"</f>
        <v>20200111155818211</v>
      </c>
      <c r="B1396" t="str">
        <f>"1578729498202340"</f>
        <v>1578729498202340</v>
      </c>
      <c r="C1396" t="s">
        <v>37</v>
      </c>
      <c r="D1396">
        <v>5.8844529999999997</v>
      </c>
      <c r="E1396">
        <v>0.58887840000000002</v>
      </c>
      <c r="F1396" t="s">
        <v>39</v>
      </c>
      <c r="G1396">
        <v>-190.68459999999999</v>
      </c>
      <c r="H1396" s="1">
        <v>-4.0831830000000003E-6</v>
      </c>
      <c r="I1396">
        <v>348.6825</v>
      </c>
      <c r="J1396">
        <v>-201.19319999999999</v>
      </c>
      <c r="K1396">
        <v>1.097478</v>
      </c>
      <c r="L1396">
        <v>362.00709999999998</v>
      </c>
      <c r="M1396">
        <v>0.84708139999999998</v>
      </c>
      <c r="N1396">
        <v>0</v>
      </c>
      <c r="O1396">
        <v>-0.5312597</v>
      </c>
      <c r="P1396">
        <v>0.77008509999999997</v>
      </c>
      <c r="Q1396">
        <v>1.90839E-3</v>
      </c>
      <c r="R1396">
        <v>-0.63793849999999996</v>
      </c>
      <c r="S1396">
        <v>1.916183</v>
      </c>
      <c r="T1396">
        <v>-0.19578180000000001</v>
      </c>
      <c r="U1396">
        <v>-2.4054259999999998</v>
      </c>
      <c r="V1396">
        <v>0.1315489</v>
      </c>
      <c r="W1396">
        <v>1.423436E-2</v>
      </c>
      <c r="X1396">
        <v>0.99120750000000002</v>
      </c>
      <c r="Y1396">
        <v>0.33184059999999999</v>
      </c>
      <c r="Z1396">
        <v>2.4582679999999999E-2</v>
      </c>
      <c r="AA1396">
        <v>0.9430151</v>
      </c>
      <c r="AB1396">
        <v>24</v>
      </c>
      <c r="AC1396">
        <v>10.508599999999999</v>
      </c>
      <c r="AD1396">
        <v>-1.0974820831829999</v>
      </c>
      <c r="AE1396">
        <v>-13.324599999999901</v>
      </c>
      <c r="AF1396">
        <v>5.6810806659807902</v>
      </c>
      <c r="AG1396">
        <v>-1.0974820831829999</v>
      </c>
      <c r="AH1396">
        <v>15.915623049596901</v>
      </c>
      <c r="AI1396">
        <v>93.715740806847094</v>
      </c>
      <c r="AJ1396">
        <v>70.355979586417902</v>
      </c>
      <c r="AK1396">
        <v>16.934763107677298</v>
      </c>
    </row>
    <row r="1397" spans="1:37" x14ac:dyDescent="0.2">
      <c r="A1397" t="str">
        <f>"20200111155818226"</f>
        <v>20200111155818226</v>
      </c>
      <c r="B1397" t="str">
        <f>"1578729498221861"</f>
        <v>1578729498221861</v>
      </c>
      <c r="C1397" t="s">
        <v>37</v>
      </c>
      <c r="D1397">
        <v>7.0645049999999996</v>
      </c>
      <c r="E1397">
        <v>0.58887840000000002</v>
      </c>
      <c r="F1397" t="s">
        <v>39</v>
      </c>
      <c r="G1397">
        <v>-190.9863</v>
      </c>
      <c r="H1397" s="1">
        <v>-4.1285250000000004E-6</v>
      </c>
      <c r="I1397">
        <v>348.60449999999997</v>
      </c>
      <c r="J1397">
        <v>-201.05930000000001</v>
      </c>
      <c r="K1397">
        <v>1.097442</v>
      </c>
      <c r="L1397">
        <v>361.9135</v>
      </c>
      <c r="M1397">
        <v>0.84305439999999998</v>
      </c>
      <c r="N1397">
        <v>0</v>
      </c>
      <c r="O1397">
        <v>-0.53762679999999996</v>
      </c>
      <c r="P1397">
        <v>0.76411790000000002</v>
      </c>
      <c r="Q1397">
        <v>5.9372929999999997E-4</v>
      </c>
      <c r="R1397">
        <v>-0.64507630000000005</v>
      </c>
      <c r="S1397">
        <v>1.8661799999999999</v>
      </c>
      <c r="T1397">
        <v>-0.20065829999999901</v>
      </c>
      <c r="U1397">
        <v>-2.4504700000000001</v>
      </c>
      <c r="V1397">
        <v>0.13328119999999999</v>
      </c>
      <c r="W1397">
        <v>1.289028E-2</v>
      </c>
      <c r="X1397">
        <v>0.9909945</v>
      </c>
      <c r="Y1397">
        <v>0.34526869999999998</v>
      </c>
      <c r="Z1397">
        <v>2.5209619999999999E-2</v>
      </c>
      <c r="AA1397">
        <v>0.93816520000000003</v>
      </c>
      <c r="AB1397">
        <v>23</v>
      </c>
      <c r="AC1397">
        <v>10.073</v>
      </c>
      <c r="AD1397">
        <v>-1.0974461285249999</v>
      </c>
      <c r="AE1397">
        <v>-13.308999999999999</v>
      </c>
      <c r="AF1397">
        <v>5.7803364375281401</v>
      </c>
      <c r="AG1397">
        <v>-1.0974461285249999</v>
      </c>
      <c r="AH1397">
        <v>15.5816967981436</v>
      </c>
      <c r="AI1397">
        <v>93.778006605297193</v>
      </c>
      <c r="AJ1397">
        <v>69.6466753025977</v>
      </c>
      <c r="AK1397">
        <v>16.655508171331999</v>
      </c>
    </row>
    <row r="1398" spans="1:37" x14ac:dyDescent="0.2">
      <c r="A1398" t="str">
        <f>"20200111155818241"</f>
        <v>20200111155818241</v>
      </c>
      <c r="B1398" t="str">
        <f>"1578729498232595"</f>
        <v>1578729498232595</v>
      </c>
      <c r="C1398" t="s">
        <v>37</v>
      </c>
      <c r="D1398">
        <v>7.023066</v>
      </c>
      <c r="E1398">
        <v>0.4834772</v>
      </c>
      <c r="F1398" t="s">
        <v>39</v>
      </c>
      <c r="G1398">
        <v>-191.1799</v>
      </c>
      <c r="H1398" s="1">
        <v>-4.1923219999999998E-6</v>
      </c>
      <c r="I1398">
        <v>348.69110000000001</v>
      </c>
      <c r="J1398">
        <v>-200.9263</v>
      </c>
      <c r="K1398">
        <v>1.0974090000000001</v>
      </c>
      <c r="L1398">
        <v>361.81869999999998</v>
      </c>
      <c r="M1398">
        <v>0.83894979999999997</v>
      </c>
      <c r="N1398">
        <v>0</v>
      </c>
      <c r="O1398">
        <v>-0.54400930000000003</v>
      </c>
      <c r="P1398">
        <v>0.75856349999999995</v>
      </c>
      <c r="Q1398" s="1">
        <v>-3.3244490000000003E-5</v>
      </c>
      <c r="R1398">
        <v>-0.65159929999999999</v>
      </c>
      <c r="S1398">
        <v>1.8434139999999899</v>
      </c>
      <c r="T1398">
        <v>-0.2047746</v>
      </c>
      <c r="U1398">
        <v>-2.4671939999999899</v>
      </c>
      <c r="V1398">
        <v>0.13424069999999999</v>
      </c>
      <c r="W1398">
        <v>1.2249940000000001E-2</v>
      </c>
      <c r="X1398">
        <v>0.990873</v>
      </c>
      <c r="Y1398">
        <v>0.34676780000000001</v>
      </c>
      <c r="Z1398">
        <v>2.6154480000000001E-2</v>
      </c>
      <c r="AA1398">
        <v>0.93758629999999998</v>
      </c>
      <c r="AB1398">
        <v>23</v>
      </c>
      <c r="AC1398">
        <v>9.7463999999999906</v>
      </c>
      <c r="AD1398">
        <v>-1.0974131923220001</v>
      </c>
      <c r="AE1398">
        <v>-13.1275999999999</v>
      </c>
      <c r="AF1398">
        <v>5.6862683760155104</v>
      </c>
      <c r="AG1398">
        <v>-1.0974131923220001</v>
      </c>
      <c r="AH1398">
        <v>15.251232556886199</v>
      </c>
      <c r="AI1398">
        <v>93.857157772206904</v>
      </c>
      <c r="AJ1398">
        <v>69.552536555545103</v>
      </c>
      <c r="AK1398">
        <v>16.313738328874301</v>
      </c>
    </row>
    <row r="1399" spans="1:37" x14ac:dyDescent="0.2">
      <c r="A1399" t="str">
        <f>"20200111155818340"</f>
        <v>20200111155818340</v>
      </c>
      <c r="B1399" t="str">
        <f>"1578729498332655"</f>
        <v>1578729498332655</v>
      </c>
      <c r="C1399" t="s">
        <v>37</v>
      </c>
      <c r="D1399">
        <v>5.9713399999999996</v>
      </c>
      <c r="E1399">
        <v>0.4834772</v>
      </c>
      <c r="F1399" t="s">
        <v>45</v>
      </c>
      <c r="G1399">
        <v>-168.4014</v>
      </c>
      <c r="H1399">
        <v>3.9398569999999999</v>
      </c>
      <c r="I1399">
        <v>336.03550000000001</v>
      </c>
      <c r="J1399">
        <v>-200.0838</v>
      </c>
      <c r="K1399">
        <v>1.0972469999999901</v>
      </c>
      <c r="L1399">
        <v>361.17970000000003</v>
      </c>
      <c r="M1399">
        <v>0.81057819999999903</v>
      </c>
      <c r="N1399">
        <v>0</v>
      </c>
      <c r="O1399">
        <v>-0.58544300000000005</v>
      </c>
      <c r="P1399">
        <v>0.72208419999999995</v>
      </c>
      <c r="Q1399">
        <v>-9.2165919999999998E-4</v>
      </c>
      <c r="R1399">
        <v>-0.6918048</v>
      </c>
      <c r="S1399">
        <v>2.3527680000000002</v>
      </c>
      <c r="T1399">
        <v>0.20561579999999999</v>
      </c>
      <c r="U1399">
        <v>-1.8650819999999999</v>
      </c>
      <c r="V1399">
        <v>0.13826050000000001</v>
      </c>
      <c r="W1399">
        <v>1.130778E-2</v>
      </c>
      <c r="X1399">
        <v>0.99033139999999997</v>
      </c>
      <c r="Y1399">
        <v>4.5769530000000003E-2</v>
      </c>
      <c r="Z1399">
        <v>-3.8765960000000002E-2</v>
      </c>
      <c r="AA1399">
        <v>0.99819959999999996</v>
      </c>
      <c r="AB1399">
        <v>23</v>
      </c>
      <c r="AC1399">
        <v>31.682400000000001</v>
      </c>
      <c r="AD1399">
        <v>2.8426100000000001</v>
      </c>
      <c r="AE1399">
        <v>-25.144200000000001</v>
      </c>
      <c r="AF1399">
        <v>1.82429186434875</v>
      </c>
      <c r="AG1399">
        <v>2.8426100000000001</v>
      </c>
      <c r="AH1399">
        <v>40.2074036275027</v>
      </c>
      <c r="AI1399">
        <v>85.9601356572621</v>
      </c>
      <c r="AJ1399">
        <v>87.402155369865696</v>
      </c>
      <c r="AK1399">
        <v>40.349024509687297</v>
      </c>
    </row>
    <row r="1400" spans="1:37" x14ac:dyDescent="0.2">
      <c r="A1400" t="str">
        <f>"20200111155818359"</f>
        <v>20200111155818359</v>
      </c>
      <c r="B1400" t="str">
        <f>"1578729498352174"</f>
        <v>1578729498352174</v>
      </c>
      <c r="C1400" t="s">
        <v>37</v>
      </c>
      <c r="D1400">
        <v>6.0688319999999996</v>
      </c>
      <c r="E1400">
        <v>0.65605500000000005</v>
      </c>
      <c r="F1400" t="s">
        <v>45</v>
      </c>
      <c r="G1400">
        <v>-168.4014</v>
      </c>
      <c r="H1400">
        <v>3.954215</v>
      </c>
      <c r="I1400">
        <v>333.1336</v>
      </c>
      <c r="J1400">
        <v>-199.9265</v>
      </c>
      <c r="K1400">
        <v>1.0972120000000001</v>
      </c>
      <c r="L1400">
        <v>361.05250000000001</v>
      </c>
      <c r="M1400">
        <v>0.80478359999999904</v>
      </c>
      <c r="N1400">
        <v>0</v>
      </c>
      <c r="O1400">
        <v>-0.59338299999999999</v>
      </c>
      <c r="P1400">
        <v>0.71553900000000004</v>
      </c>
      <c r="Q1400">
        <v>-1.027664E-3</v>
      </c>
      <c r="R1400">
        <v>-0.69857230000000003</v>
      </c>
      <c r="S1400">
        <v>2.2482150000000001</v>
      </c>
      <c r="T1400">
        <v>0.20273350000000001</v>
      </c>
      <c r="U1400">
        <v>-1.990173</v>
      </c>
      <c r="V1400">
        <v>0.137848</v>
      </c>
      <c r="W1400">
        <v>1.1213849999999999E-2</v>
      </c>
      <c r="X1400">
        <v>0.99038989999999905</v>
      </c>
      <c r="Y1400">
        <v>9.0021139999999999E-2</v>
      </c>
      <c r="Z1400">
        <v>-3.7560339999999998E-2</v>
      </c>
      <c r="AA1400">
        <v>0.99523130000000004</v>
      </c>
      <c r="AB1400">
        <v>23</v>
      </c>
      <c r="AC1400">
        <v>31.525099999999998</v>
      </c>
      <c r="AD1400">
        <v>2.85700299999999</v>
      </c>
      <c r="AE1400">
        <v>-27.918900000000001</v>
      </c>
      <c r="AF1400">
        <v>3.7453883156588001</v>
      </c>
      <c r="AG1400">
        <v>2.85700299999999</v>
      </c>
      <c r="AH1400">
        <v>41.749922978556697</v>
      </c>
      <c r="AI1400">
        <v>86.100886144030198</v>
      </c>
      <c r="AJ1400">
        <v>84.873714427918102</v>
      </c>
      <c r="AK1400">
        <v>42.014836290202297</v>
      </c>
    </row>
    <row r="1401" spans="1:37" x14ac:dyDescent="0.2">
      <c r="A1401" t="str">
        <f>"20200111155818373"</f>
        <v>20200111155818373</v>
      </c>
      <c r="B1401" t="str">
        <f>"1578729498361934"</f>
        <v>1578729498361934</v>
      </c>
      <c r="C1401" t="s">
        <v>37</v>
      </c>
      <c r="D1401">
        <v>6.0001059999999997</v>
      </c>
      <c r="E1401">
        <v>0.65611569999999997</v>
      </c>
      <c r="F1401" t="s">
        <v>44</v>
      </c>
      <c r="G1401">
        <v>-195.38980000000001</v>
      </c>
      <c r="H1401" s="1">
        <v>-2.0199049999999998E-6</v>
      </c>
      <c r="I1401">
        <v>350.59230000000002</v>
      </c>
      <c r="J1401">
        <v>-199.81950000000001</v>
      </c>
      <c r="K1401">
        <v>1.0971899999999899</v>
      </c>
      <c r="L1401">
        <v>360.96429999999998</v>
      </c>
      <c r="M1401">
        <v>0.80074060000000002</v>
      </c>
      <c r="N1401">
        <v>0</v>
      </c>
      <c r="O1401">
        <v>-0.5988272</v>
      </c>
      <c r="P1401">
        <v>0.71090450000000005</v>
      </c>
      <c r="Q1401">
        <v>-8.4248560000000001E-4</v>
      </c>
      <c r="R1401">
        <v>-0.70328809999999997</v>
      </c>
      <c r="S1401">
        <v>1.2895049999999999</v>
      </c>
      <c r="T1401">
        <v>-0.31187039999999999</v>
      </c>
      <c r="U1401">
        <v>-2.9731749999999999</v>
      </c>
      <c r="V1401">
        <v>0.13768349999999999</v>
      </c>
      <c r="W1401">
        <v>1.1404569999999999E-2</v>
      </c>
      <c r="X1401">
        <v>0.99041060000000003</v>
      </c>
      <c r="Y1401">
        <v>0.49648140000000002</v>
      </c>
      <c r="Z1401">
        <v>3.7034299999999999E-2</v>
      </c>
      <c r="AA1401">
        <v>0.8672571</v>
      </c>
      <c r="AB1401">
        <v>23</v>
      </c>
      <c r="AC1401">
        <v>4.4296999999999898</v>
      </c>
      <c r="AD1401">
        <v>-1.09719201990499</v>
      </c>
      <c r="AE1401">
        <v>-10.3719999999999</v>
      </c>
      <c r="AF1401">
        <v>5.6002786998745</v>
      </c>
      <c r="AG1401">
        <v>-1.09719201990499</v>
      </c>
      <c r="AH1401">
        <v>9.6676572610276601</v>
      </c>
      <c r="AI1401">
        <v>95.608686717034402</v>
      </c>
      <c r="AJ1401">
        <v>59.917153197705701</v>
      </c>
      <c r="AK1401">
        <v>11.226332827843301</v>
      </c>
    </row>
    <row r="1402" spans="1:37" x14ac:dyDescent="0.2">
      <c r="A1402" t="str">
        <f>"20200111155818386"</f>
        <v>20200111155818386</v>
      </c>
      <c r="B1402" t="str">
        <f>"1578729498382430"</f>
        <v>1578729498382430</v>
      </c>
      <c r="C1402" t="s">
        <v>37</v>
      </c>
      <c r="D1402">
        <v>5.9871230000000004</v>
      </c>
      <c r="E1402">
        <v>0.65702559999999999</v>
      </c>
      <c r="F1402" t="s">
        <v>44</v>
      </c>
      <c r="G1402">
        <v>-195.3092</v>
      </c>
      <c r="H1402" s="1">
        <v>-1.8636419999999999E-6</v>
      </c>
      <c r="I1402">
        <v>350.3646</v>
      </c>
      <c r="J1402">
        <v>-199.71559999999999</v>
      </c>
      <c r="K1402">
        <v>1.0971679999999999</v>
      </c>
      <c r="L1402">
        <v>360.87779999999998</v>
      </c>
      <c r="M1402">
        <v>0.79674679999999998</v>
      </c>
      <c r="N1402">
        <v>0</v>
      </c>
      <c r="O1402">
        <v>-0.60413059999999996</v>
      </c>
      <c r="P1402">
        <v>0.70645800000000003</v>
      </c>
      <c r="Q1402">
        <v>-4.8140249999999998E-4</v>
      </c>
      <c r="R1402">
        <v>-0.70775509999999997</v>
      </c>
      <c r="S1402">
        <v>1.2690729999999999</v>
      </c>
      <c r="T1402">
        <v>-0.30871749999999998</v>
      </c>
      <c r="U1402">
        <v>-2.9824519999999999</v>
      </c>
      <c r="V1402">
        <v>0.13735729999999999</v>
      </c>
      <c r="W1402">
        <v>1.1774089999999999E-2</v>
      </c>
      <c r="X1402">
        <v>0.99045159999999999</v>
      </c>
      <c r="Y1402">
        <v>0.49673270000000003</v>
      </c>
      <c r="Z1402">
        <v>3.7249039999999997E-2</v>
      </c>
      <c r="AA1402">
        <v>0.86710390000000004</v>
      </c>
      <c r="AB1402">
        <v>23</v>
      </c>
      <c r="AC1402">
        <v>4.4063999999999899</v>
      </c>
      <c r="AD1402">
        <v>-1.097169863642</v>
      </c>
      <c r="AE1402">
        <v>-10.5131999999999</v>
      </c>
      <c r="AF1402">
        <v>5.6624916385373396</v>
      </c>
      <c r="AG1402">
        <v>-1.097169863642</v>
      </c>
      <c r="AH1402">
        <v>9.7726867724970496</v>
      </c>
      <c r="AI1402">
        <v>95.548339972834498</v>
      </c>
      <c r="AJ1402">
        <v>59.911133132637701</v>
      </c>
      <c r="AK1402">
        <v>11.347819174604799</v>
      </c>
    </row>
    <row r="1403" spans="1:37" x14ac:dyDescent="0.2">
      <c r="A1403" t="str">
        <f>"20200111155818415"</f>
        <v>20200111155818415</v>
      </c>
      <c r="B1403" t="str">
        <f>"1578729498412687"</f>
        <v>1578729498412687</v>
      </c>
      <c r="C1403" t="s">
        <v>37</v>
      </c>
      <c r="D1403">
        <v>6.0395310000000002</v>
      </c>
      <c r="E1403">
        <v>0.65606709999999901</v>
      </c>
      <c r="F1403" t="s">
        <v>44</v>
      </c>
      <c r="G1403">
        <v>-195.17779999999999</v>
      </c>
      <c r="H1403" s="1">
        <v>-1.587604E-6</v>
      </c>
      <c r="I1403">
        <v>349.95729999999998</v>
      </c>
      <c r="J1403">
        <v>-199.4812</v>
      </c>
      <c r="K1403">
        <v>1.0971169999999999</v>
      </c>
      <c r="L1403">
        <v>360.6771</v>
      </c>
      <c r="M1403">
        <v>0.78740829999999995</v>
      </c>
      <c r="N1403">
        <v>0</v>
      </c>
      <c r="O1403">
        <v>-0.61625220000000003</v>
      </c>
      <c r="P1403">
        <v>0.6964496</v>
      </c>
      <c r="Q1403">
        <v>-2.1185909999999901E-4</v>
      </c>
      <c r="R1403">
        <v>-0.71760550000000001</v>
      </c>
      <c r="S1403">
        <v>1.244904</v>
      </c>
      <c r="T1403">
        <v>-0.30099939999999997</v>
      </c>
      <c r="U1403">
        <v>-2.9959410000000002</v>
      </c>
      <c r="V1403">
        <v>0.1361155</v>
      </c>
      <c r="W1403">
        <v>1.2072569999999999E-2</v>
      </c>
      <c r="X1403">
        <v>0.99061939999999904</v>
      </c>
      <c r="Y1403">
        <v>0.49083640000000001</v>
      </c>
      <c r="Z1403">
        <v>3.7902949999999998E-2</v>
      </c>
      <c r="AA1403">
        <v>0.8704269</v>
      </c>
      <c r="AB1403">
        <v>23</v>
      </c>
      <c r="AC1403">
        <v>4.3034000000000097</v>
      </c>
      <c r="AD1403">
        <v>-1.0971185876039999</v>
      </c>
      <c r="AE1403">
        <v>-10.719799999999999</v>
      </c>
      <c r="AF1403">
        <v>5.7377617757500303</v>
      </c>
      <c r="AG1403">
        <v>-1.0971185876039999</v>
      </c>
      <c r="AH1403">
        <v>9.9063768148073503</v>
      </c>
      <c r="AI1403">
        <v>95.474189084001097</v>
      </c>
      <c r="AJ1403">
        <v>59.920627902873001</v>
      </c>
      <c r="AK1403">
        <v>11.5005165530717</v>
      </c>
    </row>
    <row r="1404" spans="1:37" x14ac:dyDescent="0.2">
      <c r="A1404" t="str">
        <f>"20200111155818429"</f>
        <v>20200111155818429</v>
      </c>
      <c r="B1404" t="str">
        <f>"1578729498422447"</f>
        <v>1578729498422447</v>
      </c>
      <c r="C1404" t="s">
        <v>37</v>
      </c>
      <c r="D1404">
        <v>5.9282209999999997</v>
      </c>
      <c r="E1404">
        <v>0.65593749999999995</v>
      </c>
      <c r="F1404" t="s">
        <v>44</v>
      </c>
      <c r="G1404">
        <v>-195.08940000000001</v>
      </c>
      <c r="H1404" s="1">
        <v>-1.43806E-6</v>
      </c>
      <c r="I1404">
        <v>349.74439999999998</v>
      </c>
      <c r="J1404">
        <v>-199.37629999999999</v>
      </c>
      <c r="K1404">
        <v>1.097094</v>
      </c>
      <c r="L1404">
        <v>360.58550000000002</v>
      </c>
      <c r="M1404">
        <v>0.78310389999999996</v>
      </c>
      <c r="N1404">
        <v>0</v>
      </c>
      <c r="O1404">
        <v>-0.62171239999999905</v>
      </c>
      <c r="P1404">
        <v>0.691967</v>
      </c>
      <c r="Q1404">
        <v>-4.9305149999999995E-4</v>
      </c>
      <c r="R1404">
        <v>-0.72192900000000004</v>
      </c>
      <c r="S1404">
        <v>1.208267</v>
      </c>
      <c r="T1404">
        <v>-0.30184299999999997</v>
      </c>
      <c r="U1404">
        <v>-3.0078429999999998</v>
      </c>
      <c r="V1404">
        <v>0.1353924</v>
      </c>
      <c r="W1404">
        <v>1.180699E-2</v>
      </c>
      <c r="X1404">
        <v>0.99072169999999904</v>
      </c>
      <c r="Y1404">
        <v>0.49508669999999999</v>
      </c>
      <c r="Z1404">
        <v>3.846285E-2</v>
      </c>
      <c r="AA1404">
        <v>0.86799179999999998</v>
      </c>
      <c r="AB1404">
        <v>23</v>
      </c>
      <c r="AC1404">
        <v>4.28689999999997</v>
      </c>
      <c r="AD1404">
        <v>-1.09709543806</v>
      </c>
      <c r="AE1404">
        <v>-10.841100000000001</v>
      </c>
      <c r="AF1404">
        <v>5.7739996904684601</v>
      </c>
      <c r="AG1404">
        <v>-1.09709543806</v>
      </c>
      <c r="AH1404">
        <v>10.0096082118416</v>
      </c>
      <c r="AI1404">
        <v>95.423450120850106</v>
      </c>
      <c r="AJ1404">
        <v>60.0216859926471</v>
      </c>
      <c r="AK1404">
        <v>11.607538385907199</v>
      </c>
    </row>
    <row r="1405" spans="1:37" x14ac:dyDescent="0.2">
      <c r="A1405" t="str">
        <f>"20200111155818440"</f>
        <v>20200111155818440</v>
      </c>
      <c r="B1405" t="str">
        <f>"1578729498432207"</f>
        <v>1578729498432207</v>
      </c>
      <c r="C1405" t="s">
        <v>37</v>
      </c>
      <c r="D1405">
        <v>5.9186969999999999</v>
      </c>
      <c r="E1405">
        <v>0.65584169999999997</v>
      </c>
      <c r="F1405" t="s">
        <v>39</v>
      </c>
      <c r="G1405">
        <v>-195.0119</v>
      </c>
      <c r="H1405" s="1">
        <v>-5.156788E-6</v>
      </c>
      <c r="I1405">
        <v>349.52780000000001</v>
      </c>
      <c r="J1405">
        <v>-199.26859999999999</v>
      </c>
      <c r="K1405">
        <v>1.0970679999999999</v>
      </c>
      <c r="L1405">
        <v>360.48989999999998</v>
      </c>
      <c r="M1405">
        <v>0.77858280000000002</v>
      </c>
      <c r="N1405">
        <v>0</v>
      </c>
      <c r="O1405">
        <v>-0.62736479999999994</v>
      </c>
      <c r="P1405">
        <v>0.68734680000000004</v>
      </c>
      <c r="Q1405">
        <v>-4.4365229999999999E-4</v>
      </c>
      <c r="R1405">
        <v>-0.72632909999999995</v>
      </c>
      <c r="S1405">
        <v>1.189926</v>
      </c>
      <c r="T1405">
        <v>-0.29911679999999902</v>
      </c>
      <c r="U1405">
        <v>-3.0148009999999998</v>
      </c>
      <c r="V1405">
        <v>0.13454360000000001</v>
      </c>
      <c r="W1405">
        <v>1.1875170000000001E-2</v>
      </c>
      <c r="X1405">
        <v>0.99083650000000001</v>
      </c>
      <c r="Y1405">
        <v>0.49406339999999999</v>
      </c>
      <c r="Z1405">
        <v>3.8796039999999997E-2</v>
      </c>
      <c r="AA1405">
        <v>0.86855990000000005</v>
      </c>
      <c r="AB1405">
        <v>23</v>
      </c>
      <c r="AC1405">
        <v>4.2566999999999897</v>
      </c>
      <c r="AD1405">
        <v>-1.0970731567880001</v>
      </c>
      <c r="AE1405">
        <v>-10.9620999999999</v>
      </c>
      <c r="AF1405">
        <v>5.8144450076908196</v>
      </c>
      <c r="AG1405">
        <v>-1.0970731567880001</v>
      </c>
      <c r="AH1405">
        <v>10.1046170759862</v>
      </c>
      <c r="AI1405">
        <v>95.375931725165103</v>
      </c>
      <c r="AJ1405">
        <v>60.082819523456301</v>
      </c>
      <c r="AK1405">
        <v>11.7095954887911</v>
      </c>
    </row>
    <row r="1406" spans="1:37" x14ac:dyDescent="0.2">
      <c r="A1406" t="str">
        <f>"20200111155818454"</f>
        <v>20200111155818454</v>
      </c>
      <c r="B1406" t="str">
        <f>"1578729498441967"</f>
        <v>1578729498441967</v>
      </c>
      <c r="C1406" t="s">
        <v>37</v>
      </c>
      <c r="D1406">
        <v>5.9744729999999997</v>
      </c>
      <c r="E1406">
        <v>0.65550330000000001</v>
      </c>
      <c r="F1406" t="s">
        <v>39</v>
      </c>
      <c r="G1406">
        <v>-194.93819999999999</v>
      </c>
      <c r="H1406" s="1">
        <v>-5.0709250000000001E-6</v>
      </c>
      <c r="I1406">
        <v>349.31389999999999</v>
      </c>
      <c r="J1406">
        <v>-199.1754</v>
      </c>
      <c r="K1406">
        <v>1.097046</v>
      </c>
      <c r="L1406">
        <v>360.40570000000002</v>
      </c>
      <c r="M1406">
        <v>0.77458439999999995</v>
      </c>
      <c r="N1406">
        <v>0</v>
      </c>
      <c r="O1406">
        <v>-0.63229489999999999</v>
      </c>
      <c r="P1406">
        <v>0.68326469999999995</v>
      </c>
      <c r="Q1406" s="1">
        <v>-4.5087189999999997E-5</v>
      </c>
      <c r="R1406">
        <v>-0.73017069999999995</v>
      </c>
      <c r="S1406">
        <v>1.1709750000000001</v>
      </c>
      <c r="T1406">
        <v>-0.29665710000000001</v>
      </c>
      <c r="U1406">
        <v>-3.0220639999999999</v>
      </c>
      <c r="V1406">
        <v>0.13381579999999901</v>
      </c>
      <c r="W1406">
        <v>1.2289990000000001E-2</v>
      </c>
      <c r="X1406">
        <v>0.99092999999999998</v>
      </c>
      <c r="Y1406">
        <v>0.49399219999999999</v>
      </c>
      <c r="Z1406">
        <v>3.9029380000000002E-2</v>
      </c>
      <c r="AA1406">
        <v>0.86858989999999903</v>
      </c>
      <c r="AB1406">
        <v>23</v>
      </c>
      <c r="AC1406">
        <v>4.2371999999999996</v>
      </c>
      <c r="AD1406">
        <v>-1.0970510709250001</v>
      </c>
      <c r="AE1406">
        <v>-11.091799999999999</v>
      </c>
      <c r="AF1406">
        <v>5.8629816191902799</v>
      </c>
      <c r="AG1406">
        <v>-1.0970510709250001</v>
      </c>
      <c r="AH1406">
        <v>10.209347222266</v>
      </c>
      <c r="AI1406">
        <v>95.323622131259</v>
      </c>
      <c r="AJ1406">
        <v>60.132289034986698</v>
      </c>
      <c r="AK1406">
        <v>11.824079043374701</v>
      </c>
    </row>
    <row r="1407" spans="1:37" x14ac:dyDescent="0.2">
      <c r="A1407" t="str">
        <f>"20200111155818485"</f>
        <v>20200111155818485</v>
      </c>
      <c r="B1407" t="str">
        <f>"1578729498482536"</f>
        <v>1578729498482536</v>
      </c>
      <c r="C1407" t="s">
        <v>37</v>
      </c>
      <c r="D1407">
        <v>5.9205019999999999</v>
      </c>
      <c r="E1407">
        <v>0.65451009999999998</v>
      </c>
      <c r="F1407" t="s">
        <v>39</v>
      </c>
      <c r="G1407">
        <v>-194.8648</v>
      </c>
      <c r="H1407" s="1">
        <v>-4.9917579999999902E-6</v>
      </c>
      <c r="I1407">
        <v>349.11950000000002</v>
      </c>
      <c r="J1407">
        <v>-198.93219999999999</v>
      </c>
      <c r="K1407">
        <v>1.096981</v>
      </c>
      <c r="L1407">
        <v>360.1816</v>
      </c>
      <c r="M1407">
        <v>0.76381889999999997</v>
      </c>
      <c r="N1407">
        <v>0</v>
      </c>
      <c r="O1407">
        <v>-0.645258</v>
      </c>
      <c r="P1407">
        <v>0.67259369999999996</v>
      </c>
      <c r="Q1407">
        <v>8.2979910000000002E-4</v>
      </c>
      <c r="R1407">
        <v>-0.7400118</v>
      </c>
      <c r="S1407">
        <v>1.1560520000000001</v>
      </c>
      <c r="T1407">
        <v>-0.29421599999999998</v>
      </c>
      <c r="U1407">
        <v>-3.0268250000000001</v>
      </c>
      <c r="V1407">
        <v>0.13151889999999999</v>
      </c>
      <c r="W1407">
        <v>1.3214979999999999E-2</v>
      </c>
      <c r="X1407">
        <v>0.99122559999999904</v>
      </c>
      <c r="Y1407">
        <v>0.48354659999999899</v>
      </c>
      <c r="Z1407">
        <v>4.0592740000000002E-2</v>
      </c>
      <c r="AA1407">
        <v>0.87437679999999995</v>
      </c>
      <c r="AB1407">
        <v>23</v>
      </c>
      <c r="AC1407">
        <v>4.0673999999999904</v>
      </c>
      <c r="AD1407">
        <v>-1.096985991758</v>
      </c>
      <c r="AE1407">
        <v>-11.0620999999999</v>
      </c>
      <c r="AF1407">
        <v>5.7755355381555802</v>
      </c>
      <c r="AG1407">
        <v>-1.096985991758</v>
      </c>
      <c r="AH1407">
        <v>10.157812180780301</v>
      </c>
      <c r="AI1407">
        <v>95.363224439522398</v>
      </c>
      <c r="AJ1407">
        <v>60.378277239236198</v>
      </c>
      <c r="AK1407">
        <v>11.7363255458691</v>
      </c>
    </row>
    <row r="1408" spans="1:37" x14ac:dyDescent="0.2">
      <c r="A1408" t="str">
        <f>"20200111155818505"</f>
        <v>20200111155818505</v>
      </c>
      <c r="B1408" t="str">
        <f>"1578729498502056"</f>
        <v>1578729498502056</v>
      </c>
      <c r="C1408" t="s">
        <v>37</v>
      </c>
      <c r="D1408">
        <v>5.8999559999999898</v>
      </c>
      <c r="E1408">
        <v>0.65379759999999998</v>
      </c>
      <c r="F1408" t="s">
        <v>39</v>
      </c>
      <c r="G1408">
        <v>-194.69980000000001</v>
      </c>
      <c r="H1408" s="1">
        <v>-4.8115130000000002E-6</v>
      </c>
      <c r="I1408">
        <v>348.67590000000001</v>
      </c>
      <c r="J1408">
        <v>-198.78120000000001</v>
      </c>
      <c r="K1408">
        <v>1.0969409999999999</v>
      </c>
      <c r="L1408">
        <v>360.03820000000002</v>
      </c>
      <c r="M1408">
        <v>0.75684479999999998</v>
      </c>
      <c r="N1408">
        <v>0</v>
      </c>
      <c r="O1408">
        <v>-0.65342369999999905</v>
      </c>
      <c r="P1408">
        <v>0.66588130000000001</v>
      </c>
      <c r="Q1408">
        <v>1.502661E-3</v>
      </c>
      <c r="R1408">
        <v>-0.74605639999999995</v>
      </c>
      <c r="S1408">
        <v>1.117737</v>
      </c>
      <c r="T1408">
        <v>-0.2896994</v>
      </c>
      <c r="U1408">
        <v>-3.038513</v>
      </c>
      <c r="V1408">
        <v>0.12984109999999999</v>
      </c>
      <c r="W1408">
        <v>1.3923970000000001E-2</v>
      </c>
      <c r="X1408">
        <v>0.99143700000000001</v>
      </c>
      <c r="Y1408">
        <v>0.48494769999999998</v>
      </c>
      <c r="Z1408">
        <v>4.083432E-2</v>
      </c>
      <c r="AA1408">
        <v>0.87358930000000001</v>
      </c>
      <c r="AB1408">
        <v>23</v>
      </c>
      <c r="AC1408">
        <v>4.0814000000000004</v>
      </c>
      <c r="AD1408">
        <v>-1.096945811513</v>
      </c>
      <c r="AE1408">
        <v>-11.362299999999999</v>
      </c>
      <c r="AF1408">
        <v>5.8846970698610903</v>
      </c>
      <c r="AG1408">
        <v>-1.096945811513</v>
      </c>
      <c r="AH1408">
        <v>10.428466968864701</v>
      </c>
      <c r="AI1408">
        <v>95.234185525997404</v>
      </c>
      <c r="AJ1408">
        <v>60.5643246974414</v>
      </c>
      <c r="AK1408">
        <v>12.024386597167</v>
      </c>
    </row>
    <row r="1409" spans="1:37" x14ac:dyDescent="0.2">
      <c r="A1409" t="str">
        <f>"20200111155818575"</f>
        <v>20200111155818575</v>
      </c>
      <c r="B1409" t="str">
        <f>"1578729498572028"</f>
        <v>1578729498572028</v>
      </c>
      <c r="C1409" t="s">
        <v>37</v>
      </c>
      <c r="D1409">
        <v>5.9238650000000002</v>
      </c>
      <c r="E1409">
        <v>0.65169189999999999</v>
      </c>
      <c r="F1409" t="s">
        <v>39</v>
      </c>
      <c r="G1409">
        <v>-194.5692</v>
      </c>
      <c r="H1409" s="1">
        <v>-4.6654299999999998E-6</v>
      </c>
      <c r="I1409">
        <v>348.31470000000002</v>
      </c>
      <c r="J1409">
        <v>-198.2621</v>
      </c>
      <c r="K1409">
        <v>1.096803</v>
      </c>
      <c r="L1409">
        <v>359.51859999999999</v>
      </c>
      <c r="M1409">
        <v>0.73107310000000003</v>
      </c>
      <c r="N1409">
        <v>0</v>
      </c>
      <c r="O1409">
        <v>-0.68213409999999997</v>
      </c>
      <c r="P1409">
        <v>0.63998940000000004</v>
      </c>
      <c r="Q1409">
        <v>2.7891529999999999E-3</v>
      </c>
      <c r="R1409">
        <v>-0.76837889999999998</v>
      </c>
      <c r="S1409">
        <v>1.0940700000000001</v>
      </c>
      <c r="T1409">
        <v>-0.284935099999999</v>
      </c>
      <c r="U1409">
        <v>-3.0452270000000001</v>
      </c>
      <c r="V1409">
        <v>0.12550810000000001</v>
      </c>
      <c r="W1409">
        <v>1.5309990000000001E-2</v>
      </c>
      <c r="X1409">
        <v>0.99197449999999998</v>
      </c>
      <c r="Y1409">
        <v>0.45770059999999901</v>
      </c>
      <c r="Z1409">
        <v>4.4345130000000003E-2</v>
      </c>
      <c r="AA1409">
        <v>0.88799980000000001</v>
      </c>
      <c r="AB1409">
        <v>23</v>
      </c>
      <c r="AC1409">
        <v>3.6928999999999998</v>
      </c>
      <c r="AD1409">
        <v>-1.0968076654300001</v>
      </c>
      <c r="AE1409">
        <v>-11.2038999999999</v>
      </c>
      <c r="AF1409">
        <v>5.62384128493684</v>
      </c>
      <c r="AG1409">
        <v>-1.0968076654300001</v>
      </c>
      <c r="AH1409">
        <v>10.254860410308201</v>
      </c>
      <c r="AI1409">
        <v>95.357448803386703</v>
      </c>
      <c r="AJ1409">
        <v>61.259310594222796</v>
      </c>
      <c r="AK1409">
        <v>11.747031109519201</v>
      </c>
    </row>
    <row r="1410" spans="1:37" x14ac:dyDescent="0.2">
      <c r="A1410" t="str">
        <f>"20200111155818589"</f>
        <v>20200111155818589</v>
      </c>
      <c r="B1410" t="str">
        <f>"1578729498583739"</f>
        <v>1578729498583739</v>
      </c>
      <c r="C1410" t="s">
        <v>37</v>
      </c>
      <c r="D1410">
        <v>5.9781680000000001</v>
      </c>
      <c r="E1410">
        <v>0.65099259999999903</v>
      </c>
      <c r="F1410" t="s">
        <v>39</v>
      </c>
      <c r="G1410">
        <v>-194.3064</v>
      </c>
      <c r="H1410" s="1">
        <v>-4.3043630000000003E-6</v>
      </c>
      <c r="I1410">
        <v>347.39069999999998</v>
      </c>
      <c r="J1410">
        <v>-198.15979999999999</v>
      </c>
      <c r="K1410">
        <v>1.096776</v>
      </c>
      <c r="L1410">
        <v>359.41140000000001</v>
      </c>
      <c r="M1410">
        <v>0.72565009999999996</v>
      </c>
      <c r="N1410">
        <v>0</v>
      </c>
      <c r="O1410">
        <v>-0.68789999999999996</v>
      </c>
      <c r="P1410">
        <v>0.6344516</v>
      </c>
      <c r="Q1410">
        <v>3.1808700000000001E-3</v>
      </c>
      <c r="R1410">
        <v>-0.77295619999999998</v>
      </c>
      <c r="S1410">
        <v>1.001663</v>
      </c>
      <c r="T1410">
        <v>-0.27773409999999998</v>
      </c>
      <c r="U1410">
        <v>-3.0710449999999998</v>
      </c>
      <c r="V1410">
        <v>0.124790899999999</v>
      </c>
      <c r="W1410">
        <v>1.5719070000000002E-2</v>
      </c>
      <c r="X1410">
        <v>0.99205849999999995</v>
      </c>
      <c r="Y1410">
        <v>0.47682799999999997</v>
      </c>
      <c r="Z1410">
        <v>4.3196159999999997E-2</v>
      </c>
      <c r="AA1410">
        <v>0.87793460000000001</v>
      </c>
      <c r="AB1410">
        <v>23</v>
      </c>
      <c r="AC1410">
        <v>3.8533999999999899</v>
      </c>
      <c r="AD1410">
        <v>-1.096780304363</v>
      </c>
      <c r="AE1410">
        <v>-12.0207</v>
      </c>
      <c r="AF1410">
        <v>6.0272524440871997</v>
      </c>
      <c r="AG1410">
        <v>-1.096780304363</v>
      </c>
      <c r="AH1410">
        <v>10.9835907401554</v>
      </c>
      <c r="AI1410">
        <v>95.003020665373199</v>
      </c>
      <c r="AJ1410">
        <v>61.244193465252799</v>
      </c>
      <c r="AK1410">
        <v>12.576564101853201</v>
      </c>
    </row>
    <row r="1411" spans="1:37" x14ac:dyDescent="0.2">
      <c r="A1411" t="str">
        <f>"20200111155818606"</f>
        <v>20200111155818606</v>
      </c>
      <c r="B1411" t="str">
        <f>"1578729498602282"</f>
        <v>1578729498602282</v>
      </c>
      <c r="C1411" t="s">
        <v>37</v>
      </c>
      <c r="D1411">
        <v>5.9800279999999999</v>
      </c>
      <c r="E1411">
        <v>0.64965189999999995</v>
      </c>
      <c r="F1411" t="s">
        <v>39</v>
      </c>
      <c r="G1411">
        <v>-194.27209999999999</v>
      </c>
      <c r="H1411" s="1">
        <v>-4.2557879999999996E-6</v>
      </c>
      <c r="I1411">
        <v>347.26580000000001</v>
      </c>
      <c r="J1411">
        <v>-198.04060000000001</v>
      </c>
      <c r="K1411">
        <v>1.0967450000000001</v>
      </c>
      <c r="L1411">
        <v>359.28410000000002</v>
      </c>
      <c r="M1411">
        <v>0.71916650000000004</v>
      </c>
      <c r="N1411">
        <v>0</v>
      </c>
      <c r="O1411">
        <v>-0.69467509999999999</v>
      </c>
      <c r="P1411">
        <v>0.62813940000000001</v>
      </c>
      <c r="Q1411">
        <v>4.7237249999999998E-3</v>
      </c>
      <c r="R1411">
        <v>-0.77808650000000001</v>
      </c>
      <c r="S1411">
        <v>0.98414609999999902</v>
      </c>
      <c r="T1411">
        <v>-0.27764109999999997</v>
      </c>
      <c r="U1411">
        <v>-3.074554</v>
      </c>
      <c r="V1411">
        <v>0.1235865</v>
      </c>
      <c r="W1411">
        <v>1.7290030000000001E-2</v>
      </c>
      <c r="X1411">
        <v>0.99218309999999998</v>
      </c>
      <c r="Y1411">
        <v>0.47342339999999999</v>
      </c>
      <c r="Z1411">
        <v>4.4057279999999997E-2</v>
      </c>
      <c r="AA1411">
        <v>0.87973250000000003</v>
      </c>
      <c r="AB1411">
        <v>23</v>
      </c>
      <c r="AC1411">
        <v>3.7685000000000102</v>
      </c>
      <c r="AD1411">
        <v>-1.0967492557880001</v>
      </c>
      <c r="AE1411">
        <v>-12.0183</v>
      </c>
      <c r="AF1411">
        <v>5.9806101908105296</v>
      </c>
      <c r="AG1411">
        <v>-1.0967492557880001</v>
      </c>
      <c r="AH1411">
        <v>10.9770122616736</v>
      </c>
      <c r="AI1411">
        <v>95.014087953446094</v>
      </c>
      <c r="AJ1411">
        <v>61.417107670790102</v>
      </c>
      <c r="AK1411">
        <v>12.5485200472976</v>
      </c>
    </row>
    <row r="1412" spans="1:37" x14ac:dyDescent="0.2">
      <c r="A1412" t="str">
        <f>"20200111155818619"</f>
        <v>20200111155818619</v>
      </c>
      <c r="B1412" t="str">
        <f>"1578729498612043"</f>
        <v>1578729498612043</v>
      </c>
      <c r="C1412" t="s">
        <v>37</v>
      </c>
      <c r="D1412">
        <v>5.8908110000000002</v>
      </c>
      <c r="E1412">
        <v>0.64913699999999996</v>
      </c>
      <c r="F1412" t="s">
        <v>39</v>
      </c>
      <c r="G1412">
        <v>-194.17410000000001</v>
      </c>
      <c r="H1412" s="1">
        <v>-4.1435259999999997E-6</v>
      </c>
      <c r="I1412">
        <v>346.986999999999</v>
      </c>
      <c r="J1412">
        <v>-197.94370000000001</v>
      </c>
      <c r="K1412">
        <v>1.096722</v>
      </c>
      <c r="L1412">
        <v>359.17840000000001</v>
      </c>
      <c r="M1412">
        <v>0.71375259999999996</v>
      </c>
      <c r="N1412">
        <v>0</v>
      </c>
      <c r="O1412">
        <v>-0.70023630000000003</v>
      </c>
      <c r="P1412">
        <v>0.622363</v>
      </c>
      <c r="Q1412">
        <v>5.887738E-3</v>
      </c>
      <c r="R1412">
        <v>-0.78270689999999998</v>
      </c>
      <c r="S1412">
        <v>0.96728519999999896</v>
      </c>
      <c r="T1412">
        <v>-0.27438059999999997</v>
      </c>
      <c r="U1412">
        <v>-3.0764469999999999</v>
      </c>
      <c r="V1412">
        <v>0.123247</v>
      </c>
      <c r="W1412">
        <v>1.8464769999999998E-2</v>
      </c>
      <c r="X1412">
        <v>0.99220419999999998</v>
      </c>
      <c r="Y1412">
        <v>0.47113129999999998</v>
      </c>
      <c r="Z1412">
        <v>4.4257499999999998E-2</v>
      </c>
      <c r="AA1412">
        <v>0.88095210000000002</v>
      </c>
      <c r="AB1412">
        <v>23</v>
      </c>
      <c r="AC1412">
        <v>3.7695999999999898</v>
      </c>
      <c r="AD1412">
        <v>-1.0967261435259901</v>
      </c>
      <c r="AE1412">
        <v>-12.1914</v>
      </c>
      <c r="AF1412">
        <v>6.0182653423382702</v>
      </c>
      <c r="AG1412">
        <v>-1.0967261435259901</v>
      </c>
      <c r="AH1412">
        <v>11.146361613837</v>
      </c>
      <c r="AI1412">
        <v>94.9482835866974</v>
      </c>
      <c r="AJ1412">
        <v>61.634017960729302</v>
      </c>
      <c r="AK1412">
        <v>12.714704211703101</v>
      </c>
    </row>
    <row r="1413" spans="1:37" x14ac:dyDescent="0.2">
      <c r="A1413" t="str">
        <f>"20200111155818633"</f>
        <v>20200111155818633</v>
      </c>
      <c r="B1413" t="str">
        <f>"1578729498622779"</f>
        <v>1578729498622779</v>
      </c>
      <c r="C1413" t="s">
        <v>37</v>
      </c>
      <c r="D1413">
        <v>5.9313900000000004</v>
      </c>
      <c r="E1413">
        <v>0.64857229999999999</v>
      </c>
      <c r="F1413" t="s">
        <v>39</v>
      </c>
      <c r="G1413">
        <v>-194.10679999999999</v>
      </c>
      <c r="H1413" s="1">
        <v>-4.0339099999999901E-6</v>
      </c>
      <c r="I1413">
        <v>346.7</v>
      </c>
      <c r="J1413">
        <v>-197.85329999999999</v>
      </c>
      <c r="K1413">
        <v>1.0967089999999999</v>
      </c>
      <c r="L1413">
        <v>359.07839999999999</v>
      </c>
      <c r="M1413">
        <v>0.70860230000000002</v>
      </c>
      <c r="N1413">
        <v>0</v>
      </c>
      <c r="O1413">
        <v>-0.70544770000000001</v>
      </c>
      <c r="P1413">
        <v>0.61683049999999995</v>
      </c>
      <c r="Q1413">
        <v>7.1958169999999898E-3</v>
      </c>
      <c r="R1413">
        <v>-0.78706309999999902</v>
      </c>
      <c r="S1413">
        <v>0.94750979999999996</v>
      </c>
      <c r="T1413">
        <v>-0.27083079999999998</v>
      </c>
      <c r="U1413">
        <v>-3.0814819999999998</v>
      </c>
      <c r="V1413">
        <v>0.1229888</v>
      </c>
      <c r="W1413">
        <v>1.978156E-2</v>
      </c>
      <c r="X1413">
        <v>0.99221090000000001</v>
      </c>
      <c r="Y1413">
        <v>0.47023959999999998</v>
      </c>
      <c r="Z1413">
        <v>4.4278230000000002E-2</v>
      </c>
      <c r="AA1413">
        <v>0.88142730000000002</v>
      </c>
      <c r="AB1413">
        <v>23</v>
      </c>
      <c r="AC1413">
        <v>3.7464999999999899</v>
      </c>
      <c r="AD1413">
        <v>-1.09671303391</v>
      </c>
      <c r="AE1413">
        <v>-12.378399999999999</v>
      </c>
      <c r="AF1413">
        <v>6.0853366712880099</v>
      </c>
      <c r="AG1413">
        <v>-1.09671303391</v>
      </c>
      <c r="AH1413">
        <v>11.3070716171282</v>
      </c>
      <c r="AI1413">
        <v>94.881770612402406</v>
      </c>
      <c r="AJ1413">
        <v>61.711370287293903</v>
      </c>
      <c r="AK1413">
        <v>12.887356999654299</v>
      </c>
    </row>
    <row r="1414" spans="1:37" x14ac:dyDescent="0.2">
      <c r="A1414" t="str">
        <f>"20200111155818652"</f>
        <v>20200111155818652</v>
      </c>
      <c r="B1414" t="str">
        <f>"1578729498642298"</f>
        <v>1578729498642298</v>
      </c>
      <c r="C1414" t="s">
        <v>37</v>
      </c>
      <c r="D1414">
        <v>5.9260630000000001</v>
      </c>
      <c r="E1414">
        <v>0.64748669999999997</v>
      </c>
      <c r="F1414" t="s">
        <v>39</v>
      </c>
      <c r="G1414">
        <v>-194.0437</v>
      </c>
      <c r="H1414" s="1">
        <v>-3.9351479999999901E-6</v>
      </c>
      <c r="I1414">
        <v>346.4427</v>
      </c>
      <c r="J1414">
        <v>-197.72299999999899</v>
      </c>
      <c r="K1414">
        <v>1.096697</v>
      </c>
      <c r="L1414">
        <v>358.93150000000003</v>
      </c>
      <c r="M1414">
        <v>0.70099599999999995</v>
      </c>
      <c r="N1414">
        <v>0</v>
      </c>
      <c r="O1414">
        <v>-0.71300609999999998</v>
      </c>
      <c r="P1414">
        <v>0.60871759999999997</v>
      </c>
      <c r="Q1414">
        <v>9.5977909999999996E-3</v>
      </c>
      <c r="R1414">
        <v>-0.79332919999999996</v>
      </c>
      <c r="S1414">
        <v>0.93016049999999995</v>
      </c>
      <c r="T1414">
        <v>-0.26777390000000001</v>
      </c>
      <c r="U1414">
        <v>-3.0851439999999899</v>
      </c>
      <c r="V1414">
        <v>0.1225647</v>
      </c>
      <c r="W1414">
        <v>2.2197149999999999E-2</v>
      </c>
      <c r="X1414">
        <v>0.99221219999999999</v>
      </c>
      <c r="Y1414">
        <v>0.46561330000000001</v>
      </c>
      <c r="Z1414">
        <v>4.4746540000000001E-2</v>
      </c>
      <c r="AA1414">
        <v>0.88385639999999999</v>
      </c>
      <c r="AB1414">
        <v>23</v>
      </c>
      <c r="AC1414">
        <v>3.67929999999998</v>
      </c>
      <c r="AD1414">
        <v>-1.0967009351479999</v>
      </c>
      <c r="AE1414">
        <v>-12.488799999999999</v>
      </c>
      <c r="AF1414">
        <v>6.0887281857215498</v>
      </c>
      <c r="AG1414">
        <v>-1.0967009351479999</v>
      </c>
      <c r="AH1414">
        <v>11.4041492327238</v>
      </c>
      <c r="AI1414">
        <v>94.848960579973394</v>
      </c>
      <c r="AJ1414">
        <v>61.902034600628802</v>
      </c>
      <c r="AK1414">
        <v>12.9742045452886</v>
      </c>
    </row>
    <row r="1415" spans="1:37" x14ac:dyDescent="0.2">
      <c r="A1415" t="str">
        <f>"20200111155818680"</f>
        <v>20200111155818680</v>
      </c>
      <c r="B1415" t="str">
        <f>"1578729498672928"</f>
        <v>1578729498672928</v>
      </c>
      <c r="C1415" t="s">
        <v>37</v>
      </c>
      <c r="D1415">
        <v>6.5848940000000002</v>
      </c>
      <c r="E1415">
        <v>0.64701109999999995</v>
      </c>
      <c r="F1415" t="s">
        <v>39</v>
      </c>
      <c r="G1415">
        <v>-193.94499999999999</v>
      </c>
      <c r="H1415" s="1">
        <v>-3.7822279999999999E-6</v>
      </c>
      <c r="I1415">
        <v>346.04469999999998</v>
      </c>
      <c r="J1415">
        <v>-197.52369999999999</v>
      </c>
      <c r="K1415">
        <v>1.0966719999999901</v>
      </c>
      <c r="L1415">
        <v>358.70060000000001</v>
      </c>
      <c r="M1415">
        <v>0.68893409999999999</v>
      </c>
      <c r="N1415">
        <v>0</v>
      </c>
      <c r="O1415">
        <v>-0.72466709999999901</v>
      </c>
      <c r="P1415">
        <v>0.59528769999999998</v>
      </c>
      <c r="Q1415">
        <v>1.1443210000000001E-2</v>
      </c>
      <c r="R1415">
        <v>-0.80343120000000001</v>
      </c>
      <c r="S1415">
        <v>0.90579219999999905</v>
      </c>
      <c r="T1415">
        <v>-0.26294089999999998</v>
      </c>
      <c r="U1415">
        <v>-3.0896910000000002</v>
      </c>
      <c r="V1415">
        <v>0.12262729999999999</v>
      </c>
      <c r="W1415">
        <v>2.4050129999999999E-2</v>
      </c>
      <c r="X1415">
        <v>0.99216130000000002</v>
      </c>
      <c r="Y1415">
        <v>0.45753080000000002</v>
      </c>
      <c r="Z1415">
        <v>4.5440370000000001E-2</v>
      </c>
      <c r="AA1415">
        <v>0.88803199999999904</v>
      </c>
      <c r="AB1415">
        <v>23</v>
      </c>
      <c r="AC1415">
        <v>3.5786999999999898</v>
      </c>
      <c r="AD1415">
        <v>-1.09667578222799</v>
      </c>
      <c r="AE1415">
        <v>-12.655900000000001</v>
      </c>
      <c r="AF1415">
        <v>6.0841095862473198</v>
      </c>
      <c r="AG1415">
        <v>-1.09667578222799</v>
      </c>
      <c r="AH1415">
        <v>11.557766631211599</v>
      </c>
      <c r="AI1415">
        <v>94.799499942253803</v>
      </c>
      <c r="AJ1415">
        <v>62.237288288263997</v>
      </c>
      <c r="AK1415">
        <v>13.107290213096601</v>
      </c>
    </row>
    <row r="1416" spans="1:37" x14ac:dyDescent="0.2">
      <c r="A1416" t="str">
        <f>"20200111155818955"</f>
        <v>20200111155818955</v>
      </c>
      <c r="B1416" t="str">
        <f>"1578729498952653"</f>
        <v>1578729498952653</v>
      </c>
      <c r="C1416" t="s">
        <v>37</v>
      </c>
      <c r="D1416">
        <v>5.9908359999999998</v>
      </c>
      <c r="E1416">
        <v>0.65051510000000001</v>
      </c>
      <c r="F1416" t="s">
        <v>39</v>
      </c>
      <c r="G1416">
        <v>-193.89410000000001</v>
      </c>
      <c r="H1416" s="1">
        <v>-3.596522E-6</v>
      </c>
      <c r="I1416">
        <v>345.5575</v>
      </c>
      <c r="J1416">
        <v>-195.88140000000001</v>
      </c>
      <c r="K1416">
        <v>1.0967789999999999</v>
      </c>
      <c r="L1416">
        <v>356.40809999999999</v>
      </c>
      <c r="M1416">
        <v>0.56457590000000002</v>
      </c>
      <c r="N1416">
        <v>0</v>
      </c>
      <c r="O1416">
        <v>-0.82524159999999902</v>
      </c>
      <c r="P1416">
        <v>0.46984100000000001</v>
      </c>
      <c r="Q1416">
        <v>2.2542590000000001E-2</v>
      </c>
      <c r="R1416">
        <v>-0.882462999999999</v>
      </c>
      <c r="S1416">
        <v>0.85687259999999998</v>
      </c>
      <c r="T1416">
        <v>-0.25889899999999999</v>
      </c>
      <c r="U1416">
        <v>-3.1027830000000001</v>
      </c>
      <c r="V1416">
        <v>0.111207</v>
      </c>
      <c r="W1416">
        <v>3.5477649999999999E-2</v>
      </c>
      <c r="X1416">
        <v>0.99316380000000004</v>
      </c>
      <c r="Y1416">
        <v>0.32506160000000001</v>
      </c>
      <c r="Z1416">
        <v>5.8630250000000002E-2</v>
      </c>
      <c r="AA1416">
        <v>0.94387359999999898</v>
      </c>
      <c r="AB1416">
        <v>22</v>
      </c>
      <c r="AC1416">
        <v>1.9873000000000001</v>
      </c>
      <c r="AD1416">
        <v>-1.0967825965219999</v>
      </c>
      <c r="AE1416">
        <v>-10.850599999999901</v>
      </c>
      <c r="AF1416">
        <v>4.4425836512133197</v>
      </c>
      <c r="AG1416">
        <v>-1.0967825965219999</v>
      </c>
      <c r="AH1416">
        <v>9.9788615969419503</v>
      </c>
      <c r="AI1416">
        <v>95.7338176318884</v>
      </c>
      <c r="AJ1416">
        <v>66.001398169801803</v>
      </c>
      <c r="AK1416">
        <v>10.9780308039731</v>
      </c>
    </row>
    <row r="1417" spans="1:37" x14ac:dyDescent="0.2">
      <c r="A1417" t="str">
        <f>"20200111155818975"</f>
        <v>20200111155818975</v>
      </c>
      <c r="B1417" t="str">
        <f>"1578729498972172"</f>
        <v>1578729498972172</v>
      </c>
      <c r="C1417" t="s">
        <v>37</v>
      </c>
      <c r="D1417">
        <v>5.9436220000000004</v>
      </c>
      <c r="E1417">
        <v>0.65107700000000002</v>
      </c>
      <c r="F1417" t="s">
        <v>39</v>
      </c>
      <c r="G1417">
        <v>-194.07589999999999</v>
      </c>
      <c r="H1417" s="1">
        <v>-1.4663470000000001E-6</v>
      </c>
      <c r="I1417">
        <v>340.47919999999999</v>
      </c>
      <c r="J1417">
        <v>-195.78190000000001</v>
      </c>
      <c r="K1417">
        <v>1.096778</v>
      </c>
      <c r="L1417">
        <v>356.23989999999998</v>
      </c>
      <c r="M1417">
        <v>0.555191199999999</v>
      </c>
      <c r="N1417">
        <v>0</v>
      </c>
      <c r="O1417">
        <v>-0.83158399999999999</v>
      </c>
      <c r="P1417">
        <v>0.4611188</v>
      </c>
      <c r="Q1417">
        <v>2.341729E-2</v>
      </c>
      <c r="R1417">
        <v>-0.88702950000000003</v>
      </c>
      <c r="S1417">
        <v>0.3639984</v>
      </c>
      <c r="T1417">
        <v>-0.22111739999999999</v>
      </c>
      <c r="U1417">
        <v>-3.2113649999999998</v>
      </c>
      <c r="V1417">
        <v>0.1097516</v>
      </c>
      <c r="W1417">
        <v>3.6384960000000001E-2</v>
      </c>
      <c r="X1417">
        <v>0.99329290000000003</v>
      </c>
      <c r="Y1417">
        <v>0.45812579999999897</v>
      </c>
      <c r="Z1417">
        <v>4.7588800000000001E-2</v>
      </c>
      <c r="AA1417">
        <v>0.88761250000000003</v>
      </c>
      <c r="AB1417">
        <v>22</v>
      </c>
      <c r="AC1417">
        <v>1.70600000000001</v>
      </c>
      <c r="AD1417">
        <v>-1.0967794663470001</v>
      </c>
      <c r="AE1417">
        <v>-15.7606999999999</v>
      </c>
      <c r="AF1417">
        <v>7.2974357511185097</v>
      </c>
      <c r="AG1417">
        <v>-1.0967794663470001</v>
      </c>
      <c r="AH1417">
        <v>13.988168064148899</v>
      </c>
      <c r="AI1417">
        <v>93.976607167422898</v>
      </c>
      <c r="AJ1417">
        <v>62.449567411057203</v>
      </c>
      <c r="AK1417">
        <v>15.815319773257199</v>
      </c>
    </row>
    <row r="1418" spans="1:37" x14ac:dyDescent="0.2">
      <c r="A1418" t="str">
        <f>"20200111155818998"</f>
        <v>20200111155818998</v>
      </c>
      <c r="B1418" t="str">
        <f>"1578729498992668"</f>
        <v>1578729498992668</v>
      </c>
      <c r="C1418" t="s">
        <v>37</v>
      </c>
      <c r="D1418">
        <v>6.0266120000000001</v>
      </c>
      <c r="E1418">
        <v>0.65127819999999903</v>
      </c>
      <c r="F1418" t="s">
        <v>39</v>
      </c>
      <c r="G1418">
        <v>-194.1491</v>
      </c>
      <c r="H1418" s="1">
        <v>-1.3837199999999999E-6</v>
      </c>
      <c r="I1418">
        <v>340.24119999999999</v>
      </c>
      <c r="J1418">
        <v>-195.66210000000001</v>
      </c>
      <c r="K1418">
        <v>1.0967690000000001</v>
      </c>
      <c r="L1418">
        <v>356.03109999999998</v>
      </c>
      <c r="M1418">
        <v>0.54348180000000001</v>
      </c>
      <c r="N1418">
        <v>0</v>
      </c>
      <c r="O1418">
        <v>-0.83928349999999996</v>
      </c>
      <c r="P1418">
        <v>0.44974319999999901</v>
      </c>
      <c r="Q1418">
        <v>2.4157700000000001E-2</v>
      </c>
      <c r="R1418">
        <v>-0.8928315</v>
      </c>
      <c r="S1418">
        <v>0.32835389999999998</v>
      </c>
      <c r="T1418">
        <v>-0.2205569</v>
      </c>
      <c r="U1418">
        <v>-3.21725499999999</v>
      </c>
      <c r="V1418">
        <v>0.10853119999999999</v>
      </c>
      <c r="W1418">
        <v>3.7153579999999999E-2</v>
      </c>
      <c r="X1418">
        <v>0.99339849999999996</v>
      </c>
      <c r="Y1418">
        <v>0.45557389999999998</v>
      </c>
      <c r="Z1418">
        <v>4.8211650000000002E-2</v>
      </c>
      <c r="AA1418">
        <v>0.88889149999999995</v>
      </c>
      <c r="AB1418">
        <v>22</v>
      </c>
      <c r="AC1418">
        <v>1.5129999999999999</v>
      </c>
      <c r="AD1418">
        <v>-1.09677038372</v>
      </c>
      <c r="AE1418">
        <v>-15.7898999999999</v>
      </c>
      <c r="AF1418">
        <v>7.2777374041610203</v>
      </c>
      <c r="AG1418">
        <v>-1.09677038372</v>
      </c>
      <c r="AH1418">
        <v>14.0091392338253</v>
      </c>
      <c r="AI1418">
        <v>93.974187662680094</v>
      </c>
      <c r="AJ1418">
        <v>62.548156864417102</v>
      </c>
      <c r="AK1418">
        <v>15.824801707169501</v>
      </c>
    </row>
    <row r="1419" spans="1:37" x14ac:dyDescent="0.2">
      <c r="A1419" t="str">
        <f>"20200111155819012"</f>
        <v>20200111155819012</v>
      </c>
      <c r="B1419" t="str">
        <f>"1578729499002429"</f>
        <v>1578729499002429</v>
      </c>
      <c r="C1419" t="s">
        <v>37</v>
      </c>
      <c r="D1419">
        <v>5.9970660000000002</v>
      </c>
      <c r="E1419">
        <v>0.65140549999999997</v>
      </c>
      <c r="F1419" t="s">
        <v>39</v>
      </c>
      <c r="G1419">
        <v>-194.24719999999999</v>
      </c>
      <c r="H1419" s="1">
        <v>-1.3388349999999999E-6</v>
      </c>
      <c r="I1419">
        <v>340.07569999999998</v>
      </c>
      <c r="J1419">
        <v>-195.59440000000001</v>
      </c>
      <c r="K1419">
        <v>1.096759</v>
      </c>
      <c r="L1419">
        <v>355.90980000000002</v>
      </c>
      <c r="M1419">
        <v>0.53664609999999902</v>
      </c>
      <c r="N1419">
        <v>0</v>
      </c>
      <c r="O1419">
        <v>-0.84367049999999999</v>
      </c>
      <c r="P1419">
        <v>0.44335249999999998</v>
      </c>
      <c r="Q1419">
        <v>2.4315090000000001E-2</v>
      </c>
      <c r="R1419">
        <v>-0.89601739999999996</v>
      </c>
      <c r="S1419">
        <v>0.28573609999999999</v>
      </c>
      <c r="T1419">
        <v>-0.22148769999999901</v>
      </c>
      <c r="U1419">
        <v>-3.2221069999999998</v>
      </c>
      <c r="V1419">
        <v>0.1075605</v>
      </c>
      <c r="W1419">
        <v>3.7333690000000003E-2</v>
      </c>
      <c r="X1419">
        <v>0.99349730000000003</v>
      </c>
      <c r="Y1419">
        <v>0.46012330000000001</v>
      </c>
      <c r="Z1419">
        <v>4.8715149999999999E-2</v>
      </c>
      <c r="AA1419">
        <v>0.88651759999999902</v>
      </c>
      <c r="AB1419">
        <v>22</v>
      </c>
      <c r="AC1419">
        <v>1.3472000000000099</v>
      </c>
      <c r="AD1419">
        <v>-1.096760338835</v>
      </c>
      <c r="AE1419">
        <v>-15.834099999999999</v>
      </c>
      <c r="AF1419">
        <v>7.3266668008380602</v>
      </c>
      <c r="AG1419">
        <v>-1.096760338835</v>
      </c>
      <c r="AH1419">
        <v>14.0165950990142</v>
      </c>
      <c r="AI1419">
        <v>93.9668317348317</v>
      </c>
      <c r="AJ1419">
        <v>62.403313251294897</v>
      </c>
      <c r="AK1419">
        <v>15.853954327581899</v>
      </c>
    </row>
    <row r="1420" spans="1:37" x14ac:dyDescent="0.2">
      <c r="A1420" t="str">
        <f>"20200111155819032"</f>
        <v>20200111155819032</v>
      </c>
      <c r="B1420" t="str">
        <f>"1578729499021948"</f>
        <v>1578729499021948</v>
      </c>
      <c r="C1420" t="s">
        <v>37</v>
      </c>
      <c r="D1420">
        <v>6.0367419999999896</v>
      </c>
      <c r="E1420">
        <v>0.65132409999999996</v>
      </c>
      <c r="F1420" t="s">
        <v>39</v>
      </c>
      <c r="G1420">
        <v>-194.29920000000001</v>
      </c>
      <c r="H1420" s="1">
        <v>-1.3028099999999999E-6</v>
      </c>
      <c r="I1420">
        <v>339.95949999999999</v>
      </c>
      <c r="J1420">
        <v>-195.4967</v>
      </c>
      <c r="K1420">
        <v>1.096738</v>
      </c>
      <c r="L1420">
        <v>355.73070000000001</v>
      </c>
      <c r="M1420">
        <v>0.52650799999999998</v>
      </c>
      <c r="N1420">
        <v>0</v>
      </c>
      <c r="O1420">
        <v>-0.85003410000000001</v>
      </c>
      <c r="P1420">
        <v>0.43395079999999903</v>
      </c>
      <c r="Q1420">
        <v>2.4380280000000001E-2</v>
      </c>
      <c r="R1420">
        <v>-0.90060680000000004</v>
      </c>
      <c r="S1420">
        <v>0.26184079999999998</v>
      </c>
      <c r="T1420">
        <v>-0.22172829999999999</v>
      </c>
      <c r="U1420">
        <v>-3.2246090000000001</v>
      </c>
      <c r="V1420">
        <v>0.10606640000000001</v>
      </c>
      <c r="W1420">
        <v>3.7432809999999997E-2</v>
      </c>
      <c r="X1420">
        <v>0.99365419999999904</v>
      </c>
      <c r="Y1420">
        <v>0.45607769999999997</v>
      </c>
      <c r="Z1420">
        <v>4.9451210000000002E-2</v>
      </c>
      <c r="AA1420">
        <v>0.88856489999999999</v>
      </c>
      <c r="AB1420">
        <v>22</v>
      </c>
      <c r="AC1420">
        <v>1.19749999999999</v>
      </c>
      <c r="AD1420">
        <v>-1.0967393028100001</v>
      </c>
      <c r="AE1420">
        <v>-15.7712</v>
      </c>
      <c r="AF1420">
        <v>7.2517224924739301</v>
      </c>
      <c r="AG1420">
        <v>-1.0967393028100001</v>
      </c>
      <c r="AH1420">
        <v>13.971000042563601</v>
      </c>
      <c r="AI1420">
        <v>93.985610444150296</v>
      </c>
      <c r="AJ1420">
        <v>62.568188543581797</v>
      </c>
      <c r="AK1420">
        <v>15.7790734327303</v>
      </c>
    </row>
    <row r="1421" spans="1:37" x14ac:dyDescent="0.2">
      <c r="A1421" t="str">
        <f>"20200111155819047"</f>
        <v>20200111155819047</v>
      </c>
      <c r="B1421" t="str">
        <f>"1578729499042444"</f>
        <v>1578729499042444</v>
      </c>
      <c r="C1421" t="s">
        <v>37</v>
      </c>
      <c r="D1421">
        <v>6.0215059999999996</v>
      </c>
      <c r="E1421">
        <v>0.65108880000000002</v>
      </c>
      <c r="F1421" t="s">
        <v>39</v>
      </c>
      <c r="G1421">
        <v>-194.38099999999901</v>
      </c>
      <c r="H1421" s="1">
        <v>-1.3299819999999999E-6</v>
      </c>
      <c r="I1421">
        <v>339.97210000000001</v>
      </c>
      <c r="J1421">
        <v>-195.42930000000001</v>
      </c>
      <c r="K1421">
        <v>1.0967249999999999</v>
      </c>
      <c r="L1421">
        <v>355.60430000000002</v>
      </c>
      <c r="M1421">
        <v>0.51931629999999995</v>
      </c>
      <c r="N1421">
        <v>0</v>
      </c>
      <c r="O1421">
        <v>-0.854446699999999</v>
      </c>
      <c r="P1421">
        <v>0.42710859999999901</v>
      </c>
      <c r="Q1421">
        <v>2.4210099999999998E-2</v>
      </c>
      <c r="R1421">
        <v>-0.90387589999999995</v>
      </c>
      <c r="S1421">
        <v>0.2284851</v>
      </c>
      <c r="T1421">
        <v>-0.22459519999999999</v>
      </c>
      <c r="U1421">
        <v>-3.227112</v>
      </c>
      <c r="V1421">
        <v>0.1052167</v>
      </c>
      <c r="W1421">
        <v>3.7282240000000001E-2</v>
      </c>
      <c r="X1421">
        <v>0.99375020000000003</v>
      </c>
      <c r="Y1421">
        <v>0.45775640000000001</v>
      </c>
      <c r="Z1421">
        <v>5.0477889999999997E-2</v>
      </c>
      <c r="AA1421">
        <v>0.88764359999999998</v>
      </c>
      <c r="AB1421">
        <v>22</v>
      </c>
      <c r="AC1421">
        <v>1.04830000000004</v>
      </c>
      <c r="AD1421">
        <v>-1.096726329982</v>
      </c>
      <c r="AE1421">
        <v>-15.632199999999999</v>
      </c>
      <c r="AF1421">
        <v>7.1879537100653996</v>
      </c>
      <c r="AG1421">
        <v>-1.096726329982</v>
      </c>
      <c r="AH1421">
        <v>13.8350959824659</v>
      </c>
      <c r="AI1421">
        <v>94.023783060516493</v>
      </c>
      <c r="AJ1421">
        <v>62.546096978341097</v>
      </c>
      <c r="AK1421">
        <v>15.629439146206201</v>
      </c>
    </row>
    <row r="1422" spans="1:37" x14ac:dyDescent="0.2">
      <c r="A1422" t="str">
        <f>"20200111155819079"</f>
        <v>20200111155819079</v>
      </c>
      <c r="B1422" t="str">
        <f>"1578729499072319"</f>
        <v>1578729499072319</v>
      </c>
      <c r="C1422" t="s">
        <v>37</v>
      </c>
      <c r="D1422">
        <v>5.9999640000000003</v>
      </c>
      <c r="E1422">
        <v>0.65083259999999998</v>
      </c>
      <c r="F1422" t="s">
        <v>39</v>
      </c>
      <c r="G1422">
        <v>-194.44280000000001</v>
      </c>
      <c r="H1422" s="1">
        <v>-1.4078859999999999E-6</v>
      </c>
      <c r="I1422">
        <v>340.11540000000002</v>
      </c>
      <c r="J1422">
        <v>-195.28020000000001</v>
      </c>
      <c r="K1422">
        <v>1.096686</v>
      </c>
      <c r="L1422">
        <v>355.31369999999998</v>
      </c>
      <c r="M1422">
        <v>0.50266369999999905</v>
      </c>
      <c r="N1422">
        <v>0</v>
      </c>
      <c r="O1422">
        <v>-0.86434820000000001</v>
      </c>
      <c r="P1422">
        <v>0.41178140000000002</v>
      </c>
      <c r="Q1422">
        <v>2.3302360000000001E-2</v>
      </c>
      <c r="R1422">
        <v>-0.91098489999999999</v>
      </c>
      <c r="S1422">
        <v>0.2055969</v>
      </c>
      <c r="T1422">
        <v>-0.22857</v>
      </c>
      <c r="U1422">
        <v>-3.2280579999999999</v>
      </c>
      <c r="V1422">
        <v>0.1027428</v>
      </c>
      <c r="W1422">
        <v>3.6431659999999998E-2</v>
      </c>
      <c r="X1422">
        <v>0.99404049999999999</v>
      </c>
      <c r="Y1422">
        <v>0.446789099999999</v>
      </c>
      <c r="Z1422">
        <v>5.258869E-2</v>
      </c>
      <c r="AA1422">
        <v>0.89309229999999995</v>
      </c>
      <c r="AB1422">
        <v>22</v>
      </c>
      <c r="AC1422">
        <v>0.83740000000000203</v>
      </c>
      <c r="AD1422">
        <v>-1.0966874078860001</v>
      </c>
      <c r="AE1422">
        <v>-15.1982999999999</v>
      </c>
      <c r="AF1422">
        <v>6.8809093318723296</v>
      </c>
      <c r="AG1422">
        <v>-1.0966874078860001</v>
      </c>
      <c r="AH1422">
        <v>13.489099430046201</v>
      </c>
      <c r="AI1422">
        <v>94.142316691536394</v>
      </c>
      <c r="AJ1422">
        <v>62.973468174933103</v>
      </c>
      <c r="AK1422">
        <v>15.1824056044402</v>
      </c>
    </row>
    <row r="1423" spans="1:37" x14ac:dyDescent="0.2">
      <c r="A1423" t="str">
        <f>"20200111155819092"</f>
        <v>20200111155819092</v>
      </c>
      <c r="B1423" t="str">
        <f>"1578729499082079"</f>
        <v>1578729499082079</v>
      </c>
      <c r="C1423" t="s">
        <v>37</v>
      </c>
      <c r="D1423">
        <v>5.9456009999999999</v>
      </c>
      <c r="E1423">
        <v>0.65028739999999996</v>
      </c>
      <c r="F1423" t="s">
        <v>39</v>
      </c>
      <c r="G1423">
        <v>-194.5532</v>
      </c>
      <c r="H1423" s="1">
        <v>-1.350897E-6</v>
      </c>
      <c r="I1423">
        <v>339.91410000000002</v>
      </c>
      <c r="J1423">
        <v>-195.2201</v>
      </c>
      <c r="K1423">
        <v>1.0966689999999999</v>
      </c>
      <c r="L1423">
        <v>355.19240000000002</v>
      </c>
      <c r="M1423">
        <v>0.495664099999999</v>
      </c>
      <c r="N1423">
        <v>0</v>
      </c>
      <c r="O1423">
        <v>-0.86838079999999995</v>
      </c>
      <c r="P1423">
        <v>0.40493759999999901</v>
      </c>
      <c r="Q1423">
        <v>2.3287220000000001E-2</v>
      </c>
      <c r="R1423">
        <v>-0.91404779999999997</v>
      </c>
      <c r="S1423">
        <v>0.1524963</v>
      </c>
      <c r="T1423">
        <v>-0.23003099999999899</v>
      </c>
      <c r="U1423">
        <v>-3.2300719999999998</v>
      </c>
      <c r="V1423">
        <v>0.1021681</v>
      </c>
      <c r="W1423">
        <v>3.6431180000000001E-2</v>
      </c>
      <c r="X1423">
        <v>0.99409979999999998</v>
      </c>
      <c r="Y1423">
        <v>0.45421620000000001</v>
      </c>
      <c r="Z1423">
        <v>5.318664E-2</v>
      </c>
      <c r="AA1423">
        <v>0.88930239999999905</v>
      </c>
      <c r="AB1423">
        <v>22</v>
      </c>
      <c r="AC1423">
        <v>0.66689999999999805</v>
      </c>
      <c r="AD1423">
        <v>-1.0966703508969999</v>
      </c>
      <c r="AE1423">
        <v>-15.2783</v>
      </c>
      <c r="AF1423">
        <v>6.9588069259463898</v>
      </c>
      <c r="AG1423">
        <v>-1.0966703508969999</v>
      </c>
      <c r="AH1423">
        <v>13.529939727359601</v>
      </c>
      <c r="AI1423">
        <v>94.1227552687931</v>
      </c>
      <c r="AJ1423">
        <v>62.7820391411692</v>
      </c>
      <c r="AK1423">
        <v>15.2540797400932</v>
      </c>
    </row>
    <row r="1424" spans="1:37" x14ac:dyDescent="0.2">
      <c r="A1424" t="str">
        <f>"20200111155819110"</f>
        <v>20200111155819110</v>
      </c>
      <c r="B1424" t="str">
        <f>"1578729499102574"</f>
        <v>1578729499102574</v>
      </c>
      <c r="C1424" t="s">
        <v>37</v>
      </c>
      <c r="D1424">
        <v>5.8640780000000001</v>
      </c>
      <c r="E1424">
        <v>0.64935209999999999</v>
      </c>
      <c r="F1424" t="s">
        <v>39</v>
      </c>
      <c r="G1424">
        <v>-194.58799999999999</v>
      </c>
      <c r="H1424" s="1">
        <v>-1.273983E-6</v>
      </c>
      <c r="I1424">
        <v>339.71319999999997</v>
      </c>
      <c r="J1424">
        <v>-195.13910000000001</v>
      </c>
      <c r="K1424">
        <v>1.096646</v>
      </c>
      <c r="L1424">
        <v>355.02499999999998</v>
      </c>
      <c r="M1424">
        <v>0.48595429999999901</v>
      </c>
      <c r="N1424">
        <v>0</v>
      </c>
      <c r="O1424">
        <v>-0.87385139999999994</v>
      </c>
      <c r="P1424">
        <v>0.39482200000000001</v>
      </c>
      <c r="Q1424">
        <v>2.2987649999999998E-2</v>
      </c>
      <c r="R1424">
        <v>-0.91847009999999996</v>
      </c>
      <c r="S1424">
        <v>0.13188169999999999</v>
      </c>
      <c r="T1424">
        <v>-0.2288076</v>
      </c>
      <c r="U1424">
        <v>-3.2295529999999899</v>
      </c>
      <c r="V1424">
        <v>0.102062</v>
      </c>
      <c r="W1424">
        <v>3.6137170000000003E-2</v>
      </c>
      <c r="X1424">
        <v>0.99412140000000004</v>
      </c>
      <c r="Y1424">
        <v>0.44994399999999901</v>
      </c>
      <c r="Z1424">
        <v>5.3565759999999997E-2</v>
      </c>
      <c r="AA1424">
        <v>0.89144889999999999</v>
      </c>
      <c r="AB1424">
        <v>22</v>
      </c>
      <c r="AC1424">
        <v>0.55110000000001902</v>
      </c>
      <c r="AD1424">
        <v>-1.096647273983</v>
      </c>
      <c r="AE1424">
        <v>-15.3118</v>
      </c>
      <c r="AF1424">
        <v>6.9245892272534499</v>
      </c>
      <c r="AG1424">
        <v>-1.096647273983</v>
      </c>
      <c r="AH1424">
        <v>13.5800619156102</v>
      </c>
      <c r="AI1424">
        <v>94.114848546616301</v>
      </c>
      <c r="AJ1424">
        <v>62.982578241026602</v>
      </c>
      <c r="AK1424">
        <v>15.283018446679201</v>
      </c>
    </row>
    <row r="1425" spans="1:37" x14ac:dyDescent="0.2">
      <c r="A1425" t="str">
        <f>"20200111155819126"</f>
        <v>20200111155819126</v>
      </c>
      <c r="B1425" t="str">
        <f>"1578729499122094"</f>
        <v>1578729499122094</v>
      </c>
      <c r="C1425" t="s">
        <v>37</v>
      </c>
      <c r="D1425">
        <v>5.9606539999999999</v>
      </c>
      <c r="E1425">
        <v>0.64812650000000005</v>
      </c>
      <c r="F1425" t="s">
        <v>39</v>
      </c>
      <c r="G1425">
        <v>-194.642</v>
      </c>
      <c r="H1425" s="1">
        <v>-5.0585059999999997E-6</v>
      </c>
      <c r="I1425">
        <v>339.43180000000001</v>
      </c>
      <c r="J1425">
        <v>-195.07050000000001</v>
      </c>
      <c r="K1425">
        <v>1.0966260000000001</v>
      </c>
      <c r="L1425">
        <v>354.8793</v>
      </c>
      <c r="M1425">
        <v>0.47746480000000002</v>
      </c>
      <c r="N1425">
        <v>0</v>
      </c>
      <c r="O1425">
        <v>-0.87851869999999999</v>
      </c>
      <c r="P1425">
        <v>0.38552370000000002</v>
      </c>
      <c r="Q1425">
        <v>2.3451550000000002E-2</v>
      </c>
      <c r="R1425">
        <v>-0.92239979999999999</v>
      </c>
      <c r="S1425">
        <v>0.10290530000000001</v>
      </c>
      <c r="T1425">
        <v>-0.2270047</v>
      </c>
      <c r="U1425">
        <v>-3.2277529999999999</v>
      </c>
      <c r="V1425">
        <v>0.1024777</v>
      </c>
      <c r="W1425">
        <v>3.6595580000000003E-2</v>
      </c>
      <c r="X1425">
        <v>0.99406190000000005</v>
      </c>
      <c r="Y1425">
        <v>0.44926519999999998</v>
      </c>
      <c r="Z1425">
        <v>5.3674140000000002E-2</v>
      </c>
      <c r="AA1425">
        <v>0.89178469999999999</v>
      </c>
      <c r="AB1425">
        <v>22</v>
      </c>
      <c r="AC1425">
        <v>0.42850000000001298</v>
      </c>
      <c r="AD1425">
        <v>-1.096631058506</v>
      </c>
      <c r="AE1425">
        <v>-15.4474999999999</v>
      </c>
      <c r="AF1425">
        <v>6.9649310136853204</v>
      </c>
      <c r="AG1425">
        <v>-1.096631058506</v>
      </c>
      <c r="AH1425">
        <v>13.708079812145799</v>
      </c>
      <c r="AI1425">
        <v>94.079479342170103</v>
      </c>
      <c r="AJ1425">
        <v>63.065355874684101</v>
      </c>
      <c r="AK1425">
        <v>15.4150678182107</v>
      </c>
    </row>
    <row r="1426" spans="1:37" x14ac:dyDescent="0.2">
      <c r="A1426" t="str">
        <f>"20200111155819142"</f>
        <v>20200111155819142</v>
      </c>
      <c r="B1426" t="str">
        <f>"1578729499131854"</f>
        <v>1578729499131854</v>
      </c>
      <c r="C1426" t="s">
        <v>37</v>
      </c>
      <c r="D1426">
        <v>5.9866619999999999</v>
      </c>
      <c r="E1426">
        <v>0.64750750000000001</v>
      </c>
      <c r="F1426" t="s">
        <v>39</v>
      </c>
      <c r="G1426">
        <v>-194.6842</v>
      </c>
      <c r="H1426" s="1">
        <v>-4.9741710000000004E-6</v>
      </c>
      <c r="I1426">
        <v>339.16199999999998</v>
      </c>
      <c r="J1426">
        <v>-195.0018</v>
      </c>
      <c r="K1426">
        <v>1.096597</v>
      </c>
      <c r="L1426">
        <v>354.72919999999999</v>
      </c>
      <c r="M1426">
        <v>0.46867950000000003</v>
      </c>
      <c r="N1426">
        <v>0</v>
      </c>
      <c r="O1426">
        <v>-0.88323680000000004</v>
      </c>
      <c r="P1426">
        <v>0.37469580000000002</v>
      </c>
      <c r="Q1426">
        <v>2.3685669999999999E-2</v>
      </c>
      <c r="R1426">
        <v>-0.92684560000000005</v>
      </c>
      <c r="S1426">
        <v>7.9254149999999995E-2</v>
      </c>
      <c r="T1426">
        <v>-0.22501740000000001</v>
      </c>
      <c r="U1426">
        <v>-3.2250369999999999</v>
      </c>
      <c r="V1426">
        <v>0.104208</v>
      </c>
      <c r="W1426">
        <v>3.6796669999999997E-2</v>
      </c>
      <c r="X1426">
        <v>0.99387459999999905</v>
      </c>
      <c r="Y1426">
        <v>0.44686749999999997</v>
      </c>
      <c r="Z1426">
        <v>5.378107E-2</v>
      </c>
      <c r="AA1426">
        <v>0.8929821</v>
      </c>
      <c r="AB1426">
        <v>22</v>
      </c>
      <c r="AC1426">
        <v>0.317599999999998</v>
      </c>
      <c r="AD1426">
        <v>-1.096601974171</v>
      </c>
      <c r="AE1426">
        <v>-15.5672</v>
      </c>
      <c r="AF1426">
        <v>6.9816960542398503</v>
      </c>
      <c r="AG1426">
        <v>-1.096601974171</v>
      </c>
      <c r="AH1426">
        <v>13.831384990220601</v>
      </c>
      <c r="AI1426">
        <v>94.048517341677993</v>
      </c>
      <c r="AJ1426">
        <v>63.2166336053943</v>
      </c>
      <c r="AK1426">
        <v>15.532347743700599</v>
      </c>
    </row>
    <row r="1427" spans="1:37" x14ac:dyDescent="0.2">
      <c r="A1427" t="str">
        <f>"20200111155819158"</f>
        <v>20200111155819158</v>
      </c>
      <c r="B1427" t="str">
        <f>"1578729499152351"</f>
        <v>1578729499152351</v>
      </c>
      <c r="C1427" t="s">
        <v>37</v>
      </c>
      <c r="D1427">
        <v>5.9324639999999897</v>
      </c>
      <c r="E1427">
        <v>0.64636119999999997</v>
      </c>
      <c r="F1427" t="s">
        <v>39</v>
      </c>
      <c r="G1427">
        <v>-194.77610000000001</v>
      </c>
      <c r="H1427" s="1">
        <v>-4.9396960000000002E-6</v>
      </c>
      <c r="I1427">
        <v>339.01280000000003</v>
      </c>
      <c r="J1427">
        <v>-194.9402</v>
      </c>
      <c r="K1427">
        <v>1.096584</v>
      </c>
      <c r="L1427">
        <v>354.5908</v>
      </c>
      <c r="M1427">
        <v>0.46055170000000001</v>
      </c>
      <c r="N1427">
        <v>0</v>
      </c>
      <c r="O1427">
        <v>-0.88750189999999995</v>
      </c>
      <c r="P1427">
        <v>0.36498049999999999</v>
      </c>
      <c r="Q1427">
        <v>2.355136E-2</v>
      </c>
      <c r="R1427">
        <v>-0.93071740000000003</v>
      </c>
      <c r="S1427">
        <v>4.6295169999999997E-2</v>
      </c>
      <c r="T1427">
        <v>-0.2249399</v>
      </c>
      <c r="U1427">
        <v>-3.2238159999999998</v>
      </c>
      <c r="V1427">
        <v>0.1054803</v>
      </c>
      <c r="W1427">
        <v>3.6639430000000001E-2</v>
      </c>
      <c r="X1427">
        <v>0.99374619999999902</v>
      </c>
      <c r="Y1427">
        <v>0.44777359999999999</v>
      </c>
      <c r="Z1427">
        <v>5.4206299999999999E-2</v>
      </c>
      <c r="AA1427">
        <v>0.89250239999999903</v>
      </c>
      <c r="AB1427">
        <v>22</v>
      </c>
      <c r="AC1427">
        <v>0.16409999999999</v>
      </c>
      <c r="AD1427">
        <v>-1.096588939696</v>
      </c>
      <c r="AE1427">
        <v>-15.5779999999999</v>
      </c>
      <c r="AF1427">
        <v>6.9949945959279702</v>
      </c>
      <c r="AG1427">
        <v>-1.096588939696</v>
      </c>
      <c r="AH1427">
        <v>13.8341535914487</v>
      </c>
      <c r="AI1427">
        <v>94.046265306768106</v>
      </c>
      <c r="AJ1427">
        <v>63.1773662618223</v>
      </c>
      <c r="AK1427">
        <v>15.5407934897649</v>
      </c>
    </row>
    <row r="1428" spans="1:37" x14ac:dyDescent="0.2">
      <c r="A1428" t="str">
        <f>"20200111155819177"</f>
        <v>20200111155819177</v>
      </c>
      <c r="B1428" t="str">
        <f>"1578729499172457"</f>
        <v>1578729499172457</v>
      </c>
      <c r="C1428" t="s">
        <v>37</v>
      </c>
      <c r="D1428">
        <v>5.8252329999999999</v>
      </c>
      <c r="E1428">
        <v>0.64557050000000005</v>
      </c>
      <c r="F1428" t="s">
        <v>39</v>
      </c>
      <c r="G1428">
        <v>-194.83840000000001</v>
      </c>
      <c r="H1428" s="1">
        <v>-4.9215199999999999E-6</v>
      </c>
      <c r="I1428">
        <v>338.92689999999999</v>
      </c>
      <c r="J1428">
        <v>-194.8656</v>
      </c>
      <c r="K1428">
        <v>1.096568</v>
      </c>
      <c r="L1428">
        <v>354.41879999999998</v>
      </c>
      <c r="M1428">
        <v>0.45041320000000001</v>
      </c>
      <c r="N1428">
        <v>0</v>
      </c>
      <c r="O1428">
        <v>-0.89268979999999998</v>
      </c>
      <c r="P1428">
        <v>0.35175630000000002</v>
      </c>
      <c r="Q1428">
        <v>2.175552E-2</v>
      </c>
      <c r="R1428">
        <v>-0.93583890000000003</v>
      </c>
      <c r="S1428">
        <v>2.0935059999999998E-2</v>
      </c>
      <c r="T1428">
        <v>-0.2254815</v>
      </c>
      <c r="U1428">
        <v>-3.220825</v>
      </c>
      <c r="V1428">
        <v>0.1082272</v>
      </c>
      <c r="W1428">
        <v>3.4790469999999997E-2</v>
      </c>
      <c r="X1428">
        <v>0.99351719999999899</v>
      </c>
      <c r="Y1428">
        <v>0.44460339999999998</v>
      </c>
      <c r="Z1428">
        <v>5.4978949999999999E-2</v>
      </c>
      <c r="AA1428">
        <v>0.89403869999999896</v>
      </c>
      <c r="AB1428">
        <v>22</v>
      </c>
      <c r="AC1428">
        <v>2.71999999999934E-2</v>
      </c>
      <c r="AD1428">
        <v>-1.09657292152</v>
      </c>
      <c r="AE1428">
        <v>-15.4918999999999</v>
      </c>
      <c r="AF1428">
        <v>6.9196154637909997</v>
      </c>
      <c r="AG1428">
        <v>-1.09657292152</v>
      </c>
      <c r="AH1428">
        <v>13.7743107708077</v>
      </c>
      <c r="AI1428">
        <v>94.069062027238203</v>
      </c>
      <c r="AJ1428">
        <v>63.327033625824903</v>
      </c>
      <c r="AK1428">
        <v>15.453646415967199</v>
      </c>
    </row>
    <row r="1429" spans="1:37" x14ac:dyDescent="0.2">
      <c r="A1429" t="str">
        <f>"20200111155819191"</f>
        <v>20200111155819191</v>
      </c>
      <c r="B1429" t="str">
        <f>"1578729499182217"</f>
        <v>1578729499182217</v>
      </c>
      <c r="C1429" t="s">
        <v>37</v>
      </c>
      <c r="D1429">
        <v>5.8532310000000001</v>
      </c>
      <c r="E1429">
        <v>0.64509419999999995</v>
      </c>
      <c r="F1429" t="s">
        <v>39</v>
      </c>
      <c r="G1429">
        <v>-194.95679999999999</v>
      </c>
      <c r="H1429" s="1">
        <v>-4.9441419999999997E-6</v>
      </c>
      <c r="I1429">
        <v>338.93169999999998</v>
      </c>
      <c r="J1429">
        <v>-194.8115</v>
      </c>
      <c r="K1429">
        <v>1.096565</v>
      </c>
      <c r="L1429">
        <v>354.29059999999998</v>
      </c>
      <c r="M1429">
        <v>0.44283349999999999</v>
      </c>
      <c r="N1429">
        <v>0</v>
      </c>
      <c r="O1429">
        <v>-0.89647379999999999</v>
      </c>
      <c r="P1429">
        <v>0.34236820000000001</v>
      </c>
      <c r="Q1429">
        <v>1.9958980000000001E-2</v>
      </c>
      <c r="R1429">
        <v>-0.93935409999999997</v>
      </c>
      <c r="S1429">
        <v>-1.893616E-2</v>
      </c>
      <c r="T1429">
        <v>-0.22786210000000001</v>
      </c>
      <c r="U1429">
        <v>-3.21814</v>
      </c>
      <c r="V1429">
        <v>0.10973959999999899</v>
      </c>
      <c r="W1429">
        <v>3.2966189999999999E-2</v>
      </c>
      <c r="X1429">
        <v>0.99341349999999995</v>
      </c>
      <c r="Y1429">
        <v>0.44808100000000001</v>
      </c>
      <c r="Z1429">
        <v>5.5931340000000003E-2</v>
      </c>
      <c r="AA1429">
        <v>0.89224159999999997</v>
      </c>
      <c r="AB1429">
        <v>22</v>
      </c>
      <c r="AC1429">
        <v>-0.14529999999999099</v>
      </c>
      <c r="AD1429">
        <v>-1.09656994414199</v>
      </c>
      <c r="AE1429">
        <v>-15.3589</v>
      </c>
      <c r="AF1429">
        <v>6.8973458359146402</v>
      </c>
      <c r="AG1429">
        <v>-1.09656994414199</v>
      </c>
      <c r="AH1429">
        <v>13.6366004974559</v>
      </c>
      <c r="AI1429">
        <v>94.104343007377096</v>
      </c>
      <c r="AJ1429">
        <v>63.169869879714497</v>
      </c>
      <c r="AK1429">
        <v>15.3209894703253</v>
      </c>
    </row>
    <row r="1430" spans="1:37" x14ac:dyDescent="0.2">
      <c r="A1430" t="str">
        <f>"20200111155819211"</f>
        <v>20200111155819211</v>
      </c>
      <c r="B1430" t="str">
        <f>"1578729499202713"</f>
        <v>1578729499202713</v>
      </c>
      <c r="C1430" t="s">
        <v>37</v>
      </c>
      <c r="D1430">
        <v>5.932245</v>
      </c>
      <c r="E1430">
        <v>0.64412530000000001</v>
      </c>
      <c r="F1430" t="s">
        <v>39</v>
      </c>
      <c r="G1430">
        <v>-195.0385</v>
      </c>
      <c r="H1430" s="1">
        <v>-5.0042679999999996E-6</v>
      </c>
      <c r="I1430">
        <v>339.06580000000002</v>
      </c>
      <c r="J1430">
        <v>-194.73339999999999</v>
      </c>
      <c r="K1430">
        <v>1.0965579999999999</v>
      </c>
      <c r="L1430">
        <v>354.09949999999998</v>
      </c>
      <c r="M1430">
        <v>0.4315156</v>
      </c>
      <c r="N1430">
        <v>0</v>
      </c>
      <c r="O1430">
        <v>-0.90197619999999901</v>
      </c>
      <c r="P1430">
        <v>0.3285554</v>
      </c>
      <c r="Q1430">
        <v>1.6761789999999999E-2</v>
      </c>
      <c r="R1430">
        <v>-0.94433619999999996</v>
      </c>
      <c r="S1430">
        <v>-4.7943119999999999E-2</v>
      </c>
      <c r="T1430">
        <v>-0.231635799999999</v>
      </c>
      <c r="U1430">
        <v>-3.2160340000000001</v>
      </c>
      <c r="V1430">
        <v>0.111768699999999</v>
      </c>
      <c r="W1430">
        <v>2.9732919999999999E-2</v>
      </c>
      <c r="X1430">
        <v>0.99328939999999999</v>
      </c>
      <c r="Y1430">
        <v>0.44487579999999999</v>
      </c>
      <c r="Z1430">
        <v>5.7530600000000001E-2</v>
      </c>
      <c r="AA1430">
        <v>0.893742499999999</v>
      </c>
      <c r="AB1430">
        <v>22</v>
      </c>
      <c r="AC1430">
        <v>-0.30510000000000997</v>
      </c>
      <c r="AD1430">
        <v>-1.0965630042679999</v>
      </c>
      <c r="AE1430">
        <v>-15.0336999999999</v>
      </c>
      <c r="AF1430">
        <v>6.7274803089349096</v>
      </c>
      <c r="AG1430">
        <v>-1.0965630042679999</v>
      </c>
      <c r="AH1430">
        <v>13.358906342723699</v>
      </c>
      <c r="AI1430">
        <v>94.193031742825895</v>
      </c>
      <c r="AJ1430">
        <v>63.2703968353051</v>
      </c>
      <c r="AK1430">
        <v>14.9973937870251</v>
      </c>
    </row>
    <row r="1431" spans="1:37" x14ac:dyDescent="0.2">
      <c r="A1431" t="str">
        <f>"20200111155819227"</f>
        <v>20200111155819227</v>
      </c>
      <c r="B1431" t="str">
        <f>"1578729499222233"</f>
        <v>1578729499222233</v>
      </c>
      <c r="C1431" t="s">
        <v>37</v>
      </c>
      <c r="D1431">
        <v>5.8960119999999998</v>
      </c>
      <c r="E1431">
        <v>0.64301129999999995</v>
      </c>
      <c r="F1431" t="s">
        <v>39</v>
      </c>
      <c r="G1431">
        <v>-195.14099999999999</v>
      </c>
      <c r="H1431" s="1">
        <v>-5.1132459999999996E-6</v>
      </c>
      <c r="I1431">
        <v>339.33260000000001</v>
      </c>
      <c r="J1431">
        <v>-194.678</v>
      </c>
      <c r="K1431">
        <v>1.096562</v>
      </c>
      <c r="L1431">
        <v>353.96039999999999</v>
      </c>
      <c r="M1431">
        <v>0.42325659999999998</v>
      </c>
      <c r="N1431">
        <v>0</v>
      </c>
      <c r="O1431">
        <v>-0.90588119999999905</v>
      </c>
      <c r="P1431">
        <v>0.31902009999999997</v>
      </c>
      <c r="Q1431">
        <v>1.5160089999999999E-2</v>
      </c>
      <c r="R1431">
        <v>-0.947627</v>
      </c>
      <c r="S1431">
        <v>-8.8653560000000006E-2</v>
      </c>
      <c r="T1431">
        <v>-0.238511</v>
      </c>
      <c r="U1431">
        <v>-3.2119140000000002</v>
      </c>
      <c r="V1431">
        <v>0.1126843</v>
      </c>
      <c r="W1431">
        <v>2.8117119999999999E-2</v>
      </c>
      <c r="X1431">
        <v>0.99323300000000003</v>
      </c>
      <c r="Y1431">
        <v>0.44802330000000001</v>
      </c>
      <c r="Z1431">
        <v>5.9663029999999999E-2</v>
      </c>
      <c r="AA1431">
        <v>0.89202879999999996</v>
      </c>
      <c r="AB1431">
        <v>22</v>
      </c>
      <c r="AC1431">
        <v>-0.46299999999999297</v>
      </c>
      <c r="AD1431">
        <v>-1.096567113246</v>
      </c>
      <c r="AE1431">
        <v>-14.627799999999899</v>
      </c>
      <c r="AF1431">
        <v>6.5745962933753797</v>
      </c>
      <c r="AG1431">
        <v>-1.096567113246</v>
      </c>
      <c r="AH1431">
        <v>12.983711644723099</v>
      </c>
      <c r="AI1431">
        <v>94.308964132356493</v>
      </c>
      <c r="AJ1431">
        <v>63.143593892724503</v>
      </c>
      <c r="AK1431">
        <v>14.594675190905599</v>
      </c>
    </row>
    <row r="1432" spans="1:37" x14ac:dyDescent="0.2">
      <c r="A1432" t="str">
        <f>"20200111155819243"</f>
        <v>20200111155819243</v>
      </c>
      <c r="B1432" t="str">
        <f>"1578729499231993"</f>
        <v>1578729499231993</v>
      </c>
      <c r="C1432" t="s">
        <v>37</v>
      </c>
      <c r="D1432">
        <v>5.821815</v>
      </c>
      <c r="E1432">
        <v>0.64245450000000004</v>
      </c>
      <c r="F1432" t="s">
        <v>39</v>
      </c>
      <c r="G1432">
        <v>-195.19149999999999</v>
      </c>
      <c r="H1432" s="1">
        <v>-5.135294E-6</v>
      </c>
      <c r="I1432">
        <v>339.37110000000001</v>
      </c>
      <c r="J1432">
        <v>-194.6138</v>
      </c>
      <c r="K1432">
        <v>1.0965689999999999</v>
      </c>
      <c r="L1432">
        <v>353.7937</v>
      </c>
      <c r="M1432">
        <v>0.41335459999999902</v>
      </c>
      <c r="N1432">
        <v>0</v>
      </c>
      <c r="O1432">
        <v>-0.91044210000000003</v>
      </c>
      <c r="P1432">
        <v>0.30819449999999998</v>
      </c>
      <c r="Q1432">
        <v>1.3355529999999999E-2</v>
      </c>
      <c r="R1432">
        <v>-0.95122989999999996</v>
      </c>
      <c r="S1432">
        <v>-0.1128845</v>
      </c>
      <c r="T1432">
        <v>-0.2410977</v>
      </c>
      <c r="U1432">
        <v>-3.207703</v>
      </c>
      <c r="V1432">
        <v>0.1131542</v>
      </c>
      <c r="W1432">
        <v>2.6309619999999999E-2</v>
      </c>
      <c r="X1432">
        <v>0.99322900000000003</v>
      </c>
      <c r="Y1432">
        <v>0.44503619999999999</v>
      </c>
      <c r="Z1432">
        <v>6.0942299999999998E-2</v>
      </c>
      <c r="AA1432">
        <v>0.89343660000000003</v>
      </c>
      <c r="AB1432">
        <v>22</v>
      </c>
      <c r="AC1432">
        <v>-0.577699999999992</v>
      </c>
      <c r="AD1432">
        <v>-1.0965741352939999</v>
      </c>
      <c r="AE1432">
        <v>-14.4225999999999</v>
      </c>
      <c r="AF1432">
        <v>6.4511338466199497</v>
      </c>
      <c r="AG1432">
        <v>-1.0965741352939999</v>
      </c>
      <c r="AH1432">
        <v>12.819661143751199</v>
      </c>
      <c r="AI1432">
        <v>94.369434607155299</v>
      </c>
      <c r="AJ1432">
        <v>63.287459607690998</v>
      </c>
      <c r="AK1432">
        <v>14.3931690249856</v>
      </c>
    </row>
    <row r="1433" spans="1:37" x14ac:dyDescent="0.2">
      <c r="A1433" t="str">
        <f>"20200111155819268"</f>
        <v>20200111155819268</v>
      </c>
      <c r="B1433" t="str">
        <f>"1578729499262911"</f>
        <v>1578729499262911</v>
      </c>
      <c r="C1433" t="s">
        <v>37</v>
      </c>
      <c r="D1433">
        <v>8.141</v>
      </c>
      <c r="E1433">
        <v>0.64122409999999996</v>
      </c>
      <c r="F1433" t="s">
        <v>39</v>
      </c>
      <c r="G1433">
        <v>-195.2672</v>
      </c>
      <c r="H1433" s="1">
        <v>-5.1707520000000001E-6</v>
      </c>
      <c r="I1433">
        <v>339.43579999999997</v>
      </c>
      <c r="J1433">
        <v>-194.53319999999999</v>
      </c>
      <c r="K1433">
        <v>1.096598</v>
      </c>
      <c r="L1433">
        <v>353.57580000000002</v>
      </c>
      <c r="M1433">
        <v>0.40042220000000001</v>
      </c>
      <c r="N1433">
        <v>0</v>
      </c>
      <c r="O1433">
        <v>-0.91620360000000001</v>
      </c>
      <c r="P1433">
        <v>0.29534969999999999</v>
      </c>
      <c r="Q1433">
        <v>1.210055E-2</v>
      </c>
      <c r="R1433">
        <v>-0.95531299999999997</v>
      </c>
      <c r="S1433">
        <v>-0.14582819999999999</v>
      </c>
      <c r="T1433">
        <v>-0.24474109999999999</v>
      </c>
      <c r="U1433">
        <v>-3.2044980000000001</v>
      </c>
      <c r="V1433">
        <v>0.11245280000000001</v>
      </c>
      <c r="W1433">
        <v>2.5078349999999999E-2</v>
      </c>
      <c r="X1433">
        <v>0.99334059999999902</v>
      </c>
      <c r="Y1433">
        <v>0.44155159999999999</v>
      </c>
      <c r="Z1433">
        <v>6.2625249999999993E-2</v>
      </c>
      <c r="AA1433">
        <v>0.895047699999999</v>
      </c>
      <c r="AB1433">
        <v>22</v>
      </c>
      <c r="AC1433">
        <v>-0.73400000000000798</v>
      </c>
      <c r="AD1433">
        <v>-1.0966031707520001</v>
      </c>
      <c r="AE1433">
        <v>-14.14</v>
      </c>
      <c r="AF1433">
        <v>6.2974273765216697</v>
      </c>
      <c r="AG1433">
        <v>-1.0966031707520001</v>
      </c>
      <c r="AH1433">
        <v>12.587182184796101</v>
      </c>
      <c r="AI1433">
        <v>94.455117423953098</v>
      </c>
      <c r="AJ1433">
        <v>63.420980575628398</v>
      </c>
      <c r="AK1433">
        <v>14.117269049993901</v>
      </c>
    </row>
    <row r="1434" spans="1:37" x14ac:dyDescent="0.2">
      <c r="A1434" t="str">
        <f>"20200111155819290"</f>
        <v>20200111155819290</v>
      </c>
      <c r="B1434" t="str">
        <f>"1578729499282430"</f>
        <v>1578729499282430</v>
      </c>
      <c r="C1434" t="s">
        <v>37</v>
      </c>
      <c r="D1434">
        <v>6.066281</v>
      </c>
      <c r="E1434">
        <v>0.60851099999999902</v>
      </c>
      <c r="F1434" t="s">
        <v>39</v>
      </c>
      <c r="G1434">
        <v>-195.33160000000001</v>
      </c>
      <c r="H1434" s="1">
        <v>-5.1585809999999997E-6</v>
      </c>
      <c r="I1434">
        <v>339.36649999999997</v>
      </c>
      <c r="J1434">
        <v>-194.46029999999999</v>
      </c>
      <c r="K1434">
        <v>1.0966419999999999</v>
      </c>
      <c r="L1434">
        <v>353.37040000000002</v>
      </c>
      <c r="M1434">
        <v>0.388264099999999</v>
      </c>
      <c r="N1434">
        <v>0</v>
      </c>
      <c r="O1434">
        <v>-0.92142179999999996</v>
      </c>
      <c r="P1434">
        <v>0.28418680000000002</v>
      </c>
      <c r="Q1434">
        <v>1.062714E-2</v>
      </c>
      <c r="R1434">
        <v>-0.95870999999999995</v>
      </c>
      <c r="S1434">
        <v>-0.17974849999999901</v>
      </c>
      <c r="T1434">
        <v>-0.2468871</v>
      </c>
      <c r="U1434">
        <v>-3.1990660000000002</v>
      </c>
      <c r="V1434">
        <v>0.11086939999999899</v>
      </c>
      <c r="W1434">
        <v>2.3647789999999998E-2</v>
      </c>
      <c r="X1434">
        <v>0.99355360000000004</v>
      </c>
      <c r="Y1434">
        <v>0.439210499999999</v>
      </c>
      <c r="Z1434">
        <v>6.3902509999999996E-2</v>
      </c>
      <c r="AA1434">
        <v>0.89610859999999903</v>
      </c>
      <c r="AB1434">
        <v>22</v>
      </c>
      <c r="AC1434">
        <v>-0.87130000000001895</v>
      </c>
      <c r="AD1434">
        <v>-1.096647158581</v>
      </c>
      <c r="AE1434">
        <v>-14.0039</v>
      </c>
      <c r="AF1434">
        <v>6.20288075538675</v>
      </c>
      <c r="AG1434">
        <v>-1.096647158581</v>
      </c>
      <c r="AH1434">
        <v>12.490365934004</v>
      </c>
      <c r="AI1434">
        <v>94.496284009067793</v>
      </c>
      <c r="AJ1434">
        <v>63.590397921903801</v>
      </c>
      <c r="AK1434">
        <v>13.9888386158858</v>
      </c>
    </row>
    <row r="1435" spans="1:37" x14ac:dyDescent="0.2">
      <c r="A1435" t="str">
        <f>"20200111155819313"</f>
        <v>20200111155819313</v>
      </c>
      <c r="B1435" t="str">
        <f>"1578729499301949"</f>
        <v>1578729499301949</v>
      </c>
      <c r="C1435" t="s">
        <v>37</v>
      </c>
      <c r="D1435">
        <v>5.9255909999999998</v>
      </c>
      <c r="E1435">
        <v>0.60830090000000003</v>
      </c>
      <c r="F1435" t="s">
        <v>46</v>
      </c>
      <c r="G1435">
        <v>-191.2955</v>
      </c>
      <c r="H1435">
        <v>4.0789269999999904</v>
      </c>
      <c r="I1435">
        <v>-81.816509999999994</v>
      </c>
      <c r="J1435">
        <v>-194.38480000000001</v>
      </c>
      <c r="K1435">
        <v>1.0967069999999901</v>
      </c>
      <c r="L1435">
        <v>353.14819999999997</v>
      </c>
      <c r="M1435">
        <v>0.3751756</v>
      </c>
      <c r="N1435">
        <v>0</v>
      </c>
      <c r="O1435">
        <v>-0.9268284</v>
      </c>
      <c r="P1435">
        <v>0.27343649999999903</v>
      </c>
      <c r="Q1435">
        <v>8.2294069999999993E-3</v>
      </c>
      <c r="R1435">
        <v>-0.96185520000000002</v>
      </c>
      <c r="S1435">
        <v>2.2705079999999999E-2</v>
      </c>
      <c r="T1435">
        <v>2.1396040000000002E-2</v>
      </c>
      <c r="U1435">
        <v>-3.1221919999999899</v>
      </c>
      <c r="V1435">
        <v>0.1078778</v>
      </c>
      <c r="W1435">
        <v>2.1321409999999999E-2</v>
      </c>
      <c r="X1435">
        <v>0.99393549999999997</v>
      </c>
      <c r="Y1435">
        <v>0.36846849999999998</v>
      </c>
      <c r="Z1435">
        <v>-5.8609029999999998E-3</v>
      </c>
      <c r="AA1435">
        <v>0.92962180000000005</v>
      </c>
      <c r="AB1435">
        <v>22</v>
      </c>
      <c r="AC1435">
        <v>3.0893000000000002</v>
      </c>
      <c r="AD1435">
        <v>2.9822199999999901</v>
      </c>
      <c r="AE1435">
        <v>-434.964709999999</v>
      </c>
      <c r="AF1435">
        <v>160.33599027834401</v>
      </c>
      <c r="AG1435">
        <v>2.9822199999999901</v>
      </c>
      <c r="AH1435">
        <v>404.32465534907999</v>
      </c>
      <c r="AI1435">
        <v>89.607164305007203</v>
      </c>
      <c r="AJ1435">
        <v>68.369070172230806</v>
      </c>
      <c r="AK1435">
        <v>434.96545878703802</v>
      </c>
    </row>
    <row r="1436" spans="1:37" x14ac:dyDescent="0.2">
      <c r="A1436" t="str">
        <f>"20200111155819335"</f>
        <v>20200111155819335</v>
      </c>
      <c r="B1436" t="str">
        <f>"1578729499332666"</f>
        <v>1578729499332666</v>
      </c>
      <c r="C1436" t="s">
        <v>37</v>
      </c>
      <c r="D1436">
        <v>5.9396659999999999</v>
      </c>
      <c r="E1436">
        <v>0.59268920000000003</v>
      </c>
      <c r="F1436" t="s">
        <v>46</v>
      </c>
      <c r="G1436">
        <v>-195.83680000000001</v>
      </c>
      <c r="H1436">
        <v>2.4709050000000001</v>
      </c>
      <c r="I1436">
        <v>-81.815979999999996</v>
      </c>
      <c r="J1436">
        <v>-194.31700000000001</v>
      </c>
      <c r="K1436">
        <v>1.096789</v>
      </c>
      <c r="L1436">
        <v>352.93979999999999</v>
      </c>
      <c r="M1436">
        <v>0.36298190000000002</v>
      </c>
      <c r="N1436">
        <v>0</v>
      </c>
      <c r="O1436">
        <v>-0.93167180000000005</v>
      </c>
      <c r="P1436">
        <v>0.26438790000000001</v>
      </c>
      <c r="Q1436">
        <v>5.8594099999999998E-3</v>
      </c>
      <c r="R1436">
        <v>-0.964398599999999</v>
      </c>
      <c r="S1436">
        <v>-1.042175E-2</v>
      </c>
      <c r="T1436">
        <v>9.8630190000000006E-3</v>
      </c>
      <c r="U1436">
        <v>-3.1218569999999999</v>
      </c>
      <c r="V1436">
        <v>0.10412829999999999</v>
      </c>
      <c r="W1436">
        <v>1.9036879999999999E-2</v>
      </c>
      <c r="X1436">
        <v>0.99438169999999904</v>
      </c>
      <c r="Y1436">
        <v>0.36613249999999897</v>
      </c>
      <c r="Z1436">
        <v>-2.7262720000000001E-3</v>
      </c>
      <c r="AA1436">
        <v>0.93055869999999996</v>
      </c>
      <c r="AB1436">
        <v>22</v>
      </c>
      <c r="AC1436">
        <v>-1.5198</v>
      </c>
      <c r="AD1436">
        <v>1.3741159999999999</v>
      </c>
      <c r="AE1436">
        <v>-434.75578000000002</v>
      </c>
      <c r="AF1436">
        <v>159.24130020566901</v>
      </c>
      <c r="AG1436">
        <v>1.3741159999999999</v>
      </c>
      <c r="AH1436">
        <v>404.54088793505099</v>
      </c>
      <c r="AI1436">
        <v>89.818907317049394</v>
      </c>
      <c r="AJ1436">
        <v>68.513683438302294</v>
      </c>
      <c r="AK1436">
        <v>434.75626493157398</v>
      </c>
    </row>
    <row r="1437" spans="1:37" x14ac:dyDescent="0.2">
      <c r="A1437" t="str">
        <f>"20200111155819357"</f>
        <v>20200111155819357</v>
      </c>
      <c r="B1437" t="str">
        <f>"1578729499352185"</f>
        <v>1578729499352185</v>
      </c>
      <c r="C1437" t="s">
        <v>37</v>
      </c>
      <c r="D1437">
        <v>5.941217</v>
      </c>
      <c r="E1437">
        <v>0.59084219999999998</v>
      </c>
      <c r="F1437" t="s">
        <v>39</v>
      </c>
      <c r="G1437">
        <v>-193.8887</v>
      </c>
      <c r="H1437" s="1">
        <v>-4.4375630000000001E-6</v>
      </c>
      <c r="I1437">
        <v>337.99979999999999</v>
      </c>
      <c r="J1437">
        <v>-194.25380000000001</v>
      </c>
      <c r="K1437">
        <v>1.0969</v>
      </c>
      <c r="L1437">
        <v>352.7373</v>
      </c>
      <c r="M1437">
        <v>0.35126309999999999</v>
      </c>
      <c r="N1437">
        <v>0</v>
      </c>
      <c r="O1437">
        <v>-0.93615339999999903</v>
      </c>
      <c r="P1437">
        <v>0.25643070000000001</v>
      </c>
      <c r="Q1437">
        <v>3.155962E-3</v>
      </c>
      <c r="R1437">
        <v>-0.96655759999999902</v>
      </c>
      <c r="S1437">
        <v>8.8516239999999996E-2</v>
      </c>
      <c r="T1437">
        <v>-0.22669029999999901</v>
      </c>
      <c r="U1437">
        <v>-3.08786</v>
      </c>
      <c r="V1437">
        <v>9.9793140000000002E-2</v>
      </c>
      <c r="W1437">
        <v>1.642851E-2</v>
      </c>
      <c r="X1437">
        <v>0.9948726</v>
      </c>
      <c r="Y1437">
        <v>0.3243684</v>
      </c>
      <c r="Z1437">
        <v>6.4242369999999993E-2</v>
      </c>
      <c r="AA1437">
        <v>0.9437468</v>
      </c>
      <c r="AB1437">
        <v>22</v>
      </c>
      <c r="AC1437">
        <v>0.36510000000001203</v>
      </c>
      <c r="AD1437">
        <v>-1.0969044375629999</v>
      </c>
      <c r="AE1437">
        <v>-14.737500000000001</v>
      </c>
      <c r="AF1437">
        <v>4.8088853058204002</v>
      </c>
      <c r="AG1437">
        <v>-1.0969044375629999</v>
      </c>
      <c r="AH1437">
        <v>13.8497388126105</v>
      </c>
      <c r="AI1437">
        <v>94.278817321684997</v>
      </c>
      <c r="AJ1437">
        <v>70.852053713530395</v>
      </c>
      <c r="AK1437">
        <v>14.701831260329801</v>
      </c>
    </row>
    <row r="1438" spans="1:37" x14ac:dyDescent="0.2">
      <c r="A1438" t="str">
        <f>"20200111155819380"</f>
        <v>20200111155819380</v>
      </c>
      <c r="B1438" t="str">
        <f>"1578729499372682"</f>
        <v>1578729499372682</v>
      </c>
      <c r="C1438" t="s">
        <v>37</v>
      </c>
      <c r="D1438">
        <v>5.975892</v>
      </c>
      <c r="E1438">
        <v>0.58895350000000002</v>
      </c>
      <c r="F1438" t="s">
        <v>39</v>
      </c>
      <c r="G1438">
        <v>-193.8963</v>
      </c>
      <c r="H1438" s="1">
        <v>-4.597392E-6</v>
      </c>
      <c r="I1438">
        <v>338.46550000000002</v>
      </c>
      <c r="J1438">
        <v>-194.18879999999999</v>
      </c>
      <c r="K1438">
        <v>1.097045</v>
      </c>
      <c r="L1438">
        <v>352.5197</v>
      </c>
      <c r="M1438">
        <v>0.33883799999999997</v>
      </c>
      <c r="N1438">
        <v>0</v>
      </c>
      <c r="O1438">
        <v>-0.94072230000000001</v>
      </c>
      <c r="P1438">
        <v>0.24885639999999901</v>
      </c>
      <c r="Q1438">
        <v>5.8202349999999896E-4</v>
      </c>
      <c r="R1438">
        <v>-0.96854030000000002</v>
      </c>
      <c r="S1438">
        <v>7.7270510000000001E-2</v>
      </c>
      <c r="T1438">
        <v>-0.23703629999999901</v>
      </c>
      <c r="U1438">
        <v>-3.084076</v>
      </c>
      <c r="V1438">
        <v>9.4355389999999997E-2</v>
      </c>
      <c r="W1438">
        <v>1.3968309999999999E-2</v>
      </c>
      <c r="X1438">
        <v>0.99544059999999901</v>
      </c>
      <c r="Y1438">
        <v>0.31524099999999999</v>
      </c>
      <c r="Z1438">
        <v>6.7883200000000005E-2</v>
      </c>
      <c r="AA1438">
        <v>0.94658059999999999</v>
      </c>
      <c r="AB1438">
        <v>22</v>
      </c>
      <c r="AC1438">
        <v>0.29249999999998899</v>
      </c>
      <c r="AD1438">
        <v>-1.097049597392</v>
      </c>
      <c r="AE1438">
        <v>-14.0541999999999</v>
      </c>
      <c r="AF1438">
        <v>4.4602873178725497</v>
      </c>
      <c r="AG1438">
        <v>-1.097049597392</v>
      </c>
      <c r="AH1438">
        <v>13.241099203142801</v>
      </c>
      <c r="AI1438">
        <v>94.489476325211498</v>
      </c>
      <c r="AJ1438">
        <v>71.3838121707836</v>
      </c>
      <c r="AK1438">
        <v>14.0151485502145</v>
      </c>
    </row>
    <row r="1439" spans="1:37" x14ac:dyDescent="0.2">
      <c r="A1439" t="str">
        <f>"20200111155819401"</f>
        <v>20200111155819401</v>
      </c>
      <c r="B1439" t="str">
        <f>"1578729499392201"</f>
        <v>1578729499392201</v>
      </c>
      <c r="C1439" t="s">
        <v>37</v>
      </c>
      <c r="D1439">
        <v>5.9772699999999999</v>
      </c>
      <c r="E1439">
        <v>0.58786139999999998</v>
      </c>
      <c r="F1439" t="s">
        <v>39</v>
      </c>
      <c r="G1439">
        <v>-193.8817</v>
      </c>
      <c r="H1439" s="1">
        <v>-4.5775179999999999E-6</v>
      </c>
      <c r="I1439">
        <v>338.41469999999998</v>
      </c>
      <c r="J1439">
        <v>-194.1275</v>
      </c>
      <c r="K1439">
        <v>1.0972329999999999</v>
      </c>
      <c r="L1439">
        <v>352.30549999999999</v>
      </c>
      <c r="M1439">
        <v>0.3268374</v>
      </c>
      <c r="N1439">
        <v>0</v>
      </c>
      <c r="O1439">
        <v>-0.94495949999999995</v>
      </c>
      <c r="P1439">
        <v>0.24214040000000001</v>
      </c>
      <c r="Q1439">
        <v>-9.8913769999999998E-4</v>
      </c>
      <c r="R1439">
        <v>-0.97024080000000001</v>
      </c>
      <c r="S1439">
        <v>6.7062380000000005E-2</v>
      </c>
      <c r="T1439">
        <v>-0.23958460000000001</v>
      </c>
      <c r="U1439">
        <v>-3.0803829999999999</v>
      </c>
      <c r="V1439">
        <v>8.8544890000000001E-2</v>
      </c>
      <c r="W1439">
        <v>1.251266E-2</v>
      </c>
      <c r="X1439">
        <v>0.99599359999999904</v>
      </c>
      <c r="Y1439">
        <v>0.30625839999999999</v>
      </c>
      <c r="Z1439">
        <v>6.9297029999999996E-2</v>
      </c>
      <c r="AA1439">
        <v>0.94942280000000001</v>
      </c>
      <c r="AB1439">
        <v>22</v>
      </c>
      <c r="AC1439">
        <v>0.24580000000000199</v>
      </c>
      <c r="AD1439">
        <v>-1.0972375775180001</v>
      </c>
      <c r="AE1439">
        <v>-13.8908</v>
      </c>
      <c r="AF1439">
        <v>4.28154874777678</v>
      </c>
      <c r="AG1439">
        <v>-1.0972375775180001</v>
      </c>
      <c r="AH1439">
        <v>13.126216692036699</v>
      </c>
      <c r="AI1439">
        <v>94.543774670472501</v>
      </c>
      <c r="AJ1439">
        <v>71.934554182679605</v>
      </c>
      <c r="AK1439">
        <v>13.8503846382478</v>
      </c>
    </row>
    <row r="1440" spans="1:37" x14ac:dyDescent="0.2">
      <c r="A1440" t="str">
        <f>"20200111155819423"</f>
        <v>20200111155819423</v>
      </c>
      <c r="B1440" t="str">
        <f>"1578729499412697"</f>
        <v>1578729499412697</v>
      </c>
      <c r="C1440" t="s">
        <v>37</v>
      </c>
      <c r="D1440">
        <v>6.0122640000000001</v>
      </c>
      <c r="E1440">
        <v>0.5867523</v>
      </c>
      <c r="F1440" t="s">
        <v>39</v>
      </c>
      <c r="G1440">
        <v>-193.8836</v>
      </c>
      <c r="H1440" s="1">
        <v>-4.5655109999999998E-6</v>
      </c>
      <c r="I1440">
        <v>338.3784</v>
      </c>
      <c r="J1440">
        <v>-194.07239999999999</v>
      </c>
      <c r="K1440">
        <v>1.0974440000000001</v>
      </c>
      <c r="L1440">
        <v>352.10480000000001</v>
      </c>
      <c r="M1440">
        <v>0.31586049999999999</v>
      </c>
      <c r="N1440">
        <v>0</v>
      </c>
      <c r="O1440">
        <v>-0.94868580000000002</v>
      </c>
      <c r="P1440">
        <v>0.2359869</v>
      </c>
      <c r="Q1440">
        <v>-1.1656539999999999E-3</v>
      </c>
      <c r="R1440">
        <v>-0.971755699999999</v>
      </c>
      <c r="S1440">
        <v>5.3894039999999997E-2</v>
      </c>
      <c r="T1440">
        <v>-0.24252309999999999</v>
      </c>
      <c r="U1440">
        <v>-3.0783079999999998</v>
      </c>
      <c r="V1440">
        <v>8.3298369999999997E-2</v>
      </c>
      <c r="W1440">
        <v>1.2433990000000001E-2</v>
      </c>
      <c r="X1440">
        <v>0.99644709999999903</v>
      </c>
      <c r="Y1440">
        <v>0.29926259999999999</v>
      </c>
      <c r="Z1440">
        <v>7.0715379999999994E-2</v>
      </c>
      <c r="AA1440">
        <v>0.95154669999999897</v>
      </c>
      <c r="AB1440">
        <v>22</v>
      </c>
      <c r="AC1440">
        <v>0.18879999999998601</v>
      </c>
      <c r="AD1440">
        <v>-1.097448565511</v>
      </c>
      <c r="AE1440">
        <v>-13.7264</v>
      </c>
      <c r="AF1440">
        <v>4.1305895138478501</v>
      </c>
      <c r="AG1440">
        <v>-1.097448565511</v>
      </c>
      <c r="AH1440">
        <v>13.000078568758401</v>
      </c>
      <c r="AI1440">
        <v>94.599825995940506</v>
      </c>
      <c r="AJ1440">
        <v>72.373087802587307</v>
      </c>
      <c r="AK1440">
        <v>13.684597395602999</v>
      </c>
    </row>
    <row r="1441" spans="1:37" x14ac:dyDescent="0.2">
      <c r="A1441" t="str">
        <f>"20200111155819446"</f>
        <v>20200111155819446</v>
      </c>
      <c r="B1441" t="str">
        <f>"1578729499441977"</f>
        <v>1578729499441977</v>
      </c>
      <c r="C1441" t="s">
        <v>37</v>
      </c>
      <c r="D1441">
        <v>5.9176769999999896</v>
      </c>
      <c r="E1441">
        <v>0.58570219999999995</v>
      </c>
      <c r="F1441" t="s">
        <v>39</v>
      </c>
      <c r="G1441">
        <v>-193.87710000000001</v>
      </c>
      <c r="H1441" s="1">
        <v>-4.4891419999999998E-6</v>
      </c>
      <c r="I1441">
        <v>338.1574</v>
      </c>
      <c r="J1441">
        <v>-194.01730000000001</v>
      </c>
      <c r="K1441">
        <v>1.097699</v>
      </c>
      <c r="L1441">
        <v>351.8954</v>
      </c>
      <c r="M1441">
        <v>0.3047144</v>
      </c>
      <c r="N1441">
        <v>0</v>
      </c>
      <c r="O1441">
        <v>-0.95232519999999998</v>
      </c>
      <c r="P1441">
        <v>0.22892649999999901</v>
      </c>
      <c r="Q1441">
        <v>-5.9705719999999997E-4</v>
      </c>
      <c r="R1441">
        <v>-0.97344370000000002</v>
      </c>
      <c r="S1441">
        <v>4.3090820000000002E-2</v>
      </c>
      <c r="T1441">
        <v>-0.24207190000000001</v>
      </c>
      <c r="U1441">
        <v>-3.0764770000000001</v>
      </c>
      <c r="V1441">
        <v>7.8847050000000002E-2</v>
      </c>
      <c r="W1441">
        <v>1.30791E-2</v>
      </c>
      <c r="X1441">
        <v>0.99680089999999999</v>
      </c>
      <c r="Y1441">
        <v>0.2913963</v>
      </c>
      <c r="Z1441">
        <v>7.114972E-2</v>
      </c>
      <c r="AA1441">
        <v>0.95395280000000005</v>
      </c>
      <c r="AB1441">
        <v>21</v>
      </c>
      <c r="AC1441">
        <v>0.140199999999993</v>
      </c>
      <c r="AD1441">
        <v>-1.0977034891419899</v>
      </c>
      <c r="AE1441">
        <v>-13.738</v>
      </c>
      <c r="AF1441">
        <v>4.0273981337195197</v>
      </c>
      <c r="AG1441">
        <v>-1.0977034891419899</v>
      </c>
      <c r="AH1441">
        <v>13.043977154512699</v>
      </c>
      <c r="AI1441">
        <v>94.597183164418496</v>
      </c>
      <c r="AJ1441">
        <v>72.841645923943204</v>
      </c>
      <c r="AK1441">
        <v>13.6956280865469</v>
      </c>
    </row>
    <row r="1442" spans="1:37" x14ac:dyDescent="0.2">
      <c r="A1442" t="str">
        <f>"20200111155819469"</f>
        <v>20200111155819469</v>
      </c>
      <c r="B1442" t="str">
        <f>"1578729499463003"</f>
        <v>1578729499463003</v>
      </c>
      <c r="C1442" t="s">
        <v>37</v>
      </c>
      <c r="D1442">
        <v>5.9467569999999998</v>
      </c>
      <c r="E1442">
        <v>0.58555019999999902</v>
      </c>
      <c r="F1442" t="s">
        <v>39</v>
      </c>
      <c r="G1442">
        <v>-193.88319999999999</v>
      </c>
      <c r="H1442" s="1">
        <v>-4.2990190000000001E-6</v>
      </c>
      <c r="I1442">
        <v>337.59550000000002</v>
      </c>
      <c r="J1442">
        <v>-193.96029999999999</v>
      </c>
      <c r="K1442">
        <v>1.0979889999999899</v>
      </c>
      <c r="L1442">
        <v>351.6694</v>
      </c>
      <c r="M1442">
        <v>0.2931299</v>
      </c>
      <c r="N1442">
        <v>0</v>
      </c>
      <c r="O1442">
        <v>-0.95595560000000002</v>
      </c>
      <c r="P1442">
        <v>0.224618399999999</v>
      </c>
      <c r="Q1442" s="1">
        <v>-3.9241739999999997E-5</v>
      </c>
      <c r="R1442">
        <v>-0.97444699999999995</v>
      </c>
      <c r="S1442">
        <v>2.8823850000000002E-2</v>
      </c>
      <c r="T1442">
        <v>-0.23604549999999999</v>
      </c>
      <c r="U1442">
        <v>-3.0749819999999999</v>
      </c>
      <c r="V1442">
        <v>7.1149669999999998E-2</v>
      </c>
      <c r="W1442">
        <v>1.375758E-2</v>
      </c>
      <c r="X1442">
        <v>0.9973708</v>
      </c>
      <c r="Y1442">
        <v>0.28419429999999901</v>
      </c>
      <c r="Z1442">
        <v>6.9921549999999999E-2</v>
      </c>
      <c r="AA1442">
        <v>0.95621369999999895</v>
      </c>
      <c r="AB1442">
        <v>21</v>
      </c>
      <c r="AC1442">
        <v>7.7100000000001501E-2</v>
      </c>
      <c r="AD1442">
        <v>-1.09799329901899</v>
      </c>
      <c r="AE1442">
        <v>-14.073899999999901</v>
      </c>
      <c r="AF1442">
        <v>4.0277159792027</v>
      </c>
      <c r="AG1442">
        <v>-1.09799329901899</v>
      </c>
      <c r="AH1442">
        <v>13.396595339599299</v>
      </c>
      <c r="AI1442">
        <v>94.487940886423999</v>
      </c>
      <c r="AJ1442">
        <v>73.266478609877296</v>
      </c>
      <c r="AK1442">
        <v>14.031993870679599</v>
      </c>
    </row>
    <row r="1443" spans="1:37" x14ac:dyDescent="0.2">
      <c r="A1443" t="str">
        <f>"20200111155819491"</f>
        <v>20200111155819491</v>
      </c>
      <c r="B1443" t="str">
        <f>"1578729499482523"</f>
        <v>1578729499482523</v>
      </c>
      <c r="C1443" t="s">
        <v>37</v>
      </c>
      <c r="D1443">
        <v>5.9132099999999896</v>
      </c>
      <c r="E1443">
        <v>0.61500480000000002</v>
      </c>
      <c r="F1443" t="s">
        <v>39</v>
      </c>
      <c r="G1443">
        <v>-193.88489999999999</v>
      </c>
      <c r="H1443" s="1">
        <v>-4.1097629999999996E-6</v>
      </c>
      <c r="I1443">
        <v>337.0385</v>
      </c>
      <c r="J1443">
        <v>-193.90950000000001</v>
      </c>
      <c r="K1443">
        <v>1.0982510000000001</v>
      </c>
      <c r="L1443">
        <v>351.45960000000002</v>
      </c>
      <c r="M1443">
        <v>0.28270020000000001</v>
      </c>
      <c r="N1443">
        <v>0</v>
      </c>
      <c r="O1443">
        <v>-0.95909270000000002</v>
      </c>
      <c r="P1443">
        <v>0.21601989999999999</v>
      </c>
      <c r="Q1443">
        <v>-6.4658439999999999E-4</v>
      </c>
      <c r="R1443">
        <v>-0.97638910000000001</v>
      </c>
      <c r="S1443">
        <v>1.5838620000000001E-2</v>
      </c>
      <c r="T1443">
        <v>-0.23076729999999901</v>
      </c>
      <c r="U1443">
        <v>-3.0750120000000001</v>
      </c>
      <c r="V1443">
        <v>6.9058110000000006E-2</v>
      </c>
      <c r="W1443">
        <v>1.31653999999999E-2</v>
      </c>
      <c r="X1443">
        <v>0.99752580000000002</v>
      </c>
      <c r="Y1443">
        <v>0.27778409999999998</v>
      </c>
      <c r="Z1443">
        <v>6.8787810000000005E-2</v>
      </c>
      <c r="AA1443">
        <v>0.95817759999999996</v>
      </c>
      <c r="AB1443">
        <v>21</v>
      </c>
      <c r="AC1443">
        <v>2.46000000000208E-2</v>
      </c>
      <c r="AD1443">
        <v>-1.098255109763</v>
      </c>
      <c r="AE1443">
        <v>-14.421099999999999</v>
      </c>
      <c r="AF1443">
        <v>4.0303288794252099</v>
      </c>
      <c r="AG1443">
        <v>-1.098255109763</v>
      </c>
      <c r="AH1443">
        <v>13.7598574162639</v>
      </c>
      <c r="AI1443">
        <v>94.380171847993594</v>
      </c>
      <c r="AJ1443">
        <v>73.674436656920307</v>
      </c>
      <c r="AK1443">
        <v>14.379964926186799</v>
      </c>
    </row>
    <row r="1444" spans="1:37" x14ac:dyDescent="0.2">
      <c r="A1444" t="str">
        <f>"20200111155819514"</f>
        <v>20200111155819514</v>
      </c>
      <c r="B1444" t="str">
        <f>"1578729499502041"</f>
        <v>1578729499502041</v>
      </c>
      <c r="C1444" t="s">
        <v>37</v>
      </c>
      <c r="D1444">
        <v>5.9082549999999996</v>
      </c>
      <c r="E1444">
        <v>0.61251659999999997</v>
      </c>
      <c r="F1444" t="s">
        <v>47</v>
      </c>
      <c r="G1444">
        <v>-212.86170000000001</v>
      </c>
      <c r="H1444">
        <v>3.4304489999999999</v>
      </c>
      <c r="I1444">
        <v>113.2067</v>
      </c>
      <c r="J1444">
        <v>-193.85919999999999</v>
      </c>
      <c r="K1444">
        <v>1.0985049999999901</v>
      </c>
      <c r="L1444">
        <v>351.24329999999998</v>
      </c>
      <c r="M1444">
        <v>0.27232620000000002</v>
      </c>
      <c r="N1444">
        <v>0</v>
      </c>
      <c r="O1444">
        <v>-0.96209100000000003</v>
      </c>
      <c r="P1444">
        <v>0.207171299999999</v>
      </c>
      <c r="Q1444">
        <v>-4.0508890000000002E-3</v>
      </c>
      <c r="R1444">
        <v>-0.97829669999999902</v>
      </c>
      <c r="S1444">
        <v>-0.2487946</v>
      </c>
      <c r="T1444">
        <v>3.061616E-2</v>
      </c>
      <c r="U1444">
        <v>-3.1276549999999999</v>
      </c>
      <c r="V1444">
        <v>6.7254789999999995E-2</v>
      </c>
      <c r="W1444">
        <v>9.7667280000000006E-3</v>
      </c>
      <c r="X1444">
        <v>0.99768809999999997</v>
      </c>
      <c r="Y1444">
        <v>0.34779329999999897</v>
      </c>
      <c r="Z1444">
        <v>-8.9116779999999993E-3</v>
      </c>
      <c r="AA1444">
        <v>0.9375289</v>
      </c>
      <c r="AB1444">
        <v>21</v>
      </c>
      <c r="AC1444">
        <v>-19.002500000000001</v>
      </c>
      <c r="AD1444">
        <v>2.331944</v>
      </c>
      <c r="AE1444">
        <v>-238.03659999999999</v>
      </c>
      <c r="AF1444">
        <v>83.106927518744101</v>
      </c>
      <c r="AG1444">
        <v>2.331944</v>
      </c>
      <c r="AH1444">
        <v>223.841198563055</v>
      </c>
      <c r="AI1444">
        <v>89.440441933196993</v>
      </c>
      <c r="AJ1444">
        <v>69.631232977193207</v>
      </c>
      <c r="AK1444">
        <v>238.782498392512</v>
      </c>
    </row>
    <row r="1445" spans="1:37" x14ac:dyDescent="0.2">
      <c r="A1445" t="str">
        <f>"20200111155819537"</f>
        <v>20200111155819537</v>
      </c>
      <c r="B1445" t="str">
        <f>"1578729499532298"</f>
        <v>1578729499532298</v>
      </c>
      <c r="C1445" t="s">
        <v>37</v>
      </c>
      <c r="D1445">
        <v>5.8974149999999996</v>
      </c>
      <c r="E1445">
        <v>0.6100255</v>
      </c>
      <c r="F1445" t="s">
        <v>48</v>
      </c>
      <c r="G1445">
        <v>-212.99160000000001</v>
      </c>
      <c r="H1445">
        <v>0.940998</v>
      </c>
      <c r="I1445">
        <v>118.8479</v>
      </c>
      <c r="J1445">
        <v>-193.81049999999999</v>
      </c>
      <c r="K1445">
        <v>1.0987610000000001</v>
      </c>
      <c r="L1445">
        <v>351.02569999999997</v>
      </c>
      <c r="M1445">
        <v>0.2623277</v>
      </c>
      <c r="N1445">
        <v>0</v>
      </c>
      <c r="O1445">
        <v>-0.96486620000000001</v>
      </c>
      <c r="P1445">
        <v>0.197996799999999</v>
      </c>
      <c r="Q1445">
        <v>-7.9219010000000003E-3</v>
      </c>
      <c r="R1445">
        <v>-0.98017099999999902</v>
      </c>
      <c r="S1445">
        <v>-0.25694270000000002</v>
      </c>
      <c r="T1445">
        <v>-2.1148920000000002E-3</v>
      </c>
      <c r="U1445">
        <v>-3.1210019999999998</v>
      </c>
      <c r="V1445">
        <v>6.618077E-2</v>
      </c>
      <c r="W1445">
        <v>5.8863459999999998E-3</v>
      </c>
      <c r="X1445">
        <v>0.99779030000000002</v>
      </c>
      <c r="Y1445">
        <v>0.34064689999999997</v>
      </c>
      <c r="Z1445">
        <v>6.2058230000000005E-4</v>
      </c>
      <c r="AA1445">
        <v>0.94019109999999995</v>
      </c>
      <c r="AB1445">
        <v>21</v>
      </c>
      <c r="AC1445">
        <v>-19.181100000000001</v>
      </c>
      <c r="AD1445">
        <v>-0.15776299999999999</v>
      </c>
      <c r="AE1445">
        <v>-232.17779999999999</v>
      </c>
      <c r="AF1445">
        <v>79.422460365154706</v>
      </c>
      <c r="AG1445">
        <v>-0.15776299999999999</v>
      </c>
      <c r="AH1445">
        <v>219.012484624281</v>
      </c>
      <c r="AI1445">
        <v>90.038799865859204</v>
      </c>
      <c r="AJ1445">
        <v>70.067382387771303</v>
      </c>
      <c r="AK1445">
        <v>232.96871146340601</v>
      </c>
    </row>
    <row r="1446" spans="1:37" x14ac:dyDescent="0.2">
      <c r="A1446" t="str">
        <f>"20200111155819559"</f>
        <v>20200111155819559</v>
      </c>
      <c r="B1446" t="str">
        <f>"1578729499552794"</f>
        <v>1578729499552794</v>
      </c>
      <c r="C1446" t="s">
        <v>37</v>
      </c>
      <c r="D1446">
        <v>7.9997280000000002</v>
      </c>
      <c r="E1446">
        <v>0.60831669999999904</v>
      </c>
      <c r="F1446" t="s">
        <v>41</v>
      </c>
      <c r="G1446">
        <v>-209.39750000000001</v>
      </c>
      <c r="H1446">
        <v>-0.05</v>
      </c>
      <c r="I1446">
        <v>168.7944</v>
      </c>
      <c r="J1446">
        <v>-193.7663</v>
      </c>
      <c r="K1446">
        <v>1.0990469999999899</v>
      </c>
      <c r="L1446">
        <v>350.82040000000001</v>
      </c>
      <c r="M1446">
        <v>0.25335669999999999</v>
      </c>
      <c r="N1446">
        <v>0</v>
      </c>
      <c r="O1446">
        <v>-0.9672617</v>
      </c>
      <c r="P1446">
        <v>0.189806</v>
      </c>
      <c r="Q1446">
        <v>-8.984611E-3</v>
      </c>
      <c r="R1446">
        <v>-0.98178080000000001</v>
      </c>
      <c r="S1446">
        <v>-0.26638790000000001</v>
      </c>
      <c r="T1446">
        <v>-1.9632819999999999E-2</v>
      </c>
      <c r="U1446">
        <v>-3.1144099999999999</v>
      </c>
      <c r="V1446">
        <v>6.5224589999999999E-2</v>
      </c>
      <c r="W1446">
        <v>4.8120480000000002E-3</v>
      </c>
      <c r="X1446">
        <v>0.99785900000000005</v>
      </c>
      <c r="Y1446">
        <v>0.33490209999999998</v>
      </c>
      <c r="Z1446">
        <v>5.8014240000000003E-3</v>
      </c>
      <c r="AA1446">
        <v>0.94223509999999999</v>
      </c>
      <c r="AB1446">
        <v>21</v>
      </c>
      <c r="AC1446">
        <v>-15.6312</v>
      </c>
      <c r="AD1446">
        <v>-1.1490469999999999</v>
      </c>
      <c r="AE1446">
        <v>-182.02600000000001</v>
      </c>
      <c r="AF1446">
        <v>61.241135015228203</v>
      </c>
      <c r="AG1446">
        <v>-1.1490469999999999</v>
      </c>
      <c r="AH1446">
        <v>172.11822102886799</v>
      </c>
      <c r="AI1446">
        <v>90.360365353111803</v>
      </c>
      <c r="AJ1446">
        <v>70.414006429352099</v>
      </c>
      <c r="AK1446">
        <v>182.69230672664801</v>
      </c>
    </row>
    <row r="1447" spans="1:37" x14ac:dyDescent="0.2">
      <c r="A1447" t="str">
        <f>"20200111155819582"</f>
        <v>20200111155819582</v>
      </c>
      <c r="B1447" t="str">
        <f>"1578729499572314"</f>
        <v>1578729499572314</v>
      </c>
      <c r="C1447" t="s">
        <v>37</v>
      </c>
      <c r="D1447">
        <v>5.8956540000000004</v>
      </c>
      <c r="E1447">
        <v>0.60639889999999996</v>
      </c>
      <c r="F1447" t="s">
        <v>39</v>
      </c>
      <c r="G1447">
        <v>-202.2963</v>
      </c>
      <c r="H1447">
        <v>7.9986600000000005E-2</v>
      </c>
      <c r="I1447">
        <v>255.71899999999999</v>
      </c>
      <c r="J1447">
        <v>-193.72059999999999</v>
      </c>
      <c r="K1447">
        <v>1.0994079999999999</v>
      </c>
      <c r="L1447">
        <v>350.601</v>
      </c>
      <c r="M1447">
        <v>0.24428639999999999</v>
      </c>
      <c r="N1447">
        <v>0</v>
      </c>
      <c r="O1447">
        <v>-0.96959319999999904</v>
      </c>
      <c r="P1447">
        <v>0.18101739999999999</v>
      </c>
      <c r="Q1447">
        <v>-9.7584049999999995E-3</v>
      </c>
      <c r="R1447">
        <v>-0.98343150000000001</v>
      </c>
      <c r="S1447">
        <v>-0.27888489999999999</v>
      </c>
      <c r="T1447">
        <v>-3.3317569999999998E-2</v>
      </c>
      <c r="U1447">
        <v>-3.109283</v>
      </c>
      <c r="V1447">
        <v>6.4786670000000005E-2</v>
      </c>
      <c r="W1447">
        <v>4.0171670000000003E-3</v>
      </c>
      <c r="X1447">
        <v>0.99789110000000003</v>
      </c>
      <c r="Y1447">
        <v>0.32995920000000001</v>
      </c>
      <c r="Z1447">
        <v>9.9061210000000004E-3</v>
      </c>
      <c r="AA1447">
        <v>0.94394319999999898</v>
      </c>
      <c r="AB1447">
        <v>21</v>
      </c>
      <c r="AC1447">
        <v>-8.5757000000000101</v>
      </c>
      <c r="AD1447">
        <v>-1.0194213999999999</v>
      </c>
      <c r="AE1447">
        <v>-94.881999999999906</v>
      </c>
      <c r="AF1447">
        <v>31.493074075252601</v>
      </c>
      <c r="AG1447">
        <v>-1.0194213999999999</v>
      </c>
      <c r="AH1447">
        <v>89.901305645232299</v>
      </c>
      <c r="AI1447">
        <v>90.6131391017461</v>
      </c>
      <c r="AJ1447">
        <v>70.694275200329599</v>
      </c>
      <c r="AK1447">
        <v>95.263307161874295</v>
      </c>
    </row>
    <row r="1448" spans="1:37" x14ac:dyDescent="0.2">
      <c r="A1448" t="str">
        <f>"20200111155819603"</f>
        <v>20200111155819603</v>
      </c>
      <c r="B1448" t="str">
        <f>"1578729499592809"</f>
        <v>1578729499592809</v>
      </c>
      <c r="C1448" t="s">
        <v>37</v>
      </c>
      <c r="D1448">
        <v>5.9256880000000001</v>
      </c>
      <c r="E1448">
        <v>0.59393999999999902</v>
      </c>
      <c r="F1448" t="s">
        <v>49</v>
      </c>
      <c r="G1448">
        <v>-200.05240000000001</v>
      </c>
      <c r="H1448" s="1">
        <v>2.3713519999999998E-6</v>
      </c>
      <c r="I1448">
        <v>283.11630000000002</v>
      </c>
      <c r="J1448">
        <v>-193.67959999999999</v>
      </c>
      <c r="K1448">
        <v>1.0997669999999999</v>
      </c>
      <c r="L1448">
        <v>350.39850000000001</v>
      </c>
      <c r="M1448">
        <v>0.23644279999999901</v>
      </c>
      <c r="N1448">
        <v>0</v>
      </c>
      <c r="O1448">
        <v>-0.97153709999999904</v>
      </c>
      <c r="P1448">
        <v>0.17391029999999999</v>
      </c>
      <c r="Q1448">
        <v>-1.150603E-2</v>
      </c>
      <c r="R1448">
        <v>-0.98469449999999903</v>
      </c>
      <c r="S1448">
        <v>-0.29119869999999998</v>
      </c>
      <c r="T1448">
        <v>-5.0561429999999997E-2</v>
      </c>
      <c r="U1448">
        <v>-3.1036069999999998</v>
      </c>
      <c r="V1448">
        <v>6.3899999999999998E-2</v>
      </c>
      <c r="W1448">
        <v>2.260031E-3</v>
      </c>
      <c r="X1448">
        <v>0.9979538</v>
      </c>
      <c r="Y1448">
        <v>0.32618809999999998</v>
      </c>
      <c r="Z1448">
        <v>1.5114829999999999E-2</v>
      </c>
      <c r="AA1448">
        <v>0.94518409999999997</v>
      </c>
      <c r="AB1448">
        <v>21</v>
      </c>
      <c r="AC1448">
        <v>-6.3728000000000096</v>
      </c>
      <c r="AD1448">
        <v>-1.0997646286479901</v>
      </c>
      <c r="AE1448">
        <v>-67.282199999999904</v>
      </c>
      <c r="AF1448">
        <v>22.096278255615701</v>
      </c>
      <c r="AG1448">
        <v>-1.0997646286479901</v>
      </c>
      <c r="AH1448">
        <v>63.850164447181903</v>
      </c>
      <c r="AI1448">
        <v>90.932522684101102</v>
      </c>
      <c r="AJ1448">
        <v>70.911077105495707</v>
      </c>
      <c r="AK1448">
        <v>67.574392301523503</v>
      </c>
    </row>
    <row r="1449" spans="1:37" x14ac:dyDescent="0.2">
      <c r="A1449" t="str">
        <f>"20200111155819625"</f>
        <v>20200111155819625</v>
      </c>
      <c r="B1449" t="str">
        <f>"1578729499622090"</f>
        <v>1578729499622090</v>
      </c>
      <c r="C1449" t="s">
        <v>37</v>
      </c>
      <c r="D1449">
        <v>5.9209050000000003</v>
      </c>
      <c r="E1449">
        <v>0.58958750000000004</v>
      </c>
      <c r="F1449" t="s">
        <v>39</v>
      </c>
      <c r="G1449">
        <v>-194.63329999999999</v>
      </c>
      <c r="H1449" s="1">
        <v>-4.0485229999999999E-6</v>
      </c>
      <c r="I1449">
        <v>336.46850000000001</v>
      </c>
      <c r="J1449">
        <v>-193.6388</v>
      </c>
      <c r="K1449">
        <v>1.1001780000000001</v>
      </c>
      <c r="L1449">
        <v>350.19139999999999</v>
      </c>
      <c r="M1449">
        <v>0.2289678</v>
      </c>
      <c r="N1449">
        <v>0</v>
      </c>
      <c r="O1449">
        <v>-0.97332689999999999</v>
      </c>
      <c r="P1449">
        <v>0.1665797</v>
      </c>
      <c r="Q1449">
        <v>-1.133166E-2</v>
      </c>
      <c r="R1449">
        <v>-0.98596280000000003</v>
      </c>
      <c r="S1449">
        <v>-0.2109222</v>
      </c>
      <c r="T1449">
        <v>-0.2432406</v>
      </c>
      <c r="U1449">
        <v>-3.0809630000000001</v>
      </c>
      <c r="V1449">
        <v>6.3652180000000003E-2</v>
      </c>
      <c r="W1449">
        <v>2.4212019999999999E-3</v>
      </c>
      <c r="X1449">
        <v>0.997969199999999</v>
      </c>
      <c r="Y1449">
        <v>0.29473529999999998</v>
      </c>
      <c r="Z1449">
        <v>7.3727829999999994E-2</v>
      </c>
      <c r="AA1449">
        <v>0.95273039999999998</v>
      </c>
      <c r="AB1449">
        <v>21</v>
      </c>
      <c r="AC1449">
        <v>-0.99449999999998795</v>
      </c>
      <c r="AD1449">
        <v>-1.1001820485230001</v>
      </c>
      <c r="AE1449">
        <v>-13.7228999999999</v>
      </c>
      <c r="AF1449">
        <v>4.0843893807158898</v>
      </c>
      <c r="AG1449">
        <v>-1.1001820485230001</v>
      </c>
      <c r="AH1449">
        <v>13.0471068809144</v>
      </c>
      <c r="AI1449">
        <v>94.600838077938505</v>
      </c>
      <c r="AJ1449">
        <v>72.617300510902595</v>
      </c>
      <c r="AK1449">
        <v>13.715671150738499</v>
      </c>
    </row>
    <row r="1450" spans="1:37" x14ac:dyDescent="0.2">
      <c r="A1450" t="str">
        <f>"20200111155819648"</f>
        <v>20200111155819648</v>
      </c>
      <c r="B1450" t="str">
        <f>"1578729499642586"</f>
        <v>1578729499642586</v>
      </c>
      <c r="C1450" t="s">
        <v>37</v>
      </c>
      <c r="D1450">
        <v>5.9236930000000001</v>
      </c>
      <c r="E1450">
        <v>0.58795310000000001</v>
      </c>
      <c r="F1450" t="s">
        <v>39</v>
      </c>
      <c r="G1450">
        <v>-194.5112</v>
      </c>
      <c r="H1450" s="1">
        <v>-4.115352E-6</v>
      </c>
      <c r="I1450">
        <v>336.7285</v>
      </c>
      <c r="J1450">
        <v>-193.59780000000001</v>
      </c>
      <c r="K1450">
        <v>1.100616</v>
      </c>
      <c r="L1450">
        <v>349.97879999999998</v>
      </c>
      <c r="M1450">
        <v>0.2219622</v>
      </c>
      <c r="N1450">
        <v>0</v>
      </c>
      <c r="O1450">
        <v>-0.97494979999999998</v>
      </c>
      <c r="P1450">
        <v>0.15927259999999999</v>
      </c>
      <c r="Q1450">
        <v>-1.042909E-2</v>
      </c>
      <c r="R1450">
        <v>-0.98717980000000005</v>
      </c>
      <c r="S1450">
        <v>-0.19917299999999999</v>
      </c>
      <c r="T1450">
        <v>-0.25115850000000001</v>
      </c>
      <c r="U1450">
        <v>-3.0734249999999999</v>
      </c>
      <c r="V1450">
        <v>6.3873669999999994E-2</v>
      </c>
      <c r="W1450">
        <v>3.3066850000000002E-3</v>
      </c>
      <c r="X1450">
        <v>0.99795249999999902</v>
      </c>
      <c r="Y1450">
        <v>0.2843658</v>
      </c>
      <c r="Z1450">
        <v>7.6633640000000003E-2</v>
      </c>
      <c r="AA1450">
        <v>0.9556481</v>
      </c>
      <c r="AB1450">
        <v>21</v>
      </c>
      <c r="AC1450">
        <v>-0.91339999999999499</v>
      </c>
      <c r="AD1450">
        <v>-1.1006201153520001</v>
      </c>
      <c r="AE1450">
        <v>-13.2502999999999</v>
      </c>
      <c r="AF1450">
        <v>3.80584437923534</v>
      </c>
      <c r="AG1450">
        <v>-1.1006201153520001</v>
      </c>
      <c r="AH1450">
        <v>12.630213678895601</v>
      </c>
      <c r="AI1450">
        <v>94.769493539143596</v>
      </c>
      <c r="AJ1450">
        <v>73.230944496942996</v>
      </c>
      <c r="AK1450">
        <v>13.2369979093386</v>
      </c>
    </row>
    <row r="1451" spans="1:37" x14ac:dyDescent="0.2">
      <c r="A1451" t="str">
        <f>"20200111155819670"</f>
        <v>20200111155819670</v>
      </c>
      <c r="B1451" t="str">
        <f>"1578729499662614"</f>
        <v>1578729499662614</v>
      </c>
      <c r="C1451" t="s">
        <v>37</v>
      </c>
      <c r="D1451">
        <v>5.9873059999999896</v>
      </c>
      <c r="E1451">
        <v>0.58624509999999996</v>
      </c>
      <c r="F1451" t="s">
        <v>39</v>
      </c>
      <c r="G1451">
        <v>-194.53149999999999</v>
      </c>
      <c r="H1451" s="1">
        <v>-3.9542670000000001E-6</v>
      </c>
      <c r="I1451">
        <v>336.24450000000002</v>
      </c>
      <c r="J1451">
        <v>-193.55690000000001</v>
      </c>
      <c r="K1451">
        <v>1.1010139999999999</v>
      </c>
      <c r="L1451">
        <v>349.76150000000001</v>
      </c>
      <c r="M1451">
        <v>0.2154288</v>
      </c>
      <c r="N1451">
        <v>0</v>
      </c>
      <c r="O1451">
        <v>-0.97641529999999999</v>
      </c>
      <c r="P1451">
        <v>0.1524953</v>
      </c>
      <c r="Q1451">
        <v>-1.1269700000000001E-2</v>
      </c>
      <c r="R1451">
        <v>-0.98823989999999995</v>
      </c>
      <c r="S1451">
        <v>-0.2087097</v>
      </c>
      <c r="T1451">
        <v>-0.24602370000000001</v>
      </c>
      <c r="U1451">
        <v>-3.0700379999999998</v>
      </c>
      <c r="V1451">
        <v>6.4025410000000005E-2</v>
      </c>
      <c r="W1451">
        <v>2.4474279999999902E-3</v>
      </c>
      <c r="X1451">
        <v>0.99794519999999998</v>
      </c>
      <c r="Y1451">
        <v>0.28097649999999902</v>
      </c>
      <c r="Z1451">
        <v>7.5366600000000006E-2</v>
      </c>
      <c r="AA1451">
        <v>0.95675080000000001</v>
      </c>
      <c r="AB1451">
        <v>21</v>
      </c>
      <c r="AC1451">
        <v>-0.97459999999998004</v>
      </c>
      <c r="AD1451">
        <v>-1.101017954267</v>
      </c>
      <c r="AE1451">
        <v>-13.5169999999999</v>
      </c>
      <c r="AF1451">
        <v>3.8386220089661598</v>
      </c>
      <c r="AG1451">
        <v>-1.101017954267</v>
      </c>
      <c r="AH1451">
        <v>12.9043957157145</v>
      </c>
      <c r="AI1451">
        <v>94.675225093457598</v>
      </c>
      <c r="AJ1451">
        <v>73.4340356622032</v>
      </c>
      <c r="AK1451">
        <v>13.508171166042001</v>
      </c>
    </row>
    <row r="1452" spans="1:37" x14ac:dyDescent="0.2">
      <c r="A1452" t="str">
        <f>"20200111155819714"</f>
        <v>20200111155819714</v>
      </c>
      <c r="B1452" t="str">
        <f>"1578729499702628"</f>
        <v>1578729499702628</v>
      </c>
      <c r="C1452" t="s">
        <v>37</v>
      </c>
      <c r="D1452">
        <v>5.7625310000000001</v>
      </c>
      <c r="E1452">
        <v>0.58812010000000003</v>
      </c>
      <c r="F1452" t="s">
        <v>39</v>
      </c>
      <c r="G1452">
        <v>-194.56479999999999</v>
      </c>
      <c r="H1452" s="1">
        <v>-3.698476E-6</v>
      </c>
      <c r="I1452">
        <v>335.47550000000001</v>
      </c>
      <c r="J1452">
        <v>-193.48140000000001</v>
      </c>
      <c r="K1452">
        <v>1.1015429999999999</v>
      </c>
      <c r="L1452">
        <v>349.34989999999999</v>
      </c>
      <c r="M1452">
        <v>0.20442959999999999</v>
      </c>
      <c r="N1452">
        <v>0</v>
      </c>
      <c r="O1452">
        <v>-0.97877930000000002</v>
      </c>
      <c r="P1452">
        <v>0.14551320000000001</v>
      </c>
      <c r="Q1452">
        <v>-1.7789010000000001E-2</v>
      </c>
      <c r="R1452">
        <v>-0.98919679999999999</v>
      </c>
      <c r="S1452">
        <v>-0.216354399999999</v>
      </c>
      <c r="T1452">
        <v>-0.236322899999999</v>
      </c>
      <c r="U1452">
        <v>-3.0663450000000001</v>
      </c>
      <c r="V1452">
        <v>5.9774880000000002E-2</v>
      </c>
      <c r="W1452">
        <v>-4.0894629999999998E-3</v>
      </c>
      <c r="X1452">
        <v>0.99820350000000002</v>
      </c>
      <c r="Y1452">
        <v>0.2726365</v>
      </c>
      <c r="Z1452">
        <v>7.2857480000000002E-2</v>
      </c>
      <c r="AA1452">
        <v>0.9593545</v>
      </c>
      <c r="AB1452">
        <v>21</v>
      </c>
      <c r="AC1452">
        <v>-1.0833999999999799</v>
      </c>
      <c r="AD1452">
        <v>-1.1015466984759901</v>
      </c>
      <c r="AE1452">
        <v>-13.8743999999999</v>
      </c>
      <c r="AF1452">
        <v>3.8728720766959799</v>
      </c>
      <c r="AG1452">
        <v>-1.1015466984759901</v>
      </c>
      <c r="AH1452">
        <v>13.2766486849915</v>
      </c>
      <c r="AI1452">
        <v>94.553946295511196</v>
      </c>
      <c r="AJ1452">
        <v>73.737742245540502</v>
      </c>
      <c r="AK1452">
        <v>13.8737862011803</v>
      </c>
    </row>
    <row r="1453" spans="1:37" x14ac:dyDescent="0.2">
      <c r="A1453" t="str">
        <f>"20200111155819736"</f>
        <v>20200111155819736</v>
      </c>
      <c r="B1453" t="str">
        <f>"1578729499732887"</f>
        <v>1578729499732887</v>
      </c>
      <c r="C1453" t="s">
        <v>37</v>
      </c>
      <c r="D1453">
        <v>6.0067440000000003</v>
      </c>
      <c r="E1453">
        <v>0.58088450000000003</v>
      </c>
      <c r="F1453" t="s">
        <v>39</v>
      </c>
      <c r="G1453">
        <v>-194.7509</v>
      </c>
      <c r="H1453" s="1">
        <v>-3.1784369999999999E-6</v>
      </c>
      <c r="I1453">
        <v>334.05149999999998</v>
      </c>
      <c r="J1453">
        <v>-193.44499999999999</v>
      </c>
      <c r="K1453">
        <v>1.101745</v>
      </c>
      <c r="L1453">
        <v>349.1456</v>
      </c>
      <c r="M1453">
        <v>0.19958619999999999</v>
      </c>
      <c r="N1453">
        <v>0</v>
      </c>
      <c r="O1453">
        <v>-0.97977919999999996</v>
      </c>
      <c r="P1453">
        <v>0.14590159999999999</v>
      </c>
      <c r="Q1453">
        <v>-1.9900149999999998E-2</v>
      </c>
      <c r="R1453">
        <v>-0.98909899999999995</v>
      </c>
      <c r="S1453">
        <v>-0.25444029999999901</v>
      </c>
      <c r="T1453">
        <v>-0.2207781</v>
      </c>
      <c r="U1453">
        <v>-3.0661930000000002</v>
      </c>
      <c r="V1453">
        <v>5.4426099999999998E-2</v>
      </c>
      <c r="W1453">
        <v>-6.1925579999999999E-3</v>
      </c>
      <c r="X1453">
        <v>0.99849859999999901</v>
      </c>
      <c r="Y1453">
        <v>0.2797502</v>
      </c>
      <c r="Z1453">
        <v>6.8095069999999994E-2</v>
      </c>
      <c r="AA1453">
        <v>0.95765489999999998</v>
      </c>
      <c r="AB1453">
        <v>21</v>
      </c>
      <c r="AC1453">
        <v>-1.3059000000000001</v>
      </c>
      <c r="AD1453">
        <v>-1.101748178437</v>
      </c>
      <c r="AE1453">
        <v>-15.094099999999999</v>
      </c>
      <c r="AF1453">
        <v>4.2699125001768499</v>
      </c>
      <c r="AG1453">
        <v>-1.101748178437</v>
      </c>
      <c r="AH1453">
        <v>14.4532522729035</v>
      </c>
      <c r="AI1453">
        <v>94.181163261166105</v>
      </c>
      <c r="AJ1453">
        <v>73.541321729925798</v>
      </c>
      <c r="AK1453">
        <v>15.1110060244858</v>
      </c>
    </row>
    <row r="1454" spans="1:37" x14ac:dyDescent="0.2">
      <c r="A1454" t="str">
        <f>"20200111155819759"</f>
        <v>20200111155819759</v>
      </c>
      <c r="B1454" t="str">
        <f>"1578729499752405"</f>
        <v>1578729499752405</v>
      </c>
      <c r="C1454" t="s">
        <v>37</v>
      </c>
      <c r="D1454">
        <v>5.9704280000000001</v>
      </c>
      <c r="E1454">
        <v>0.57727919999999999</v>
      </c>
      <c r="F1454" t="s">
        <v>39</v>
      </c>
      <c r="G1454">
        <v>-194.47470000000001</v>
      </c>
      <c r="H1454" s="1">
        <v>-2.728216E-6</v>
      </c>
      <c r="I1454">
        <v>333.17329999999998</v>
      </c>
      <c r="J1454">
        <v>-193.40710000000001</v>
      </c>
      <c r="K1454">
        <v>1.1019600000000001</v>
      </c>
      <c r="L1454">
        <v>348.92939999999999</v>
      </c>
      <c r="M1454">
        <v>0.194857</v>
      </c>
      <c r="N1454">
        <v>0</v>
      </c>
      <c r="O1454">
        <v>-0.98073159999999904</v>
      </c>
      <c r="P1454">
        <v>0.14980279999999899</v>
      </c>
      <c r="Q1454">
        <v>-2.1958200000000001E-2</v>
      </c>
      <c r="R1454">
        <v>-0.98847229999999997</v>
      </c>
      <c r="S1454">
        <v>-0.1971436</v>
      </c>
      <c r="T1454">
        <v>-0.21093110000000001</v>
      </c>
      <c r="U1454">
        <v>-3.057922</v>
      </c>
      <c r="V1454">
        <v>4.5651249999999997E-2</v>
      </c>
      <c r="W1454">
        <v>-8.2246590000000005E-3</v>
      </c>
      <c r="X1454">
        <v>0.99892359999999902</v>
      </c>
      <c r="Y1454">
        <v>0.25742609999999999</v>
      </c>
      <c r="Z1454">
        <v>6.5605540000000004E-2</v>
      </c>
      <c r="AA1454">
        <v>0.96406829999999999</v>
      </c>
      <c r="AB1454">
        <v>21</v>
      </c>
      <c r="AC1454">
        <v>-1.0675999999999899</v>
      </c>
      <c r="AD1454">
        <v>-1.1019627282160001</v>
      </c>
      <c r="AE1454">
        <v>-15.7561</v>
      </c>
      <c r="AF1454">
        <v>4.0976676768724802</v>
      </c>
      <c r="AG1454">
        <v>-1.1019627282160001</v>
      </c>
      <c r="AH1454">
        <v>15.1720979533702</v>
      </c>
      <c r="AI1454">
        <v>94.010932770487003</v>
      </c>
      <c r="AJ1454">
        <v>74.886196876759897</v>
      </c>
      <c r="AK1454">
        <v>15.7542933370915</v>
      </c>
    </row>
    <row r="1455" spans="1:37" x14ac:dyDescent="0.2">
      <c r="A1455" t="str">
        <f>"20200111155819781"</f>
        <v>20200111155819781</v>
      </c>
      <c r="B1455" t="str">
        <f>"1578729499772901"</f>
        <v>1578729499772901</v>
      </c>
      <c r="C1455" t="s">
        <v>37</v>
      </c>
      <c r="D1455">
        <v>6.014729</v>
      </c>
      <c r="E1455">
        <v>0.5742083</v>
      </c>
      <c r="F1455" t="s">
        <v>39</v>
      </c>
      <c r="G1455">
        <v>-194.18979999999999</v>
      </c>
      <c r="H1455" s="1">
        <v>-2.894323E-6</v>
      </c>
      <c r="I1455">
        <v>333.73719999999997</v>
      </c>
      <c r="J1455">
        <v>-193.37029999999999</v>
      </c>
      <c r="K1455">
        <v>1.102185</v>
      </c>
      <c r="L1455">
        <v>348.71609999999998</v>
      </c>
      <c r="M1455">
        <v>0.19055559999999999</v>
      </c>
      <c r="N1455">
        <v>0</v>
      </c>
      <c r="O1455">
        <v>-0.98157709999999998</v>
      </c>
      <c r="P1455">
        <v>0.15379660000000001</v>
      </c>
      <c r="Q1455">
        <v>-2.375238E-2</v>
      </c>
      <c r="R1455">
        <v>-0.98781699999999995</v>
      </c>
      <c r="S1455">
        <v>-0.15733339999999901</v>
      </c>
      <c r="T1455">
        <v>-0.22151599999999999</v>
      </c>
      <c r="U1455">
        <v>-3.053925</v>
      </c>
      <c r="V1455">
        <v>3.722164E-2</v>
      </c>
      <c r="W1455">
        <v>-9.9986180000000008E-3</v>
      </c>
      <c r="X1455">
        <v>0.99925699999999995</v>
      </c>
      <c r="Y1455">
        <v>0.24069579999999999</v>
      </c>
      <c r="Z1455">
        <v>6.9244849999999997E-2</v>
      </c>
      <c r="AA1455">
        <v>0.96812739999999997</v>
      </c>
      <c r="AB1455">
        <v>21</v>
      </c>
      <c r="AC1455">
        <v>-0.819500000000005</v>
      </c>
      <c r="AD1455">
        <v>-1.1021878943229999</v>
      </c>
      <c r="AE1455">
        <v>-14.978899999999999</v>
      </c>
      <c r="AF1455">
        <v>3.6394258635290302</v>
      </c>
      <c r="AG1455">
        <v>-1.1021878943229999</v>
      </c>
      <c r="AH1455">
        <v>14.470089895226</v>
      </c>
      <c r="AI1455">
        <v>94.224734306363004</v>
      </c>
      <c r="AJ1455">
        <v>75.882158657138305</v>
      </c>
      <c r="AK1455">
        <v>14.9614083677452</v>
      </c>
    </row>
    <row r="1456" spans="1:37" x14ac:dyDescent="0.2">
      <c r="A1456" t="str">
        <f>"20200111155819804"</f>
        <v>20200111155819804</v>
      </c>
      <c r="B1456" t="str">
        <f>"1578729499792420"</f>
        <v>1578729499792420</v>
      </c>
      <c r="C1456" t="s">
        <v>37</v>
      </c>
      <c r="D1456">
        <v>6.2164950000000001</v>
      </c>
      <c r="E1456">
        <v>0.57189919999999905</v>
      </c>
      <c r="F1456" t="s">
        <v>39</v>
      </c>
      <c r="G1456">
        <v>-193.99539999999999</v>
      </c>
      <c r="H1456" s="1">
        <v>-2.5330120000000001E-6</v>
      </c>
      <c r="I1456">
        <v>333.01560000000001</v>
      </c>
      <c r="J1456">
        <v>-193.33609999999999</v>
      </c>
      <c r="K1456">
        <v>1.1024129999999901</v>
      </c>
      <c r="L1456">
        <v>348.51490000000001</v>
      </c>
      <c r="M1456">
        <v>0.18682950000000001</v>
      </c>
      <c r="N1456">
        <v>0</v>
      </c>
      <c r="O1456">
        <v>-0.98229390000000005</v>
      </c>
      <c r="P1456">
        <v>0.15877260000000001</v>
      </c>
      <c r="Q1456">
        <v>-2.5008559999999999E-2</v>
      </c>
      <c r="R1456">
        <v>-0.98699869999999901</v>
      </c>
      <c r="S1456">
        <v>-0.121459999999999</v>
      </c>
      <c r="T1456">
        <v>-0.2141671</v>
      </c>
      <c r="U1456">
        <v>-3.0507810000000002</v>
      </c>
      <c r="V1456">
        <v>2.838856E-2</v>
      </c>
      <c r="W1456">
        <v>-1.1234549999999999E-2</v>
      </c>
      <c r="X1456">
        <v>0.99953380000000003</v>
      </c>
      <c r="Y1456">
        <v>0.22568270000000001</v>
      </c>
      <c r="Z1456">
        <v>6.7247539999999995E-2</v>
      </c>
      <c r="AA1456">
        <v>0.97187710000000005</v>
      </c>
      <c r="AB1456">
        <v>21</v>
      </c>
      <c r="AC1456">
        <v>-0.659300000000001</v>
      </c>
      <c r="AD1456">
        <v>-1.10241553301199</v>
      </c>
      <c r="AE1456">
        <v>-15.4993</v>
      </c>
      <c r="AF1456">
        <v>3.5258902510123602</v>
      </c>
      <c r="AG1456">
        <v>-1.10241553301199</v>
      </c>
      <c r="AH1456">
        <v>15.027265998352201</v>
      </c>
      <c r="AI1456">
        <v>94.085207411725406</v>
      </c>
      <c r="AJ1456">
        <v>76.795385652256698</v>
      </c>
      <c r="AK1456">
        <v>15.474687249015499</v>
      </c>
    </row>
    <row r="1457" spans="1:37" x14ac:dyDescent="0.2">
      <c r="A1457" t="str">
        <f>"20200111155819826"</f>
        <v>20200111155819826</v>
      </c>
      <c r="B1457" t="str">
        <f>"1578729499822677"</f>
        <v>1578729499822677</v>
      </c>
      <c r="C1457" t="s">
        <v>37</v>
      </c>
      <c r="D1457">
        <v>6.1647059999999998</v>
      </c>
      <c r="E1457">
        <v>0.5689784</v>
      </c>
      <c r="F1457" t="s">
        <v>39</v>
      </c>
      <c r="G1457">
        <v>-193.80590000000001</v>
      </c>
      <c r="H1457" s="1">
        <v>-2.167861E-6</v>
      </c>
      <c r="I1457">
        <v>332.28199999999998</v>
      </c>
      <c r="J1457">
        <v>-193.3013</v>
      </c>
      <c r="K1457">
        <v>1.1026670000000001</v>
      </c>
      <c r="L1457">
        <v>348.30869999999999</v>
      </c>
      <c r="M1457">
        <v>0.1833642</v>
      </c>
      <c r="N1457">
        <v>0</v>
      </c>
      <c r="O1457">
        <v>-0.98294709999999996</v>
      </c>
      <c r="P1457">
        <v>0.16297700000000001</v>
      </c>
      <c r="Q1457">
        <v>-2.5621959999999999E-2</v>
      </c>
      <c r="R1457">
        <v>-0.98629719999999999</v>
      </c>
      <c r="S1457">
        <v>-8.8226319999999997E-2</v>
      </c>
      <c r="T1457">
        <v>-0.2070321</v>
      </c>
      <c r="U1457">
        <v>-3.0485229999999999</v>
      </c>
      <c r="V1457">
        <v>2.060673E-2</v>
      </c>
      <c r="W1457">
        <v>-1.1839189999999999E-2</v>
      </c>
      <c r="X1457">
        <v>0.99971749999999904</v>
      </c>
      <c r="Y1457">
        <v>0.21167559999999999</v>
      </c>
      <c r="Z1457">
        <v>6.5250970000000005E-2</v>
      </c>
      <c r="AA1457">
        <v>0.97515929999999995</v>
      </c>
      <c r="AB1457">
        <v>21</v>
      </c>
      <c r="AC1457">
        <v>-0.50460000000001004</v>
      </c>
      <c r="AD1457">
        <v>-1.1026691678610001</v>
      </c>
      <c r="AE1457">
        <v>-16.026700000000002</v>
      </c>
      <c r="AF1457">
        <v>3.4188809026005802</v>
      </c>
      <c r="AG1457">
        <v>-1.1026691678610001</v>
      </c>
      <c r="AH1457">
        <v>15.588661600449599</v>
      </c>
      <c r="AI1457">
        <v>93.952463721665197</v>
      </c>
      <c r="AJ1457">
        <v>77.629834661893199</v>
      </c>
      <c r="AK1457">
        <v>15.9972183961228</v>
      </c>
    </row>
    <row r="1458" spans="1:37" x14ac:dyDescent="0.2">
      <c r="A1458" t="str">
        <f>"20200111155819850"</f>
        <v>20200111155819850</v>
      </c>
      <c r="B1458" t="str">
        <f>"1578729499842197"</f>
        <v>1578729499842197</v>
      </c>
      <c r="C1458" t="s">
        <v>37</v>
      </c>
      <c r="D1458">
        <v>5.9299269999999904</v>
      </c>
      <c r="E1458">
        <v>0.56787589999999999</v>
      </c>
      <c r="F1458" t="s">
        <v>39</v>
      </c>
      <c r="G1458">
        <v>-193.5865</v>
      </c>
      <c r="H1458" s="1">
        <v>-1.862295E-6</v>
      </c>
      <c r="I1458">
        <v>331.70569999999998</v>
      </c>
      <c r="J1458">
        <v>-193.26419999999999</v>
      </c>
      <c r="K1458">
        <v>1.10293</v>
      </c>
      <c r="L1458">
        <v>348.08640000000003</v>
      </c>
      <c r="M1458">
        <v>0.18006749999999999</v>
      </c>
      <c r="N1458">
        <v>0</v>
      </c>
      <c r="O1458">
        <v>-0.98355720000000002</v>
      </c>
      <c r="P1458">
        <v>0.16693540000000001</v>
      </c>
      <c r="Q1458">
        <v>-2.6211209999999999E-2</v>
      </c>
      <c r="R1458">
        <v>-0.98561969999999999</v>
      </c>
      <c r="S1458">
        <v>-5.230713E-2</v>
      </c>
      <c r="T1458">
        <v>-0.202235</v>
      </c>
      <c r="U1458">
        <v>-3.0450740000000001</v>
      </c>
      <c r="V1458">
        <v>1.3245099999999999E-2</v>
      </c>
      <c r="W1458">
        <v>-1.2430129999999999E-2</v>
      </c>
      <c r="X1458">
        <v>0.99983500000000003</v>
      </c>
      <c r="Y1458">
        <v>0.1969127</v>
      </c>
      <c r="Z1458">
        <v>6.3989519999999994E-2</v>
      </c>
      <c r="AA1458">
        <v>0.97833060000000005</v>
      </c>
      <c r="AB1458">
        <v>21</v>
      </c>
      <c r="AC1458">
        <v>-0.32230000000001202</v>
      </c>
      <c r="AD1458">
        <v>-1.102931862295</v>
      </c>
      <c r="AE1458">
        <v>-16.380700000000001</v>
      </c>
      <c r="AF1458">
        <v>3.2522059456657102</v>
      </c>
      <c r="AG1458">
        <v>-1.102931862295</v>
      </c>
      <c r="AH1458">
        <v>15.982424331626101</v>
      </c>
      <c r="AI1458">
        <v>93.868635253494205</v>
      </c>
      <c r="AJ1458">
        <v>78.498124007355102</v>
      </c>
      <c r="AK1458">
        <v>16.3472073982696</v>
      </c>
    </row>
    <row r="1459" spans="1:37" x14ac:dyDescent="0.2">
      <c r="A1459" t="str">
        <f>"20200111155819893"</f>
        <v>20200111155819893</v>
      </c>
      <c r="B1459" t="str">
        <f>"1578729499882213"</f>
        <v>1578729499882213</v>
      </c>
      <c r="C1459" t="s">
        <v>37</v>
      </c>
      <c r="D1459">
        <v>5.9401080000000004</v>
      </c>
      <c r="E1459">
        <v>0.56691510000000001</v>
      </c>
      <c r="F1459" t="s">
        <v>39</v>
      </c>
      <c r="G1459">
        <v>-193.4281</v>
      </c>
      <c r="H1459" s="1">
        <v>-1.9461279999999998E-6</v>
      </c>
      <c r="I1459">
        <v>331.99939999999998</v>
      </c>
      <c r="J1459">
        <v>-193.19640000000001</v>
      </c>
      <c r="K1459">
        <v>1.1032819999999901</v>
      </c>
      <c r="L1459">
        <v>347.67720000000003</v>
      </c>
      <c r="M1459">
        <v>0.1749125</v>
      </c>
      <c r="N1459">
        <v>0</v>
      </c>
      <c r="O1459">
        <v>-0.98448799999999903</v>
      </c>
      <c r="P1459">
        <v>0.17310599999999901</v>
      </c>
      <c r="Q1459">
        <v>-2.733416E-2</v>
      </c>
      <c r="R1459">
        <v>-0.98452419999999996</v>
      </c>
      <c r="S1459">
        <v>-3.1021119999999999E-2</v>
      </c>
      <c r="T1459">
        <v>-0.20866299999999999</v>
      </c>
      <c r="U1459">
        <v>-3.043488</v>
      </c>
      <c r="V1459">
        <v>1.7483049999999999E-3</v>
      </c>
      <c r="W1459">
        <v>-1.357628E-2</v>
      </c>
      <c r="X1459">
        <v>0.99990630000000003</v>
      </c>
      <c r="Y1459">
        <v>0.1849286</v>
      </c>
      <c r="Z1459">
        <v>6.6227019999999998E-2</v>
      </c>
      <c r="AA1459">
        <v>0.98051790000000005</v>
      </c>
      <c r="AB1459">
        <v>21</v>
      </c>
      <c r="AC1459">
        <v>-0.231699999999989</v>
      </c>
      <c r="AD1459">
        <v>-1.103283946128</v>
      </c>
      <c r="AE1459">
        <v>-15.6778</v>
      </c>
      <c r="AF1459">
        <v>2.9559941070053499</v>
      </c>
      <c r="AG1459">
        <v>-1.103283946128</v>
      </c>
      <c r="AH1459">
        <v>15.3196830026732</v>
      </c>
      <c r="AI1459">
        <v>94.044827893827502</v>
      </c>
      <c r="AJ1459">
        <v>79.078767190583804</v>
      </c>
      <c r="AK1459">
        <v>15.641221944874699</v>
      </c>
    </row>
    <row r="1460" spans="1:37" x14ac:dyDescent="0.2">
      <c r="A1460" t="str">
        <f>"20200111155819915"</f>
        <v>20200111155819915</v>
      </c>
      <c r="B1460" t="str">
        <f>"1578729499912470"</f>
        <v>1578729499912470</v>
      </c>
      <c r="C1460" t="s">
        <v>37</v>
      </c>
      <c r="D1460">
        <v>9.1930019999999999</v>
      </c>
      <c r="E1460">
        <v>0.56531450000000005</v>
      </c>
      <c r="F1460" t="s">
        <v>39</v>
      </c>
      <c r="G1460">
        <v>-193.2165</v>
      </c>
      <c r="H1460" s="1">
        <v>-1.9913739999999998E-6</v>
      </c>
      <c r="I1460">
        <v>332.23610000000002</v>
      </c>
      <c r="J1460">
        <v>-193.16460000000001</v>
      </c>
      <c r="K1460">
        <v>1.1033949999999999</v>
      </c>
      <c r="L1460">
        <v>347.48340000000002</v>
      </c>
      <c r="M1460">
        <v>0.17287159999999999</v>
      </c>
      <c r="N1460">
        <v>0</v>
      </c>
      <c r="O1460">
        <v>-0.98484859999999896</v>
      </c>
      <c r="P1460">
        <v>0.174293</v>
      </c>
      <c r="Q1460">
        <v>-2.8181290000000001E-2</v>
      </c>
      <c r="R1460">
        <v>-0.98429049999999996</v>
      </c>
      <c r="S1460">
        <v>-3.952026E-3</v>
      </c>
      <c r="T1460">
        <v>-0.21734049999999999</v>
      </c>
      <c r="U1460">
        <v>-3.0418090000000002</v>
      </c>
      <c r="V1460">
        <v>-1.5317429999999999E-3</v>
      </c>
      <c r="W1460">
        <v>-1.444193E-2</v>
      </c>
      <c r="X1460">
        <v>0.99989459999999997</v>
      </c>
      <c r="Y1460">
        <v>0.17416089999999901</v>
      </c>
      <c r="Z1460">
        <v>6.9116209999999997E-2</v>
      </c>
      <c r="AA1460">
        <v>0.98228859999999996</v>
      </c>
      <c r="AB1460">
        <v>21</v>
      </c>
      <c r="AC1460">
        <v>-5.1899999999989101E-2</v>
      </c>
      <c r="AD1460">
        <v>-1.103396991374</v>
      </c>
      <c r="AE1460">
        <v>-15.2472999999999</v>
      </c>
      <c r="AF1460">
        <v>2.6731930708508398</v>
      </c>
      <c r="AG1460">
        <v>-1.103396991374</v>
      </c>
      <c r="AH1460">
        <v>14.9305363147223</v>
      </c>
      <c r="AI1460">
        <v>94.160667917827496</v>
      </c>
      <c r="AJ1460">
        <v>79.849201943436995</v>
      </c>
      <c r="AK1460">
        <v>15.208036058606</v>
      </c>
    </row>
    <row r="1461" spans="1:37" x14ac:dyDescent="0.2">
      <c r="A1461" t="str">
        <f>"20200111155819938"</f>
        <v>20200111155819938</v>
      </c>
      <c r="B1461" t="str">
        <f>"1578729499932966"</f>
        <v>1578729499932966</v>
      </c>
      <c r="C1461" t="s">
        <v>37</v>
      </c>
      <c r="D1461">
        <v>6.1486339999999897</v>
      </c>
      <c r="E1461">
        <v>0.51938019999999996</v>
      </c>
      <c r="F1461" t="s">
        <v>39</v>
      </c>
      <c r="G1461">
        <v>-193.10210000000001</v>
      </c>
      <c r="H1461" s="1">
        <v>-1.886284E-6</v>
      </c>
      <c r="I1461">
        <v>332.06209999999999</v>
      </c>
      <c r="J1461">
        <v>-193.12870000000001</v>
      </c>
      <c r="K1461">
        <v>1.1035159999999999</v>
      </c>
      <c r="L1461">
        <v>347.26299999999998</v>
      </c>
      <c r="M1461">
        <v>0.1708192</v>
      </c>
      <c r="N1461">
        <v>0</v>
      </c>
      <c r="O1461">
        <v>-0.98520730000000001</v>
      </c>
      <c r="P1461">
        <v>0.17573440000000001</v>
      </c>
      <c r="Q1461">
        <v>-2.7717800000000001E-2</v>
      </c>
      <c r="R1461">
        <v>-0.98404769999999897</v>
      </c>
      <c r="S1461">
        <v>1.23290999999999E-2</v>
      </c>
      <c r="T1461">
        <v>-0.21747349999999999</v>
      </c>
      <c r="U1461">
        <v>-3.0394589999999999</v>
      </c>
      <c r="V1461">
        <v>-5.0709470000000001E-3</v>
      </c>
      <c r="W1461">
        <v>-1.399864E-2</v>
      </c>
      <c r="X1461">
        <v>0.99988909999999998</v>
      </c>
      <c r="Y1461">
        <v>0.16684399999999999</v>
      </c>
      <c r="Z1461">
        <v>6.9295019999999999E-2</v>
      </c>
      <c r="AA1461">
        <v>0.98354519999999901</v>
      </c>
      <c r="AB1461">
        <v>21</v>
      </c>
      <c r="AC1461">
        <v>2.66000000000019E-2</v>
      </c>
      <c r="AD1461">
        <v>-1.103517886284</v>
      </c>
      <c r="AE1461">
        <v>-15.200900000000001</v>
      </c>
      <c r="AF1461">
        <v>2.5571634079509402</v>
      </c>
      <c r="AG1461">
        <v>-1.103517886284</v>
      </c>
      <c r="AH1461">
        <v>14.903442516457501</v>
      </c>
      <c r="AI1461">
        <v>94.173934152518598</v>
      </c>
      <c r="AJ1461">
        <v>80.263878335681696</v>
      </c>
      <c r="AK1461">
        <v>15.1614456850811</v>
      </c>
    </row>
    <row r="1462" spans="1:37" x14ac:dyDescent="0.2">
      <c r="A1462" t="str">
        <f>"20200111155819962"</f>
        <v>20200111155819962</v>
      </c>
      <c r="B1462" t="str">
        <f>"1578729499952484"</f>
        <v>1578729499952484</v>
      </c>
      <c r="C1462" t="s">
        <v>37</v>
      </c>
      <c r="D1462">
        <v>6.1008949999999897</v>
      </c>
      <c r="E1462">
        <v>0.5202196</v>
      </c>
      <c r="F1462" t="s">
        <v>39</v>
      </c>
      <c r="G1462">
        <v>-190.4768</v>
      </c>
      <c r="H1462" s="1">
        <v>-2.9952600000000001E-6</v>
      </c>
      <c r="I1462">
        <v>326.27539999999999</v>
      </c>
      <c r="J1462">
        <v>-193.09399999999999</v>
      </c>
      <c r="K1462">
        <v>1.103623</v>
      </c>
      <c r="L1462">
        <v>347.04919999999998</v>
      </c>
      <c r="M1462">
        <v>0.16902679999999901</v>
      </c>
      <c r="N1462">
        <v>0</v>
      </c>
      <c r="O1462">
        <v>-0.98551650000000002</v>
      </c>
      <c r="P1462">
        <v>0.1765012</v>
      </c>
      <c r="Q1462">
        <v>-2.6263809999999999E-2</v>
      </c>
      <c r="R1462">
        <v>-0.98395010000000005</v>
      </c>
      <c r="S1462">
        <v>0.37617489999999998</v>
      </c>
      <c r="T1462">
        <v>-0.1565337</v>
      </c>
      <c r="U1462">
        <v>-2.9770810000000001</v>
      </c>
      <c r="V1462">
        <v>-7.6552429999999999E-3</v>
      </c>
      <c r="W1462">
        <v>-1.256414E-2</v>
      </c>
      <c r="X1462">
        <v>0.9998918</v>
      </c>
      <c r="Y1462">
        <v>4.431939E-2</v>
      </c>
      <c r="Z1462">
        <v>5.1149899999999998E-2</v>
      </c>
      <c r="AA1462">
        <v>0.99770709999999996</v>
      </c>
      <c r="AB1462">
        <v>21</v>
      </c>
      <c r="AC1462">
        <v>2.61720000000002</v>
      </c>
      <c r="AD1462">
        <v>-1.10362599526</v>
      </c>
      <c r="AE1462">
        <v>-20.773799999999898</v>
      </c>
      <c r="AF1462">
        <v>0.92953988740666504</v>
      </c>
      <c r="AG1462">
        <v>-1.10362599526</v>
      </c>
      <c r="AH1462">
        <v>20.859304672189001</v>
      </c>
      <c r="AI1462">
        <v>93.025589460971105</v>
      </c>
      <c r="AJ1462">
        <v>87.448452792238399</v>
      </c>
      <c r="AK1462">
        <v>20.909151731882901</v>
      </c>
    </row>
    <row r="1463" spans="1:37" x14ac:dyDescent="0.2">
      <c r="A1463" t="str">
        <f>"20200111155819982"</f>
        <v>20200111155819982</v>
      </c>
      <c r="B1463" t="str">
        <f>"1578729499972004"</f>
        <v>1578729499972004</v>
      </c>
      <c r="C1463" t="s">
        <v>37</v>
      </c>
      <c r="D1463">
        <v>6.203322</v>
      </c>
      <c r="E1463">
        <v>0.52060050000000002</v>
      </c>
      <c r="F1463" t="s">
        <v>38</v>
      </c>
      <c r="G1463">
        <v>-192.99940000000001</v>
      </c>
      <c r="H1463">
        <v>1.047885</v>
      </c>
      <c r="I1463">
        <v>346.2928</v>
      </c>
      <c r="J1463">
        <v>-193.06309999999999</v>
      </c>
      <c r="K1463">
        <v>1.103693</v>
      </c>
      <c r="L1463">
        <v>346.85750000000002</v>
      </c>
      <c r="M1463">
        <v>0.1675249</v>
      </c>
      <c r="N1463">
        <v>0</v>
      </c>
      <c r="O1463">
        <v>-0.98577329999999996</v>
      </c>
      <c r="P1463">
        <v>0.17418310000000001</v>
      </c>
      <c r="Q1463">
        <v>-2.5006999999999901E-2</v>
      </c>
      <c r="R1463">
        <v>-0.98439619999999906</v>
      </c>
      <c r="S1463">
        <v>0.37263489999999999</v>
      </c>
      <c r="T1463">
        <v>-0.21936</v>
      </c>
      <c r="U1463">
        <v>-2.9761959999999998</v>
      </c>
      <c r="V1463">
        <v>-6.814769E-3</v>
      </c>
      <c r="W1463">
        <v>-1.1327449999999999E-2</v>
      </c>
      <c r="X1463">
        <v>0.99991260000000004</v>
      </c>
      <c r="Y1463">
        <v>4.4087099999999997E-2</v>
      </c>
      <c r="Z1463">
        <v>7.1640860000000001E-2</v>
      </c>
      <c r="AA1463">
        <v>0.99645569999999895</v>
      </c>
      <c r="AB1463">
        <v>21</v>
      </c>
      <c r="AC1463">
        <v>6.3699999999982895E-2</v>
      </c>
      <c r="AD1463">
        <v>-5.5808000000000003E-2</v>
      </c>
      <c r="AE1463">
        <v>-0.56470000000001597</v>
      </c>
      <c r="AF1463">
        <v>3.1506660455115798E-2</v>
      </c>
      <c r="AG1463">
        <v>-5.5808000000000003E-2</v>
      </c>
      <c r="AH1463">
        <v>0.56197064974955002</v>
      </c>
      <c r="AI1463">
        <v>95.662481670912598</v>
      </c>
      <c r="AJ1463">
        <v>86.7910942681861</v>
      </c>
      <c r="AK1463">
        <v>0.56561313076781095</v>
      </c>
    </row>
    <row r="1464" spans="1:37" x14ac:dyDescent="0.2">
      <c r="A1464" t="str">
        <f>"20200111155820005"</f>
        <v>20200111155820005</v>
      </c>
      <c r="B1464" t="str">
        <f>"1578729499992501"</f>
        <v>1578729499992501</v>
      </c>
      <c r="C1464" t="s">
        <v>37</v>
      </c>
      <c r="D1464">
        <v>6.124625</v>
      </c>
      <c r="E1464">
        <v>0.52166179999999995</v>
      </c>
      <c r="F1464" t="s">
        <v>38</v>
      </c>
      <c r="G1464">
        <v>-192.9725</v>
      </c>
      <c r="H1464">
        <v>1.0427389999999901</v>
      </c>
      <c r="I1464">
        <v>346.11309999999997</v>
      </c>
      <c r="J1464">
        <v>-193.03049999999999</v>
      </c>
      <c r="K1464">
        <v>1.103723</v>
      </c>
      <c r="L1464">
        <v>346.6542</v>
      </c>
      <c r="M1464">
        <v>0.16599049999999901</v>
      </c>
      <c r="N1464">
        <v>0</v>
      </c>
      <c r="O1464">
        <v>-0.98603289999999999</v>
      </c>
      <c r="P1464">
        <v>0.17293410000000001</v>
      </c>
      <c r="Q1464">
        <v>-2.3247690000000001E-2</v>
      </c>
      <c r="R1464">
        <v>-0.98465949999999902</v>
      </c>
      <c r="S1464">
        <v>0.36264039999999997</v>
      </c>
      <c r="T1464">
        <v>-0.2439238</v>
      </c>
      <c r="U1464">
        <v>-2.9772340000000002</v>
      </c>
      <c r="V1464">
        <v>-7.0909629999999996E-3</v>
      </c>
      <c r="W1464">
        <v>-9.5841229999999999E-3</v>
      </c>
      <c r="X1464">
        <v>0.99992899999999996</v>
      </c>
      <c r="Y1464">
        <v>4.5944020000000002E-2</v>
      </c>
      <c r="Z1464">
        <v>7.9630060000000003E-2</v>
      </c>
      <c r="AA1464">
        <v>0.99576509999999996</v>
      </c>
      <c r="AB1464">
        <v>21</v>
      </c>
      <c r="AC1464">
        <v>5.7999999999992703E-2</v>
      </c>
      <c r="AD1464">
        <v>-6.0984000000000101E-2</v>
      </c>
      <c r="AE1464">
        <v>-0.541100000000028</v>
      </c>
      <c r="AF1464">
        <v>3.2225902485126003E-2</v>
      </c>
      <c r="AG1464">
        <v>-6.0984000000000101E-2</v>
      </c>
      <c r="AH1464">
        <v>0.53648336859651702</v>
      </c>
      <c r="AI1464">
        <v>96.473611013570405</v>
      </c>
      <c r="AJ1464">
        <v>86.562442874974295</v>
      </c>
      <c r="AK1464">
        <v>0.54089921596139001</v>
      </c>
    </row>
    <row r="1465" spans="1:37" x14ac:dyDescent="0.2">
      <c r="A1465" t="str">
        <f>"20200111155820027"</f>
        <v>20200111155820027</v>
      </c>
      <c r="B1465" t="str">
        <f>"1578729500022757"</f>
        <v>1578729500022757</v>
      </c>
      <c r="C1465" t="s">
        <v>37</v>
      </c>
      <c r="D1465">
        <v>6.1899089999999903</v>
      </c>
      <c r="E1465">
        <v>0.52269319999999997</v>
      </c>
      <c r="F1465" t="s">
        <v>38</v>
      </c>
      <c r="G1465">
        <v>-192.9453</v>
      </c>
      <c r="H1465">
        <v>1.0426359999999999</v>
      </c>
      <c r="I1465">
        <v>345.92910000000001</v>
      </c>
      <c r="J1465">
        <v>-192.99799999999999</v>
      </c>
      <c r="K1465">
        <v>1.1037139999999901</v>
      </c>
      <c r="L1465">
        <v>346.44990000000001</v>
      </c>
      <c r="M1465">
        <v>0.16447809999999999</v>
      </c>
      <c r="N1465">
        <v>0</v>
      </c>
      <c r="O1465">
        <v>-0.98628680000000002</v>
      </c>
      <c r="P1465">
        <v>0.1709966</v>
      </c>
      <c r="Q1465">
        <v>-2.1914579999999999E-2</v>
      </c>
      <c r="R1465">
        <v>-0.98502819999999902</v>
      </c>
      <c r="S1465">
        <v>0.350296</v>
      </c>
      <c r="T1465">
        <v>-0.2510271</v>
      </c>
      <c r="U1465">
        <v>-2.9793090000000002</v>
      </c>
      <c r="V1465">
        <v>-6.65095099999999E-3</v>
      </c>
      <c r="W1465">
        <v>-8.2649799999999999E-3</v>
      </c>
      <c r="X1465">
        <v>0.99994369999999999</v>
      </c>
      <c r="Y1465">
        <v>4.8584330000000002E-2</v>
      </c>
      <c r="Z1465">
        <v>8.192294E-2</v>
      </c>
      <c r="AA1465">
        <v>0.99545380000000006</v>
      </c>
      <c r="AB1465">
        <v>21</v>
      </c>
      <c r="AC1465">
        <v>5.2699999999987299E-2</v>
      </c>
      <c r="AD1465">
        <v>-6.1077999999999702E-2</v>
      </c>
      <c r="AE1465">
        <v>-0.52080000000000803</v>
      </c>
      <c r="AF1465">
        <v>3.3233541582445E-2</v>
      </c>
      <c r="AG1465">
        <v>-6.1077999999999702E-2</v>
      </c>
      <c r="AH1465">
        <v>0.51535819204429201</v>
      </c>
      <c r="AI1465">
        <v>96.745037301553793</v>
      </c>
      <c r="AJ1465">
        <v>86.310316164896193</v>
      </c>
      <c r="AK1465">
        <v>0.52002793816993398</v>
      </c>
    </row>
    <row r="1466" spans="1:37" x14ac:dyDescent="0.2">
      <c r="A1466" t="str">
        <f>"20200111155820051"</f>
        <v>20200111155820051</v>
      </c>
      <c r="B1466" t="str">
        <f>"1578729500042277"</f>
        <v>1578729500042277</v>
      </c>
      <c r="C1466" t="s">
        <v>37</v>
      </c>
      <c r="D1466">
        <v>6.1875970000000002</v>
      </c>
      <c r="E1466">
        <v>0.52285700000000002</v>
      </c>
      <c r="F1466" t="s">
        <v>38</v>
      </c>
      <c r="G1466">
        <v>-192.89859999999999</v>
      </c>
      <c r="H1466">
        <v>1.027296</v>
      </c>
      <c r="I1466">
        <v>345.5684</v>
      </c>
      <c r="J1466">
        <v>-192.96420000000001</v>
      </c>
      <c r="K1466">
        <v>1.1036699999999999</v>
      </c>
      <c r="L1466">
        <v>346.2355</v>
      </c>
      <c r="M1466">
        <v>0.16288859999999999</v>
      </c>
      <c r="N1466">
        <v>0</v>
      </c>
      <c r="O1466">
        <v>-0.9865507</v>
      </c>
      <c r="P1466">
        <v>0.1677351</v>
      </c>
      <c r="Q1466">
        <v>-1.9511069999999998E-2</v>
      </c>
      <c r="R1466">
        <v>-0.98563940000000005</v>
      </c>
      <c r="S1466">
        <v>0.33604429999999902</v>
      </c>
      <c r="T1466">
        <v>-0.25847379999999998</v>
      </c>
      <c r="U1466">
        <v>-2.9814759999999998</v>
      </c>
      <c r="V1466">
        <v>-4.9407069999999999E-3</v>
      </c>
      <c r="W1466">
        <v>-5.8752209999999999E-3</v>
      </c>
      <c r="X1466">
        <v>0.99997060000000004</v>
      </c>
      <c r="Y1466">
        <v>5.1777209999999997E-2</v>
      </c>
      <c r="Z1466">
        <v>8.4324609999999994E-2</v>
      </c>
      <c r="AA1466">
        <v>0.99509219999999898</v>
      </c>
      <c r="AB1466">
        <v>21</v>
      </c>
      <c r="AC1466">
        <v>6.5600000000017603E-2</v>
      </c>
      <c r="AD1466">
        <v>-7.6374000000000095E-2</v>
      </c>
      <c r="AE1466">
        <v>-0.66710000000000402</v>
      </c>
      <c r="AF1466">
        <v>4.3386102088676597E-2</v>
      </c>
      <c r="AG1466">
        <v>-7.6374000000000095E-2</v>
      </c>
      <c r="AH1466">
        <v>0.66030351853414804</v>
      </c>
      <c r="AI1466">
        <v>96.583725702413503</v>
      </c>
      <c r="AJ1466">
        <v>86.240710037435093</v>
      </c>
      <c r="AK1466">
        <v>0.66612016807706997</v>
      </c>
    </row>
    <row r="1467" spans="1:37" x14ac:dyDescent="0.2">
      <c r="A1467" t="str">
        <f>"20200111155820074"</f>
        <v>20200111155820074</v>
      </c>
      <c r="B1467" t="str">
        <f>"1578729500062773"</f>
        <v>1578729500062773</v>
      </c>
      <c r="C1467" t="s">
        <v>37</v>
      </c>
      <c r="D1467">
        <v>6.1980230000000001</v>
      </c>
      <c r="E1467">
        <v>0.52311579999999902</v>
      </c>
      <c r="F1467" t="s">
        <v>38</v>
      </c>
      <c r="G1467">
        <v>-192.8716</v>
      </c>
      <c r="H1467">
        <v>1.0310159999999999</v>
      </c>
      <c r="I1467">
        <v>345.38310000000001</v>
      </c>
      <c r="J1467">
        <v>-192.93090000000001</v>
      </c>
      <c r="K1467">
        <v>1.1036189999999999</v>
      </c>
      <c r="L1467">
        <v>346.02120000000002</v>
      </c>
      <c r="M1467">
        <v>0.1612672</v>
      </c>
      <c r="N1467">
        <v>0</v>
      </c>
      <c r="O1467">
        <v>-0.98681700000000006</v>
      </c>
      <c r="P1467">
        <v>0.16384489999999999</v>
      </c>
      <c r="Q1467">
        <v>-1.8614809999999999E-2</v>
      </c>
      <c r="R1467">
        <v>-0.98631059999999904</v>
      </c>
      <c r="S1467">
        <v>0.32472230000000002</v>
      </c>
      <c r="T1467">
        <v>-0.25441079999999999</v>
      </c>
      <c r="U1467">
        <v>-2.98339799999999</v>
      </c>
      <c r="V1467">
        <v>-2.635269E-3</v>
      </c>
      <c r="W1467">
        <v>-4.99253299999999E-3</v>
      </c>
      <c r="X1467">
        <v>0.99998410000000004</v>
      </c>
      <c r="Y1467">
        <v>5.3925639999999997E-2</v>
      </c>
      <c r="Z1467">
        <v>8.3001580000000005E-2</v>
      </c>
      <c r="AA1467">
        <v>0.99508940000000001</v>
      </c>
      <c r="AB1467">
        <v>21</v>
      </c>
      <c r="AC1467">
        <v>5.9300000000007402E-2</v>
      </c>
      <c r="AD1467">
        <v>-7.2603000000000195E-2</v>
      </c>
      <c r="AE1467">
        <v>-0.63810000000000799</v>
      </c>
      <c r="AF1467">
        <v>4.38279277880173E-2</v>
      </c>
      <c r="AG1467">
        <v>-7.2603000000000195E-2</v>
      </c>
      <c r="AH1467">
        <v>0.63120865873576104</v>
      </c>
      <c r="AI1467">
        <v>96.545827833302198</v>
      </c>
      <c r="AJ1467">
        <v>86.028046693413302</v>
      </c>
      <c r="AK1467">
        <v>0.636880250695679</v>
      </c>
    </row>
    <row r="1468" spans="1:37" x14ac:dyDescent="0.2">
      <c r="A1468" t="str">
        <f>"20200111155820094"</f>
        <v>20200111155820094</v>
      </c>
      <c r="B1468" t="str">
        <f>"1578729500082293"</f>
        <v>1578729500082293</v>
      </c>
      <c r="C1468" t="s">
        <v>37</v>
      </c>
      <c r="D1468">
        <v>6.2346110000000001</v>
      </c>
      <c r="E1468">
        <v>0.5230998</v>
      </c>
      <c r="F1468" t="s">
        <v>38</v>
      </c>
      <c r="G1468">
        <v>-192.84540000000001</v>
      </c>
      <c r="H1468">
        <v>1.0331049999999999</v>
      </c>
      <c r="I1468">
        <v>345.19869999999997</v>
      </c>
      <c r="J1468">
        <v>-192.9024</v>
      </c>
      <c r="K1468">
        <v>1.103569</v>
      </c>
      <c r="L1468">
        <v>345.83620000000002</v>
      </c>
      <c r="M1468">
        <v>0.1598234</v>
      </c>
      <c r="N1468">
        <v>0</v>
      </c>
      <c r="O1468">
        <v>-0.98705200000000004</v>
      </c>
      <c r="P1468">
        <v>0.16107460000000001</v>
      </c>
      <c r="Q1468">
        <v>-1.9322559999999999E-2</v>
      </c>
      <c r="R1468">
        <v>-0.98675349999999995</v>
      </c>
      <c r="S1468">
        <v>0.31071470000000001</v>
      </c>
      <c r="T1468">
        <v>-0.25605479999999903</v>
      </c>
      <c r="U1468">
        <v>-2.9852289999999999</v>
      </c>
      <c r="V1468">
        <v>-1.294417E-3</v>
      </c>
      <c r="W1468">
        <v>-5.7103090000000002E-3</v>
      </c>
      <c r="X1468">
        <v>0.99998279999999995</v>
      </c>
      <c r="Y1468">
        <v>5.7151559999999997E-2</v>
      </c>
      <c r="Z1468">
        <v>8.3526000000000003E-2</v>
      </c>
      <c r="AA1468">
        <v>0.99486540000000001</v>
      </c>
      <c r="AB1468">
        <v>21</v>
      </c>
      <c r="AC1468">
        <v>5.6999999999987901E-2</v>
      </c>
      <c r="AD1468">
        <v>-7.0463999999999999E-2</v>
      </c>
      <c r="AE1468">
        <v>-0.63750000000004503</v>
      </c>
      <c r="AF1468">
        <v>4.5083244726087199E-2</v>
      </c>
      <c r="AG1468">
        <v>-7.0463999999999999E-2</v>
      </c>
      <c r="AH1468">
        <v>0.630769423622485</v>
      </c>
      <c r="AI1468">
        <v>96.358066023937596</v>
      </c>
      <c r="AJ1468">
        <v>85.911826928387597</v>
      </c>
      <c r="AK1468">
        <v>0.63629218133501797</v>
      </c>
    </row>
    <row r="1469" spans="1:37" x14ac:dyDescent="0.2">
      <c r="A1469" t="str">
        <f>"20200111155820116"</f>
        <v>20200111155820116</v>
      </c>
      <c r="B1469" t="str">
        <f>"1578729500112550"</f>
        <v>1578729500112550</v>
      </c>
      <c r="C1469" t="s">
        <v>37</v>
      </c>
      <c r="D1469">
        <v>6.115685</v>
      </c>
      <c r="E1469">
        <v>0.52289620000000003</v>
      </c>
      <c r="F1469" t="s">
        <v>38</v>
      </c>
      <c r="G1469">
        <v>-192.81960000000001</v>
      </c>
      <c r="H1469">
        <v>1.0314559999999999</v>
      </c>
      <c r="I1469">
        <v>345.01639999999998</v>
      </c>
      <c r="J1469">
        <v>-192.8716</v>
      </c>
      <c r="K1469">
        <v>1.1035239999999999</v>
      </c>
      <c r="L1469">
        <v>345.63389999999998</v>
      </c>
      <c r="M1469">
        <v>0.15819800000000001</v>
      </c>
      <c r="N1469">
        <v>0</v>
      </c>
      <c r="O1469">
        <v>-0.98731389999999997</v>
      </c>
      <c r="P1469">
        <v>0.15928290000000001</v>
      </c>
      <c r="Q1469">
        <v>-2.2318020000000001E-2</v>
      </c>
      <c r="R1469">
        <v>-0.98698109999999994</v>
      </c>
      <c r="S1469">
        <v>0.30235289999999998</v>
      </c>
      <c r="T1469">
        <v>-0.26277410000000001</v>
      </c>
      <c r="U1469">
        <v>-2.985779</v>
      </c>
      <c r="V1469">
        <v>-1.1422839999999999E-3</v>
      </c>
      <c r="W1469">
        <v>-8.7137180000000005E-3</v>
      </c>
      <c r="X1469">
        <v>0.9999614</v>
      </c>
      <c r="Y1469">
        <v>5.8302550000000002E-2</v>
      </c>
      <c r="Z1469">
        <v>8.5729120000000006E-2</v>
      </c>
      <c r="AA1469">
        <v>0.99461109999999897</v>
      </c>
      <c r="AB1469">
        <v>21</v>
      </c>
      <c r="AC1469">
        <v>5.1999999999992497E-2</v>
      </c>
      <c r="AD1469">
        <v>-7.2067999999999993E-2</v>
      </c>
      <c r="AE1469">
        <v>-0.61750000000000604</v>
      </c>
      <c r="AF1469">
        <v>4.5732680495196597E-2</v>
      </c>
      <c r="AG1469">
        <v>-7.2067999999999993E-2</v>
      </c>
      <c r="AH1469">
        <v>0.60970335587365398</v>
      </c>
      <c r="AI1469">
        <v>96.722471090420797</v>
      </c>
      <c r="AJ1469">
        <v>85.710386086667597</v>
      </c>
      <c r="AK1469">
        <v>0.61564880967388502</v>
      </c>
    </row>
    <row r="1470" spans="1:37" x14ac:dyDescent="0.2">
      <c r="A1470" t="str">
        <f>"20200111155820138"</f>
        <v>20200111155820138</v>
      </c>
      <c r="B1470" t="str">
        <f>"1578729500132069"</f>
        <v>1578729500132069</v>
      </c>
      <c r="C1470" t="s">
        <v>37</v>
      </c>
      <c r="D1470">
        <v>6.1882710000000003</v>
      </c>
      <c r="E1470">
        <v>0.52275340000000003</v>
      </c>
      <c r="F1470" t="s">
        <v>38</v>
      </c>
      <c r="G1470">
        <v>-192.79169999999999</v>
      </c>
      <c r="H1470">
        <v>1.0301929999999999</v>
      </c>
      <c r="I1470">
        <v>344.83440000000002</v>
      </c>
      <c r="J1470">
        <v>-192.8398</v>
      </c>
      <c r="K1470">
        <v>1.1034919999999999</v>
      </c>
      <c r="L1470">
        <v>345.4221</v>
      </c>
      <c r="M1470">
        <v>0.1564567</v>
      </c>
      <c r="N1470">
        <v>0</v>
      </c>
      <c r="O1470">
        <v>-0.98759129999999995</v>
      </c>
      <c r="P1470">
        <v>0.15847700000000001</v>
      </c>
      <c r="Q1470">
        <v>-2.496278E-2</v>
      </c>
      <c r="R1470">
        <v>-0.98704709999999996</v>
      </c>
      <c r="S1470">
        <v>0.29866029999999999</v>
      </c>
      <c r="T1470">
        <v>-0.27386840000000001</v>
      </c>
      <c r="U1470">
        <v>-2.9851679999999998</v>
      </c>
      <c r="V1470">
        <v>-2.1054009999999998E-3</v>
      </c>
      <c r="W1470">
        <v>-1.136359E-2</v>
      </c>
      <c r="X1470">
        <v>0.99993319999999997</v>
      </c>
      <c r="Y1470">
        <v>5.7771929999999999E-2</v>
      </c>
      <c r="Z1470">
        <v>8.9382009999999998E-2</v>
      </c>
      <c r="AA1470">
        <v>0.99432049999999905</v>
      </c>
      <c r="AB1470">
        <v>21</v>
      </c>
      <c r="AC1470">
        <v>4.8100000000005097E-2</v>
      </c>
      <c r="AD1470">
        <v>-7.3298999999999698E-2</v>
      </c>
      <c r="AE1470">
        <v>-0.58769999999998301</v>
      </c>
      <c r="AF1470">
        <v>4.3774167466315399E-2</v>
      </c>
      <c r="AG1470">
        <v>-7.3298999999999698E-2</v>
      </c>
      <c r="AH1470">
        <v>0.57903994741815301</v>
      </c>
      <c r="AI1470">
        <v>97.194222805743706</v>
      </c>
      <c r="AJ1470">
        <v>85.676786264667399</v>
      </c>
      <c r="AK1470">
        <v>0.58530007845923504</v>
      </c>
    </row>
    <row r="1471" spans="1:37" x14ac:dyDescent="0.2">
      <c r="A1471" t="str">
        <f>"20200111155820161"</f>
        <v>20200111155820161</v>
      </c>
      <c r="B1471" t="str">
        <f>"1578729500152565"</f>
        <v>1578729500152565</v>
      </c>
      <c r="C1471" t="s">
        <v>37</v>
      </c>
      <c r="D1471">
        <v>6.1671149999999999</v>
      </c>
      <c r="E1471">
        <v>0.52260470000000003</v>
      </c>
      <c r="F1471" t="s">
        <v>38</v>
      </c>
      <c r="G1471">
        <v>-192.76310000000001</v>
      </c>
      <c r="H1471">
        <v>1.029836</v>
      </c>
      <c r="I1471">
        <v>344.65230000000003</v>
      </c>
      <c r="J1471">
        <v>-192.80930000000001</v>
      </c>
      <c r="K1471">
        <v>1.1034740000000001</v>
      </c>
      <c r="L1471">
        <v>345.21699999999998</v>
      </c>
      <c r="M1471">
        <v>0.15474859999999999</v>
      </c>
      <c r="N1471">
        <v>0</v>
      </c>
      <c r="O1471">
        <v>-0.98786039999999997</v>
      </c>
      <c r="P1471">
        <v>0.15877149999999901</v>
      </c>
      <c r="Q1471">
        <v>-2.4751519999999999E-2</v>
      </c>
      <c r="R1471">
        <v>-0.98700540000000003</v>
      </c>
      <c r="S1471">
        <v>0.29747009999999902</v>
      </c>
      <c r="T1471">
        <v>-0.28564669999999998</v>
      </c>
      <c r="U1471">
        <v>-2.9843139999999999</v>
      </c>
      <c r="V1471">
        <v>-4.1318279999999997E-3</v>
      </c>
      <c r="W1471">
        <v>-1.115361E-2</v>
      </c>
      <c r="X1471">
        <v>0.99992919999999996</v>
      </c>
      <c r="Y1471">
        <v>5.6445429999999998E-2</v>
      </c>
      <c r="Z1471">
        <v>9.3262280000000003E-2</v>
      </c>
      <c r="AA1471">
        <v>0.99404029999999999</v>
      </c>
      <c r="AB1471">
        <v>21</v>
      </c>
      <c r="AC1471">
        <v>4.6199999999998902E-2</v>
      </c>
      <c r="AD1471">
        <v>-7.3637999999999995E-2</v>
      </c>
      <c r="AE1471">
        <v>-0.56469999999995901</v>
      </c>
      <c r="AF1471">
        <v>4.1057708872917001E-2</v>
      </c>
      <c r="AG1471">
        <v>-7.3637999999999995E-2</v>
      </c>
      <c r="AH1471">
        <v>0.55566033767113898</v>
      </c>
      <c r="AI1471">
        <v>97.5287555506861</v>
      </c>
      <c r="AJ1471">
        <v>85.774097890419796</v>
      </c>
      <c r="AK1471">
        <v>0.56202019657900004</v>
      </c>
    </row>
    <row r="1472" spans="1:37" x14ac:dyDescent="0.2">
      <c r="A1472" t="str">
        <f>"20200111155820183"</f>
        <v>20200111155820183</v>
      </c>
      <c r="B1472" t="str">
        <f>"1578729500172084"</f>
        <v>1578729500172084</v>
      </c>
      <c r="C1472" t="s">
        <v>37</v>
      </c>
      <c r="D1472">
        <v>6.2179589999999996</v>
      </c>
      <c r="E1472">
        <v>0.52244380000000001</v>
      </c>
      <c r="F1472" t="s">
        <v>38</v>
      </c>
      <c r="G1472">
        <v>-192.73419999999999</v>
      </c>
      <c r="H1472">
        <v>1.0318229999999999</v>
      </c>
      <c r="I1472">
        <v>344.46949999999998</v>
      </c>
      <c r="J1472">
        <v>-192.7807</v>
      </c>
      <c r="K1472">
        <v>1.103475</v>
      </c>
      <c r="L1472">
        <v>345.02179999999998</v>
      </c>
      <c r="M1472">
        <v>0.15311559999999999</v>
      </c>
      <c r="N1472">
        <v>0</v>
      </c>
      <c r="O1472">
        <v>-0.98811519999999997</v>
      </c>
      <c r="P1472">
        <v>0.15832349999999901</v>
      </c>
      <c r="Q1472">
        <v>-2.1830019999999999E-2</v>
      </c>
      <c r="R1472">
        <v>-0.98714629999999903</v>
      </c>
      <c r="S1472">
        <v>0.29980469999999998</v>
      </c>
      <c r="T1472">
        <v>-0.2860026</v>
      </c>
      <c r="U1472">
        <v>-2.9841000000000002</v>
      </c>
      <c r="V1472">
        <v>-5.3139700000000003E-3</v>
      </c>
      <c r="W1472">
        <v>-8.2337739999999993E-3</v>
      </c>
      <c r="X1472">
        <v>0.99995199999999995</v>
      </c>
      <c r="Y1472">
        <v>5.4019449999999997E-2</v>
      </c>
      <c r="Z1472">
        <v>9.3422989999999997E-2</v>
      </c>
      <c r="AA1472">
        <v>0.99416000000000004</v>
      </c>
      <c r="AB1472">
        <v>21</v>
      </c>
      <c r="AC1472">
        <v>4.6500000000008798E-2</v>
      </c>
      <c r="AD1472">
        <v>-7.1651999999999993E-2</v>
      </c>
      <c r="AE1472">
        <v>-0.55230000000000201</v>
      </c>
      <c r="AF1472">
        <v>3.7987086281191698E-2</v>
      </c>
      <c r="AG1472">
        <v>-7.1651999999999993E-2</v>
      </c>
      <c r="AH1472">
        <v>0.54381825053708199</v>
      </c>
      <c r="AI1472">
        <v>97.487861795147097</v>
      </c>
      <c r="AJ1472">
        <v>86.004234764644906</v>
      </c>
      <c r="AK1472">
        <v>0.54983208113509197</v>
      </c>
    </row>
    <row r="1473" spans="1:37" x14ac:dyDescent="0.2">
      <c r="A1473" t="str">
        <f>"20200111155820206"</f>
        <v>20200111155820206</v>
      </c>
      <c r="B1473" t="str">
        <f>"1578729500202341"</f>
        <v>1578729500202341</v>
      </c>
      <c r="C1473" t="s">
        <v>37</v>
      </c>
      <c r="D1473">
        <v>6.1697360000000003</v>
      </c>
      <c r="E1473">
        <v>0.52267699999999995</v>
      </c>
      <c r="F1473" t="s">
        <v>38</v>
      </c>
      <c r="G1473">
        <v>-192.70679999999999</v>
      </c>
      <c r="H1473">
        <v>1.034708</v>
      </c>
      <c r="I1473">
        <v>344.286</v>
      </c>
      <c r="J1473">
        <v>-192.7517</v>
      </c>
      <c r="K1473">
        <v>1.1034870000000001</v>
      </c>
      <c r="L1473">
        <v>344.82199999999898</v>
      </c>
      <c r="M1473">
        <v>0.15144260000000001</v>
      </c>
      <c r="N1473">
        <v>0</v>
      </c>
      <c r="O1473">
        <v>-0.988372899999999</v>
      </c>
      <c r="P1473">
        <v>0.15632399999999999</v>
      </c>
      <c r="Q1473">
        <v>-1.7714690000000002E-2</v>
      </c>
      <c r="R1473">
        <v>-0.98754730000000002</v>
      </c>
      <c r="S1473">
        <v>0.30030820000000003</v>
      </c>
      <c r="T1473">
        <v>-0.27913169999999998</v>
      </c>
      <c r="U1473">
        <v>-2.98468</v>
      </c>
      <c r="V1473">
        <v>-4.9598229999999899E-3</v>
      </c>
      <c r="W1473">
        <v>-4.123079E-3</v>
      </c>
      <c r="X1473">
        <v>0.99997919999999996</v>
      </c>
      <c r="Y1473">
        <v>5.2161319999999997E-2</v>
      </c>
      <c r="Z1473">
        <v>9.1220090000000004E-2</v>
      </c>
      <c r="AA1473">
        <v>0.99446369999999895</v>
      </c>
      <c r="AB1473">
        <v>21</v>
      </c>
      <c r="AC1473">
        <v>4.4900000000012603E-2</v>
      </c>
      <c r="AD1473">
        <v>-6.8779000000000104E-2</v>
      </c>
      <c r="AE1473">
        <v>-0.53599999999994397</v>
      </c>
      <c r="AF1473">
        <v>3.6206662365695502E-2</v>
      </c>
      <c r="AG1473">
        <v>-6.8779000000000104E-2</v>
      </c>
      <c r="AH1473">
        <v>0.52798397377623496</v>
      </c>
      <c r="AI1473">
        <v>97.404770617053799</v>
      </c>
      <c r="AJ1473">
        <v>86.077066010478902</v>
      </c>
      <c r="AK1473">
        <v>0.53367457294235798</v>
      </c>
    </row>
    <row r="1474" spans="1:37" x14ac:dyDescent="0.2">
      <c r="A1474" t="str">
        <f>"20200111155820228"</f>
        <v>20200111155820228</v>
      </c>
      <c r="B1474" t="str">
        <f>"1578729500222837"</f>
        <v>1578729500222837</v>
      </c>
      <c r="C1474" t="s">
        <v>37</v>
      </c>
      <c r="D1474">
        <v>6.1553969999999998</v>
      </c>
      <c r="E1474">
        <v>0.52248409999999901</v>
      </c>
      <c r="F1474" t="s">
        <v>38</v>
      </c>
      <c r="G1474">
        <v>-192.68090000000001</v>
      </c>
      <c r="H1474">
        <v>1.04091</v>
      </c>
      <c r="I1474">
        <v>344.101</v>
      </c>
      <c r="J1474">
        <v>-192.72139999999999</v>
      </c>
      <c r="K1474">
        <v>1.1035010000000001</v>
      </c>
      <c r="L1474">
        <v>344.60980000000001</v>
      </c>
      <c r="M1474">
        <v>0.14966789999999999</v>
      </c>
      <c r="N1474">
        <v>0</v>
      </c>
      <c r="O1474">
        <v>-0.9886433</v>
      </c>
      <c r="P1474">
        <v>0.15255750000000001</v>
      </c>
      <c r="Q1474">
        <v>-1.37089E-2</v>
      </c>
      <c r="R1474">
        <v>-0.98819979999999996</v>
      </c>
      <c r="S1474">
        <v>0.2933655</v>
      </c>
      <c r="T1474">
        <v>-0.2592161</v>
      </c>
      <c r="U1474">
        <v>-2.986755</v>
      </c>
      <c r="V1474">
        <v>-2.9237870000000002E-3</v>
      </c>
      <c r="W1474">
        <v>-1.258687E-4</v>
      </c>
      <c r="X1474">
        <v>0.99999570000000004</v>
      </c>
      <c r="Y1474">
        <v>5.2669639999999997E-2</v>
      </c>
      <c r="Z1474">
        <v>8.4746539999999995E-2</v>
      </c>
      <c r="AA1474">
        <v>0.99500949999999899</v>
      </c>
      <c r="AB1474">
        <v>21</v>
      </c>
      <c r="AC1474">
        <v>4.0499999999980198E-2</v>
      </c>
      <c r="AD1474">
        <v>-6.2590999999999994E-2</v>
      </c>
      <c r="AE1474">
        <v>-0.50880000000000702</v>
      </c>
      <c r="AF1474">
        <v>3.55792589845082E-2</v>
      </c>
      <c r="AG1474">
        <v>-6.2590999999999994E-2</v>
      </c>
      <c r="AH1474">
        <v>0.50158728071520098</v>
      </c>
      <c r="AI1474">
        <v>97.095290117842794</v>
      </c>
      <c r="AJ1474">
        <v>85.942615091219807</v>
      </c>
      <c r="AK1474">
        <v>0.50672805046312197</v>
      </c>
    </row>
    <row r="1475" spans="1:37" x14ac:dyDescent="0.2">
      <c r="A1475" t="str">
        <f>"20200111155820251"</f>
        <v>20200111155820251</v>
      </c>
      <c r="B1475" t="str">
        <f>"1578729500242357"</f>
        <v>1578729500242357</v>
      </c>
      <c r="C1475" t="s">
        <v>37</v>
      </c>
      <c r="D1475">
        <v>6.1514600000000002</v>
      </c>
      <c r="E1475">
        <v>0.52231679999999903</v>
      </c>
      <c r="F1475" t="s">
        <v>38</v>
      </c>
      <c r="G1475">
        <v>-192.6388</v>
      </c>
      <c r="H1475">
        <v>1.0325469999999899</v>
      </c>
      <c r="I1475">
        <v>343.74059999999997</v>
      </c>
      <c r="J1475">
        <v>-192.6925</v>
      </c>
      <c r="K1475">
        <v>1.10351</v>
      </c>
      <c r="L1475">
        <v>344.40499999999997</v>
      </c>
      <c r="M1475">
        <v>0.1479589</v>
      </c>
      <c r="N1475">
        <v>0</v>
      </c>
      <c r="O1475">
        <v>-0.98890049999999996</v>
      </c>
      <c r="P1475">
        <v>0.14785479999999901</v>
      </c>
      <c r="Q1475">
        <v>-1.041567E-2</v>
      </c>
      <c r="R1475">
        <v>-0.98895419999999901</v>
      </c>
      <c r="S1475">
        <v>0.28421020000000002</v>
      </c>
      <c r="T1475">
        <v>-0.24396880000000001</v>
      </c>
      <c r="U1475">
        <v>-2.9885860000000002</v>
      </c>
      <c r="V1475">
        <v>1.18310499999999E-4</v>
      </c>
      <c r="W1475">
        <v>3.156482E-3</v>
      </c>
      <c r="X1475">
        <v>0.99999499999999997</v>
      </c>
      <c r="Y1475">
        <v>5.3983469999999999E-2</v>
      </c>
      <c r="Z1475">
        <v>7.9786759999999998E-2</v>
      </c>
      <c r="AA1475">
        <v>0.99534909999999999</v>
      </c>
      <c r="AB1475">
        <v>20</v>
      </c>
      <c r="AC1475">
        <v>5.3699999999991997E-2</v>
      </c>
      <c r="AD1475">
        <v>-7.0963000000000095E-2</v>
      </c>
      <c r="AE1475">
        <v>-0.66439999999999999</v>
      </c>
      <c r="AF1475">
        <v>4.4697500468388301E-2</v>
      </c>
      <c r="AG1475">
        <v>-7.0963000000000095E-2</v>
      </c>
      <c r="AH1475">
        <v>0.657579166610058</v>
      </c>
      <c r="AI1475">
        <v>96.145196950956503</v>
      </c>
      <c r="AJ1475">
        <v>86.111426585376407</v>
      </c>
      <c r="AK1475">
        <v>0.66290570541872695</v>
      </c>
    </row>
    <row r="1476" spans="1:37" x14ac:dyDescent="0.2">
      <c r="A1476" t="str">
        <f>"20200111155820272"</f>
        <v>20200111155820272</v>
      </c>
      <c r="B1476" t="str">
        <f>"1578729500262852"</f>
        <v>1578729500262852</v>
      </c>
      <c r="C1476" t="s">
        <v>37</v>
      </c>
      <c r="D1476">
        <v>6.0607540000000002</v>
      </c>
      <c r="E1476">
        <v>0.52228399999999997</v>
      </c>
      <c r="F1476" t="s">
        <v>38</v>
      </c>
      <c r="G1476">
        <v>-192.6156</v>
      </c>
      <c r="H1476">
        <v>1.0363690000000001</v>
      </c>
      <c r="I1476">
        <v>343.55709999999999</v>
      </c>
      <c r="J1476">
        <v>-192.6651</v>
      </c>
      <c r="K1476">
        <v>1.1035200000000001</v>
      </c>
      <c r="L1476">
        <v>344.20850000000002</v>
      </c>
      <c r="M1476">
        <v>0.146320799999999</v>
      </c>
      <c r="N1476">
        <v>0</v>
      </c>
      <c r="O1476">
        <v>-0.98914419999999903</v>
      </c>
      <c r="P1476">
        <v>0.14274210000000001</v>
      </c>
      <c r="Q1476">
        <v>-8.7054460000000004E-3</v>
      </c>
      <c r="R1476">
        <v>-0.98972179999999998</v>
      </c>
      <c r="S1476">
        <v>0.27159119999999998</v>
      </c>
      <c r="T1476">
        <v>-0.23688979999999901</v>
      </c>
      <c r="U1476">
        <v>-2.9903869999999899</v>
      </c>
      <c r="V1476">
        <v>3.636125E-3</v>
      </c>
      <c r="W1476">
        <v>4.8549629999999899E-3</v>
      </c>
      <c r="X1476">
        <v>0.99998159999999903</v>
      </c>
      <c r="Y1476">
        <v>5.6533399999999998E-2</v>
      </c>
      <c r="Z1476">
        <v>7.7477909999999997E-2</v>
      </c>
      <c r="AA1476">
        <v>0.99538989999999905</v>
      </c>
      <c r="AB1476">
        <v>20</v>
      </c>
      <c r="AC1476">
        <v>4.9499999999994701E-2</v>
      </c>
      <c r="AD1476">
        <v>-6.7150999999999905E-2</v>
      </c>
      <c r="AE1476">
        <v>-0.65140000000002296</v>
      </c>
      <c r="AF1476">
        <v>4.5870331549743203E-2</v>
      </c>
      <c r="AG1476">
        <v>-6.7150999999999905E-2</v>
      </c>
      <c r="AH1476">
        <v>0.64481823449682496</v>
      </c>
      <c r="AI1476">
        <v>95.930439754989393</v>
      </c>
      <c r="AJ1476">
        <v>85.931013698704405</v>
      </c>
      <c r="AK1476">
        <v>0.64992607245523404</v>
      </c>
    </row>
    <row r="1477" spans="1:37" x14ac:dyDescent="0.2">
      <c r="A1477" t="str">
        <f>"20200111155820295"</f>
        <v>20200111155820295</v>
      </c>
      <c r="B1477" t="str">
        <f>"1578729500292133"</f>
        <v>1578729500292133</v>
      </c>
      <c r="C1477" t="s">
        <v>37</v>
      </c>
      <c r="D1477">
        <v>6.0409050000000004</v>
      </c>
      <c r="E1477">
        <v>0.52212099999999995</v>
      </c>
      <c r="F1477" t="s">
        <v>38</v>
      </c>
      <c r="G1477">
        <v>-192.59370000000001</v>
      </c>
      <c r="H1477">
        <v>1.038648</v>
      </c>
      <c r="I1477">
        <v>343.37450000000001</v>
      </c>
      <c r="J1477">
        <v>-192.63759999999999</v>
      </c>
      <c r="K1477">
        <v>1.103523</v>
      </c>
      <c r="L1477">
        <v>344.00810000000001</v>
      </c>
      <c r="M1477">
        <v>0.14465149999999999</v>
      </c>
      <c r="N1477">
        <v>0</v>
      </c>
      <c r="O1477">
        <v>-0.98938999999999999</v>
      </c>
      <c r="P1477">
        <v>0.13718320000000001</v>
      </c>
      <c r="Q1477">
        <v>-8.6482650000000005E-3</v>
      </c>
      <c r="R1477">
        <v>-0.99050819999999995</v>
      </c>
      <c r="S1477">
        <v>0.25633240000000002</v>
      </c>
      <c r="T1477">
        <v>-0.23272680000000001</v>
      </c>
      <c r="U1477">
        <v>-2.9921259999999998</v>
      </c>
      <c r="V1477">
        <v>7.5629479999999999E-3</v>
      </c>
      <c r="W1477">
        <v>4.8988310000000002E-3</v>
      </c>
      <c r="X1477">
        <v>0.99995940000000005</v>
      </c>
      <c r="Y1477">
        <v>5.9928219999999997E-2</v>
      </c>
      <c r="Z1477">
        <v>7.6118099999999994E-2</v>
      </c>
      <c r="AA1477">
        <v>0.99529619999999996</v>
      </c>
      <c r="AB1477">
        <v>20</v>
      </c>
      <c r="AC1477">
        <v>4.38999999999794E-2</v>
      </c>
      <c r="AD1477">
        <v>-6.4875000000000002E-2</v>
      </c>
      <c r="AE1477">
        <v>-0.63360000000000105</v>
      </c>
      <c r="AF1477">
        <v>4.7723451578358597E-2</v>
      </c>
      <c r="AG1477">
        <v>-6.4875000000000002E-2</v>
      </c>
      <c r="AH1477">
        <v>0.62674639419521705</v>
      </c>
      <c r="AI1477">
        <v>95.892745766266202</v>
      </c>
      <c r="AJ1477">
        <v>85.645629429345107</v>
      </c>
      <c r="AK1477">
        <v>0.63189978326650698</v>
      </c>
    </row>
    <row r="1478" spans="1:37" x14ac:dyDescent="0.2">
      <c r="A1478" t="str">
        <f>"20200111155820317"</f>
        <v>20200111155820317</v>
      </c>
      <c r="B1478" t="str">
        <f>"1578729500312629"</f>
        <v>1578729500312629</v>
      </c>
      <c r="C1478" t="s">
        <v>37</v>
      </c>
      <c r="D1478">
        <v>6.1454079999999998</v>
      </c>
      <c r="E1478">
        <v>0.52213160000000003</v>
      </c>
      <c r="F1478" t="s">
        <v>38</v>
      </c>
      <c r="G1478">
        <v>-192.57210000000001</v>
      </c>
      <c r="H1478">
        <v>1.039733</v>
      </c>
      <c r="I1478">
        <v>343.1927</v>
      </c>
      <c r="J1478">
        <v>-192.6096</v>
      </c>
      <c r="K1478">
        <v>1.1035219999999999</v>
      </c>
      <c r="L1478">
        <v>343.801999999999</v>
      </c>
      <c r="M1478">
        <v>0.1429349</v>
      </c>
      <c r="N1478">
        <v>0</v>
      </c>
      <c r="O1478">
        <v>-0.98963909999999999</v>
      </c>
      <c r="P1478">
        <v>0.13130229999999901</v>
      </c>
      <c r="Q1478">
        <v>-9.6577319999999901E-3</v>
      </c>
      <c r="R1478">
        <v>-0.99129529999999999</v>
      </c>
      <c r="S1478">
        <v>0.2405853</v>
      </c>
      <c r="T1478">
        <v>-0.2342226</v>
      </c>
      <c r="U1478">
        <v>-2.9934080000000001</v>
      </c>
      <c r="V1478">
        <v>1.1758970000000001E-2</v>
      </c>
      <c r="W1478">
        <v>3.8755479999999999E-3</v>
      </c>
      <c r="X1478">
        <v>0.99992329999999996</v>
      </c>
      <c r="Y1478">
        <v>6.3435409999999998E-2</v>
      </c>
      <c r="Z1478">
        <v>7.6608860000000001E-2</v>
      </c>
      <c r="AA1478">
        <v>0.99504119999999996</v>
      </c>
      <c r="AB1478">
        <v>20</v>
      </c>
      <c r="AC1478">
        <v>3.7499999999994302E-2</v>
      </c>
      <c r="AD1478">
        <v>-6.3788999999999804E-2</v>
      </c>
      <c r="AE1478">
        <v>-0.60929999999996198</v>
      </c>
      <c r="AF1478">
        <v>4.9443489716253598E-2</v>
      </c>
      <c r="AG1478">
        <v>-6.3788999999999804E-2</v>
      </c>
      <c r="AH1478">
        <v>0.60183169129858205</v>
      </c>
      <c r="AI1478">
        <v>96.030107028369898</v>
      </c>
      <c r="AJ1478">
        <v>85.303412060884099</v>
      </c>
      <c r="AK1478">
        <v>0.60721913659537596</v>
      </c>
    </row>
    <row r="1479" spans="1:37" x14ac:dyDescent="0.2">
      <c r="A1479" t="str">
        <f>"20200111155820339"</f>
        <v>20200111155820339</v>
      </c>
      <c r="B1479" t="str">
        <f>"1578729500333126"</f>
        <v>1578729500333126</v>
      </c>
      <c r="C1479" t="s">
        <v>37</v>
      </c>
      <c r="D1479">
        <v>6.0747819999999999</v>
      </c>
      <c r="E1479">
        <v>0.56793079999999996</v>
      </c>
      <c r="F1479" t="s">
        <v>38</v>
      </c>
      <c r="G1479">
        <v>-192.55090000000001</v>
      </c>
      <c r="H1479">
        <v>1.040554</v>
      </c>
      <c r="I1479">
        <v>343.01119999999997</v>
      </c>
      <c r="J1479">
        <v>-192.58240000000001</v>
      </c>
      <c r="K1479">
        <v>1.1035159999999999</v>
      </c>
      <c r="L1479">
        <v>343.59899999999999</v>
      </c>
      <c r="M1479">
        <v>0.14124589999999901</v>
      </c>
      <c r="N1479">
        <v>0</v>
      </c>
      <c r="O1479">
        <v>-0.98988189999999998</v>
      </c>
      <c r="P1479">
        <v>0.1248797</v>
      </c>
      <c r="Q1479">
        <v>-1.15932E-2</v>
      </c>
      <c r="R1479">
        <v>-0.99210419999999999</v>
      </c>
      <c r="S1479">
        <v>0.22271729999999901</v>
      </c>
      <c r="T1479">
        <v>-0.23849029999999999</v>
      </c>
      <c r="U1479">
        <v>-2.994507</v>
      </c>
      <c r="V1479">
        <v>1.6520590000000002E-2</v>
      </c>
      <c r="W1479">
        <v>1.924816E-3</v>
      </c>
      <c r="X1479">
        <v>0.99986169999999996</v>
      </c>
      <c r="Y1479">
        <v>6.7670869999999994E-2</v>
      </c>
      <c r="Z1479">
        <v>7.8003030000000001E-2</v>
      </c>
      <c r="AA1479">
        <v>0.99465380000000003</v>
      </c>
      <c r="AB1479">
        <v>20</v>
      </c>
      <c r="AC1479">
        <v>3.1499999999993998E-2</v>
      </c>
      <c r="AD1479">
        <v>-6.2961999999999907E-2</v>
      </c>
      <c r="AE1479">
        <v>-0.58780000000001498</v>
      </c>
      <c r="AF1479">
        <v>5.1261349853590203E-2</v>
      </c>
      <c r="AG1479">
        <v>-6.2961999999999907E-2</v>
      </c>
      <c r="AH1479">
        <v>0.57972316754012998</v>
      </c>
      <c r="AI1479">
        <v>96.174523913066295</v>
      </c>
      <c r="AJ1479">
        <v>84.946829558483898</v>
      </c>
      <c r="AK1479">
        <v>0.58538097886382801</v>
      </c>
    </row>
    <row r="1480" spans="1:37" x14ac:dyDescent="0.2">
      <c r="A1480" t="str">
        <f>"20200111155820363"</f>
        <v>20200111155820363</v>
      </c>
      <c r="B1480" t="str">
        <f>"1578729500352644"</f>
        <v>1578729500352644</v>
      </c>
      <c r="C1480" t="s">
        <v>37</v>
      </c>
      <c r="D1480">
        <v>6.0125029999999997</v>
      </c>
      <c r="E1480">
        <v>0.58086879999999996</v>
      </c>
      <c r="F1480" t="s">
        <v>39</v>
      </c>
      <c r="G1480">
        <v>-197.49119999999999</v>
      </c>
      <c r="H1480" s="1">
        <v>-2.98797E-6</v>
      </c>
      <c r="I1480">
        <v>251.90790000000001</v>
      </c>
      <c r="J1480">
        <v>-192.55510000000001</v>
      </c>
      <c r="K1480">
        <v>1.1035139999999899</v>
      </c>
      <c r="L1480">
        <v>343.39319999999998</v>
      </c>
      <c r="M1480">
        <v>0.1395332</v>
      </c>
      <c r="N1480">
        <v>0</v>
      </c>
      <c r="O1480">
        <v>-0.99012459999999902</v>
      </c>
      <c r="P1480">
        <v>0.11909589999999901</v>
      </c>
      <c r="Q1480">
        <v>-1.340884E-2</v>
      </c>
      <c r="R1480">
        <v>-0.99279219999999901</v>
      </c>
      <c r="S1480">
        <v>-0.16296389999999999</v>
      </c>
      <c r="T1480">
        <v>-3.6634800000000002E-2</v>
      </c>
      <c r="U1480">
        <v>-3.0439759999999998</v>
      </c>
      <c r="V1480">
        <v>2.0609820000000001E-2</v>
      </c>
      <c r="W1480" s="1">
        <v>9.5900239999999895E-5</v>
      </c>
      <c r="X1480">
        <v>0.9997876</v>
      </c>
      <c r="Y1480">
        <v>0.19227949999999999</v>
      </c>
      <c r="Z1480">
        <v>1.173679E-2</v>
      </c>
      <c r="AA1480">
        <v>0.98126999999999998</v>
      </c>
      <c r="AB1480">
        <v>20</v>
      </c>
      <c r="AC1480">
        <v>-4.9360999999999802</v>
      </c>
      <c r="AD1480">
        <v>-1.10351698797</v>
      </c>
      <c r="AE1480">
        <v>-91.485299999999896</v>
      </c>
      <c r="AF1480">
        <v>17.651652050715899</v>
      </c>
      <c r="AG1480">
        <v>-1.10351698797</v>
      </c>
      <c r="AH1480">
        <v>89.888316313011799</v>
      </c>
      <c r="AI1480">
        <v>90.690177985384196</v>
      </c>
      <c r="AJ1480">
        <v>78.890016801016401</v>
      </c>
      <c r="AK1480">
        <v>91.611724028370602</v>
      </c>
    </row>
    <row r="1481" spans="1:37" x14ac:dyDescent="0.2">
      <c r="A1481" t="str">
        <f>"20200111155820385"</f>
        <v>20200111155820385</v>
      </c>
      <c r="B1481" t="str">
        <f>"1578729500381925"</f>
        <v>1578729500381925</v>
      </c>
      <c r="C1481" t="s">
        <v>37</v>
      </c>
      <c r="D1481">
        <v>6.0060419999999999</v>
      </c>
      <c r="E1481">
        <v>0.58026610000000001</v>
      </c>
      <c r="F1481" t="s">
        <v>39</v>
      </c>
      <c r="G1481">
        <v>-193.80520000000001</v>
      </c>
      <c r="H1481" s="1">
        <v>-1.0753779999999999E-6</v>
      </c>
      <c r="I1481">
        <v>329.73570000000001</v>
      </c>
      <c r="J1481">
        <v>-192.52889999999999</v>
      </c>
      <c r="K1481">
        <v>1.103512</v>
      </c>
      <c r="L1481">
        <v>343.19229999999999</v>
      </c>
      <c r="M1481">
        <v>0.13785639999999999</v>
      </c>
      <c r="N1481">
        <v>0</v>
      </c>
      <c r="O1481">
        <v>-0.99035980000000001</v>
      </c>
      <c r="P1481">
        <v>0.1136037</v>
      </c>
      <c r="Q1481">
        <v>-1.4139850000000001E-2</v>
      </c>
      <c r="R1481">
        <v>-0.99342580000000003</v>
      </c>
      <c r="S1481">
        <v>-0.27935789999999999</v>
      </c>
      <c r="T1481">
        <v>-0.24659919999999999</v>
      </c>
      <c r="U1481">
        <v>-3.0520019999999999</v>
      </c>
      <c r="V1481">
        <v>2.444234E-2</v>
      </c>
      <c r="W1481">
        <v>-6.4798060000000003E-4</v>
      </c>
      <c r="X1481">
        <v>0.99970099999999995</v>
      </c>
      <c r="Y1481">
        <v>0.22728889999999999</v>
      </c>
      <c r="Z1481">
        <v>7.8164819999999996E-2</v>
      </c>
      <c r="AA1481">
        <v>0.97068539999999903</v>
      </c>
      <c r="AB1481">
        <v>20</v>
      </c>
      <c r="AC1481">
        <v>-1.27630000000002</v>
      </c>
      <c r="AD1481">
        <v>-1.103513075378</v>
      </c>
      <c r="AE1481">
        <v>-13.4565999999999</v>
      </c>
      <c r="AF1481">
        <v>3.09870756431661</v>
      </c>
      <c r="AG1481">
        <v>-1.103513075378</v>
      </c>
      <c r="AH1481">
        <v>13.0650560015187</v>
      </c>
      <c r="AI1481">
        <v>94.698185390608501</v>
      </c>
      <c r="AJ1481">
        <v>76.6573976356581</v>
      </c>
      <c r="AK1481">
        <v>13.4727657887868</v>
      </c>
    </row>
    <row r="1482" spans="1:37" x14ac:dyDescent="0.2">
      <c r="A1482" t="str">
        <f>"20200111155820408"</f>
        <v>20200111155820408</v>
      </c>
      <c r="B1482" t="str">
        <f>"1578729500402423"</f>
        <v>1578729500402423</v>
      </c>
      <c r="C1482" t="s">
        <v>37</v>
      </c>
      <c r="D1482">
        <v>6.0152710000000003</v>
      </c>
      <c r="E1482">
        <v>0.57944839999999997</v>
      </c>
      <c r="F1482" t="s">
        <v>39</v>
      </c>
      <c r="G1482">
        <v>-193.84</v>
      </c>
      <c r="H1482" s="1">
        <v>-4.9255989999999997E-6</v>
      </c>
      <c r="I1482">
        <v>329.45929999999998</v>
      </c>
      <c r="J1482">
        <v>-192.50280000000001</v>
      </c>
      <c r="K1482">
        <v>1.103499</v>
      </c>
      <c r="L1482">
        <v>342.9896</v>
      </c>
      <c r="M1482">
        <v>0.13615439999999901</v>
      </c>
      <c r="N1482">
        <v>0</v>
      </c>
      <c r="O1482">
        <v>-0.990595</v>
      </c>
      <c r="P1482">
        <v>0.108646399999999</v>
      </c>
      <c r="Q1482">
        <v>-1.4544430000000001E-2</v>
      </c>
      <c r="R1482">
        <v>-0.99397389999999997</v>
      </c>
      <c r="S1482">
        <v>-0.291153</v>
      </c>
      <c r="T1482">
        <v>-0.24505759999999999</v>
      </c>
      <c r="U1482">
        <v>-3.0496829999999999</v>
      </c>
      <c r="V1482">
        <v>2.7709549999999999E-2</v>
      </c>
      <c r="W1482">
        <v>-1.064239E-3</v>
      </c>
      <c r="X1482">
        <v>0.99961540000000004</v>
      </c>
      <c r="Y1482">
        <v>0.2294071</v>
      </c>
      <c r="Z1482">
        <v>7.7732170000000003E-2</v>
      </c>
      <c r="AA1482">
        <v>0.97022160000000002</v>
      </c>
      <c r="AB1482">
        <v>20</v>
      </c>
      <c r="AC1482">
        <v>-1.33719999999999</v>
      </c>
      <c r="AD1482">
        <v>-1.103503925599</v>
      </c>
      <c r="AE1482">
        <v>-13.5303</v>
      </c>
      <c r="AF1482">
        <v>3.1463976865889198</v>
      </c>
      <c r="AG1482">
        <v>-1.103503925599</v>
      </c>
      <c r="AH1482">
        <v>13.1356658289968</v>
      </c>
      <c r="AI1482">
        <v>94.670533104883503</v>
      </c>
      <c r="AJ1482">
        <v>76.529683756104006</v>
      </c>
      <c r="AK1482">
        <v>13.552241736593199</v>
      </c>
    </row>
    <row r="1483" spans="1:37" x14ac:dyDescent="0.2">
      <c r="A1483" t="str">
        <f>"20200111155820452"</f>
        <v>20200111155820452</v>
      </c>
      <c r="B1483" t="str">
        <f>"1578729500442437"</f>
        <v>1578729500442437</v>
      </c>
      <c r="C1483" t="s">
        <v>37</v>
      </c>
      <c r="D1483">
        <v>6.034154</v>
      </c>
      <c r="E1483">
        <v>0.57845590000000002</v>
      </c>
      <c r="F1483" t="s">
        <v>39</v>
      </c>
      <c r="G1483">
        <v>-193.85489999999999</v>
      </c>
      <c r="H1483" s="1">
        <v>-4.852172E-6</v>
      </c>
      <c r="I1483">
        <v>329.23570000000001</v>
      </c>
      <c r="J1483">
        <v>-192.45240000000001</v>
      </c>
      <c r="K1483">
        <v>1.103494</v>
      </c>
      <c r="L1483">
        <v>342.59050000000002</v>
      </c>
      <c r="M1483">
        <v>0.1327622</v>
      </c>
      <c r="N1483">
        <v>0</v>
      </c>
      <c r="O1483">
        <v>-0.99105569999999898</v>
      </c>
      <c r="P1483">
        <v>0.10005739999999901</v>
      </c>
      <c r="Q1483">
        <v>-1.317054E-2</v>
      </c>
      <c r="R1483">
        <v>-0.99489509999999903</v>
      </c>
      <c r="S1483">
        <v>-0.299591099999999</v>
      </c>
      <c r="T1483">
        <v>-0.24449419999999999</v>
      </c>
      <c r="U1483">
        <v>-3.0473330000000001</v>
      </c>
      <c r="V1483">
        <v>3.2925719999999999E-2</v>
      </c>
      <c r="W1483">
        <v>2.8974220000000002E-4</v>
      </c>
      <c r="X1483">
        <v>0.99945779999999995</v>
      </c>
      <c r="Y1483">
        <v>0.22880819999999999</v>
      </c>
      <c r="Z1483">
        <v>7.7664259999999999E-2</v>
      </c>
      <c r="AA1483">
        <v>0.97036849999999997</v>
      </c>
      <c r="AB1483">
        <v>20</v>
      </c>
      <c r="AC1483">
        <v>-1.4024999999999701</v>
      </c>
      <c r="AD1483">
        <v>-1.1034988521719999</v>
      </c>
      <c r="AE1483">
        <v>-13.354799999999999</v>
      </c>
      <c r="AF1483">
        <v>3.1420387669042</v>
      </c>
      <c r="AG1483">
        <v>-1.1034988521719999</v>
      </c>
      <c r="AH1483">
        <v>12.962804945100499</v>
      </c>
      <c r="AI1483">
        <v>94.729447445286198</v>
      </c>
      <c r="AJ1483">
        <v>76.374923006068002</v>
      </c>
      <c r="AK1483">
        <v>13.3837374964617</v>
      </c>
    </row>
    <row r="1484" spans="1:37" x14ac:dyDescent="0.2">
      <c r="A1484" t="str">
        <f>"20200111155820473"</f>
        <v>20200111155820473</v>
      </c>
      <c r="B1484" t="str">
        <f>"1578729500461956"</f>
        <v>1578729500461956</v>
      </c>
      <c r="C1484" t="s">
        <v>37</v>
      </c>
      <c r="D1484">
        <v>6.0584769999999999</v>
      </c>
      <c r="E1484">
        <v>0.57735570000000003</v>
      </c>
      <c r="F1484" t="s">
        <v>39</v>
      </c>
      <c r="G1484">
        <v>-193.90719999999999</v>
      </c>
      <c r="H1484" s="1">
        <v>-4.6614799999999996E-6</v>
      </c>
      <c r="I1484">
        <v>328.64819999999997</v>
      </c>
      <c r="J1484">
        <v>-192.4288</v>
      </c>
      <c r="K1484">
        <v>1.103488</v>
      </c>
      <c r="L1484">
        <v>342.399</v>
      </c>
      <c r="M1484">
        <v>0.13110160000000001</v>
      </c>
      <c r="N1484">
        <v>0</v>
      </c>
      <c r="O1484">
        <v>-0.99127659999999995</v>
      </c>
      <c r="P1484">
        <v>9.7401340000000003E-2</v>
      </c>
      <c r="Q1484">
        <v>-1.08421E-2</v>
      </c>
      <c r="R1484">
        <v>-0.99518639999999903</v>
      </c>
      <c r="S1484">
        <v>-0.31762699999999999</v>
      </c>
      <c r="T1484">
        <v>-0.24093970000000001</v>
      </c>
      <c r="U1484">
        <v>-3.0441889999999998</v>
      </c>
      <c r="V1484">
        <v>3.392829E-2</v>
      </c>
      <c r="W1484">
        <v>2.6119369999999999E-3</v>
      </c>
      <c r="X1484">
        <v>0.99942089999999995</v>
      </c>
      <c r="Y1484">
        <v>0.23297229999999999</v>
      </c>
      <c r="Z1484">
        <v>7.6584760000000002E-2</v>
      </c>
      <c r="AA1484">
        <v>0.96946309999999902</v>
      </c>
      <c r="AB1484">
        <v>20</v>
      </c>
      <c r="AC1484">
        <v>-1.4783999999999899</v>
      </c>
      <c r="AD1484">
        <v>-1.10349266147999</v>
      </c>
      <c r="AE1484">
        <v>-13.7508</v>
      </c>
      <c r="AF1484">
        <v>3.24787723407827</v>
      </c>
      <c r="AG1484">
        <v>-1.10349266147999</v>
      </c>
      <c r="AH1484">
        <v>13.3532441603928</v>
      </c>
      <c r="AI1484">
        <v>94.590857119806799</v>
      </c>
      <c r="AJ1484">
        <v>76.329540290109193</v>
      </c>
      <c r="AK1484">
        <v>13.7867883202959</v>
      </c>
    </row>
    <row r="1485" spans="1:37" x14ac:dyDescent="0.2">
      <c r="A1485" t="str">
        <f>"20200111155820496"</f>
        <v>20200111155820496</v>
      </c>
      <c r="B1485" t="str">
        <f>"1578729500492213"</f>
        <v>1578729500492213</v>
      </c>
      <c r="C1485" t="s">
        <v>37</v>
      </c>
      <c r="D1485">
        <v>6.0681250000000002</v>
      </c>
      <c r="E1485">
        <v>0.56960429999999995</v>
      </c>
      <c r="F1485" t="s">
        <v>39</v>
      </c>
      <c r="G1485">
        <v>-193.9162</v>
      </c>
      <c r="H1485" s="1">
        <v>-4.4834089999999998E-6</v>
      </c>
      <c r="I1485">
        <v>328.12020000000001</v>
      </c>
      <c r="J1485">
        <v>-192.40440000000001</v>
      </c>
      <c r="K1485">
        <v>1.10348</v>
      </c>
      <c r="L1485">
        <v>342.19850000000002</v>
      </c>
      <c r="M1485">
        <v>0.12933210000000001</v>
      </c>
      <c r="N1485">
        <v>0</v>
      </c>
      <c r="O1485">
        <v>-0.99150910000000003</v>
      </c>
      <c r="P1485">
        <v>9.3943100000000002E-2</v>
      </c>
      <c r="Q1485">
        <v>-8.2909709999999994E-3</v>
      </c>
      <c r="R1485">
        <v>-0.99554349999999903</v>
      </c>
      <c r="S1485">
        <v>-0.31698609999999999</v>
      </c>
      <c r="T1485">
        <v>-0.2351665</v>
      </c>
      <c r="U1485">
        <v>-3.0429689999999998</v>
      </c>
      <c r="V1485">
        <v>3.5626119999999997E-2</v>
      </c>
      <c r="W1485">
        <v>5.1553659999999998E-3</v>
      </c>
      <c r="X1485">
        <v>0.99935189999999996</v>
      </c>
      <c r="Y1485">
        <v>0.23108870000000001</v>
      </c>
      <c r="Z1485">
        <v>7.4835260000000001E-2</v>
      </c>
      <c r="AA1485">
        <v>0.97005030000000003</v>
      </c>
      <c r="AB1485">
        <v>20</v>
      </c>
      <c r="AC1485">
        <v>-1.51179999999999</v>
      </c>
      <c r="AD1485">
        <v>-1.1034844834090001</v>
      </c>
      <c r="AE1485">
        <v>-14.0783</v>
      </c>
      <c r="AF1485">
        <v>3.3000000376425298</v>
      </c>
      <c r="AG1485">
        <v>-1.1034844834090001</v>
      </c>
      <c r="AH1485">
        <v>13.6814006205885</v>
      </c>
      <c r="AI1485">
        <v>94.483230950019106</v>
      </c>
      <c r="AJ1485">
        <v>76.439091232514798</v>
      </c>
      <c r="AK1485">
        <v>14.1169543880613</v>
      </c>
    </row>
    <row r="1486" spans="1:37" x14ac:dyDescent="0.2">
      <c r="A1486" t="str">
        <f>"20200111155820531"</f>
        <v>20200111155820531</v>
      </c>
      <c r="B1486" t="str">
        <f>"1578729500522469"</f>
        <v>1578729500522469</v>
      </c>
      <c r="C1486" t="s">
        <v>37</v>
      </c>
      <c r="D1486">
        <v>6.083971</v>
      </c>
      <c r="E1486">
        <v>0.56921909999999998</v>
      </c>
      <c r="F1486" t="s">
        <v>39</v>
      </c>
      <c r="G1486">
        <v>-193.5788</v>
      </c>
      <c r="H1486" s="1">
        <v>-4.6387250000000002E-6</v>
      </c>
      <c r="I1486">
        <v>328.7525</v>
      </c>
      <c r="J1486">
        <v>-192.36760000000001</v>
      </c>
      <c r="K1486">
        <v>1.103458</v>
      </c>
      <c r="L1486">
        <v>341.88920000000002</v>
      </c>
      <c r="M1486">
        <v>0.12653300000000001</v>
      </c>
      <c r="N1486">
        <v>0</v>
      </c>
      <c r="O1486">
        <v>-0.99187000000000003</v>
      </c>
      <c r="P1486">
        <v>9.1043349999999995E-2</v>
      </c>
      <c r="Q1486">
        <v>-6.209048E-3</v>
      </c>
      <c r="R1486">
        <v>-0.99582769999999998</v>
      </c>
      <c r="S1486">
        <v>-0.26518249999999999</v>
      </c>
      <c r="T1486">
        <v>-0.2491864</v>
      </c>
      <c r="U1486">
        <v>-3.036346</v>
      </c>
      <c r="V1486">
        <v>3.5723400000000002E-2</v>
      </c>
      <c r="W1486">
        <v>7.2314759999999997E-3</v>
      </c>
      <c r="X1486">
        <v>0.99933549999999904</v>
      </c>
      <c r="Y1486">
        <v>0.2120862</v>
      </c>
      <c r="Z1486">
        <v>7.9724000000000003E-2</v>
      </c>
      <c r="AA1486">
        <v>0.97399360000000001</v>
      </c>
      <c r="AB1486">
        <v>20</v>
      </c>
      <c r="AC1486">
        <v>-1.2111999999999901</v>
      </c>
      <c r="AD1486">
        <v>-1.1034626387249999</v>
      </c>
      <c r="AE1486">
        <v>-13.136699999999999</v>
      </c>
      <c r="AF1486">
        <v>2.8439444935868199</v>
      </c>
      <c r="AG1486">
        <v>-1.1034626387249999</v>
      </c>
      <c r="AH1486">
        <v>12.788351446462499</v>
      </c>
      <c r="AI1486">
        <v>94.814595800491901</v>
      </c>
      <c r="AJ1486">
        <v>77.462275309395096</v>
      </c>
      <c r="AK1486">
        <v>13.147151128510901</v>
      </c>
    </row>
    <row r="1487" spans="1:37" x14ac:dyDescent="0.2">
      <c r="A1487" t="str">
        <f>"20200111155820553"</f>
        <v>20200111155820553</v>
      </c>
      <c r="B1487" t="str">
        <f>"1578729500541989"</f>
        <v>1578729500541989</v>
      </c>
      <c r="C1487" t="s">
        <v>37</v>
      </c>
      <c r="D1487">
        <v>6.084498</v>
      </c>
      <c r="E1487">
        <v>0.56556839999999997</v>
      </c>
      <c r="F1487" t="s">
        <v>39</v>
      </c>
      <c r="G1487">
        <v>-193.57050000000001</v>
      </c>
      <c r="H1487" s="1">
        <v>-4.51130999999999E-6</v>
      </c>
      <c r="I1487">
        <v>328.38240000000002</v>
      </c>
      <c r="J1487">
        <v>-192.34389999999999</v>
      </c>
      <c r="K1487">
        <v>1.1034459999999999</v>
      </c>
      <c r="L1487">
        <v>341.68549999999999</v>
      </c>
      <c r="M1487">
        <v>0.124644</v>
      </c>
      <c r="N1487">
        <v>0</v>
      </c>
      <c r="O1487">
        <v>-0.99210929999999997</v>
      </c>
      <c r="P1487">
        <v>9.0750490000000003E-2</v>
      </c>
      <c r="Q1487">
        <v>-5.6398230000000004E-3</v>
      </c>
      <c r="R1487">
        <v>-0.99585769999999996</v>
      </c>
      <c r="S1487">
        <v>-0.27035520000000002</v>
      </c>
      <c r="T1487">
        <v>-0.2480087</v>
      </c>
      <c r="U1487">
        <v>-3.035736</v>
      </c>
      <c r="V1487">
        <v>3.4116359999999998E-2</v>
      </c>
      <c r="W1487">
        <v>7.80271E-3</v>
      </c>
      <c r="X1487">
        <v>0.99938739999999904</v>
      </c>
      <c r="Y1487">
        <v>0.21189169999999999</v>
      </c>
      <c r="Z1487">
        <v>7.9390479999999999E-2</v>
      </c>
      <c r="AA1487">
        <v>0.97406319999999902</v>
      </c>
      <c r="AB1487">
        <v>20</v>
      </c>
      <c r="AC1487">
        <v>-1.2266000000000099</v>
      </c>
      <c r="AD1487">
        <v>-1.1034505113099999</v>
      </c>
      <c r="AE1487">
        <v>-13.303099999999899</v>
      </c>
      <c r="AF1487">
        <v>2.8558528304408299</v>
      </c>
      <c r="AG1487">
        <v>-1.1034505113099999</v>
      </c>
      <c r="AH1487">
        <v>12.958032686024501</v>
      </c>
      <c r="AI1487">
        <v>94.753778838556997</v>
      </c>
      <c r="AJ1487">
        <v>77.571134483265197</v>
      </c>
      <c r="AK1487">
        <v>13.3148079036886</v>
      </c>
    </row>
    <row r="1488" spans="1:37" x14ac:dyDescent="0.2">
      <c r="A1488" t="str">
        <f>"20200111155820577"</f>
        <v>20200111155820577</v>
      </c>
      <c r="B1488" t="str">
        <f>"1578729500572246"</f>
        <v>1578729500572246</v>
      </c>
      <c r="C1488" t="s">
        <v>37</v>
      </c>
      <c r="D1488">
        <v>6.1714890000000002</v>
      </c>
      <c r="E1488">
        <v>0.566830099999999</v>
      </c>
      <c r="F1488" t="s">
        <v>39</v>
      </c>
      <c r="G1488">
        <v>-193.38409999999999</v>
      </c>
      <c r="H1488" s="1">
        <v>-4.5691549999999996E-6</v>
      </c>
      <c r="I1488">
        <v>328.64949999999999</v>
      </c>
      <c r="J1488">
        <v>-192.3203</v>
      </c>
      <c r="K1488">
        <v>1.1034360000000001</v>
      </c>
      <c r="L1488">
        <v>341.47899999999998</v>
      </c>
      <c r="M1488">
        <v>0.1227037</v>
      </c>
      <c r="N1488">
        <v>0</v>
      </c>
      <c r="O1488">
        <v>-0.99235119999999899</v>
      </c>
      <c r="P1488">
        <v>9.0468199999999999E-2</v>
      </c>
      <c r="Q1488">
        <v>-5.08396299999999E-3</v>
      </c>
      <c r="R1488">
        <v>-0.99588650000000001</v>
      </c>
      <c r="S1488">
        <v>-0.24200439999999901</v>
      </c>
      <c r="T1488">
        <v>-0.25673760000000001</v>
      </c>
      <c r="U1488">
        <v>-3.0330509999999999</v>
      </c>
      <c r="V1488">
        <v>3.2447419999999998E-2</v>
      </c>
      <c r="W1488">
        <v>8.360592E-3</v>
      </c>
      <c r="X1488">
        <v>0.99943850000000001</v>
      </c>
      <c r="Y1488">
        <v>0.20098440000000001</v>
      </c>
      <c r="Z1488">
        <v>8.2397120000000004E-2</v>
      </c>
      <c r="AA1488">
        <v>0.97612289999999902</v>
      </c>
      <c r="AB1488">
        <v>20</v>
      </c>
      <c r="AC1488">
        <v>-1.0637999999999801</v>
      </c>
      <c r="AD1488">
        <v>-1.103440569155</v>
      </c>
      <c r="AE1488">
        <v>-12.829499999999999</v>
      </c>
      <c r="AF1488">
        <v>2.61094854528127</v>
      </c>
      <c r="AG1488">
        <v>-1.103440569155</v>
      </c>
      <c r="AH1488">
        <v>12.5100800143136</v>
      </c>
      <c r="AI1488">
        <v>94.934887253253507</v>
      </c>
      <c r="AJ1488">
        <v>78.211161724121794</v>
      </c>
      <c r="AK1488">
        <v>12.827187351882399</v>
      </c>
    </row>
    <row r="1489" spans="1:37" x14ac:dyDescent="0.2">
      <c r="A1489" t="str">
        <f>"20200111155820597"</f>
        <v>20200111155820597</v>
      </c>
      <c r="B1489" t="str">
        <f>"1578729500592741"</f>
        <v>1578729500592741</v>
      </c>
      <c r="C1489" t="s">
        <v>37</v>
      </c>
      <c r="D1489">
        <v>6.0957759999999999</v>
      </c>
      <c r="E1489">
        <v>0.56623419999999902</v>
      </c>
      <c r="F1489" t="s">
        <v>39</v>
      </c>
      <c r="G1489">
        <v>-193.9152</v>
      </c>
      <c r="H1489" s="1">
        <v>-2.2901969999999998E-6</v>
      </c>
      <c r="I1489">
        <v>322.49930000000001</v>
      </c>
      <c r="J1489">
        <v>-192.2997</v>
      </c>
      <c r="K1489">
        <v>1.1034200000000001</v>
      </c>
      <c r="L1489">
        <v>341.29480000000001</v>
      </c>
      <c r="M1489">
        <v>0.1209558</v>
      </c>
      <c r="N1489">
        <v>0</v>
      </c>
      <c r="O1489">
        <v>-0.99256580000000005</v>
      </c>
      <c r="P1489">
        <v>9.1096590000000005E-2</v>
      </c>
      <c r="Q1489">
        <v>-5.8860450000000003E-3</v>
      </c>
      <c r="R1489">
        <v>-0.99582490000000001</v>
      </c>
      <c r="S1489">
        <v>-0.25500489999999998</v>
      </c>
      <c r="T1489">
        <v>-0.17642869999999999</v>
      </c>
      <c r="U1489">
        <v>-3.0346679999999999</v>
      </c>
      <c r="V1489">
        <v>3.005387E-2</v>
      </c>
      <c r="W1489">
        <v>7.5633439999999996E-3</v>
      </c>
      <c r="X1489">
        <v>0.99951959999999995</v>
      </c>
      <c r="Y1489">
        <v>0.20352479999999901</v>
      </c>
      <c r="Z1489">
        <v>5.6692489999999998E-2</v>
      </c>
      <c r="AA1489">
        <v>0.97742709999999999</v>
      </c>
      <c r="AB1489">
        <v>20</v>
      </c>
      <c r="AC1489">
        <v>-1.6154999999999899</v>
      </c>
      <c r="AD1489">
        <v>-1.1034222901970001</v>
      </c>
      <c r="AE1489">
        <v>-18.795500000000001</v>
      </c>
      <c r="AF1489">
        <v>3.8640495337927501</v>
      </c>
      <c r="AG1489">
        <v>-1.1034222901970001</v>
      </c>
      <c r="AH1489">
        <v>18.399107038351499</v>
      </c>
      <c r="AI1489">
        <v>93.358903631905804</v>
      </c>
      <c r="AJ1489">
        <v>78.139513856708106</v>
      </c>
      <c r="AK1489">
        <v>18.832831952705</v>
      </c>
    </row>
    <row r="1490" spans="1:37" x14ac:dyDescent="0.2">
      <c r="A1490" t="str">
        <f>"20200111155820619"</f>
        <v>20200111155820619</v>
      </c>
      <c r="B1490" t="str">
        <f>"1578729500612261"</f>
        <v>1578729500612261</v>
      </c>
      <c r="C1490" t="s">
        <v>37</v>
      </c>
      <c r="D1490">
        <v>7.1791729999999996</v>
      </c>
      <c r="E1490">
        <v>0.56606939999999994</v>
      </c>
      <c r="F1490" t="s">
        <v>39</v>
      </c>
      <c r="G1490">
        <v>-193.62960000000001</v>
      </c>
      <c r="H1490" s="1">
        <v>-3.2809699999999899E-6</v>
      </c>
      <c r="I1490">
        <v>324.98590000000002</v>
      </c>
      <c r="J1490">
        <v>-192.27799999999999</v>
      </c>
      <c r="K1490">
        <v>1.103415</v>
      </c>
      <c r="L1490">
        <v>341.09840000000003</v>
      </c>
      <c r="M1490">
        <v>0.1190836</v>
      </c>
      <c r="N1490">
        <v>0</v>
      </c>
      <c r="O1490">
        <v>-0.99279229999999996</v>
      </c>
      <c r="P1490">
        <v>9.0697710000000001E-2</v>
      </c>
      <c r="Q1490">
        <v>-6.8354180000000002E-3</v>
      </c>
      <c r="R1490">
        <v>-0.9958553</v>
      </c>
      <c r="S1490">
        <v>-0.24742129999999901</v>
      </c>
      <c r="T1490">
        <v>-0.20527210000000001</v>
      </c>
      <c r="U1490">
        <v>-3.0339659999999999</v>
      </c>
      <c r="V1490">
        <v>2.8565920000000002E-2</v>
      </c>
      <c r="W1490">
        <v>6.6168469999999899E-3</v>
      </c>
      <c r="X1490">
        <v>0.99956999999999996</v>
      </c>
      <c r="Y1490">
        <v>0.19922139999999999</v>
      </c>
      <c r="Z1490">
        <v>6.599642E-2</v>
      </c>
      <c r="AA1490">
        <v>0.97772969999999904</v>
      </c>
      <c r="AB1490">
        <v>20</v>
      </c>
      <c r="AC1490">
        <v>-1.3516000000000099</v>
      </c>
      <c r="AD1490">
        <v>-1.1034182809699999</v>
      </c>
      <c r="AE1490">
        <v>-16.112500000000001</v>
      </c>
      <c r="AF1490">
        <v>3.2457745468218699</v>
      </c>
      <c r="AG1490">
        <v>-1.1034182809699999</v>
      </c>
      <c r="AH1490">
        <v>15.7634472066713</v>
      </c>
      <c r="AI1490">
        <v>93.922075636745802</v>
      </c>
      <c r="AJ1490">
        <v>78.365114391935904</v>
      </c>
      <c r="AK1490">
        <v>16.131920287092001</v>
      </c>
    </row>
    <row r="1491" spans="1:37" x14ac:dyDescent="0.2">
      <c r="A1491" t="str">
        <f>"20200111155820642"</f>
        <v>20200111155820642</v>
      </c>
      <c r="B1491" t="str">
        <f>"1578729500632757"</f>
        <v>1578729500632757</v>
      </c>
      <c r="C1491" t="s">
        <v>37</v>
      </c>
      <c r="D1491">
        <v>6.0668340000000001</v>
      </c>
      <c r="E1491">
        <v>0.56606060000000002</v>
      </c>
      <c r="F1491" t="s">
        <v>39</v>
      </c>
      <c r="G1491">
        <v>-193.56540000000001</v>
      </c>
      <c r="H1491" s="1">
        <v>-3.3953969999999998E-6</v>
      </c>
      <c r="I1491">
        <v>325.29250000000002</v>
      </c>
      <c r="J1491">
        <v>-192.2559</v>
      </c>
      <c r="K1491">
        <v>1.103421</v>
      </c>
      <c r="L1491">
        <v>340.89530000000002</v>
      </c>
      <c r="M1491">
        <v>0.1171431</v>
      </c>
      <c r="N1491">
        <v>0</v>
      </c>
      <c r="O1491">
        <v>-0.99302299999999999</v>
      </c>
      <c r="P1491">
        <v>8.9177010000000001E-2</v>
      </c>
      <c r="Q1491">
        <v>-6.5748259999999998E-3</v>
      </c>
      <c r="R1491">
        <v>-0.9959943</v>
      </c>
      <c r="S1491">
        <v>-0.24708559999999999</v>
      </c>
      <c r="T1491">
        <v>-0.21177470000000001</v>
      </c>
      <c r="U1491">
        <v>-3.033569</v>
      </c>
      <c r="V1491">
        <v>2.813939E-2</v>
      </c>
      <c r="W1491">
        <v>6.8767159999999997E-3</v>
      </c>
      <c r="X1491">
        <v>0.99958040000000004</v>
      </c>
      <c r="Y1491">
        <v>0.19719700000000001</v>
      </c>
      <c r="Z1491">
        <v>6.8124619999999997E-2</v>
      </c>
      <c r="AA1491">
        <v>0.97799409999999898</v>
      </c>
      <c r="AB1491">
        <v>20</v>
      </c>
      <c r="AC1491">
        <v>-1.3095000000000101</v>
      </c>
      <c r="AD1491">
        <v>-1.103424395397</v>
      </c>
      <c r="AE1491">
        <v>-15.6028</v>
      </c>
      <c r="AF1491">
        <v>3.11295015251372</v>
      </c>
      <c r="AG1491">
        <v>-1.103424395397</v>
      </c>
      <c r="AH1491">
        <v>15.266126859959501</v>
      </c>
      <c r="AI1491">
        <v>94.051030003111094</v>
      </c>
      <c r="AJ1491">
        <v>78.474696973224994</v>
      </c>
      <c r="AK1491">
        <v>15.6193032287861</v>
      </c>
    </row>
    <row r="1492" spans="1:37" x14ac:dyDescent="0.2">
      <c r="A1492" t="str">
        <f>"20200111155820664"</f>
        <v>20200111155820664</v>
      </c>
      <c r="B1492" t="str">
        <f>"1578729500652276"</f>
        <v>1578729500652276</v>
      </c>
      <c r="C1492" t="s">
        <v>37</v>
      </c>
      <c r="D1492">
        <v>6.0662190000000002</v>
      </c>
      <c r="E1492">
        <v>0.56604650000000001</v>
      </c>
      <c r="F1492" t="s">
        <v>39</v>
      </c>
      <c r="G1492">
        <v>-193.56530000000001</v>
      </c>
      <c r="H1492" s="1">
        <v>-3.3156000000000001E-6</v>
      </c>
      <c r="I1492">
        <v>325.10660000000001</v>
      </c>
      <c r="J1492">
        <v>-192.23509999999999</v>
      </c>
      <c r="K1492">
        <v>1.1034280000000001</v>
      </c>
      <c r="L1492">
        <v>340.7</v>
      </c>
      <c r="M1492">
        <v>0.1152816</v>
      </c>
      <c r="N1492">
        <v>0</v>
      </c>
      <c r="O1492">
        <v>-0.99324089999999998</v>
      </c>
      <c r="P1492">
        <v>8.7026950000000006E-2</v>
      </c>
      <c r="Q1492">
        <v>-6.4528110000000001E-3</v>
      </c>
      <c r="R1492">
        <v>-0.99618519999999899</v>
      </c>
      <c r="S1492">
        <v>-0.25154110000000002</v>
      </c>
      <c r="T1492">
        <v>-0.21197939999999901</v>
      </c>
      <c r="U1492">
        <v>-3.0331730000000001</v>
      </c>
      <c r="V1492">
        <v>2.8423730000000001E-2</v>
      </c>
      <c r="W1492">
        <v>6.9968769999999899E-3</v>
      </c>
      <c r="X1492">
        <v>0.99957149999999995</v>
      </c>
      <c r="Y1492">
        <v>0.19679639999999901</v>
      </c>
      <c r="Z1492">
        <v>6.8220459999999997E-2</v>
      </c>
      <c r="AA1492">
        <v>0.9780681</v>
      </c>
      <c r="AB1492">
        <v>20</v>
      </c>
      <c r="AC1492">
        <v>-1.33020000000001</v>
      </c>
      <c r="AD1492">
        <v>-1.1034313156</v>
      </c>
      <c r="AE1492">
        <v>-15.5933999999999</v>
      </c>
      <c r="AF1492">
        <v>3.10369698426164</v>
      </c>
      <c r="AG1492">
        <v>-1.1034313156</v>
      </c>
      <c r="AH1492">
        <v>15.2601945545732</v>
      </c>
      <c r="AI1492">
        <v>94.053041221455004</v>
      </c>
      <c r="AJ1492">
        <v>78.503694410232299</v>
      </c>
      <c r="AK1492">
        <v>15.611663379723099</v>
      </c>
    </row>
    <row r="1493" spans="1:37" x14ac:dyDescent="0.2">
      <c r="A1493" t="str">
        <f>"20200111155820687"</f>
        <v>20200111155820687</v>
      </c>
      <c r="B1493" t="str">
        <f>"1578729500682533"</f>
        <v>1578729500682533</v>
      </c>
      <c r="C1493" t="s">
        <v>37</v>
      </c>
      <c r="D1493">
        <v>6.0310589999999999</v>
      </c>
      <c r="E1493">
        <v>0.56596269999999904</v>
      </c>
      <c r="F1493" t="s">
        <v>39</v>
      </c>
      <c r="G1493">
        <v>-193.52119999999999</v>
      </c>
      <c r="H1493" s="1">
        <v>-3.5037279999999999E-6</v>
      </c>
      <c r="I1493">
        <v>325.57240000000002</v>
      </c>
      <c r="J1493">
        <v>-192.2141</v>
      </c>
      <c r="K1493">
        <v>1.1034299999999999</v>
      </c>
      <c r="L1493">
        <v>340.49849999999998</v>
      </c>
      <c r="M1493">
        <v>0.11337029999999999</v>
      </c>
      <c r="N1493">
        <v>0</v>
      </c>
      <c r="O1493">
        <v>-0.99346100000000004</v>
      </c>
      <c r="P1493">
        <v>8.4750710000000007E-2</v>
      </c>
      <c r="Q1493">
        <v>-7.2952099999999999E-3</v>
      </c>
      <c r="R1493">
        <v>-0.99637580000000003</v>
      </c>
      <c r="S1493">
        <v>-0.2578125</v>
      </c>
      <c r="T1493">
        <v>-0.22120139999999999</v>
      </c>
      <c r="U1493">
        <v>-3.032562</v>
      </c>
      <c r="V1493">
        <v>2.8781230000000001E-2</v>
      </c>
      <c r="W1493">
        <v>6.1481249999999999E-3</v>
      </c>
      <c r="X1493">
        <v>0.99956690000000004</v>
      </c>
      <c r="Y1493">
        <v>0.1969167</v>
      </c>
      <c r="Z1493">
        <v>7.1204219999999999E-2</v>
      </c>
      <c r="AA1493">
        <v>0.97783109999999995</v>
      </c>
      <c r="AB1493">
        <v>20</v>
      </c>
      <c r="AC1493">
        <v>-1.3070999999999899</v>
      </c>
      <c r="AD1493">
        <v>-1.1034335037279901</v>
      </c>
      <c r="AE1493">
        <v>-14.9260999999999</v>
      </c>
      <c r="AF1493">
        <v>2.97486784697761</v>
      </c>
      <c r="AG1493">
        <v>-1.1034335037279901</v>
      </c>
      <c r="AH1493">
        <v>14.6024542501053</v>
      </c>
      <c r="AI1493">
        <v>94.234681999230702</v>
      </c>
      <c r="AJ1493">
        <v>78.485061838850001</v>
      </c>
      <c r="AK1493">
        <v>14.943194917103501</v>
      </c>
    </row>
    <row r="1494" spans="1:37" x14ac:dyDescent="0.2">
      <c r="A1494" t="str">
        <f>"20200111155820708"</f>
        <v>20200111155820708</v>
      </c>
      <c r="B1494" t="str">
        <f>"1578729500703029"</f>
        <v>1578729500703029</v>
      </c>
      <c r="C1494" t="s">
        <v>37</v>
      </c>
      <c r="D1494">
        <v>6.0639859999999999</v>
      </c>
      <c r="E1494">
        <v>0.56571549999999904</v>
      </c>
      <c r="F1494" t="s">
        <v>39</v>
      </c>
      <c r="G1494">
        <v>-193.4545</v>
      </c>
      <c r="H1494" s="1">
        <v>-3.76201599999999E-6</v>
      </c>
      <c r="I1494">
        <v>326.24099999999999</v>
      </c>
      <c r="J1494">
        <v>-192.19399999999999</v>
      </c>
      <c r="K1494">
        <v>1.103423</v>
      </c>
      <c r="L1494">
        <v>340.30239999999998</v>
      </c>
      <c r="M1494">
        <v>0.1115112</v>
      </c>
      <c r="N1494">
        <v>0</v>
      </c>
      <c r="O1494">
        <v>-0.993671999999999</v>
      </c>
      <c r="P1494">
        <v>8.2374009999999998E-2</v>
      </c>
      <c r="Q1494">
        <v>-7.7565380000000003E-3</v>
      </c>
      <c r="R1494">
        <v>-0.99657169999999895</v>
      </c>
      <c r="S1494">
        <v>-0.26374819999999999</v>
      </c>
      <c r="T1494">
        <v>-0.23462620000000001</v>
      </c>
      <c r="U1494">
        <v>-3.0316160000000001</v>
      </c>
      <c r="V1494">
        <v>2.9293110000000001E-2</v>
      </c>
      <c r="W1494">
        <v>5.638395E-3</v>
      </c>
      <c r="X1494">
        <v>0.99955499999999997</v>
      </c>
      <c r="Y1494">
        <v>0.196980399999999</v>
      </c>
      <c r="Z1494">
        <v>7.5541620000000004E-2</v>
      </c>
      <c r="AA1494">
        <v>0.97749279999999905</v>
      </c>
      <c r="AB1494">
        <v>20</v>
      </c>
      <c r="AC1494">
        <v>-1.26049999999997</v>
      </c>
      <c r="AD1494">
        <v>-1.1034267620160001</v>
      </c>
      <c r="AE1494">
        <v>-14.0613999999999</v>
      </c>
      <c r="AF1494">
        <v>2.8036558348830498</v>
      </c>
      <c r="AG1494">
        <v>-1.1034267620160001</v>
      </c>
      <c r="AH1494">
        <v>13.7491227278748</v>
      </c>
      <c r="AI1494">
        <v>94.496263546854394</v>
      </c>
      <c r="AJ1494">
        <v>78.474531353715903</v>
      </c>
      <c r="AK1494">
        <v>14.075383207777</v>
      </c>
    </row>
    <row r="1495" spans="1:37" x14ac:dyDescent="0.2">
      <c r="A1495" t="str">
        <f>"20200111155820732"</f>
        <v>20200111155820732</v>
      </c>
      <c r="B1495" t="str">
        <f>"1578729500722550"</f>
        <v>1578729500722550</v>
      </c>
      <c r="C1495" t="s">
        <v>37</v>
      </c>
      <c r="D1495">
        <v>6.1425609999999997</v>
      </c>
      <c r="E1495">
        <v>0.54200059999999906</v>
      </c>
      <c r="F1495" t="s">
        <v>39</v>
      </c>
      <c r="G1495">
        <v>-193.41839999999999</v>
      </c>
      <c r="H1495" s="1">
        <v>-3.8426850000000003E-6</v>
      </c>
      <c r="I1495">
        <v>326.49689999999998</v>
      </c>
      <c r="J1495">
        <v>-192.1737</v>
      </c>
      <c r="K1495">
        <v>1.103399</v>
      </c>
      <c r="L1495">
        <v>340.10070000000002</v>
      </c>
      <c r="M1495">
        <v>0.10960399999999999</v>
      </c>
      <c r="N1495">
        <v>0</v>
      </c>
      <c r="O1495">
        <v>-0.99388519999999902</v>
      </c>
      <c r="P1495">
        <v>7.9763050000000002E-2</v>
      </c>
      <c r="Q1495">
        <v>-8.6182640000000005E-3</v>
      </c>
      <c r="R1495">
        <v>-0.99677669999999996</v>
      </c>
      <c r="S1495">
        <v>-0.2687988</v>
      </c>
      <c r="T1495">
        <v>-0.24223310000000001</v>
      </c>
      <c r="U1495">
        <v>-3.0307009999999899</v>
      </c>
      <c r="V1495">
        <v>2.9989999999999999E-2</v>
      </c>
      <c r="W1495">
        <v>4.6775810000000001E-3</v>
      </c>
      <c r="X1495">
        <v>0.99953930000000002</v>
      </c>
      <c r="Y1495">
        <v>0.1967237</v>
      </c>
      <c r="Z1495">
        <v>7.8020610000000004E-2</v>
      </c>
      <c r="AA1495">
        <v>0.97734979999999905</v>
      </c>
      <c r="AB1495">
        <v>20</v>
      </c>
      <c r="AC1495">
        <v>-1.2446999999999899</v>
      </c>
      <c r="AD1495">
        <v>-1.103402842685</v>
      </c>
      <c r="AE1495">
        <v>-13.6038</v>
      </c>
      <c r="AF1495">
        <v>2.71067923124988</v>
      </c>
      <c r="AG1495">
        <v>-1.103402842685</v>
      </c>
      <c r="AH1495">
        <v>13.298627709046301</v>
      </c>
      <c r="AI1495">
        <v>94.647894900462106</v>
      </c>
      <c r="AJ1495">
        <v>78.479138543982202</v>
      </c>
      <c r="AK1495">
        <v>13.616856416654599</v>
      </c>
    </row>
    <row r="1496" spans="1:37" x14ac:dyDescent="0.2">
      <c r="A1496" t="str">
        <f>"20200111155820754"</f>
        <v>20200111155820754</v>
      </c>
      <c r="B1496" t="str">
        <f>"1578729500742068"</f>
        <v>1578729500742068</v>
      </c>
      <c r="C1496" t="s">
        <v>37</v>
      </c>
      <c r="D1496">
        <v>6.1105400000000003</v>
      </c>
      <c r="E1496">
        <v>0.53899129999999995</v>
      </c>
      <c r="F1496" t="s">
        <v>38</v>
      </c>
      <c r="G1496">
        <v>-192.19929999999999</v>
      </c>
      <c r="H1496">
        <v>1.046273</v>
      </c>
      <c r="I1496">
        <v>339.24610000000001</v>
      </c>
      <c r="J1496">
        <v>-192.15430000000001</v>
      </c>
      <c r="K1496">
        <v>1.103364</v>
      </c>
      <c r="L1496">
        <v>339.90429999999998</v>
      </c>
      <c r="M1496">
        <v>0.1077496</v>
      </c>
      <c r="N1496">
        <v>0</v>
      </c>
      <c r="O1496">
        <v>-0.99409020000000003</v>
      </c>
      <c r="P1496">
        <v>7.7388150000000003E-2</v>
      </c>
      <c r="Q1496">
        <v>-9.7507469999999902E-3</v>
      </c>
      <c r="R1496">
        <v>-0.99695370000000005</v>
      </c>
      <c r="S1496">
        <v>-8.9416499999999996E-2</v>
      </c>
      <c r="T1496">
        <v>-0.20172509999999999</v>
      </c>
      <c r="U1496">
        <v>-3.0151059999999998</v>
      </c>
      <c r="V1496">
        <v>3.0501919999999998E-2</v>
      </c>
      <c r="W1496">
        <v>3.3920389999999999E-3</v>
      </c>
      <c r="X1496">
        <v>0.99952890000000005</v>
      </c>
      <c r="Y1496">
        <v>0.1371164</v>
      </c>
      <c r="Z1496">
        <v>6.584284E-2</v>
      </c>
      <c r="AA1496">
        <v>0.98836420000000003</v>
      </c>
      <c r="AB1496">
        <v>20</v>
      </c>
      <c r="AC1496">
        <v>-4.4999999999987397E-2</v>
      </c>
      <c r="AD1496">
        <v>-5.7091000000000003E-2</v>
      </c>
      <c r="AE1496">
        <v>-0.65819999999996504</v>
      </c>
      <c r="AF1496">
        <v>0.114805231487109</v>
      </c>
      <c r="AG1496">
        <v>-5.7091000000000003E-2</v>
      </c>
      <c r="AH1496">
        <v>0.64469041678315098</v>
      </c>
      <c r="AI1496">
        <v>94.982681292560997</v>
      </c>
      <c r="AJ1496">
        <v>79.902723973202697</v>
      </c>
      <c r="AK1496">
        <v>0.65731678584214004</v>
      </c>
    </row>
    <row r="1497" spans="1:37" x14ac:dyDescent="0.2">
      <c r="A1497" t="str">
        <f>"20200111155820776"</f>
        <v>20200111155820776</v>
      </c>
      <c r="B1497" t="str">
        <f>"1578729500772325"</f>
        <v>1578729500772325</v>
      </c>
      <c r="C1497" t="s">
        <v>37</v>
      </c>
      <c r="D1497">
        <v>6.0935329999999999</v>
      </c>
      <c r="E1497">
        <v>0.53798069999999998</v>
      </c>
      <c r="F1497" t="s">
        <v>38</v>
      </c>
      <c r="G1497">
        <v>-192.1739</v>
      </c>
      <c r="H1497">
        <v>1.0336510000000001</v>
      </c>
      <c r="I1497">
        <v>339.07979999999998</v>
      </c>
      <c r="J1497">
        <v>-192.13570000000001</v>
      </c>
      <c r="K1497">
        <v>1.103324</v>
      </c>
      <c r="L1497">
        <v>339.71210000000002</v>
      </c>
      <c r="M1497">
        <v>0.1059331</v>
      </c>
      <c r="N1497">
        <v>0</v>
      </c>
      <c r="O1497">
        <v>-0.99428780000000005</v>
      </c>
      <c r="P1497">
        <v>7.5580419999999995E-2</v>
      </c>
      <c r="Q1497">
        <v>-1.0179189999999999E-2</v>
      </c>
      <c r="R1497">
        <v>-0.99708799999999997</v>
      </c>
      <c r="S1497">
        <v>-7.1105959999999996E-2</v>
      </c>
      <c r="T1497">
        <v>-0.25484600000000002</v>
      </c>
      <c r="U1497">
        <v>-3.012238</v>
      </c>
      <c r="V1497">
        <v>3.048557E-2</v>
      </c>
      <c r="W1497">
        <v>2.768338E-3</v>
      </c>
      <c r="X1497">
        <v>0.99953139999999996</v>
      </c>
      <c r="Y1497">
        <v>0.12929499999999999</v>
      </c>
      <c r="Z1497">
        <v>8.3225789999999994E-2</v>
      </c>
      <c r="AA1497">
        <v>0.98810739999999997</v>
      </c>
      <c r="AB1497">
        <v>20</v>
      </c>
      <c r="AC1497">
        <v>-3.8199999999989097E-2</v>
      </c>
      <c r="AD1497">
        <v>-6.9672999999999805E-2</v>
      </c>
      <c r="AE1497">
        <v>-0.63230000000004305</v>
      </c>
      <c r="AF1497">
        <v>0.103717477430746</v>
      </c>
      <c r="AG1497">
        <v>-6.9672999999999805E-2</v>
      </c>
      <c r="AH1497">
        <v>0.61722762349110405</v>
      </c>
      <c r="AI1497">
        <v>96.352005541230696</v>
      </c>
      <c r="AJ1497">
        <v>80.461266456295604</v>
      </c>
      <c r="AK1497">
        <v>0.629747236003521</v>
      </c>
    </row>
    <row r="1498" spans="1:37" x14ac:dyDescent="0.2">
      <c r="A1498" t="str">
        <f>"20200111155820799"</f>
        <v>20200111155820799</v>
      </c>
      <c r="B1498" t="str">
        <f>"1578729500792821"</f>
        <v>1578729500792821</v>
      </c>
      <c r="C1498" t="s">
        <v>37</v>
      </c>
      <c r="D1498">
        <v>6.1208749999999998</v>
      </c>
      <c r="E1498">
        <v>0.53751800000000005</v>
      </c>
      <c r="F1498" t="s">
        <v>38</v>
      </c>
      <c r="G1498">
        <v>-192.15479999999999</v>
      </c>
      <c r="H1498">
        <v>1.043399</v>
      </c>
      <c r="I1498">
        <v>338.8972</v>
      </c>
      <c r="J1498">
        <v>-192.11539999999999</v>
      </c>
      <c r="K1498">
        <v>1.103283</v>
      </c>
      <c r="L1498">
        <v>339.49860000000001</v>
      </c>
      <c r="M1498">
        <v>0.1039093</v>
      </c>
      <c r="N1498">
        <v>0</v>
      </c>
      <c r="O1498">
        <v>-0.99450490000000002</v>
      </c>
      <c r="P1498">
        <v>7.3607720000000001E-2</v>
      </c>
      <c r="Q1498">
        <v>-9.8156849999999993E-3</v>
      </c>
      <c r="R1498">
        <v>-0.99723919999999999</v>
      </c>
      <c r="S1498">
        <v>-6.9686890000000001E-2</v>
      </c>
      <c r="T1498">
        <v>-0.22167339999999999</v>
      </c>
      <c r="U1498">
        <v>-3.011749</v>
      </c>
      <c r="V1498">
        <v>3.042889E-2</v>
      </c>
      <c r="W1498">
        <v>2.874672E-3</v>
      </c>
      <c r="X1498">
        <v>0.9995328</v>
      </c>
      <c r="Y1498">
        <v>0.12683449999999999</v>
      </c>
      <c r="Z1498">
        <v>7.2502300000000006E-2</v>
      </c>
      <c r="AA1498">
        <v>0.9892706</v>
      </c>
      <c r="AB1498">
        <v>20</v>
      </c>
      <c r="AC1498">
        <v>-3.9400000000000497E-2</v>
      </c>
      <c r="AD1498">
        <v>-5.9884E-2</v>
      </c>
      <c r="AE1498">
        <v>-0.60140000000001204</v>
      </c>
      <c r="AF1498">
        <v>0.100688759374747</v>
      </c>
      <c r="AG1498">
        <v>-5.9884E-2</v>
      </c>
      <c r="AH1498">
        <v>0.58824207492532499</v>
      </c>
      <c r="AI1498">
        <v>95.730009756686599</v>
      </c>
      <c r="AJ1498">
        <v>80.286874408109995</v>
      </c>
      <c r="AK1498">
        <v>0.59979418005919105</v>
      </c>
    </row>
    <row r="1499" spans="1:37" x14ac:dyDescent="0.2">
      <c r="A1499" t="str">
        <f>"20200111155820823"</f>
        <v>20200111155820823</v>
      </c>
      <c r="B1499" t="str">
        <f>"1578729500812341"</f>
        <v>1578729500812341</v>
      </c>
      <c r="C1499" t="s">
        <v>37</v>
      </c>
      <c r="D1499">
        <v>6.0894409999999999</v>
      </c>
      <c r="E1499">
        <v>0.53738019999999997</v>
      </c>
      <c r="F1499" t="s">
        <v>38</v>
      </c>
      <c r="G1499">
        <v>-192.1345</v>
      </c>
      <c r="H1499">
        <v>1.0509740000000001</v>
      </c>
      <c r="I1499">
        <v>338.71339999999998</v>
      </c>
      <c r="J1499">
        <v>-192.09700000000001</v>
      </c>
      <c r="K1499">
        <v>1.1032409999999999</v>
      </c>
      <c r="L1499">
        <v>339.30130000000003</v>
      </c>
      <c r="M1499">
        <v>0.1020332</v>
      </c>
      <c r="N1499">
        <v>0</v>
      </c>
      <c r="O1499">
        <v>-0.99470259999999999</v>
      </c>
      <c r="P1499">
        <v>7.183755E-2</v>
      </c>
      <c r="Q1499">
        <v>-9.1563840000000001E-3</v>
      </c>
      <c r="R1499">
        <v>-0.99737469999999995</v>
      </c>
      <c r="S1499">
        <v>-7.2540279999999999E-2</v>
      </c>
      <c r="T1499">
        <v>-0.20079379999999999</v>
      </c>
      <c r="U1499">
        <v>-3.0116879999999999</v>
      </c>
      <c r="V1499">
        <v>3.0318830000000001E-2</v>
      </c>
      <c r="W1499">
        <v>3.262816E-3</v>
      </c>
      <c r="X1499">
        <v>0.99953499999999995</v>
      </c>
      <c r="Y1499">
        <v>0.12591189999999999</v>
      </c>
      <c r="Z1499">
        <v>6.5728830000000002E-2</v>
      </c>
      <c r="AA1499">
        <v>0.98986149999999995</v>
      </c>
      <c r="AB1499">
        <v>20</v>
      </c>
      <c r="AC1499">
        <v>-3.7499999999994302E-2</v>
      </c>
      <c r="AD1499">
        <v>-5.22669999999998E-2</v>
      </c>
      <c r="AE1499">
        <v>-0.58790000000004705</v>
      </c>
      <c r="AF1499">
        <v>9.6534335474114802E-2</v>
      </c>
      <c r="AG1499">
        <v>-5.22669999999998E-2</v>
      </c>
      <c r="AH1499">
        <v>0.57646677963394399</v>
      </c>
      <c r="AI1499">
        <v>95.109951762883099</v>
      </c>
      <c r="AJ1499">
        <v>80.493533858860602</v>
      </c>
      <c r="AK1499">
        <v>0.58682592413420098</v>
      </c>
    </row>
    <row r="1500" spans="1:37" x14ac:dyDescent="0.2">
      <c r="A1500" t="str">
        <f>"20200111155820842"</f>
        <v>20200111155820842</v>
      </c>
      <c r="B1500" t="str">
        <f>"1578729500832836"</f>
        <v>1578729500832836</v>
      </c>
      <c r="C1500" t="s">
        <v>37</v>
      </c>
      <c r="D1500">
        <v>6.4236879999999896</v>
      </c>
      <c r="E1500">
        <v>0.53542659999999997</v>
      </c>
      <c r="F1500" t="s">
        <v>39</v>
      </c>
      <c r="G1500">
        <v>-192.54169999999999</v>
      </c>
      <c r="H1500" s="1">
        <v>-1.6562069999999999E-6</v>
      </c>
      <c r="I1500">
        <v>321.8734</v>
      </c>
      <c r="J1500">
        <v>-192.08</v>
      </c>
      <c r="K1500">
        <v>1.103205</v>
      </c>
      <c r="L1500">
        <v>339.1157</v>
      </c>
      <c r="M1500">
        <v>0.10027</v>
      </c>
      <c r="N1500">
        <v>0</v>
      </c>
      <c r="O1500">
        <v>-0.99488519999999903</v>
      </c>
      <c r="P1500">
        <v>7.0321739999999994E-2</v>
      </c>
      <c r="Q1500">
        <v>-8.1735219999999904E-3</v>
      </c>
      <c r="R1500">
        <v>-0.99749109999999996</v>
      </c>
      <c r="S1500">
        <v>-7.685852E-2</v>
      </c>
      <c r="T1500">
        <v>-0.1906494</v>
      </c>
      <c r="U1500">
        <v>-3.0116879999999999</v>
      </c>
      <c r="V1500">
        <v>3.0068520000000001E-2</v>
      </c>
      <c r="W1500">
        <v>3.9671000000000003E-3</v>
      </c>
      <c r="X1500">
        <v>0.99953999999999998</v>
      </c>
      <c r="Y1500">
        <v>0.1255772</v>
      </c>
      <c r="Z1500">
        <v>6.243891E-2</v>
      </c>
      <c r="AA1500">
        <v>0.99011700000000002</v>
      </c>
      <c r="AB1500">
        <v>20</v>
      </c>
      <c r="AC1500">
        <v>-0.46169999999997902</v>
      </c>
      <c r="AD1500">
        <v>-1.103206656207</v>
      </c>
      <c r="AE1500">
        <v>-17.2423</v>
      </c>
      <c r="AF1500">
        <v>2.1794714987490602</v>
      </c>
      <c r="AG1500">
        <v>-1.103206656207</v>
      </c>
      <c r="AH1500">
        <v>17.039386893227</v>
      </c>
      <c r="AI1500">
        <v>93.674562763992299</v>
      </c>
      <c r="AJ1500">
        <v>82.710997932067002</v>
      </c>
      <c r="AK1500">
        <v>17.2135954012296</v>
      </c>
    </row>
    <row r="1501" spans="1:37" x14ac:dyDescent="0.2">
      <c r="A1501" t="str">
        <f>"20200111155820866"</f>
        <v>20200111155820866</v>
      </c>
      <c r="B1501" t="str">
        <f>"1578729500863094"</f>
        <v>1578729500863094</v>
      </c>
      <c r="C1501" t="s">
        <v>37</v>
      </c>
      <c r="D1501">
        <v>6.0912540000000002</v>
      </c>
      <c r="E1501">
        <v>0.53510459999999904</v>
      </c>
      <c r="F1501" t="s">
        <v>39</v>
      </c>
      <c r="G1501">
        <v>-192.47319999999999</v>
      </c>
      <c r="H1501" s="1">
        <v>-1.3371230000000001E-6</v>
      </c>
      <c r="I1501">
        <v>321.17200000000003</v>
      </c>
      <c r="J1501">
        <v>-192.0617</v>
      </c>
      <c r="K1501">
        <v>1.103159</v>
      </c>
      <c r="L1501">
        <v>338.91239999999999</v>
      </c>
      <c r="M1501">
        <v>9.8341730000000002E-2</v>
      </c>
      <c r="N1501">
        <v>0</v>
      </c>
      <c r="O1501">
        <v>-0.99508169999999996</v>
      </c>
      <c r="P1501">
        <v>6.8672239999999996E-2</v>
      </c>
      <c r="Q1501">
        <v>-6.70841699999999E-3</v>
      </c>
      <c r="R1501">
        <v>-0.99761679999999997</v>
      </c>
      <c r="S1501">
        <v>-6.5978999999999996E-2</v>
      </c>
      <c r="T1501">
        <v>-0.1851015</v>
      </c>
      <c r="U1501">
        <v>-3.0106809999999999</v>
      </c>
      <c r="V1501">
        <v>2.9787729999999998E-2</v>
      </c>
      <c r="W1501">
        <v>5.1105450000000002E-3</v>
      </c>
      <c r="X1501">
        <v>0.99954319999999897</v>
      </c>
      <c r="Y1501">
        <v>0.12008729999999999</v>
      </c>
      <c r="Z1501">
        <v>6.0690250000000001E-2</v>
      </c>
      <c r="AA1501">
        <v>0.99090650000000002</v>
      </c>
      <c r="AB1501">
        <v>20</v>
      </c>
      <c r="AC1501">
        <v>-0.41149999999998899</v>
      </c>
      <c r="AD1501">
        <v>-1.1031603371230001</v>
      </c>
      <c r="AE1501">
        <v>-17.740399999999902</v>
      </c>
      <c r="AF1501">
        <v>2.1459564667533702</v>
      </c>
      <c r="AG1501">
        <v>-1.1031603371230001</v>
      </c>
      <c r="AH1501">
        <v>17.546113730962102</v>
      </c>
      <c r="AI1501">
        <v>93.571029114366397</v>
      </c>
      <c r="AJ1501">
        <v>83.027137771700197</v>
      </c>
      <c r="AK1501">
        <v>17.711244985783999</v>
      </c>
    </row>
    <row r="1502" spans="1:37" x14ac:dyDescent="0.2">
      <c r="A1502" t="str">
        <f>"20200111155820888"</f>
        <v>20200111155820888</v>
      </c>
      <c r="B1502" t="str">
        <f>"1578729500882613"</f>
        <v>1578729500882613</v>
      </c>
      <c r="C1502" t="s">
        <v>37</v>
      </c>
      <c r="D1502">
        <v>6.0904259999999999</v>
      </c>
      <c r="E1502">
        <v>0.53524510000000003</v>
      </c>
      <c r="F1502" t="s">
        <v>38</v>
      </c>
      <c r="G1502">
        <v>-192.08269999999999</v>
      </c>
      <c r="H1502">
        <v>1.049002</v>
      </c>
      <c r="I1502">
        <v>337.9991</v>
      </c>
      <c r="J1502">
        <v>-192.04390000000001</v>
      </c>
      <c r="K1502">
        <v>1.103118</v>
      </c>
      <c r="L1502">
        <v>338.709</v>
      </c>
      <c r="M1502">
        <v>9.6415849999999997E-2</v>
      </c>
      <c r="N1502">
        <v>0</v>
      </c>
      <c r="O1502">
        <v>-0.99527379999999999</v>
      </c>
      <c r="P1502">
        <v>6.678481E-2</v>
      </c>
      <c r="Q1502">
        <v>-5.808634E-3</v>
      </c>
      <c r="R1502">
        <v>-0.99775059999999904</v>
      </c>
      <c r="S1502">
        <v>-6.8496699999999994E-2</v>
      </c>
      <c r="T1502">
        <v>-0.17867060000000001</v>
      </c>
      <c r="U1502">
        <v>-3.0106809999999999</v>
      </c>
      <c r="V1502">
        <v>2.9746069999999999E-2</v>
      </c>
      <c r="W1502">
        <v>5.6803569999999996E-3</v>
      </c>
      <c r="X1502">
        <v>0.99954129999999997</v>
      </c>
      <c r="Y1502">
        <v>0.1189968</v>
      </c>
      <c r="Z1502">
        <v>5.8609319999999999E-2</v>
      </c>
      <c r="AA1502">
        <v>0.99116329999999997</v>
      </c>
      <c r="AB1502">
        <v>20</v>
      </c>
      <c r="AC1502">
        <v>-3.87999999999806E-2</v>
      </c>
      <c r="AD1502">
        <v>-5.4115999999999997E-2</v>
      </c>
      <c r="AE1502">
        <v>-0.70990000000000397</v>
      </c>
      <c r="AF1502">
        <v>0.106452649069383</v>
      </c>
      <c r="AG1502">
        <v>-5.4115999999999997E-2</v>
      </c>
      <c r="AH1502">
        <v>0.69880234124764096</v>
      </c>
      <c r="AI1502">
        <v>94.377902151640399</v>
      </c>
      <c r="AJ1502">
        <v>81.338390082427793</v>
      </c>
      <c r="AK1502">
        <v>0.70893259205870496</v>
      </c>
    </row>
    <row r="1503" spans="1:37" x14ac:dyDescent="0.2">
      <c r="A1503" t="str">
        <f>"20200111155820910"</f>
        <v>20200111155820910</v>
      </c>
      <c r="B1503" t="str">
        <f>"1578729500902133"</f>
        <v>1578729500902133</v>
      </c>
      <c r="C1503" t="s">
        <v>37</v>
      </c>
      <c r="D1503">
        <v>6.0411159999999997</v>
      </c>
      <c r="E1503">
        <v>0.53529059999999995</v>
      </c>
      <c r="F1503" t="s">
        <v>38</v>
      </c>
      <c r="G1503">
        <v>-192.06620000000001</v>
      </c>
      <c r="H1503">
        <v>1.0497829999999999</v>
      </c>
      <c r="I1503">
        <v>337.81909999999999</v>
      </c>
      <c r="J1503">
        <v>-192.02619999999999</v>
      </c>
      <c r="K1503">
        <v>1.1030759999999999</v>
      </c>
      <c r="L1503">
        <v>338.50209999999998</v>
      </c>
      <c r="M1503">
        <v>9.4459089999999996E-2</v>
      </c>
      <c r="N1503">
        <v>0</v>
      </c>
      <c r="O1503">
        <v>-0.99546539999999994</v>
      </c>
      <c r="P1503">
        <v>6.5367179999999997E-2</v>
      </c>
      <c r="Q1503">
        <v>-4.0397660000000002E-3</v>
      </c>
      <c r="R1503">
        <v>-0.99785349999999995</v>
      </c>
      <c r="S1503">
        <v>-7.4981690000000004E-2</v>
      </c>
      <c r="T1503">
        <v>-0.18061659999999999</v>
      </c>
      <c r="U1503">
        <v>-3.010742</v>
      </c>
      <c r="V1503">
        <v>2.9205470000000001E-2</v>
      </c>
      <c r="W1503">
        <v>7.1265729999999998E-3</v>
      </c>
      <c r="X1503">
        <v>0.99954799999999999</v>
      </c>
      <c r="Y1503">
        <v>0.1191769</v>
      </c>
      <c r="Z1503">
        <v>5.9258859999999997E-2</v>
      </c>
      <c r="AA1503">
        <v>0.99110309999999902</v>
      </c>
      <c r="AB1503">
        <v>20</v>
      </c>
      <c r="AC1503">
        <v>-4.0000000000020401E-2</v>
      </c>
      <c r="AD1503">
        <v>-5.3293E-2</v>
      </c>
      <c r="AE1503">
        <v>-0.68299999999999195</v>
      </c>
      <c r="AF1503">
        <v>0.103711481803842</v>
      </c>
      <c r="AG1503">
        <v>-5.3293E-2</v>
      </c>
      <c r="AH1503">
        <v>0.672089223038836</v>
      </c>
      <c r="AI1503">
        <v>94.480938843707094</v>
      </c>
      <c r="AJ1503">
        <v>81.227761547859899</v>
      </c>
      <c r="AK1503">
        <v>0.68212912196438003</v>
      </c>
    </row>
    <row r="1504" spans="1:37" x14ac:dyDescent="0.2">
      <c r="A1504" t="str">
        <f>"20200111155820933"</f>
        <v>20200111155820933</v>
      </c>
      <c r="B1504" t="str">
        <f>"1578729500922628"</f>
        <v>1578729500922628</v>
      </c>
      <c r="C1504" t="s">
        <v>37</v>
      </c>
      <c r="D1504">
        <v>9.7125389999999996</v>
      </c>
      <c r="E1504">
        <v>0.53540480000000001</v>
      </c>
      <c r="F1504" t="s">
        <v>38</v>
      </c>
      <c r="G1504">
        <v>-192.04900000000001</v>
      </c>
      <c r="H1504">
        <v>1.050133</v>
      </c>
      <c r="I1504">
        <v>337.63900000000001</v>
      </c>
      <c r="J1504">
        <v>-192.00989999999999</v>
      </c>
      <c r="K1504">
        <v>1.1030389999999901</v>
      </c>
      <c r="L1504">
        <v>338.3073</v>
      </c>
      <c r="M1504">
        <v>9.2616180000000006E-2</v>
      </c>
      <c r="N1504">
        <v>0</v>
      </c>
      <c r="O1504">
        <v>-0.99564159999999902</v>
      </c>
      <c r="P1504">
        <v>6.3883389999999998E-2</v>
      </c>
      <c r="Q1504">
        <v>-3.1966719999999998E-3</v>
      </c>
      <c r="R1504">
        <v>-0.99795230000000001</v>
      </c>
      <c r="S1504">
        <v>-7.9330440000000002E-2</v>
      </c>
      <c r="T1504">
        <v>-0.184811999999999</v>
      </c>
      <c r="U1504">
        <v>-3.010834</v>
      </c>
      <c r="V1504">
        <v>2.8842949999999999E-2</v>
      </c>
      <c r="W1504">
        <v>7.6830269999999899E-3</v>
      </c>
      <c r="X1504">
        <v>0.99955450000000001</v>
      </c>
      <c r="Y1504">
        <v>0.11876630000000001</v>
      </c>
      <c r="Z1504">
        <v>6.0644700000000003E-2</v>
      </c>
      <c r="AA1504">
        <v>0.99106849999999902</v>
      </c>
      <c r="AB1504">
        <v>20</v>
      </c>
      <c r="AC1504">
        <v>-3.9100000000019002E-2</v>
      </c>
      <c r="AD1504">
        <v>-5.2905999999999898E-2</v>
      </c>
      <c r="AE1504">
        <v>-0.66829999999998702</v>
      </c>
      <c r="AF1504">
        <v>0.100205178093765</v>
      </c>
      <c r="AG1504">
        <v>-5.2905999999999898E-2</v>
      </c>
      <c r="AH1504">
        <v>0.65769791351130302</v>
      </c>
      <c r="AI1504">
        <v>94.546792379456505</v>
      </c>
      <c r="AJ1504">
        <v>81.3371805051694</v>
      </c>
      <c r="AK1504">
        <v>0.66738794414487601</v>
      </c>
    </row>
    <row r="1505" spans="1:37" x14ac:dyDescent="0.2">
      <c r="A1505" t="str">
        <f>"20200111155820954"</f>
        <v>20200111155820954</v>
      </c>
      <c r="B1505" t="str">
        <f>"1578729500942150"</f>
        <v>1578729500942150</v>
      </c>
      <c r="C1505" t="s">
        <v>37</v>
      </c>
      <c r="D1505">
        <v>6.0720679999999998</v>
      </c>
      <c r="E1505">
        <v>0.53534879999999996</v>
      </c>
      <c r="F1505" t="s">
        <v>39</v>
      </c>
      <c r="G1505">
        <v>-192.54419999999999</v>
      </c>
      <c r="H1505" s="1">
        <v>-5.1009900000000001E-6</v>
      </c>
      <c r="I1505">
        <v>319.39420000000001</v>
      </c>
      <c r="J1505">
        <v>-191.99350000000001</v>
      </c>
      <c r="K1505">
        <v>1.1030009999999999</v>
      </c>
      <c r="L1505">
        <v>338.1078</v>
      </c>
      <c r="M1505">
        <v>9.0726520000000005E-2</v>
      </c>
      <c r="N1505">
        <v>0</v>
      </c>
      <c r="O1505">
        <v>-0.99581869999999995</v>
      </c>
      <c r="P1505">
        <v>6.282944E-2</v>
      </c>
      <c r="Q1505">
        <v>-3.2696050000000001E-3</v>
      </c>
      <c r="R1505">
        <v>-0.99801899999999999</v>
      </c>
      <c r="S1505">
        <v>-8.5067749999999998E-2</v>
      </c>
      <c r="T1505">
        <v>-0.17560889999999901</v>
      </c>
      <c r="U1505">
        <v>-3.011047</v>
      </c>
      <c r="V1505">
        <v>2.8000529999999999E-2</v>
      </c>
      <c r="W1505">
        <v>7.3301769999999898E-3</v>
      </c>
      <c r="X1505">
        <v>0.99958099999999905</v>
      </c>
      <c r="Y1505">
        <v>0.1187719</v>
      </c>
      <c r="Z1505">
        <v>5.7644849999999997E-2</v>
      </c>
      <c r="AA1505">
        <v>0.99124679999999998</v>
      </c>
      <c r="AB1505">
        <v>20</v>
      </c>
      <c r="AC1505">
        <v>-0.55069999999997699</v>
      </c>
      <c r="AD1505">
        <v>-1.1030061009899901</v>
      </c>
      <c r="AE1505">
        <v>-18.7135999999999</v>
      </c>
      <c r="AF1505">
        <v>2.2385747181723099</v>
      </c>
      <c r="AG1505">
        <v>-1.1030061009899901</v>
      </c>
      <c r="AH1505">
        <v>18.522155500429498</v>
      </c>
      <c r="AI1505">
        <v>93.383411956354905</v>
      </c>
      <c r="AJ1505">
        <v>83.108696269736797</v>
      </c>
      <c r="AK1505">
        <v>18.6895180143778</v>
      </c>
    </row>
    <row r="1506" spans="1:37" x14ac:dyDescent="0.2">
      <c r="A1506" t="str">
        <f>"20200111155820977"</f>
        <v>20200111155820977</v>
      </c>
      <c r="B1506" t="str">
        <f>"1578729500972405"</f>
        <v>1578729500972405</v>
      </c>
      <c r="C1506" t="s">
        <v>37</v>
      </c>
      <c r="D1506">
        <v>8.4796679999999895</v>
      </c>
      <c r="E1506">
        <v>0.5353772</v>
      </c>
      <c r="F1506" t="s">
        <v>39</v>
      </c>
      <c r="G1506">
        <v>-192.55240000000001</v>
      </c>
      <c r="H1506" s="1">
        <v>-4.9456310000000004E-6</v>
      </c>
      <c r="I1506">
        <v>318.98579999999998</v>
      </c>
      <c r="J1506">
        <v>-191.97710000000001</v>
      </c>
      <c r="K1506">
        <v>1.102967</v>
      </c>
      <c r="L1506">
        <v>337.90249999999997</v>
      </c>
      <c r="M1506">
        <v>8.8781040000000006E-2</v>
      </c>
      <c r="N1506">
        <v>0</v>
      </c>
      <c r="O1506">
        <v>-0.99599699999999902</v>
      </c>
      <c r="P1506">
        <v>6.1457169999999998E-2</v>
      </c>
      <c r="Q1506">
        <v>-2.7538659999999898E-3</v>
      </c>
      <c r="R1506">
        <v>-0.99810589999999999</v>
      </c>
      <c r="S1506">
        <v>-8.8012699999999999E-2</v>
      </c>
      <c r="T1506">
        <v>-0.17367959999999999</v>
      </c>
      <c r="U1506">
        <v>-3.0109560000000002</v>
      </c>
      <c r="V1506">
        <v>2.7422849999999999E-2</v>
      </c>
      <c r="W1506">
        <v>7.56382199999999E-3</v>
      </c>
      <c r="X1506">
        <v>0.99959529999999996</v>
      </c>
      <c r="Y1506">
        <v>0.11780259999999999</v>
      </c>
      <c r="Z1506">
        <v>5.703304E-2</v>
      </c>
      <c r="AA1506">
        <v>0.99139789999999905</v>
      </c>
      <c r="AB1506">
        <v>20</v>
      </c>
      <c r="AC1506">
        <v>-0.57529999999999804</v>
      </c>
      <c r="AD1506">
        <v>-1.1029719456310001</v>
      </c>
      <c r="AE1506">
        <v>-18.916699999999899</v>
      </c>
      <c r="AF1506">
        <v>2.2449378853698199</v>
      </c>
      <c r="AG1506">
        <v>-1.1029719456310001</v>
      </c>
      <c r="AH1506">
        <v>18.7273065040111</v>
      </c>
      <c r="AI1506">
        <v>93.346719080461398</v>
      </c>
      <c r="AJ1506">
        <v>83.164280908626694</v>
      </c>
      <c r="AK1506">
        <v>18.893604794141101</v>
      </c>
    </row>
    <row r="1507" spans="1:37" x14ac:dyDescent="0.2">
      <c r="A1507" t="str">
        <f>"20200111155820999"</f>
        <v>20200111155820999</v>
      </c>
      <c r="B1507" t="str">
        <f>"1578729500992902"</f>
        <v>1578729500992902</v>
      </c>
      <c r="C1507" t="s">
        <v>37</v>
      </c>
      <c r="D1507">
        <v>6.1112989999999998</v>
      </c>
      <c r="E1507">
        <v>0.5352169</v>
      </c>
      <c r="F1507" t="s">
        <v>39</v>
      </c>
      <c r="G1507">
        <v>-192.57650000000001</v>
      </c>
      <c r="H1507" s="1">
        <v>-4.7134550000000001E-6</v>
      </c>
      <c r="I1507">
        <v>318.37009999999998</v>
      </c>
      <c r="J1507">
        <v>-191.96099999999899</v>
      </c>
      <c r="K1507">
        <v>1.102929</v>
      </c>
      <c r="L1507">
        <v>337.69760000000002</v>
      </c>
      <c r="M1507">
        <v>8.6837250000000005E-2</v>
      </c>
      <c r="N1507">
        <v>0</v>
      </c>
      <c r="O1507">
        <v>-0.99617119999999904</v>
      </c>
      <c r="P1507">
        <v>6.0035600000000001E-2</v>
      </c>
      <c r="Q1507">
        <v>-2.2697020000000002E-3</v>
      </c>
      <c r="R1507">
        <v>-0.99819360000000001</v>
      </c>
      <c r="S1507">
        <v>-9.2407230000000007E-2</v>
      </c>
      <c r="T1507">
        <v>-0.17002300000000001</v>
      </c>
      <c r="U1507">
        <v>-3.0109249999999999</v>
      </c>
      <c r="V1507">
        <v>2.6896369999999999E-2</v>
      </c>
      <c r="W1507">
        <v>7.7674249999999997E-3</v>
      </c>
      <c r="X1507">
        <v>0.99960799999999905</v>
      </c>
      <c r="Y1507">
        <v>0.1173126</v>
      </c>
      <c r="Z1507">
        <v>5.5851610000000003E-2</v>
      </c>
      <c r="AA1507">
        <v>0.9915233</v>
      </c>
      <c r="AB1507">
        <v>20</v>
      </c>
      <c r="AC1507">
        <v>-0.61550000000002503</v>
      </c>
      <c r="AD1507">
        <v>-1.1029337134549999</v>
      </c>
      <c r="AE1507">
        <v>-19.327500000000001</v>
      </c>
      <c r="AF1507">
        <v>2.2841766409471802</v>
      </c>
      <c r="AG1507">
        <v>-1.1029337134549999</v>
      </c>
      <c r="AH1507">
        <v>19.138770306026199</v>
      </c>
      <c r="AI1507">
        <v>93.275016196654903</v>
      </c>
      <c r="AJ1507">
        <v>83.194048051185703</v>
      </c>
      <c r="AK1507">
        <v>19.3061247931882</v>
      </c>
    </row>
    <row r="1508" spans="1:37" x14ac:dyDescent="0.2">
      <c r="A1508" t="str">
        <f>"20200111155821023"</f>
        <v>20200111155821023</v>
      </c>
      <c r="B1508" t="str">
        <f>"1578729501012422"</f>
        <v>1578729501012422</v>
      </c>
      <c r="C1508" t="s">
        <v>37</v>
      </c>
      <c r="D1508">
        <v>6.0994409999999997</v>
      </c>
      <c r="E1508">
        <v>0.5353</v>
      </c>
      <c r="F1508" t="s">
        <v>39</v>
      </c>
      <c r="G1508">
        <v>-192.5839</v>
      </c>
      <c r="H1508" s="1">
        <v>-4.5879940000000002E-6</v>
      </c>
      <c r="I1508">
        <v>318.04000000000002</v>
      </c>
      <c r="J1508">
        <v>-191.9452</v>
      </c>
      <c r="K1508">
        <v>1.1028959999999901</v>
      </c>
      <c r="L1508">
        <v>337.48930000000001</v>
      </c>
      <c r="M1508">
        <v>8.4861950000000005E-2</v>
      </c>
      <c r="N1508">
        <v>0</v>
      </c>
      <c r="O1508">
        <v>-0.99634439999999902</v>
      </c>
      <c r="P1508">
        <v>5.8387179999999997E-2</v>
      </c>
      <c r="Q1508">
        <v>-1.409151E-3</v>
      </c>
      <c r="R1508">
        <v>-0.99829319999999899</v>
      </c>
      <c r="S1508">
        <v>-9.5397949999999995E-2</v>
      </c>
      <c r="T1508">
        <v>-0.16892409999999999</v>
      </c>
      <c r="U1508">
        <v>-3.010742</v>
      </c>
      <c r="V1508">
        <v>2.6566630000000001E-2</v>
      </c>
      <c r="W1508">
        <v>8.3424699999999994E-3</v>
      </c>
      <c r="X1508">
        <v>0.99961219999999995</v>
      </c>
      <c r="Y1508">
        <v>0.11632969999999999</v>
      </c>
      <c r="Z1508">
        <v>5.5511789999999998E-2</v>
      </c>
      <c r="AA1508">
        <v>0.99165820000000005</v>
      </c>
      <c r="AB1508">
        <v>20</v>
      </c>
      <c r="AC1508">
        <v>-0.63870000000000005</v>
      </c>
      <c r="AD1508">
        <v>-1.1029005879939999</v>
      </c>
      <c r="AE1508">
        <v>-19.449299999999901</v>
      </c>
      <c r="AF1508">
        <v>2.2796581785113701</v>
      </c>
      <c r="AG1508">
        <v>-1.1029005879939999</v>
      </c>
      <c r="AH1508">
        <v>19.263054250441801</v>
      </c>
      <c r="AI1508">
        <v>93.254216312655799</v>
      </c>
      <c r="AJ1508">
        <v>83.250805299366903</v>
      </c>
      <c r="AK1508">
        <v>19.428805680569099</v>
      </c>
    </row>
    <row r="1509" spans="1:37" x14ac:dyDescent="0.2">
      <c r="A1509" t="str">
        <f>"20200111155821043"</f>
        <v>20200111155821043</v>
      </c>
      <c r="B1509" t="str">
        <f>"1578729501031940"</f>
        <v>1578729501031940</v>
      </c>
      <c r="C1509" t="s">
        <v>37</v>
      </c>
      <c r="D1509">
        <v>6.1430369999999996</v>
      </c>
      <c r="E1509">
        <v>0.53513909999999998</v>
      </c>
      <c r="F1509" t="s">
        <v>39</v>
      </c>
      <c r="G1509">
        <v>-192.62620000000001</v>
      </c>
      <c r="H1509" s="1">
        <v>-4.2808919999999997E-6</v>
      </c>
      <c r="I1509">
        <v>317.22070000000002</v>
      </c>
      <c r="J1509">
        <v>-191.9307</v>
      </c>
      <c r="K1509">
        <v>1.1028659999999999</v>
      </c>
      <c r="L1509">
        <v>337.2946</v>
      </c>
      <c r="M1509">
        <v>8.3015900000000004E-2</v>
      </c>
      <c r="N1509">
        <v>0</v>
      </c>
      <c r="O1509">
        <v>-0.99650260000000002</v>
      </c>
      <c r="P1509">
        <v>5.6554350000000003E-2</v>
      </c>
      <c r="Q1509">
        <v>-6.4183299999999997E-4</v>
      </c>
      <c r="R1509">
        <v>-0.998399699999999</v>
      </c>
      <c r="S1509">
        <v>-0.1011658</v>
      </c>
      <c r="T1509">
        <v>-0.1638319</v>
      </c>
      <c r="U1509">
        <v>-3.010834</v>
      </c>
      <c r="V1509">
        <v>2.6551120000000001E-2</v>
      </c>
      <c r="W1509">
        <v>8.8393180000000005E-3</v>
      </c>
      <c r="X1509">
        <v>0.99960839999999995</v>
      </c>
      <c r="Y1509">
        <v>0.1163892</v>
      </c>
      <c r="Z1509">
        <v>5.3852589999999999E-2</v>
      </c>
      <c r="AA1509">
        <v>0.99174259999999903</v>
      </c>
      <c r="AB1509">
        <v>20</v>
      </c>
      <c r="AC1509">
        <v>-0.695500000000009</v>
      </c>
      <c r="AD1509">
        <v>-1.1028702808919999</v>
      </c>
      <c r="AE1509">
        <v>-20.073899999999899</v>
      </c>
      <c r="AF1509">
        <v>2.3525351962076102</v>
      </c>
      <c r="AG1509">
        <v>-1.1028702808919999</v>
      </c>
      <c r="AH1509">
        <v>19.886907021954698</v>
      </c>
      <c r="AI1509">
        <v>93.152271796231801</v>
      </c>
      <c r="AJ1509">
        <v>83.253510028547197</v>
      </c>
      <c r="AK1509">
        <v>20.055917221751301</v>
      </c>
    </row>
    <row r="1510" spans="1:37" x14ac:dyDescent="0.2">
      <c r="A1510" t="str">
        <f>"20200111155821066"</f>
        <v>20200111155821066</v>
      </c>
      <c r="B1510" t="str">
        <f>"1578729501062197"</f>
        <v>1578729501062197</v>
      </c>
      <c r="C1510" t="s">
        <v>37</v>
      </c>
      <c r="D1510">
        <v>6.1066060000000002</v>
      </c>
      <c r="E1510">
        <v>0.53482159999999901</v>
      </c>
      <c r="F1510" t="s">
        <v>39</v>
      </c>
      <c r="G1510">
        <v>-192.6344</v>
      </c>
      <c r="H1510" s="1">
        <v>-4.2640899999999997E-6</v>
      </c>
      <c r="I1510">
        <v>317.17320000000001</v>
      </c>
      <c r="J1510">
        <v>-191.91569999999999</v>
      </c>
      <c r="K1510">
        <v>1.1028279999999999</v>
      </c>
      <c r="L1510">
        <v>337.0874</v>
      </c>
      <c r="M1510">
        <v>8.1056749999999997E-2</v>
      </c>
      <c r="N1510">
        <v>0</v>
      </c>
      <c r="O1510">
        <v>-0.99666650000000001</v>
      </c>
      <c r="P1510">
        <v>5.5352099999999897E-2</v>
      </c>
      <c r="Q1510" s="1">
        <v>-4.611537E-5</v>
      </c>
      <c r="R1510">
        <v>-0.99846669999999904</v>
      </c>
      <c r="S1510">
        <v>-0.10528559999999999</v>
      </c>
      <c r="T1510">
        <v>-0.16501939999999901</v>
      </c>
      <c r="U1510">
        <v>-3.0107119999999998</v>
      </c>
      <c r="V1510">
        <v>2.579039E-2</v>
      </c>
      <c r="W1510">
        <v>9.1444809999999994E-3</v>
      </c>
      <c r="X1510">
        <v>0.999625599999999</v>
      </c>
      <c r="Y1510">
        <v>0.1157926</v>
      </c>
      <c r="Z1510">
        <v>5.4257809999999997E-2</v>
      </c>
      <c r="AA1510">
        <v>0.99179039999999996</v>
      </c>
      <c r="AB1510">
        <v>21</v>
      </c>
      <c r="AC1510">
        <v>-0.718700000000012</v>
      </c>
      <c r="AD1510">
        <v>-1.1028322640899999</v>
      </c>
      <c r="AE1510">
        <v>-19.914199999999902</v>
      </c>
      <c r="AF1510">
        <v>2.32346793219175</v>
      </c>
      <c r="AG1510">
        <v>-1.1028322640899999</v>
      </c>
      <c r="AH1510">
        <v>19.7299782097408</v>
      </c>
      <c r="AI1510">
        <v>93.177380441873197</v>
      </c>
      <c r="AJ1510">
        <v>83.283592387451407</v>
      </c>
      <c r="AK1510">
        <v>19.896903839328601</v>
      </c>
    </row>
    <row r="1511" spans="1:37" x14ac:dyDescent="0.2">
      <c r="A1511" t="str">
        <f>"20200111155821088"</f>
        <v>20200111155821088</v>
      </c>
      <c r="B1511" t="str">
        <f>"1578729501082692"</f>
        <v>1578729501082692</v>
      </c>
      <c r="C1511" t="s">
        <v>37</v>
      </c>
      <c r="D1511">
        <v>6.1350930000000004</v>
      </c>
      <c r="E1511">
        <v>0.5344314</v>
      </c>
      <c r="F1511" t="s">
        <v>38</v>
      </c>
      <c r="G1511">
        <v>-191.9479</v>
      </c>
      <c r="H1511">
        <v>1.0501389999999999</v>
      </c>
      <c r="I1511">
        <v>336.17320000000001</v>
      </c>
      <c r="J1511">
        <v>-191.9007</v>
      </c>
      <c r="K1511">
        <v>1.1027929999999999</v>
      </c>
      <c r="L1511">
        <v>336.87419999999997</v>
      </c>
      <c r="M1511">
        <v>7.9049369999999994E-2</v>
      </c>
      <c r="N1511">
        <v>0</v>
      </c>
      <c r="O1511">
        <v>-0.99683029999999995</v>
      </c>
      <c r="P1511">
        <v>5.4224899999999999E-2</v>
      </c>
      <c r="Q1511">
        <v>7.9294000000000001E-4</v>
      </c>
      <c r="R1511">
        <v>-0.99852839999999998</v>
      </c>
      <c r="S1511">
        <v>-0.105957</v>
      </c>
      <c r="T1511">
        <v>-0.173538</v>
      </c>
      <c r="U1511">
        <v>-3.0104679999999999</v>
      </c>
      <c r="V1511">
        <v>2.4906919999999999E-2</v>
      </c>
      <c r="W1511">
        <v>9.6870979999999999E-3</v>
      </c>
      <c r="X1511">
        <v>0.99964279999999905</v>
      </c>
      <c r="Y1511">
        <v>0.114009999999999</v>
      </c>
      <c r="Z1511">
        <v>5.7073909999999999E-2</v>
      </c>
      <c r="AA1511">
        <v>0.99183880000000002</v>
      </c>
      <c r="AB1511">
        <v>21</v>
      </c>
      <c r="AC1511">
        <v>-4.72000000000036E-2</v>
      </c>
      <c r="AD1511">
        <v>-5.2654000000000201E-2</v>
      </c>
      <c r="AE1511">
        <v>-0.70099999999996498</v>
      </c>
      <c r="AF1511">
        <v>0.101895832258657</v>
      </c>
      <c r="AG1511">
        <v>-5.2654000000000201E-2</v>
      </c>
      <c r="AH1511">
        <v>0.69119285185992896</v>
      </c>
      <c r="AI1511">
        <v>94.3098871879169</v>
      </c>
      <c r="AJ1511">
        <v>81.613844332154699</v>
      </c>
      <c r="AK1511">
        <v>0.70064453384719005</v>
      </c>
    </row>
    <row r="1512" spans="1:37" x14ac:dyDescent="0.2">
      <c r="A1512" t="str">
        <f>"20200111155821110"</f>
        <v>20200111155821110</v>
      </c>
      <c r="B1512" t="str">
        <f>"1578729501102213"</f>
        <v>1578729501102213</v>
      </c>
      <c r="C1512" t="s">
        <v>37</v>
      </c>
      <c r="D1512">
        <v>6.1589989999999997</v>
      </c>
      <c r="E1512">
        <v>0.53429740000000003</v>
      </c>
      <c r="F1512" t="s">
        <v>38</v>
      </c>
      <c r="G1512">
        <v>-191.93219999999999</v>
      </c>
      <c r="H1512">
        <v>1.051906</v>
      </c>
      <c r="I1512">
        <v>335.98559999999998</v>
      </c>
      <c r="J1512">
        <v>-191.88640000000001</v>
      </c>
      <c r="K1512">
        <v>1.1027629999999999</v>
      </c>
      <c r="L1512">
        <v>336.66489999999999</v>
      </c>
      <c r="M1512">
        <v>7.7088710000000005E-2</v>
      </c>
      <c r="N1512">
        <v>0</v>
      </c>
      <c r="O1512">
        <v>-0.99698659999999995</v>
      </c>
      <c r="P1512">
        <v>5.3039509999999998E-2</v>
      </c>
      <c r="Q1512">
        <v>1.9782950000000001E-3</v>
      </c>
      <c r="R1512">
        <v>-0.998590599999999</v>
      </c>
      <c r="S1512">
        <v>-0.1062622</v>
      </c>
      <c r="T1512">
        <v>-0.17256089999999999</v>
      </c>
      <c r="U1512">
        <v>-3.010345</v>
      </c>
      <c r="V1512">
        <v>2.4129709999999999E-2</v>
      </c>
      <c r="W1512">
        <v>1.059447E-2</v>
      </c>
      <c r="X1512">
        <v>0.99965269999999995</v>
      </c>
      <c r="Y1512">
        <v>0.112158199999999</v>
      </c>
      <c r="Z1512">
        <v>5.6774999999999999E-2</v>
      </c>
      <c r="AA1512">
        <v>0.99206709999999998</v>
      </c>
      <c r="AB1512">
        <v>21</v>
      </c>
      <c r="AC1512">
        <v>-4.5799999999985602E-2</v>
      </c>
      <c r="AD1512">
        <v>-5.0856999999999902E-2</v>
      </c>
      <c r="AE1512">
        <v>-0.67930000000001201</v>
      </c>
      <c r="AF1512">
        <v>9.7488074426971397E-2</v>
      </c>
      <c r="AG1512">
        <v>-5.0856999999999902E-2</v>
      </c>
      <c r="AH1512">
        <v>0.67000918720525604</v>
      </c>
      <c r="AI1512">
        <v>94.2956470080521</v>
      </c>
      <c r="AJ1512">
        <v>81.721411276995099</v>
      </c>
      <c r="AK1512">
        <v>0.67897177411430398</v>
      </c>
    </row>
    <row r="1513" spans="1:37" x14ac:dyDescent="0.2">
      <c r="A1513" t="str">
        <f>"20200111155821135"</f>
        <v>20200111155821135</v>
      </c>
      <c r="B1513" t="str">
        <f>"1578729501122709"</f>
        <v>1578729501122709</v>
      </c>
      <c r="C1513" t="s">
        <v>37</v>
      </c>
      <c r="D1513">
        <v>6.1249349999999998</v>
      </c>
      <c r="E1513">
        <v>0.53410230000000003</v>
      </c>
      <c r="F1513" t="s">
        <v>38</v>
      </c>
      <c r="G1513">
        <v>-191.9177</v>
      </c>
      <c r="H1513">
        <v>1.0533950000000001</v>
      </c>
      <c r="I1513">
        <v>335.7971</v>
      </c>
      <c r="J1513">
        <v>-191.8716</v>
      </c>
      <c r="K1513">
        <v>1.1027359999999999</v>
      </c>
      <c r="L1513">
        <v>336.44349999999997</v>
      </c>
      <c r="M1513">
        <v>7.5029440000000003E-2</v>
      </c>
      <c r="N1513">
        <v>0</v>
      </c>
      <c r="O1513">
        <v>-0.99714619999999998</v>
      </c>
      <c r="P1513">
        <v>5.1205880000000002E-2</v>
      </c>
      <c r="Q1513">
        <v>2.0604999999999998E-3</v>
      </c>
      <c r="R1513">
        <v>-0.99868609999999902</v>
      </c>
      <c r="S1513">
        <v>-0.1087799</v>
      </c>
      <c r="T1513">
        <v>-0.171297</v>
      </c>
      <c r="U1513">
        <v>-3.010345</v>
      </c>
      <c r="V1513">
        <v>2.3899859999999998E-2</v>
      </c>
      <c r="W1513">
        <v>1.0390399999999999E-2</v>
      </c>
      <c r="X1513">
        <v>0.99966039999999901</v>
      </c>
      <c r="Y1513">
        <v>0.110935199999999</v>
      </c>
      <c r="Z1513">
        <v>5.6376950000000002E-2</v>
      </c>
      <c r="AA1513">
        <v>0.99222730000000003</v>
      </c>
      <c r="AB1513">
        <v>21</v>
      </c>
      <c r="AC1513">
        <v>-4.6099999999995499E-2</v>
      </c>
      <c r="AD1513">
        <v>-4.9341000000000003E-2</v>
      </c>
      <c r="AE1513">
        <v>-0.646399999999971</v>
      </c>
      <c r="AF1513">
        <v>9.39262793462948E-2</v>
      </c>
      <c r="AG1513">
        <v>-4.9341000000000003E-2</v>
      </c>
      <c r="AH1513">
        <v>0.63742369755471595</v>
      </c>
      <c r="AI1513">
        <v>94.379163024908607</v>
      </c>
      <c r="AJ1513">
        <v>81.617617599883403</v>
      </c>
      <c r="AK1513">
        <v>0.646193199002562</v>
      </c>
    </row>
    <row r="1514" spans="1:37" x14ac:dyDescent="0.2">
      <c r="A1514" t="str">
        <f>"20200111155821154"</f>
        <v>20200111155821154</v>
      </c>
      <c r="B1514" t="str">
        <f>"1578729501151989"</f>
        <v>1578729501151989</v>
      </c>
      <c r="C1514" t="s">
        <v>37</v>
      </c>
      <c r="D1514">
        <v>6.0987599999999897</v>
      </c>
      <c r="E1514">
        <v>0.53395400000000004</v>
      </c>
      <c r="F1514" t="s">
        <v>38</v>
      </c>
      <c r="G1514">
        <v>-191.90289999999999</v>
      </c>
      <c r="H1514">
        <v>1.0539209999999899</v>
      </c>
      <c r="I1514">
        <v>335.6087</v>
      </c>
      <c r="J1514">
        <v>-191.85919999999999</v>
      </c>
      <c r="K1514">
        <v>1.1027049999999901</v>
      </c>
      <c r="L1514">
        <v>336.25110000000001</v>
      </c>
      <c r="M1514">
        <v>7.3256650000000006E-2</v>
      </c>
      <c r="N1514">
        <v>0</v>
      </c>
      <c r="O1514">
        <v>-0.99727999999999895</v>
      </c>
      <c r="P1514">
        <v>4.982172E-2</v>
      </c>
      <c r="Q1514">
        <v>2.236399E-3</v>
      </c>
      <c r="R1514">
        <v>-0.99875599999999998</v>
      </c>
      <c r="S1514">
        <v>-0.112243699999999</v>
      </c>
      <c r="T1514">
        <v>-0.1761277</v>
      </c>
      <c r="U1514">
        <v>-3.0100709999999999</v>
      </c>
      <c r="V1514">
        <v>2.3507770000000001E-2</v>
      </c>
      <c r="W1514">
        <v>1.0316489999999999E-2</v>
      </c>
      <c r="X1514">
        <v>0.99967039999999996</v>
      </c>
      <c r="Y1514">
        <v>0.1103083</v>
      </c>
      <c r="Z1514">
        <v>5.7979099999999902E-2</v>
      </c>
      <c r="AA1514">
        <v>0.9922048</v>
      </c>
      <c r="AB1514">
        <v>21</v>
      </c>
      <c r="AC1514">
        <v>-4.3700000000001099E-2</v>
      </c>
      <c r="AD1514">
        <v>-4.8783999999999897E-2</v>
      </c>
      <c r="AE1514">
        <v>-0.64240000000000896</v>
      </c>
      <c r="AF1514">
        <v>9.0126842242447602E-2</v>
      </c>
      <c r="AG1514">
        <v>-4.8783999999999897E-2</v>
      </c>
      <c r="AH1514">
        <v>0.63383398266712698</v>
      </c>
      <c r="AI1514">
        <v>94.357519887742299</v>
      </c>
      <c r="AJ1514">
        <v>81.907184953352598</v>
      </c>
      <c r="AK1514">
        <v>0.64206560718688699</v>
      </c>
    </row>
    <row r="1515" spans="1:37" x14ac:dyDescent="0.2">
      <c r="A1515" t="str">
        <f>"20200111155821178"</f>
        <v>20200111155821178</v>
      </c>
      <c r="B1515" t="str">
        <f>"1578729501172123"</f>
        <v>1578729501172123</v>
      </c>
      <c r="C1515" t="s">
        <v>37</v>
      </c>
      <c r="D1515">
        <v>6.0947899999999997</v>
      </c>
      <c r="E1515">
        <v>0.53385099999999996</v>
      </c>
      <c r="F1515" t="s">
        <v>38</v>
      </c>
      <c r="G1515">
        <v>-191.89099999999999</v>
      </c>
      <c r="H1515">
        <v>1.0521860000000001</v>
      </c>
      <c r="I1515">
        <v>335.42099999999999</v>
      </c>
      <c r="J1515">
        <v>-191.8449</v>
      </c>
      <c r="K1515">
        <v>1.102665</v>
      </c>
      <c r="L1515">
        <v>336.02510000000001</v>
      </c>
      <c r="M1515">
        <v>7.1202470000000004E-2</v>
      </c>
      <c r="N1515">
        <v>0</v>
      </c>
      <c r="O1515">
        <v>-0.99743119999999996</v>
      </c>
      <c r="P1515">
        <v>4.8803230000000003E-2</v>
      </c>
      <c r="Q1515">
        <v>2.6414619999999998E-3</v>
      </c>
      <c r="R1515">
        <v>-0.99880499999999905</v>
      </c>
      <c r="S1515">
        <v>-0.11517329999999899</v>
      </c>
      <c r="T1515">
        <v>-0.1831846</v>
      </c>
      <c r="U1515">
        <v>-3.0098880000000001</v>
      </c>
      <c r="V1515">
        <v>2.2468019999999998E-2</v>
      </c>
      <c r="W1515">
        <v>1.0416150000000001E-2</v>
      </c>
      <c r="X1515">
        <v>0.99969330000000001</v>
      </c>
      <c r="Y1515">
        <v>0.1092224</v>
      </c>
      <c r="Z1515">
        <v>6.0313499999999999E-2</v>
      </c>
      <c r="AA1515">
        <v>0.99218580000000001</v>
      </c>
      <c r="AB1515">
        <v>21</v>
      </c>
      <c r="AC1515">
        <v>-4.6099999999995499E-2</v>
      </c>
      <c r="AD1515">
        <v>-5.0478999999999899E-2</v>
      </c>
      <c r="AE1515">
        <v>-0.60410000000001596</v>
      </c>
      <c r="AF1515">
        <v>8.8384155074731505E-2</v>
      </c>
      <c r="AG1515">
        <v>-5.0478999999999899E-2</v>
      </c>
      <c r="AH1515">
        <v>0.59515257062410398</v>
      </c>
      <c r="AI1515">
        <v>94.795702459054496</v>
      </c>
      <c r="AJ1515">
        <v>81.5529287004872</v>
      </c>
      <c r="AK1515">
        <v>0.60379340061792097</v>
      </c>
    </row>
    <row r="1516" spans="1:37" x14ac:dyDescent="0.2">
      <c r="A1516" t="str">
        <f>"20200111155821201"</f>
        <v>20200111155821201</v>
      </c>
      <c r="B1516" t="str">
        <f>"1578729501192618"</f>
        <v>1578729501192618</v>
      </c>
      <c r="C1516" t="s">
        <v>37</v>
      </c>
      <c r="D1516">
        <v>6.1394039999999999</v>
      </c>
      <c r="E1516">
        <v>0.53368280000000001</v>
      </c>
      <c r="F1516" t="s">
        <v>38</v>
      </c>
      <c r="G1516">
        <v>-191.87610000000001</v>
      </c>
      <c r="H1516">
        <v>1.0541799999999999</v>
      </c>
      <c r="I1516">
        <v>335.22919999999999</v>
      </c>
      <c r="J1516">
        <v>-191.83170000000001</v>
      </c>
      <c r="K1516">
        <v>1.102638</v>
      </c>
      <c r="L1516">
        <v>335.80829999999997</v>
      </c>
      <c r="M1516">
        <v>6.9269839999999999E-2</v>
      </c>
      <c r="N1516">
        <v>0</v>
      </c>
      <c r="O1516">
        <v>-0.9975697</v>
      </c>
      <c r="P1516">
        <v>4.7492909999999999E-2</v>
      </c>
      <c r="Q1516">
        <v>3.326103E-3</v>
      </c>
      <c r="R1516">
        <v>-0.99886629999999998</v>
      </c>
      <c r="S1516">
        <v>-0.11737060000000001</v>
      </c>
      <c r="T1516">
        <v>-0.1835164</v>
      </c>
      <c r="U1516">
        <v>-3.0097959999999899</v>
      </c>
      <c r="V1516">
        <v>2.184293E-2</v>
      </c>
      <c r="W1516">
        <v>1.0792349999999999E-2</v>
      </c>
      <c r="X1516">
        <v>0.99970319999999901</v>
      </c>
      <c r="Y1516">
        <v>0.108020399999999</v>
      </c>
      <c r="Z1516">
        <v>6.0439760000000002E-2</v>
      </c>
      <c r="AA1516">
        <v>0.99230969999999996</v>
      </c>
      <c r="AB1516">
        <v>21</v>
      </c>
      <c r="AC1516">
        <v>-4.4399999999995998E-2</v>
      </c>
      <c r="AD1516">
        <v>-4.8458000000000098E-2</v>
      </c>
      <c r="AE1516">
        <v>-0.57909999999998196</v>
      </c>
      <c r="AF1516">
        <v>8.3825122940516403E-2</v>
      </c>
      <c r="AG1516">
        <v>-4.8458000000000098E-2</v>
      </c>
      <c r="AH1516">
        <v>0.57066080098125105</v>
      </c>
      <c r="AI1516">
        <v>94.802372235919094</v>
      </c>
      <c r="AJ1516">
        <v>81.643507735095099</v>
      </c>
      <c r="AK1516">
        <v>0.57881653291570301</v>
      </c>
    </row>
    <row r="1517" spans="1:37" x14ac:dyDescent="0.2">
      <c r="A1517" t="str">
        <f>"20200111155821223"</f>
        <v>20200111155821223</v>
      </c>
      <c r="B1517" t="str">
        <f>"1578729501212137"</f>
        <v>1578729501212137</v>
      </c>
      <c r="C1517" t="s">
        <v>37</v>
      </c>
      <c r="D1517">
        <v>6.1387599999999898</v>
      </c>
      <c r="E1517">
        <v>0.53363309999999997</v>
      </c>
      <c r="F1517" t="s">
        <v>38</v>
      </c>
      <c r="G1517">
        <v>-191.86240000000001</v>
      </c>
      <c r="H1517">
        <v>1.0551250000000001</v>
      </c>
      <c r="I1517">
        <v>335.03730000000002</v>
      </c>
      <c r="J1517">
        <v>-191.81880000000001</v>
      </c>
      <c r="K1517">
        <v>1.1026119999999999</v>
      </c>
      <c r="L1517">
        <v>335.5926</v>
      </c>
      <c r="M1517">
        <v>6.7396600000000001E-2</v>
      </c>
      <c r="N1517">
        <v>0</v>
      </c>
      <c r="O1517">
        <v>-0.99770020000000004</v>
      </c>
      <c r="P1517">
        <v>4.6570720000000003E-2</v>
      </c>
      <c r="Q1517">
        <v>4.0060920000000002E-3</v>
      </c>
      <c r="R1517">
        <v>-0.99890669999999904</v>
      </c>
      <c r="S1517">
        <v>-0.1199341</v>
      </c>
      <c r="T1517">
        <v>-0.18555650000000001</v>
      </c>
      <c r="U1517">
        <v>-3.009735</v>
      </c>
      <c r="V1517">
        <v>2.0888779999999999E-2</v>
      </c>
      <c r="W1517">
        <v>1.116092E-2</v>
      </c>
      <c r="X1517">
        <v>0.99971949999999998</v>
      </c>
      <c r="Y1517">
        <v>0.10699649999999999</v>
      </c>
      <c r="Z1517">
        <v>6.1124560000000001E-2</v>
      </c>
      <c r="AA1517">
        <v>0.99237869999999995</v>
      </c>
      <c r="AB1517">
        <v>21</v>
      </c>
      <c r="AC1517">
        <v>-4.35999999999978E-2</v>
      </c>
      <c r="AD1517">
        <v>-4.7487000000000001E-2</v>
      </c>
      <c r="AE1517">
        <v>-0.55529999999998803</v>
      </c>
      <c r="AF1517">
        <v>8.0343217137317305E-2</v>
      </c>
      <c r="AG1517">
        <v>-4.7487000000000001E-2</v>
      </c>
      <c r="AH1517">
        <v>0.54712218416964598</v>
      </c>
      <c r="AI1517">
        <v>94.908130678242699</v>
      </c>
      <c r="AJ1517">
        <v>81.645997428901794</v>
      </c>
      <c r="AK1517">
        <v>0.55502498332916295</v>
      </c>
    </row>
    <row r="1518" spans="1:37" x14ac:dyDescent="0.2">
      <c r="A1518" t="str">
        <f>"20200111155821246"</f>
        <v>20200111155821246</v>
      </c>
      <c r="B1518" t="str">
        <f>"1578729501242395"</f>
        <v>1578729501242395</v>
      </c>
      <c r="C1518" t="s">
        <v>37</v>
      </c>
      <c r="D1518">
        <v>6.1931719999999997</v>
      </c>
      <c r="E1518">
        <v>0.53340889999999996</v>
      </c>
      <c r="F1518" t="s">
        <v>38</v>
      </c>
      <c r="G1518">
        <v>-191.8493</v>
      </c>
      <c r="H1518">
        <v>1.056335</v>
      </c>
      <c r="I1518">
        <v>334.84320000000002</v>
      </c>
      <c r="J1518">
        <v>-191.80690000000001</v>
      </c>
      <c r="K1518">
        <v>1.1025959999999999</v>
      </c>
      <c r="L1518">
        <v>335.38639999999998</v>
      </c>
      <c r="M1518">
        <v>6.566545E-2</v>
      </c>
      <c r="N1518">
        <v>0</v>
      </c>
      <c r="O1518">
        <v>-0.99781779999999998</v>
      </c>
      <c r="P1518">
        <v>4.5197880000000003E-2</v>
      </c>
      <c r="Q1518">
        <v>4.634628E-3</v>
      </c>
      <c r="R1518">
        <v>-0.99896749999999901</v>
      </c>
      <c r="S1518">
        <v>-0.12219239999999899</v>
      </c>
      <c r="T1518">
        <v>-0.18602109999999999</v>
      </c>
      <c r="U1518">
        <v>-3.0097049999999999</v>
      </c>
      <c r="V1518">
        <v>2.052793E-2</v>
      </c>
      <c r="W1518">
        <v>1.149182E-2</v>
      </c>
      <c r="X1518">
        <v>0.99972329999999998</v>
      </c>
      <c r="Y1518">
        <v>0.1060146</v>
      </c>
      <c r="Z1518">
        <v>6.1290629999999999E-2</v>
      </c>
      <c r="AA1518">
        <v>0.99247379999999996</v>
      </c>
      <c r="AB1518">
        <v>21</v>
      </c>
      <c r="AC1518">
        <v>-4.23999999999864E-2</v>
      </c>
      <c r="AD1518">
        <v>-4.6260999999999802E-2</v>
      </c>
      <c r="AE1518">
        <v>-0.54319999999995605</v>
      </c>
      <c r="AF1518">
        <v>7.7420683994609801E-2</v>
      </c>
      <c r="AG1518">
        <v>-4.6260999999999802E-2</v>
      </c>
      <c r="AH1518">
        <v>0.53538371267126195</v>
      </c>
      <c r="AI1518">
        <v>94.887908831031098</v>
      </c>
      <c r="AJ1518">
        <v>81.771620241646303</v>
      </c>
      <c r="AK1518">
        <v>0.54292703213678495</v>
      </c>
    </row>
    <row r="1519" spans="1:37" x14ac:dyDescent="0.2">
      <c r="A1519" t="str">
        <f>"20200111155821267"</f>
        <v>20200111155821267</v>
      </c>
      <c r="B1519" t="str">
        <f>"1578729501262890"</f>
        <v>1578729501262890</v>
      </c>
      <c r="C1519" t="s">
        <v>37</v>
      </c>
      <c r="D1519">
        <v>6.518618</v>
      </c>
      <c r="E1519">
        <v>0.5332384</v>
      </c>
      <c r="F1519" t="s">
        <v>38</v>
      </c>
      <c r="G1519">
        <v>-191.84530000000001</v>
      </c>
      <c r="H1519">
        <v>1.046972</v>
      </c>
      <c r="I1519">
        <v>334.46210000000002</v>
      </c>
      <c r="J1519">
        <v>-191.7946</v>
      </c>
      <c r="K1519">
        <v>1.102589</v>
      </c>
      <c r="L1519">
        <v>335.1687</v>
      </c>
      <c r="M1519">
        <v>6.3914280000000004E-2</v>
      </c>
      <c r="N1519">
        <v>0</v>
      </c>
      <c r="O1519">
        <v>-0.99793359999999998</v>
      </c>
      <c r="P1519">
        <v>4.3950250000000003E-2</v>
      </c>
      <c r="Q1519">
        <v>4.7327439999999997E-3</v>
      </c>
      <c r="R1519">
        <v>-0.99902250000000004</v>
      </c>
      <c r="S1519">
        <v>-0.1244049</v>
      </c>
      <c r="T1519">
        <v>-0.18132229999999999</v>
      </c>
      <c r="U1519">
        <v>-3.0095830000000001</v>
      </c>
      <c r="V1519">
        <v>2.0020380000000001E-2</v>
      </c>
      <c r="W1519">
        <v>1.1287749999999999E-2</v>
      </c>
      <c r="X1519">
        <v>0.99973579999999995</v>
      </c>
      <c r="Y1519">
        <v>0.105003399999999</v>
      </c>
      <c r="Z1519">
        <v>5.9763129999999998E-2</v>
      </c>
      <c r="AA1519">
        <v>0.99267450000000002</v>
      </c>
      <c r="AB1519">
        <v>22</v>
      </c>
      <c r="AC1519">
        <v>-5.0700000000006101E-2</v>
      </c>
      <c r="AD1519">
        <v>-5.5617E-2</v>
      </c>
      <c r="AE1519">
        <v>-0.70659999999998002</v>
      </c>
      <c r="AF1519">
        <v>9.5172536483032102E-2</v>
      </c>
      <c r="AG1519">
        <v>-5.5617E-2</v>
      </c>
      <c r="AH1519">
        <v>0.69761484184738498</v>
      </c>
      <c r="AI1519">
        <v>94.516574906742605</v>
      </c>
      <c r="AJ1519">
        <v>82.231347510125303</v>
      </c>
      <c r="AK1519">
        <v>0.70627015366314705</v>
      </c>
    </row>
    <row r="1520" spans="1:37" x14ac:dyDescent="0.2">
      <c r="A1520" t="str">
        <f>"20200111155821291"</f>
        <v>20200111155821291</v>
      </c>
      <c r="B1520" t="str">
        <f>"1578729501282313"</f>
        <v>1578729501282313</v>
      </c>
      <c r="C1520" t="s">
        <v>37</v>
      </c>
      <c r="D1520">
        <v>6.2054359999999997</v>
      </c>
      <c r="E1520">
        <v>0.53306049999999905</v>
      </c>
      <c r="F1520" t="s">
        <v>38</v>
      </c>
      <c r="G1520">
        <v>-191.83260000000001</v>
      </c>
      <c r="H1520">
        <v>1.0477920000000001</v>
      </c>
      <c r="I1520">
        <v>334.26580000000001</v>
      </c>
      <c r="J1520">
        <v>-191.78190000000001</v>
      </c>
      <c r="K1520">
        <v>1.1025849999999999</v>
      </c>
      <c r="L1520">
        <v>334.93950000000001</v>
      </c>
      <c r="M1520">
        <v>6.2143530000000002E-2</v>
      </c>
      <c r="N1520">
        <v>0</v>
      </c>
      <c r="O1520">
        <v>-0.99804749999999998</v>
      </c>
      <c r="P1520">
        <v>4.3005649999999999E-2</v>
      </c>
      <c r="Q1520">
        <v>4.8321479999999997E-3</v>
      </c>
      <c r="R1520">
        <v>-0.99906349999999999</v>
      </c>
      <c r="S1520">
        <v>-0.12678529999999999</v>
      </c>
      <c r="T1520">
        <v>-0.182691299999999</v>
      </c>
      <c r="U1520">
        <v>-3.0093990000000002</v>
      </c>
      <c r="V1520">
        <v>1.9190160000000001E-2</v>
      </c>
      <c r="W1520">
        <v>1.109131E-2</v>
      </c>
      <c r="X1520">
        <v>0.99975429999999998</v>
      </c>
      <c r="Y1520">
        <v>0.1040239</v>
      </c>
      <c r="Z1520">
        <v>6.0228650000000002E-2</v>
      </c>
      <c r="AA1520">
        <v>0.99274949999999995</v>
      </c>
      <c r="AB1520">
        <v>22</v>
      </c>
      <c r="AC1520">
        <v>-5.0700000000006101E-2</v>
      </c>
      <c r="AD1520">
        <v>-5.47929999999998E-2</v>
      </c>
      <c r="AE1520">
        <v>-0.67369999999999597</v>
      </c>
      <c r="AF1520">
        <v>9.1864679808752001E-2</v>
      </c>
      <c r="AG1520">
        <v>-5.47929999999998E-2</v>
      </c>
      <c r="AH1520">
        <v>0.66487385450987102</v>
      </c>
      <c r="AI1520">
        <v>94.667024456745807</v>
      </c>
      <c r="AJ1520">
        <v>82.133330582532395</v>
      </c>
      <c r="AK1520">
        <v>0.67342307256001999</v>
      </c>
    </row>
    <row r="1521" spans="1:37" x14ac:dyDescent="0.2">
      <c r="A1521" t="str">
        <f>"20200111155821335"</f>
        <v>20200111155821335</v>
      </c>
      <c r="B1521" t="str">
        <f>"1578729501332089"</f>
        <v>1578729501332089</v>
      </c>
      <c r="C1521" t="s">
        <v>37</v>
      </c>
      <c r="D1521">
        <v>6.0031089999999896</v>
      </c>
      <c r="E1521">
        <v>0.48920590000000003</v>
      </c>
      <c r="F1521" t="s">
        <v>38</v>
      </c>
      <c r="G1521">
        <v>-191.8194</v>
      </c>
      <c r="H1521">
        <v>1.0503129999999901</v>
      </c>
      <c r="I1521">
        <v>334.06659999999999</v>
      </c>
      <c r="J1521">
        <v>-191.75899999999999</v>
      </c>
      <c r="K1521">
        <v>1.10259</v>
      </c>
      <c r="L1521">
        <v>334.50909999999999</v>
      </c>
      <c r="M1521">
        <v>5.9029209999999999E-2</v>
      </c>
      <c r="N1521">
        <v>0</v>
      </c>
      <c r="O1521">
        <v>-0.99823930000000005</v>
      </c>
      <c r="P1521">
        <v>4.1286049999999998E-2</v>
      </c>
      <c r="Q1521">
        <v>5.2194620000000002E-3</v>
      </c>
      <c r="R1521">
        <v>-0.99913379999999996</v>
      </c>
      <c r="S1521">
        <v>-0.12828059999999999</v>
      </c>
      <c r="T1521">
        <v>-0.18048539999999999</v>
      </c>
      <c r="U1521">
        <v>-3.0091860000000001</v>
      </c>
      <c r="V1521">
        <v>1.7789240000000001E-2</v>
      </c>
      <c r="W1521">
        <v>1.098212E-2</v>
      </c>
      <c r="X1521">
        <v>0.99978140000000004</v>
      </c>
      <c r="Y1521">
        <v>0.10141739999999901</v>
      </c>
      <c r="Z1521">
        <v>5.9532620000000001E-2</v>
      </c>
      <c r="AA1521">
        <v>0.99306109999999903</v>
      </c>
      <c r="AB1521">
        <v>22</v>
      </c>
      <c r="AC1521">
        <v>-6.0399999999987103E-2</v>
      </c>
      <c r="AD1521">
        <v>-5.2277000000000101E-2</v>
      </c>
      <c r="AE1521">
        <v>-0.44249999999999501</v>
      </c>
      <c r="AF1521">
        <v>8.5247497552243701E-2</v>
      </c>
      <c r="AG1521">
        <v>-5.2277000000000101E-2</v>
      </c>
      <c r="AH1521">
        <v>0.43224046934087101</v>
      </c>
      <c r="AI1521">
        <v>96.766993329621499</v>
      </c>
      <c r="AJ1521">
        <v>78.843173410458604</v>
      </c>
      <c r="AK1521">
        <v>0.44365734965616899</v>
      </c>
    </row>
    <row r="1522" spans="1:37" x14ac:dyDescent="0.2">
      <c r="A1522" t="str">
        <f>"20200111155821356"</f>
        <v>20200111155821356</v>
      </c>
      <c r="B1522" t="str">
        <f>"1578729501352586"</f>
        <v>1578729501352586</v>
      </c>
      <c r="C1522" t="s">
        <v>37</v>
      </c>
      <c r="D1522">
        <v>6.0287579999999998</v>
      </c>
      <c r="E1522">
        <v>0.4885642</v>
      </c>
      <c r="F1522" t="s">
        <v>38</v>
      </c>
      <c r="G1522">
        <v>-191.6987</v>
      </c>
      <c r="H1522">
        <v>1.038926</v>
      </c>
      <c r="I1522">
        <v>333.676999999999</v>
      </c>
      <c r="J1522">
        <v>-191.7473</v>
      </c>
      <c r="K1522">
        <v>1.1026039999999999</v>
      </c>
      <c r="L1522">
        <v>334.28160000000003</v>
      </c>
      <c r="M1522">
        <v>5.7507290000000003E-2</v>
      </c>
      <c r="N1522">
        <v>0</v>
      </c>
      <c r="O1522">
        <v>-0.99832969999999899</v>
      </c>
      <c r="P1522">
        <v>4.0639809999999998E-2</v>
      </c>
      <c r="Q1522">
        <v>6.4712099999999998E-3</v>
      </c>
      <c r="R1522">
        <v>-0.99915279999999995</v>
      </c>
      <c r="S1522">
        <v>0.21783449999999999</v>
      </c>
      <c r="T1522">
        <v>-0.22944039999999999</v>
      </c>
      <c r="U1522">
        <v>-2.9948429999999999</v>
      </c>
      <c r="V1522">
        <v>1.6912320000000002E-2</v>
      </c>
      <c r="W1522">
        <v>1.1998190000000001E-2</v>
      </c>
      <c r="X1522">
        <v>0.99978500000000003</v>
      </c>
      <c r="Y1522">
        <v>-1.4857510000000001E-2</v>
      </c>
      <c r="Z1522">
        <v>7.6094780000000001E-2</v>
      </c>
      <c r="AA1522">
        <v>0.99698989999999998</v>
      </c>
      <c r="AB1522">
        <v>22</v>
      </c>
      <c r="AC1522">
        <v>4.8599999999993301E-2</v>
      </c>
      <c r="AD1522">
        <v>-6.3678000000000096E-2</v>
      </c>
      <c r="AE1522">
        <v>-0.60460000000006098</v>
      </c>
      <c r="AF1522">
        <v>-1.36002305540672E-2</v>
      </c>
      <c r="AG1522">
        <v>-6.3678000000000096E-2</v>
      </c>
      <c r="AH1522">
        <v>0.59978371863061897</v>
      </c>
      <c r="AI1522">
        <v>96.058746104938606</v>
      </c>
      <c r="AJ1522">
        <v>91.298972072765395</v>
      </c>
      <c r="AK1522">
        <v>0.60330785100933104</v>
      </c>
    </row>
    <row r="1523" spans="1:37" x14ac:dyDescent="0.2">
      <c r="A1523" t="str">
        <f>"20200111155821379"</f>
        <v>20200111155821379</v>
      </c>
      <c r="B1523" t="str">
        <f>"1578729501372105"</f>
        <v>1578729501372105</v>
      </c>
      <c r="C1523" t="s">
        <v>37</v>
      </c>
      <c r="D1523">
        <v>6.0229080000000002</v>
      </c>
      <c r="E1523">
        <v>0.48755169999999998</v>
      </c>
      <c r="F1523" t="s">
        <v>39</v>
      </c>
      <c r="G1523">
        <v>-190.63839999999999</v>
      </c>
      <c r="H1523" s="1">
        <v>-4.7133670000000002E-6</v>
      </c>
      <c r="I1523">
        <v>319.26510000000002</v>
      </c>
      <c r="J1523">
        <v>-191.73589999999999</v>
      </c>
      <c r="K1523">
        <v>1.1026209999999901</v>
      </c>
      <c r="L1523">
        <v>334.05540000000002</v>
      </c>
      <c r="M1523">
        <v>5.607989E-2</v>
      </c>
      <c r="N1523">
        <v>0</v>
      </c>
      <c r="O1523">
        <v>-0.99841199999999997</v>
      </c>
      <c r="P1523">
        <v>3.9851270000000001E-2</v>
      </c>
      <c r="Q1523">
        <v>6.8922769999999996E-3</v>
      </c>
      <c r="R1523">
        <v>-0.99918189999999996</v>
      </c>
      <c r="S1523">
        <v>0.22116089999999999</v>
      </c>
      <c r="T1523">
        <v>-0.2199073</v>
      </c>
      <c r="U1523">
        <v>-2.9949340000000002</v>
      </c>
      <c r="V1523">
        <v>1.6270940000000001E-2</v>
      </c>
      <c r="W1523">
        <v>1.2207030000000001E-2</v>
      </c>
      <c r="X1523">
        <v>0.99979309999999999</v>
      </c>
      <c r="Y1523">
        <v>-1.7403640000000001E-2</v>
      </c>
      <c r="Z1523">
        <v>7.2952550000000005E-2</v>
      </c>
      <c r="AA1523">
        <v>0.99718359999999995</v>
      </c>
      <c r="AB1523">
        <v>22</v>
      </c>
      <c r="AC1523">
        <v>1.0974999999999899</v>
      </c>
      <c r="AD1523">
        <v>-1.1026257133670001</v>
      </c>
      <c r="AE1523">
        <v>-14.7903</v>
      </c>
      <c r="AF1523">
        <v>-0.26485860328955402</v>
      </c>
      <c r="AG1523">
        <v>-1.1026257133670001</v>
      </c>
      <c r="AH1523">
        <v>14.747059909772499</v>
      </c>
      <c r="AI1523">
        <v>94.275315671806595</v>
      </c>
      <c r="AJ1523">
        <v>91.028927045338094</v>
      </c>
      <c r="AK1523">
        <v>14.7905953066783</v>
      </c>
    </row>
    <row r="1524" spans="1:37" x14ac:dyDescent="0.2">
      <c r="A1524" t="str">
        <f>"20200111155821402"</f>
        <v>20200111155821402</v>
      </c>
      <c r="B1524" t="str">
        <f>"1578729501392602"</f>
        <v>1578729501392602</v>
      </c>
      <c r="C1524" t="s">
        <v>37</v>
      </c>
      <c r="D1524">
        <v>6.0586970000000004</v>
      </c>
      <c r="E1524">
        <v>0.48724689999999998</v>
      </c>
      <c r="F1524" t="s">
        <v>39</v>
      </c>
      <c r="G1524">
        <v>-190.5992</v>
      </c>
      <c r="H1524" s="1">
        <v>-4.6207749999999998E-6</v>
      </c>
      <c r="I1524">
        <v>319.0421</v>
      </c>
      <c r="J1524">
        <v>-191.72470000000001</v>
      </c>
      <c r="K1524">
        <v>1.102641</v>
      </c>
      <c r="L1524">
        <v>333.82780000000002</v>
      </c>
      <c r="M1524">
        <v>5.4726589999999999E-2</v>
      </c>
      <c r="N1524">
        <v>0</v>
      </c>
      <c r="O1524">
        <v>-0.99848809999999999</v>
      </c>
      <c r="P1524">
        <v>3.9558370000000002E-2</v>
      </c>
      <c r="Q1524">
        <v>7.5613059999999899E-3</v>
      </c>
      <c r="R1524">
        <v>-0.99918869999999904</v>
      </c>
      <c r="S1524">
        <v>0.22676089999999999</v>
      </c>
      <c r="T1524">
        <v>-0.21995970000000001</v>
      </c>
      <c r="U1524">
        <v>-2.9949650000000001</v>
      </c>
      <c r="V1524">
        <v>1.520816E-2</v>
      </c>
      <c r="W1524">
        <v>1.2688120000000001E-2</v>
      </c>
      <c r="X1524">
        <v>0.99980380000000002</v>
      </c>
      <c r="Y1524">
        <v>-2.0612120000000001E-2</v>
      </c>
      <c r="Z1524">
        <v>7.297004E-2</v>
      </c>
      <c r="AA1524">
        <v>0.99712109999999998</v>
      </c>
      <c r="AB1524">
        <v>22</v>
      </c>
      <c r="AC1524">
        <v>1.1255000000000099</v>
      </c>
      <c r="AD1524">
        <v>-1.1026456207749999</v>
      </c>
      <c r="AE1524">
        <v>-14.7857</v>
      </c>
      <c r="AF1524">
        <v>-0.31290142516205899</v>
      </c>
      <c r="AG1524">
        <v>-1.1026456207749999</v>
      </c>
      <c r="AH1524">
        <v>14.7436133110751</v>
      </c>
      <c r="AI1524">
        <v>94.276116093514602</v>
      </c>
      <c r="AJ1524">
        <v>91.215796954217396</v>
      </c>
      <c r="AK1524">
        <v>14.7880988681234</v>
      </c>
    </row>
    <row r="1525" spans="1:37" x14ac:dyDescent="0.2">
      <c r="A1525" t="str">
        <f>"20200111155821423"</f>
        <v>20200111155821423</v>
      </c>
      <c r="B1525" t="str">
        <f>"1578729501412121"</f>
        <v>1578729501412121</v>
      </c>
      <c r="C1525" t="s">
        <v>37</v>
      </c>
      <c r="D1525">
        <v>9.6385279999999902</v>
      </c>
      <c r="E1525">
        <v>0.4874888</v>
      </c>
      <c r="F1525" t="s">
        <v>39</v>
      </c>
      <c r="G1525">
        <v>-190.56479999999999</v>
      </c>
      <c r="H1525" s="1">
        <v>-4.4090599999999996E-6</v>
      </c>
      <c r="I1525">
        <v>318.601</v>
      </c>
      <c r="J1525">
        <v>-191.71369999999999</v>
      </c>
      <c r="K1525">
        <v>1.102668</v>
      </c>
      <c r="L1525">
        <v>333.60070000000002</v>
      </c>
      <c r="M1525">
        <v>5.3457249999999998E-2</v>
      </c>
      <c r="N1525">
        <v>0</v>
      </c>
      <c r="O1525">
        <v>-0.99855799999999995</v>
      </c>
      <c r="P1525">
        <v>3.8828189999999999E-2</v>
      </c>
      <c r="Q1525">
        <v>7.7159749999999999E-3</v>
      </c>
      <c r="R1525">
        <v>-0.99921649999999995</v>
      </c>
      <c r="S1525">
        <v>0.2281494</v>
      </c>
      <c r="T1525">
        <v>-0.21688649999999901</v>
      </c>
      <c r="U1525">
        <v>-2.9950559999999999</v>
      </c>
      <c r="V1525">
        <v>1.466634E-2</v>
      </c>
      <c r="W1525">
        <v>1.2676679999999999E-2</v>
      </c>
      <c r="X1525">
        <v>0.99981209999999898</v>
      </c>
      <c r="Y1525">
        <v>-2.2346040000000001E-2</v>
      </c>
      <c r="Z1525">
        <v>7.1958510000000003E-2</v>
      </c>
      <c r="AA1525">
        <v>0.99715730000000002</v>
      </c>
      <c r="AB1525">
        <v>23</v>
      </c>
      <c r="AC1525">
        <v>1.14889999999999</v>
      </c>
      <c r="AD1525">
        <v>-1.10267240906</v>
      </c>
      <c r="AE1525">
        <v>-14.999700000000001</v>
      </c>
      <c r="AF1525">
        <v>-0.34355894313365298</v>
      </c>
      <c r="AG1525">
        <v>-1.10267240906</v>
      </c>
      <c r="AH1525">
        <v>14.959298906164801</v>
      </c>
      <c r="AI1525">
        <v>94.214626483390006</v>
      </c>
      <c r="AJ1525">
        <v>91.315637706329596</v>
      </c>
      <c r="AK1525">
        <v>15.0038176126309</v>
      </c>
    </row>
    <row r="1526" spans="1:37" x14ac:dyDescent="0.2">
      <c r="A1526" t="str">
        <f>"20200111155821446"</f>
        <v>20200111155821446</v>
      </c>
      <c r="B1526" t="str">
        <f>"1578729501442378"</f>
        <v>1578729501442378</v>
      </c>
      <c r="C1526" t="s">
        <v>37</v>
      </c>
      <c r="D1526">
        <v>6.0736489999999996</v>
      </c>
      <c r="E1526">
        <v>0.48668999999999901</v>
      </c>
      <c r="F1526" t="s">
        <v>39</v>
      </c>
      <c r="G1526">
        <v>-190.43029999999999</v>
      </c>
      <c r="H1526" s="1">
        <v>-3.323454E-6</v>
      </c>
      <c r="I1526">
        <v>316.38010000000003</v>
      </c>
      <c r="J1526">
        <v>-191.703</v>
      </c>
      <c r="K1526">
        <v>1.1027</v>
      </c>
      <c r="L1526">
        <v>333.37580000000003</v>
      </c>
      <c r="M1526">
        <v>5.227735E-2</v>
      </c>
      <c r="N1526">
        <v>0</v>
      </c>
      <c r="O1526">
        <v>-0.99862099999999898</v>
      </c>
      <c r="P1526">
        <v>3.8141920000000003E-2</v>
      </c>
      <c r="Q1526">
        <v>7.9873189999999997E-3</v>
      </c>
      <c r="R1526">
        <v>-0.99924059999999904</v>
      </c>
      <c r="S1526">
        <v>0.2232208</v>
      </c>
      <c r="T1526">
        <v>-0.1917838</v>
      </c>
      <c r="U1526">
        <v>-2.995117</v>
      </c>
      <c r="V1526">
        <v>1.4170490000000001E-2</v>
      </c>
      <c r="W1526">
        <v>1.280589E-2</v>
      </c>
      <c r="X1526">
        <v>0.99981759999999997</v>
      </c>
      <c r="Y1526">
        <v>-2.1936110000000002E-2</v>
      </c>
      <c r="Z1526">
        <v>6.3674900000000006E-2</v>
      </c>
      <c r="AA1526">
        <v>0.99772959999999999</v>
      </c>
      <c r="AB1526">
        <v>23</v>
      </c>
      <c r="AC1526">
        <v>1.2727000000000099</v>
      </c>
      <c r="AD1526">
        <v>-1.102703323454</v>
      </c>
      <c r="AE1526">
        <v>-16.995699999999999</v>
      </c>
      <c r="AF1526">
        <v>-0.38086487886595799</v>
      </c>
      <c r="AG1526">
        <v>-1.102703323454</v>
      </c>
      <c r="AH1526">
        <v>16.9679639927691</v>
      </c>
      <c r="AI1526">
        <v>93.717339562444806</v>
      </c>
      <c r="AJ1526">
        <v>91.285851761786603</v>
      </c>
      <c r="AK1526">
        <v>17.0080220700533</v>
      </c>
    </row>
    <row r="1527" spans="1:37" x14ac:dyDescent="0.2">
      <c r="A1527" t="str">
        <f>"20200111155821468"</f>
        <v>20200111155821468</v>
      </c>
      <c r="B1527" t="str">
        <f>"1578729501462873"</f>
        <v>1578729501462873</v>
      </c>
      <c r="C1527" t="s">
        <v>37</v>
      </c>
      <c r="D1527">
        <v>6.064019</v>
      </c>
      <c r="E1527">
        <v>0.48666029999999999</v>
      </c>
      <c r="F1527" t="s">
        <v>39</v>
      </c>
      <c r="G1527">
        <v>-190.3014</v>
      </c>
      <c r="H1527" s="1">
        <v>-2.591779E-6</v>
      </c>
      <c r="I1527">
        <v>314.90480000000002</v>
      </c>
      <c r="J1527">
        <v>-191.6918</v>
      </c>
      <c r="K1527">
        <v>1.102722</v>
      </c>
      <c r="L1527">
        <v>333.13760000000002</v>
      </c>
      <c r="M1527">
        <v>5.1103860000000001E-2</v>
      </c>
      <c r="N1527">
        <v>0</v>
      </c>
      <c r="O1527">
        <v>-0.99868239999999997</v>
      </c>
      <c r="P1527">
        <v>3.7483950000000002E-2</v>
      </c>
      <c r="Q1527">
        <v>8.4833159999999994E-3</v>
      </c>
      <c r="R1527">
        <v>-0.99926130000000002</v>
      </c>
      <c r="S1527">
        <v>0.22726439999999901</v>
      </c>
      <c r="T1527">
        <v>-0.17879900000000001</v>
      </c>
      <c r="U1527">
        <v>-2.9949949999999999</v>
      </c>
      <c r="V1527">
        <v>1.3653230000000001E-2</v>
      </c>
      <c r="W1527">
        <v>1.3170640000000001E-2</v>
      </c>
      <c r="X1527">
        <v>0.99982009999999899</v>
      </c>
      <c r="Y1527">
        <v>-2.4473399999999999E-2</v>
      </c>
      <c r="Z1527">
        <v>5.938264E-2</v>
      </c>
      <c r="AA1527">
        <v>0.99793519999999902</v>
      </c>
      <c r="AB1527">
        <v>23</v>
      </c>
      <c r="AC1527">
        <v>1.3903999999999901</v>
      </c>
      <c r="AD1527">
        <v>-1.1027245917790001</v>
      </c>
      <c r="AE1527">
        <v>-18.232800000000001</v>
      </c>
      <c r="AF1527">
        <v>-0.45515128810584798</v>
      </c>
      <c r="AG1527">
        <v>-1.1027245917790001</v>
      </c>
      <c r="AH1527">
        <v>18.213792712248601</v>
      </c>
      <c r="AI1527">
        <v>93.463572467519796</v>
      </c>
      <c r="AJ1527">
        <v>91.431487770957403</v>
      </c>
      <c r="AK1527">
        <v>18.252819211977599</v>
      </c>
    </row>
    <row r="1528" spans="1:37" x14ac:dyDescent="0.2">
      <c r="A1528" t="str">
        <f>"20200111155821491"</f>
        <v>20200111155821491</v>
      </c>
      <c r="B1528" t="str">
        <f>"1578729501482393"</f>
        <v>1578729501482393</v>
      </c>
      <c r="C1528" t="s">
        <v>37</v>
      </c>
      <c r="D1528">
        <v>6.060791</v>
      </c>
      <c r="E1528">
        <v>0.48642979999999902</v>
      </c>
      <c r="F1528" t="s">
        <v>39</v>
      </c>
      <c r="G1528">
        <v>-190.37809999999999</v>
      </c>
      <c r="H1528" s="1">
        <v>-2.992917E-6</v>
      </c>
      <c r="I1528">
        <v>315.71030000000002</v>
      </c>
      <c r="J1528">
        <v>-191.68119999999999</v>
      </c>
      <c r="K1528">
        <v>1.1027370000000001</v>
      </c>
      <c r="L1528">
        <v>332.90359999999998</v>
      </c>
      <c r="M1528">
        <v>5.0003569999999997E-2</v>
      </c>
      <c r="N1528">
        <v>0</v>
      </c>
      <c r="O1528">
        <v>-0.99873849999999997</v>
      </c>
      <c r="P1528">
        <v>3.6609910000000002E-2</v>
      </c>
      <c r="Q1528">
        <v>9.0221209999999993E-3</v>
      </c>
      <c r="R1528">
        <v>-0.99928890000000004</v>
      </c>
      <c r="S1528">
        <v>0.22581479999999901</v>
      </c>
      <c r="T1528">
        <v>-0.1895357</v>
      </c>
      <c r="U1528">
        <v>-2.9953919999999998</v>
      </c>
      <c r="V1528">
        <v>1.3425889999999999E-2</v>
      </c>
      <c r="W1528">
        <v>1.3598320000000001E-2</v>
      </c>
      <c r="X1528">
        <v>0.99981739999999997</v>
      </c>
      <c r="Y1528">
        <v>-2.5068259999999998E-2</v>
      </c>
      <c r="Z1528">
        <v>6.2932379999999996E-2</v>
      </c>
      <c r="AA1528">
        <v>0.99770289999999995</v>
      </c>
      <c r="AB1528">
        <v>23</v>
      </c>
      <c r="AC1528">
        <v>1.3030999999999999</v>
      </c>
      <c r="AD1528">
        <v>-1.1027399929170001</v>
      </c>
      <c r="AE1528">
        <v>-17.193299999999901</v>
      </c>
      <c r="AF1528">
        <v>-0.43993500479081699</v>
      </c>
      <c r="AG1528">
        <v>-1.1027399929170001</v>
      </c>
      <c r="AH1528">
        <v>17.166737054050301</v>
      </c>
      <c r="AI1528">
        <v>93.6742570567108</v>
      </c>
      <c r="AJ1528">
        <v>91.468007752726507</v>
      </c>
      <c r="AK1528">
        <v>17.207743587795701</v>
      </c>
    </row>
    <row r="1529" spans="1:37" x14ac:dyDescent="0.2">
      <c r="A1529" t="str">
        <f>"20200111155821515"</f>
        <v>20200111155821515</v>
      </c>
      <c r="B1529" t="str">
        <f>"1578729501501913"</f>
        <v>1578729501501913</v>
      </c>
      <c r="C1529" t="s">
        <v>37</v>
      </c>
      <c r="D1529">
        <v>6.0377849999999897</v>
      </c>
      <c r="E1529">
        <v>0.48613659999999997</v>
      </c>
      <c r="F1529" t="s">
        <v>39</v>
      </c>
      <c r="G1529">
        <v>-190.40639999999999</v>
      </c>
      <c r="H1529" s="1">
        <v>-3.118782E-6</v>
      </c>
      <c r="I1529">
        <v>315.9606</v>
      </c>
      <c r="J1529">
        <v>-191.66980000000001</v>
      </c>
      <c r="K1529">
        <v>1.102735</v>
      </c>
      <c r="L1529">
        <v>332.65199999999999</v>
      </c>
      <c r="M1529">
        <v>4.8864329999999997E-2</v>
      </c>
      <c r="N1529">
        <v>0</v>
      </c>
      <c r="O1529">
        <v>-0.9987954</v>
      </c>
      <c r="P1529">
        <v>3.5999040000000003E-2</v>
      </c>
      <c r="Q1529">
        <v>9.4669049999999994E-3</v>
      </c>
      <c r="R1529">
        <v>-0.99930719999999995</v>
      </c>
      <c r="S1529">
        <v>0.2253723</v>
      </c>
      <c r="T1529">
        <v>-0.19496920000000001</v>
      </c>
      <c r="U1529">
        <v>-2.9956049999999999</v>
      </c>
      <c r="V1529">
        <v>1.289646E-2</v>
      </c>
      <c r="W1529">
        <v>1.394019E-2</v>
      </c>
      <c r="X1529">
        <v>0.99981960000000003</v>
      </c>
      <c r="Y1529">
        <v>-2.6048060000000001E-2</v>
      </c>
      <c r="Z1529">
        <v>6.4729439999999999E-2</v>
      </c>
      <c r="AA1529">
        <v>0.99756279999999997</v>
      </c>
      <c r="AB1529">
        <v>23</v>
      </c>
      <c r="AC1529">
        <v>1.2634000000000101</v>
      </c>
      <c r="AD1529">
        <v>-1.102738118782</v>
      </c>
      <c r="AE1529">
        <v>-16.691399999999899</v>
      </c>
      <c r="AF1529">
        <v>-0.44434011437010401</v>
      </c>
      <c r="AG1529">
        <v>-1.102738118782</v>
      </c>
      <c r="AH1529">
        <v>16.6608899478111</v>
      </c>
      <c r="AI1529">
        <v>93.785383631193397</v>
      </c>
      <c r="AJ1529">
        <v>91.527696290165593</v>
      </c>
      <c r="AK1529">
        <v>16.7032548728961</v>
      </c>
    </row>
    <row r="1530" spans="1:37" x14ac:dyDescent="0.2">
      <c r="A1530" t="str">
        <f>"20200111155821537"</f>
        <v>20200111155821537</v>
      </c>
      <c r="B1530" t="str">
        <f>"1578729501532169"</f>
        <v>1578729501532169</v>
      </c>
      <c r="C1530" t="s">
        <v>37</v>
      </c>
      <c r="D1530">
        <v>6.1394349999999998</v>
      </c>
      <c r="E1530">
        <v>0.4859771</v>
      </c>
      <c r="F1530" t="s">
        <v>39</v>
      </c>
      <c r="G1530">
        <v>-190.4076</v>
      </c>
      <c r="H1530" s="1">
        <v>-3.1000029999999998E-6</v>
      </c>
      <c r="I1530">
        <v>315.92020000000002</v>
      </c>
      <c r="J1530">
        <v>-191.66</v>
      </c>
      <c r="K1530">
        <v>1.1027370000000001</v>
      </c>
      <c r="L1530">
        <v>332.42939999999999</v>
      </c>
      <c r="M1530">
        <v>4.7884169999999997E-2</v>
      </c>
      <c r="N1530">
        <v>0</v>
      </c>
      <c r="O1530">
        <v>-0.99884329999999999</v>
      </c>
      <c r="P1530">
        <v>3.5098940000000002E-2</v>
      </c>
      <c r="Q1530">
        <v>9.4797119999999995E-3</v>
      </c>
      <c r="R1530">
        <v>-0.99933919999999998</v>
      </c>
      <c r="S1530">
        <v>0.225997899999999</v>
      </c>
      <c r="T1530">
        <v>-0.1974446</v>
      </c>
      <c r="U1530">
        <v>-2.995819</v>
      </c>
      <c r="V1530">
        <v>1.28156E-2</v>
      </c>
      <c r="W1530">
        <v>1.387677E-2</v>
      </c>
      <c r="X1530">
        <v>0.99982159999999998</v>
      </c>
      <c r="Y1530">
        <v>-2.722685E-2</v>
      </c>
      <c r="Z1530">
        <v>6.5546240000000006E-2</v>
      </c>
      <c r="AA1530">
        <v>0.99747799999999998</v>
      </c>
      <c r="AB1530">
        <v>23</v>
      </c>
      <c r="AC1530">
        <v>1.25239999999999</v>
      </c>
      <c r="AD1530">
        <v>-1.1027401000029999</v>
      </c>
      <c r="AE1530">
        <v>-16.5091999999999</v>
      </c>
      <c r="AF1530">
        <v>-0.45839294163508298</v>
      </c>
      <c r="AG1530">
        <v>-1.1027401000029999</v>
      </c>
      <c r="AH1530">
        <v>16.477138193861101</v>
      </c>
      <c r="AI1530">
        <v>93.827360498465794</v>
      </c>
      <c r="AJ1530">
        <v>91.593553934578694</v>
      </c>
      <c r="AK1530">
        <v>16.5203584366893</v>
      </c>
    </row>
    <row r="1531" spans="1:37" x14ac:dyDescent="0.2">
      <c r="A1531" t="str">
        <f>"20200111155821571"</f>
        <v>20200111155821571</v>
      </c>
      <c r="B1531" t="str">
        <f>"1578729501563402"</f>
        <v>1578729501563402</v>
      </c>
      <c r="C1531" t="s">
        <v>37</v>
      </c>
      <c r="D1531">
        <v>6.6099969999999999</v>
      </c>
      <c r="E1531">
        <v>0.485353799999999</v>
      </c>
      <c r="F1531" t="s">
        <v>39</v>
      </c>
      <c r="G1531">
        <v>-190.4126</v>
      </c>
      <c r="H1531" s="1">
        <v>-3.038646E-6</v>
      </c>
      <c r="I1531">
        <v>315.7876</v>
      </c>
      <c r="J1531">
        <v>-191.64439999999999</v>
      </c>
      <c r="K1531">
        <v>1.1027279999999999</v>
      </c>
      <c r="L1531">
        <v>332.065</v>
      </c>
      <c r="M1531">
        <v>4.6309089999999997E-2</v>
      </c>
      <c r="N1531">
        <v>0</v>
      </c>
      <c r="O1531">
        <v>-0.99891810000000003</v>
      </c>
      <c r="P1531">
        <v>3.364114E-2</v>
      </c>
      <c r="Q1531">
        <v>9.8544040000000006E-3</v>
      </c>
      <c r="R1531">
        <v>-0.99938590000000005</v>
      </c>
      <c r="S1531">
        <v>0.224578899999999</v>
      </c>
      <c r="T1531">
        <v>-0.19852600000000001</v>
      </c>
      <c r="U1531">
        <v>-2.9960330000000002</v>
      </c>
      <c r="V1531">
        <v>1.269791E-2</v>
      </c>
      <c r="W1531">
        <v>1.4158560000000001E-2</v>
      </c>
      <c r="X1531">
        <v>0.99981919999999902</v>
      </c>
      <c r="Y1531">
        <v>-2.8326219999999999E-2</v>
      </c>
      <c r="Z1531">
        <v>6.5906519999999996E-2</v>
      </c>
      <c r="AA1531">
        <v>0.99742359999999897</v>
      </c>
      <c r="AB1531">
        <v>24</v>
      </c>
      <c r="AC1531">
        <v>1.23179999999999</v>
      </c>
      <c r="AD1531">
        <v>-1.1027310386460001</v>
      </c>
      <c r="AE1531">
        <v>-16.2774</v>
      </c>
      <c r="AF1531">
        <v>-0.47451464444211799</v>
      </c>
      <c r="AG1531">
        <v>-1.1027310386460001</v>
      </c>
      <c r="AH1531">
        <v>16.242857912568599</v>
      </c>
      <c r="AI1531">
        <v>93.882211619966697</v>
      </c>
      <c r="AJ1531">
        <v>91.673348136817907</v>
      </c>
      <c r="AK1531">
        <v>16.287160988314501</v>
      </c>
    </row>
    <row r="1532" spans="1:37" x14ac:dyDescent="0.2">
      <c r="A1532" t="str">
        <f>"20200111155821591"</f>
        <v>20200111155821591</v>
      </c>
      <c r="B1532" t="str">
        <f>"1578729501583002"</f>
        <v>1578729501583002</v>
      </c>
      <c r="C1532" t="s">
        <v>37</v>
      </c>
      <c r="D1532">
        <v>6.0658320000000003</v>
      </c>
      <c r="E1532">
        <v>0.48492849999999998</v>
      </c>
      <c r="F1532" t="s">
        <v>39</v>
      </c>
      <c r="G1532">
        <v>-190.34360000000001</v>
      </c>
      <c r="H1532" s="1">
        <v>-2.5279599999999999E-6</v>
      </c>
      <c r="I1532">
        <v>314.74599999999998</v>
      </c>
      <c r="J1532">
        <v>-191.63499999999999</v>
      </c>
      <c r="K1532">
        <v>1.1027119999999999</v>
      </c>
      <c r="L1532">
        <v>331.8383</v>
      </c>
      <c r="M1532">
        <v>4.5336139999999997E-2</v>
      </c>
      <c r="N1532">
        <v>0</v>
      </c>
      <c r="O1532">
        <v>-0.99896269999999998</v>
      </c>
      <c r="P1532">
        <v>3.2646630000000003E-2</v>
      </c>
      <c r="Q1532">
        <v>1.056294E-2</v>
      </c>
      <c r="R1532">
        <v>-0.99941139999999995</v>
      </c>
      <c r="S1532">
        <v>0.2250366</v>
      </c>
      <c r="T1532">
        <v>-0.190773</v>
      </c>
      <c r="U1532">
        <v>-2.9961849999999899</v>
      </c>
      <c r="V1532">
        <v>1.272004E-2</v>
      </c>
      <c r="W1532">
        <v>1.482844E-2</v>
      </c>
      <c r="X1532">
        <v>0.99980910000000001</v>
      </c>
      <c r="Y1532">
        <v>-2.9459989999999998E-2</v>
      </c>
      <c r="Z1532">
        <v>6.3342889999999999E-2</v>
      </c>
      <c r="AA1532">
        <v>0.99755689999999997</v>
      </c>
      <c r="AB1532">
        <v>24</v>
      </c>
      <c r="AC1532">
        <v>1.2913999999999799</v>
      </c>
      <c r="AD1532">
        <v>-1.1027145279599999</v>
      </c>
      <c r="AE1532">
        <v>-17.092300000000002</v>
      </c>
      <c r="AF1532">
        <v>-0.51304292482387104</v>
      </c>
      <c r="AG1532">
        <v>-1.1027145279599999</v>
      </c>
      <c r="AH1532">
        <v>17.0626573548621</v>
      </c>
      <c r="AI1532">
        <v>93.696066897712001</v>
      </c>
      <c r="AJ1532">
        <v>91.722260478536896</v>
      </c>
      <c r="AK1532">
        <v>17.105948333322999</v>
      </c>
    </row>
    <row r="1533" spans="1:37" x14ac:dyDescent="0.2">
      <c r="A1533" t="str">
        <f>"20200111155821614"</f>
        <v>20200111155821614</v>
      </c>
      <c r="B1533" t="str">
        <f>"1578729501602522"</f>
        <v>1578729501602522</v>
      </c>
      <c r="C1533" t="s">
        <v>37</v>
      </c>
      <c r="D1533">
        <v>6.0663390000000001</v>
      </c>
      <c r="E1533">
        <v>0.484763</v>
      </c>
      <c r="F1533" t="s">
        <v>39</v>
      </c>
      <c r="G1533">
        <v>-190.26689999999999</v>
      </c>
      <c r="H1533" s="1">
        <v>-1.990736E-6</v>
      </c>
      <c r="I1533">
        <v>313.65280000000001</v>
      </c>
      <c r="J1533">
        <v>-191.62549999999999</v>
      </c>
      <c r="K1533">
        <v>1.102698</v>
      </c>
      <c r="L1533">
        <v>331.60640000000001</v>
      </c>
      <c r="M1533">
        <v>4.4339780000000002E-2</v>
      </c>
      <c r="N1533">
        <v>0</v>
      </c>
      <c r="O1533">
        <v>-0.999007599999999</v>
      </c>
      <c r="P1533">
        <v>3.0837130000000001E-2</v>
      </c>
      <c r="Q1533">
        <v>1.068936E-2</v>
      </c>
      <c r="R1533">
        <v>-0.99946759999999901</v>
      </c>
      <c r="S1533">
        <v>0.22541810000000001</v>
      </c>
      <c r="T1533">
        <v>-0.181690299999999</v>
      </c>
      <c r="U1533">
        <v>-2.9963679999999999</v>
      </c>
      <c r="V1533">
        <v>1.353353E-2</v>
      </c>
      <c r="W1533">
        <v>1.492713E-2</v>
      </c>
      <c r="X1533">
        <v>0.99979699999999905</v>
      </c>
      <c r="Y1533">
        <v>-3.0592640000000001E-2</v>
      </c>
      <c r="Z1533">
        <v>6.0337460000000002E-2</v>
      </c>
      <c r="AA1533">
        <v>0.99770910000000002</v>
      </c>
      <c r="AB1533">
        <v>24</v>
      </c>
      <c r="AC1533">
        <v>1.35859999999999</v>
      </c>
      <c r="AD1533">
        <v>-1.102699990736</v>
      </c>
      <c r="AE1533">
        <v>-17.953599999999899</v>
      </c>
      <c r="AF1533">
        <v>-0.55910093163521701</v>
      </c>
      <c r="AG1533">
        <v>-1.102699990736</v>
      </c>
      <c r="AH1533">
        <v>17.928933961444201</v>
      </c>
      <c r="AI1533">
        <v>93.517776881866894</v>
      </c>
      <c r="AJ1533">
        <v>91.786148906899598</v>
      </c>
      <c r="AK1533">
        <v>17.971511180620102</v>
      </c>
    </row>
    <row r="1534" spans="1:37" x14ac:dyDescent="0.2">
      <c r="A1534" t="str">
        <f>"20200111155821635"</f>
        <v>20200111155821635</v>
      </c>
      <c r="B1534" t="str">
        <f>"1578729501632777"</f>
        <v>1578729501632777</v>
      </c>
      <c r="C1534" t="s">
        <v>37</v>
      </c>
      <c r="D1534">
        <v>6.0055230000000002</v>
      </c>
      <c r="E1534">
        <v>0.48476740000000001</v>
      </c>
      <c r="F1534" t="s">
        <v>39</v>
      </c>
      <c r="G1534">
        <v>-190.26769999999999</v>
      </c>
      <c r="H1534" s="1">
        <v>-1.786316E-6</v>
      </c>
      <c r="I1534">
        <v>313.21980000000002</v>
      </c>
      <c r="J1534">
        <v>-191.61609999999999</v>
      </c>
      <c r="K1534">
        <v>1.1026739999999999</v>
      </c>
      <c r="L1534">
        <v>331.366999999999</v>
      </c>
      <c r="M1534">
        <v>4.3307930000000001E-2</v>
      </c>
      <c r="N1534">
        <v>0</v>
      </c>
      <c r="O1534">
        <v>-0.99905290000000002</v>
      </c>
      <c r="P1534">
        <v>2.913226E-2</v>
      </c>
      <c r="Q1534">
        <v>1.055267E-2</v>
      </c>
      <c r="R1534">
        <v>-0.99951990000000002</v>
      </c>
      <c r="S1534">
        <v>0.2212982</v>
      </c>
      <c r="T1534">
        <v>-0.17972160000000001</v>
      </c>
      <c r="U1534">
        <v>-2.9967039999999998</v>
      </c>
      <c r="V1534">
        <v>1.420657E-2</v>
      </c>
      <c r="W1534">
        <v>1.477504E-2</v>
      </c>
      <c r="X1534">
        <v>0.99978989999999901</v>
      </c>
      <c r="Y1534">
        <v>-3.025545E-2</v>
      </c>
      <c r="Z1534">
        <v>5.9686780000000002E-2</v>
      </c>
      <c r="AA1534">
        <v>0.99775849999999899</v>
      </c>
      <c r="AB1534">
        <v>24</v>
      </c>
      <c r="AC1534">
        <v>1.3483999999999901</v>
      </c>
      <c r="AD1534">
        <v>-1.1026757863159999</v>
      </c>
      <c r="AE1534">
        <v>-18.147199999999899</v>
      </c>
      <c r="AF1534">
        <v>-0.55915709453738105</v>
      </c>
      <c r="AG1534">
        <v>-1.1026757863159999</v>
      </c>
      <c r="AH1534">
        <v>18.122028982463199</v>
      </c>
      <c r="AI1534">
        <v>93.4803458763988</v>
      </c>
      <c r="AJ1534">
        <v>91.767306548286896</v>
      </c>
      <c r="AK1534">
        <v>18.164153847271098</v>
      </c>
    </row>
    <row r="1535" spans="1:37" x14ac:dyDescent="0.2">
      <c r="A1535" t="str">
        <f>"20200111155821658"</f>
        <v>20200111155821658</v>
      </c>
      <c r="B1535" t="str">
        <f>"1578729501652297"</f>
        <v>1578729501652297</v>
      </c>
      <c r="C1535" t="s">
        <v>37</v>
      </c>
      <c r="D1535">
        <v>6.1513869999999997</v>
      </c>
      <c r="E1535">
        <v>0.51480420000000005</v>
      </c>
      <c r="F1535" t="s">
        <v>39</v>
      </c>
      <c r="G1535">
        <v>-190.30779999999999</v>
      </c>
      <c r="H1535" s="1">
        <v>-1.8118289999999999E-6</v>
      </c>
      <c r="I1535">
        <v>313.25130000000001</v>
      </c>
      <c r="J1535">
        <v>-191.60640000000001</v>
      </c>
      <c r="K1535">
        <v>1.1026579999999999</v>
      </c>
      <c r="L1535">
        <v>331.116999999999</v>
      </c>
      <c r="M1535">
        <v>4.2226630000000001E-2</v>
      </c>
      <c r="N1535">
        <v>0</v>
      </c>
      <c r="O1535">
        <v>-0.99909919999999997</v>
      </c>
      <c r="P1535">
        <v>2.6742140000000001E-2</v>
      </c>
      <c r="Q1535">
        <v>1.0716440000000001E-2</v>
      </c>
      <c r="R1535">
        <v>-0.99958519999999895</v>
      </c>
      <c r="S1535">
        <v>0.2164459</v>
      </c>
      <c r="T1535">
        <v>-0.18242910000000001</v>
      </c>
      <c r="U1535">
        <v>-2.9971009999999998</v>
      </c>
      <c r="V1535">
        <v>1.5515920000000001E-2</v>
      </c>
      <c r="W1535">
        <v>1.493858E-2</v>
      </c>
      <c r="X1535">
        <v>0.99976799999999999</v>
      </c>
      <c r="Y1535">
        <v>-2.9716869999999999E-2</v>
      </c>
      <c r="Z1535">
        <v>6.0582940000000002E-2</v>
      </c>
      <c r="AA1535">
        <v>0.99772070000000002</v>
      </c>
      <c r="AB1535">
        <v>24</v>
      </c>
      <c r="AC1535">
        <v>1.29860000000002</v>
      </c>
      <c r="AD1535">
        <v>-1.1026598118289901</v>
      </c>
      <c r="AE1535">
        <v>-17.865699999999901</v>
      </c>
      <c r="AF1535">
        <v>-0.54097682103383005</v>
      </c>
      <c r="AG1535">
        <v>-1.1026598118289901</v>
      </c>
      <c r="AH1535">
        <v>17.837011445950498</v>
      </c>
      <c r="AI1535">
        <v>93.535823956151802</v>
      </c>
      <c r="AJ1535">
        <v>91.737185082007699</v>
      </c>
      <c r="AK1535">
        <v>17.879247520644899</v>
      </c>
    </row>
    <row r="1536" spans="1:37" x14ac:dyDescent="0.2">
      <c r="A1536" t="str">
        <f>"20200111155821682"</f>
        <v>20200111155821682</v>
      </c>
      <c r="B1536" t="str">
        <f>"1578729501672434"</f>
        <v>1578729501672434</v>
      </c>
      <c r="C1536" t="s">
        <v>37</v>
      </c>
      <c r="D1536">
        <v>6.2412660000000004</v>
      </c>
      <c r="E1536">
        <v>0.52121309999999998</v>
      </c>
      <c r="F1536" t="s">
        <v>38</v>
      </c>
      <c r="G1536">
        <v>-191.6148</v>
      </c>
      <c r="H1536">
        <v>1.0570469999999901</v>
      </c>
      <c r="I1536">
        <v>330.30699999999899</v>
      </c>
      <c r="J1536">
        <v>-191.5967</v>
      </c>
      <c r="K1536">
        <v>1.1026479999999901</v>
      </c>
      <c r="L1536">
        <v>330.85890000000001</v>
      </c>
      <c r="M1536">
        <v>4.1106980000000001E-2</v>
      </c>
      <c r="N1536">
        <v>0</v>
      </c>
      <c r="O1536">
        <v>-0.99914570000000003</v>
      </c>
      <c r="P1536">
        <v>2.4769059999999999E-2</v>
      </c>
      <c r="Q1536">
        <v>1.058985E-2</v>
      </c>
      <c r="R1536">
        <v>-0.99963729999999995</v>
      </c>
      <c r="S1536">
        <v>-3.0609129999999998E-2</v>
      </c>
      <c r="T1536">
        <v>-0.16937289999999999</v>
      </c>
      <c r="U1536">
        <v>-3.003876</v>
      </c>
      <c r="V1536">
        <v>1.636932E-2</v>
      </c>
      <c r="W1536">
        <v>1.4828920000000001E-2</v>
      </c>
      <c r="X1536">
        <v>0.99975599999999998</v>
      </c>
      <c r="Y1536">
        <v>5.1269799999999997E-2</v>
      </c>
      <c r="Z1536">
        <v>5.6185529999999997E-2</v>
      </c>
      <c r="AA1536">
        <v>0.99710309999999902</v>
      </c>
      <c r="AB1536">
        <v>24</v>
      </c>
      <c r="AC1536">
        <v>-1.8100000000003998E-2</v>
      </c>
      <c r="AD1536">
        <v>-4.5601000000000003E-2</v>
      </c>
      <c r="AE1536">
        <v>-0.55190000000004602</v>
      </c>
      <c r="AF1536">
        <v>4.0495682397582201E-2</v>
      </c>
      <c r="AG1536">
        <v>-4.5601000000000003E-2</v>
      </c>
      <c r="AH1536">
        <v>0.54695939248402903</v>
      </c>
      <c r="AI1536">
        <v>94.752882542300597</v>
      </c>
      <c r="AJ1536">
        <v>85.765670935930501</v>
      </c>
      <c r="AK1536">
        <v>0.55034891525317298</v>
      </c>
    </row>
    <row r="1537" spans="1:37" x14ac:dyDescent="0.2">
      <c r="A1537" t="str">
        <f>"20200111155821703"</f>
        <v>20200111155821703</v>
      </c>
      <c r="B1537" t="str">
        <f>"1578729501692929"</f>
        <v>1578729501692929</v>
      </c>
      <c r="C1537" t="s">
        <v>37</v>
      </c>
      <c r="D1537">
        <v>6.1562999999999999</v>
      </c>
      <c r="E1537">
        <v>0.52277529999999905</v>
      </c>
      <c r="F1537" t="s">
        <v>38</v>
      </c>
      <c r="G1537">
        <v>-191.61840000000001</v>
      </c>
      <c r="H1537">
        <v>1.0430999999999999</v>
      </c>
      <c r="I1537">
        <v>330.09710000000001</v>
      </c>
      <c r="J1537">
        <v>-191.58799999999999</v>
      </c>
      <c r="K1537">
        <v>1.1026370000000001</v>
      </c>
      <c r="L1537">
        <v>330.62139999999999</v>
      </c>
      <c r="M1537">
        <v>4.0074800000000001E-2</v>
      </c>
      <c r="N1537">
        <v>0</v>
      </c>
      <c r="O1537">
        <v>-0.99918750000000001</v>
      </c>
      <c r="P1537">
        <v>2.2832290000000002E-2</v>
      </c>
      <c r="Q1537">
        <v>1.1105139999999999E-2</v>
      </c>
      <c r="R1537">
        <v>-0.99967779999999995</v>
      </c>
      <c r="S1537">
        <v>-8.5433960000000003E-2</v>
      </c>
      <c r="T1537">
        <v>-0.2349638</v>
      </c>
      <c r="U1537">
        <v>-3.0057680000000002</v>
      </c>
      <c r="V1537">
        <v>1.7274640000000001E-2</v>
      </c>
      <c r="W1537">
        <v>1.537293E-2</v>
      </c>
      <c r="X1537">
        <v>0.99973259999999897</v>
      </c>
      <c r="Y1537">
        <v>6.8361870000000005E-2</v>
      </c>
      <c r="Z1537">
        <v>7.7732579999999996E-2</v>
      </c>
      <c r="AA1537">
        <v>0.9946277</v>
      </c>
      <c r="AB1537">
        <v>24</v>
      </c>
      <c r="AC1537">
        <v>-3.0400000000014402E-2</v>
      </c>
      <c r="AD1537">
        <v>-5.9537000000000097E-2</v>
      </c>
      <c r="AE1537">
        <v>-0.524299999999982</v>
      </c>
      <c r="AF1537">
        <v>5.07349646071628E-2</v>
      </c>
      <c r="AG1537">
        <v>-5.9537000000000097E-2</v>
      </c>
      <c r="AH1537">
        <v>0.51602874254401998</v>
      </c>
      <c r="AI1537">
        <v>96.550115495117296</v>
      </c>
      <c r="AJ1537">
        <v>84.384834419863097</v>
      </c>
      <c r="AK1537">
        <v>0.52192370528100396</v>
      </c>
    </row>
    <row r="1538" spans="1:37" x14ac:dyDescent="0.2">
      <c r="A1538" t="str">
        <f>"20200111155821726"</f>
        <v>20200111155821726</v>
      </c>
      <c r="B1538" t="str">
        <f>"1578729501722210"</f>
        <v>1578729501722210</v>
      </c>
      <c r="C1538" t="s">
        <v>37</v>
      </c>
      <c r="D1538">
        <v>8.1972470000000008</v>
      </c>
      <c r="E1538">
        <v>0.52524740000000003</v>
      </c>
      <c r="F1538" t="s">
        <v>38</v>
      </c>
      <c r="G1538">
        <v>-191.61369999999999</v>
      </c>
      <c r="H1538">
        <v>1.040648</v>
      </c>
      <c r="I1538">
        <v>329.87729999999999</v>
      </c>
      <c r="J1538">
        <v>-191.57929999999999</v>
      </c>
      <c r="K1538">
        <v>1.1026339999999999</v>
      </c>
      <c r="L1538">
        <v>330.37450000000001</v>
      </c>
      <c r="M1538">
        <v>3.9002710000000003E-2</v>
      </c>
      <c r="N1538">
        <v>0</v>
      </c>
      <c r="O1538">
        <v>-0.99922979999999995</v>
      </c>
      <c r="P1538">
        <v>2.0670150000000002E-2</v>
      </c>
      <c r="Q1538">
        <v>1.11585E-2</v>
      </c>
      <c r="R1538">
        <v>-0.99972430000000001</v>
      </c>
      <c r="S1538">
        <v>-0.103302</v>
      </c>
      <c r="T1538">
        <v>-0.25061279999999903</v>
      </c>
      <c r="U1538">
        <v>-3.0061040000000001</v>
      </c>
      <c r="V1538">
        <v>1.8364740000000001E-2</v>
      </c>
      <c r="W1538">
        <v>1.5464469999999999E-2</v>
      </c>
      <c r="X1538">
        <v>0.99971180000000004</v>
      </c>
      <c r="Y1538">
        <v>7.3179399999999895E-2</v>
      </c>
      <c r="Z1538">
        <v>8.2849290000000006E-2</v>
      </c>
      <c r="AA1538">
        <v>0.99387159999999997</v>
      </c>
      <c r="AB1538">
        <v>25</v>
      </c>
      <c r="AC1538">
        <v>-3.4400000000005003E-2</v>
      </c>
      <c r="AD1538">
        <v>-6.1986000000000097E-2</v>
      </c>
      <c r="AE1538">
        <v>-0.49720000000002001</v>
      </c>
      <c r="AF1538">
        <v>5.2947134376212998E-2</v>
      </c>
      <c r="AG1538">
        <v>-6.1986000000000097E-2</v>
      </c>
      <c r="AH1538">
        <v>0.48793233983421902</v>
      </c>
      <c r="AI1538">
        <v>97.198157149792493</v>
      </c>
      <c r="AJ1538">
        <v>83.806879935602495</v>
      </c>
      <c r="AK1538">
        <v>0.49469549370370097</v>
      </c>
    </row>
    <row r="1539" spans="1:37" x14ac:dyDescent="0.2">
      <c r="A1539" t="str">
        <f>"20200111155821747"</f>
        <v>20200111155821747</v>
      </c>
      <c r="B1539" t="str">
        <f>"1578729501742706"</f>
        <v>1578729501742706</v>
      </c>
      <c r="C1539" t="s">
        <v>37</v>
      </c>
      <c r="D1539">
        <v>6.1400389999999998</v>
      </c>
      <c r="E1539">
        <v>0.52547469999999996</v>
      </c>
      <c r="F1539" t="s">
        <v>38</v>
      </c>
      <c r="G1539">
        <v>-191.6199</v>
      </c>
      <c r="H1539">
        <v>1.028098</v>
      </c>
      <c r="I1539">
        <v>329.43770000000001</v>
      </c>
      <c r="J1539">
        <v>-191.57079999999999</v>
      </c>
      <c r="K1539">
        <v>1.102624</v>
      </c>
      <c r="L1539">
        <v>330.1277</v>
      </c>
      <c r="M1539">
        <v>3.793382E-2</v>
      </c>
      <c r="N1539">
        <v>0</v>
      </c>
      <c r="O1539">
        <v>-0.99927060000000001</v>
      </c>
      <c r="P1539">
        <v>1.8752390000000001E-2</v>
      </c>
      <c r="Q1539">
        <v>1.0746479999999999E-2</v>
      </c>
      <c r="R1539">
        <v>-0.9997665</v>
      </c>
      <c r="S1539">
        <v>-0.12959289999999901</v>
      </c>
      <c r="T1539">
        <v>-0.23936569999999999</v>
      </c>
      <c r="U1539">
        <v>-3.0062259999999998</v>
      </c>
      <c r="V1539">
        <v>1.921291E-2</v>
      </c>
      <c r="W1539">
        <v>1.5097350000000001E-2</v>
      </c>
      <c r="X1539">
        <v>0.99970139999999996</v>
      </c>
      <c r="Y1539">
        <v>8.0800860000000002E-2</v>
      </c>
      <c r="Z1539">
        <v>7.9120129999999997E-2</v>
      </c>
      <c r="AA1539">
        <v>0.9935851</v>
      </c>
      <c r="AB1539">
        <v>25</v>
      </c>
      <c r="AC1539">
        <v>-4.91000000000099E-2</v>
      </c>
      <c r="AD1539">
        <v>-7.4525999999999995E-2</v>
      </c>
      <c r="AE1539">
        <v>-0.68999999999999695</v>
      </c>
      <c r="AF1539">
        <v>7.4375958592263702E-2</v>
      </c>
      <c r="AG1539">
        <v>-7.4525999999999995E-2</v>
      </c>
      <c r="AH1539">
        <v>0.67975085807438396</v>
      </c>
      <c r="AI1539">
        <v>96.219932785686296</v>
      </c>
      <c r="AJ1539">
        <v>83.755736094544801</v>
      </c>
      <c r="AK1539">
        <v>0.68785691604096</v>
      </c>
    </row>
    <row r="1540" spans="1:37" x14ac:dyDescent="0.2">
      <c r="A1540" t="str">
        <f>"20200111155821770"</f>
        <v>20200111155821770</v>
      </c>
      <c r="B1540" t="str">
        <f>"1578729501763202"</f>
        <v>1578729501763202</v>
      </c>
      <c r="C1540" t="s">
        <v>37</v>
      </c>
      <c r="D1540">
        <v>6.1715070000000001</v>
      </c>
      <c r="E1540">
        <v>0.52490959999999998</v>
      </c>
      <c r="F1540" t="s">
        <v>38</v>
      </c>
      <c r="G1540">
        <v>-191.61269999999999</v>
      </c>
      <c r="H1540">
        <v>1.034033</v>
      </c>
      <c r="I1540">
        <v>329.21080000000001</v>
      </c>
      <c r="J1540">
        <v>-191.56229999999999</v>
      </c>
      <c r="K1540">
        <v>1.102616</v>
      </c>
      <c r="L1540">
        <v>329.87169999999998</v>
      </c>
      <c r="M1540">
        <v>3.6829460000000001E-2</v>
      </c>
      <c r="N1540">
        <v>0</v>
      </c>
      <c r="O1540">
        <v>-0.99931199999999998</v>
      </c>
      <c r="P1540">
        <v>1.693567E-2</v>
      </c>
      <c r="Q1540">
        <v>9.4613900000000001E-3</v>
      </c>
      <c r="R1540">
        <v>-0.99981219999999904</v>
      </c>
      <c r="S1540">
        <v>-0.1375275</v>
      </c>
      <c r="T1540">
        <v>-0.224871299999999</v>
      </c>
      <c r="U1540">
        <v>-3.0056759999999998</v>
      </c>
      <c r="V1540">
        <v>1.992323E-2</v>
      </c>
      <c r="W1540">
        <v>1.386342E-2</v>
      </c>
      <c r="X1540">
        <v>0.99970539999999997</v>
      </c>
      <c r="Y1540">
        <v>8.2341600000000001E-2</v>
      </c>
      <c r="Z1540">
        <v>7.436574E-2</v>
      </c>
      <c r="AA1540">
        <v>0.99382569999999903</v>
      </c>
      <c r="AB1540">
        <v>25</v>
      </c>
      <c r="AC1540">
        <v>-5.0399999999996198E-2</v>
      </c>
      <c r="AD1540">
        <v>-6.8583000000000005E-2</v>
      </c>
      <c r="AE1540">
        <v>-0.66089999999996896</v>
      </c>
      <c r="AF1540">
        <v>7.3915263284331706E-2</v>
      </c>
      <c r="AG1540">
        <v>-6.8583000000000005E-2</v>
      </c>
      <c r="AH1540">
        <v>0.65161890439669701</v>
      </c>
      <c r="AI1540">
        <v>95.970261873525104</v>
      </c>
      <c r="AJ1540">
        <v>83.528414614722493</v>
      </c>
      <c r="AK1540">
        <v>0.65937416585922204</v>
      </c>
    </row>
    <row r="1541" spans="1:37" x14ac:dyDescent="0.2">
      <c r="A1541" t="str">
        <f>"20200111155821793"</f>
        <v>20200111155821793</v>
      </c>
      <c r="B1541" t="str">
        <f>"1578729501782722"</f>
        <v>1578729501782722</v>
      </c>
      <c r="C1541" t="s">
        <v>37</v>
      </c>
      <c r="D1541">
        <v>6.1510179999999997</v>
      </c>
      <c r="E1541">
        <v>0.52421130000000005</v>
      </c>
      <c r="F1541" t="s">
        <v>38</v>
      </c>
      <c r="G1541">
        <v>-191.60329999999999</v>
      </c>
      <c r="H1541">
        <v>1.0354649999999901</v>
      </c>
      <c r="I1541">
        <v>328.98509999999999</v>
      </c>
      <c r="J1541">
        <v>-191.55410000000001</v>
      </c>
      <c r="K1541">
        <v>1.102609</v>
      </c>
      <c r="L1541">
        <v>329.61810000000003</v>
      </c>
      <c r="M1541">
        <v>3.5741090000000003E-2</v>
      </c>
      <c r="N1541">
        <v>0</v>
      </c>
      <c r="O1541">
        <v>-0.99935110000000005</v>
      </c>
      <c r="P1541">
        <v>1.5224959999999999E-2</v>
      </c>
      <c r="Q1541">
        <v>8.8100780000000007E-3</v>
      </c>
      <c r="R1541">
        <v>-0.99984569999999995</v>
      </c>
      <c r="S1541">
        <v>-0.13859560000000001</v>
      </c>
      <c r="T1541">
        <v>-0.22777829999999999</v>
      </c>
      <c r="U1541">
        <v>-3.0050659999999998</v>
      </c>
      <c r="V1541">
        <v>2.0544349999999999E-2</v>
      </c>
      <c r="W1541">
        <v>1.3270290000000001E-2</v>
      </c>
      <c r="X1541">
        <v>0.99970079999999995</v>
      </c>
      <c r="Y1541">
        <v>8.1614530000000005E-2</v>
      </c>
      <c r="Z1541">
        <v>7.5342930000000002E-2</v>
      </c>
      <c r="AA1541">
        <v>0.99381209999999898</v>
      </c>
      <c r="AB1541">
        <v>25</v>
      </c>
      <c r="AC1541">
        <v>-4.9199999999984798E-2</v>
      </c>
      <c r="AD1541">
        <v>-6.7143999999999995E-2</v>
      </c>
      <c r="AE1541">
        <v>-0.63300000000003798</v>
      </c>
      <c r="AF1541">
        <v>7.0998859928810901E-2</v>
      </c>
      <c r="AG1541">
        <v>-6.7143999999999995E-2</v>
      </c>
      <c r="AH1541">
        <v>0.62385992413287195</v>
      </c>
      <c r="AI1541">
        <v>96.103810981206706</v>
      </c>
      <c r="AJ1541">
        <v>83.507343880215899</v>
      </c>
      <c r="AK1541">
        <v>0.631466831897182</v>
      </c>
    </row>
    <row r="1542" spans="1:37" x14ac:dyDescent="0.2">
      <c r="A1542" t="str">
        <f>"20200111155821814"</f>
        <v>20200111155821814</v>
      </c>
      <c r="B1542" t="str">
        <f>"1578729501802242"</f>
        <v>1578729501802242</v>
      </c>
      <c r="C1542" t="s">
        <v>37</v>
      </c>
      <c r="D1542">
        <v>6.089188</v>
      </c>
      <c r="E1542">
        <v>0.52400159999999996</v>
      </c>
      <c r="F1542" t="s">
        <v>38</v>
      </c>
      <c r="G1542">
        <v>-191.59389999999999</v>
      </c>
      <c r="H1542">
        <v>1.037984</v>
      </c>
      <c r="I1542">
        <v>328.75790000000001</v>
      </c>
      <c r="J1542">
        <v>-191.54650000000001</v>
      </c>
      <c r="K1542">
        <v>1.102608</v>
      </c>
      <c r="L1542">
        <v>329.37389999999999</v>
      </c>
      <c r="M1542">
        <v>3.4699359999999999E-2</v>
      </c>
      <c r="N1542">
        <v>0</v>
      </c>
      <c r="O1542">
        <v>-0.99938760000000004</v>
      </c>
      <c r="P1542">
        <v>1.372192E-2</v>
      </c>
      <c r="Q1542">
        <v>8.5891969999999998E-3</v>
      </c>
      <c r="R1542">
        <v>-0.99986929999999996</v>
      </c>
      <c r="S1542">
        <v>-0.1386261</v>
      </c>
      <c r="T1542">
        <v>-0.22577809999999901</v>
      </c>
      <c r="U1542">
        <v>-3.004578</v>
      </c>
      <c r="V1542">
        <v>2.1005050000000001E-2</v>
      </c>
      <c r="W1542">
        <v>1.311915E-2</v>
      </c>
      <c r="X1542">
        <v>0.99969330000000001</v>
      </c>
      <c r="Y1542">
        <v>8.0595340000000001E-2</v>
      </c>
      <c r="Z1542">
        <v>7.4704320000000005E-2</v>
      </c>
      <c r="AA1542">
        <v>0.99394349999999998</v>
      </c>
      <c r="AB1542">
        <v>25</v>
      </c>
      <c r="AC1542">
        <v>-4.7399999999981901E-2</v>
      </c>
      <c r="AD1542">
        <v>-6.4624000000000001E-2</v>
      </c>
      <c r="AE1542">
        <v>-0.615999999999985</v>
      </c>
      <c r="AF1542">
        <v>6.8002454483177793E-2</v>
      </c>
      <c r="AG1542">
        <v>-6.4624000000000001E-2</v>
      </c>
      <c r="AH1542">
        <v>0.60733928722663</v>
      </c>
      <c r="AI1542">
        <v>96.036271097198195</v>
      </c>
      <c r="AJ1542">
        <v>83.611325768689397</v>
      </c>
      <c r="AK1542">
        <v>0.61454178458481401</v>
      </c>
    </row>
    <row r="1543" spans="1:37" x14ac:dyDescent="0.2">
      <c r="A1543" t="str">
        <f>"20200111155821837"</f>
        <v>20200111155821837</v>
      </c>
      <c r="B1543" t="str">
        <f>"1578729501832498"</f>
        <v>1578729501832498</v>
      </c>
      <c r="C1543" t="s">
        <v>37</v>
      </c>
      <c r="D1543">
        <v>6.2833649999999999</v>
      </c>
      <c r="E1543">
        <v>0.52431519999999898</v>
      </c>
      <c r="F1543" t="s">
        <v>38</v>
      </c>
      <c r="G1543">
        <v>-191.58629999999999</v>
      </c>
      <c r="H1543">
        <v>1.0358829999999899</v>
      </c>
      <c r="I1543">
        <v>328.53190000000001</v>
      </c>
      <c r="J1543">
        <v>-191.53870000000001</v>
      </c>
      <c r="K1543">
        <v>1.102617</v>
      </c>
      <c r="L1543">
        <v>329.11579999999998</v>
      </c>
      <c r="M1543">
        <v>3.360701E-2</v>
      </c>
      <c r="N1543">
        <v>0</v>
      </c>
      <c r="O1543">
        <v>-0.99942430000000004</v>
      </c>
      <c r="P1543">
        <v>1.2821549999999999E-2</v>
      </c>
      <c r="Q1543">
        <v>8.1963350000000008E-3</v>
      </c>
      <c r="R1543">
        <v>-0.99988459999999901</v>
      </c>
      <c r="S1543">
        <v>-0.14097599999999999</v>
      </c>
      <c r="T1543">
        <v>-0.23827329999999899</v>
      </c>
      <c r="U1543">
        <v>-3.0043639999999998</v>
      </c>
      <c r="V1543">
        <v>2.0812299999999999E-2</v>
      </c>
      <c r="W1543">
        <v>1.282353E-2</v>
      </c>
      <c r="X1543">
        <v>0.99970110000000001</v>
      </c>
      <c r="Y1543">
        <v>8.0270030000000006E-2</v>
      </c>
      <c r="Z1543">
        <v>7.8823130000000005E-2</v>
      </c>
      <c r="AA1543">
        <v>0.99365170000000003</v>
      </c>
      <c r="AB1543">
        <v>25</v>
      </c>
      <c r="AC1543">
        <v>-4.7599999999988499E-2</v>
      </c>
      <c r="AD1543">
        <v>-6.6734000000000002E-2</v>
      </c>
      <c r="AE1543">
        <v>-0.583899999999971</v>
      </c>
      <c r="AF1543">
        <v>6.6335685133229003E-2</v>
      </c>
      <c r="AG1543">
        <v>-6.6734000000000002E-2</v>
      </c>
      <c r="AH1543">
        <v>0.57451553923342802</v>
      </c>
      <c r="AI1543">
        <v>96.582269462709405</v>
      </c>
      <c r="AJ1543">
        <v>83.413584170541498</v>
      </c>
      <c r="AK1543">
        <v>0.58217003933453304</v>
      </c>
    </row>
    <row r="1544" spans="1:37" x14ac:dyDescent="0.2">
      <c r="A1544" t="str">
        <f>"20200111155821859"</f>
        <v>20200111155821859</v>
      </c>
      <c r="B1544" t="str">
        <f>"1578729501852995"</f>
        <v>1578729501852995</v>
      </c>
      <c r="C1544" t="s">
        <v>37</v>
      </c>
      <c r="D1544">
        <v>6.0808710000000001</v>
      </c>
      <c r="E1544">
        <v>0.52431479999999997</v>
      </c>
      <c r="F1544" t="s">
        <v>38</v>
      </c>
      <c r="G1544">
        <v>-191.57810000000001</v>
      </c>
      <c r="H1544">
        <v>1.034754</v>
      </c>
      <c r="I1544">
        <v>328.30459999999999</v>
      </c>
      <c r="J1544">
        <v>-191.53110000000001</v>
      </c>
      <c r="K1544">
        <v>1.1026279999999999</v>
      </c>
      <c r="L1544">
        <v>328.85449999999997</v>
      </c>
      <c r="M1544">
        <v>3.250815E-2</v>
      </c>
      <c r="N1544">
        <v>0</v>
      </c>
      <c r="O1544">
        <v>-0.99946009999999996</v>
      </c>
      <c r="P1544">
        <v>1.2364170000000001E-2</v>
      </c>
      <c r="Q1544">
        <v>7.72794E-3</v>
      </c>
      <c r="R1544">
        <v>-0.99989419999999996</v>
      </c>
      <c r="S1544">
        <v>-0.1456451</v>
      </c>
      <c r="T1544">
        <v>-0.25128020000000001</v>
      </c>
      <c r="U1544">
        <v>-3.0042419999999899</v>
      </c>
      <c r="V1544">
        <v>2.017006E-2</v>
      </c>
      <c r="W1544">
        <v>1.248644E-2</v>
      </c>
      <c r="X1544">
        <v>0.99971860000000001</v>
      </c>
      <c r="Y1544">
        <v>8.0699999999999994E-2</v>
      </c>
      <c r="Z1544">
        <v>8.3100220000000002E-2</v>
      </c>
      <c r="AA1544">
        <v>0.99326829999999999</v>
      </c>
      <c r="AB1544">
        <v>25</v>
      </c>
      <c r="AC1544">
        <v>-4.6999999999997003E-2</v>
      </c>
      <c r="AD1544">
        <v>-6.7873999999999907E-2</v>
      </c>
      <c r="AE1544">
        <v>-0.54989999999997896</v>
      </c>
      <c r="AF1544">
        <v>6.3885365023126306E-2</v>
      </c>
      <c r="AG1544">
        <v>-6.7873999999999907E-2</v>
      </c>
      <c r="AH1544">
        <v>0.53991555117549195</v>
      </c>
      <c r="AI1544">
        <v>97.116066279371097</v>
      </c>
      <c r="AJ1544">
        <v>83.251868246321393</v>
      </c>
      <c r="AK1544">
        <v>0.54790238377038802</v>
      </c>
    </row>
    <row r="1545" spans="1:37" x14ac:dyDescent="0.2">
      <c r="A1545" t="str">
        <f>"20200111155821882"</f>
        <v>20200111155821882</v>
      </c>
      <c r="B1545" t="str">
        <f>"1578729501872515"</f>
        <v>1578729501872515</v>
      </c>
      <c r="C1545" t="s">
        <v>37</v>
      </c>
      <c r="D1545">
        <v>7.2296719999999999</v>
      </c>
      <c r="E1545">
        <v>0.52423540000000002</v>
      </c>
      <c r="F1545" t="s">
        <v>38</v>
      </c>
      <c r="G1545">
        <v>-191.56950000000001</v>
      </c>
      <c r="H1545">
        <v>1.036689</v>
      </c>
      <c r="I1545">
        <v>328.07490000000001</v>
      </c>
      <c r="J1545">
        <v>-191.5239</v>
      </c>
      <c r="K1545">
        <v>1.102652</v>
      </c>
      <c r="L1545">
        <v>328.5976</v>
      </c>
      <c r="M1545">
        <v>3.1433030000000001E-2</v>
      </c>
      <c r="N1545">
        <v>0</v>
      </c>
      <c r="O1545">
        <v>-0.99949370000000004</v>
      </c>
      <c r="P1545">
        <v>1.1380990000000001E-2</v>
      </c>
      <c r="Q1545">
        <v>7.0364329999999999E-3</v>
      </c>
      <c r="R1545">
        <v>-0.99991090000000005</v>
      </c>
      <c r="S1545">
        <v>-0.14714050000000001</v>
      </c>
      <c r="T1545">
        <v>-0.2543473</v>
      </c>
      <c r="U1545">
        <v>-3.004089</v>
      </c>
      <c r="V1545">
        <v>2.0077020000000001E-2</v>
      </c>
      <c r="W1545">
        <v>1.195242E-2</v>
      </c>
      <c r="X1545">
        <v>0.99972700000000003</v>
      </c>
      <c r="Y1545">
        <v>8.0119380000000004E-2</v>
      </c>
      <c r="Z1545">
        <v>8.4116940000000001E-2</v>
      </c>
      <c r="AA1545">
        <v>0.99322969999999899</v>
      </c>
      <c r="AB1545">
        <v>25</v>
      </c>
      <c r="AC1545">
        <v>-4.5600000000007399E-2</v>
      </c>
      <c r="AD1545">
        <v>-6.5962999999999994E-2</v>
      </c>
      <c r="AE1545">
        <v>-0.52269999999998595</v>
      </c>
      <c r="AF1545">
        <v>6.1042909036809603E-2</v>
      </c>
      <c r="AG1545">
        <v>-6.5962999999999994E-2</v>
      </c>
      <c r="AH1545">
        <v>0.51290177161304695</v>
      </c>
      <c r="AI1545">
        <v>97.277633715077201</v>
      </c>
      <c r="AJ1545">
        <v>83.212878747836598</v>
      </c>
      <c r="AK1545">
        <v>0.52071641172184902</v>
      </c>
    </row>
    <row r="1546" spans="1:37" x14ac:dyDescent="0.2">
      <c r="A1546" t="str">
        <f>"20200111155821903"</f>
        <v>20200111155821903</v>
      </c>
      <c r="B1546" t="str">
        <f>"1578729501893009"</f>
        <v>1578729501893009</v>
      </c>
      <c r="C1546" t="s">
        <v>37</v>
      </c>
      <c r="D1546">
        <v>6.1080389999999998</v>
      </c>
      <c r="E1546">
        <v>0.5726483</v>
      </c>
      <c r="F1546" t="s">
        <v>38</v>
      </c>
      <c r="G1546">
        <v>-191.5615</v>
      </c>
      <c r="H1546">
        <v>1.039631</v>
      </c>
      <c r="I1546">
        <v>327.84390000000002</v>
      </c>
      <c r="J1546">
        <v>-191.5172</v>
      </c>
      <c r="K1546">
        <v>1.1026719999999901</v>
      </c>
      <c r="L1546">
        <v>328.34809999999999</v>
      </c>
      <c r="M1546">
        <v>3.0391999999999999E-2</v>
      </c>
      <c r="N1546">
        <v>0</v>
      </c>
      <c r="O1546">
        <v>-0.9995252</v>
      </c>
      <c r="P1546">
        <v>1.052632E-2</v>
      </c>
      <c r="Q1546">
        <v>5.9482090000000003E-3</v>
      </c>
      <c r="R1546">
        <v>-0.99992729999999996</v>
      </c>
      <c r="S1546">
        <v>-0.14974979999999999</v>
      </c>
      <c r="T1546">
        <v>-0.25114940000000002</v>
      </c>
      <c r="U1546">
        <v>-3.0037539999999998</v>
      </c>
      <c r="V1546">
        <v>1.9888980000000001E-2</v>
      </c>
      <c r="W1546">
        <v>1.104601E-2</v>
      </c>
      <c r="X1546">
        <v>0.9997412</v>
      </c>
      <c r="Y1546">
        <v>7.9951670000000002E-2</v>
      </c>
      <c r="Z1546">
        <v>8.3078719999999995E-2</v>
      </c>
      <c r="AA1546">
        <v>0.99333059999999995</v>
      </c>
      <c r="AB1546">
        <v>26</v>
      </c>
      <c r="AC1546">
        <v>-4.4299999999992602E-2</v>
      </c>
      <c r="AD1546">
        <v>-6.3040999999999903E-2</v>
      </c>
      <c r="AE1546">
        <v>-0.50419999999996801</v>
      </c>
      <c r="AF1546">
        <v>5.86928658825897E-2</v>
      </c>
      <c r="AG1546">
        <v>-6.3040999999999903E-2</v>
      </c>
      <c r="AH1546">
        <v>0.49494256756619898</v>
      </c>
      <c r="AI1546">
        <v>97.208725485742704</v>
      </c>
      <c r="AJ1546">
        <v>83.237150970094305</v>
      </c>
      <c r="AK1546">
        <v>0.50238149386251596</v>
      </c>
    </row>
    <row r="1547" spans="1:37" x14ac:dyDescent="0.2">
      <c r="A1547" t="str">
        <f>"20200111155821928"</f>
        <v>20200111155821928</v>
      </c>
      <c r="B1547" t="str">
        <f>"1578729501922290"</f>
        <v>1578729501922290</v>
      </c>
      <c r="C1547" t="s">
        <v>37</v>
      </c>
      <c r="D1547">
        <v>6.0508620000000004</v>
      </c>
      <c r="E1547">
        <v>0.58300549999999995</v>
      </c>
      <c r="F1547" t="s">
        <v>39</v>
      </c>
      <c r="G1547">
        <v>-196.55019999999999</v>
      </c>
      <c r="H1547" s="1">
        <v>-2.1300989999999999E-6</v>
      </c>
      <c r="I1547">
        <v>300.49189999999999</v>
      </c>
      <c r="J1547">
        <v>-191.5103</v>
      </c>
      <c r="K1547">
        <v>1.1027049999999901</v>
      </c>
      <c r="L1547">
        <v>328.08170000000001</v>
      </c>
      <c r="M1547">
        <v>2.9283070000000001E-2</v>
      </c>
      <c r="N1547">
        <v>0</v>
      </c>
      <c r="O1547">
        <v>-0.99955669999999996</v>
      </c>
      <c r="P1547">
        <v>9.1675419999999903E-3</v>
      </c>
      <c r="Q1547">
        <v>5.5962449999999997E-3</v>
      </c>
      <c r="R1547">
        <v>-0.99994209999999994</v>
      </c>
      <c r="S1547">
        <v>-0.54322809999999999</v>
      </c>
      <c r="T1547">
        <v>-0.11901680000000001</v>
      </c>
      <c r="U1547">
        <v>-3.006653</v>
      </c>
      <c r="V1547">
        <v>2.0138389999999999E-2</v>
      </c>
      <c r="W1547">
        <v>1.0928719999999999E-2</v>
      </c>
      <c r="X1547">
        <v>0.9997374</v>
      </c>
      <c r="Y1547">
        <v>0.20640329999999901</v>
      </c>
      <c r="Z1547">
        <v>3.8788620000000003E-2</v>
      </c>
      <c r="AA1547">
        <v>0.97769779999999995</v>
      </c>
      <c r="AB1547">
        <v>26</v>
      </c>
      <c r="AC1547">
        <v>-5.0398999999999798</v>
      </c>
      <c r="AD1547">
        <v>-1.1027071300989999</v>
      </c>
      <c r="AE1547">
        <v>-27.5898</v>
      </c>
      <c r="AF1547">
        <v>5.8366417626590898</v>
      </c>
      <c r="AG1547">
        <v>-1.1027071300989999</v>
      </c>
      <c r="AH1547">
        <v>27.388044297619501</v>
      </c>
      <c r="AI1547">
        <v>92.255033514960104</v>
      </c>
      <c r="AJ1547">
        <v>77.969713202020003</v>
      </c>
      <c r="AK1547">
        <v>28.024762631086801</v>
      </c>
    </row>
    <row r="1548" spans="1:37" x14ac:dyDescent="0.2">
      <c r="A1548" t="str">
        <f>"20200111155821948"</f>
        <v>20200111155821948</v>
      </c>
      <c r="B1548" t="str">
        <f>"1578729501942785"</f>
        <v>1578729501942785</v>
      </c>
      <c r="C1548" t="s">
        <v>37</v>
      </c>
      <c r="D1548">
        <v>6.0362269999999896</v>
      </c>
      <c r="E1548">
        <v>0.58535099999999995</v>
      </c>
      <c r="F1548" t="s">
        <v>39</v>
      </c>
      <c r="G1548">
        <v>-196.2978</v>
      </c>
      <c r="H1548" s="1">
        <v>-3.9140979999999999E-6</v>
      </c>
      <c r="I1548">
        <v>305.20580000000001</v>
      </c>
      <c r="J1548">
        <v>-191.50409999999999</v>
      </c>
      <c r="K1548">
        <v>1.102738</v>
      </c>
      <c r="L1548">
        <v>327.82940000000002</v>
      </c>
      <c r="M1548">
        <v>2.823434E-2</v>
      </c>
      <c r="N1548">
        <v>0</v>
      </c>
      <c r="O1548">
        <v>-0.99958559999999996</v>
      </c>
      <c r="P1548">
        <v>7.8445679999999997E-3</v>
      </c>
      <c r="Q1548">
        <v>5.1409259999999997E-3</v>
      </c>
      <c r="R1548">
        <v>-0.99995610000000001</v>
      </c>
      <c r="S1548">
        <v>-0.62925719999999996</v>
      </c>
      <c r="T1548">
        <v>-0.14493879999999901</v>
      </c>
      <c r="U1548">
        <v>-3.0067750000000002</v>
      </c>
      <c r="V1548">
        <v>2.0412099999999999E-2</v>
      </c>
      <c r="W1548">
        <v>1.0734179999999999E-2</v>
      </c>
      <c r="X1548">
        <v>0.99973400000000001</v>
      </c>
      <c r="Y1548">
        <v>0.23216999999999999</v>
      </c>
      <c r="Z1548">
        <v>4.6954019999999999E-2</v>
      </c>
      <c r="AA1548">
        <v>0.97154130000000005</v>
      </c>
      <c r="AB1548">
        <v>26</v>
      </c>
      <c r="AC1548">
        <v>-4.7937000000000003</v>
      </c>
      <c r="AD1548">
        <v>-1.1027419140979999</v>
      </c>
      <c r="AE1548">
        <v>-22.6236</v>
      </c>
      <c r="AF1548">
        <v>5.4182413461736996</v>
      </c>
      <c r="AG1548">
        <v>-1.1027419140979999</v>
      </c>
      <c r="AH1548">
        <v>22.428234168009599</v>
      </c>
      <c r="AI1548">
        <v>92.736239303090102</v>
      </c>
      <c r="AJ1548">
        <v>76.418631636283095</v>
      </c>
      <c r="AK1548">
        <v>23.0997633518088</v>
      </c>
    </row>
    <row r="1549" spans="1:37" x14ac:dyDescent="0.2">
      <c r="A1549" t="str">
        <f>"20200111155821971"</f>
        <v>20200111155821971</v>
      </c>
      <c r="B1549" t="str">
        <f>"1578729501962306"</f>
        <v>1578729501962306</v>
      </c>
      <c r="C1549" t="s">
        <v>37</v>
      </c>
      <c r="D1549">
        <v>6.0174510000000003</v>
      </c>
      <c r="E1549">
        <v>0.58675900000000003</v>
      </c>
      <c r="F1549" t="s">
        <v>39</v>
      </c>
      <c r="G1549">
        <v>-195.18350000000001</v>
      </c>
      <c r="H1549" s="1">
        <v>-1.9571279999999998E-6</v>
      </c>
      <c r="I1549">
        <v>310.81420000000003</v>
      </c>
      <c r="J1549">
        <v>-191.49809999999999</v>
      </c>
      <c r="K1549">
        <v>1.1027719999999901</v>
      </c>
      <c r="L1549">
        <v>327.57429999999999</v>
      </c>
      <c r="M1549">
        <v>2.717383E-2</v>
      </c>
      <c r="N1549">
        <v>0</v>
      </c>
      <c r="O1549">
        <v>-0.99961350000000004</v>
      </c>
      <c r="P1549">
        <v>5.8722239999999997E-3</v>
      </c>
      <c r="Q1549">
        <v>4.7760270000000004E-3</v>
      </c>
      <c r="R1549">
        <v>-0.99997139999999995</v>
      </c>
      <c r="S1549">
        <v>-0.65008540000000004</v>
      </c>
      <c r="T1549">
        <v>-0.19483549999999999</v>
      </c>
      <c r="U1549">
        <v>-3.0062869999999999</v>
      </c>
      <c r="V1549">
        <v>2.1323439999999999E-2</v>
      </c>
      <c r="W1549">
        <v>1.064215E-2</v>
      </c>
      <c r="X1549">
        <v>0.99971599999999905</v>
      </c>
      <c r="Y1549">
        <v>0.23741860000000001</v>
      </c>
      <c r="Z1549">
        <v>6.2988150000000007E-2</v>
      </c>
      <c r="AA1549">
        <v>0.96936319999999998</v>
      </c>
      <c r="AB1549">
        <v>26</v>
      </c>
      <c r="AC1549">
        <v>-3.6854000000000098</v>
      </c>
      <c r="AD1549">
        <v>-1.102773957128</v>
      </c>
      <c r="AE1549">
        <v>-16.760099999999898</v>
      </c>
      <c r="AF1549">
        <v>4.1224586845216598</v>
      </c>
      <c r="AG1549">
        <v>-1.102773957128</v>
      </c>
      <c r="AH1549">
        <v>16.5852712531238</v>
      </c>
      <c r="AI1549">
        <v>93.692045336960305</v>
      </c>
      <c r="AJ1549">
        <v>76.041358450633894</v>
      </c>
      <c r="AK1549">
        <v>17.125478053058899</v>
      </c>
    </row>
    <row r="1550" spans="1:37" x14ac:dyDescent="0.2">
      <c r="A1550" t="str">
        <f>"20200111155821993"</f>
        <v>20200111155821993</v>
      </c>
      <c r="B1550" t="str">
        <f>"1578729501982801"</f>
        <v>1578729501982801</v>
      </c>
      <c r="C1550" t="s">
        <v>37</v>
      </c>
      <c r="D1550">
        <v>6.0435299999999996</v>
      </c>
      <c r="E1550">
        <v>0.58753659999999996</v>
      </c>
      <c r="F1550" t="s">
        <v>39</v>
      </c>
      <c r="G1550">
        <v>-194.76900000000001</v>
      </c>
      <c r="H1550" s="1">
        <v>-2.7933189999999999E-6</v>
      </c>
      <c r="I1550">
        <v>312.81650000000002</v>
      </c>
      <c r="J1550">
        <v>-191.49209999999999</v>
      </c>
      <c r="K1550">
        <v>1.102808</v>
      </c>
      <c r="L1550">
        <v>327.31169999999997</v>
      </c>
      <c r="M1550">
        <v>2.6081239999999999E-2</v>
      </c>
      <c r="N1550">
        <v>0</v>
      </c>
      <c r="O1550">
        <v>-0.99964050000000004</v>
      </c>
      <c r="P1550">
        <v>4.0210389999999997E-3</v>
      </c>
      <c r="Q1550">
        <v>4.6663149999999999E-3</v>
      </c>
      <c r="R1550">
        <v>-0.99998099999999901</v>
      </c>
      <c r="S1550">
        <v>-0.66604609999999997</v>
      </c>
      <c r="T1550">
        <v>-0.2245549</v>
      </c>
      <c r="U1550">
        <v>-3.005096</v>
      </c>
      <c r="V1550">
        <v>2.2082020000000001E-2</v>
      </c>
      <c r="W1550">
        <v>1.082286E-2</v>
      </c>
      <c r="X1550">
        <v>0.99969759999999996</v>
      </c>
      <c r="Y1550">
        <v>0.24120720000000001</v>
      </c>
      <c r="Z1550">
        <v>7.2503590000000007E-2</v>
      </c>
      <c r="AA1550">
        <v>0.96776149999999905</v>
      </c>
      <c r="AB1550">
        <v>26</v>
      </c>
      <c r="AC1550">
        <v>-3.2769000000000101</v>
      </c>
      <c r="AD1550">
        <v>-1.1028107933189999</v>
      </c>
      <c r="AE1550">
        <v>-14.495199999999899</v>
      </c>
      <c r="AF1550">
        <v>3.6338341941715102</v>
      </c>
      <c r="AG1550">
        <v>-1.1028107933189999</v>
      </c>
      <c r="AH1550">
        <v>14.3259103796745</v>
      </c>
      <c r="AI1550">
        <v>94.267337628440401</v>
      </c>
      <c r="AJ1550">
        <v>75.766846481476193</v>
      </c>
      <c r="AK1550">
        <v>14.8206832097261</v>
      </c>
    </row>
    <row r="1551" spans="1:37" x14ac:dyDescent="0.2">
      <c r="A1551" t="str">
        <f>"20200111155822016"</f>
        <v>20200111155822016</v>
      </c>
      <c r="B1551" t="str">
        <f>"1578729502012082"</f>
        <v>1578729502012082</v>
      </c>
      <c r="C1551" t="s">
        <v>37</v>
      </c>
      <c r="D1551">
        <v>6.0140390000000004</v>
      </c>
      <c r="E1551">
        <v>0.58879910000000002</v>
      </c>
      <c r="F1551" t="s">
        <v>39</v>
      </c>
      <c r="G1551">
        <v>-194.58269999999999</v>
      </c>
      <c r="H1551" s="1">
        <v>-3.1184300000000001E-6</v>
      </c>
      <c r="I1551">
        <v>313.60910000000001</v>
      </c>
      <c r="J1551">
        <v>-191.4863</v>
      </c>
      <c r="K1551">
        <v>1.102846</v>
      </c>
      <c r="L1551">
        <v>327.04000000000002</v>
      </c>
      <c r="M1551">
        <v>2.495122E-2</v>
      </c>
      <c r="N1551">
        <v>0</v>
      </c>
      <c r="O1551">
        <v>-0.99966749999999904</v>
      </c>
      <c r="P1551">
        <v>2.2701349999999999E-3</v>
      </c>
      <c r="Q1551">
        <v>4.5330190000000001E-3</v>
      </c>
      <c r="R1551">
        <v>-0.99998739999999997</v>
      </c>
      <c r="S1551">
        <v>-0.67752080000000003</v>
      </c>
      <c r="T1551">
        <v>-0.24175949999999999</v>
      </c>
      <c r="U1551">
        <v>-3.0039060000000002</v>
      </c>
      <c r="V1551">
        <v>2.270293E-2</v>
      </c>
      <c r="W1551">
        <v>1.1016450000000001E-2</v>
      </c>
      <c r="X1551">
        <v>0.9996815</v>
      </c>
      <c r="Y1551">
        <v>0.2436198</v>
      </c>
      <c r="Z1551">
        <v>7.8002509999999997E-2</v>
      </c>
      <c r="AA1551">
        <v>0.96672899999999995</v>
      </c>
      <c r="AB1551">
        <v>26</v>
      </c>
      <c r="AC1551">
        <v>-3.0963999999999801</v>
      </c>
      <c r="AD1551">
        <v>-1.10284911843</v>
      </c>
      <c r="AE1551">
        <v>-13.430899999999999</v>
      </c>
      <c r="AF1551">
        <v>3.40873685037996</v>
      </c>
      <c r="AG1551">
        <v>-1.10284911843</v>
      </c>
      <c r="AH1551">
        <v>13.264535096692899</v>
      </c>
      <c r="AI1551">
        <v>94.603879859965303</v>
      </c>
      <c r="AJ1551">
        <v>75.587912172074297</v>
      </c>
      <c r="AK1551">
        <v>13.7398564193574</v>
      </c>
    </row>
    <row r="1552" spans="1:37" x14ac:dyDescent="0.2">
      <c r="A1552" t="str">
        <f>"20200111155822039"</f>
        <v>20200111155822039</v>
      </c>
      <c r="B1552" t="str">
        <f>"1578729502033554"</f>
        <v>1578729502033554</v>
      </c>
      <c r="C1552" t="s">
        <v>37</v>
      </c>
      <c r="D1552">
        <v>5.9044759999999998</v>
      </c>
      <c r="E1552">
        <v>0.58971300000000004</v>
      </c>
      <c r="F1552" t="s">
        <v>39</v>
      </c>
      <c r="G1552">
        <v>-194.4571</v>
      </c>
      <c r="H1552" s="1">
        <v>-3.3425499999999999E-6</v>
      </c>
      <c r="I1552">
        <v>314.154</v>
      </c>
      <c r="J1552">
        <v>-191.48099999999999</v>
      </c>
      <c r="K1552">
        <v>1.1028799999999901</v>
      </c>
      <c r="L1552">
        <v>326.78370000000001</v>
      </c>
      <c r="M1552">
        <v>2.3884909999999999E-2</v>
      </c>
      <c r="N1552">
        <v>0</v>
      </c>
      <c r="O1552">
        <v>-0.99969110000000005</v>
      </c>
      <c r="P1552">
        <v>1.1521229999999999E-3</v>
      </c>
      <c r="Q1552">
        <v>4.3371859999999998E-3</v>
      </c>
      <c r="R1552">
        <v>-0.99999009999999999</v>
      </c>
      <c r="S1552">
        <v>-0.692276</v>
      </c>
      <c r="T1552">
        <v>-0.25699369999999999</v>
      </c>
      <c r="U1552">
        <v>-3.0028079999999999</v>
      </c>
      <c r="V1552">
        <v>2.2754739999999999E-2</v>
      </c>
      <c r="W1552">
        <v>1.115997E-2</v>
      </c>
      <c r="X1552">
        <v>0.99967879999999998</v>
      </c>
      <c r="Y1552">
        <v>0.24708739999999901</v>
      </c>
      <c r="Z1552">
        <v>8.2835199999999998E-2</v>
      </c>
      <c r="AA1552">
        <v>0.96544609999999997</v>
      </c>
      <c r="AB1552">
        <v>26</v>
      </c>
      <c r="AC1552">
        <v>-2.9761000000000002</v>
      </c>
      <c r="AD1552">
        <v>-1.10288334254999</v>
      </c>
      <c r="AE1552">
        <v>-12.6297</v>
      </c>
      <c r="AF1552">
        <v>3.25341324149454</v>
      </c>
      <c r="AG1552">
        <v>-1.10288334254999</v>
      </c>
      <c r="AH1552">
        <v>12.4649590018706</v>
      </c>
      <c r="AI1552">
        <v>94.8932000608674</v>
      </c>
      <c r="AJ1552">
        <v>75.371875400114007</v>
      </c>
      <c r="AK1552">
        <v>12.929665591403401</v>
      </c>
    </row>
    <row r="1553" spans="1:37" x14ac:dyDescent="0.2">
      <c r="A1553" t="str">
        <f>"20200111155822060"</f>
        <v>20200111155822060</v>
      </c>
      <c r="B1553" t="str">
        <f>"1578729502052098"</f>
        <v>1578729502052098</v>
      </c>
      <c r="C1553" t="s">
        <v>37</v>
      </c>
      <c r="D1553">
        <v>6.029757</v>
      </c>
      <c r="E1553">
        <v>0.59027189999999996</v>
      </c>
      <c r="F1553" t="s">
        <v>39</v>
      </c>
      <c r="G1553">
        <v>-194.4941</v>
      </c>
      <c r="H1553" s="1">
        <v>-3.2410610000000002E-6</v>
      </c>
      <c r="I1553">
        <v>313.91840000000002</v>
      </c>
      <c r="J1553">
        <v>-191.476</v>
      </c>
      <c r="K1553">
        <v>1.10293</v>
      </c>
      <c r="L1553">
        <v>326.52289999999999</v>
      </c>
      <c r="M1553">
        <v>2.280018E-2</v>
      </c>
      <c r="N1553">
        <v>0</v>
      </c>
      <c r="O1553">
        <v>-0.99971399999999999</v>
      </c>
      <c r="P1553">
        <v>3.4231579999999999E-4</v>
      </c>
      <c r="Q1553">
        <v>4.2909819999999996E-3</v>
      </c>
      <c r="R1553">
        <v>-0.99999079999999996</v>
      </c>
      <c r="S1553">
        <v>-0.70306400000000002</v>
      </c>
      <c r="T1553">
        <v>-0.25734400000000002</v>
      </c>
      <c r="U1553">
        <v>-3.0019529999999999</v>
      </c>
      <c r="V1553">
        <v>2.2480360000000001E-2</v>
      </c>
      <c r="W1553">
        <v>1.148181E-2</v>
      </c>
      <c r="X1553">
        <v>0.99968140000000005</v>
      </c>
      <c r="Y1553">
        <v>0.24938589999999999</v>
      </c>
      <c r="Z1553">
        <v>8.291548E-2</v>
      </c>
      <c r="AA1553">
        <v>0.96484799999999904</v>
      </c>
      <c r="AB1553">
        <v>26</v>
      </c>
      <c r="AC1553">
        <v>-3.0181</v>
      </c>
      <c r="AD1553">
        <v>-1.102933241061</v>
      </c>
      <c r="AE1553">
        <v>-12.6044999999999</v>
      </c>
      <c r="AF1553">
        <v>3.2809484005303</v>
      </c>
      <c r="AG1553">
        <v>-1.102933241061</v>
      </c>
      <c r="AH1553">
        <v>12.442305916102001</v>
      </c>
      <c r="AI1553">
        <v>94.899068299940396</v>
      </c>
      <c r="AJ1553">
        <v>75.227769841504596</v>
      </c>
      <c r="AK1553">
        <v>12.9148000623721</v>
      </c>
    </row>
    <row r="1554" spans="1:37" x14ac:dyDescent="0.2">
      <c r="A1554" t="str">
        <f>"20200111155822082"</f>
        <v>20200111155822082</v>
      </c>
      <c r="B1554" t="str">
        <f>"1578729502072594"</f>
        <v>1578729502072594</v>
      </c>
      <c r="C1554" t="s">
        <v>37</v>
      </c>
      <c r="D1554">
        <v>6.06778</v>
      </c>
      <c r="E1554">
        <v>0.59081649999999997</v>
      </c>
      <c r="F1554" t="s">
        <v>39</v>
      </c>
      <c r="G1554">
        <v>-194.45439999999999</v>
      </c>
      <c r="H1554" s="1">
        <v>-3.2363420000000001E-6</v>
      </c>
      <c r="I1554">
        <v>313.93079999999998</v>
      </c>
      <c r="J1554">
        <v>-191.47139999999999</v>
      </c>
      <c r="K1554">
        <v>1.102975</v>
      </c>
      <c r="L1554">
        <v>326.27069999999998</v>
      </c>
      <c r="M1554">
        <v>2.1752549999999999E-2</v>
      </c>
      <c r="N1554">
        <v>0</v>
      </c>
      <c r="O1554">
        <v>-0.99973449999999997</v>
      </c>
      <c r="P1554">
        <v>-2.4687340000000002E-4</v>
      </c>
      <c r="Q1554">
        <v>4.3048549999999998E-3</v>
      </c>
      <c r="R1554">
        <v>-0.99999079999999996</v>
      </c>
      <c r="S1554">
        <v>-0.70991519999999997</v>
      </c>
      <c r="T1554">
        <v>-0.26289429999999903</v>
      </c>
      <c r="U1554">
        <v>-3.0014340000000002</v>
      </c>
      <c r="V1554">
        <v>2.2022679999999999E-2</v>
      </c>
      <c r="W1554">
        <v>1.1864690000000001E-2</v>
      </c>
      <c r="X1554">
        <v>0.99968709999999905</v>
      </c>
      <c r="Y1554">
        <v>0.25046099999999999</v>
      </c>
      <c r="Z1554">
        <v>8.4674170000000007E-2</v>
      </c>
      <c r="AA1554">
        <v>0.96441669999999902</v>
      </c>
      <c r="AB1554">
        <v>26</v>
      </c>
      <c r="AC1554">
        <v>-2.9830000000000001</v>
      </c>
      <c r="AD1554">
        <v>-1.102978236342</v>
      </c>
      <c r="AE1554">
        <v>-12.3399</v>
      </c>
      <c r="AF1554">
        <v>3.2263727369840098</v>
      </c>
      <c r="AG1554">
        <v>-1.102978236342</v>
      </c>
      <c r="AH1554">
        <v>12.180151559750501</v>
      </c>
      <c r="AI1554">
        <v>95.002715383166603</v>
      </c>
      <c r="AJ1554">
        <v>75.163783445722999</v>
      </c>
      <c r="AK1554">
        <v>12.6484044071293</v>
      </c>
    </row>
    <row r="1555" spans="1:37" x14ac:dyDescent="0.2">
      <c r="A1555" t="str">
        <f>"20200111155822104"</f>
        <v>20200111155822104</v>
      </c>
      <c r="B1555" t="str">
        <f>"1578729502092113"</f>
        <v>1578729502092113</v>
      </c>
      <c r="C1555" t="s">
        <v>37</v>
      </c>
      <c r="D1555">
        <v>6.033906</v>
      </c>
      <c r="E1555">
        <v>0.59121519999999905</v>
      </c>
      <c r="F1555" t="s">
        <v>39</v>
      </c>
      <c r="G1555">
        <v>-194.48330000000001</v>
      </c>
      <c r="H1555" s="1">
        <v>-3.1087789999999998E-6</v>
      </c>
      <c r="I1555">
        <v>313.64460000000003</v>
      </c>
      <c r="J1555">
        <v>-191.46700000000001</v>
      </c>
      <c r="K1555">
        <v>1.1030180000000001</v>
      </c>
      <c r="L1555">
        <v>326.012</v>
      </c>
      <c r="M1555">
        <v>2.0678390000000001E-2</v>
      </c>
      <c r="N1555">
        <v>0</v>
      </c>
      <c r="O1555">
        <v>-0.99975449999999999</v>
      </c>
      <c r="P1555">
        <v>-8.8325600000000002E-4</v>
      </c>
      <c r="Q1555">
        <v>4.5228339999999999E-3</v>
      </c>
      <c r="R1555">
        <v>-0.99998960000000003</v>
      </c>
      <c r="S1555">
        <v>-0.71588130000000005</v>
      </c>
      <c r="T1555">
        <v>-0.26215899999999998</v>
      </c>
      <c r="U1555">
        <v>-3.001007</v>
      </c>
      <c r="V1555">
        <v>2.1586080000000001E-2</v>
      </c>
      <c r="W1555">
        <v>1.2470220000000001E-2</v>
      </c>
      <c r="X1555">
        <v>0.99968919999999994</v>
      </c>
      <c r="Y1555">
        <v>0.25127169999999999</v>
      </c>
      <c r="Z1555">
        <v>8.442566E-2</v>
      </c>
      <c r="AA1555">
        <v>0.96422759999999996</v>
      </c>
      <c r="AB1555">
        <v>26</v>
      </c>
      <c r="AC1555">
        <v>-3.0163000000000002</v>
      </c>
      <c r="AD1555">
        <v>-1.1030211087790001</v>
      </c>
      <c r="AE1555">
        <v>-12.3673999999999</v>
      </c>
      <c r="AF1555">
        <v>3.2470227997841601</v>
      </c>
      <c r="AG1555">
        <v>-1.1030211087790001</v>
      </c>
      <c r="AH1555">
        <v>12.210704810433899</v>
      </c>
      <c r="AI1555">
        <v>94.989188204629002</v>
      </c>
      <c r="AJ1555">
        <v>75.108740447672801</v>
      </c>
      <c r="AK1555">
        <v>12.68310390229</v>
      </c>
    </row>
    <row r="1556" spans="1:37" x14ac:dyDescent="0.2">
      <c r="A1556" t="str">
        <f>"20200111155822130"</f>
        <v>20200111155822130</v>
      </c>
      <c r="B1556" t="str">
        <f>"1578729502122370"</f>
        <v>1578729502122370</v>
      </c>
      <c r="C1556" t="s">
        <v>37</v>
      </c>
      <c r="D1556">
        <v>6.065194</v>
      </c>
      <c r="E1556">
        <v>0.59168609999999999</v>
      </c>
      <c r="F1556" t="s">
        <v>39</v>
      </c>
      <c r="G1556">
        <v>-194.4683</v>
      </c>
      <c r="H1556" s="1">
        <v>-3.0465910000000002E-6</v>
      </c>
      <c r="I1556">
        <v>313.5215</v>
      </c>
      <c r="J1556">
        <v>-191.46250000000001</v>
      </c>
      <c r="K1556">
        <v>1.1030610000000001</v>
      </c>
      <c r="L1556">
        <v>325.72859999999997</v>
      </c>
      <c r="M1556">
        <v>1.9501640000000001E-2</v>
      </c>
      <c r="N1556">
        <v>0</v>
      </c>
      <c r="O1556">
        <v>-0.99977439999999995</v>
      </c>
      <c r="P1556">
        <v>-1.6541209999999999E-3</v>
      </c>
      <c r="Q1556">
        <v>3.3489779999999999E-3</v>
      </c>
      <c r="R1556">
        <v>-0.99999309999999997</v>
      </c>
      <c r="S1556">
        <v>-0.72100830000000005</v>
      </c>
      <c r="T1556">
        <v>-0.26497859999999901</v>
      </c>
      <c r="U1556">
        <v>-3.0005799999999998</v>
      </c>
      <c r="V1556">
        <v>2.1178869999999999E-2</v>
      </c>
      <c r="W1556">
        <v>1.172403E-2</v>
      </c>
      <c r="X1556">
        <v>0.99970700000000001</v>
      </c>
      <c r="Y1556">
        <v>0.25170419999999999</v>
      </c>
      <c r="Z1556">
        <v>8.5320229999999997E-2</v>
      </c>
      <c r="AA1556">
        <v>0.964036</v>
      </c>
      <c r="AB1556">
        <v>26</v>
      </c>
      <c r="AC1556">
        <v>-3.00579999999999</v>
      </c>
      <c r="AD1556">
        <v>-1.103064046591</v>
      </c>
      <c r="AE1556">
        <v>-12.207099999999899</v>
      </c>
      <c r="AF1556">
        <v>3.2185171363845102</v>
      </c>
      <c r="AG1556">
        <v>-1.103064046591</v>
      </c>
      <c r="AH1556">
        <v>12.0533641381162</v>
      </c>
      <c r="AI1556">
        <v>95.052792330362706</v>
      </c>
      <c r="AJ1556">
        <v>75.049560461308602</v>
      </c>
      <c r="AK1556">
        <v>12.5243438907636</v>
      </c>
    </row>
    <row r="1557" spans="1:37" x14ac:dyDescent="0.2">
      <c r="A1557" t="str">
        <f>"20200111155822150"</f>
        <v>20200111155822150</v>
      </c>
      <c r="B1557" t="str">
        <f>"1578729502142866"</f>
        <v>1578729502142866</v>
      </c>
      <c r="C1557" t="s">
        <v>37</v>
      </c>
      <c r="D1557">
        <v>6.1710289999999999</v>
      </c>
      <c r="E1557">
        <v>0.5918525</v>
      </c>
      <c r="F1557" t="s">
        <v>39</v>
      </c>
      <c r="G1557">
        <v>-194.38390000000001</v>
      </c>
      <c r="H1557" s="1">
        <v>-3.095936E-6</v>
      </c>
      <c r="I1557">
        <v>313.67340000000002</v>
      </c>
      <c r="J1557">
        <v>-191.45869999999999</v>
      </c>
      <c r="K1557">
        <v>1.103097</v>
      </c>
      <c r="L1557">
        <v>325.47050000000002</v>
      </c>
      <c r="M1557">
        <v>1.842937E-2</v>
      </c>
      <c r="N1557">
        <v>0</v>
      </c>
      <c r="O1557">
        <v>-0.999791599999999</v>
      </c>
      <c r="P1557">
        <v>-2.3446750000000001E-3</v>
      </c>
      <c r="Q1557">
        <v>2.2297620000000002E-3</v>
      </c>
      <c r="R1557">
        <v>-0.99999470000000001</v>
      </c>
      <c r="S1557">
        <v>-0.72694399999999904</v>
      </c>
      <c r="T1557">
        <v>-0.27447820000000001</v>
      </c>
      <c r="U1557">
        <v>-2.9997250000000002</v>
      </c>
      <c r="V1557">
        <v>2.079576E-2</v>
      </c>
      <c r="W1557">
        <v>1.098117E-2</v>
      </c>
      <c r="X1557">
        <v>0.99972340000000004</v>
      </c>
      <c r="Y1557">
        <v>0.2524691</v>
      </c>
      <c r="Z1557">
        <v>8.8352719999999996E-2</v>
      </c>
      <c r="AA1557">
        <v>0.96356269999999999</v>
      </c>
      <c r="AB1557">
        <v>26</v>
      </c>
      <c r="AC1557">
        <v>-2.92520000000001</v>
      </c>
      <c r="AD1557">
        <v>-1.103100095936</v>
      </c>
      <c r="AE1557">
        <v>-11.7971</v>
      </c>
      <c r="AF1557">
        <v>3.11645461085774</v>
      </c>
      <c r="AG1557">
        <v>-1.103100095936</v>
      </c>
      <c r="AH1557">
        <v>11.645263263</v>
      </c>
      <c r="AI1557">
        <v>95.228299388997598</v>
      </c>
      <c r="AJ1557">
        <v>75.017832292272104</v>
      </c>
      <c r="AK1557">
        <v>12.105423397294601</v>
      </c>
    </row>
    <row r="1558" spans="1:37" x14ac:dyDescent="0.2">
      <c r="A1558" t="str">
        <f>"20200111155822173"</f>
        <v>20200111155822173</v>
      </c>
      <c r="B1558" t="str">
        <f>"1578729502162385"</f>
        <v>1578729502162385</v>
      </c>
      <c r="C1558" t="s">
        <v>37</v>
      </c>
      <c r="D1558">
        <v>6.9330759999999998</v>
      </c>
      <c r="E1558">
        <v>0.59203209999999995</v>
      </c>
      <c r="F1558" t="s">
        <v>39</v>
      </c>
      <c r="G1558">
        <v>-194.32509999999999</v>
      </c>
      <c r="H1558" s="1">
        <v>-3.09092E-6</v>
      </c>
      <c r="I1558">
        <v>313.69589999999999</v>
      </c>
      <c r="J1558">
        <v>-191.45529999999999</v>
      </c>
      <c r="K1558">
        <v>1.1031299999999999</v>
      </c>
      <c r="L1558">
        <v>325.2174</v>
      </c>
      <c r="M1558">
        <v>1.7377569999999998E-2</v>
      </c>
      <c r="N1558">
        <v>0</v>
      </c>
      <c r="O1558">
        <v>-0.99980729999999995</v>
      </c>
      <c r="P1558">
        <v>-2.9095879999999998E-3</v>
      </c>
      <c r="Q1558">
        <v>1.3643399999999999E-3</v>
      </c>
      <c r="R1558">
        <v>-0.99999470000000001</v>
      </c>
      <c r="S1558">
        <v>-0.73007200000000005</v>
      </c>
      <c r="T1558">
        <v>-0.28095809999999999</v>
      </c>
      <c r="U1558">
        <v>-2.9989619999999899</v>
      </c>
      <c r="V1558">
        <v>2.0307840000000001E-2</v>
      </c>
      <c r="W1558">
        <v>1.046097E-2</v>
      </c>
      <c r="X1558">
        <v>0.99973909999999999</v>
      </c>
      <c r="Y1558">
        <v>0.25241239999999998</v>
      </c>
      <c r="Z1558">
        <v>9.0435680000000004E-2</v>
      </c>
      <c r="AA1558">
        <v>0.96338429999999997</v>
      </c>
      <c r="AB1558">
        <v>26</v>
      </c>
      <c r="AC1558">
        <v>-2.8697999999999899</v>
      </c>
      <c r="AD1558">
        <v>-1.1031330909199999</v>
      </c>
      <c r="AE1558">
        <v>-11.5215</v>
      </c>
      <c r="AF1558">
        <v>3.0433216147889302</v>
      </c>
      <c r="AG1558">
        <v>-1.1031330909199999</v>
      </c>
      <c r="AH1558">
        <v>11.3717305460207</v>
      </c>
      <c r="AI1558">
        <v>95.353488618277694</v>
      </c>
      <c r="AJ1558">
        <v>75.017509577849793</v>
      </c>
      <c r="AK1558">
        <v>11.823492067854801</v>
      </c>
    </row>
    <row r="1559" spans="1:37" x14ac:dyDescent="0.2">
      <c r="A1559" t="str">
        <f>"20200111155822194"</f>
        <v>20200111155822194</v>
      </c>
      <c r="B1559" t="str">
        <f>"1578729502182881"</f>
        <v>1578729502182881</v>
      </c>
      <c r="C1559" t="s">
        <v>37</v>
      </c>
      <c r="D1559">
        <v>6.092873</v>
      </c>
      <c r="E1559">
        <v>0.59256989999999998</v>
      </c>
      <c r="F1559" t="s">
        <v>39</v>
      </c>
      <c r="G1559">
        <v>-194.29560000000001</v>
      </c>
      <c r="H1559" s="1">
        <v>-3.0383280000000001E-6</v>
      </c>
      <c r="I1559">
        <v>313.60120000000001</v>
      </c>
      <c r="J1559">
        <v>-191.4521</v>
      </c>
      <c r="K1559">
        <v>1.1031580000000001</v>
      </c>
      <c r="L1559">
        <v>324.9674</v>
      </c>
      <c r="M1559">
        <v>1.6338080000000001E-2</v>
      </c>
      <c r="N1559">
        <v>0</v>
      </c>
      <c r="O1559">
        <v>-0.99982179999999998</v>
      </c>
      <c r="P1559">
        <v>-3.6124159999999998E-3</v>
      </c>
      <c r="Q1559">
        <v>1.274858E-3</v>
      </c>
      <c r="R1559">
        <v>-0.99999269999999996</v>
      </c>
      <c r="S1559">
        <v>-0.73313899999999999</v>
      </c>
      <c r="T1559">
        <v>-0.28473349999999997</v>
      </c>
      <c r="U1559">
        <v>-2.998291</v>
      </c>
      <c r="V1559">
        <v>1.99715E-2</v>
      </c>
      <c r="W1559">
        <v>1.0691259999999999E-2</v>
      </c>
      <c r="X1559">
        <v>0.99974339999999995</v>
      </c>
      <c r="Y1559">
        <v>0.25235999999999997</v>
      </c>
      <c r="Z1559">
        <v>9.1652460000000005E-2</v>
      </c>
      <c r="AA1559">
        <v>0.96328309999999995</v>
      </c>
      <c r="AB1559">
        <v>26</v>
      </c>
      <c r="AC1559">
        <v>-2.8435000000000001</v>
      </c>
      <c r="AD1559">
        <v>-1.1031610383279999</v>
      </c>
      <c r="AE1559">
        <v>-11.3661999999999</v>
      </c>
      <c r="AF1559">
        <v>3.0022157011510702</v>
      </c>
      <c r="AG1559">
        <v>-1.1031610383279999</v>
      </c>
      <c r="AH1559">
        <v>11.218767942645099</v>
      </c>
      <c r="AI1559">
        <v>95.426205202988797</v>
      </c>
      <c r="AJ1559">
        <v>75.018318838090394</v>
      </c>
      <c r="AK1559">
        <v>11.6658054819907</v>
      </c>
    </row>
    <row r="1560" spans="1:37" x14ac:dyDescent="0.2">
      <c r="A1560" t="str">
        <f>"20200111155822217"</f>
        <v>20200111155822217</v>
      </c>
      <c r="B1560" t="str">
        <f>"1578729502212161"</f>
        <v>1578729502212161</v>
      </c>
      <c r="C1560" t="s">
        <v>37</v>
      </c>
      <c r="D1560">
        <v>6.0620289999999999</v>
      </c>
      <c r="E1560">
        <v>0.59295690000000001</v>
      </c>
      <c r="F1560" t="s">
        <v>39</v>
      </c>
      <c r="G1560">
        <v>-194.28700000000001</v>
      </c>
      <c r="H1560" s="1">
        <v>-2.9769490000000001E-6</v>
      </c>
      <c r="I1560">
        <v>313.47629999999998</v>
      </c>
      <c r="J1560">
        <v>-191.44900000000001</v>
      </c>
      <c r="K1560">
        <v>1.1031930000000001</v>
      </c>
      <c r="L1560">
        <v>324.69690000000003</v>
      </c>
      <c r="M1560">
        <v>1.521871E-2</v>
      </c>
      <c r="N1560">
        <v>0</v>
      </c>
      <c r="O1560">
        <v>-0.99983630000000001</v>
      </c>
      <c r="P1560">
        <v>-4.404336E-3</v>
      </c>
      <c r="Q1560">
        <v>1.41313299999999E-3</v>
      </c>
      <c r="R1560">
        <v>-0.99998909999999996</v>
      </c>
      <c r="S1560">
        <v>-0.73953250000000004</v>
      </c>
      <c r="T1560">
        <v>-0.2877825</v>
      </c>
      <c r="U1560">
        <v>-2.9977109999999998</v>
      </c>
      <c r="V1560">
        <v>1.9644660000000001E-2</v>
      </c>
      <c r="W1560">
        <v>1.114995E-2</v>
      </c>
      <c r="X1560">
        <v>0.99974479999999999</v>
      </c>
      <c r="Y1560">
        <v>0.25323629999999903</v>
      </c>
      <c r="Z1560">
        <v>9.2611219999999994E-2</v>
      </c>
      <c r="AA1560">
        <v>0.96296130000000002</v>
      </c>
      <c r="AB1560">
        <v>26</v>
      </c>
      <c r="AC1560">
        <v>-2.8379999999999899</v>
      </c>
      <c r="AD1560">
        <v>-1.1031959769490001</v>
      </c>
      <c r="AE1560">
        <v>-11.220599999999999</v>
      </c>
      <c r="AF1560">
        <v>2.9813557977387801</v>
      </c>
      <c r="AG1560">
        <v>-1.1031959769490001</v>
      </c>
      <c r="AH1560">
        <v>11.0754827319155</v>
      </c>
      <c r="AI1560">
        <v>95.493992228437804</v>
      </c>
      <c r="AJ1560">
        <v>74.933947471498399</v>
      </c>
      <c r="AK1560">
        <v>11.5226664232384</v>
      </c>
    </row>
    <row r="1561" spans="1:37" x14ac:dyDescent="0.2">
      <c r="A1561" t="str">
        <f>"20200111155822239"</f>
        <v>20200111155822239</v>
      </c>
      <c r="B1561" t="str">
        <f>"1578729502232658"</f>
        <v>1578729502232658</v>
      </c>
      <c r="C1561" t="s">
        <v>37</v>
      </c>
      <c r="D1561">
        <v>6.0427369999999998</v>
      </c>
      <c r="E1561">
        <v>0.59317149999999996</v>
      </c>
      <c r="F1561" t="s">
        <v>39</v>
      </c>
      <c r="G1561">
        <v>-194.26949999999999</v>
      </c>
      <c r="H1561" s="1">
        <v>-2.9116440000000002E-6</v>
      </c>
      <c r="I1561">
        <v>313.34800000000001</v>
      </c>
      <c r="J1561">
        <v>-191.4462</v>
      </c>
      <c r="K1561">
        <v>1.1032249999999999</v>
      </c>
      <c r="L1561">
        <v>324.43090000000001</v>
      </c>
      <c r="M1561">
        <v>1.4133069999999999E-2</v>
      </c>
      <c r="N1561">
        <v>0</v>
      </c>
      <c r="O1561">
        <v>-0.99984989999999996</v>
      </c>
      <c r="P1561">
        <v>-5.3130399999999998E-3</v>
      </c>
      <c r="Q1561">
        <v>1.2280819999999999E-3</v>
      </c>
      <c r="R1561">
        <v>-0.99998519999999902</v>
      </c>
      <c r="S1561">
        <v>-0.74487300000000001</v>
      </c>
      <c r="T1561">
        <v>-0.29134789999999999</v>
      </c>
      <c r="U1561">
        <v>-2.9971919999999899</v>
      </c>
      <c r="V1561">
        <v>1.9467479999999999E-2</v>
      </c>
      <c r="W1561">
        <v>1.124675E-2</v>
      </c>
      <c r="X1561">
        <v>0.99974719999999995</v>
      </c>
      <c r="Y1561">
        <v>0.25381619999999999</v>
      </c>
      <c r="Z1561">
        <v>9.3739260000000005E-2</v>
      </c>
      <c r="AA1561">
        <v>0.96269950000000004</v>
      </c>
      <c r="AB1561">
        <v>26</v>
      </c>
      <c r="AC1561">
        <v>-2.8232999999999802</v>
      </c>
      <c r="AD1561">
        <v>-1.10322791164399</v>
      </c>
      <c r="AE1561">
        <v>-11.082899999999899</v>
      </c>
      <c r="AF1561">
        <v>2.95219107307567</v>
      </c>
      <c r="AG1561">
        <v>-1.10322791164399</v>
      </c>
      <c r="AH1561">
        <v>10.940091342133901</v>
      </c>
      <c r="AI1561">
        <v>95.560796450637397</v>
      </c>
      <c r="AJ1561">
        <v>74.898399344132002</v>
      </c>
      <c r="AK1561">
        <v>11.3849963781817</v>
      </c>
    </row>
    <row r="1562" spans="1:37" x14ac:dyDescent="0.2">
      <c r="A1562" t="str">
        <f>"20200111155822261"</f>
        <v>20200111155822261</v>
      </c>
      <c r="B1562" t="str">
        <f>"1578729502252178"</f>
        <v>1578729502252178</v>
      </c>
      <c r="C1562" t="s">
        <v>37</v>
      </c>
      <c r="D1562">
        <v>6.0585059999999897</v>
      </c>
      <c r="E1562">
        <v>0.5933735</v>
      </c>
      <c r="F1562" t="s">
        <v>39</v>
      </c>
      <c r="G1562">
        <v>-194.25620000000001</v>
      </c>
      <c r="H1562" s="1">
        <v>-2.8346409999999898E-6</v>
      </c>
      <c r="I1562">
        <v>313.1925</v>
      </c>
      <c r="J1562">
        <v>-191.44380000000001</v>
      </c>
      <c r="K1562">
        <v>1.1032549999999901</v>
      </c>
      <c r="L1562">
        <v>324.17489999999998</v>
      </c>
      <c r="M1562">
        <v>1.311115E-2</v>
      </c>
      <c r="N1562">
        <v>0</v>
      </c>
      <c r="O1562">
        <v>-0.99986119999999901</v>
      </c>
      <c r="P1562">
        <v>-6.4498200000000002E-3</v>
      </c>
      <c r="Q1562">
        <v>8.3357029999999897E-4</v>
      </c>
      <c r="R1562">
        <v>-0.99997909999999901</v>
      </c>
      <c r="S1562">
        <v>-0.74922180000000005</v>
      </c>
      <c r="T1562">
        <v>-0.29414959999999901</v>
      </c>
      <c r="U1562">
        <v>-2.9964599999999999</v>
      </c>
      <c r="V1562">
        <v>1.958143E-2</v>
      </c>
      <c r="W1562">
        <v>1.109369E-2</v>
      </c>
      <c r="X1562">
        <v>0.99974669999999899</v>
      </c>
      <c r="Y1562">
        <v>0.25417790000000001</v>
      </c>
      <c r="Z1562">
        <v>9.4635880000000006E-2</v>
      </c>
      <c r="AA1562">
        <v>0.96251629999999999</v>
      </c>
      <c r="AB1562">
        <v>26</v>
      </c>
      <c r="AC1562">
        <v>-2.81239999999999</v>
      </c>
      <c r="AD1562">
        <v>-1.10325783464099</v>
      </c>
      <c r="AE1562">
        <v>-10.982399999999901</v>
      </c>
      <c r="AF1562">
        <v>2.9284240165386901</v>
      </c>
      <c r="AG1562">
        <v>-1.10325783464099</v>
      </c>
      <c r="AH1562">
        <v>10.841901631291201</v>
      </c>
      <c r="AI1562">
        <v>95.610635924782102</v>
      </c>
      <c r="AJ1562">
        <v>74.884954780411704</v>
      </c>
      <c r="AK1562">
        <v>11.284488293800999</v>
      </c>
    </row>
    <row r="1563" spans="1:37" x14ac:dyDescent="0.2">
      <c r="A1563" t="str">
        <f>"20200111155822284"</f>
        <v>20200111155822284</v>
      </c>
      <c r="B1563" t="str">
        <f>"1578729502272674"</f>
        <v>1578729502272674</v>
      </c>
      <c r="C1563" t="s">
        <v>37</v>
      </c>
      <c r="D1563">
        <v>6.0604360000000002</v>
      </c>
      <c r="E1563">
        <v>0.59358259999999996</v>
      </c>
      <c r="F1563" t="s">
        <v>39</v>
      </c>
      <c r="G1563">
        <v>-194.24180000000001</v>
      </c>
      <c r="H1563" s="1">
        <v>-2.7676279999999999E-6</v>
      </c>
      <c r="I1563">
        <v>313.05889999999999</v>
      </c>
      <c r="J1563">
        <v>-191.44149999999999</v>
      </c>
      <c r="K1563">
        <v>1.1032919999999999</v>
      </c>
      <c r="L1563">
        <v>323.91559999999998</v>
      </c>
      <c r="M1563">
        <v>1.210953E-2</v>
      </c>
      <c r="N1563">
        <v>0</v>
      </c>
      <c r="O1563">
        <v>-0.99987130000000002</v>
      </c>
      <c r="P1563">
        <v>-7.062769E-3</v>
      </c>
      <c r="Q1563">
        <v>3.8793109999999998E-4</v>
      </c>
      <c r="R1563">
        <v>-0.99997479999999905</v>
      </c>
      <c r="S1563">
        <v>-0.75396730000000001</v>
      </c>
      <c r="T1563">
        <v>-0.29729450000000002</v>
      </c>
      <c r="U1563">
        <v>-2.995422</v>
      </c>
      <c r="V1563">
        <v>1.9191639999999999E-2</v>
      </c>
      <c r="W1563">
        <v>1.0866249999999999E-2</v>
      </c>
      <c r="X1563">
        <v>0.9997568</v>
      </c>
      <c r="Y1563">
        <v>0.2546988</v>
      </c>
      <c r="Z1563">
        <v>9.5647179999999998E-2</v>
      </c>
      <c r="AA1563">
        <v>0.96227859999999998</v>
      </c>
      <c r="AB1563">
        <v>26</v>
      </c>
      <c r="AC1563">
        <v>-2.80030000000002</v>
      </c>
      <c r="AD1563">
        <v>-1.1032947676279901</v>
      </c>
      <c r="AE1563">
        <v>-10.856699999999901</v>
      </c>
      <c r="AF1563">
        <v>2.9034569877764298</v>
      </c>
      <c r="AG1563">
        <v>-1.1032947676279901</v>
      </c>
      <c r="AH1563">
        <v>10.7182061600437</v>
      </c>
      <c r="AI1563">
        <v>95.674035605939693</v>
      </c>
      <c r="AJ1563">
        <v>74.842896546004098</v>
      </c>
      <c r="AK1563">
        <v>11.1591785142699</v>
      </c>
    </row>
    <row r="1564" spans="1:37" x14ac:dyDescent="0.2">
      <c r="A1564" t="str">
        <f>"20200111155822306"</f>
        <v>20200111155822306</v>
      </c>
      <c r="B1564" t="str">
        <f>"1578729502302930"</f>
        <v>1578729502302930</v>
      </c>
      <c r="C1564" t="s">
        <v>37</v>
      </c>
      <c r="D1564">
        <v>5.9356559999999998</v>
      </c>
      <c r="E1564">
        <v>0.59376809999999902</v>
      </c>
      <c r="F1564" t="s">
        <v>39</v>
      </c>
      <c r="G1564">
        <v>-194.22739999999999</v>
      </c>
      <c r="H1564" s="1">
        <v>-2.6911829999999999E-6</v>
      </c>
      <c r="I1564">
        <v>312.90530000000001</v>
      </c>
      <c r="J1564">
        <v>-191.43950000000001</v>
      </c>
      <c r="K1564">
        <v>1.1033379999999999</v>
      </c>
      <c r="L1564">
        <v>323.65469999999999</v>
      </c>
      <c r="M1564">
        <v>1.1147260000000001E-2</v>
      </c>
      <c r="N1564">
        <v>0</v>
      </c>
      <c r="O1564">
        <v>-0.99988069999999896</v>
      </c>
      <c r="P1564">
        <v>-8.3120039999999996E-3</v>
      </c>
      <c r="Q1564">
        <v>9.049161E-4</v>
      </c>
      <c r="R1564">
        <v>-0.99996509999999905</v>
      </c>
      <c r="S1564">
        <v>-0.75776669999999902</v>
      </c>
      <c r="T1564">
        <v>-0.30009959999999902</v>
      </c>
      <c r="U1564">
        <v>-2.9948429999999999</v>
      </c>
      <c r="V1564">
        <v>1.9478829999999999E-2</v>
      </c>
      <c r="W1564">
        <v>1.157479E-2</v>
      </c>
      <c r="X1564">
        <v>0.9997433</v>
      </c>
      <c r="Y1564">
        <v>0.25493899999999903</v>
      </c>
      <c r="Z1564">
        <v>9.6542890000000006E-2</v>
      </c>
      <c r="AA1564">
        <v>0.96212549999999997</v>
      </c>
      <c r="AB1564">
        <v>26</v>
      </c>
      <c r="AC1564">
        <v>-2.7878999999999698</v>
      </c>
      <c r="AD1564">
        <v>-1.1033406911829999</v>
      </c>
      <c r="AE1564">
        <v>-10.7493999999999</v>
      </c>
      <c r="AF1564">
        <v>2.87913883580844</v>
      </c>
      <c r="AG1564">
        <v>-1.1033406911829999</v>
      </c>
      <c r="AH1564">
        <v>10.612888740658001</v>
      </c>
      <c r="AI1564">
        <v>95.729635826782896</v>
      </c>
      <c r="AJ1564">
        <v>74.821717418641995</v>
      </c>
      <c r="AK1564">
        <v>11.0517061369847</v>
      </c>
    </row>
    <row r="1565" spans="1:37" x14ac:dyDescent="0.2">
      <c r="A1565" t="str">
        <f>"20200111155822329"</f>
        <v>20200111155822329</v>
      </c>
      <c r="B1565" t="str">
        <f>"1578729502322449"</f>
        <v>1578729502322449</v>
      </c>
      <c r="C1565" t="s">
        <v>37</v>
      </c>
      <c r="D1565">
        <v>5.9704420000000002</v>
      </c>
      <c r="E1565">
        <v>0.59396400000000005</v>
      </c>
      <c r="F1565" t="s">
        <v>39</v>
      </c>
      <c r="G1565">
        <v>-194.25030000000001</v>
      </c>
      <c r="H1565" s="1">
        <v>-2.563367E-6</v>
      </c>
      <c r="I1565">
        <v>312.62200000000001</v>
      </c>
      <c r="J1565">
        <v>-191.43770000000001</v>
      </c>
      <c r="K1565">
        <v>1.10338799999999</v>
      </c>
      <c r="L1565">
        <v>323.39150000000001</v>
      </c>
      <c r="M1565">
        <v>1.022931E-2</v>
      </c>
      <c r="N1565">
        <v>0</v>
      </c>
      <c r="O1565">
        <v>-0.99988889999999997</v>
      </c>
      <c r="P1565">
        <v>-9.3342340000000003E-3</v>
      </c>
      <c r="Q1565">
        <v>9.9965550000000007E-4</v>
      </c>
      <c r="R1565">
        <v>-0.99995619999999996</v>
      </c>
      <c r="S1565">
        <v>-0.76277159999999999</v>
      </c>
      <c r="T1565">
        <v>-0.29942020000000003</v>
      </c>
      <c r="U1565">
        <v>-2.99401899999999</v>
      </c>
      <c r="V1565">
        <v>1.9582390000000002E-2</v>
      </c>
      <c r="W1565">
        <v>1.1838939999999999E-2</v>
      </c>
      <c r="X1565">
        <v>0.99973819999999902</v>
      </c>
      <c r="Y1565">
        <v>0.25563069999999999</v>
      </c>
      <c r="Z1565">
        <v>9.6325079999999993E-2</v>
      </c>
      <c r="AA1565">
        <v>0.96196380000000004</v>
      </c>
      <c r="AB1565">
        <v>26</v>
      </c>
      <c r="AC1565">
        <v>-2.8126000000000002</v>
      </c>
      <c r="AD1565">
        <v>-1.10339056336699</v>
      </c>
      <c r="AE1565">
        <v>-10.769499999999899</v>
      </c>
      <c r="AF1565">
        <v>2.89418328314874</v>
      </c>
      <c r="AG1565">
        <v>-1.10339056336699</v>
      </c>
      <c r="AH1565">
        <v>10.635649375810599</v>
      </c>
      <c r="AI1565">
        <v>95.716513863807407</v>
      </c>
      <c r="AJ1565">
        <v>74.777219585881099</v>
      </c>
      <c r="AK1565">
        <v>11.077490927866499</v>
      </c>
    </row>
    <row r="1566" spans="1:37" x14ac:dyDescent="0.2">
      <c r="A1566" t="str">
        <f>"20200111155822352"</f>
        <v>20200111155822352</v>
      </c>
      <c r="B1566" t="str">
        <f>"1578729502342945"</f>
        <v>1578729502342945</v>
      </c>
      <c r="C1566" t="s">
        <v>37</v>
      </c>
      <c r="D1566">
        <v>6.3531719999999998</v>
      </c>
      <c r="E1566">
        <v>0.59402409999999894</v>
      </c>
      <c r="F1566" t="s">
        <v>39</v>
      </c>
      <c r="G1566">
        <v>-194.245</v>
      </c>
      <c r="H1566" s="1">
        <v>-2.4741179999999998E-6</v>
      </c>
      <c r="I1566">
        <v>312.43619999999999</v>
      </c>
      <c r="J1566">
        <v>-191.43599999999901</v>
      </c>
      <c r="K1566">
        <v>1.103432</v>
      </c>
      <c r="L1566">
        <v>323.11720000000003</v>
      </c>
      <c r="M1566">
        <v>9.3206909999999903E-3</v>
      </c>
      <c r="N1566">
        <v>0</v>
      </c>
      <c r="O1566">
        <v>-0.99989589999999995</v>
      </c>
      <c r="P1566">
        <v>-1.08615E-2</v>
      </c>
      <c r="Q1566">
        <v>1.185417E-3</v>
      </c>
      <c r="R1566">
        <v>-0.99994019999999995</v>
      </c>
      <c r="S1566">
        <v>-0.76702879999999996</v>
      </c>
      <c r="T1566">
        <v>-0.30147639999999998</v>
      </c>
      <c r="U1566">
        <v>-2.9932859999999999</v>
      </c>
      <c r="V1566">
        <v>2.0200389999999999E-2</v>
      </c>
      <c r="W1566">
        <v>1.217795E-2</v>
      </c>
      <c r="X1566">
        <v>0.99972179999999999</v>
      </c>
      <c r="Y1566">
        <v>0.2560772</v>
      </c>
      <c r="Z1566">
        <v>9.698176E-2</v>
      </c>
      <c r="AA1566">
        <v>0.961779099999999</v>
      </c>
      <c r="AB1566">
        <v>26</v>
      </c>
      <c r="AC1566">
        <v>-2.8090000000000201</v>
      </c>
      <c r="AD1566">
        <v>-1.103434474118</v>
      </c>
      <c r="AE1566">
        <v>-10.680999999999999</v>
      </c>
      <c r="AF1566">
        <v>2.8796927232240601</v>
      </c>
      <c r="AG1566">
        <v>-1.103434474118</v>
      </c>
      <c r="AH1566">
        <v>10.5490501532729</v>
      </c>
      <c r="AI1566">
        <v>95.762105778645093</v>
      </c>
      <c r="AJ1566">
        <v>74.731338657795504</v>
      </c>
      <c r="AK1566">
        <v>10.9905712751944</v>
      </c>
    </row>
    <row r="1567" spans="1:37" x14ac:dyDescent="0.2">
      <c r="A1567" t="str">
        <f>"20200111155822374"</f>
        <v>20200111155822374</v>
      </c>
      <c r="B1567" t="str">
        <f>"1578729502362465"</f>
        <v>1578729502362465</v>
      </c>
      <c r="C1567" t="s">
        <v>37</v>
      </c>
      <c r="D1567">
        <v>6.9866659999999996</v>
      </c>
      <c r="E1567">
        <v>0.55530019999999902</v>
      </c>
      <c r="F1567" t="s">
        <v>39</v>
      </c>
      <c r="G1567">
        <v>-194.26259999999999</v>
      </c>
      <c r="H1567" s="1">
        <v>-2.3494840000000001E-6</v>
      </c>
      <c r="I1567">
        <v>312.1626</v>
      </c>
      <c r="J1567">
        <v>-191.43450000000001</v>
      </c>
      <c r="K1567">
        <v>1.103472</v>
      </c>
      <c r="L1567">
        <v>322.85930000000002</v>
      </c>
      <c r="M1567">
        <v>8.5125400000000007E-3</v>
      </c>
      <c r="N1567">
        <v>0</v>
      </c>
      <c r="O1567">
        <v>-0.99990199999999996</v>
      </c>
      <c r="P1567">
        <v>-1.2340139999999999E-2</v>
      </c>
      <c r="Q1567">
        <v>9.2151500000000003E-4</v>
      </c>
      <c r="R1567">
        <v>-0.99992380000000003</v>
      </c>
      <c r="S1567">
        <v>-0.77207950000000003</v>
      </c>
      <c r="T1567">
        <v>-0.3013999</v>
      </c>
      <c r="U1567">
        <v>-2.9922179999999998</v>
      </c>
      <c r="V1567">
        <v>2.0869619999999998E-2</v>
      </c>
      <c r="W1567">
        <v>1.2038719999999999E-2</v>
      </c>
      <c r="X1567">
        <v>0.99970969999999904</v>
      </c>
      <c r="Y1567">
        <v>0.25690200000000002</v>
      </c>
      <c r="Z1567">
        <v>9.6961049999999993E-2</v>
      </c>
      <c r="AA1567">
        <v>0.96156119999999901</v>
      </c>
      <c r="AB1567">
        <v>26</v>
      </c>
      <c r="AC1567">
        <v>-2.8280999999999699</v>
      </c>
      <c r="AD1567">
        <v>-1.103474349484</v>
      </c>
      <c r="AE1567">
        <v>-10.6967</v>
      </c>
      <c r="AF1567">
        <v>2.8903100625143598</v>
      </c>
      <c r="AG1567">
        <v>-1.103474349484</v>
      </c>
      <c r="AH1567">
        <v>10.5671280920277</v>
      </c>
      <c r="AI1567">
        <v>95.751739565552796</v>
      </c>
      <c r="AJ1567">
        <v>74.702668888592697</v>
      </c>
      <c r="AK1567">
        <v>11.010710422618599</v>
      </c>
    </row>
    <row r="1568" spans="1:37" x14ac:dyDescent="0.2">
      <c r="A1568" t="str">
        <f>"20200111155822397"</f>
        <v>20200111155822397</v>
      </c>
      <c r="B1568" t="str">
        <f>"1578729502392724"</f>
        <v>1578729502392724</v>
      </c>
      <c r="C1568" t="s">
        <v>37</v>
      </c>
      <c r="D1568">
        <v>6.0973009999999999</v>
      </c>
      <c r="E1568">
        <v>0.52969909999999998</v>
      </c>
      <c r="F1568" t="s">
        <v>49</v>
      </c>
      <c r="G1568">
        <v>-196.9676</v>
      </c>
      <c r="H1568" s="1">
        <v>2.4350859999999998E-6</v>
      </c>
      <c r="I1568">
        <v>287.9744</v>
      </c>
      <c r="J1568">
        <v>-191.4332</v>
      </c>
      <c r="K1568">
        <v>1.103513</v>
      </c>
      <c r="L1568">
        <v>322.59500000000003</v>
      </c>
      <c r="M1568">
        <v>7.7350140000000001E-3</v>
      </c>
      <c r="N1568">
        <v>0</v>
      </c>
      <c r="O1568">
        <v>-0.99990679999999998</v>
      </c>
      <c r="P1568">
        <v>-1.3965139999999999E-2</v>
      </c>
      <c r="Q1568">
        <v>1.037374E-3</v>
      </c>
      <c r="R1568">
        <v>-0.99990199999999996</v>
      </c>
      <c r="S1568">
        <v>-0.47494510000000001</v>
      </c>
      <c r="T1568">
        <v>-9.4718579999999997E-2</v>
      </c>
      <c r="U1568">
        <v>-2.994415</v>
      </c>
      <c r="V1568">
        <v>2.1716349999999999E-2</v>
      </c>
      <c r="W1568">
        <v>1.2260429999999999E-2</v>
      </c>
      <c r="X1568">
        <v>0.99968899999999905</v>
      </c>
      <c r="Y1568">
        <v>0.1642111</v>
      </c>
      <c r="Z1568">
        <v>3.120508E-2</v>
      </c>
      <c r="AA1568">
        <v>0.98593149999999996</v>
      </c>
      <c r="AB1568">
        <v>26</v>
      </c>
      <c r="AC1568">
        <v>-5.5343999999999998</v>
      </c>
      <c r="AD1568">
        <v>-1.103510564914</v>
      </c>
      <c r="AE1568">
        <v>-34.620600000000003</v>
      </c>
      <c r="AF1568">
        <v>5.7963000201065498</v>
      </c>
      <c r="AG1568">
        <v>-1.103510564914</v>
      </c>
      <c r="AH1568">
        <v>34.542532868583102</v>
      </c>
      <c r="AI1568">
        <v>91.8045607171927</v>
      </c>
      <c r="AJ1568">
        <v>80.474407571879993</v>
      </c>
      <c r="AK1568">
        <v>35.042851003694203</v>
      </c>
    </row>
    <row r="1569" spans="1:37" x14ac:dyDescent="0.2">
      <c r="A1569" t="str">
        <f>"20200111155822418"</f>
        <v>20200111155822418</v>
      </c>
      <c r="B1569" t="str">
        <f>"1578729502413219"</f>
        <v>1578729502413219</v>
      </c>
      <c r="C1569" t="s">
        <v>37</v>
      </c>
      <c r="D1569">
        <v>6.0881730000000003</v>
      </c>
      <c r="E1569">
        <v>0.52565329999999999</v>
      </c>
      <c r="F1569" t="s">
        <v>49</v>
      </c>
      <c r="G1569">
        <v>-194.46690000000001</v>
      </c>
      <c r="H1569" s="1">
        <v>2.738696E-6</v>
      </c>
      <c r="I1569">
        <v>289.57560000000001</v>
      </c>
      <c r="J1569">
        <v>-191.43209999999999</v>
      </c>
      <c r="K1569">
        <v>1.1035440000000001</v>
      </c>
      <c r="L1569">
        <v>322.34690000000001</v>
      </c>
      <c r="M1569">
        <v>7.0464569999999999E-3</v>
      </c>
      <c r="N1569">
        <v>0</v>
      </c>
      <c r="O1569">
        <v>-0.999911199999999</v>
      </c>
      <c r="P1569">
        <v>-1.481706E-2</v>
      </c>
      <c r="Q1569">
        <v>1.12265E-3</v>
      </c>
      <c r="R1569">
        <v>-0.99988980000000005</v>
      </c>
      <c r="S1569">
        <v>-0.27531430000000001</v>
      </c>
      <c r="T1569">
        <v>-0.1001457</v>
      </c>
      <c r="U1569">
        <v>-2.9965820000000001</v>
      </c>
      <c r="V1569">
        <v>2.1879019999999999E-2</v>
      </c>
      <c r="W1569">
        <v>1.241635E-2</v>
      </c>
      <c r="X1569">
        <v>0.99968349999999995</v>
      </c>
      <c r="Y1569">
        <v>9.8455269999999998E-2</v>
      </c>
      <c r="Z1569">
        <v>3.3249000000000001E-2</v>
      </c>
      <c r="AA1569">
        <v>0.99458590000000002</v>
      </c>
      <c r="AB1569">
        <v>26</v>
      </c>
      <c r="AC1569">
        <v>-3.0348000000000099</v>
      </c>
      <c r="AD1569">
        <v>-1.1035412613040001</v>
      </c>
      <c r="AE1569">
        <v>-32.771299999999997</v>
      </c>
      <c r="AF1569">
        <v>3.2619935248356802</v>
      </c>
      <c r="AG1569">
        <v>-1.1035412613040001</v>
      </c>
      <c r="AH1569">
        <v>32.712321955409699</v>
      </c>
      <c r="AI1569">
        <v>91.922596872383195</v>
      </c>
      <c r="AJ1569">
        <v>84.305428669923103</v>
      </c>
      <c r="AK1569">
        <v>32.8930754534423</v>
      </c>
    </row>
    <row r="1570" spans="1:37" x14ac:dyDescent="0.2">
      <c r="A1570" t="str">
        <f>"20200111155822441"</f>
        <v>20200111155822441</v>
      </c>
      <c r="B1570" t="str">
        <f>"1578729502432739"</f>
        <v>1578729502432739</v>
      </c>
      <c r="C1570" t="s">
        <v>37</v>
      </c>
      <c r="D1570">
        <v>6.0503549999999997</v>
      </c>
      <c r="E1570">
        <v>0.52342149999999998</v>
      </c>
      <c r="F1570" t="s">
        <v>39</v>
      </c>
      <c r="G1570">
        <v>-193.2516</v>
      </c>
      <c r="H1570" s="1">
        <v>-1.048577E-6</v>
      </c>
      <c r="I1570">
        <v>300.01670000000001</v>
      </c>
      <c r="J1570">
        <v>-191.43109999999999</v>
      </c>
      <c r="K1570">
        <v>1.1035740000000001</v>
      </c>
      <c r="L1570">
        <v>322.07760000000002</v>
      </c>
      <c r="M1570">
        <v>6.3284709999999996E-3</v>
      </c>
      <c r="N1570">
        <v>0</v>
      </c>
      <c r="O1570">
        <v>-0.99991540000000001</v>
      </c>
      <c r="P1570">
        <v>-1.519072E-2</v>
      </c>
      <c r="Q1570">
        <v>1.785114E-3</v>
      </c>
      <c r="R1570">
        <v>-0.99988290000000002</v>
      </c>
      <c r="S1570">
        <v>-0.2441864</v>
      </c>
      <c r="T1570">
        <v>-0.1481025</v>
      </c>
      <c r="U1570">
        <v>-2.9968569999999999</v>
      </c>
      <c r="V1570">
        <v>2.153474E-2</v>
      </c>
      <c r="W1570">
        <v>1.312439E-2</v>
      </c>
      <c r="X1570">
        <v>0.99968189999999901</v>
      </c>
      <c r="Y1570">
        <v>8.7419750000000004E-2</v>
      </c>
      <c r="Z1570">
        <v>4.9181780000000001E-2</v>
      </c>
      <c r="AA1570">
        <v>0.99495669999999903</v>
      </c>
      <c r="AB1570">
        <v>26</v>
      </c>
      <c r="AC1570">
        <v>-1.8205</v>
      </c>
      <c r="AD1570">
        <v>-1.103575048577</v>
      </c>
      <c r="AE1570">
        <v>-22.0609</v>
      </c>
      <c r="AF1570">
        <v>1.9552246544441501</v>
      </c>
      <c r="AG1570">
        <v>-1.103575048577</v>
      </c>
      <c r="AH1570">
        <v>21.994270182450101</v>
      </c>
      <c r="AI1570">
        <v>92.861175122860203</v>
      </c>
      <c r="AJ1570">
        <v>84.919931004442702</v>
      </c>
      <c r="AK1570">
        <v>22.108566262781501</v>
      </c>
    </row>
    <row r="1571" spans="1:37" x14ac:dyDescent="0.2">
      <c r="A1571" t="str">
        <f>"20200111155822464"</f>
        <v>20200111155822464</v>
      </c>
      <c r="B1571" t="str">
        <f>"1578729502452257"</f>
        <v>1578729502452257</v>
      </c>
      <c r="C1571" t="s">
        <v>37</v>
      </c>
      <c r="D1571">
        <v>6.0122749999999998</v>
      </c>
      <c r="E1571">
        <v>0.52112329999999996</v>
      </c>
      <c r="F1571" t="s">
        <v>39</v>
      </c>
      <c r="G1571">
        <v>-192.887</v>
      </c>
      <c r="H1571" s="1">
        <v>-2.1568549999999999E-6</v>
      </c>
      <c r="I1571">
        <v>302.82619999999997</v>
      </c>
      <c r="J1571">
        <v>-191.43020000000001</v>
      </c>
      <c r="K1571">
        <v>1.103588</v>
      </c>
      <c r="L1571">
        <v>321.80009999999999</v>
      </c>
      <c r="M1571">
        <v>5.6065280000000004E-3</v>
      </c>
      <c r="N1571">
        <v>0</v>
      </c>
      <c r="O1571">
        <v>-0.99991939999999901</v>
      </c>
      <c r="P1571">
        <v>-1.4797009999999999E-2</v>
      </c>
      <c r="Q1571">
        <v>2.581177E-3</v>
      </c>
      <c r="R1571">
        <v>-0.99988709999999903</v>
      </c>
      <c r="S1571">
        <v>-0.22666929999999899</v>
      </c>
      <c r="T1571">
        <v>-0.17181579999999999</v>
      </c>
      <c r="U1571">
        <v>-2.99725299999999</v>
      </c>
      <c r="V1571">
        <v>2.04195E-2</v>
      </c>
      <c r="W1571">
        <v>1.394305E-2</v>
      </c>
      <c r="X1571">
        <v>0.99969430000000004</v>
      </c>
      <c r="Y1571">
        <v>8.0877240000000003E-2</v>
      </c>
      <c r="Z1571">
        <v>5.705416E-2</v>
      </c>
      <c r="AA1571">
        <v>0.99508980000000002</v>
      </c>
      <c r="AB1571">
        <v>26</v>
      </c>
      <c r="AC1571">
        <v>-1.4567999999999801</v>
      </c>
      <c r="AD1571">
        <v>-1.1035901568549999</v>
      </c>
      <c r="AE1571">
        <v>-18.9739</v>
      </c>
      <c r="AF1571">
        <v>1.55792213675472</v>
      </c>
      <c r="AG1571">
        <v>-1.1035901568549999</v>
      </c>
      <c r="AH1571">
        <v>18.901863317646001</v>
      </c>
      <c r="AI1571">
        <v>93.330168714486902</v>
      </c>
      <c r="AJ1571">
        <v>85.288239455676901</v>
      </c>
      <c r="AK1571">
        <v>18.998038569743699</v>
      </c>
    </row>
    <row r="1572" spans="1:37" x14ac:dyDescent="0.2">
      <c r="A1572" t="str">
        <f>"20200111155822486"</f>
        <v>20200111155822486</v>
      </c>
      <c r="B1572" t="str">
        <f>"1578729502482514"</f>
        <v>1578729502482514</v>
      </c>
      <c r="C1572" t="s">
        <v>37</v>
      </c>
      <c r="D1572">
        <v>6.0908030000000002</v>
      </c>
      <c r="E1572">
        <v>0.52028379999999996</v>
      </c>
      <c r="F1572" t="s">
        <v>39</v>
      </c>
      <c r="G1572">
        <v>-192.76410000000001</v>
      </c>
      <c r="H1572" s="1">
        <v>-1.9853950000000002E-6</v>
      </c>
      <c r="I1572">
        <v>302.50279999999998</v>
      </c>
      <c r="J1572">
        <v>-191.42949999999999</v>
      </c>
      <c r="K1572">
        <v>1.103593</v>
      </c>
      <c r="L1572">
        <v>321.54910000000001</v>
      </c>
      <c r="M1572">
        <v>4.9641080000000001E-3</v>
      </c>
      <c r="N1572">
        <v>0</v>
      </c>
      <c r="O1572">
        <v>-0.9999228</v>
      </c>
      <c r="P1572">
        <v>-1.487804E-2</v>
      </c>
      <c r="Q1572">
        <v>2.561298E-3</v>
      </c>
      <c r="R1572">
        <v>-0.99988600000000005</v>
      </c>
      <c r="S1572">
        <v>-0.20721439999999899</v>
      </c>
      <c r="T1572">
        <v>-0.17143320000000001</v>
      </c>
      <c r="U1572">
        <v>-2.997681</v>
      </c>
      <c r="V1572">
        <v>1.9857860000000001E-2</v>
      </c>
      <c r="W1572">
        <v>1.3923970000000001E-2</v>
      </c>
      <c r="X1572">
        <v>0.99970590000000004</v>
      </c>
      <c r="Y1572">
        <v>7.3800169999999998E-2</v>
      </c>
      <c r="Z1572">
        <v>5.6948690000000003E-2</v>
      </c>
      <c r="AA1572">
        <v>0.99564569999999997</v>
      </c>
      <c r="AB1572">
        <v>26</v>
      </c>
      <c r="AC1572">
        <v>-1.33460000000002</v>
      </c>
      <c r="AD1572">
        <v>-1.103594985395</v>
      </c>
      <c r="AE1572">
        <v>-19.046299999999999</v>
      </c>
      <c r="AF1572">
        <v>1.4243787887215</v>
      </c>
      <c r="AG1572">
        <v>-1.103594985395</v>
      </c>
      <c r="AH1572">
        <v>18.976041606697599</v>
      </c>
      <c r="AI1572">
        <v>93.319101292669799</v>
      </c>
      <c r="AJ1572">
        <v>85.707316760484801</v>
      </c>
      <c r="AK1572">
        <v>19.0613990012451</v>
      </c>
    </row>
    <row r="1573" spans="1:37" x14ac:dyDescent="0.2">
      <c r="A1573" t="str">
        <f>"20200111155822506"</f>
        <v>20200111155822506</v>
      </c>
      <c r="B1573" t="str">
        <f>"1578729502503011"</f>
        <v>1578729502503011</v>
      </c>
      <c r="C1573" t="s">
        <v>37</v>
      </c>
      <c r="D1573">
        <v>6.027298</v>
      </c>
      <c r="E1573">
        <v>0.51973610000000003</v>
      </c>
      <c r="F1573" t="s">
        <v>38</v>
      </c>
      <c r="G1573">
        <v>-191.49279999999999</v>
      </c>
      <c r="H1573">
        <v>1.042646</v>
      </c>
      <c r="I1573">
        <v>320.60169999999999</v>
      </c>
      <c r="J1573">
        <v>-191.429</v>
      </c>
      <c r="K1573">
        <v>1.103588</v>
      </c>
      <c r="L1573">
        <v>321.3021</v>
      </c>
      <c r="M1573">
        <v>4.3368900000000004E-3</v>
      </c>
      <c r="N1573">
        <v>0</v>
      </c>
      <c r="O1573">
        <v>-0.99992610000000004</v>
      </c>
      <c r="P1573">
        <v>-1.49574999999999E-2</v>
      </c>
      <c r="Q1573">
        <v>2.5850729999999998E-3</v>
      </c>
      <c r="R1573">
        <v>-0.99988489999999997</v>
      </c>
      <c r="S1573">
        <v>-0.19990539999999901</v>
      </c>
      <c r="T1573">
        <v>-0.19297549999999999</v>
      </c>
      <c r="U1573">
        <v>-2.9978940000000001</v>
      </c>
      <c r="V1573">
        <v>1.9310129999999998E-2</v>
      </c>
      <c r="W1573">
        <v>1.3939709999999999E-2</v>
      </c>
      <c r="X1573">
        <v>0.9997163</v>
      </c>
      <c r="Y1573">
        <v>7.0724319999999993E-2</v>
      </c>
      <c r="Z1573">
        <v>6.408519E-2</v>
      </c>
      <c r="AA1573">
        <v>0.99543519999999897</v>
      </c>
      <c r="AB1573">
        <v>26</v>
      </c>
      <c r="AC1573">
        <v>-6.3799999999986298E-2</v>
      </c>
      <c r="AD1573">
        <v>-6.0942000000000003E-2</v>
      </c>
      <c r="AE1573">
        <v>-0.70040000000000102</v>
      </c>
      <c r="AF1573">
        <v>6.6339047732347195E-2</v>
      </c>
      <c r="AG1573">
        <v>-6.0942000000000003E-2</v>
      </c>
      <c r="AH1573">
        <v>0.69489906044479</v>
      </c>
      <c r="AI1573">
        <v>94.989394413278802</v>
      </c>
      <c r="AJ1573">
        <v>84.546742836958103</v>
      </c>
      <c r="AK1573">
        <v>0.70071356546386798</v>
      </c>
    </row>
    <row r="1574" spans="1:37" x14ac:dyDescent="0.2">
      <c r="A1574" t="str">
        <f>"20200111155822531"</f>
        <v>20200111155822531</v>
      </c>
      <c r="B1574" t="str">
        <f>"1578729502522531"</f>
        <v>1578729502522531</v>
      </c>
      <c r="C1574" t="s">
        <v>37</v>
      </c>
      <c r="D1574">
        <v>6.1021479999999997</v>
      </c>
      <c r="E1574">
        <v>0.51929979999999998</v>
      </c>
      <c r="F1574" t="s">
        <v>38</v>
      </c>
      <c r="G1574">
        <v>-191.48990000000001</v>
      </c>
      <c r="H1574">
        <v>1.040977</v>
      </c>
      <c r="I1574">
        <v>320.36799999999999</v>
      </c>
      <c r="J1574">
        <v>-191.42859999999999</v>
      </c>
      <c r="K1574">
        <v>1.1035919999999999</v>
      </c>
      <c r="L1574">
        <v>321.02280000000002</v>
      </c>
      <c r="M1574">
        <v>3.6285409999999999E-3</v>
      </c>
      <c r="N1574">
        <v>0</v>
      </c>
      <c r="O1574">
        <v>-0.99992899999999996</v>
      </c>
      <c r="P1574">
        <v>-1.5860349999999999E-2</v>
      </c>
      <c r="Q1574">
        <v>2.7697590000000001E-3</v>
      </c>
      <c r="R1574">
        <v>-0.99987060000000005</v>
      </c>
      <c r="S1574">
        <v>-0.19525149999999999</v>
      </c>
      <c r="T1574">
        <v>-0.20101820000000001</v>
      </c>
      <c r="U1574">
        <v>-2.9979550000000001</v>
      </c>
      <c r="V1574">
        <v>1.9504959999999998E-2</v>
      </c>
      <c r="W1574">
        <v>1.410897E-2</v>
      </c>
      <c r="X1574">
        <v>0.99971019999999899</v>
      </c>
      <c r="Y1574">
        <v>6.8466250000000006E-2</v>
      </c>
      <c r="Z1574">
        <v>6.6751989999999997E-2</v>
      </c>
      <c r="AA1574">
        <v>0.99541780000000002</v>
      </c>
      <c r="AB1574">
        <v>26</v>
      </c>
      <c r="AC1574">
        <v>-6.1300000000017001E-2</v>
      </c>
      <c r="AD1574">
        <v>-6.2614999999999796E-2</v>
      </c>
      <c r="AE1574">
        <v>-0.65480000000002203</v>
      </c>
      <c r="AF1574">
        <v>6.3103706669819196E-2</v>
      </c>
      <c r="AG1574">
        <v>-6.2614999999999796E-2</v>
      </c>
      <c r="AH1574">
        <v>0.64869308532546099</v>
      </c>
      <c r="AI1574">
        <v>95.487641253317506</v>
      </c>
      <c r="AJ1574">
        <v>84.443850765193304</v>
      </c>
      <c r="AK1574">
        <v>0.65475601178571496</v>
      </c>
    </row>
    <row r="1575" spans="1:37" x14ac:dyDescent="0.2">
      <c r="A1575" t="str">
        <f>"20200111155822554"</f>
        <v>20200111155822554</v>
      </c>
      <c r="B1575" t="str">
        <f>"1578729502543026"</f>
        <v>1578729502543026</v>
      </c>
      <c r="C1575" t="s">
        <v>37</v>
      </c>
      <c r="D1575">
        <v>5.977894</v>
      </c>
      <c r="E1575">
        <v>0.51884279999999905</v>
      </c>
      <c r="F1575" t="s">
        <v>38</v>
      </c>
      <c r="G1575">
        <v>-191.4864</v>
      </c>
      <c r="H1575">
        <v>1.0419080000000001</v>
      </c>
      <c r="I1575">
        <v>320.13290000000001</v>
      </c>
      <c r="J1575">
        <v>-191.42840000000001</v>
      </c>
      <c r="K1575">
        <v>1.1035889999999999</v>
      </c>
      <c r="L1575">
        <v>320.74889999999999</v>
      </c>
      <c r="M1575">
        <v>2.9301879999999998E-3</v>
      </c>
      <c r="N1575">
        <v>0</v>
      </c>
      <c r="O1575">
        <v>-0.99993129999999997</v>
      </c>
      <c r="P1575">
        <v>-1.686704E-2</v>
      </c>
      <c r="Q1575">
        <v>2.6666440000000001E-3</v>
      </c>
      <c r="R1575">
        <v>-0.99985409999999997</v>
      </c>
      <c r="S1575">
        <v>-0.19398499999999999</v>
      </c>
      <c r="T1575">
        <v>-0.2080661</v>
      </c>
      <c r="U1575">
        <v>-2.997925</v>
      </c>
      <c r="V1575">
        <v>1.9813359999999999E-2</v>
      </c>
      <c r="W1575">
        <v>1.3986429999999999E-2</v>
      </c>
      <c r="X1575">
        <v>0.99970590000000004</v>
      </c>
      <c r="Y1575">
        <v>6.7341079999999998E-2</v>
      </c>
      <c r="Z1575">
        <v>6.9085899999999895E-2</v>
      </c>
      <c r="AA1575">
        <v>0.99533530000000003</v>
      </c>
      <c r="AB1575">
        <v>26</v>
      </c>
      <c r="AC1575">
        <v>-5.7999999999992703E-2</v>
      </c>
      <c r="AD1575">
        <v>-6.1680999999999798E-2</v>
      </c>
      <c r="AE1575">
        <v>-0.615999999999985</v>
      </c>
      <c r="AF1575">
        <v>5.9216358405103801E-2</v>
      </c>
      <c r="AG1575">
        <v>-6.1680999999999798E-2</v>
      </c>
      <c r="AH1575">
        <v>0.60976739654382694</v>
      </c>
      <c r="AI1575">
        <v>95.749240777877503</v>
      </c>
      <c r="AJ1575">
        <v>84.453226803674994</v>
      </c>
      <c r="AK1575">
        <v>0.61573322206260594</v>
      </c>
    </row>
    <row r="1576" spans="1:37" x14ac:dyDescent="0.2">
      <c r="A1576" t="str">
        <f>"20200111155822575"</f>
        <v>20200111155822575</v>
      </c>
      <c r="B1576" t="str">
        <f>"1578729502562546"</f>
        <v>1578729502562546</v>
      </c>
      <c r="C1576" t="s">
        <v>37</v>
      </c>
      <c r="D1576">
        <v>7.1929539999999896</v>
      </c>
      <c r="E1576">
        <v>0.51825869999999996</v>
      </c>
      <c r="F1576" t="s">
        <v>38</v>
      </c>
      <c r="G1576">
        <v>-191.48320000000001</v>
      </c>
      <c r="H1576">
        <v>1.0420689999999999</v>
      </c>
      <c r="I1576">
        <v>319.897999999999</v>
      </c>
      <c r="J1576">
        <v>-191.42840000000001</v>
      </c>
      <c r="K1576">
        <v>1.1035900000000001</v>
      </c>
      <c r="L1576">
        <v>320.50549999999998</v>
      </c>
      <c r="M1576">
        <v>2.3043120000000002E-3</v>
      </c>
      <c r="N1576">
        <v>0</v>
      </c>
      <c r="O1576">
        <v>-0.99993349999999903</v>
      </c>
      <c r="P1576">
        <v>-1.7727329999999999E-2</v>
      </c>
      <c r="Q1576">
        <v>2.7273159999999901E-3</v>
      </c>
      <c r="R1576">
        <v>-0.99983940000000004</v>
      </c>
      <c r="S1576">
        <v>-0.1930847</v>
      </c>
      <c r="T1576">
        <v>-0.21685380000000001</v>
      </c>
      <c r="U1576">
        <v>-2.99780299999999</v>
      </c>
      <c r="V1576">
        <v>2.0048E-2</v>
      </c>
      <c r="W1576">
        <v>1.4024099999999999E-2</v>
      </c>
      <c r="X1576">
        <v>0.9997007</v>
      </c>
      <c r="Y1576">
        <v>6.6408289999999995E-2</v>
      </c>
      <c r="Z1576">
        <v>7.1994939999999993E-2</v>
      </c>
      <c r="AA1576">
        <v>0.99519179999999996</v>
      </c>
      <c r="AB1576">
        <v>26</v>
      </c>
      <c r="AC1576">
        <v>-5.4800000000000099E-2</v>
      </c>
      <c r="AD1576">
        <v>-6.1520999999999902E-2</v>
      </c>
      <c r="AE1576">
        <v>-0.60750000000001503</v>
      </c>
      <c r="AF1576">
        <v>5.56338688618256E-2</v>
      </c>
      <c r="AG1576">
        <v>-6.1520999999999902E-2</v>
      </c>
      <c r="AH1576">
        <v>0.60125573117041498</v>
      </c>
      <c r="AI1576">
        <v>95.817541806502803</v>
      </c>
      <c r="AJ1576">
        <v>84.713505228787199</v>
      </c>
      <c r="AK1576">
        <v>0.60695009273481904</v>
      </c>
    </row>
    <row r="1577" spans="1:37" x14ac:dyDescent="0.2">
      <c r="A1577" t="str">
        <f>"20200111155822609"</f>
        <v>20200111155822609</v>
      </c>
      <c r="B1577" t="str">
        <f>"1578729502602562"</f>
        <v>1578729502602562</v>
      </c>
      <c r="C1577" t="s">
        <v>37</v>
      </c>
      <c r="D1577">
        <v>6.05511</v>
      </c>
      <c r="E1577">
        <v>0.51747410000000005</v>
      </c>
      <c r="F1577" t="s">
        <v>38</v>
      </c>
      <c r="G1577">
        <v>-191.48230000000001</v>
      </c>
      <c r="H1577">
        <v>1.0441940000000001</v>
      </c>
      <c r="I1577">
        <v>319.66199999999998</v>
      </c>
      <c r="J1577">
        <v>-191.42869999999999</v>
      </c>
      <c r="K1577">
        <v>1.1035820000000001</v>
      </c>
      <c r="L1577">
        <v>320.10989999999998</v>
      </c>
      <c r="M1577">
        <v>1.2769179999999999E-3</v>
      </c>
      <c r="N1577">
        <v>0</v>
      </c>
      <c r="O1577">
        <v>-0.99993589999999999</v>
      </c>
      <c r="P1577">
        <v>-1.9191880000000001E-2</v>
      </c>
      <c r="Q1577">
        <v>2.3725650000000001E-3</v>
      </c>
      <c r="R1577">
        <v>-0.99981330000000002</v>
      </c>
      <c r="S1577">
        <v>-0.19119259999999999</v>
      </c>
      <c r="T1577">
        <v>-0.21121409999999999</v>
      </c>
      <c r="U1577">
        <v>-2.997681</v>
      </c>
      <c r="V1577">
        <v>2.0484929999999998E-2</v>
      </c>
      <c r="W1577">
        <v>1.362789E-2</v>
      </c>
      <c r="X1577">
        <v>0.99969730000000001</v>
      </c>
      <c r="Y1577">
        <v>6.4768439999999997E-2</v>
      </c>
      <c r="Z1577">
        <v>7.0140149999999998E-2</v>
      </c>
      <c r="AA1577">
        <v>0.99543230000000005</v>
      </c>
      <c r="AB1577">
        <v>26</v>
      </c>
      <c r="AC1577">
        <v>-5.3600000000017099E-2</v>
      </c>
      <c r="AD1577">
        <v>-5.9387999999999899E-2</v>
      </c>
      <c r="AE1577">
        <v>-0.44789999999994701</v>
      </c>
      <c r="AF1577">
        <v>5.3248988663942801E-2</v>
      </c>
      <c r="AG1577">
        <v>-5.9387999999999899E-2</v>
      </c>
      <c r="AH1577">
        <v>0.44020141884446801</v>
      </c>
      <c r="AI1577">
        <v>97.628490429563698</v>
      </c>
      <c r="AJ1577">
        <v>83.102724194858496</v>
      </c>
      <c r="AK1577">
        <v>0.44736973354309001</v>
      </c>
    </row>
    <row r="1578" spans="1:37" x14ac:dyDescent="0.2">
      <c r="A1578" t="str">
        <f>"20200111155822630"</f>
        <v>20200111155822630</v>
      </c>
      <c r="B1578" t="str">
        <f>"1578729502623058"</f>
        <v>1578729502623058</v>
      </c>
      <c r="C1578" t="s">
        <v>37</v>
      </c>
      <c r="D1578">
        <v>6.1005539999999998</v>
      </c>
      <c r="E1578">
        <v>0.51732849999999997</v>
      </c>
      <c r="F1578" t="s">
        <v>38</v>
      </c>
      <c r="G1578">
        <v>-191.48679999999999</v>
      </c>
      <c r="H1578">
        <v>1.03914</v>
      </c>
      <c r="I1578">
        <v>319.19420000000002</v>
      </c>
      <c r="J1578">
        <v>-191.42920000000001</v>
      </c>
      <c r="K1578">
        <v>1.1035790000000001</v>
      </c>
      <c r="L1578">
        <v>319.8467</v>
      </c>
      <c r="M1578">
        <v>5.8914619999999999E-4</v>
      </c>
      <c r="N1578">
        <v>0</v>
      </c>
      <c r="O1578">
        <v>-0.99993659999999995</v>
      </c>
      <c r="P1578">
        <v>-2.0283349999999999E-2</v>
      </c>
      <c r="Q1578">
        <v>2.2886129999999901E-3</v>
      </c>
      <c r="R1578">
        <v>-0.99979180000000001</v>
      </c>
      <c r="S1578">
        <v>-0.18966669999999999</v>
      </c>
      <c r="T1578">
        <v>-0.211154799999999</v>
      </c>
      <c r="U1578">
        <v>-2.9974059999999998</v>
      </c>
      <c r="V1578">
        <v>2.088866E-2</v>
      </c>
      <c r="W1578">
        <v>1.3512980000000001E-2</v>
      </c>
      <c r="X1578">
        <v>0.99969050000000004</v>
      </c>
      <c r="Y1578">
        <v>6.3583180000000003E-2</v>
      </c>
      <c r="Z1578">
        <v>7.0130799999999993E-2</v>
      </c>
      <c r="AA1578">
        <v>0.99550930000000004</v>
      </c>
      <c r="AB1578">
        <v>26</v>
      </c>
      <c r="AC1578">
        <v>-5.7599999999979397E-2</v>
      </c>
      <c r="AD1578">
        <v>-6.4439000000000093E-2</v>
      </c>
      <c r="AE1578">
        <v>-0.65249999999997499</v>
      </c>
      <c r="AF1578">
        <v>5.7428663504510501E-2</v>
      </c>
      <c r="AG1578">
        <v>-6.4439000000000093E-2</v>
      </c>
      <c r="AH1578">
        <v>0.64621219960686205</v>
      </c>
      <c r="AI1578">
        <v>95.672387259092304</v>
      </c>
      <c r="AJ1578">
        <v>84.921484796044695</v>
      </c>
      <c r="AK1578">
        <v>0.65195141155890901</v>
      </c>
    </row>
    <row r="1579" spans="1:37" x14ac:dyDescent="0.2">
      <c r="A1579" t="str">
        <f>"20200111155822653"</f>
        <v>20200111155822653</v>
      </c>
      <c r="B1579" t="str">
        <f>"1578729502642578"</f>
        <v>1578729502642578</v>
      </c>
      <c r="C1579" t="s">
        <v>37</v>
      </c>
      <c r="D1579">
        <v>6.0568720000000003</v>
      </c>
      <c r="E1579">
        <v>0.51700679999999999</v>
      </c>
      <c r="F1579" t="s">
        <v>38</v>
      </c>
      <c r="G1579">
        <v>-191.48589999999999</v>
      </c>
      <c r="H1579">
        <v>1.0397799999999999</v>
      </c>
      <c r="I1579">
        <v>318.95859999999999</v>
      </c>
      <c r="J1579">
        <v>-191.4297</v>
      </c>
      <c r="K1579">
        <v>1.103575</v>
      </c>
      <c r="L1579">
        <v>319.5874</v>
      </c>
      <c r="M1579" s="1">
        <v>-8.9158489999999996E-5</v>
      </c>
      <c r="N1579">
        <v>0</v>
      </c>
      <c r="O1579">
        <v>-0.99993729999999903</v>
      </c>
      <c r="P1579">
        <v>-2.081467E-2</v>
      </c>
      <c r="Q1579">
        <v>2.1941759999999999E-3</v>
      </c>
      <c r="R1579">
        <v>-0.99978140000000004</v>
      </c>
      <c r="S1579">
        <v>-0.19154360000000001</v>
      </c>
      <c r="T1579">
        <v>-0.2153214</v>
      </c>
      <c r="U1579">
        <v>-2.9971919999999899</v>
      </c>
      <c r="V1579">
        <v>2.0741679999999998E-2</v>
      </c>
      <c r="W1579">
        <v>1.338663E-2</v>
      </c>
      <c r="X1579">
        <v>0.99969519999999901</v>
      </c>
      <c r="Y1579">
        <v>6.3525310000000001E-2</v>
      </c>
      <c r="Z1579">
        <v>7.1511439999999996E-2</v>
      </c>
      <c r="AA1579">
        <v>0.99541480000000004</v>
      </c>
      <c r="AB1579">
        <v>26</v>
      </c>
      <c r="AC1579">
        <v>-5.61999999999898E-2</v>
      </c>
      <c r="AD1579">
        <v>-6.3795000000000004E-2</v>
      </c>
      <c r="AE1579">
        <v>-0.62880000000001202</v>
      </c>
      <c r="AF1579">
        <v>5.55764106535502E-2</v>
      </c>
      <c r="AG1579">
        <v>-6.3795000000000004E-2</v>
      </c>
      <c r="AH1579">
        <v>0.62244882494796006</v>
      </c>
      <c r="AI1579">
        <v>95.828804787262698</v>
      </c>
      <c r="AJ1579">
        <v>84.897777881001105</v>
      </c>
      <c r="AK1579">
        <v>0.62817280992194202</v>
      </c>
    </row>
    <row r="1580" spans="1:37" x14ac:dyDescent="0.2">
      <c r="A1580" t="str">
        <f>"20200111155822674"</f>
        <v>20200111155822674</v>
      </c>
      <c r="B1580" t="str">
        <f>"1578729502662097"</f>
        <v>1578729502662097</v>
      </c>
      <c r="C1580" t="s">
        <v>37</v>
      </c>
      <c r="D1580">
        <v>6.0930919999999897</v>
      </c>
      <c r="E1580">
        <v>0.51676</v>
      </c>
      <c r="F1580" t="s">
        <v>38</v>
      </c>
      <c r="G1580">
        <v>-191.48480000000001</v>
      </c>
      <c r="H1580">
        <v>1.0405279999999999</v>
      </c>
      <c r="I1580">
        <v>318.7226</v>
      </c>
      <c r="J1580">
        <v>-191.43049999999999</v>
      </c>
      <c r="K1580">
        <v>1.1035759999999999</v>
      </c>
      <c r="L1580">
        <v>319.33150000000001</v>
      </c>
      <c r="M1580">
        <v>-7.5820130000000001E-4</v>
      </c>
      <c r="N1580">
        <v>0</v>
      </c>
      <c r="O1580">
        <v>-0.99993729999999903</v>
      </c>
      <c r="P1580">
        <v>-2.1168510000000001E-2</v>
      </c>
      <c r="Q1580">
        <v>2.2445270000000001E-3</v>
      </c>
      <c r="R1580">
        <v>-0.99977369999999899</v>
      </c>
      <c r="S1580">
        <v>-0.19038389999999999</v>
      </c>
      <c r="T1580">
        <v>-0.21865499999999999</v>
      </c>
      <c r="U1580">
        <v>-2.997131</v>
      </c>
      <c r="V1580">
        <v>2.0426679999999999E-2</v>
      </c>
      <c r="W1580">
        <v>1.3408079999999999E-2</v>
      </c>
      <c r="X1580">
        <v>0.99970139999999996</v>
      </c>
      <c r="Y1580">
        <v>6.2470169999999998E-2</v>
      </c>
      <c r="Z1580">
        <v>7.261753E-2</v>
      </c>
      <c r="AA1580">
        <v>0.99540149999999905</v>
      </c>
      <c r="AB1580">
        <v>26</v>
      </c>
      <c r="AC1580">
        <v>-5.4300000000011998E-2</v>
      </c>
      <c r="AD1580">
        <v>-6.3047999999999896E-2</v>
      </c>
      <c r="AE1580">
        <v>-0.60890000000000499</v>
      </c>
      <c r="AF1580">
        <v>5.3271647479057299E-2</v>
      </c>
      <c r="AG1580">
        <v>-6.3047999999999896E-2</v>
      </c>
      <c r="AH1580">
        <v>0.60253199163214999</v>
      </c>
      <c r="AI1580">
        <v>95.950556975395301</v>
      </c>
      <c r="AJ1580">
        <v>84.947447222238793</v>
      </c>
      <c r="AK1580">
        <v>0.60815928807290098</v>
      </c>
    </row>
    <row r="1581" spans="1:37" x14ac:dyDescent="0.2">
      <c r="A1581" t="str">
        <f>"20200111155822697"</f>
        <v>20200111155822697</v>
      </c>
      <c r="B1581" t="str">
        <f>"1578729502692354"</f>
        <v>1578729502692354</v>
      </c>
      <c r="C1581" t="s">
        <v>37</v>
      </c>
      <c r="D1581">
        <v>8.2270520000000005</v>
      </c>
      <c r="E1581">
        <v>0.51621939999999999</v>
      </c>
      <c r="F1581" t="s">
        <v>38</v>
      </c>
      <c r="G1581">
        <v>-191.48400000000001</v>
      </c>
      <c r="H1581">
        <v>1.041342</v>
      </c>
      <c r="I1581">
        <v>318.48649999999998</v>
      </c>
      <c r="J1581">
        <v>-191.4315</v>
      </c>
      <c r="K1581">
        <v>1.1035680000000001</v>
      </c>
      <c r="L1581">
        <v>319.07240000000002</v>
      </c>
      <c r="M1581">
        <v>-1.4349950000000001E-3</v>
      </c>
      <c r="N1581">
        <v>0</v>
      </c>
      <c r="O1581">
        <v>-0.99993659999999995</v>
      </c>
      <c r="P1581">
        <v>-2.1180580000000001E-2</v>
      </c>
      <c r="Q1581">
        <v>1.842099E-3</v>
      </c>
      <c r="R1581">
        <v>-0.99977399999999905</v>
      </c>
      <c r="S1581">
        <v>-0.1895599</v>
      </c>
      <c r="T1581">
        <v>-0.2208156</v>
      </c>
      <c r="U1581">
        <v>-2.9971619999999999</v>
      </c>
      <c r="V1581">
        <v>1.97615999999999E-2</v>
      </c>
      <c r="W1581">
        <v>1.2979920000000001E-2</v>
      </c>
      <c r="X1581">
        <v>0.99972050000000001</v>
      </c>
      <c r="Y1581">
        <v>6.1518129999999997E-2</v>
      </c>
      <c r="Z1581">
        <v>7.3333190000000006E-2</v>
      </c>
      <c r="AA1581">
        <v>0.99540839999999997</v>
      </c>
      <c r="AB1581">
        <v>26</v>
      </c>
      <c r="AC1581">
        <v>-5.2500000000008998E-2</v>
      </c>
      <c r="AD1581">
        <v>-6.2226000000000101E-2</v>
      </c>
      <c r="AE1581">
        <v>-0.58590000000003695</v>
      </c>
      <c r="AF1581">
        <v>5.10874695932588E-2</v>
      </c>
      <c r="AG1581">
        <v>-6.2226000000000101E-2</v>
      </c>
      <c r="AH1581">
        <v>0.57949033760398405</v>
      </c>
      <c r="AI1581">
        <v>96.105468086584494</v>
      </c>
      <c r="AJ1581">
        <v>84.961868770661098</v>
      </c>
      <c r="AK1581">
        <v>0.58505645539710205</v>
      </c>
    </row>
    <row r="1582" spans="1:37" x14ac:dyDescent="0.2">
      <c r="A1582" t="str">
        <f>"20200111155822719"</f>
        <v>20200111155822719</v>
      </c>
      <c r="B1582" t="str">
        <f>"1578729502712850"</f>
        <v>1578729502712850</v>
      </c>
      <c r="C1582" t="s">
        <v>37</v>
      </c>
      <c r="D1582">
        <v>6.0826690000000001</v>
      </c>
      <c r="E1582">
        <v>0.51574629999999999</v>
      </c>
      <c r="F1582" t="s">
        <v>38</v>
      </c>
      <c r="G1582">
        <v>-191.48249999999999</v>
      </c>
      <c r="H1582">
        <v>1.043828</v>
      </c>
      <c r="I1582">
        <v>318.24950000000001</v>
      </c>
      <c r="J1582">
        <v>-191.43260000000001</v>
      </c>
      <c r="K1582">
        <v>1.1035649999999999</v>
      </c>
      <c r="L1582">
        <v>318.8064</v>
      </c>
      <c r="M1582">
        <v>-2.1288029999999999E-3</v>
      </c>
      <c r="N1582">
        <v>0</v>
      </c>
      <c r="O1582">
        <v>-0.99993589999999999</v>
      </c>
      <c r="P1582">
        <v>-2.1255550000000002E-2</v>
      </c>
      <c r="Q1582">
        <v>1.56425799999999E-3</v>
      </c>
      <c r="R1582">
        <v>-0.99977299999999902</v>
      </c>
      <c r="S1582">
        <v>-0.18547060000000001</v>
      </c>
      <c r="T1582">
        <v>-0.2176872</v>
      </c>
      <c r="U1582">
        <v>-2.9971619999999999</v>
      </c>
      <c r="V1582">
        <v>1.914254E-2</v>
      </c>
      <c r="W1582">
        <v>1.267763E-2</v>
      </c>
      <c r="X1582">
        <v>0.99973639999999997</v>
      </c>
      <c r="Y1582">
        <v>5.9477250000000002E-2</v>
      </c>
      <c r="Z1582">
        <v>7.2307150000000001E-2</v>
      </c>
      <c r="AA1582">
        <v>0.99560740000000003</v>
      </c>
      <c r="AB1582">
        <v>26</v>
      </c>
      <c r="AC1582">
        <v>-4.98999999999796E-2</v>
      </c>
      <c r="AD1582">
        <v>-5.9736999999999901E-2</v>
      </c>
      <c r="AE1582">
        <v>-0.55689999999998396</v>
      </c>
      <c r="AF1582">
        <v>4.81645061939589E-2</v>
      </c>
      <c r="AG1582">
        <v>-5.9736999999999901E-2</v>
      </c>
      <c r="AH1582">
        <v>0.55071875522281899</v>
      </c>
      <c r="AI1582">
        <v>96.167365669498906</v>
      </c>
      <c r="AJ1582">
        <v>85.001769847117103</v>
      </c>
      <c r="AK1582">
        <v>0.55603909590970302</v>
      </c>
    </row>
    <row r="1583" spans="1:37" x14ac:dyDescent="0.2">
      <c r="A1583" t="str">
        <f>"20200111155822743"</f>
        <v>20200111155822743</v>
      </c>
      <c r="B1583" t="str">
        <f>"1578729502732371"</f>
        <v>1578729502732371</v>
      </c>
      <c r="C1583" t="s">
        <v>37</v>
      </c>
      <c r="D1583">
        <v>6.05844</v>
      </c>
      <c r="E1583">
        <v>0.51542520000000003</v>
      </c>
      <c r="F1583" t="s">
        <v>38</v>
      </c>
      <c r="G1583">
        <v>-191.48099999999999</v>
      </c>
      <c r="H1583">
        <v>1.0476829999999999</v>
      </c>
      <c r="I1583">
        <v>318.01029999999997</v>
      </c>
      <c r="J1583">
        <v>-191.434</v>
      </c>
      <c r="K1583">
        <v>1.103566</v>
      </c>
      <c r="L1583">
        <v>318.5324</v>
      </c>
      <c r="M1583">
        <v>-2.8429079999999999E-3</v>
      </c>
      <c r="N1583">
        <v>0</v>
      </c>
      <c r="O1583">
        <v>-0.9999344</v>
      </c>
      <c r="P1583">
        <v>-2.1356859999999998E-2</v>
      </c>
      <c r="Q1583">
        <v>1.1317149999999999E-3</v>
      </c>
      <c r="R1583">
        <v>-0.99977169999999904</v>
      </c>
      <c r="S1583">
        <v>-0.1820068</v>
      </c>
      <c r="T1583">
        <v>-0.21038379999999901</v>
      </c>
      <c r="U1583">
        <v>-2.9971009999999998</v>
      </c>
      <c r="V1583">
        <v>1.8529319999999998E-2</v>
      </c>
      <c r="W1583">
        <v>1.2222770000000001E-2</v>
      </c>
      <c r="X1583">
        <v>0.99975360000000002</v>
      </c>
      <c r="Y1583">
        <v>5.7629599999999899E-2</v>
      </c>
      <c r="Z1583">
        <v>6.9900790000000004E-2</v>
      </c>
      <c r="AA1583">
        <v>0.99588790000000005</v>
      </c>
      <c r="AB1583">
        <v>26</v>
      </c>
      <c r="AC1583">
        <v>-4.6999999999968602E-2</v>
      </c>
      <c r="AD1583">
        <v>-5.5883000000000099E-2</v>
      </c>
      <c r="AE1583">
        <v>-0.52210000000002299</v>
      </c>
      <c r="AF1583">
        <v>4.5003992700709199E-2</v>
      </c>
      <c r="AG1583">
        <v>-5.5883000000000099E-2</v>
      </c>
      <c r="AH1583">
        <v>0.516363351365138</v>
      </c>
      <c r="AI1583">
        <v>96.153601065901</v>
      </c>
      <c r="AJ1583">
        <v>85.018934869759093</v>
      </c>
      <c r="AK1583">
        <v>0.52132463943405005</v>
      </c>
    </row>
    <row r="1584" spans="1:37" x14ac:dyDescent="0.2">
      <c r="A1584" t="str">
        <f>"20200111155822763"</f>
        <v>20200111155822763</v>
      </c>
      <c r="B1584" t="str">
        <f>"1578729502752866"</f>
        <v>1578729502752866</v>
      </c>
      <c r="C1584" t="s">
        <v>37</v>
      </c>
      <c r="D1584">
        <v>6.0237809999999996</v>
      </c>
      <c r="E1584">
        <v>0.51496620000000004</v>
      </c>
      <c r="F1584" t="s">
        <v>38</v>
      </c>
      <c r="G1584">
        <v>-191.47980000000001</v>
      </c>
      <c r="H1584">
        <v>1.05013</v>
      </c>
      <c r="I1584">
        <v>317.77179999999998</v>
      </c>
      <c r="J1584">
        <v>-191.43539999999999</v>
      </c>
      <c r="K1584">
        <v>1.103569</v>
      </c>
      <c r="L1584">
        <v>318.28519999999997</v>
      </c>
      <c r="M1584">
        <v>-3.4870449999999998E-3</v>
      </c>
      <c r="N1584">
        <v>0</v>
      </c>
      <c r="O1584">
        <v>-0.9999325</v>
      </c>
      <c r="P1584">
        <v>-2.1677680000000001E-2</v>
      </c>
      <c r="Q1584">
        <v>8.5106479999999996E-4</v>
      </c>
      <c r="R1584">
        <v>-0.99976489999999996</v>
      </c>
      <c r="S1584">
        <v>-0.17979429999999999</v>
      </c>
      <c r="T1584">
        <v>-0.21079679999999901</v>
      </c>
      <c r="U1584">
        <v>-2.9970699999999999</v>
      </c>
      <c r="V1584">
        <v>1.8205780000000001E-2</v>
      </c>
      <c r="W1584">
        <v>1.1932389999999999E-2</v>
      </c>
      <c r="X1584">
        <v>0.99976309999999902</v>
      </c>
      <c r="Y1584">
        <v>5.6253949999999997E-2</v>
      </c>
      <c r="Z1584">
        <v>7.0042160000000006E-2</v>
      </c>
      <c r="AA1584">
        <v>0.99595659999999897</v>
      </c>
      <c r="AB1584">
        <v>26</v>
      </c>
      <c r="AC1584">
        <v>-4.4400000000024399E-2</v>
      </c>
      <c r="AD1584">
        <v>-5.3439E-2</v>
      </c>
      <c r="AE1584">
        <v>-0.51339999999998998</v>
      </c>
      <c r="AF1584">
        <v>4.21560264997239E-2</v>
      </c>
      <c r="AG1584">
        <v>-5.3439E-2</v>
      </c>
      <c r="AH1584">
        <v>0.50808775195425304</v>
      </c>
      <c r="AI1584">
        <v>95.983696629849902</v>
      </c>
      <c r="AJ1584">
        <v>85.257034427160605</v>
      </c>
      <c r="AK1584">
        <v>0.51262659019716506</v>
      </c>
    </row>
    <row r="1585" spans="1:37" x14ac:dyDescent="0.2">
      <c r="A1585" t="str">
        <f>"20200111155822786"</f>
        <v>20200111155822786</v>
      </c>
      <c r="B1585" t="str">
        <f>"1578729502782147"</f>
        <v>1578729502782147</v>
      </c>
      <c r="C1585" t="s">
        <v>37</v>
      </c>
      <c r="D1585">
        <v>5.9612270000000001</v>
      </c>
      <c r="E1585">
        <v>0.51440980000000003</v>
      </c>
      <c r="F1585" t="s">
        <v>38</v>
      </c>
      <c r="G1585">
        <v>-191.48</v>
      </c>
      <c r="H1585">
        <v>1.051858</v>
      </c>
      <c r="I1585">
        <v>317.53399999999999</v>
      </c>
      <c r="J1585">
        <v>-191.43709999999999</v>
      </c>
      <c r="K1585">
        <v>1.1035729999999999</v>
      </c>
      <c r="L1585">
        <v>318.0213</v>
      </c>
      <c r="M1585">
        <v>-4.1746489999999999E-3</v>
      </c>
      <c r="N1585">
        <v>0</v>
      </c>
      <c r="O1585">
        <v>-0.99992990000000004</v>
      </c>
      <c r="P1585">
        <v>-2.2467730000000002E-2</v>
      </c>
      <c r="Q1585">
        <v>4.1245589999999998E-4</v>
      </c>
      <c r="R1585">
        <v>-0.99974789999999902</v>
      </c>
      <c r="S1585">
        <v>-0.1774597</v>
      </c>
      <c r="T1585">
        <v>-0.20641079999999901</v>
      </c>
      <c r="U1585">
        <v>-2.9970400000000001</v>
      </c>
      <c r="V1585">
        <v>1.8307859999999999E-2</v>
      </c>
      <c r="W1585">
        <v>1.1495160000000001E-2</v>
      </c>
      <c r="X1585">
        <v>0.9997663</v>
      </c>
      <c r="Y1585">
        <v>5.4800799999999997E-2</v>
      </c>
      <c r="Z1585">
        <v>6.8596519999999994E-2</v>
      </c>
      <c r="AA1585">
        <v>0.99613819999999997</v>
      </c>
      <c r="AB1585">
        <v>26</v>
      </c>
      <c r="AC1585">
        <v>-4.2900000000002998E-2</v>
      </c>
      <c r="AD1585">
        <v>-5.17149999999999E-2</v>
      </c>
      <c r="AE1585">
        <v>-0.48730000000000401</v>
      </c>
      <c r="AF1585">
        <v>4.0413532233429E-2</v>
      </c>
      <c r="AG1585">
        <v>-5.17149999999999E-2</v>
      </c>
      <c r="AH1585">
        <v>0.48208704093877403</v>
      </c>
      <c r="AI1585">
        <v>96.101644584208401</v>
      </c>
      <c r="AJ1585">
        <v>85.208078100488294</v>
      </c>
      <c r="AK1585">
        <v>0.48653428435587698</v>
      </c>
    </row>
    <row r="1586" spans="1:37" x14ac:dyDescent="0.2">
      <c r="A1586" t="str">
        <f>"20200111155822809"</f>
        <v>20200111155822809</v>
      </c>
      <c r="B1586" t="str">
        <f>"1578729502802642"</f>
        <v>1578729502802642</v>
      </c>
      <c r="C1586" t="s">
        <v>37</v>
      </c>
      <c r="D1586">
        <v>5.9418110000000004</v>
      </c>
      <c r="E1586">
        <v>0.514239</v>
      </c>
      <c r="F1586" t="s">
        <v>38</v>
      </c>
      <c r="G1586">
        <v>-191.49260000000001</v>
      </c>
      <c r="H1586">
        <v>1.036273</v>
      </c>
      <c r="I1586">
        <v>317.07190000000003</v>
      </c>
      <c r="J1586">
        <v>-191.4391</v>
      </c>
      <c r="K1586">
        <v>1.1035709999999901</v>
      </c>
      <c r="L1586">
        <v>317.74369999999999</v>
      </c>
      <c r="M1586">
        <v>-4.8975800000000003E-3</v>
      </c>
      <c r="N1586">
        <v>0</v>
      </c>
      <c r="O1586">
        <v>-0.99992630000000005</v>
      </c>
      <c r="P1586">
        <v>-2.2977839999999999E-2</v>
      </c>
      <c r="Q1586">
        <v>3.2804749999999999E-4</v>
      </c>
      <c r="R1586">
        <v>-0.99973609999999902</v>
      </c>
      <c r="S1586">
        <v>-0.17518619999999999</v>
      </c>
      <c r="T1586">
        <v>-0.21248229999999901</v>
      </c>
      <c r="U1586">
        <v>-2.996918</v>
      </c>
      <c r="V1586">
        <v>1.8095099999999999E-2</v>
      </c>
      <c r="W1586">
        <v>1.142317E-2</v>
      </c>
      <c r="X1586">
        <v>0.99977099999999997</v>
      </c>
      <c r="Y1586">
        <v>5.3319949999999998E-2</v>
      </c>
      <c r="Z1586">
        <v>7.0611229999999997E-2</v>
      </c>
      <c r="AA1586">
        <v>0.99607780000000001</v>
      </c>
      <c r="AB1586">
        <v>26</v>
      </c>
      <c r="AC1586">
        <v>-5.35000000000138E-2</v>
      </c>
      <c r="AD1586">
        <v>-6.7297999999999802E-2</v>
      </c>
      <c r="AE1586">
        <v>-0.67179999999996198</v>
      </c>
      <c r="AF1586">
        <v>4.9713224788489302E-2</v>
      </c>
      <c r="AG1586">
        <v>-6.7297999999999802E-2</v>
      </c>
      <c r="AH1586">
        <v>0.66541847997336301</v>
      </c>
      <c r="AI1586">
        <v>95.759107949668106</v>
      </c>
      <c r="AJ1586">
        <v>85.727386119507202</v>
      </c>
      <c r="AK1586">
        <v>0.67065801942042902</v>
      </c>
    </row>
    <row r="1587" spans="1:37" x14ac:dyDescent="0.2">
      <c r="A1587" t="str">
        <f>"20200111155822831"</f>
        <v>20200111155822831</v>
      </c>
      <c r="B1587" t="str">
        <f>"1578729502822162"</f>
        <v>1578729502822162</v>
      </c>
      <c r="C1587" t="s">
        <v>37</v>
      </c>
      <c r="D1587">
        <v>5.8969469999999999</v>
      </c>
      <c r="E1587">
        <v>0.51455360000000006</v>
      </c>
      <c r="F1587" t="s">
        <v>38</v>
      </c>
      <c r="G1587">
        <v>-191.49260000000001</v>
      </c>
      <c r="H1587">
        <v>1.0384469999999999</v>
      </c>
      <c r="I1587">
        <v>316.83409999999998</v>
      </c>
      <c r="J1587">
        <v>-191.44110000000001</v>
      </c>
      <c r="K1587">
        <v>1.1035779999999999</v>
      </c>
      <c r="L1587">
        <v>317.48250000000002</v>
      </c>
      <c r="M1587">
        <v>-5.5769909999999999E-3</v>
      </c>
      <c r="N1587">
        <v>0</v>
      </c>
      <c r="O1587">
        <v>-0.99992250000000005</v>
      </c>
      <c r="P1587">
        <v>-2.3882670000000002E-2</v>
      </c>
      <c r="Q1587">
        <v>-3.10985699999999E-4</v>
      </c>
      <c r="R1587">
        <v>-0.99971480000000001</v>
      </c>
      <c r="S1587">
        <v>-0.17532349999999999</v>
      </c>
      <c r="T1587">
        <v>-0.21487300000000001</v>
      </c>
      <c r="U1587">
        <v>-2.9968569999999999</v>
      </c>
      <c r="V1587">
        <v>1.831994E-2</v>
      </c>
      <c r="W1587">
        <v>1.0799019999999999E-2</v>
      </c>
      <c r="X1587">
        <v>0.99977389999999999</v>
      </c>
      <c r="Y1587">
        <v>5.268482E-2</v>
      </c>
      <c r="Z1587">
        <v>7.1403850000000005E-2</v>
      </c>
      <c r="AA1587">
        <v>0.99605509999999997</v>
      </c>
      <c r="AB1587">
        <v>26</v>
      </c>
      <c r="AC1587">
        <v>-5.1500000000004299E-2</v>
      </c>
      <c r="AD1587">
        <v>-6.5131000000000203E-2</v>
      </c>
      <c r="AE1587">
        <v>-0.64840000000003695</v>
      </c>
      <c r="AF1587">
        <v>4.7407512768408502E-2</v>
      </c>
      <c r="AG1587">
        <v>-6.5131000000000203E-2</v>
      </c>
      <c r="AH1587">
        <v>0.64223761952653302</v>
      </c>
      <c r="AI1587">
        <v>95.7751119374647</v>
      </c>
      <c r="AJ1587">
        <v>85.778302414649801</v>
      </c>
      <c r="AK1587">
        <v>0.647270174937016</v>
      </c>
    </row>
    <row r="1588" spans="1:37" x14ac:dyDescent="0.2">
      <c r="A1588" t="str">
        <f>"20200111155822854"</f>
        <v>20200111155822854</v>
      </c>
      <c r="B1588" t="str">
        <f>"1578729502842658"</f>
        <v>1578729502842658</v>
      </c>
      <c r="C1588" t="s">
        <v>37</v>
      </c>
      <c r="D1588">
        <v>5.8627469999999997</v>
      </c>
      <c r="E1588">
        <v>0.51481239999999995</v>
      </c>
      <c r="F1588" t="s">
        <v>38</v>
      </c>
      <c r="G1588">
        <v>-191.49459999999999</v>
      </c>
      <c r="H1588">
        <v>1.039617</v>
      </c>
      <c r="I1588">
        <v>316.59690000000001</v>
      </c>
      <c r="J1588">
        <v>-191.4434</v>
      </c>
      <c r="K1588">
        <v>1.103586</v>
      </c>
      <c r="L1588">
        <v>317.21769999999998</v>
      </c>
      <c r="M1588">
        <v>-6.2631529999999996E-3</v>
      </c>
      <c r="N1588">
        <v>0</v>
      </c>
      <c r="O1588">
        <v>-0.99991849999999904</v>
      </c>
      <c r="P1588">
        <v>-2.440724E-2</v>
      </c>
      <c r="Q1588">
        <v>-1.7123339999999999E-4</v>
      </c>
      <c r="R1588">
        <v>-0.99970239999999999</v>
      </c>
      <c r="S1588">
        <v>-0.18083189999999999</v>
      </c>
      <c r="T1588">
        <v>-0.21645249999999999</v>
      </c>
      <c r="U1588">
        <v>-2.996429</v>
      </c>
      <c r="V1588">
        <v>1.815866E-2</v>
      </c>
      <c r="W1588">
        <v>1.095637E-2</v>
      </c>
      <c r="X1588">
        <v>0.99977510000000003</v>
      </c>
      <c r="Y1588">
        <v>5.3830169999999997E-2</v>
      </c>
      <c r="Z1588">
        <v>7.1929679999999996E-2</v>
      </c>
      <c r="AA1588">
        <v>0.99595610000000001</v>
      </c>
      <c r="AB1588">
        <v>26</v>
      </c>
      <c r="AC1588">
        <v>-5.1199999999994299E-2</v>
      </c>
      <c r="AD1588">
        <v>-6.3968999999999901E-2</v>
      </c>
      <c r="AE1588">
        <v>-0.62079999999997404</v>
      </c>
      <c r="AF1588">
        <v>4.68168546855494E-2</v>
      </c>
      <c r="AG1588">
        <v>-6.3968999999999901E-2</v>
      </c>
      <c r="AH1588">
        <v>0.61462660560810001</v>
      </c>
      <c r="AI1588">
        <v>95.924786876094601</v>
      </c>
      <c r="AJ1588">
        <v>85.644122270201507</v>
      </c>
      <c r="AK1588">
        <v>0.61971744784617999</v>
      </c>
    </row>
    <row r="1589" spans="1:37" x14ac:dyDescent="0.2">
      <c r="A1589" t="str">
        <f>"20200111155822875"</f>
        <v>20200111155822875</v>
      </c>
      <c r="B1589" t="str">
        <f>"1578729502872914"</f>
        <v>1578729502872914</v>
      </c>
      <c r="C1589" t="s">
        <v>37</v>
      </c>
      <c r="D1589">
        <v>8.0029679999999992</v>
      </c>
      <c r="E1589">
        <v>0.51526700000000003</v>
      </c>
      <c r="F1589" t="s">
        <v>38</v>
      </c>
      <c r="G1589">
        <v>-191.49639999999999</v>
      </c>
      <c r="H1589">
        <v>1.0416829999999999</v>
      </c>
      <c r="I1589">
        <v>316.35910000000001</v>
      </c>
      <c r="J1589">
        <v>-191.44579999999999</v>
      </c>
      <c r="K1589">
        <v>1.1036010000000001</v>
      </c>
      <c r="L1589">
        <v>316.95490000000001</v>
      </c>
      <c r="M1589">
        <v>-6.9418250000000004E-3</v>
      </c>
      <c r="N1589">
        <v>0</v>
      </c>
      <c r="O1589">
        <v>-0.99991369999999902</v>
      </c>
      <c r="P1589">
        <v>-2.4807240000000001E-2</v>
      </c>
      <c r="Q1589">
        <v>4.5702699999999999E-4</v>
      </c>
      <c r="R1589">
        <v>-0.99969259999999904</v>
      </c>
      <c r="S1589">
        <v>-0.184478799999999</v>
      </c>
      <c r="T1589">
        <v>-0.21618599999999999</v>
      </c>
      <c r="U1589">
        <v>-2.9963679999999999</v>
      </c>
      <c r="V1589">
        <v>1.788083E-2</v>
      </c>
      <c r="W1589">
        <v>1.160864E-2</v>
      </c>
      <c r="X1589">
        <v>0.99977269999999896</v>
      </c>
      <c r="Y1589">
        <v>5.4361720000000002E-2</v>
      </c>
      <c r="Z1589">
        <v>7.1838860000000004E-2</v>
      </c>
      <c r="AA1589">
        <v>0.99593369999999903</v>
      </c>
      <c r="AB1589">
        <v>26</v>
      </c>
      <c r="AC1589">
        <v>-5.0600000000002802E-2</v>
      </c>
      <c r="AD1589">
        <v>-6.1918000000000098E-2</v>
      </c>
      <c r="AE1589">
        <v>-0.595799999999997</v>
      </c>
      <c r="AF1589">
        <v>4.5969656706433201E-2</v>
      </c>
      <c r="AG1589">
        <v>-6.1918000000000098E-2</v>
      </c>
      <c r="AH1589">
        <v>0.589812430113135</v>
      </c>
      <c r="AI1589">
        <v>95.974922272769007</v>
      </c>
      <c r="AJ1589">
        <v>85.543407799389499</v>
      </c>
      <c r="AK1589">
        <v>0.59483254011332398</v>
      </c>
    </row>
    <row r="1590" spans="1:37" x14ac:dyDescent="0.2">
      <c r="A1590" t="str">
        <f>"20200111155822898"</f>
        <v>20200111155822898</v>
      </c>
      <c r="B1590" t="str">
        <f>"1578729502892434"</f>
        <v>1578729502892434</v>
      </c>
      <c r="C1590" t="s">
        <v>37</v>
      </c>
      <c r="D1590">
        <v>5.8454239999999897</v>
      </c>
      <c r="E1590">
        <v>0.55749799999999905</v>
      </c>
      <c r="F1590" t="s">
        <v>38</v>
      </c>
      <c r="G1590">
        <v>-191.49860000000001</v>
      </c>
      <c r="H1590">
        <v>1.0448459999999999</v>
      </c>
      <c r="I1590">
        <v>316.12049999999999</v>
      </c>
      <c r="J1590">
        <v>-191.4485</v>
      </c>
      <c r="K1590">
        <v>1.1036109999999999</v>
      </c>
      <c r="L1590">
        <v>316.68540000000002</v>
      </c>
      <c r="M1590">
        <v>-7.6317399999999997E-3</v>
      </c>
      <c r="N1590">
        <v>0</v>
      </c>
      <c r="O1590">
        <v>-0.99990820000000002</v>
      </c>
      <c r="P1590">
        <v>-2.507123E-2</v>
      </c>
      <c r="Q1590">
        <v>1.6764550000000001E-3</v>
      </c>
      <c r="R1590">
        <v>-0.99968419999999902</v>
      </c>
      <c r="S1590">
        <v>-0.18971250000000001</v>
      </c>
      <c r="T1590">
        <v>-0.2110417</v>
      </c>
      <c r="U1590">
        <v>-2.9963380000000002</v>
      </c>
      <c r="V1590">
        <v>1.745642E-2</v>
      </c>
      <c r="W1590">
        <v>1.2855E-2</v>
      </c>
      <c r="X1590">
        <v>0.99976500000000001</v>
      </c>
      <c r="Y1590">
        <v>5.541389E-2</v>
      </c>
      <c r="Z1590">
        <v>7.0132260000000002E-2</v>
      </c>
      <c r="AA1590">
        <v>0.99599740000000003</v>
      </c>
      <c r="AB1590">
        <v>26</v>
      </c>
      <c r="AC1590">
        <v>-5.0100000000014598E-2</v>
      </c>
      <c r="AD1590">
        <v>-5.8765000000000102E-2</v>
      </c>
      <c r="AE1590">
        <v>-0.56490000000002205</v>
      </c>
      <c r="AF1590">
        <v>4.5300697258233102E-2</v>
      </c>
      <c r="AG1590">
        <v>-5.8765000000000102E-2</v>
      </c>
      <c r="AH1590">
        <v>0.55926101444240095</v>
      </c>
      <c r="AI1590">
        <v>95.978969117023496</v>
      </c>
      <c r="AJ1590">
        <v>85.369095367972804</v>
      </c>
      <c r="AK1590">
        <v>0.56416164409876801</v>
      </c>
    </row>
    <row r="1591" spans="1:37" x14ac:dyDescent="0.2">
      <c r="A1591" t="str">
        <f>"20200111155822920"</f>
        <v>20200111155822920</v>
      </c>
      <c r="B1591" t="str">
        <f>"1578729502912930"</f>
        <v>1578729502912930</v>
      </c>
      <c r="C1591" t="s">
        <v>37</v>
      </c>
      <c r="D1591">
        <v>9.3006700000000002</v>
      </c>
      <c r="E1591">
        <v>0.55599779999999999</v>
      </c>
      <c r="F1591" t="s">
        <v>38</v>
      </c>
      <c r="G1591">
        <v>-191.58940000000001</v>
      </c>
      <c r="H1591">
        <v>1.038198</v>
      </c>
      <c r="I1591">
        <v>315.88499999999999</v>
      </c>
      <c r="J1591">
        <v>-191.4512</v>
      </c>
      <c r="K1591">
        <v>1.1036250000000001</v>
      </c>
      <c r="L1591">
        <v>316.42450000000002</v>
      </c>
      <c r="M1591">
        <v>-8.2932519999999992E-3</v>
      </c>
      <c r="N1591">
        <v>0</v>
      </c>
      <c r="O1591">
        <v>-0.99990270000000003</v>
      </c>
      <c r="P1591">
        <v>-2.5709320000000001E-2</v>
      </c>
      <c r="Q1591">
        <v>2.4508870000000001E-3</v>
      </c>
      <c r="R1591">
        <v>-0.99966650000000001</v>
      </c>
      <c r="S1591">
        <v>-0.52600100000000005</v>
      </c>
      <c r="T1591">
        <v>-0.24434299999999901</v>
      </c>
      <c r="U1591">
        <v>-2.988159</v>
      </c>
      <c r="V1591">
        <v>1.7433959999999998E-2</v>
      </c>
      <c r="W1591">
        <v>1.3653159999999999E-2</v>
      </c>
      <c r="X1591">
        <v>0.99975480000000005</v>
      </c>
      <c r="Y1591">
        <v>0.16462879999999999</v>
      </c>
      <c r="Z1591">
        <v>8.0324880000000001E-2</v>
      </c>
      <c r="AA1591">
        <v>0.9830795</v>
      </c>
      <c r="AB1591">
        <v>26</v>
      </c>
      <c r="AC1591">
        <v>-0.13820000000001101</v>
      </c>
      <c r="AD1591">
        <v>-6.5427000000000096E-2</v>
      </c>
      <c r="AE1591">
        <v>-0.53950000000003195</v>
      </c>
      <c r="AF1591">
        <v>0.13190032241115801</v>
      </c>
      <c r="AG1591">
        <v>-6.5427000000000096E-2</v>
      </c>
      <c r="AH1591">
        <v>0.53326770485409603</v>
      </c>
      <c r="AI1591">
        <v>96.792021736513703</v>
      </c>
      <c r="AJ1591">
        <v>76.107096547823105</v>
      </c>
      <c r="AK1591">
        <v>0.55322041938229505</v>
      </c>
    </row>
    <row r="1592" spans="1:37" x14ac:dyDescent="0.2">
      <c r="A1592" t="str">
        <f>"20200111155822943"</f>
        <v>20200111155822943</v>
      </c>
      <c r="B1592" t="str">
        <f>"1578729502932450"</f>
        <v>1578729502932450</v>
      </c>
      <c r="C1592" t="s">
        <v>37</v>
      </c>
      <c r="D1592">
        <v>5.8796869999999997</v>
      </c>
      <c r="E1592">
        <v>0.55881539999999996</v>
      </c>
      <c r="F1592" t="s">
        <v>38</v>
      </c>
      <c r="G1592">
        <v>-191.58439999999999</v>
      </c>
      <c r="H1592">
        <v>1.0350520000000001</v>
      </c>
      <c r="I1592">
        <v>315.65170000000001</v>
      </c>
      <c r="J1592">
        <v>-191.45410000000001</v>
      </c>
      <c r="K1592">
        <v>1.103637</v>
      </c>
      <c r="L1592">
        <v>316.16160000000002</v>
      </c>
      <c r="M1592">
        <v>-8.9523060000000002E-3</v>
      </c>
      <c r="N1592">
        <v>0</v>
      </c>
      <c r="O1592">
        <v>-0.99989669999999897</v>
      </c>
      <c r="P1592">
        <v>-2.7104639999999999E-2</v>
      </c>
      <c r="Q1592">
        <v>1.9691890000000001E-3</v>
      </c>
      <c r="R1592">
        <v>-0.99963080000000004</v>
      </c>
      <c r="S1592">
        <v>-0.51472470000000003</v>
      </c>
      <c r="T1592">
        <v>-0.26526329999999998</v>
      </c>
      <c r="U1592">
        <v>-2.9884029999999999</v>
      </c>
      <c r="V1592">
        <v>1.8169799999999899E-2</v>
      </c>
      <c r="W1592">
        <v>1.319734E-2</v>
      </c>
      <c r="X1592">
        <v>0.99974779999999996</v>
      </c>
      <c r="Y1592">
        <v>0.16026509999999999</v>
      </c>
      <c r="Z1592">
        <v>8.7202940000000007E-2</v>
      </c>
      <c r="AA1592">
        <v>0.98321449999999999</v>
      </c>
      <c r="AB1592">
        <v>26</v>
      </c>
      <c r="AC1592">
        <v>-0.13029999999997699</v>
      </c>
      <c r="AD1592">
        <v>-6.8584999999999896E-2</v>
      </c>
      <c r="AE1592">
        <v>-0.50990000000001601</v>
      </c>
      <c r="AF1592">
        <v>0.123630090937278</v>
      </c>
      <c r="AG1592">
        <v>-6.8584999999999896E-2</v>
      </c>
      <c r="AH1592">
        <v>0.50251193237084701</v>
      </c>
      <c r="AI1592">
        <v>97.549544143267198</v>
      </c>
      <c r="AJ1592">
        <v>76.178353603963302</v>
      </c>
      <c r="AK1592">
        <v>0.52202159321741004</v>
      </c>
    </row>
    <row r="1593" spans="1:37" x14ac:dyDescent="0.2">
      <c r="A1593" t="str">
        <f>"20200111155822964"</f>
        <v>20200111155822964</v>
      </c>
      <c r="B1593" t="str">
        <f>"1578729502952945"</f>
        <v>1578729502952945</v>
      </c>
      <c r="C1593" t="s">
        <v>37</v>
      </c>
      <c r="D1593">
        <v>5.8708029999999898</v>
      </c>
      <c r="E1593">
        <v>0.55829399999999996</v>
      </c>
      <c r="F1593" t="s">
        <v>38</v>
      </c>
      <c r="G1593">
        <v>-191.59129999999999</v>
      </c>
      <c r="H1593">
        <v>1.0439369999999999</v>
      </c>
      <c r="I1593">
        <v>315.4067</v>
      </c>
      <c r="J1593">
        <v>-191.4572</v>
      </c>
      <c r="K1593">
        <v>1.103645</v>
      </c>
      <c r="L1593">
        <v>315.899</v>
      </c>
      <c r="M1593">
        <v>-9.6037829999999994E-3</v>
      </c>
      <c r="N1593">
        <v>0</v>
      </c>
      <c r="O1593">
        <v>-0.99989050000000002</v>
      </c>
      <c r="P1593">
        <v>-2.8847769999999998E-2</v>
      </c>
      <c r="Q1593">
        <v>1.3013149999999999E-3</v>
      </c>
      <c r="R1593">
        <v>-0.99958340000000001</v>
      </c>
      <c r="S1593">
        <v>-0.54219059999999997</v>
      </c>
      <c r="T1593">
        <v>-0.23636589999999999</v>
      </c>
      <c r="U1593">
        <v>-2.9869080000000001</v>
      </c>
      <c r="V1593">
        <v>1.9260940000000001E-2</v>
      </c>
      <c r="W1593">
        <v>1.255796E-2</v>
      </c>
      <c r="X1593">
        <v>0.99973559999999995</v>
      </c>
      <c r="Y1593">
        <v>0.1686059</v>
      </c>
      <c r="Z1593">
        <v>7.7686480000000002E-2</v>
      </c>
      <c r="AA1593">
        <v>0.98261739999999997</v>
      </c>
      <c r="AB1593">
        <v>26</v>
      </c>
      <c r="AC1593">
        <v>-0.13409999999998901</v>
      </c>
      <c r="AD1593">
        <v>-5.9707999999999803E-2</v>
      </c>
      <c r="AE1593">
        <v>-0.49230000000000002</v>
      </c>
      <c r="AF1593">
        <v>0.12761801073741899</v>
      </c>
      <c r="AG1593">
        <v>-5.9707999999999803E-2</v>
      </c>
      <c r="AH1593">
        <v>0.48689781241445301</v>
      </c>
      <c r="AI1593">
        <v>96.7649561493281</v>
      </c>
      <c r="AJ1593">
        <v>75.312908522027001</v>
      </c>
      <c r="AK1593">
        <v>0.50687363480709402</v>
      </c>
    </row>
    <row r="1594" spans="1:37" x14ac:dyDescent="0.2">
      <c r="A1594" t="str">
        <f>"20200111155822988"</f>
        <v>20200111155822988</v>
      </c>
      <c r="B1594" t="str">
        <f>"1578729502982225"</f>
        <v>1578729502982225</v>
      </c>
      <c r="C1594" t="s">
        <v>37</v>
      </c>
      <c r="D1594">
        <v>5.8800530000000002</v>
      </c>
      <c r="E1594">
        <v>0.55747999999999998</v>
      </c>
      <c r="F1594" t="s">
        <v>39</v>
      </c>
      <c r="G1594">
        <v>-194.08080000000001</v>
      </c>
      <c r="H1594" s="1">
        <v>-1.901234E-6</v>
      </c>
      <c r="I1594">
        <v>301.48989999999998</v>
      </c>
      <c r="J1594">
        <v>-191.4606</v>
      </c>
      <c r="K1594">
        <v>1.10365</v>
      </c>
      <c r="L1594">
        <v>315.63</v>
      </c>
      <c r="M1594">
        <v>-1.026198E-2</v>
      </c>
      <c r="N1594">
        <v>0</v>
      </c>
      <c r="O1594">
        <v>-0.99988349999999904</v>
      </c>
      <c r="P1594">
        <v>-3.0828109999999999E-2</v>
      </c>
      <c r="Q1594">
        <v>1.5677250000000001E-3</v>
      </c>
      <c r="R1594">
        <v>-0.99952359999999896</v>
      </c>
      <c r="S1594">
        <v>-0.54367069999999995</v>
      </c>
      <c r="T1594">
        <v>-0.22869909999999999</v>
      </c>
      <c r="U1594">
        <v>-2.9858699999999998</v>
      </c>
      <c r="V1594">
        <v>2.0583850000000001E-2</v>
      </c>
      <c r="W1594">
        <v>1.285262E-2</v>
      </c>
      <c r="X1594">
        <v>0.99970550000000002</v>
      </c>
      <c r="Y1594">
        <v>0.1685227</v>
      </c>
      <c r="Z1594">
        <v>7.520338E-2</v>
      </c>
      <c r="AA1594">
        <v>0.98282479999999905</v>
      </c>
      <c r="AB1594">
        <v>26</v>
      </c>
      <c r="AC1594">
        <v>-2.6202000000000099</v>
      </c>
      <c r="AD1594">
        <v>-1.103651901234</v>
      </c>
      <c r="AE1594">
        <v>-14.1401</v>
      </c>
      <c r="AF1594">
        <v>2.4604558470350102</v>
      </c>
      <c r="AG1594">
        <v>-1.103651901234</v>
      </c>
      <c r="AH1594">
        <v>14.083298344513899</v>
      </c>
      <c r="AI1594">
        <v>94.414292559022101</v>
      </c>
      <c r="AJ1594">
        <v>80.090024212033001</v>
      </c>
      <c r="AK1594">
        <v>14.339148606346701</v>
      </c>
    </row>
    <row r="1595" spans="1:37" x14ac:dyDescent="0.2">
      <c r="A1595" t="str">
        <f>"20200111155823010"</f>
        <v>20200111155823010</v>
      </c>
      <c r="B1595" t="str">
        <f>"1578729503002722"</f>
        <v>1578729503002722</v>
      </c>
      <c r="C1595" t="s">
        <v>37</v>
      </c>
      <c r="D1595">
        <v>5.8482010000000004</v>
      </c>
      <c r="E1595">
        <v>0.55705450000000001</v>
      </c>
      <c r="F1595" t="s">
        <v>38</v>
      </c>
      <c r="G1595">
        <v>-191.62799999999999</v>
      </c>
      <c r="H1595">
        <v>1.0227899999999901</v>
      </c>
      <c r="I1595">
        <v>314.70839999999998</v>
      </c>
      <c r="J1595">
        <v>-191.4641</v>
      </c>
      <c r="K1595">
        <v>1.1036589999999999</v>
      </c>
      <c r="L1595">
        <v>315.36</v>
      </c>
      <c r="M1595">
        <v>-1.091317E-2</v>
      </c>
      <c r="N1595">
        <v>0</v>
      </c>
      <c r="O1595">
        <v>-0.9998764</v>
      </c>
      <c r="P1595">
        <v>-3.1941299999999999E-2</v>
      </c>
      <c r="Q1595">
        <v>1.793259E-3</v>
      </c>
      <c r="R1595">
        <v>-0.99948819999999905</v>
      </c>
      <c r="S1595">
        <v>-0.54212950000000004</v>
      </c>
      <c r="T1595">
        <v>-0.2619706</v>
      </c>
      <c r="U1595">
        <v>-2.9851380000000001</v>
      </c>
      <c r="V1595">
        <v>2.104636E-2</v>
      </c>
      <c r="W1595">
        <v>1.3104370000000001E-2</v>
      </c>
      <c r="X1595">
        <v>0.99969259999999904</v>
      </c>
      <c r="Y1595">
        <v>0.1672746</v>
      </c>
      <c r="Z1595">
        <v>8.6099949999999995E-2</v>
      </c>
      <c r="AA1595">
        <v>0.98214360000000001</v>
      </c>
      <c r="AB1595">
        <v>27</v>
      </c>
      <c r="AC1595">
        <v>-0.163899999999983</v>
      </c>
      <c r="AD1595">
        <v>-8.0868999999999996E-2</v>
      </c>
      <c r="AE1595">
        <v>-0.65160000000003004</v>
      </c>
      <c r="AF1595">
        <v>0.15454004240767399</v>
      </c>
      <c r="AG1595">
        <v>-8.0868999999999996E-2</v>
      </c>
      <c r="AH1595">
        <v>0.64402047799911399</v>
      </c>
      <c r="AI1595">
        <v>96.961512705087799</v>
      </c>
      <c r="AJ1595">
        <v>76.506359007271698</v>
      </c>
      <c r="AK1595">
        <v>0.66722169925038599</v>
      </c>
    </row>
    <row r="1596" spans="1:37" x14ac:dyDescent="0.2">
      <c r="A1596" t="str">
        <f>"20200111155823032"</f>
        <v>20200111155823032</v>
      </c>
      <c r="B1596" t="str">
        <f>"1578729503022241"</f>
        <v>1578729503022241</v>
      </c>
      <c r="C1596" t="s">
        <v>37</v>
      </c>
      <c r="D1596">
        <v>5.8280120000000002</v>
      </c>
      <c r="E1596">
        <v>0.55698409999999998</v>
      </c>
      <c r="F1596" t="s">
        <v>38</v>
      </c>
      <c r="G1596">
        <v>-191.62549999999999</v>
      </c>
      <c r="H1596">
        <v>1.0215959999999999</v>
      </c>
      <c r="I1596">
        <v>314.47210000000001</v>
      </c>
      <c r="J1596">
        <v>-191.46770000000001</v>
      </c>
      <c r="K1596">
        <v>1.1036600000000001</v>
      </c>
      <c r="L1596">
        <v>315.0926</v>
      </c>
      <c r="M1596">
        <v>-1.155137E-2</v>
      </c>
      <c r="N1596">
        <v>0</v>
      </c>
      <c r="O1596">
        <v>-0.99986900000000001</v>
      </c>
      <c r="P1596">
        <v>-3.2921329999999999E-2</v>
      </c>
      <c r="Q1596">
        <v>1.556712E-3</v>
      </c>
      <c r="R1596">
        <v>-0.99945709999999999</v>
      </c>
      <c r="S1596">
        <v>-0.54171749999999996</v>
      </c>
      <c r="T1596">
        <v>-0.27609489999999998</v>
      </c>
      <c r="U1596">
        <v>-2.9847410000000001</v>
      </c>
      <c r="V1596">
        <v>2.1388109999999998E-2</v>
      </c>
      <c r="W1596">
        <v>1.28941E-2</v>
      </c>
      <c r="X1596">
        <v>0.99968809999999997</v>
      </c>
      <c r="Y1596">
        <v>0.1664638</v>
      </c>
      <c r="Z1596">
        <v>9.0722490000000003E-2</v>
      </c>
      <c r="AA1596">
        <v>0.98186519999999999</v>
      </c>
      <c r="AB1596">
        <v>27</v>
      </c>
      <c r="AC1596">
        <v>-0.15779999999998001</v>
      </c>
      <c r="AD1596">
        <v>-8.2064000000000095E-2</v>
      </c>
      <c r="AE1596">
        <v>-0.62049999999999195</v>
      </c>
      <c r="AF1596">
        <v>0.14818685644965801</v>
      </c>
      <c r="AG1596">
        <v>-8.2064000000000095E-2</v>
      </c>
      <c r="AH1596">
        <v>0.61222343945289803</v>
      </c>
      <c r="AI1596">
        <v>97.422717348162294</v>
      </c>
      <c r="AJ1596">
        <v>76.393420694286107</v>
      </c>
      <c r="AK1596">
        <v>0.63522545945197095</v>
      </c>
    </row>
    <row r="1597" spans="1:37" x14ac:dyDescent="0.2">
      <c r="A1597" t="str">
        <f>"20200111155823054"</f>
        <v>20200111155823054</v>
      </c>
      <c r="B1597" t="str">
        <f>"1578729503042737"</f>
        <v>1578729503042737</v>
      </c>
      <c r="C1597" t="s">
        <v>37</v>
      </c>
      <c r="D1597">
        <v>5.8432379999999897</v>
      </c>
      <c r="E1597">
        <v>0.55665900000000001</v>
      </c>
      <c r="F1597" t="s">
        <v>38</v>
      </c>
      <c r="G1597">
        <v>-191.62440000000001</v>
      </c>
      <c r="H1597">
        <v>1.0234289999999999</v>
      </c>
      <c r="I1597">
        <v>314.23390000000001</v>
      </c>
      <c r="J1597">
        <v>-191.47139999999999</v>
      </c>
      <c r="K1597">
        <v>1.103667</v>
      </c>
      <c r="L1597">
        <v>314.83920000000001</v>
      </c>
      <c r="M1597">
        <v>-1.214749E-2</v>
      </c>
      <c r="N1597">
        <v>0</v>
      </c>
      <c r="O1597">
        <v>-0.99986129999999995</v>
      </c>
      <c r="P1597">
        <v>-3.2573829999999998E-2</v>
      </c>
      <c r="Q1597">
        <v>1.3042500000000001E-3</v>
      </c>
      <c r="R1597">
        <v>-0.99946840000000003</v>
      </c>
      <c r="S1597">
        <v>-0.54379270000000002</v>
      </c>
      <c r="T1597">
        <v>-0.2789741</v>
      </c>
      <c r="U1597">
        <v>-2.9841310000000001</v>
      </c>
      <c r="V1597">
        <v>2.0443960000000001E-2</v>
      </c>
      <c r="W1597">
        <v>1.267096E-2</v>
      </c>
      <c r="X1597">
        <v>0.99971069999999995</v>
      </c>
      <c r="Y1597">
        <v>0.1665566</v>
      </c>
      <c r="Z1597">
        <v>9.1671550000000004E-2</v>
      </c>
      <c r="AA1597">
        <v>0.98176129999999995</v>
      </c>
      <c r="AB1597">
        <v>27</v>
      </c>
      <c r="AC1597">
        <v>-0.15300000000001901</v>
      </c>
      <c r="AD1597">
        <v>-8.0237999999999796E-2</v>
      </c>
      <c r="AE1597">
        <v>-0.60529999999999895</v>
      </c>
      <c r="AF1597">
        <v>0.14326903416082901</v>
      </c>
      <c r="AG1597">
        <v>-8.0237999999999796E-2</v>
      </c>
      <c r="AH1597">
        <v>0.59724946763227804</v>
      </c>
      <c r="AI1597">
        <v>97.442954105994801</v>
      </c>
      <c r="AJ1597">
        <v>76.510692469314506</v>
      </c>
      <c r="AK1597">
        <v>0.61941188185279095</v>
      </c>
    </row>
    <row r="1598" spans="1:37" x14ac:dyDescent="0.2">
      <c r="A1598" t="str">
        <f>"20200111155823075"</f>
        <v>20200111155823075</v>
      </c>
      <c r="B1598" t="str">
        <f>"1578729503072994"</f>
        <v>1578729503072994</v>
      </c>
      <c r="C1598" t="s">
        <v>37</v>
      </c>
      <c r="D1598">
        <v>6.0458869999999996</v>
      </c>
      <c r="E1598">
        <v>0.55661450000000001</v>
      </c>
      <c r="F1598" t="s">
        <v>38</v>
      </c>
      <c r="G1598">
        <v>-191.624</v>
      </c>
      <c r="H1598">
        <v>1.0223009999999999</v>
      </c>
      <c r="I1598">
        <v>313.99720000000002</v>
      </c>
      <c r="J1598">
        <v>-191.4751</v>
      </c>
      <c r="K1598">
        <v>1.103683</v>
      </c>
      <c r="L1598">
        <v>314.58280000000002</v>
      </c>
      <c r="M1598">
        <v>-1.2735069999999999E-2</v>
      </c>
      <c r="N1598">
        <v>0</v>
      </c>
      <c r="O1598">
        <v>-0.99985389999999996</v>
      </c>
      <c r="P1598">
        <v>-3.1845569999999997E-2</v>
      </c>
      <c r="Q1598">
        <v>1.160164E-3</v>
      </c>
      <c r="R1598">
        <v>-0.99949219999999905</v>
      </c>
      <c r="S1598">
        <v>-0.53977969999999997</v>
      </c>
      <c r="T1598">
        <v>-0.2886862</v>
      </c>
      <c r="U1598">
        <v>-2.9844059999999999</v>
      </c>
      <c r="V1598">
        <v>1.912751E-2</v>
      </c>
      <c r="W1598">
        <v>1.255796E-2</v>
      </c>
      <c r="X1598">
        <v>0.99973819999999902</v>
      </c>
      <c r="Y1598">
        <v>0.16463</v>
      </c>
      <c r="Z1598">
        <v>9.4851459999999999E-2</v>
      </c>
      <c r="AA1598">
        <v>0.981784199999999</v>
      </c>
      <c r="AB1598">
        <v>27</v>
      </c>
      <c r="AC1598">
        <v>-0.14890000000002601</v>
      </c>
      <c r="AD1598">
        <v>-8.1381999999999802E-2</v>
      </c>
      <c r="AE1598">
        <v>-0.58559999999999901</v>
      </c>
      <c r="AF1598">
        <v>0.13890990211571499</v>
      </c>
      <c r="AG1598">
        <v>-8.1381999999999802E-2</v>
      </c>
      <c r="AH1598">
        <v>0.57698219891345903</v>
      </c>
      <c r="AI1598">
        <v>97.808242450843693</v>
      </c>
      <c r="AJ1598">
        <v>76.463507229600296</v>
      </c>
      <c r="AK1598">
        <v>0.59902207696612397</v>
      </c>
    </row>
    <row r="1599" spans="1:37" x14ac:dyDescent="0.2">
      <c r="A1599" t="str">
        <f>"20200111155823099"</f>
        <v>20200111155823099</v>
      </c>
      <c r="B1599" t="str">
        <f>"1578729503093023"</f>
        <v>1578729503093023</v>
      </c>
      <c r="C1599" t="s">
        <v>37</v>
      </c>
      <c r="D1599">
        <v>5.8571410000000004</v>
      </c>
      <c r="E1599">
        <v>0.55652309999999905</v>
      </c>
      <c r="F1599" t="s">
        <v>38</v>
      </c>
      <c r="G1599">
        <v>-191.62350000000001</v>
      </c>
      <c r="H1599">
        <v>1.024179</v>
      </c>
      <c r="I1599">
        <v>313.75889999999998</v>
      </c>
      <c r="J1599">
        <v>-191.4795</v>
      </c>
      <c r="K1599">
        <v>1.1036979999999901</v>
      </c>
      <c r="L1599">
        <v>314.30149999999998</v>
      </c>
      <c r="M1599">
        <v>-1.335249E-2</v>
      </c>
      <c r="N1599">
        <v>0</v>
      </c>
      <c r="O1599">
        <v>-0.99984530000000005</v>
      </c>
      <c r="P1599">
        <v>-3.1570479999999998E-2</v>
      </c>
      <c r="Q1599">
        <v>8.6289919999999896E-4</v>
      </c>
      <c r="R1599">
        <v>-0.99950119999999898</v>
      </c>
      <c r="S1599">
        <v>-0.53724669999999997</v>
      </c>
      <c r="T1599">
        <v>-0.28804000000000002</v>
      </c>
      <c r="U1599">
        <v>-2.9847410000000001</v>
      </c>
      <c r="V1599">
        <v>1.8234110000000001E-2</v>
      </c>
      <c r="W1599">
        <v>1.22919E-2</v>
      </c>
      <c r="X1599">
        <v>0.99975820000000004</v>
      </c>
      <c r="Y1599">
        <v>0.16319800000000001</v>
      </c>
      <c r="Z1599">
        <v>9.4647910000000002E-2</v>
      </c>
      <c r="AA1599">
        <v>0.98204279999999999</v>
      </c>
      <c r="AB1599">
        <v>27</v>
      </c>
      <c r="AC1599">
        <v>-0.14400000000000501</v>
      </c>
      <c r="AD1599">
        <v>-7.9518999999999604E-2</v>
      </c>
      <c r="AE1599">
        <v>-0.54259999999999298</v>
      </c>
      <c r="AF1599">
        <v>0.13405196943630401</v>
      </c>
      <c r="AG1599">
        <v>-7.9518999999999604E-2</v>
      </c>
      <c r="AH1599">
        <v>0.53376490080177996</v>
      </c>
      <c r="AI1599">
        <v>98.221793608691101</v>
      </c>
      <c r="AJ1599">
        <v>75.902070621202895</v>
      </c>
      <c r="AK1599">
        <v>0.556055906540598</v>
      </c>
    </row>
    <row r="1600" spans="1:37" x14ac:dyDescent="0.2">
      <c r="A1600" t="str">
        <f>"20200111155823123"</f>
        <v>20200111155823123</v>
      </c>
      <c r="B1600" t="str">
        <f>"1578729503112542"</f>
        <v>1578729503112542</v>
      </c>
      <c r="C1600" t="s">
        <v>37</v>
      </c>
      <c r="D1600">
        <v>5.8710199999999997</v>
      </c>
      <c r="E1600">
        <v>0.55640719999999899</v>
      </c>
      <c r="F1600" t="s">
        <v>38</v>
      </c>
      <c r="G1600">
        <v>-191.6198</v>
      </c>
      <c r="H1600">
        <v>1.02746</v>
      </c>
      <c r="I1600">
        <v>313.51979999999998</v>
      </c>
      <c r="J1600">
        <v>-191.48390000000001</v>
      </c>
      <c r="K1600">
        <v>1.103726</v>
      </c>
      <c r="L1600">
        <v>314.02199999999999</v>
      </c>
      <c r="M1600">
        <v>-1.392784E-2</v>
      </c>
      <c r="N1600">
        <v>0</v>
      </c>
      <c r="O1600">
        <v>-0.99983709999999903</v>
      </c>
      <c r="P1600">
        <v>-3.1290749999999999E-2</v>
      </c>
      <c r="Q1600">
        <v>1.0860710000000001E-3</v>
      </c>
      <c r="R1600">
        <v>-0.99950989999999995</v>
      </c>
      <c r="S1600">
        <v>-0.5354004</v>
      </c>
      <c r="T1600">
        <v>-0.29124279999999902</v>
      </c>
      <c r="U1600">
        <v>-2.9848330000000001</v>
      </c>
      <c r="V1600">
        <v>1.7378419999999999E-2</v>
      </c>
      <c r="W1600">
        <v>1.254747E-2</v>
      </c>
      <c r="X1600">
        <v>0.99977019999999905</v>
      </c>
      <c r="Y1600">
        <v>0.16201869999999999</v>
      </c>
      <c r="Z1600">
        <v>9.5701149999999999E-2</v>
      </c>
      <c r="AA1600">
        <v>0.98213609999999896</v>
      </c>
      <c r="AB1600">
        <v>27</v>
      </c>
      <c r="AC1600">
        <v>-0.135899999999992</v>
      </c>
      <c r="AD1600">
        <v>-7.6265999999999903E-2</v>
      </c>
      <c r="AE1600">
        <v>-0.50220000000001597</v>
      </c>
      <c r="AF1600">
        <v>0.12618030708865199</v>
      </c>
      <c r="AG1600">
        <v>-7.6265999999999903E-2</v>
      </c>
      <c r="AH1600">
        <v>0.49344065954364202</v>
      </c>
      <c r="AI1600">
        <v>98.516270146015302</v>
      </c>
      <c r="AJ1600">
        <v>75.655975424038004</v>
      </c>
      <c r="AK1600">
        <v>0.51499675449836702</v>
      </c>
    </row>
    <row r="1601" spans="1:37" x14ac:dyDescent="0.2">
      <c r="A1601" t="str">
        <f>"20200111155823144"</f>
        <v>20200111155823144</v>
      </c>
      <c r="B1601" t="str">
        <f>"1578729503132062"</f>
        <v>1578729503132062</v>
      </c>
      <c r="C1601" t="s">
        <v>37</v>
      </c>
      <c r="D1601">
        <v>5.8600469999999998</v>
      </c>
      <c r="E1601">
        <v>0.55629259999999903</v>
      </c>
      <c r="F1601" t="s">
        <v>38</v>
      </c>
      <c r="G1601">
        <v>-191.6164</v>
      </c>
      <c r="H1601">
        <v>1.0302119999999999</v>
      </c>
      <c r="I1601">
        <v>313.28100000000001</v>
      </c>
      <c r="J1601">
        <v>-191.4879</v>
      </c>
      <c r="K1601">
        <v>1.1037680000000001</v>
      </c>
      <c r="L1601">
        <v>313.7697</v>
      </c>
      <c r="M1601">
        <v>-1.4402089999999999E-2</v>
      </c>
      <c r="N1601">
        <v>0</v>
      </c>
      <c r="O1601">
        <v>-0.99983040000000001</v>
      </c>
      <c r="P1601">
        <v>-3.135918E-2</v>
      </c>
      <c r="Q1601">
        <v>1.633205E-3</v>
      </c>
      <c r="R1601">
        <v>-0.99950709999999998</v>
      </c>
      <c r="S1601">
        <v>-0.53361510000000001</v>
      </c>
      <c r="T1601">
        <v>-0.2962149</v>
      </c>
      <c r="U1601">
        <v>-2.985077</v>
      </c>
      <c r="V1601">
        <v>1.69722E-2</v>
      </c>
      <c r="W1601">
        <v>1.312582E-2</v>
      </c>
      <c r="X1601">
        <v>0.99976980000000004</v>
      </c>
      <c r="Y1601">
        <v>0.1609399</v>
      </c>
      <c r="Z1601">
        <v>9.7324350000000004E-2</v>
      </c>
      <c r="AA1601">
        <v>0.98215399999999997</v>
      </c>
      <c r="AB1601">
        <v>27</v>
      </c>
      <c r="AC1601">
        <v>-0.128500000000002</v>
      </c>
      <c r="AD1601">
        <v>-7.3555999999999899E-2</v>
      </c>
      <c r="AE1601">
        <v>-0.48869999999999397</v>
      </c>
      <c r="AF1601">
        <v>0.11892790182271699</v>
      </c>
      <c r="AG1601">
        <v>-7.3555999999999899E-2</v>
      </c>
      <c r="AH1601">
        <v>0.480322383148026</v>
      </c>
      <c r="AI1601">
        <v>98.455105114295804</v>
      </c>
      <c r="AJ1601">
        <v>76.093241528472305</v>
      </c>
      <c r="AK1601">
        <v>0.50026385310249299</v>
      </c>
    </row>
    <row r="1602" spans="1:37" x14ac:dyDescent="0.2">
      <c r="A1602" t="str">
        <f>"20200111155823167"</f>
        <v>20200111155823167</v>
      </c>
      <c r="B1602" t="str">
        <f>"1578729503162317"</f>
        <v>1578729503162317</v>
      </c>
      <c r="C1602" t="s">
        <v>37</v>
      </c>
      <c r="D1602">
        <v>8.399222</v>
      </c>
      <c r="E1602">
        <v>0.55639719999999904</v>
      </c>
      <c r="F1602" t="s">
        <v>38</v>
      </c>
      <c r="G1602">
        <v>-191.61770000000001</v>
      </c>
      <c r="H1602">
        <v>1.031018</v>
      </c>
      <c r="I1602">
        <v>313.04320000000001</v>
      </c>
      <c r="J1602">
        <v>-191.4924</v>
      </c>
      <c r="K1602">
        <v>1.10382</v>
      </c>
      <c r="L1602">
        <v>313.50150000000002</v>
      </c>
      <c r="M1602">
        <v>-1.4842299999999999E-2</v>
      </c>
      <c r="N1602">
        <v>0</v>
      </c>
      <c r="O1602">
        <v>-0.99982359999999904</v>
      </c>
      <c r="P1602">
        <v>-3.2497989999999997E-2</v>
      </c>
      <c r="Q1602">
        <v>2.5468229999999902E-3</v>
      </c>
      <c r="R1602">
        <v>-0.99946889999999999</v>
      </c>
      <c r="S1602">
        <v>-0.53256230000000004</v>
      </c>
      <c r="T1602">
        <v>-0.29908449999999998</v>
      </c>
      <c r="U1602">
        <v>-2.9852910000000001</v>
      </c>
      <c r="V1602">
        <v>1.767061E-2</v>
      </c>
      <c r="W1602">
        <v>1.4070829999999999E-2</v>
      </c>
      <c r="X1602">
        <v>0.99974479999999999</v>
      </c>
      <c r="Y1602">
        <v>0.16014129999999999</v>
      </c>
      <c r="Z1602">
        <v>9.8259659999999999E-2</v>
      </c>
      <c r="AA1602">
        <v>0.98219129999999999</v>
      </c>
      <c r="AB1602">
        <v>27</v>
      </c>
      <c r="AC1602">
        <v>-0.12530000000000899</v>
      </c>
      <c r="AD1602">
        <v>-7.2802000000000006E-2</v>
      </c>
      <c r="AE1602">
        <v>-0.45830000000000798</v>
      </c>
      <c r="AF1602">
        <v>0.11576545916775</v>
      </c>
      <c r="AG1602">
        <v>-7.2802000000000006E-2</v>
      </c>
      <c r="AH1602">
        <v>0.44955427736237402</v>
      </c>
      <c r="AI1602">
        <v>98.912890591980897</v>
      </c>
      <c r="AJ1602">
        <v>75.559409436978299</v>
      </c>
      <c r="AK1602">
        <v>0.46989447861740902</v>
      </c>
    </row>
    <row r="1603" spans="1:37" x14ac:dyDescent="0.2">
      <c r="A1603" t="str">
        <f>"20200111155823189"</f>
        <v>20200111155823189</v>
      </c>
      <c r="B1603" t="str">
        <f>"1578729503182813"</f>
        <v>1578729503182813</v>
      </c>
      <c r="C1603" t="s">
        <v>37</v>
      </c>
      <c r="D1603">
        <v>5.8430339999999896</v>
      </c>
      <c r="E1603">
        <v>0.55648909999999996</v>
      </c>
      <c r="F1603" t="s">
        <v>38</v>
      </c>
      <c r="G1603">
        <v>-191.65880000000001</v>
      </c>
      <c r="H1603">
        <v>1.011595</v>
      </c>
      <c r="I1603">
        <v>312.57729999999998</v>
      </c>
      <c r="J1603">
        <v>-191.4967</v>
      </c>
      <c r="K1603">
        <v>1.103874</v>
      </c>
      <c r="L1603">
        <v>313.24099999999999</v>
      </c>
      <c r="M1603">
        <v>-1.519975E-2</v>
      </c>
      <c r="N1603">
        <v>0</v>
      </c>
      <c r="O1603">
        <v>-0.99981759999999997</v>
      </c>
      <c r="P1603">
        <v>-3.3813940000000001E-2</v>
      </c>
      <c r="Q1603">
        <v>2.8110259999999999E-3</v>
      </c>
      <c r="R1603">
        <v>-0.99942399999999998</v>
      </c>
      <c r="S1603">
        <v>-0.53674319999999998</v>
      </c>
      <c r="T1603">
        <v>-0.29801319999999998</v>
      </c>
      <c r="U1603">
        <v>-2.9849549999999998</v>
      </c>
      <c r="V1603">
        <v>1.8628169999999999E-2</v>
      </c>
      <c r="W1603">
        <v>1.436262E-2</v>
      </c>
      <c r="X1603">
        <v>0.99972329999999998</v>
      </c>
      <c r="Y1603">
        <v>0.1611467</v>
      </c>
      <c r="Z1603">
        <v>9.7901089999999996E-2</v>
      </c>
      <c r="AA1603">
        <v>0.98206269999999996</v>
      </c>
      <c r="AB1603">
        <v>27</v>
      </c>
      <c r="AC1603">
        <v>-0.16210000000000899</v>
      </c>
      <c r="AD1603">
        <v>-9.2279E-2</v>
      </c>
      <c r="AE1603">
        <v>-0.66370000000000495</v>
      </c>
      <c r="AF1603">
        <v>0.149269383915413</v>
      </c>
      <c r="AG1603">
        <v>-9.2279E-2</v>
      </c>
      <c r="AH1603">
        <v>0.65415356243234901</v>
      </c>
      <c r="AI1603">
        <v>97.830826589649405</v>
      </c>
      <c r="AJ1603">
        <v>77.145928961603502</v>
      </c>
      <c r="AK1603">
        <v>0.67728402170612301</v>
      </c>
    </row>
    <row r="1604" spans="1:37" x14ac:dyDescent="0.2">
      <c r="A1604" t="str">
        <f>"20200111155823211"</f>
        <v>20200111155823211</v>
      </c>
      <c r="B1604" t="str">
        <f>"1578729503202335"</f>
        <v>1578729503202335</v>
      </c>
      <c r="C1604" t="s">
        <v>37</v>
      </c>
      <c r="D1604">
        <v>5.809215</v>
      </c>
      <c r="E1604">
        <v>0.55663309999999999</v>
      </c>
      <c r="F1604" t="s">
        <v>38</v>
      </c>
      <c r="G1604">
        <v>-191.66030000000001</v>
      </c>
      <c r="H1604">
        <v>1.0130680000000001</v>
      </c>
      <c r="I1604">
        <v>312.339</v>
      </c>
      <c r="J1604">
        <v>-191.50120000000001</v>
      </c>
      <c r="K1604">
        <v>1.1039239999999999</v>
      </c>
      <c r="L1604">
        <v>312.97059999999999</v>
      </c>
      <c r="M1604">
        <v>-1.550846E-2</v>
      </c>
      <c r="N1604">
        <v>0</v>
      </c>
      <c r="O1604">
        <v>-0.9998127</v>
      </c>
      <c r="P1604">
        <v>-3.5399399999999998E-2</v>
      </c>
      <c r="Q1604">
        <v>2.954014E-3</v>
      </c>
      <c r="R1604">
        <v>-0.99936909999999901</v>
      </c>
      <c r="S1604">
        <v>-0.54101560000000004</v>
      </c>
      <c r="T1604">
        <v>-0.30043880000000001</v>
      </c>
      <c r="U1604">
        <v>-2.9842529999999998</v>
      </c>
      <c r="V1604">
        <v>1.9903959999999998E-2</v>
      </c>
      <c r="W1604">
        <v>1.453283E-2</v>
      </c>
      <c r="X1604">
        <v>0.99969629999999998</v>
      </c>
      <c r="Y1604">
        <v>0.16222979999999901</v>
      </c>
      <c r="Z1604">
        <v>9.8690879999999995E-2</v>
      </c>
      <c r="AA1604">
        <v>0.98180529999999999</v>
      </c>
      <c r="AB1604">
        <v>27</v>
      </c>
      <c r="AC1604">
        <v>-0.159099999999995</v>
      </c>
      <c r="AD1604">
        <v>-9.0855999999999798E-2</v>
      </c>
      <c r="AE1604">
        <v>-0.63159999999999095</v>
      </c>
      <c r="AF1604">
        <v>0.14643567720084699</v>
      </c>
      <c r="AG1604">
        <v>-9.0855999999999798E-2</v>
      </c>
      <c r="AH1604">
        <v>0.621890670116102</v>
      </c>
      <c r="AI1604">
        <v>98.093606583880401</v>
      </c>
      <c r="AJ1604">
        <v>76.750012000456394</v>
      </c>
      <c r="AK1604">
        <v>0.64532644907110803</v>
      </c>
    </row>
    <row r="1605" spans="1:37" x14ac:dyDescent="0.2">
      <c r="A1605" t="str">
        <f>"20200111155823233"</f>
        <v>20200111155823233</v>
      </c>
      <c r="B1605" t="str">
        <f>"1578729503222829"</f>
        <v>1578729503222829</v>
      </c>
      <c r="C1605" t="s">
        <v>37</v>
      </c>
      <c r="D1605">
        <v>5.7685259999999996</v>
      </c>
      <c r="E1605">
        <v>0.55774780000000002</v>
      </c>
      <c r="F1605" t="s">
        <v>38</v>
      </c>
      <c r="G1605">
        <v>-191.6609</v>
      </c>
      <c r="H1605">
        <v>1.015506</v>
      </c>
      <c r="I1605">
        <v>312.10039999999998</v>
      </c>
      <c r="J1605">
        <v>-191.50550000000001</v>
      </c>
      <c r="K1605">
        <v>1.1039729999999901</v>
      </c>
      <c r="L1605">
        <v>312.71679999999998</v>
      </c>
      <c r="M1605">
        <v>-1.5734830000000002E-2</v>
      </c>
      <c r="N1605">
        <v>0</v>
      </c>
      <c r="O1605">
        <v>-0.99980879999999905</v>
      </c>
      <c r="P1605">
        <v>-3.7509819999999999E-2</v>
      </c>
      <c r="Q1605">
        <v>2.6956159999999901E-3</v>
      </c>
      <c r="R1605">
        <v>-0.99929299999999999</v>
      </c>
      <c r="S1605">
        <v>-0.54666139999999996</v>
      </c>
      <c r="T1605">
        <v>-0.30331859999999999</v>
      </c>
      <c r="U1605">
        <v>-2.9834290000000001</v>
      </c>
      <c r="V1605">
        <v>2.178722E-2</v>
      </c>
      <c r="W1605">
        <v>1.430302E-2</v>
      </c>
      <c r="X1605">
        <v>0.99966029999999995</v>
      </c>
      <c r="Y1605">
        <v>0.16383529999999999</v>
      </c>
      <c r="Z1605">
        <v>9.9623779999999995E-2</v>
      </c>
      <c r="AA1605">
        <v>0.98144439999999999</v>
      </c>
      <c r="AB1605">
        <v>27</v>
      </c>
      <c r="AC1605">
        <v>-0.15539999999998599</v>
      </c>
      <c r="AD1605">
        <v>-8.8466999999999796E-2</v>
      </c>
      <c r="AE1605">
        <v>-0.61639999999999795</v>
      </c>
      <c r="AF1605">
        <v>0.14291326918860001</v>
      </c>
      <c r="AG1605">
        <v>-8.8466999999999796E-2</v>
      </c>
      <c r="AH1605">
        <v>0.607012659319912</v>
      </c>
      <c r="AI1605">
        <v>98.074265735166506</v>
      </c>
      <c r="AJ1605">
        <v>76.751720577232504</v>
      </c>
      <c r="AK1605">
        <v>0.62985314254499403</v>
      </c>
    </row>
    <row r="1606" spans="1:37" x14ac:dyDescent="0.2">
      <c r="A1606" t="str">
        <f>"20200111155823255"</f>
        <v>20200111155823255</v>
      </c>
      <c r="B1606" t="str">
        <f>"1578729503252110"</f>
        <v>1578729503252110</v>
      </c>
      <c r="C1606" t="s">
        <v>37</v>
      </c>
      <c r="D1606">
        <v>5.5893280000000001</v>
      </c>
      <c r="E1606">
        <v>0.55919750000000001</v>
      </c>
      <c r="F1606" t="s">
        <v>38</v>
      </c>
      <c r="G1606">
        <v>-191.66679999999999</v>
      </c>
      <c r="H1606">
        <v>1.017674</v>
      </c>
      <c r="I1606">
        <v>311.86169999999998</v>
      </c>
      <c r="J1606">
        <v>-191.50989999999999</v>
      </c>
      <c r="K1606">
        <v>1.104026</v>
      </c>
      <c r="L1606">
        <v>312.4545</v>
      </c>
      <c r="M1606">
        <v>-1.5895309999999999E-2</v>
      </c>
      <c r="N1606">
        <v>0</v>
      </c>
      <c r="O1606">
        <v>-0.99980599999999997</v>
      </c>
      <c r="P1606">
        <v>-3.9532459999999998E-2</v>
      </c>
      <c r="Q1606">
        <v>1.841702E-3</v>
      </c>
      <c r="R1606">
        <v>-0.99921680000000002</v>
      </c>
      <c r="S1606">
        <v>-0.56182860000000001</v>
      </c>
      <c r="T1606">
        <v>-0.30111070000000001</v>
      </c>
      <c r="U1606">
        <v>-2.98187299999999</v>
      </c>
      <c r="V1606">
        <v>2.3648349999999999E-2</v>
      </c>
      <c r="W1606">
        <v>1.348008E-2</v>
      </c>
      <c r="X1606">
        <v>0.9996294</v>
      </c>
      <c r="Y1606">
        <v>0.16860510000000001</v>
      </c>
      <c r="Z1606">
        <v>9.8870550000000001E-2</v>
      </c>
      <c r="AA1606">
        <v>0.98071249999999999</v>
      </c>
      <c r="AB1606">
        <v>27</v>
      </c>
      <c r="AC1606">
        <v>-0.15690000000000701</v>
      </c>
      <c r="AD1606">
        <v>-8.6351999999999901E-2</v>
      </c>
      <c r="AE1606">
        <v>-0.59280000000001098</v>
      </c>
      <c r="AF1606">
        <v>0.14458958456563401</v>
      </c>
      <c r="AG1606">
        <v>-8.6351999999999901E-2</v>
      </c>
      <c r="AH1606">
        <v>0.58364554215384001</v>
      </c>
      <c r="AI1606">
        <v>98.172455673756005</v>
      </c>
      <c r="AJ1606">
        <v>76.085948150601396</v>
      </c>
      <c r="AK1606">
        <v>0.60745776375392002</v>
      </c>
    </row>
    <row r="1607" spans="1:37" x14ac:dyDescent="0.2">
      <c r="A1607" t="str">
        <f>"20200111155823279"</f>
        <v>20200111155823279</v>
      </c>
      <c r="B1607" t="str">
        <f>"1578729503272606"</f>
        <v>1578729503272606</v>
      </c>
      <c r="C1607" t="s">
        <v>37</v>
      </c>
      <c r="D1607">
        <v>5.6168519999999997</v>
      </c>
      <c r="E1607">
        <v>0.5600503</v>
      </c>
      <c r="F1607" t="s">
        <v>38</v>
      </c>
      <c r="G1607">
        <v>-191.67169999999999</v>
      </c>
      <c r="H1607">
        <v>1.0201009999999999</v>
      </c>
      <c r="I1607">
        <v>311.62299999999999</v>
      </c>
      <c r="J1607">
        <v>-191.5145</v>
      </c>
      <c r="K1607">
        <v>1.104085</v>
      </c>
      <c r="L1607">
        <v>312.17529999999999</v>
      </c>
      <c r="M1607">
        <v>-1.598778E-2</v>
      </c>
      <c r="N1607">
        <v>0</v>
      </c>
      <c r="O1607">
        <v>-0.99980400000000003</v>
      </c>
      <c r="P1607">
        <v>-4.140303E-2</v>
      </c>
      <c r="Q1607">
        <v>1.052065E-3</v>
      </c>
      <c r="R1607">
        <v>-0.99914219999999898</v>
      </c>
      <c r="S1607">
        <v>-0.57914730000000003</v>
      </c>
      <c r="T1607">
        <v>-0.30101099999999997</v>
      </c>
      <c r="U1607">
        <v>-2.9800110000000002</v>
      </c>
      <c r="V1607">
        <v>2.5425449999999999E-2</v>
      </c>
      <c r="W1607">
        <v>1.2724839999999999E-2</v>
      </c>
      <c r="X1607">
        <v>0.99959569999999998</v>
      </c>
      <c r="Y1607">
        <v>0.1741222</v>
      </c>
      <c r="Z1607">
        <v>9.8797209999999996E-2</v>
      </c>
      <c r="AA1607">
        <v>0.9797553</v>
      </c>
      <c r="AB1607">
        <v>27</v>
      </c>
      <c r="AC1607">
        <v>-0.15719999999998799</v>
      </c>
      <c r="AD1607">
        <v>-8.3984000000000003E-2</v>
      </c>
      <c r="AE1607">
        <v>-0.55230000000000201</v>
      </c>
      <c r="AF1607">
        <v>0.145242505635267</v>
      </c>
      <c r="AG1607">
        <v>-8.3984000000000003E-2</v>
      </c>
      <c r="AH1607">
        <v>0.54312536343330997</v>
      </c>
      <c r="AI1607">
        <v>98.496121328907805</v>
      </c>
      <c r="AJ1607">
        <v>75.028300928828301</v>
      </c>
      <c r="AK1607">
        <v>0.56844864157087704</v>
      </c>
    </row>
    <row r="1608" spans="1:37" x14ac:dyDescent="0.2">
      <c r="A1608" t="str">
        <f>"20200111155823301"</f>
        <v>20200111155823301</v>
      </c>
      <c r="B1608" t="str">
        <f>"1578729503292853"</f>
        <v>1578729503292853</v>
      </c>
      <c r="C1608" t="s">
        <v>37</v>
      </c>
      <c r="D1608">
        <v>5.5084039999999996</v>
      </c>
      <c r="E1608">
        <v>0.56092629999999999</v>
      </c>
      <c r="F1608" t="s">
        <v>38</v>
      </c>
      <c r="G1608">
        <v>-191.67179999999999</v>
      </c>
      <c r="H1608">
        <v>1.0237860000000001</v>
      </c>
      <c r="I1608">
        <v>311.38369999999998</v>
      </c>
      <c r="J1608">
        <v>-191.5189</v>
      </c>
      <c r="K1608">
        <v>1.104141</v>
      </c>
      <c r="L1608">
        <v>311.90609999999998</v>
      </c>
      <c r="M1608">
        <v>-1.601764E-2</v>
      </c>
      <c r="N1608">
        <v>0</v>
      </c>
      <c r="O1608">
        <v>-0.99980309999999994</v>
      </c>
      <c r="P1608">
        <v>-4.3265199999999997E-2</v>
      </c>
      <c r="Q1608">
        <v>7.5754229999999896E-4</v>
      </c>
      <c r="R1608">
        <v>-0.99906329999999999</v>
      </c>
      <c r="S1608">
        <v>-0.59146119999999902</v>
      </c>
      <c r="T1608">
        <v>-0.30229349999999999</v>
      </c>
      <c r="U1608">
        <v>-2.97839399999999</v>
      </c>
      <c r="V1608">
        <v>2.7257279999999998E-2</v>
      </c>
      <c r="W1608">
        <v>1.247738E-2</v>
      </c>
      <c r="X1608">
        <v>0.99955059999999996</v>
      </c>
      <c r="Y1608">
        <v>0.178083399999999</v>
      </c>
      <c r="Z1608">
        <v>9.9192020000000006E-2</v>
      </c>
      <c r="AA1608">
        <v>0.97900319999999996</v>
      </c>
      <c r="AB1608">
        <v>27</v>
      </c>
      <c r="AC1608">
        <v>-0.15289999999998799</v>
      </c>
      <c r="AD1608">
        <v>-8.0354999999999899E-2</v>
      </c>
      <c r="AE1608">
        <v>-0.52240000000000397</v>
      </c>
      <c r="AF1608">
        <v>0.14142996519157999</v>
      </c>
      <c r="AG1608">
        <v>-8.0354999999999899E-2</v>
      </c>
      <c r="AH1608">
        <v>0.51358942270506103</v>
      </c>
      <c r="AI1608">
        <v>98.577987667719299</v>
      </c>
      <c r="AJ1608">
        <v>74.603746562021001</v>
      </c>
      <c r="AK1608">
        <v>0.53873319574127698</v>
      </c>
    </row>
    <row r="1609" spans="1:37" x14ac:dyDescent="0.2">
      <c r="A1609" t="str">
        <f>"20200111155823323"</f>
        <v>20200111155823323</v>
      </c>
      <c r="B1609" t="str">
        <f>"1578729503312373"</f>
        <v>1578729503312373</v>
      </c>
      <c r="C1609" t="s">
        <v>37</v>
      </c>
      <c r="D1609">
        <v>5.5092019999999904</v>
      </c>
      <c r="E1609">
        <v>0.56186429999999998</v>
      </c>
      <c r="F1609" t="s">
        <v>38</v>
      </c>
      <c r="G1609">
        <v>-191.67349999999999</v>
      </c>
      <c r="H1609">
        <v>1.0270330000000001</v>
      </c>
      <c r="I1609">
        <v>311.1447</v>
      </c>
      <c r="J1609">
        <v>-191.5231</v>
      </c>
      <c r="K1609">
        <v>1.1041939999999999</v>
      </c>
      <c r="L1609">
        <v>311.64729999999997</v>
      </c>
      <c r="M1609">
        <v>-1.6013019999999999E-2</v>
      </c>
      <c r="N1609">
        <v>0</v>
      </c>
      <c r="O1609">
        <v>-0.99980190000000002</v>
      </c>
      <c r="P1609">
        <v>-4.4410810000000002E-2</v>
      </c>
      <c r="Q1609">
        <v>9.9560550000000005E-4</v>
      </c>
      <c r="R1609">
        <v>-0.99901280000000003</v>
      </c>
      <c r="S1609">
        <v>-0.603653</v>
      </c>
      <c r="T1609">
        <v>-0.30172059999999901</v>
      </c>
      <c r="U1609">
        <v>-2.9768680000000001</v>
      </c>
      <c r="V1609">
        <v>2.8407209999999999E-2</v>
      </c>
      <c r="W1609">
        <v>1.2808750000000001E-2</v>
      </c>
      <c r="X1609">
        <v>0.99951429999999997</v>
      </c>
      <c r="Y1609">
        <v>0.1820408</v>
      </c>
      <c r="Z1609">
        <v>9.8979919999999999E-2</v>
      </c>
      <c r="AA1609">
        <v>0.97829650000000001</v>
      </c>
      <c r="AB1609">
        <v>27</v>
      </c>
      <c r="AC1609">
        <v>-0.15039999999998999</v>
      </c>
      <c r="AD1609">
        <v>-7.7160999999999993E-2</v>
      </c>
      <c r="AE1609">
        <v>-0.50259999999997196</v>
      </c>
      <c r="AF1609">
        <v>0.13931821927191701</v>
      </c>
      <c r="AG1609">
        <v>-7.7160999999999993E-2</v>
      </c>
      <c r="AH1609">
        <v>0.49425221229287802</v>
      </c>
      <c r="AI1609">
        <v>98.545405245049295</v>
      </c>
      <c r="AJ1609">
        <v>74.258088518605106</v>
      </c>
      <c r="AK1609">
        <v>0.51927703155300697</v>
      </c>
    </row>
    <row r="1610" spans="1:37" x14ac:dyDescent="0.2">
      <c r="A1610" t="str">
        <f>"20200111155823344"</f>
        <v>20200111155823344</v>
      </c>
      <c r="B1610" t="str">
        <f>"1578729503332868"</f>
        <v>1578729503332868</v>
      </c>
      <c r="C1610" t="s">
        <v>37</v>
      </c>
      <c r="D1610">
        <v>5.5096639999999999</v>
      </c>
      <c r="E1610">
        <v>0.56258280000000005</v>
      </c>
      <c r="F1610" t="s">
        <v>38</v>
      </c>
      <c r="G1610">
        <v>-191.67619999999999</v>
      </c>
      <c r="H1610">
        <v>1.029749</v>
      </c>
      <c r="I1610">
        <v>310.90609999999998</v>
      </c>
      <c r="J1610">
        <v>-191.52719999999999</v>
      </c>
      <c r="K1610">
        <v>1.104244</v>
      </c>
      <c r="L1610">
        <v>311.3929</v>
      </c>
      <c r="M1610">
        <v>-1.5993810000000001E-2</v>
      </c>
      <c r="N1610">
        <v>0</v>
      </c>
      <c r="O1610">
        <v>-0.99980040000000003</v>
      </c>
      <c r="P1610">
        <v>-4.535078E-2</v>
      </c>
      <c r="Q1610">
        <v>8.6482210000000004E-4</v>
      </c>
      <c r="R1610">
        <v>-0.99897080000000005</v>
      </c>
      <c r="S1610">
        <v>-0.61476140000000001</v>
      </c>
      <c r="T1610">
        <v>-0.29887590000000003</v>
      </c>
      <c r="U1610">
        <v>-2.9759519999999999</v>
      </c>
      <c r="V1610">
        <v>2.9366360000000001E-2</v>
      </c>
      <c r="W1610">
        <v>1.283831E-2</v>
      </c>
      <c r="X1610">
        <v>0.99948630000000005</v>
      </c>
      <c r="Y1610">
        <v>0.18564120000000001</v>
      </c>
      <c r="Z1610">
        <v>9.8015920000000006E-2</v>
      </c>
      <c r="AA1610">
        <v>0.9777169</v>
      </c>
      <c r="AB1610">
        <v>27</v>
      </c>
      <c r="AC1610">
        <v>-0.14899999999999999</v>
      </c>
      <c r="AD1610">
        <v>-7.4494999999999895E-2</v>
      </c>
      <c r="AE1610">
        <v>-0.486800000000016</v>
      </c>
      <c r="AF1610">
        <v>0.13823468891003801</v>
      </c>
      <c r="AG1610">
        <v>-7.4494999999999895E-2</v>
      </c>
      <c r="AH1610">
        <v>0.478867382279342</v>
      </c>
      <c r="AI1610">
        <v>98.500628167279501</v>
      </c>
      <c r="AJ1610">
        <v>73.898153206983807</v>
      </c>
      <c r="AK1610">
        <v>0.50395664898295101</v>
      </c>
    </row>
    <row r="1611" spans="1:37" x14ac:dyDescent="0.2">
      <c r="A1611" t="str">
        <f>"20200111155823368"</f>
        <v>20200111155823368</v>
      </c>
      <c r="B1611" t="str">
        <f>"1578729503363126"</f>
        <v>1578729503363126</v>
      </c>
      <c r="C1611" t="s">
        <v>37</v>
      </c>
      <c r="D1611">
        <v>5.5348139999999999</v>
      </c>
      <c r="E1611">
        <v>0.56356819999999996</v>
      </c>
      <c r="F1611" t="s">
        <v>38</v>
      </c>
      <c r="G1611">
        <v>-191.67920000000001</v>
      </c>
      <c r="H1611">
        <v>1.0316620000000001</v>
      </c>
      <c r="I1611">
        <v>310.6678</v>
      </c>
      <c r="J1611">
        <v>-191.5317</v>
      </c>
      <c r="K1611">
        <v>1.1042940000000001</v>
      </c>
      <c r="L1611">
        <v>311.10789999999997</v>
      </c>
      <c r="M1611">
        <v>-1.5964329999999999E-2</v>
      </c>
      <c r="N1611">
        <v>0</v>
      </c>
      <c r="O1611">
        <v>-0.99979830000000003</v>
      </c>
      <c r="P1611">
        <v>-4.6549170000000001E-2</v>
      </c>
      <c r="Q1611">
        <v>1.112387E-4</v>
      </c>
      <c r="R1611">
        <v>-0.99891589999999997</v>
      </c>
      <c r="S1611">
        <v>-0.62322999999999995</v>
      </c>
      <c r="T1611">
        <v>-0.29802420000000002</v>
      </c>
      <c r="U1611">
        <v>-2.9750369999999999</v>
      </c>
      <c r="V1611">
        <v>3.0594679999999999E-2</v>
      </c>
      <c r="W1611">
        <v>1.2299050000000001E-2</v>
      </c>
      <c r="X1611">
        <v>0.99945620000000002</v>
      </c>
      <c r="Y1611">
        <v>0.18840279999999901</v>
      </c>
      <c r="Z1611">
        <v>9.7714899999999993E-2</v>
      </c>
      <c r="AA1611">
        <v>0.97721859999999905</v>
      </c>
      <c r="AB1611">
        <v>27</v>
      </c>
      <c r="AC1611">
        <v>-0.14750000000000699</v>
      </c>
      <c r="AD1611">
        <v>-7.2632000000000002E-2</v>
      </c>
      <c r="AE1611">
        <v>-0.44009999999997201</v>
      </c>
      <c r="AF1611">
        <v>0.137097775609859</v>
      </c>
      <c r="AG1611">
        <v>-7.2632000000000002E-2</v>
      </c>
      <c r="AH1611">
        <v>0.43182507228495898</v>
      </c>
      <c r="AI1611">
        <v>99.107718767846194</v>
      </c>
      <c r="AJ1611">
        <v>72.386162443635101</v>
      </c>
      <c r="AK1611">
        <v>0.45885084783084001</v>
      </c>
    </row>
    <row r="1612" spans="1:37" x14ac:dyDescent="0.2">
      <c r="A1612" t="str">
        <f>"20200111155823390"</f>
        <v>20200111155823390</v>
      </c>
      <c r="B1612" t="str">
        <f>"1578729503383187"</f>
        <v>1578729503383187</v>
      </c>
      <c r="C1612" t="s">
        <v>37</v>
      </c>
      <c r="D1612">
        <v>5.7958980000000002</v>
      </c>
      <c r="E1612">
        <v>0.56360109999999997</v>
      </c>
      <c r="F1612" t="s">
        <v>38</v>
      </c>
      <c r="G1612">
        <v>-191.7253</v>
      </c>
      <c r="H1612">
        <v>1.0133920000000001</v>
      </c>
      <c r="I1612">
        <v>310.20159999999998</v>
      </c>
      <c r="J1612">
        <v>-191.53569999999999</v>
      </c>
      <c r="K1612">
        <v>1.1043179999999999</v>
      </c>
      <c r="L1612">
        <v>310.85759999999999</v>
      </c>
      <c r="M1612">
        <v>-1.5943860000000001E-2</v>
      </c>
      <c r="N1612">
        <v>0</v>
      </c>
      <c r="O1612">
        <v>-0.99979660000000004</v>
      </c>
      <c r="P1612">
        <v>-4.8548569999999999E-2</v>
      </c>
      <c r="Q1612">
        <v>-2.1010740000000001E-3</v>
      </c>
      <c r="R1612">
        <v>-0.99881889999999995</v>
      </c>
      <c r="S1612">
        <v>-0.63442989999999999</v>
      </c>
      <c r="T1612">
        <v>-0.29842970000000002</v>
      </c>
      <c r="U1612">
        <v>-2.9737550000000001</v>
      </c>
      <c r="V1612">
        <v>3.261592E-2</v>
      </c>
      <c r="W1612">
        <v>1.0265949999999999E-2</v>
      </c>
      <c r="X1612">
        <v>0.99941519999999995</v>
      </c>
      <c r="Y1612">
        <v>0.1920269</v>
      </c>
      <c r="Z1612">
        <v>9.7815449999999998E-2</v>
      </c>
      <c r="AA1612">
        <v>0.9765028</v>
      </c>
      <c r="AB1612">
        <v>26</v>
      </c>
      <c r="AC1612">
        <v>-0.18960000000001201</v>
      </c>
      <c r="AD1612">
        <v>-9.0926000000000007E-2</v>
      </c>
      <c r="AE1612">
        <v>-0.65600000000000502</v>
      </c>
      <c r="AF1612">
        <v>0.17599540687510001</v>
      </c>
      <c r="AG1612">
        <v>-9.0926000000000007E-2</v>
      </c>
      <c r="AH1612">
        <v>0.64745988155867995</v>
      </c>
      <c r="AI1612">
        <v>97.717569881833597</v>
      </c>
      <c r="AJ1612">
        <v>74.793040682319997</v>
      </c>
      <c r="AK1612">
        <v>0.67708656680302803</v>
      </c>
    </row>
    <row r="1613" spans="1:37" x14ac:dyDescent="0.2">
      <c r="A1613" t="str">
        <f>"20200111155823414"</f>
        <v>20200111155823414</v>
      </c>
      <c r="B1613" t="str">
        <f>"1578729503402706"</f>
        <v>1578729503402706</v>
      </c>
      <c r="C1613" t="s">
        <v>37</v>
      </c>
      <c r="D1613">
        <v>5.8462730000000001</v>
      </c>
      <c r="E1613">
        <v>0.59723249999999894</v>
      </c>
      <c r="F1613" t="s">
        <v>38</v>
      </c>
      <c r="G1613">
        <v>-191.7278</v>
      </c>
      <c r="H1613">
        <v>1.0125649999999999</v>
      </c>
      <c r="I1613">
        <v>309.96640000000002</v>
      </c>
      <c r="J1613">
        <v>-191.5402</v>
      </c>
      <c r="K1613">
        <v>1.1043209999999899</v>
      </c>
      <c r="L1613">
        <v>310.58179999999999</v>
      </c>
      <c r="M1613">
        <v>-1.594338E-2</v>
      </c>
      <c r="N1613">
        <v>0</v>
      </c>
      <c r="O1613">
        <v>-0.99979419999999897</v>
      </c>
      <c r="P1613">
        <v>-5.1242169999999997E-2</v>
      </c>
      <c r="Q1613">
        <v>-4.6200709999999999E-3</v>
      </c>
      <c r="R1613">
        <v>-0.9986758</v>
      </c>
      <c r="S1613">
        <v>-0.64031979999999999</v>
      </c>
      <c r="T1613">
        <v>-0.30593090000000001</v>
      </c>
      <c r="U1613">
        <v>-2.9718019999999998</v>
      </c>
      <c r="V1613">
        <v>3.5312209999999997E-2</v>
      </c>
      <c r="W1613">
        <v>7.9257300000000006E-3</v>
      </c>
      <c r="X1613">
        <v>0.99934489999999998</v>
      </c>
      <c r="Y1613">
        <v>0.19395670000000001</v>
      </c>
      <c r="Z1613">
        <v>0.1002734</v>
      </c>
      <c r="AA1613">
        <v>0.97587190000000001</v>
      </c>
      <c r="AB1613">
        <v>26</v>
      </c>
      <c r="AC1613">
        <v>-0.18760000000000299</v>
      </c>
      <c r="AD1613">
        <v>-9.1755999999999893E-2</v>
      </c>
      <c r="AE1613">
        <v>-0.61539999999996498</v>
      </c>
      <c r="AF1613">
        <v>0.17422009600716401</v>
      </c>
      <c r="AG1613">
        <v>-9.1755999999999893E-2</v>
      </c>
      <c r="AH1613">
        <v>0.60598689270097394</v>
      </c>
      <c r="AI1613">
        <v>98.279630757876902</v>
      </c>
      <c r="AJ1613">
        <v>73.960155871044805</v>
      </c>
      <c r="AK1613">
        <v>0.63717495204545505</v>
      </c>
    </row>
    <row r="1614" spans="1:37" x14ac:dyDescent="0.2">
      <c r="A1614" t="str">
        <f>"20200111155823433"</f>
        <v>20200111155823433</v>
      </c>
      <c r="B1614" t="str">
        <f>"1578729503422225"</f>
        <v>1578729503422225</v>
      </c>
      <c r="C1614" t="s">
        <v>37</v>
      </c>
      <c r="D1614">
        <v>5.6918579999999999</v>
      </c>
      <c r="E1614">
        <v>0.60875480000000004</v>
      </c>
      <c r="F1614" t="s">
        <v>39</v>
      </c>
      <c r="G1614">
        <v>-194.7938</v>
      </c>
      <c r="H1614" s="1">
        <v>-1.4900219999999899E-6</v>
      </c>
      <c r="I1614">
        <v>300.08920000000001</v>
      </c>
      <c r="J1614">
        <v>-191.54419999999999</v>
      </c>
      <c r="K1614">
        <v>1.1042989999999999</v>
      </c>
      <c r="L1614">
        <v>310.33359999999999</v>
      </c>
      <c r="M1614">
        <v>-1.599886E-2</v>
      </c>
      <c r="N1614">
        <v>0</v>
      </c>
      <c r="O1614">
        <v>-0.999791599999999</v>
      </c>
      <c r="P1614">
        <v>-5.459191E-2</v>
      </c>
      <c r="Q1614">
        <v>-6.3603849999999997E-3</v>
      </c>
      <c r="R1614">
        <v>-0.99848869999999901</v>
      </c>
      <c r="S1614">
        <v>-0.91645810000000005</v>
      </c>
      <c r="T1614">
        <v>-0.31106129999999999</v>
      </c>
      <c r="U1614">
        <v>-2.9555359999999999</v>
      </c>
      <c r="V1614">
        <v>3.8609459999999998E-2</v>
      </c>
      <c r="W1614">
        <v>6.3340879999999999E-3</v>
      </c>
      <c r="X1614">
        <v>0.99923430000000002</v>
      </c>
      <c r="Y1614">
        <v>0.27935969999999999</v>
      </c>
      <c r="Z1614">
        <v>0.10023700000000001</v>
      </c>
      <c r="AA1614">
        <v>0.95494009999999996</v>
      </c>
      <c r="AB1614">
        <v>26</v>
      </c>
      <c r="AC1614">
        <v>-3.2496000000000098</v>
      </c>
      <c r="AD1614">
        <v>-1.1043004900219999</v>
      </c>
      <c r="AE1614">
        <v>-10.244399999999899</v>
      </c>
      <c r="AF1614">
        <v>3.05303944821735</v>
      </c>
      <c r="AG1614">
        <v>-1.1043004900219999</v>
      </c>
      <c r="AH1614">
        <v>10.1875271826492</v>
      </c>
      <c r="AI1614">
        <v>95.928052679716203</v>
      </c>
      <c r="AJ1614">
        <v>73.317364881157602</v>
      </c>
      <c r="AK1614">
        <v>10.6923449038015</v>
      </c>
    </row>
    <row r="1615" spans="1:37" x14ac:dyDescent="0.2">
      <c r="A1615" t="str">
        <f>"20200111155823456"</f>
        <v>20200111155823456</v>
      </c>
      <c r="B1615" t="str">
        <f>"1578729503452482"</f>
        <v>1578729503452482</v>
      </c>
      <c r="C1615" t="s">
        <v>37</v>
      </c>
      <c r="D1615">
        <v>5.6697030000000002</v>
      </c>
      <c r="E1615">
        <v>0.61362139999999998</v>
      </c>
      <c r="F1615" t="s">
        <v>39</v>
      </c>
      <c r="G1615">
        <v>-194.92410000000001</v>
      </c>
      <c r="H1615" s="1">
        <v>-1.7203129999999901E-6</v>
      </c>
      <c r="I1615">
        <v>300.54509999999999</v>
      </c>
      <c r="J1615">
        <v>-191.54849999999999</v>
      </c>
      <c r="K1615">
        <v>1.1042379999999901</v>
      </c>
      <c r="L1615">
        <v>310.07279999999997</v>
      </c>
      <c r="M1615">
        <v>-1.6164970000000001E-2</v>
      </c>
      <c r="N1615">
        <v>0</v>
      </c>
      <c r="O1615">
        <v>-0.99978690000000003</v>
      </c>
      <c r="P1615">
        <v>-5.7983369999999999E-2</v>
      </c>
      <c r="Q1615">
        <v>-5.9909300000000002E-3</v>
      </c>
      <c r="R1615">
        <v>-0.99829979999999996</v>
      </c>
      <c r="S1615">
        <v>-1.0175319999999899</v>
      </c>
      <c r="T1615">
        <v>-0.3324531</v>
      </c>
      <c r="U1615">
        <v>-2.9468380000000001</v>
      </c>
      <c r="V1615">
        <v>4.1838630000000002E-2</v>
      </c>
      <c r="W1615">
        <v>6.8452469999999996E-3</v>
      </c>
      <c r="X1615">
        <v>0.99910089999999996</v>
      </c>
      <c r="Y1615">
        <v>0.30921579999999999</v>
      </c>
      <c r="Z1615">
        <v>0.10629619999999999</v>
      </c>
      <c r="AA1615">
        <v>0.94503269999999995</v>
      </c>
      <c r="AB1615">
        <v>26</v>
      </c>
      <c r="AC1615">
        <v>-3.3756000000000199</v>
      </c>
      <c r="AD1615">
        <v>-1.1042397203129899</v>
      </c>
      <c r="AE1615">
        <v>-9.5276999999999799</v>
      </c>
      <c r="AF1615">
        <v>3.18314269447283</v>
      </c>
      <c r="AG1615">
        <v>-1.1042397203129899</v>
      </c>
      <c r="AH1615">
        <v>9.4680317944453893</v>
      </c>
      <c r="AI1615">
        <v>96.308310410063299</v>
      </c>
      <c r="AJ1615">
        <v>71.417407578353902</v>
      </c>
      <c r="AK1615">
        <v>10.049645209355401</v>
      </c>
    </row>
    <row r="1616" spans="1:37" x14ac:dyDescent="0.2">
      <c r="A1616" t="str">
        <f>"20200111155823480"</f>
        <v>20200111155823480</v>
      </c>
      <c r="B1616" t="str">
        <f>"1578729503452482"</f>
        <v>1578729503452482</v>
      </c>
      <c r="C1616" t="s">
        <v>37</v>
      </c>
      <c r="D1616">
        <v>5.6697030000000002</v>
      </c>
      <c r="E1616">
        <v>0.61362139999999998</v>
      </c>
      <c r="F1616" t="s">
        <v>39</v>
      </c>
      <c r="G1616">
        <v>-195.1696</v>
      </c>
      <c r="H1616" s="1">
        <v>-1.58862599999999E-6</v>
      </c>
      <c r="I1616">
        <v>300.08589999999998</v>
      </c>
      <c r="J1616">
        <v>-191.55330000000001</v>
      </c>
      <c r="K1616">
        <v>1.104115</v>
      </c>
      <c r="L1616">
        <v>309.7953</v>
      </c>
      <c r="M1616">
        <v>-1.6527940000000001E-2</v>
      </c>
      <c r="N1616">
        <v>0</v>
      </c>
      <c r="O1616">
        <v>-0.99977890000000003</v>
      </c>
      <c r="P1616">
        <v>-6.1156549999999997E-2</v>
      </c>
      <c r="Q1616">
        <v>-5.2042870000000001E-3</v>
      </c>
      <c r="R1616">
        <v>-0.99811450000000002</v>
      </c>
      <c r="S1616">
        <v>-1.0664370000000001</v>
      </c>
      <c r="T1616">
        <v>-0.32520679999999902</v>
      </c>
      <c r="U1616">
        <v>-2.9411930000000002</v>
      </c>
      <c r="V1616">
        <v>4.4654239999999998E-2</v>
      </c>
      <c r="W1616">
        <v>7.7621799999999996E-3</v>
      </c>
      <c r="X1616">
        <v>0.99897239999999998</v>
      </c>
      <c r="Y1616">
        <v>0.32345099999999999</v>
      </c>
      <c r="Z1616">
        <v>0.1036614</v>
      </c>
      <c r="AA1616">
        <v>0.94054969999999904</v>
      </c>
      <c r="AB1616">
        <v>26</v>
      </c>
      <c r="AC1616">
        <v>-3.6162999999999901</v>
      </c>
      <c r="AD1616">
        <v>-1.104116588626</v>
      </c>
      <c r="AE1616">
        <v>-9.7094000000000094</v>
      </c>
      <c r="AF1616">
        <v>3.4165178369803</v>
      </c>
      <c r="AG1616">
        <v>-1.104116588626</v>
      </c>
      <c r="AH1616">
        <v>9.6581698367267208</v>
      </c>
      <c r="AI1616">
        <v>96.151306528846803</v>
      </c>
      <c r="AJ1616">
        <v>70.519081747366997</v>
      </c>
      <c r="AK1616">
        <v>10.303975551540301</v>
      </c>
    </row>
    <row r="1617" spans="1:37" x14ac:dyDescent="0.2">
      <c r="A1617" t="str">
        <f>"20200111155823501"</f>
        <v>20200111155823501</v>
      </c>
      <c r="B1617" t="str">
        <f>"1578729503492103"</f>
        <v>1578729503492103</v>
      </c>
      <c r="C1617" t="s">
        <v>37</v>
      </c>
      <c r="D1617">
        <v>5.7154059999999998</v>
      </c>
      <c r="E1617">
        <v>0.61666759999999998</v>
      </c>
      <c r="F1617" t="s">
        <v>39</v>
      </c>
      <c r="G1617">
        <v>-195.23310000000001</v>
      </c>
      <c r="H1617" s="1">
        <v>-1.459446E-6</v>
      </c>
      <c r="I1617">
        <v>299.74540000000002</v>
      </c>
      <c r="J1617">
        <v>-191.55799999999999</v>
      </c>
      <c r="K1617">
        <v>1.1039429999999999</v>
      </c>
      <c r="L1617">
        <v>309.5401</v>
      </c>
      <c r="M1617">
        <v>-1.7106280000000001E-2</v>
      </c>
      <c r="N1617">
        <v>0</v>
      </c>
      <c r="O1617">
        <v>-0.99976769999999904</v>
      </c>
      <c r="P1617">
        <v>-6.4342940000000001E-2</v>
      </c>
      <c r="Q1617">
        <v>-4.8284959999999998E-3</v>
      </c>
      <c r="R1617">
        <v>-0.99791620000000003</v>
      </c>
      <c r="S1617">
        <v>-1.075806</v>
      </c>
      <c r="T1617">
        <v>-0.322793</v>
      </c>
      <c r="U1617">
        <v>-2.93811</v>
      </c>
      <c r="V1617">
        <v>4.7269360000000003E-2</v>
      </c>
      <c r="W1617">
        <v>8.2356649999999997E-3</v>
      </c>
      <c r="X1617">
        <v>0.99884819999999996</v>
      </c>
      <c r="Y1617">
        <v>0.32589359999999901</v>
      </c>
      <c r="Z1617">
        <v>0.1029012</v>
      </c>
      <c r="AA1617">
        <v>0.93978969999999995</v>
      </c>
      <c r="AB1617">
        <v>26</v>
      </c>
      <c r="AC1617">
        <v>-3.6751000000000098</v>
      </c>
      <c r="AD1617">
        <v>-1.1039444594459999</v>
      </c>
      <c r="AE1617">
        <v>-9.7946999999999704</v>
      </c>
      <c r="AF1617">
        <v>3.4683748980326801</v>
      </c>
      <c r="AG1617">
        <v>-1.1039444594459999</v>
      </c>
      <c r="AH1617">
        <v>9.7475952379224893</v>
      </c>
      <c r="AI1617">
        <v>96.090404412279398</v>
      </c>
      <c r="AJ1617">
        <v>70.413499559363103</v>
      </c>
      <c r="AK1617">
        <v>10.404995469735301</v>
      </c>
    </row>
    <row r="1618" spans="1:37" x14ac:dyDescent="0.2">
      <c r="A1618" t="str">
        <f>"20200111155823525"</f>
        <v>20200111155823525</v>
      </c>
      <c r="B1618" t="str">
        <f>"1578729503522359"</f>
        <v>1578729503522359</v>
      </c>
      <c r="C1618" t="s">
        <v>37</v>
      </c>
      <c r="D1618">
        <v>5.7275960000000001</v>
      </c>
      <c r="E1618">
        <v>0.61925419999999998</v>
      </c>
      <c r="F1618" t="s">
        <v>49</v>
      </c>
      <c r="G1618">
        <v>-195.36609999999999</v>
      </c>
      <c r="H1618" s="1">
        <v>2.4549079999999999E-8</v>
      </c>
      <c r="I1618">
        <v>299.4769</v>
      </c>
      <c r="J1618">
        <v>-191.56360000000001</v>
      </c>
      <c r="K1618">
        <v>1.103693</v>
      </c>
      <c r="L1618">
        <v>309.26929999999999</v>
      </c>
      <c r="M1618">
        <v>-1.806083E-2</v>
      </c>
      <c r="N1618">
        <v>0</v>
      </c>
      <c r="O1618">
        <v>-0.9997492</v>
      </c>
      <c r="P1618">
        <v>-6.7866709999999997E-2</v>
      </c>
      <c r="Q1618">
        <v>-6.2011369999999998E-3</v>
      </c>
      <c r="R1618">
        <v>-0.99767549999999905</v>
      </c>
      <c r="S1618">
        <v>-1.109955</v>
      </c>
      <c r="T1618">
        <v>-0.32177159999999999</v>
      </c>
      <c r="U1618">
        <v>-2.9331669999999899</v>
      </c>
      <c r="V1618">
        <v>4.9846090000000003E-2</v>
      </c>
      <c r="W1618">
        <v>6.9434730000000004E-3</v>
      </c>
      <c r="X1618">
        <v>0.99873269999999903</v>
      </c>
      <c r="Y1618">
        <v>0.33511439999999998</v>
      </c>
      <c r="Z1618">
        <v>0.10236729999999999</v>
      </c>
      <c r="AA1618">
        <v>0.93659989999999904</v>
      </c>
      <c r="AB1618">
        <v>26</v>
      </c>
      <c r="AC1618">
        <v>-3.8024999999999798</v>
      </c>
      <c r="AD1618">
        <v>-1.1036929754509199</v>
      </c>
      <c r="AE1618">
        <v>-9.7923999999999793</v>
      </c>
      <c r="AF1618">
        <v>3.5854263046703099</v>
      </c>
      <c r="AG1618">
        <v>-1.1036929754509199</v>
      </c>
      <c r="AH1618">
        <v>9.7518357616763698</v>
      </c>
      <c r="AI1618">
        <v>96.063547736108404</v>
      </c>
      <c r="AJ1618">
        <v>69.813200299475199</v>
      </c>
      <c r="AK1618">
        <v>10.448527202098401</v>
      </c>
    </row>
    <row r="1619" spans="1:37" x14ac:dyDescent="0.2">
      <c r="A1619" t="str">
        <f>"20200111155823547"</f>
        <v>20200111155823547</v>
      </c>
      <c r="B1619" t="str">
        <f>"1578729503542855"</f>
        <v>1578729503542855</v>
      </c>
      <c r="C1619" t="s">
        <v>37</v>
      </c>
      <c r="D1619">
        <v>5.7648950000000001</v>
      </c>
      <c r="E1619">
        <v>0.61985489999999999</v>
      </c>
      <c r="F1619" t="s">
        <v>49</v>
      </c>
      <c r="G1619">
        <v>-195.4555</v>
      </c>
      <c r="H1619" s="1">
        <v>5.762429E-8</v>
      </c>
      <c r="I1619">
        <v>299.28910000000002</v>
      </c>
      <c r="J1619">
        <v>-191.56970000000001</v>
      </c>
      <c r="K1619">
        <v>1.1033809999999999</v>
      </c>
      <c r="L1619">
        <v>309.00549999999998</v>
      </c>
      <c r="M1619">
        <v>-1.945914E-2</v>
      </c>
      <c r="N1619">
        <v>0</v>
      </c>
      <c r="O1619">
        <v>-0.99972169999999905</v>
      </c>
      <c r="P1619">
        <v>-7.1462399999999995E-2</v>
      </c>
      <c r="Q1619">
        <v>-9.652585E-3</v>
      </c>
      <c r="R1619">
        <v>-0.99739690000000003</v>
      </c>
      <c r="S1619">
        <v>-1.1415409999999999</v>
      </c>
      <c r="T1619">
        <v>-0.32372649999999997</v>
      </c>
      <c r="U1619">
        <v>-2.9273069999999999</v>
      </c>
      <c r="V1619">
        <v>5.204694E-2</v>
      </c>
      <c r="W1619">
        <v>3.548917E-3</v>
      </c>
      <c r="X1619">
        <v>0.99863829999999998</v>
      </c>
      <c r="Y1619">
        <v>0.3431922</v>
      </c>
      <c r="Z1619">
        <v>0.1028237</v>
      </c>
      <c r="AA1619">
        <v>0.93362000000000001</v>
      </c>
      <c r="AB1619">
        <v>26</v>
      </c>
      <c r="AC1619">
        <v>-3.8857999999999802</v>
      </c>
      <c r="AD1619">
        <v>-1.1033809423757099</v>
      </c>
      <c r="AE1619">
        <v>-9.7163999999999593</v>
      </c>
      <c r="AF1619">
        <v>3.6553364386801701</v>
      </c>
      <c r="AG1619">
        <v>-1.1033809423757099</v>
      </c>
      <c r="AH1619">
        <v>9.6825357377216896</v>
      </c>
      <c r="AI1619">
        <v>96.085407995797297</v>
      </c>
      <c r="AJ1619">
        <v>69.317550200602994</v>
      </c>
      <c r="AK1619">
        <v>10.4081906350815</v>
      </c>
    </row>
    <row r="1620" spans="1:37" x14ac:dyDescent="0.2">
      <c r="A1620" t="str">
        <f>"20200111155823573"</f>
        <v>20200111155823573</v>
      </c>
      <c r="B1620" t="str">
        <f>"1578729503563350"</f>
        <v>1578729503563350</v>
      </c>
      <c r="C1620" t="s">
        <v>37</v>
      </c>
      <c r="D1620">
        <v>5.8049239999999998</v>
      </c>
      <c r="E1620">
        <v>0.62083259999999996</v>
      </c>
      <c r="F1620" t="s">
        <v>49</v>
      </c>
      <c r="G1620">
        <v>-195.40190000000001</v>
      </c>
      <c r="H1620" s="1">
        <v>5.0044750000000002E-8</v>
      </c>
      <c r="I1620">
        <v>299.3322</v>
      </c>
      <c r="J1620">
        <v>-191.57769999999999</v>
      </c>
      <c r="K1620">
        <v>1.1030059999999999</v>
      </c>
      <c r="L1620">
        <v>308.71100000000001</v>
      </c>
      <c r="M1620">
        <v>-2.1581840000000001E-2</v>
      </c>
      <c r="N1620">
        <v>0</v>
      </c>
      <c r="O1620">
        <v>-0.99967680000000003</v>
      </c>
      <c r="P1620">
        <v>-7.4607919999999994E-2</v>
      </c>
      <c r="Q1620">
        <v>-1.4037229999999999E-2</v>
      </c>
      <c r="R1620">
        <v>-0.99711419999999995</v>
      </c>
      <c r="S1620">
        <v>-1.15744</v>
      </c>
      <c r="T1620">
        <v>-0.33325729999999998</v>
      </c>
      <c r="U1620">
        <v>-2.9216609999999998</v>
      </c>
      <c r="V1620">
        <v>5.3066799999999997E-2</v>
      </c>
      <c r="W1620">
        <v>-7.8468919999999897E-4</v>
      </c>
      <c r="X1620">
        <v>0.998590599999999</v>
      </c>
      <c r="Y1620">
        <v>0.34609190000000001</v>
      </c>
      <c r="Z1620">
        <v>0.105837899999999</v>
      </c>
      <c r="AA1620">
        <v>0.93221180000000003</v>
      </c>
      <c r="AB1620">
        <v>26</v>
      </c>
      <c r="AC1620">
        <v>-3.82420000000001</v>
      </c>
      <c r="AD1620">
        <v>-1.10300594995525</v>
      </c>
      <c r="AE1620">
        <v>-9.3788000000000107</v>
      </c>
      <c r="AF1620">
        <v>3.5784406186430702</v>
      </c>
      <c r="AG1620">
        <v>-1.10300594995525</v>
      </c>
      <c r="AH1620">
        <v>9.3482899323475603</v>
      </c>
      <c r="AI1620">
        <v>96.288212253043397</v>
      </c>
      <c r="AJ1620">
        <v>69.053607213276706</v>
      </c>
      <c r="AK1620">
        <v>10.070371594237301</v>
      </c>
    </row>
    <row r="1621" spans="1:37" x14ac:dyDescent="0.2">
      <c r="A1621" t="str">
        <f>"20200111155823592"</f>
        <v>20200111155823592</v>
      </c>
      <c r="B1621" t="str">
        <f>"1578729503582870"</f>
        <v>1578729503582870</v>
      </c>
      <c r="C1621" t="s">
        <v>37</v>
      </c>
      <c r="D1621">
        <v>5.792643</v>
      </c>
      <c r="E1621">
        <v>0.62140819999999997</v>
      </c>
      <c r="F1621" t="s">
        <v>49</v>
      </c>
      <c r="G1621">
        <v>-195.34909999999999</v>
      </c>
      <c r="H1621" s="1">
        <v>4.624811E-8</v>
      </c>
      <c r="I1621">
        <v>299.3537</v>
      </c>
      <c r="J1621">
        <v>-191.5847</v>
      </c>
      <c r="K1621">
        <v>1.1027359999999999</v>
      </c>
      <c r="L1621">
        <v>308.4828</v>
      </c>
      <c r="M1621">
        <v>-2.356459E-2</v>
      </c>
      <c r="N1621">
        <v>0</v>
      </c>
      <c r="O1621">
        <v>-0.99963109999999999</v>
      </c>
      <c r="P1621">
        <v>-7.6264890000000002E-2</v>
      </c>
      <c r="Q1621">
        <v>-1.6965250000000001E-2</v>
      </c>
      <c r="R1621">
        <v>-0.99694349999999998</v>
      </c>
      <c r="S1621">
        <v>-1.1752320000000001</v>
      </c>
      <c r="T1621">
        <v>-0.34371760000000001</v>
      </c>
      <c r="U1621">
        <v>-2.91589399999999</v>
      </c>
      <c r="V1621">
        <v>5.2735209999999998E-2</v>
      </c>
      <c r="W1621">
        <v>-3.6743589999999999E-3</v>
      </c>
      <c r="X1621">
        <v>0.99860179999999998</v>
      </c>
      <c r="Y1621">
        <v>0.34963249999999901</v>
      </c>
      <c r="Z1621">
        <v>0.1091174</v>
      </c>
      <c r="AA1621">
        <v>0.93051090000000003</v>
      </c>
      <c r="AB1621">
        <v>26</v>
      </c>
      <c r="AC1621">
        <v>-3.76439999999999</v>
      </c>
      <c r="AD1621">
        <v>-1.1027359537518899</v>
      </c>
      <c r="AE1621">
        <v>-9.1290999999999904</v>
      </c>
      <c r="AF1621">
        <v>3.5045079289779402</v>
      </c>
      <c r="AG1621">
        <v>-1.1027359537518899</v>
      </c>
      <c r="AH1621">
        <v>9.1017742352198994</v>
      </c>
      <c r="AI1621">
        <v>96.450731510376301</v>
      </c>
      <c r="AJ1621">
        <v>68.941513486329697</v>
      </c>
      <c r="AK1621">
        <v>9.8152889227408497</v>
      </c>
    </row>
    <row r="1622" spans="1:37" x14ac:dyDescent="0.2">
      <c r="A1622" t="str">
        <f>"20200111155823613"</f>
        <v>20200111155823613</v>
      </c>
      <c r="B1622" t="str">
        <f>"1578729503582870"</f>
        <v>1578729503582870</v>
      </c>
      <c r="C1622" t="s">
        <v>37</v>
      </c>
      <c r="D1622">
        <v>5.792643</v>
      </c>
      <c r="E1622">
        <v>0.62140819999999997</v>
      </c>
      <c r="F1622" t="s">
        <v>49</v>
      </c>
      <c r="G1622">
        <v>-195.30109999999999</v>
      </c>
      <c r="H1622" s="1">
        <v>4.7480139999999997E-8</v>
      </c>
      <c r="I1622">
        <v>299.3467</v>
      </c>
      <c r="J1622">
        <v>-191.59309999999999</v>
      </c>
      <c r="K1622">
        <v>1.102471</v>
      </c>
      <c r="L1622">
        <v>308.2355</v>
      </c>
      <c r="M1622">
        <v>-2.6071029999999999E-2</v>
      </c>
      <c r="N1622">
        <v>0</v>
      </c>
      <c r="O1622">
        <v>-0.99956809999999996</v>
      </c>
      <c r="P1622">
        <v>-7.8249760000000002E-2</v>
      </c>
      <c r="Q1622">
        <v>-2.0049770000000001E-2</v>
      </c>
      <c r="R1622">
        <v>-0.99673239999999996</v>
      </c>
      <c r="S1622">
        <v>-1.184814</v>
      </c>
      <c r="T1622">
        <v>-0.35155380000000003</v>
      </c>
      <c r="U1622">
        <v>-2.912598</v>
      </c>
      <c r="V1622">
        <v>5.2205109999999999E-2</v>
      </c>
      <c r="W1622">
        <v>-6.7217730000000003E-3</v>
      </c>
      <c r="X1622">
        <v>0.9986138</v>
      </c>
      <c r="Y1622">
        <v>0.35017670000000001</v>
      </c>
      <c r="Z1622">
        <v>0.1116003</v>
      </c>
      <c r="AA1622">
        <v>0.93001160000000005</v>
      </c>
      <c r="AB1622">
        <v>26</v>
      </c>
      <c r="AC1622">
        <v>-3.70799999999999</v>
      </c>
      <c r="AD1622">
        <v>-1.1024709525198599</v>
      </c>
      <c r="AE1622">
        <v>-8.8887999999999998</v>
      </c>
      <c r="AF1622">
        <v>3.4300338952924099</v>
      </c>
      <c r="AG1622">
        <v>-1.1024709525198599</v>
      </c>
      <c r="AH1622">
        <v>8.8662827254662009</v>
      </c>
      <c r="AI1622">
        <v>96.614961765581697</v>
      </c>
      <c r="AJ1622">
        <v>68.850405832649699</v>
      </c>
      <c r="AK1622">
        <v>9.5703471249430301</v>
      </c>
    </row>
    <row r="1623" spans="1:37" x14ac:dyDescent="0.2">
      <c r="A1623" t="str">
        <f>"20200111155823692"</f>
        <v>20200111155823692</v>
      </c>
      <c r="B1623" t="str">
        <f>"1578729503682423"</f>
        <v>1578729503682423</v>
      </c>
      <c r="C1623" t="s">
        <v>37</v>
      </c>
      <c r="D1623">
        <v>5.8823910000000001</v>
      </c>
      <c r="E1623">
        <v>0.62177510000000002</v>
      </c>
      <c r="F1623" t="s">
        <v>49</v>
      </c>
      <c r="G1623">
        <v>-195.20840000000001</v>
      </c>
      <c r="H1623" s="1">
        <v>3.8817009999999999E-8</v>
      </c>
      <c r="I1623">
        <v>299.39589999999998</v>
      </c>
      <c r="J1623">
        <v>-191.63409999999999</v>
      </c>
      <c r="K1623">
        <v>1.1016900000000001</v>
      </c>
      <c r="L1623">
        <v>307.3109</v>
      </c>
      <c r="M1623">
        <v>-3.8258739999999999E-2</v>
      </c>
      <c r="N1623">
        <v>0</v>
      </c>
      <c r="O1623">
        <v>-0.99917279999999997</v>
      </c>
      <c r="P1623">
        <v>-9.9693630000000005E-2</v>
      </c>
      <c r="Q1623">
        <v>-1.7468939999999999E-2</v>
      </c>
      <c r="R1623">
        <v>-0.99486489999999905</v>
      </c>
      <c r="S1623">
        <v>-1.189789</v>
      </c>
      <c r="T1623">
        <v>-0.362828599999999</v>
      </c>
      <c r="U1623">
        <v>-2.9091490000000002</v>
      </c>
      <c r="V1623">
        <v>6.152941E-2</v>
      </c>
      <c r="W1623">
        <v>-4.1088309999999899E-3</v>
      </c>
      <c r="X1623">
        <v>0.99809680000000001</v>
      </c>
      <c r="Y1623">
        <v>0.34033219999999997</v>
      </c>
      <c r="Z1623">
        <v>0.115366</v>
      </c>
      <c r="AA1623">
        <v>0.93320130000000001</v>
      </c>
      <c r="AB1623">
        <v>26</v>
      </c>
      <c r="AC1623">
        <v>-3.57430000000002</v>
      </c>
      <c r="AD1623">
        <v>-1.10168996118299</v>
      </c>
      <c r="AE1623">
        <v>-7.9150000000000098</v>
      </c>
      <c r="AF1623">
        <v>3.2170662143349298</v>
      </c>
      <c r="AG1623">
        <v>-1.10168996118299</v>
      </c>
      <c r="AH1623">
        <v>7.9185384311996403</v>
      </c>
      <c r="AI1623">
        <v>97.344727165621407</v>
      </c>
      <c r="AJ1623">
        <v>67.889558104063795</v>
      </c>
      <c r="AK1623">
        <v>8.6178005711650307</v>
      </c>
    </row>
    <row r="1624" spans="1:37" x14ac:dyDescent="0.2">
      <c r="A1624" t="str">
        <f>"20200111155823716"</f>
        <v>20200111155823716</v>
      </c>
      <c r="B1624" t="str">
        <f>"1578729503712679"</f>
        <v>1578729503712679</v>
      </c>
      <c r="C1624" t="s">
        <v>37</v>
      </c>
      <c r="D1624">
        <v>6.0112220000000001</v>
      </c>
      <c r="E1624">
        <v>0.62178009999999995</v>
      </c>
      <c r="F1624" t="s">
        <v>49</v>
      </c>
      <c r="G1624">
        <v>-195.4195</v>
      </c>
      <c r="H1624" s="1">
        <v>1.80477999999999E-7</v>
      </c>
      <c r="I1624">
        <v>298.59160000000003</v>
      </c>
      <c r="J1624">
        <v>-191.64920000000001</v>
      </c>
      <c r="K1624">
        <v>1.101548</v>
      </c>
      <c r="L1624">
        <v>307.03949999999998</v>
      </c>
      <c r="M1624">
        <v>-4.2446890000000001E-2</v>
      </c>
      <c r="N1624">
        <v>0</v>
      </c>
      <c r="O1624">
        <v>-0.99900309999999903</v>
      </c>
      <c r="P1624">
        <v>-0.1107118</v>
      </c>
      <c r="Q1624">
        <v>-1.462597E-2</v>
      </c>
      <c r="R1624">
        <v>-0.99374499999999999</v>
      </c>
      <c r="S1624">
        <v>-1.2518769999999999</v>
      </c>
      <c r="T1624">
        <v>-0.36434850000000002</v>
      </c>
      <c r="U1624">
        <v>-2.8836360000000001</v>
      </c>
      <c r="V1624">
        <v>6.8419300000000002E-2</v>
      </c>
      <c r="W1624">
        <v>-1.30043E-3</v>
      </c>
      <c r="X1624">
        <v>0.99765579999999998</v>
      </c>
      <c r="Y1624">
        <v>0.35624659999999903</v>
      </c>
      <c r="Z1624">
        <v>0.1159295</v>
      </c>
      <c r="AA1624">
        <v>0.92717240000000001</v>
      </c>
      <c r="AB1624">
        <v>26</v>
      </c>
      <c r="AC1624">
        <v>-3.77029999999999</v>
      </c>
      <c r="AD1624">
        <v>-1.1015478195219901</v>
      </c>
      <c r="AE1624">
        <v>-8.4478999999999402</v>
      </c>
      <c r="AF1624">
        <v>3.3606319647874798</v>
      </c>
      <c r="AG1624">
        <v>-1.1015478195219901</v>
      </c>
      <c r="AH1624">
        <v>8.4801042144106393</v>
      </c>
      <c r="AI1624">
        <v>96.885741578629506</v>
      </c>
      <c r="AJ1624">
        <v>68.381771796236706</v>
      </c>
      <c r="AK1624">
        <v>9.1880042603772303</v>
      </c>
    </row>
    <row r="1625" spans="1:37" x14ac:dyDescent="0.2">
      <c r="A1625" t="str">
        <f>"20200111155823737"</f>
        <v>20200111155823737</v>
      </c>
      <c r="B1625" t="str">
        <f>"1578729503732198"</f>
        <v>1578729503732198</v>
      </c>
      <c r="C1625" t="s">
        <v>37</v>
      </c>
      <c r="D1625">
        <v>5.8363889999999996</v>
      </c>
      <c r="E1625">
        <v>0.622291699999999</v>
      </c>
      <c r="F1625" t="s">
        <v>49</v>
      </c>
      <c r="G1625">
        <v>-195.61449999999999</v>
      </c>
      <c r="H1625" s="1">
        <v>2.5467229999999902E-7</v>
      </c>
      <c r="I1625">
        <v>298.1703</v>
      </c>
      <c r="J1625">
        <v>-191.66390000000001</v>
      </c>
      <c r="K1625">
        <v>1.101415</v>
      </c>
      <c r="L1625">
        <v>306.79489999999998</v>
      </c>
      <c r="M1625">
        <v>-4.643427E-2</v>
      </c>
      <c r="N1625">
        <v>0</v>
      </c>
      <c r="O1625">
        <v>-0.99882510000000002</v>
      </c>
      <c r="P1625">
        <v>-0.1212958</v>
      </c>
      <c r="Q1625">
        <v>-1.304812E-2</v>
      </c>
      <c r="R1625">
        <v>-0.99253069999999899</v>
      </c>
      <c r="S1625">
        <v>-1.2834319999999999</v>
      </c>
      <c r="T1625">
        <v>-0.35653000000000001</v>
      </c>
      <c r="U1625">
        <v>-2.8706360000000002</v>
      </c>
      <c r="V1625">
        <v>7.5076740000000003E-2</v>
      </c>
      <c r="W1625">
        <v>2.34429E-4</v>
      </c>
      <c r="X1625">
        <v>0.99717769999999994</v>
      </c>
      <c r="Y1625">
        <v>0.3626876</v>
      </c>
      <c r="Z1625">
        <v>0.113526</v>
      </c>
      <c r="AA1625">
        <v>0.92496999999999996</v>
      </c>
      <c r="AB1625">
        <v>26</v>
      </c>
      <c r="AC1625">
        <v>-3.9505999999999801</v>
      </c>
      <c r="AD1625">
        <v>-1.1014147453276999</v>
      </c>
      <c r="AE1625">
        <v>-8.6245999999999796</v>
      </c>
      <c r="AF1625">
        <v>3.4986590116702798</v>
      </c>
      <c r="AG1625">
        <v>-1.1014147453276999</v>
      </c>
      <c r="AH1625">
        <v>8.6817230085954407</v>
      </c>
      <c r="AI1625">
        <v>96.711149101245297</v>
      </c>
      <c r="AJ1625">
        <v>68.0509930955931</v>
      </c>
      <c r="AK1625">
        <v>9.4247569580940596</v>
      </c>
    </row>
    <row r="1626" spans="1:37" x14ac:dyDescent="0.2">
      <c r="A1626" t="str">
        <f>"20200111155823759"</f>
        <v>20200111155823759</v>
      </c>
      <c r="B1626" t="str">
        <f>"1578729503752695"</f>
        <v>1578729503752695</v>
      </c>
      <c r="C1626" t="s">
        <v>37</v>
      </c>
      <c r="D1626">
        <v>5.8454540000000001</v>
      </c>
      <c r="E1626">
        <v>0.62256590000000001</v>
      </c>
      <c r="F1626" t="s">
        <v>49</v>
      </c>
      <c r="G1626">
        <v>-195.745</v>
      </c>
      <c r="H1626" s="1">
        <v>2.9583690000000001E-7</v>
      </c>
      <c r="I1626">
        <v>297.93650000000002</v>
      </c>
      <c r="J1626">
        <v>-191.68109999999999</v>
      </c>
      <c r="K1626">
        <v>1.1012439999999999</v>
      </c>
      <c r="L1626">
        <v>306.53250000000003</v>
      </c>
      <c r="M1626">
        <v>-5.0950099999999998E-2</v>
      </c>
      <c r="N1626">
        <v>0</v>
      </c>
      <c r="O1626">
        <v>-0.99860450000000001</v>
      </c>
      <c r="P1626">
        <v>-0.1294758</v>
      </c>
      <c r="Q1626">
        <v>-1.537442E-2</v>
      </c>
      <c r="R1626">
        <v>-0.99146339999999999</v>
      </c>
      <c r="S1626">
        <v>-1.316238</v>
      </c>
      <c r="T1626">
        <v>-0.35523179999999999</v>
      </c>
      <c r="U1626">
        <v>-2.8570250000000001</v>
      </c>
      <c r="V1626">
        <v>7.8773679999999999E-2</v>
      </c>
      <c r="W1626">
        <v>-2.1177890000000001E-3</v>
      </c>
      <c r="X1626">
        <v>0.99689019999999995</v>
      </c>
      <c r="Y1626">
        <v>0.36892829999999999</v>
      </c>
      <c r="Z1626">
        <v>0.1131674</v>
      </c>
      <c r="AA1626">
        <v>0.92254269999999905</v>
      </c>
      <c r="AB1626">
        <v>26</v>
      </c>
      <c r="AC1626">
        <v>-4.0639000000000101</v>
      </c>
      <c r="AD1626">
        <v>-1.1012437041631</v>
      </c>
      <c r="AE1626">
        <v>-8.5960000000000001</v>
      </c>
      <c r="AF1626">
        <v>3.5726864267381599</v>
      </c>
      <c r="AG1626">
        <v>-1.1012437041631</v>
      </c>
      <c r="AH1626">
        <v>8.6755334716816801</v>
      </c>
      <c r="AI1626">
        <v>96.694385309076594</v>
      </c>
      <c r="AJ1626">
        <v>67.617561412156306</v>
      </c>
      <c r="AK1626">
        <v>9.4467828924998205</v>
      </c>
    </row>
    <row r="1627" spans="1:37" x14ac:dyDescent="0.2">
      <c r="A1627" t="str">
        <f>"20200111155823783"</f>
        <v>20200111155823783</v>
      </c>
      <c r="B1627" t="str">
        <f>"1578729503772215"</f>
        <v>1578729503772215</v>
      </c>
      <c r="C1627" t="s">
        <v>37</v>
      </c>
      <c r="D1627">
        <v>6.0607509999999998</v>
      </c>
      <c r="E1627">
        <v>0.62265499999999996</v>
      </c>
      <c r="F1627" t="s">
        <v>49</v>
      </c>
      <c r="G1627">
        <v>-195.70249999999999</v>
      </c>
      <c r="H1627" s="1">
        <v>2.858558E-7</v>
      </c>
      <c r="I1627">
        <v>297.9932</v>
      </c>
      <c r="J1627">
        <v>-191.7003</v>
      </c>
      <c r="K1627">
        <v>1.101032</v>
      </c>
      <c r="L1627">
        <v>306.26119999999997</v>
      </c>
      <c r="M1627">
        <v>-5.5893320000000003E-2</v>
      </c>
      <c r="N1627">
        <v>0</v>
      </c>
      <c r="O1627">
        <v>-0.99833950000000005</v>
      </c>
      <c r="P1627">
        <v>-0.1356735</v>
      </c>
      <c r="Q1627">
        <v>-1.9420840000000002E-2</v>
      </c>
      <c r="R1627">
        <v>-0.99056339999999998</v>
      </c>
      <c r="S1627">
        <v>-1.3398589999999999</v>
      </c>
      <c r="T1627">
        <v>-0.36691399999999902</v>
      </c>
      <c r="U1627">
        <v>-2.8451230000000001</v>
      </c>
      <c r="V1627">
        <v>8.0042829999999995E-2</v>
      </c>
      <c r="W1627">
        <v>-6.1762240000000001E-3</v>
      </c>
      <c r="X1627">
        <v>0.99677229999999895</v>
      </c>
      <c r="Y1627">
        <v>0.37189820000000001</v>
      </c>
      <c r="Z1627">
        <v>0.11696040000000001</v>
      </c>
      <c r="AA1627">
        <v>0.92087569999999996</v>
      </c>
      <c r="AB1627">
        <v>26</v>
      </c>
      <c r="AC1627">
        <v>-4.0021999999999798</v>
      </c>
      <c r="AD1627">
        <v>-1.1010317141442001</v>
      </c>
      <c r="AE1627">
        <v>-8.2679999999999705</v>
      </c>
      <c r="AF1627">
        <v>3.4837200422054302</v>
      </c>
      <c r="AG1627">
        <v>-1.1010317141442001</v>
      </c>
      <c r="AH1627">
        <v>8.3586990334753892</v>
      </c>
      <c r="AI1627">
        <v>96.932311259782296</v>
      </c>
      <c r="AJ1627">
        <v>67.374710615351106</v>
      </c>
      <c r="AK1627">
        <v>9.1223037496148702</v>
      </c>
    </row>
    <row r="1628" spans="1:37" x14ac:dyDescent="0.2">
      <c r="A1628" t="str">
        <f>"20200111155823804"</f>
        <v>20200111155823804</v>
      </c>
      <c r="B1628" t="str">
        <f>"1578729503792081"</f>
        <v>1578729503792081</v>
      </c>
      <c r="C1628" t="s">
        <v>37</v>
      </c>
      <c r="D1628">
        <v>6.0280670000000001</v>
      </c>
      <c r="E1628">
        <v>0.59801629999999995</v>
      </c>
      <c r="F1628" t="s">
        <v>49</v>
      </c>
      <c r="G1628">
        <v>-195.63130000000001</v>
      </c>
      <c r="H1628" s="1">
        <v>2.7535939999999999E-7</v>
      </c>
      <c r="I1628">
        <v>298.05279999999999</v>
      </c>
      <c r="J1628">
        <v>-191.71969999999999</v>
      </c>
      <c r="K1628">
        <v>1.1008169999999999</v>
      </c>
      <c r="L1628">
        <v>306.010999999999</v>
      </c>
      <c r="M1628">
        <v>-6.0739790000000002E-2</v>
      </c>
      <c r="N1628">
        <v>0</v>
      </c>
      <c r="O1628">
        <v>-0.9980559</v>
      </c>
      <c r="P1628">
        <v>-0.1420447</v>
      </c>
      <c r="Q1628">
        <v>-2.2239109999999999E-2</v>
      </c>
      <c r="R1628">
        <v>-0.98961049999999995</v>
      </c>
      <c r="S1628">
        <v>-1.3577729999999999</v>
      </c>
      <c r="T1628">
        <v>-0.38030000000000003</v>
      </c>
      <c r="U1628">
        <v>-2.83520499999999</v>
      </c>
      <c r="V1628">
        <v>8.1593579999999999E-2</v>
      </c>
      <c r="W1628">
        <v>-9.0155180000000001E-3</v>
      </c>
      <c r="X1628">
        <v>0.99662489999999904</v>
      </c>
      <c r="Y1628">
        <v>0.3731582</v>
      </c>
      <c r="Z1628">
        <v>0.12130009999999999</v>
      </c>
      <c r="AA1628">
        <v>0.91980390000000001</v>
      </c>
      <c r="AB1628">
        <v>26</v>
      </c>
      <c r="AC1628">
        <v>-3.9116000000000199</v>
      </c>
      <c r="AD1628">
        <v>-1.1008167246406</v>
      </c>
      <c r="AE1628">
        <v>-7.9581999999999704</v>
      </c>
      <c r="AF1628">
        <v>3.36903070038937</v>
      </c>
      <c r="AG1628">
        <v>-1.1008167246406</v>
      </c>
      <c r="AH1628">
        <v>8.0569531176115508</v>
      </c>
      <c r="AI1628">
        <v>97.184406188175004</v>
      </c>
      <c r="AJ1628">
        <v>67.307661405771398</v>
      </c>
      <c r="AK1628">
        <v>8.8020826433750905</v>
      </c>
    </row>
    <row r="1629" spans="1:37" x14ac:dyDescent="0.2">
      <c r="A1629" t="str">
        <f>"20200111155823848"</f>
        <v>20200111155823848</v>
      </c>
      <c r="B1629" t="str">
        <f>"1578729503842833"</f>
        <v>1578729503842833</v>
      </c>
      <c r="C1629" t="s">
        <v>37</v>
      </c>
      <c r="D1629">
        <v>5.9657629999999999</v>
      </c>
      <c r="E1629">
        <v>0.55662730000000005</v>
      </c>
      <c r="F1629" t="s">
        <v>49</v>
      </c>
      <c r="G1629">
        <v>-195.7363</v>
      </c>
      <c r="H1629" s="1">
        <v>6.4698430000000002E-7</v>
      </c>
      <c r="I1629">
        <v>296.33629999999999</v>
      </c>
      <c r="J1629">
        <v>-191.76400000000001</v>
      </c>
      <c r="K1629">
        <v>1.10033799999999</v>
      </c>
      <c r="L1629">
        <v>305.50380000000001</v>
      </c>
      <c r="M1629">
        <v>-7.1618009999999996E-2</v>
      </c>
      <c r="N1629">
        <v>0</v>
      </c>
      <c r="O1629">
        <v>-0.99733329999999998</v>
      </c>
      <c r="P1629">
        <v>-0.1541264</v>
      </c>
      <c r="Q1629">
        <v>-2.1349549999999998E-2</v>
      </c>
      <c r="R1629">
        <v>-0.98782039999999904</v>
      </c>
      <c r="S1629">
        <v>-1.1849209999999999</v>
      </c>
      <c r="T1629">
        <v>-0.32474530000000001</v>
      </c>
      <c r="U1629">
        <v>-2.854095</v>
      </c>
      <c r="V1629">
        <v>8.2902299999999998E-2</v>
      </c>
      <c r="W1629">
        <v>-8.1632760000000006E-3</v>
      </c>
      <c r="X1629">
        <v>0.99652419999999997</v>
      </c>
      <c r="Y1629">
        <v>0.31416450000000001</v>
      </c>
      <c r="Z1629">
        <v>0.105453399999999</v>
      </c>
      <c r="AA1629">
        <v>0.94349369999999999</v>
      </c>
      <c r="AB1629">
        <v>26</v>
      </c>
      <c r="AC1629">
        <v>-3.97229999999999</v>
      </c>
      <c r="AD1629">
        <v>-1.1003373530156999</v>
      </c>
      <c r="AE1629">
        <v>-9.1675000000000093</v>
      </c>
      <c r="AF1629">
        <v>3.2658632059936501</v>
      </c>
      <c r="AG1629">
        <v>-1.1003373530156999</v>
      </c>
      <c r="AH1629">
        <v>9.3154833418334899</v>
      </c>
      <c r="AI1629">
        <v>96.3603591615109</v>
      </c>
      <c r="AJ1629">
        <v>70.680129310704004</v>
      </c>
      <c r="AK1629">
        <v>9.9325140152270706</v>
      </c>
    </row>
    <row r="1630" spans="1:37" x14ac:dyDescent="0.2">
      <c r="A1630" t="str">
        <f>"20200111155823894"</f>
        <v>20200111155823894</v>
      </c>
      <c r="B1630" t="str">
        <f>"1578729503882622"</f>
        <v>1578729503882622</v>
      </c>
      <c r="C1630" t="s">
        <v>37</v>
      </c>
      <c r="D1630">
        <v>6.0003679999999999</v>
      </c>
      <c r="E1630">
        <v>0.54933359999999998</v>
      </c>
      <c r="F1630" t="s">
        <v>49</v>
      </c>
      <c r="G1630">
        <v>-195.95580000000001</v>
      </c>
      <c r="H1630" s="1">
        <v>1.694253E-6</v>
      </c>
      <c r="I1630">
        <v>292.01159999999999</v>
      </c>
      <c r="J1630">
        <v>-191.8177</v>
      </c>
      <c r="K1630">
        <v>1.099882</v>
      </c>
      <c r="L1630">
        <v>304.97820000000002</v>
      </c>
      <c r="M1630">
        <v>-8.4338650000000001E-2</v>
      </c>
      <c r="N1630">
        <v>0</v>
      </c>
      <c r="O1630">
        <v>-0.99633719999999903</v>
      </c>
      <c r="P1630">
        <v>-0.169189899999999</v>
      </c>
      <c r="Q1630">
        <v>-2.012123E-2</v>
      </c>
      <c r="R1630">
        <v>-0.98537809999999904</v>
      </c>
      <c r="S1630">
        <v>-0.89840699999999996</v>
      </c>
      <c r="T1630">
        <v>-0.23583129999999999</v>
      </c>
      <c r="U1630">
        <v>-2.8917540000000002</v>
      </c>
      <c r="V1630">
        <v>8.5402169999999999E-2</v>
      </c>
      <c r="W1630">
        <v>-6.9851369999999998E-3</v>
      </c>
      <c r="X1630">
        <v>0.99632209999999999</v>
      </c>
      <c r="Y1630">
        <v>0.2141777</v>
      </c>
      <c r="Z1630">
        <v>7.8080750000000004E-2</v>
      </c>
      <c r="AA1630">
        <v>0.97366900000000001</v>
      </c>
      <c r="AB1630">
        <v>26</v>
      </c>
      <c r="AC1630">
        <v>-4.1380999999999997</v>
      </c>
      <c r="AD1630">
        <v>-1.0998803057469999</v>
      </c>
      <c r="AE1630">
        <v>-12.9666</v>
      </c>
      <c r="AF1630">
        <v>3.0100036555674801</v>
      </c>
      <c r="AG1630">
        <v>-1.0998803057469999</v>
      </c>
      <c r="AH1630">
        <v>13.1833412335577</v>
      </c>
      <c r="AI1630">
        <v>94.650000540411398</v>
      </c>
      <c r="AJ1630">
        <v>77.138759181146895</v>
      </c>
      <c r="AK1630">
        <v>13.5672526612399</v>
      </c>
    </row>
    <row r="1631" spans="1:37" x14ac:dyDescent="0.2">
      <c r="A1631" t="str">
        <f>"20200111155824049"</f>
        <v>20200111155824049</v>
      </c>
      <c r="B1631" t="str">
        <f>"1578729504043096"</f>
        <v>1578729504043096</v>
      </c>
      <c r="C1631" t="s">
        <v>37</v>
      </c>
      <c r="D1631">
        <v>5.9183339999999998</v>
      </c>
      <c r="E1631">
        <v>0.46870539999999999</v>
      </c>
      <c r="F1631" t="s">
        <v>49</v>
      </c>
      <c r="G1631">
        <v>-196.79230000000001</v>
      </c>
      <c r="H1631" s="1">
        <v>2.3961619999999998E-6</v>
      </c>
      <c r="I1631">
        <v>288.77530000000002</v>
      </c>
      <c r="J1631">
        <v>-192.07</v>
      </c>
      <c r="K1631">
        <v>1.0979620000000001</v>
      </c>
      <c r="L1631">
        <v>303.20229999999998</v>
      </c>
      <c r="M1631">
        <v>-0.14003450000000001</v>
      </c>
      <c r="N1631">
        <v>0</v>
      </c>
      <c r="O1631">
        <v>-0.99004130000000001</v>
      </c>
      <c r="P1631">
        <v>-0.27469929999999998</v>
      </c>
      <c r="Q1631">
        <v>-1.7970219999999999E-2</v>
      </c>
      <c r="R1631">
        <v>-0.96136250000000001</v>
      </c>
      <c r="S1631">
        <v>-0.88676449999999996</v>
      </c>
      <c r="T1631">
        <v>-0.19606299999999999</v>
      </c>
      <c r="U1631">
        <v>-2.888306</v>
      </c>
      <c r="V1631">
        <v>0.13728029999999999</v>
      </c>
      <c r="W1631">
        <v>-5.7994730000000003E-3</v>
      </c>
      <c r="X1631">
        <v>0.99051529999999999</v>
      </c>
      <c r="Y1631">
        <v>0.15610209999999999</v>
      </c>
      <c r="Z1631">
        <v>6.483208E-2</v>
      </c>
      <c r="AA1631">
        <v>0.98561100000000001</v>
      </c>
      <c r="AB1631">
        <v>25</v>
      </c>
      <c r="AC1631">
        <v>-4.7223000000000104</v>
      </c>
      <c r="AD1631">
        <v>-1.097959603838</v>
      </c>
      <c r="AE1631">
        <v>-14.4269999999999</v>
      </c>
      <c r="AF1631">
        <v>2.6414527185224599</v>
      </c>
      <c r="AG1631">
        <v>-1.097959603838</v>
      </c>
      <c r="AH1631">
        <v>14.8683869913334</v>
      </c>
      <c r="AI1631">
        <v>94.158474577184705</v>
      </c>
      <c r="AJ1631">
        <v>79.926186069077005</v>
      </c>
      <c r="AK1631">
        <v>15.1410607118491</v>
      </c>
    </row>
    <row r="1632" spans="1:37" x14ac:dyDescent="0.2">
      <c r="A1632" t="str">
        <f>"20200111155824230"</f>
        <v>20200111155824230</v>
      </c>
      <c r="B1632" t="str">
        <f>"1578729504222212"</f>
        <v>1578729504222212</v>
      </c>
      <c r="C1632" t="s">
        <v>37</v>
      </c>
      <c r="D1632">
        <v>6.053401</v>
      </c>
      <c r="E1632">
        <v>0.59027450000000004</v>
      </c>
      <c r="F1632" t="s">
        <v>38</v>
      </c>
      <c r="G1632">
        <v>-192.57769999999999</v>
      </c>
      <c r="H1632">
        <v>1.046044</v>
      </c>
      <c r="I1632">
        <v>300.9821</v>
      </c>
      <c r="J1632">
        <v>-192.52590000000001</v>
      </c>
      <c r="K1632">
        <v>1.0962229999999999</v>
      </c>
      <c r="L1632">
        <v>301.2029</v>
      </c>
      <c r="M1632">
        <v>-0.2261782</v>
      </c>
      <c r="N1632">
        <v>0</v>
      </c>
      <c r="O1632">
        <v>-0.97397199999999995</v>
      </c>
      <c r="P1632">
        <v>-0.35996479999999997</v>
      </c>
      <c r="Q1632">
        <v>-1.9349959999999999E-2</v>
      </c>
      <c r="R1632">
        <v>-0.93276550000000003</v>
      </c>
      <c r="S1632">
        <v>-0.75105290000000002</v>
      </c>
      <c r="T1632">
        <v>-0.20395050000000001</v>
      </c>
      <c r="U1632">
        <v>-2.91262799999999</v>
      </c>
      <c r="V1632">
        <v>0.139520799999999</v>
      </c>
      <c r="W1632">
        <v>-7.3665309999999999E-3</v>
      </c>
      <c r="X1632">
        <v>0.99019179999999996</v>
      </c>
      <c r="Y1632">
        <v>2.3622549999999999E-2</v>
      </c>
      <c r="Z1632">
        <v>6.6080920000000001E-2</v>
      </c>
      <c r="AA1632">
        <v>0.99753459999999905</v>
      </c>
      <c r="AB1632">
        <v>25</v>
      </c>
      <c r="AC1632">
        <v>-5.1799999999985802E-2</v>
      </c>
      <c r="AD1632">
        <v>-5.0178999999999897E-2</v>
      </c>
      <c r="AE1632">
        <v>-0.220799999999996</v>
      </c>
      <c r="AF1632">
        <v>4.8778154019039199E-4</v>
      </c>
      <c r="AG1632">
        <v>-5.0178999999999897E-2</v>
      </c>
      <c r="AH1632">
        <v>0.21621012197147199</v>
      </c>
      <c r="AI1632">
        <v>103.066108561943</v>
      </c>
      <c r="AJ1632">
        <v>89.870737891887003</v>
      </c>
      <c r="AK1632">
        <v>0.22195717337979801</v>
      </c>
    </row>
    <row r="1633" spans="1:37" x14ac:dyDescent="0.2">
      <c r="A1633" t="str">
        <f>"20200111155824250"</f>
        <v>20200111155824250</v>
      </c>
      <c r="B1633" t="str">
        <f>"1578729504242709"</f>
        <v>1578729504242709</v>
      </c>
      <c r="C1633" t="s">
        <v>37</v>
      </c>
      <c r="D1633">
        <v>5.805167</v>
      </c>
      <c r="E1633">
        <v>0.60228029999999999</v>
      </c>
      <c r="F1633" t="s">
        <v>41</v>
      </c>
      <c r="G1633">
        <v>-216.13640000000001</v>
      </c>
      <c r="H1633">
        <v>-0.05</v>
      </c>
      <c r="I1633">
        <v>266.98099999999999</v>
      </c>
      <c r="J1633">
        <v>-192.59139999999999</v>
      </c>
      <c r="K1633">
        <v>1.0960859999999999</v>
      </c>
      <c r="L1633">
        <v>300.97629999999998</v>
      </c>
      <c r="M1633">
        <v>-0.23724389999999901</v>
      </c>
      <c r="N1633">
        <v>0</v>
      </c>
      <c r="O1633">
        <v>-0.9713349</v>
      </c>
      <c r="P1633">
        <v>-0.3721275</v>
      </c>
      <c r="Q1633">
        <v>-1.635673E-2</v>
      </c>
      <c r="R1633">
        <v>-0.92803749999999996</v>
      </c>
      <c r="S1633">
        <v>-1.75145</v>
      </c>
      <c r="T1633">
        <v>-8.5027690000000003E-2</v>
      </c>
      <c r="U1633">
        <v>-2.538605</v>
      </c>
      <c r="V1633">
        <v>0.1412446</v>
      </c>
      <c r="W1633">
        <v>-4.407818E-3</v>
      </c>
      <c r="X1633">
        <v>0.98996489999999904</v>
      </c>
      <c r="Y1633">
        <v>0.35614209999999902</v>
      </c>
      <c r="Z1633">
        <v>2.7976069999999999E-2</v>
      </c>
      <c r="AA1633">
        <v>0.93401290000000003</v>
      </c>
      <c r="AB1633">
        <v>25</v>
      </c>
      <c r="AC1633">
        <v>-23.545000000000002</v>
      </c>
      <c r="AD1633">
        <v>-1.1460859999999999</v>
      </c>
      <c r="AE1633">
        <v>-33.995299999999901</v>
      </c>
      <c r="AF1633">
        <v>14.7951955272195</v>
      </c>
      <c r="AG1633">
        <v>-1.1460859999999999</v>
      </c>
      <c r="AH1633">
        <v>38.5814156538232</v>
      </c>
      <c r="AI1633">
        <v>91.588758510064295</v>
      </c>
      <c r="AJ1633">
        <v>69.019187624200697</v>
      </c>
      <c r="AK1633">
        <v>41.336871648216501</v>
      </c>
    </row>
    <row r="1634" spans="1:37" x14ac:dyDescent="0.2">
      <c r="A1634" t="str">
        <f>"20200111155824272"</f>
        <v>20200111155824272</v>
      </c>
      <c r="B1634" t="str">
        <f>"1578729504263206"</f>
        <v>1578729504263206</v>
      </c>
      <c r="C1634" t="s">
        <v>37</v>
      </c>
      <c r="D1634">
        <v>5.7980070000000001</v>
      </c>
      <c r="E1634">
        <v>0.60822449999999995</v>
      </c>
      <c r="F1634" t="s">
        <v>49</v>
      </c>
      <c r="G1634">
        <v>-207.59450000000001</v>
      </c>
      <c r="H1634" s="1">
        <v>5.8953890000000002E-6</v>
      </c>
      <c r="I1634">
        <v>281.06400000000002</v>
      </c>
      <c r="J1634">
        <v>-192.66560000000001</v>
      </c>
      <c r="K1634">
        <v>1.0959889999999901</v>
      </c>
      <c r="L1634">
        <v>300.73160000000001</v>
      </c>
      <c r="M1634">
        <v>-0.249395899999999</v>
      </c>
      <c r="N1634">
        <v>0</v>
      </c>
      <c r="O1634">
        <v>-0.96828549999999902</v>
      </c>
      <c r="P1634">
        <v>-0.38476169999999998</v>
      </c>
      <c r="Q1634">
        <v>-1.302527E-2</v>
      </c>
      <c r="R1634">
        <v>-0.92292419999999997</v>
      </c>
      <c r="S1634">
        <v>-1.8691099999999901</v>
      </c>
      <c r="T1634">
        <v>-0.13655129999999999</v>
      </c>
      <c r="U1634">
        <v>-2.4807130000000002</v>
      </c>
      <c r="V1634">
        <v>0.14240929999999999</v>
      </c>
      <c r="W1634">
        <v>-1.091645E-3</v>
      </c>
      <c r="X1634">
        <v>0.9898072</v>
      </c>
      <c r="Y1634">
        <v>0.38292579999999998</v>
      </c>
      <c r="Z1634">
        <v>4.4715770000000002E-2</v>
      </c>
      <c r="AA1634">
        <v>0.92269619999999997</v>
      </c>
      <c r="AB1634">
        <v>25</v>
      </c>
      <c r="AC1634">
        <v>-14.928900000000001</v>
      </c>
      <c r="AD1634">
        <v>-1.09598310461099</v>
      </c>
      <c r="AE1634">
        <v>-19.6676</v>
      </c>
      <c r="AF1634">
        <v>9.5327116567386305</v>
      </c>
      <c r="AG1634">
        <v>-1.09598310461099</v>
      </c>
      <c r="AH1634">
        <v>22.724847115929698</v>
      </c>
      <c r="AI1634">
        <v>92.546489465646403</v>
      </c>
      <c r="AJ1634">
        <v>67.242726284953605</v>
      </c>
      <c r="AK1634">
        <v>24.667639671004</v>
      </c>
    </row>
    <row r="1635" spans="1:37" x14ac:dyDescent="0.2">
      <c r="A1635" t="str">
        <f>"20200111155824295"</f>
        <v>20200111155824295</v>
      </c>
      <c r="B1635" t="str">
        <f>"1578729504282723"</f>
        <v>1578729504282723</v>
      </c>
      <c r="C1635" t="s">
        <v>37</v>
      </c>
      <c r="D1635">
        <v>5.6393959999999996</v>
      </c>
      <c r="E1635">
        <v>0.6120276</v>
      </c>
      <c r="F1635" t="s">
        <v>49</v>
      </c>
      <c r="G1635">
        <v>-206.6788</v>
      </c>
      <c r="H1635" s="1">
        <v>5.3049370000000002E-6</v>
      </c>
      <c r="I1635">
        <v>283.17320000000001</v>
      </c>
      <c r="J1635">
        <v>-192.7405</v>
      </c>
      <c r="K1635">
        <v>1.0959139999999901</v>
      </c>
      <c r="L1635">
        <v>300.49579999999997</v>
      </c>
      <c r="M1635">
        <v>-0.26126250000000001</v>
      </c>
      <c r="N1635">
        <v>0</v>
      </c>
      <c r="O1635">
        <v>-0.96515049999999902</v>
      </c>
      <c r="P1635">
        <v>-0.39688770000000001</v>
      </c>
      <c r="Q1635">
        <v>-1.01619E-2</v>
      </c>
      <c r="R1635">
        <v>-0.9178113</v>
      </c>
      <c r="S1635">
        <v>-1.945282</v>
      </c>
      <c r="T1635">
        <v>-0.152142</v>
      </c>
      <c r="U1635">
        <v>-2.437408</v>
      </c>
      <c r="V1635">
        <v>0.14335029999999899</v>
      </c>
      <c r="W1635">
        <v>1.7650750000000001E-3</v>
      </c>
      <c r="X1635">
        <v>0.98967050000000001</v>
      </c>
      <c r="Y1635">
        <v>0.39710630000000002</v>
      </c>
      <c r="Z1635">
        <v>4.9676539999999998E-2</v>
      </c>
      <c r="AA1635">
        <v>0.916427199999999</v>
      </c>
      <c r="AB1635">
        <v>25</v>
      </c>
      <c r="AC1635">
        <v>-13.9382999999999</v>
      </c>
      <c r="AD1635">
        <v>-1.0959086950629999</v>
      </c>
      <c r="AE1635">
        <v>-17.322599999999898</v>
      </c>
      <c r="AF1635">
        <v>8.9061847014063709</v>
      </c>
      <c r="AG1635">
        <v>-1.0959086950629999</v>
      </c>
      <c r="AH1635">
        <v>20.313425247408201</v>
      </c>
      <c r="AI1635">
        <v>92.828662345099701</v>
      </c>
      <c r="AJ1635">
        <v>66.3255116162115</v>
      </c>
      <c r="AK1635">
        <v>22.207124691988401</v>
      </c>
    </row>
    <row r="1636" spans="1:37" x14ac:dyDescent="0.2">
      <c r="A1636" t="str">
        <f>"20200111155824317"</f>
        <v>20200111155824317</v>
      </c>
      <c r="B1636" t="str">
        <f>"1578729504312980"</f>
        <v>1578729504312980</v>
      </c>
      <c r="C1636" t="s">
        <v>37</v>
      </c>
      <c r="D1636">
        <v>5.5784440000000002</v>
      </c>
      <c r="E1636">
        <v>0.6150909</v>
      </c>
      <c r="F1636" t="s">
        <v>49</v>
      </c>
      <c r="G1636">
        <v>-206.99539999999999</v>
      </c>
      <c r="H1636" s="1">
        <v>5.4224969999999901E-6</v>
      </c>
      <c r="I1636">
        <v>283.43430000000001</v>
      </c>
      <c r="J1636">
        <v>-192.82140000000001</v>
      </c>
      <c r="K1636">
        <v>1.0958509999999999</v>
      </c>
      <c r="L1636">
        <v>300.25220000000002</v>
      </c>
      <c r="M1636">
        <v>-0.27367419999999998</v>
      </c>
      <c r="N1636">
        <v>0</v>
      </c>
      <c r="O1636">
        <v>-0.96170429999999996</v>
      </c>
      <c r="P1636">
        <v>-0.4105972</v>
      </c>
      <c r="Q1636">
        <v>-1.0590230000000001E-2</v>
      </c>
      <c r="R1636">
        <v>-0.91175529999999905</v>
      </c>
      <c r="S1636">
        <v>-2.005096</v>
      </c>
      <c r="T1636">
        <v>-0.15415039999999999</v>
      </c>
      <c r="U1636">
        <v>-2.3998719999999998</v>
      </c>
      <c r="V1636">
        <v>0.14542439999999901</v>
      </c>
      <c r="W1636">
        <v>1.3058830000000001E-3</v>
      </c>
      <c r="X1636">
        <v>0.98936849999999998</v>
      </c>
      <c r="Y1636">
        <v>0.40581319999999999</v>
      </c>
      <c r="Z1636">
        <v>5.0214290000000002E-2</v>
      </c>
      <c r="AA1636">
        <v>0.91257559999999904</v>
      </c>
      <c r="AB1636">
        <v>25</v>
      </c>
      <c r="AC1636">
        <v>-14.1739999999999</v>
      </c>
      <c r="AD1636">
        <v>-1.095845577503</v>
      </c>
      <c r="AE1636">
        <v>-16.817900000000002</v>
      </c>
      <c r="AF1636">
        <v>9.0072374143543001</v>
      </c>
      <c r="AG1636">
        <v>-1.095845577503</v>
      </c>
      <c r="AH1636">
        <v>20.005520973216498</v>
      </c>
      <c r="AI1636">
        <v>92.859434772798593</v>
      </c>
      <c r="AJ1636">
        <v>65.760935508360006</v>
      </c>
      <c r="AK1636">
        <v>21.967067914905801</v>
      </c>
    </row>
    <row r="1637" spans="1:37" x14ac:dyDescent="0.2">
      <c r="A1637" t="str">
        <f>"20200111155824340"</f>
        <v>20200111155824340</v>
      </c>
      <c r="B1637" t="str">
        <f>"1578729504332500"</f>
        <v>1578729504332500</v>
      </c>
      <c r="C1637" t="s">
        <v>37</v>
      </c>
      <c r="D1637">
        <v>5.5535670000000001</v>
      </c>
      <c r="E1637">
        <v>0.61612299999999998</v>
      </c>
      <c r="F1637" t="s">
        <v>49</v>
      </c>
      <c r="G1637">
        <v>-206.44710000000001</v>
      </c>
      <c r="H1637" s="1">
        <v>5.0715280000000004E-6</v>
      </c>
      <c r="I1637">
        <v>284.66750000000002</v>
      </c>
      <c r="J1637">
        <v>-192.9051</v>
      </c>
      <c r="K1637">
        <v>1.0957889999999999</v>
      </c>
      <c r="L1637">
        <v>300.01069999999999</v>
      </c>
      <c r="M1637">
        <v>-0.28611140000000002</v>
      </c>
      <c r="N1637">
        <v>0</v>
      </c>
      <c r="O1637">
        <v>-0.95807699999999996</v>
      </c>
      <c r="P1637">
        <v>-0.42496600000000001</v>
      </c>
      <c r="Q1637">
        <v>-1.2326719999999999E-2</v>
      </c>
      <c r="R1637">
        <v>-0.90512530000000002</v>
      </c>
      <c r="S1637">
        <v>-2.062881</v>
      </c>
      <c r="T1637">
        <v>-0.16590669999999999</v>
      </c>
      <c r="U1637">
        <v>-2.359467</v>
      </c>
      <c r="V1637">
        <v>0.14822289999999999</v>
      </c>
      <c r="W1637">
        <v>-4.7949699999999898E-4</v>
      </c>
      <c r="X1637">
        <v>0.98895390000000005</v>
      </c>
      <c r="Y1637">
        <v>0.41428209999999999</v>
      </c>
      <c r="Z1637">
        <v>5.3938460000000001E-2</v>
      </c>
      <c r="AA1637">
        <v>0.90854889999999999</v>
      </c>
      <c r="AB1637">
        <v>25</v>
      </c>
      <c r="AC1637">
        <v>-13.542</v>
      </c>
      <c r="AD1637">
        <v>-1.0957839284719999</v>
      </c>
      <c r="AE1637">
        <v>-15.3431999999999</v>
      </c>
      <c r="AF1637">
        <v>8.5608513591581392</v>
      </c>
      <c r="AG1637">
        <v>-1.0957839284719999</v>
      </c>
      <c r="AH1637">
        <v>18.5235033952737</v>
      </c>
      <c r="AI1637">
        <v>93.073766855301599</v>
      </c>
      <c r="AJ1637">
        <v>65.195434586318498</v>
      </c>
      <c r="AK1637">
        <v>20.435486205280601</v>
      </c>
    </row>
    <row r="1638" spans="1:37" x14ac:dyDescent="0.2">
      <c r="A1638" t="str">
        <f>"20200111155824362"</f>
        <v>20200111155824362</v>
      </c>
      <c r="B1638" t="str">
        <f>"1578729504352996"</f>
        <v>1578729504352996</v>
      </c>
      <c r="C1638" t="s">
        <v>37</v>
      </c>
      <c r="D1638">
        <v>5.5402550000000002</v>
      </c>
      <c r="E1638">
        <v>0.61648480000000005</v>
      </c>
      <c r="F1638" t="s">
        <v>49</v>
      </c>
      <c r="G1638">
        <v>-205.7303</v>
      </c>
      <c r="H1638" s="1">
        <v>4.6482669999999998E-6</v>
      </c>
      <c r="I1638">
        <v>285.8734</v>
      </c>
      <c r="J1638">
        <v>-192.99170000000001</v>
      </c>
      <c r="K1638">
        <v>1.0957330000000001</v>
      </c>
      <c r="L1638">
        <v>299.7713</v>
      </c>
      <c r="M1638">
        <v>-0.2985719</v>
      </c>
      <c r="N1638">
        <v>0</v>
      </c>
      <c r="O1638">
        <v>-0.95426679999999997</v>
      </c>
      <c r="P1638">
        <v>-0.439272099999999</v>
      </c>
      <c r="Q1638">
        <v>-1.234443E-2</v>
      </c>
      <c r="R1638">
        <v>-0.8982696</v>
      </c>
      <c r="S1638">
        <v>-2.1070709999999999</v>
      </c>
      <c r="T1638">
        <v>-0.18002689999999999</v>
      </c>
      <c r="U1638">
        <v>-2.322632</v>
      </c>
      <c r="V1638">
        <v>0.15102409999999999</v>
      </c>
      <c r="W1638">
        <v>-5.4941279999999896E-4</v>
      </c>
      <c r="X1638">
        <v>0.98852989999999996</v>
      </c>
      <c r="Y1638">
        <v>0.418906099999999</v>
      </c>
      <c r="Z1638">
        <v>5.846353E-2</v>
      </c>
      <c r="AA1638">
        <v>0.90614550000000005</v>
      </c>
      <c r="AB1638">
        <v>25</v>
      </c>
      <c r="AC1638">
        <v>-12.7385999999999</v>
      </c>
      <c r="AD1638">
        <v>-1.0957283517330001</v>
      </c>
      <c r="AE1638">
        <v>-13.8978999999999</v>
      </c>
      <c r="AF1638">
        <v>7.9804623357890003</v>
      </c>
      <c r="AG1638">
        <v>-1.0957283517330001</v>
      </c>
      <c r="AH1638">
        <v>17.010192431400199</v>
      </c>
      <c r="AI1638">
        <v>93.337531721138603</v>
      </c>
      <c r="AJ1638">
        <v>64.8660178646942</v>
      </c>
      <c r="AK1638">
        <v>18.8211329698029</v>
      </c>
    </row>
    <row r="1639" spans="1:37" x14ac:dyDescent="0.2">
      <c r="A1639" t="str">
        <f>"20200111155824387"</f>
        <v>20200111155824387</v>
      </c>
      <c r="B1639" t="str">
        <f>"1578729504383252"</f>
        <v>1578729504383252</v>
      </c>
      <c r="C1639" t="s">
        <v>37</v>
      </c>
      <c r="D1639">
        <v>5.4850959999999898</v>
      </c>
      <c r="E1639">
        <v>0.61663590000000001</v>
      </c>
      <c r="F1639" t="s">
        <v>49</v>
      </c>
      <c r="G1639">
        <v>-205.24440000000001</v>
      </c>
      <c r="H1639" s="1">
        <v>4.3599130000000001E-6</v>
      </c>
      <c r="I1639">
        <v>286.70650000000001</v>
      </c>
      <c r="J1639">
        <v>-193.08349999999999</v>
      </c>
      <c r="K1639">
        <v>1.0956680000000001</v>
      </c>
      <c r="L1639">
        <v>299.52789999999999</v>
      </c>
      <c r="M1639">
        <v>-0.31137589999999998</v>
      </c>
      <c r="N1639">
        <v>0</v>
      </c>
      <c r="O1639">
        <v>-0.9501655</v>
      </c>
      <c r="P1639">
        <v>-0.45560719999999999</v>
      </c>
      <c r="Q1639">
        <v>-1.1943469999999999E-2</v>
      </c>
      <c r="R1639">
        <v>-0.89010069999999997</v>
      </c>
      <c r="S1639">
        <v>-2.1456599999999999</v>
      </c>
      <c r="T1639">
        <v>-0.19188129999999901</v>
      </c>
      <c r="U1639">
        <v>-2.2878720000000001</v>
      </c>
      <c r="V1639">
        <v>0.15579409999999999</v>
      </c>
      <c r="W1639">
        <v>-2.5198929999999998E-4</v>
      </c>
      <c r="X1639">
        <v>0.98778949999999999</v>
      </c>
      <c r="Y1639">
        <v>0.42154170000000002</v>
      </c>
      <c r="Z1639">
        <v>6.2239290000000003E-2</v>
      </c>
      <c r="AA1639">
        <v>0.90467059999999999</v>
      </c>
      <c r="AB1639">
        <v>25</v>
      </c>
      <c r="AC1639">
        <v>-12.1609</v>
      </c>
      <c r="AD1639">
        <v>-1.0956636400869999</v>
      </c>
      <c r="AE1639">
        <v>-12.821399999999899</v>
      </c>
      <c r="AF1639">
        <v>7.5344998691021203</v>
      </c>
      <c r="AG1639">
        <v>-1.0956636400869999</v>
      </c>
      <c r="AH1639">
        <v>15.9097427763509</v>
      </c>
      <c r="AI1639">
        <v>93.561534976782099</v>
      </c>
      <c r="AJ1639">
        <v>64.658807112063002</v>
      </c>
      <c r="AK1639">
        <v>17.637717604592702</v>
      </c>
    </row>
    <row r="1640" spans="1:37" x14ac:dyDescent="0.2">
      <c r="A1640" t="str">
        <f>"20200111155824416"</f>
        <v>20200111155824416</v>
      </c>
      <c r="B1640" t="str">
        <f>"1578729504412534"</f>
        <v>1578729504412534</v>
      </c>
      <c r="C1640" t="s">
        <v>37</v>
      </c>
      <c r="D1640">
        <v>5.487031</v>
      </c>
      <c r="E1640">
        <v>0.61605359999999998</v>
      </c>
      <c r="F1640" t="s">
        <v>49</v>
      </c>
      <c r="G1640">
        <v>-204.72569999999999</v>
      </c>
      <c r="H1640" s="1">
        <v>4.0552819999999999E-6</v>
      </c>
      <c r="I1640">
        <v>287.56020000000001</v>
      </c>
      <c r="J1640">
        <v>-193.21170000000001</v>
      </c>
      <c r="K1640">
        <v>1.0955619999999999</v>
      </c>
      <c r="L1640">
        <v>299.20569999999998</v>
      </c>
      <c r="M1640">
        <v>-0.32857729999999902</v>
      </c>
      <c r="N1640">
        <v>0</v>
      </c>
      <c r="O1640">
        <v>-0.94435440000000004</v>
      </c>
      <c r="P1640">
        <v>-0.47532099999999999</v>
      </c>
      <c r="Q1640">
        <v>-1.2557240000000001E-2</v>
      </c>
      <c r="R1640">
        <v>-0.87972309999999998</v>
      </c>
      <c r="S1640">
        <v>-2.1870569999999998</v>
      </c>
      <c r="T1640">
        <v>-0.20582710000000001</v>
      </c>
      <c r="U1640">
        <v>-2.2481990000000001</v>
      </c>
      <c r="V1640">
        <v>0.1598494</v>
      </c>
      <c r="W1640">
        <v>-9.5620660000000001E-4</v>
      </c>
      <c r="X1640">
        <v>0.98714099999999905</v>
      </c>
      <c r="Y1640">
        <v>0.42141390000000001</v>
      </c>
      <c r="Z1640">
        <v>6.6615900000000006E-2</v>
      </c>
      <c r="AA1640">
        <v>0.90441839999999996</v>
      </c>
      <c r="AB1640">
        <v>25</v>
      </c>
      <c r="AC1640">
        <v>-11.5139999999999</v>
      </c>
      <c r="AD1640">
        <v>-1.0955579447179999</v>
      </c>
      <c r="AE1640">
        <v>-11.645499999999901</v>
      </c>
      <c r="AF1640">
        <v>7.0162658803250997</v>
      </c>
      <c r="AG1640">
        <v>-1.0955579447179999</v>
      </c>
      <c r="AH1640">
        <v>14.7165690271669</v>
      </c>
      <c r="AI1640">
        <v>93.8443567353752</v>
      </c>
      <c r="AJ1640">
        <v>64.510078840497499</v>
      </c>
      <c r="AK1640">
        <v>16.340307158833198</v>
      </c>
    </row>
    <row r="1641" spans="1:37" x14ac:dyDescent="0.2">
      <c r="A1641" t="str">
        <f>"20200111155824434"</f>
        <v>20200111155824434</v>
      </c>
      <c r="B1641" t="str">
        <f>"1578729504423269"</f>
        <v>1578729504423269</v>
      </c>
      <c r="C1641" t="s">
        <v>37</v>
      </c>
      <c r="D1641">
        <v>5.4600479999999996</v>
      </c>
      <c r="E1641">
        <v>0.61569799999999997</v>
      </c>
      <c r="F1641" t="s">
        <v>49</v>
      </c>
      <c r="G1641">
        <v>-204.3571</v>
      </c>
      <c r="H1641" s="1">
        <v>3.8347050000000002E-6</v>
      </c>
      <c r="I1641">
        <v>288.2133</v>
      </c>
      <c r="J1641">
        <v>-193.2878</v>
      </c>
      <c r="K1641">
        <v>1.095499</v>
      </c>
      <c r="L1641">
        <v>299.02210000000002</v>
      </c>
      <c r="M1641">
        <v>-0.33848119999999998</v>
      </c>
      <c r="N1641">
        <v>0</v>
      </c>
      <c r="O1641">
        <v>-0.94084950000000001</v>
      </c>
      <c r="P1641">
        <v>-0.48763970000000001</v>
      </c>
      <c r="Q1641">
        <v>-1.563438E-2</v>
      </c>
      <c r="R1641">
        <v>-0.87290509999999999</v>
      </c>
      <c r="S1641">
        <v>-2.231827</v>
      </c>
      <c r="T1641">
        <v>-0.21938150000000001</v>
      </c>
      <c r="U1641">
        <v>-2.2011720000000001</v>
      </c>
      <c r="V1641">
        <v>0.163301799999999</v>
      </c>
      <c r="W1641">
        <v>-4.1138399999999997E-3</v>
      </c>
      <c r="X1641">
        <v>0.98656759999999999</v>
      </c>
      <c r="Y1641">
        <v>0.43036239999999998</v>
      </c>
      <c r="Z1641">
        <v>7.1057220000000004E-2</v>
      </c>
      <c r="AA1641">
        <v>0.89985509999999902</v>
      </c>
      <c r="AB1641">
        <v>25</v>
      </c>
      <c r="AC1641">
        <v>-11.069299999999901</v>
      </c>
      <c r="AD1641">
        <v>-1.095495165295</v>
      </c>
      <c r="AE1641">
        <v>-10.8088</v>
      </c>
      <c r="AF1641">
        <v>6.7230476944362696</v>
      </c>
      <c r="AG1641">
        <v>-1.095495165295</v>
      </c>
      <c r="AH1641">
        <v>13.8483898648853</v>
      </c>
      <c r="AI1641">
        <v>94.070504411628207</v>
      </c>
      <c r="AJ1641">
        <v>64.104583967146098</v>
      </c>
      <c r="AK1641">
        <v>15.4329965272045</v>
      </c>
    </row>
    <row r="1642" spans="1:37" x14ac:dyDescent="0.2">
      <c r="A1642" t="str">
        <f>"20200111155824453"</f>
        <v>20200111155824453</v>
      </c>
      <c r="B1642" t="str">
        <f>"1578729504442788"</f>
        <v>1578729504442788</v>
      </c>
      <c r="C1642" t="s">
        <v>37</v>
      </c>
      <c r="D1642">
        <v>5.6186850000000002</v>
      </c>
      <c r="E1642">
        <v>0.61474770000000001</v>
      </c>
      <c r="F1642" t="s">
        <v>49</v>
      </c>
      <c r="G1642">
        <v>-203.8973</v>
      </c>
      <c r="H1642" s="1">
        <v>3.5770359999999999E-6</v>
      </c>
      <c r="I1642">
        <v>288.82850000000002</v>
      </c>
      <c r="J1642">
        <v>-193.36779999999999</v>
      </c>
      <c r="K1642">
        <v>1.0954330000000001</v>
      </c>
      <c r="L1642">
        <v>298.8347</v>
      </c>
      <c r="M1642">
        <v>-0.3486649</v>
      </c>
      <c r="N1642">
        <v>0</v>
      </c>
      <c r="O1642">
        <v>-0.93712289999999998</v>
      </c>
      <c r="P1642">
        <v>-0.49897819999999998</v>
      </c>
      <c r="Q1642">
        <v>-1.949321E-2</v>
      </c>
      <c r="R1642">
        <v>-0.86639529999999998</v>
      </c>
      <c r="S1642">
        <v>-2.2591549999999998</v>
      </c>
      <c r="T1642">
        <v>-0.23327110000000001</v>
      </c>
      <c r="U1642">
        <v>-2.1705930000000002</v>
      </c>
      <c r="V1642">
        <v>0.16540650000000001</v>
      </c>
      <c r="W1642">
        <v>-8.0213300000000001E-3</v>
      </c>
      <c r="X1642">
        <v>0.98619290000000004</v>
      </c>
      <c r="Y1642">
        <v>0.43209570000000003</v>
      </c>
      <c r="Z1642">
        <v>7.5498170000000003E-2</v>
      </c>
      <c r="AA1642">
        <v>0.89866199999999996</v>
      </c>
      <c r="AB1642">
        <v>25</v>
      </c>
      <c r="AC1642">
        <v>-10.529500000000001</v>
      </c>
      <c r="AD1642">
        <v>-1.095429422964</v>
      </c>
      <c r="AE1642">
        <v>-10.0061999999999</v>
      </c>
      <c r="AF1642">
        <v>6.3432940251844201</v>
      </c>
      <c r="AG1642">
        <v>-1.095429422964</v>
      </c>
      <c r="AH1642">
        <v>12.9760324256081</v>
      </c>
      <c r="AI1642">
        <v>94.337144098958007</v>
      </c>
      <c r="AJ1642">
        <v>63.948443568579101</v>
      </c>
      <c r="AK1642">
        <v>14.4849840255718</v>
      </c>
    </row>
    <row r="1643" spans="1:37" x14ac:dyDescent="0.2">
      <c r="A1643" t="str">
        <f>"20200111155824474"</f>
        <v>20200111155824474</v>
      </c>
      <c r="B1643" t="str">
        <f>"1578729504462307"</f>
        <v>1578729504462307</v>
      </c>
      <c r="C1643" t="s">
        <v>37</v>
      </c>
      <c r="D1643">
        <v>5.4757280000000002</v>
      </c>
      <c r="E1643">
        <v>0.61419979999999996</v>
      </c>
      <c r="F1643" t="s">
        <v>49</v>
      </c>
      <c r="G1643">
        <v>-202.5806</v>
      </c>
      <c r="H1643">
        <v>8.0000420000000003E-2</v>
      </c>
      <c r="I1643">
        <v>290.17079999999999</v>
      </c>
      <c r="J1643">
        <v>-193.46549999999999</v>
      </c>
      <c r="K1643">
        <v>1.0953649999999999</v>
      </c>
      <c r="L1643">
        <v>298.6139</v>
      </c>
      <c r="M1643">
        <v>-0.36077939999999997</v>
      </c>
      <c r="N1643">
        <v>0</v>
      </c>
      <c r="O1643">
        <v>-0.93252579999999996</v>
      </c>
      <c r="P1643">
        <v>-0.51140029999999903</v>
      </c>
      <c r="Q1643">
        <v>-2.2409249999999999E-2</v>
      </c>
      <c r="R1643">
        <v>-0.85905089999999995</v>
      </c>
      <c r="S1643">
        <v>-2.2797700000000001</v>
      </c>
      <c r="T1643">
        <v>-0.25127650000000001</v>
      </c>
      <c r="U1643">
        <v>-2.1439509999999999</v>
      </c>
      <c r="V1643">
        <v>0.16678599999999999</v>
      </c>
      <c r="W1643">
        <v>-1.0966170000000001E-2</v>
      </c>
      <c r="X1643">
        <v>0.98593220000000004</v>
      </c>
      <c r="Y1643">
        <v>0.42968840000000003</v>
      </c>
      <c r="Z1643">
        <v>8.1195290000000003E-2</v>
      </c>
      <c r="AA1643">
        <v>0.89931930000000004</v>
      </c>
      <c r="AB1643">
        <v>24</v>
      </c>
      <c r="AC1643">
        <v>-9.1151000000000106</v>
      </c>
      <c r="AD1643">
        <v>-1.01536458</v>
      </c>
      <c r="AE1643">
        <v>-8.44310000000001</v>
      </c>
      <c r="AF1643">
        <v>5.4184203322673099</v>
      </c>
      <c r="AG1643">
        <v>-1.01536458</v>
      </c>
      <c r="AH1643">
        <v>11.089195179451</v>
      </c>
      <c r="AI1643">
        <v>94.703007668896802</v>
      </c>
      <c r="AJ1643">
        <v>63.958866090640797</v>
      </c>
      <c r="AK1643">
        <v>12.3838804037913</v>
      </c>
    </row>
    <row r="1644" spans="1:37" x14ac:dyDescent="0.2">
      <c r="A1644" t="str">
        <f>"20200111155824497"</f>
        <v>20200111155824497</v>
      </c>
      <c r="B1644" t="str">
        <f>"1578729504492565"</f>
        <v>1578729504492565</v>
      </c>
      <c r="C1644" t="s">
        <v>37</v>
      </c>
      <c r="D1644">
        <v>5.4190199999999997</v>
      </c>
      <c r="E1644">
        <v>0.59706510000000002</v>
      </c>
      <c r="F1644" t="s">
        <v>49</v>
      </c>
      <c r="G1644">
        <v>-202.3921</v>
      </c>
      <c r="H1644">
        <v>8.0000390000000005E-2</v>
      </c>
      <c r="I1644">
        <v>290.43849999999998</v>
      </c>
      <c r="J1644">
        <v>-193.56989999999999</v>
      </c>
      <c r="K1644">
        <v>1.095324</v>
      </c>
      <c r="L1644">
        <v>298.38630000000001</v>
      </c>
      <c r="M1644">
        <v>-0.37336809999999998</v>
      </c>
      <c r="N1644">
        <v>0</v>
      </c>
      <c r="O1644">
        <v>-0.92755669999999901</v>
      </c>
      <c r="P1644">
        <v>-0.523393</v>
      </c>
      <c r="Q1644">
        <v>-2.44248E-2</v>
      </c>
      <c r="R1644">
        <v>-0.85174130000000003</v>
      </c>
      <c r="S1644">
        <v>-2.306473</v>
      </c>
      <c r="T1644">
        <v>-0.26235019999999998</v>
      </c>
      <c r="U1644">
        <v>-2.1123660000000002</v>
      </c>
      <c r="V1644">
        <v>0.1672389</v>
      </c>
      <c r="W1644">
        <v>-1.2984040000000001E-2</v>
      </c>
      <c r="X1644">
        <v>0.98583089999999995</v>
      </c>
      <c r="Y1644">
        <v>0.42912679999999997</v>
      </c>
      <c r="Z1644">
        <v>8.4617499999999998E-2</v>
      </c>
      <c r="AA1644">
        <v>0.89927199999999996</v>
      </c>
      <c r="AB1644">
        <v>24</v>
      </c>
      <c r="AC1644">
        <v>-8.8222000000000094</v>
      </c>
      <c r="AD1644">
        <v>-1.01532361</v>
      </c>
      <c r="AE1644">
        <v>-7.9478000000000204</v>
      </c>
      <c r="AF1644">
        <v>5.1783875656280198</v>
      </c>
      <c r="AG1644">
        <v>-1.01532361</v>
      </c>
      <c r="AH1644">
        <v>10.5897907735235</v>
      </c>
      <c r="AI1644">
        <v>94.9228056629142</v>
      </c>
      <c r="AJ1644">
        <v>63.941454654960197</v>
      </c>
      <c r="AK1644">
        <v>11.831747480396899</v>
      </c>
    </row>
    <row r="1645" spans="1:37" x14ac:dyDescent="0.2">
      <c r="A1645" t="str">
        <f>"20200111155824519"</f>
        <v>20200111155824519</v>
      </c>
      <c r="B1645" t="str">
        <f>"1578729504513060"</f>
        <v>1578729504513060</v>
      </c>
      <c r="C1645" t="s">
        <v>37</v>
      </c>
      <c r="D1645">
        <v>5.4247129999999997</v>
      </c>
      <c r="E1645">
        <v>0.59892609999999902</v>
      </c>
      <c r="F1645" t="s">
        <v>49</v>
      </c>
      <c r="G1645">
        <v>-200.59180000000001</v>
      </c>
      <c r="H1645">
        <v>7.9999940000000005E-2</v>
      </c>
      <c r="I1645">
        <v>291.5677</v>
      </c>
      <c r="J1645">
        <v>-193.68029999999999</v>
      </c>
      <c r="K1645">
        <v>1.0952979999999899</v>
      </c>
      <c r="L1645">
        <v>298.15390000000002</v>
      </c>
      <c r="M1645">
        <v>-0.38630569999999997</v>
      </c>
      <c r="N1645">
        <v>0</v>
      </c>
      <c r="O1645">
        <v>-0.92224329999999999</v>
      </c>
      <c r="P1645">
        <v>-0.53457429999999995</v>
      </c>
      <c r="Q1645">
        <v>-2.5990940000000001E-2</v>
      </c>
      <c r="R1645">
        <v>-0.84472199999999997</v>
      </c>
      <c r="S1645">
        <v>-2.2156980000000002</v>
      </c>
      <c r="T1645">
        <v>-0.32037559999999998</v>
      </c>
      <c r="U1645">
        <v>-2.1515200000000001</v>
      </c>
      <c r="V1645">
        <v>0.16642760000000001</v>
      </c>
      <c r="W1645">
        <v>-1.4517469999999999E-2</v>
      </c>
      <c r="X1645">
        <v>0.98594680000000001</v>
      </c>
      <c r="Y1645">
        <v>0.3884899</v>
      </c>
      <c r="Z1645">
        <v>0.103298</v>
      </c>
      <c r="AA1645">
        <v>0.91564460000000003</v>
      </c>
      <c r="AB1645">
        <v>24</v>
      </c>
      <c r="AC1645">
        <v>-6.91150000000001</v>
      </c>
      <c r="AD1645">
        <v>-1.0152980599999999</v>
      </c>
      <c r="AE1645">
        <v>-6.5862000000000096</v>
      </c>
      <c r="AF1645">
        <v>3.7874144740854798</v>
      </c>
      <c r="AG1645">
        <v>-1.0152980599999999</v>
      </c>
      <c r="AH1645">
        <v>8.6472624933744608</v>
      </c>
      <c r="AI1645">
        <v>96.138514727481194</v>
      </c>
      <c r="AJ1645">
        <v>66.347062118062595</v>
      </c>
      <c r="AK1645">
        <v>9.49476103851344</v>
      </c>
    </row>
    <row r="1646" spans="1:37" x14ac:dyDescent="0.2">
      <c r="A1646" t="str">
        <f>"20200111155824543"</f>
        <v>20200111155824543</v>
      </c>
      <c r="B1646" t="str">
        <f>"1578729504532580"</f>
        <v>1578729504532580</v>
      </c>
      <c r="C1646" t="s">
        <v>37</v>
      </c>
      <c r="D1646">
        <v>5.3914689999999998</v>
      </c>
      <c r="E1646">
        <v>0.59836829999999996</v>
      </c>
      <c r="F1646" t="s">
        <v>49</v>
      </c>
      <c r="G1646">
        <v>-201.15870000000001</v>
      </c>
      <c r="H1646">
        <v>8.0000180000000004E-2</v>
      </c>
      <c r="I1646">
        <v>291.154</v>
      </c>
      <c r="J1646">
        <v>-193.7962</v>
      </c>
      <c r="K1646">
        <v>1.0952839999999999</v>
      </c>
      <c r="L1646">
        <v>297.91860000000003</v>
      </c>
      <c r="M1646">
        <v>-0.3994684</v>
      </c>
      <c r="N1646">
        <v>0</v>
      </c>
      <c r="O1646">
        <v>-0.91661819999999905</v>
      </c>
      <c r="P1646">
        <v>-0.5446415</v>
      </c>
      <c r="Q1646">
        <v>-2.7386480000000001E-2</v>
      </c>
      <c r="R1646">
        <v>-0.83822169999999896</v>
      </c>
      <c r="S1646">
        <v>-2.2577210000000001</v>
      </c>
      <c r="T1646">
        <v>-0.30651999999999902</v>
      </c>
      <c r="U1646">
        <v>-2.1132810000000002</v>
      </c>
      <c r="V1646">
        <v>0.1640963</v>
      </c>
      <c r="W1646">
        <v>-1.584004E-2</v>
      </c>
      <c r="X1646">
        <v>0.98631719999999901</v>
      </c>
      <c r="Y1646">
        <v>0.3924685</v>
      </c>
      <c r="Z1646">
        <v>9.8541799999999999E-2</v>
      </c>
      <c r="AA1646">
        <v>0.91447140000000005</v>
      </c>
      <c r="AB1646">
        <v>24</v>
      </c>
      <c r="AC1646">
        <v>-7.3625000000000096</v>
      </c>
      <c r="AD1646">
        <v>-1.0152838199999901</v>
      </c>
      <c r="AE1646">
        <v>-6.7646000000000299</v>
      </c>
      <c r="AF1646">
        <v>4.00553223284426</v>
      </c>
      <c r="AG1646">
        <v>-1.0152838199999901</v>
      </c>
      <c r="AH1646">
        <v>9.0494078785623699</v>
      </c>
      <c r="AI1646">
        <v>95.857630564400196</v>
      </c>
      <c r="AJ1646">
        <v>66.124419417238599</v>
      </c>
      <c r="AK1646">
        <v>9.9482095201143999</v>
      </c>
    </row>
    <row r="1647" spans="1:37" x14ac:dyDescent="0.2">
      <c r="A1647" t="str">
        <f>"20200111155824566"</f>
        <v>20200111155824566</v>
      </c>
      <c r="B1647" t="str">
        <f>"1578729504562837"</f>
        <v>1578729504562837</v>
      </c>
      <c r="C1647" t="s">
        <v>37</v>
      </c>
      <c r="D1647">
        <v>5.552117</v>
      </c>
      <c r="E1647">
        <v>0.62871690000000002</v>
      </c>
      <c r="F1647" t="s">
        <v>49</v>
      </c>
      <c r="G1647">
        <v>-201.423</v>
      </c>
      <c r="H1647">
        <v>8.0000219999999997E-2</v>
      </c>
      <c r="I1647">
        <v>290.93189999999998</v>
      </c>
      <c r="J1647">
        <v>-193.90780000000001</v>
      </c>
      <c r="K1647">
        <v>1.095302</v>
      </c>
      <c r="L1647">
        <v>297.7</v>
      </c>
      <c r="M1647">
        <v>-0.41174339999999998</v>
      </c>
      <c r="N1647">
        <v>0</v>
      </c>
      <c r="O1647">
        <v>-0.91117019999999904</v>
      </c>
      <c r="P1647">
        <v>-0.55323080000000002</v>
      </c>
      <c r="Q1647">
        <v>-2.7827930000000001E-2</v>
      </c>
      <c r="R1647">
        <v>-0.83256330000000001</v>
      </c>
      <c r="S1647">
        <v>-2.2793580000000002</v>
      </c>
      <c r="T1647">
        <v>-0.3034309</v>
      </c>
      <c r="U1647">
        <v>-2.0880740000000002</v>
      </c>
      <c r="V1647">
        <v>0.16098750000000001</v>
      </c>
      <c r="W1647">
        <v>-1.6188839999999999E-2</v>
      </c>
      <c r="X1647">
        <v>0.98682369999999997</v>
      </c>
      <c r="Y1647">
        <v>0.39003369999999998</v>
      </c>
      <c r="Z1647">
        <v>9.7256259999999997E-2</v>
      </c>
      <c r="AA1647">
        <v>0.91564999999999996</v>
      </c>
      <c r="AB1647">
        <v>24</v>
      </c>
      <c r="AC1647">
        <v>-7.5151999999999903</v>
      </c>
      <c r="AD1647">
        <v>-1.0153017799999999</v>
      </c>
      <c r="AE1647">
        <v>-6.7680999999999996</v>
      </c>
      <c r="AF1647">
        <v>4.0208630704741797</v>
      </c>
      <c r="AG1647">
        <v>-1.0153017799999999</v>
      </c>
      <c r="AH1647">
        <v>9.1699043797882904</v>
      </c>
      <c r="AI1647">
        <v>95.790071951202293</v>
      </c>
      <c r="AJ1647">
        <v>66.323282734579095</v>
      </c>
      <c r="AK1647">
        <v>10.064061002917001</v>
      </c>
    </row>
    <row r="1648" spans="1:37" x14ac:dyDescent="0.2">
      <c r="A1648" t="str">
        <f>"20200111155824589"</f>
        <v>20200111155824589</v>
      </c>
      <c r="B1648" t="str">
        <f>"1578729504582356"</f>
        <v>1578729504582356</v>
      </c>
      <c r="C1648" t="s">
        <v>37</v>
      </c>
      <c r="D1648">
        <v>5.5085369999999996</v>
      </c>
      <c r="E1648">
        <v>0.67317910000000003</v>
      </c>
      <c r="F1648" t="s">
        <v>49</v>
      </c>
      <c r="G1648">
        <v>-205.84309999999999</v>
      </c>
      <c r="H1648" s="1">
        <v>4.4673520000000002E-6</v>
      </c>
      <c r="I1648">
        <v>288.51479999999998</v>
      </c>
      <c r="J1648">
        <v>-194.03120000000001</v>
      </c>
      <c r="K1648">
        <v>1.0953329999999999</v>
      </c>
      <c r="L1648">
        <v>297.46719999999999</v>
      </c>
      <c r="M1648">
        <v>-0.42486229999999903</v>
      </c>
      <c r="N1648">
        <v>0</v>
      </c>
      <c r="O1648">
        <v>-0.90512729999999997</v>
      </c>
      <c r="P1648">
        <v>-0.56154939999999998</v>
      </c>
      <c r="Q1648">
        <v>-2.692106E-2</v>
      </c>
      <c r="R1648">
        <v>-0.8270054</v>
      </c>
      <c r="S1648">
        <v>-2.5072779999999999</v>
      </c>
      <c r="T1648">
        <v>-0.23009199999999999</v>
      </c>
      <c r="U1648">
        <v>-1.929565</v>
      </c>
      <c r="V1648">
        <v>0.15663469999999999</v>
      </c>
      <c r="W1648">
        <v>-1.515712E-2</v>
      </c>
      <c r="X1648">
        <v>0.98754030000000004</v>
      </c>
      <c r="Y1648">
        <v>0.4559589</v>
      </c>
      <c r="Z1648">
        <v>7.312784E-2</v>
      </c>
      <c r="AA1648">
        <v>0.88699139999999999</v>
      </c>
      <c r="AB1648">
        <v>24</v>
      </c>
      <c r="AC1648">
        <v>-11.8118999999999</v>
      </c>
      <c r="AD1648">
        <v>-1.09532853264799</v>
      </c>
      <c r="AE1648">
        <v>-8.9524000000000097</v>
      </c>
      <c r="AF1648">
        <v>6.8511322624569804</v>
      </c>
      <c r="AG1648">
        <v>-1.09532853264799</v>
      </c>
      <c r="AH1648">
        <v>13.051760821125001</v>
      </c>
      <c r="AI1648">
        <v>94.249651105217097</v>
      </c>
      <c r="AJ1648">
        <v>62.304113790536498</v>
      </c>
      <c r="AK1648">
        <v>14.781279322303799</v>
      </c>
    </row>
    <row r="1649" spans="1:37" x14ac:dyDescent="0.2">
      <c r="A1649" t="str">
        <f>"20200111155824654"</f>
        <v>20200111155824654</v>
      </c>
      <c r="B1649" t="str">
        <f>"1578729504642868"</f>
        <v>1578729504642868</v>
      </c>
      <c r="C1649" t="s">
        <v>37</v>
      </c>
      <c r="D1649">
        <v>5.8763800000000002</v>
      </c>
      <c r="E1649">
        <v>0.66889719999999997</v>
      </c>
      <c r="F1649" t="s">
        <v>50</v>
      </c>
      <c r="G1649">
        <v>-213.1046</v>
      </c>
      <c r="H1649" s="1">
        <v>1.153358E-7</v>
      </c>
      <c r="I1649">
        <v>285.95330000000001</v>
      </c>
      <c r="J1649">
        <v>-194.38499999999999</v>
      </c>
      <c r="K1649">
        <v>1.09549599999999</v>
      </c>
      <c r="L1649">
        <v>296.84019999999998</v>
      </c>
      <c r="M1649">
        <v>-0.46026899999999998</v>
      </c>
      <c r="N1649">
        <v>0</v>
      </c>
      <c r="O1649">
        <v>-0.88764599999999905</v>
      </c>
      <c r="P1649">
        <v>-0.56382969999999999</v>
      </c>
      <c r="Q1649">
        <v>-1.234771E-2</v>
      </c>
      <c r="R1649">
        <v>-0.8257989</v>
      </c>
      <c r="S1649">
        <v>-2.8239899999999998</v>
      </c>
      <c r="T1649">
        <v>-0.16217409999999999</v>
      </c>
      <c r="U1649">
        <v>-1.70474199999999</v>
      </c>
      <c r="V1649">
        <v>0.1204413</v>
      </c>
      <c r="W1649">
        <v>3.2884260000000002E-4</v>
      </c>
      <c r="X1649">
        <v>0.99272039999999995</v>
      </c>
      <c r="Y1649">
        <v>0.52095150000000001</v>
      </c>
      <c r="Z1649">
        <v>4.9957929999999998E-2</v>
      </c>
      <c r="AA1649">
        <v>0.85212310000000002</v>
      </c>
      <c r="AB1649">
        <v>24</v>
      </c>
      <c r="AC1649">
        <v>-18.7196</v>
      </c>
      <c r="AD1649">
        <v>-1.09549588466419</v>
      </c>
      <c r="AE1649">
        <v>-10.886899999999899</v>
      </c>
      <c r="AF1649">
        <v>11.5772232088115</v>
      </c>
      <c r="AG1649">
        <v>-1.09549588466419</v>
      </c>
      <c r="AH1649">
        <v>18.235264696568699</v>
      </c>
      <c r="AI1649">
        <v>92.903414752595097</v>
      </c>
      <c r="AJ1649">
        <v>57.5893116047056</v>
      </c>
      <c r="AK1649">
        <v>21.627692595695098</v>
      </c>
    </row>
    <row r="1650" spans="1:37" x14ac:dyDescent="0.2">
      <c r="A1650" t="str">
        <f>"20200111155824697"</f>
        <v>20200111155824697</v>
      </c>
      <c r="B1650" t="str">
        <f>"1578729504692644"</f>
        <v>1578729504692644</v>
      </c>
      <c r="C1650" t="s">
        <v>37</v>
      </c>
      <c r="D1650">
        <v>5.8549429999999996</v>
      </c>
      <c r="E1650">
        <v>0.66414530000000005</v>
      </c>
      <c r="F1650" t="s">
        <v>50</v>
      </c>
      <c r="G1650">
        <v>-221.66990000000001</v>
      </c>
      <c r="H1650" s="1">
        <v>-6.4816350000000005E-7</v>
      </c>
      <c r="I1650">
        <v>280.10820000000001</v>
      </c>
      <c r="J1650">
        <v>-194.63399999999999</v>
      </c>
      <c r="K1650">
        <v>1.0955779999999999</v>
      </c>
      <c r="L1650">
        <v>296.43110000000001</v>
      </c>
      <c r="M1650">
        <v>-0.48351059999999901</v>
      </c>
      <c r="N1650">
        <v>0</v>
      </c>
      <c r="O1650">
        <v>-0.87520309999999901</v>
      </c>
      <c r="P1650">
        <v>-0.56558310000000001</v>
      </c>
      <c r="Q1650">
        <v>1.307887E-3</v>
      </c>
      <c r="R1650">
        <v>-0.824690699999999</v>
      </c>
      <c r="S1650">
        <v>-2.8018190000000001</v>
      </c>
      <c r="T1650">
        <v>-0.11249389999999899</v>
      </c>
      <c r="U1650">
        <v>-1.71817</v>
      </c>
      <c r="V1650">
        <v>9.6602640000000004E-2</v>
      </c>
      <c r="W1650">
        <v>1.4554289999999999E-2</v>
      </c>
      <c r="X1650">
        <v>0.99521659999999901</v>
      </c>
      <c r="Y1650">
        <v>0.49283080000000001</v>
      </c>
      <c r="Z1650">
        <v>3.4305160000000001E-2</v>
      </c>
      <c r="AA1650">
        <v>0.86944869999999996</v>
      </c>
      <c r="AB1650">
        <v>24</v>
      </c>
      <c r="AC1650">
        <v>-27.035900000000002</v>
      </c>
      <c r="AD1650">
        <v>-1.0955786481634999</v>
      </c>
      <c r="AE1650">
        <v>-16.322900000000001</v>
      </c>
      <c r="AF1650">
        <v>15.752520253981199</v>
      </c>
      <c r="AG1650">
        <v>-1.0955786481634999</v>
      </c>
      <c r="AH1650">
        <v>27.328351583107601</v>
      </c>
      <c r="AI1650">
        <v>91.989226881410204</v>
      </c>
      <c r="AJ1650">
        <v>60.040130222361</v>
      </c>
      <c r="AK1650">
        <v>31.5623349449362</v>
      </c>
    </row>
    <row r="1651" spans="1:37" x14ac:dyDescent="0.2">
      <c r="A1651" t="str">
        <f>"20200111155824720"</f>
        <v>20200111155824720</v>
      </c>
      <c r="B1651" t="str">
        <f>"1578729504713140"</f>
        <v>1578729504713140</v>
      </c>
      <c r="C1651" t="s">
        <v>37</v>
      </c>
      <c r="D1651">
        <v>5.8857339999999896</v>
      </c>
      <c r="E1651">
        <v>0.65515679999999998</v>
      </c>
      <c r="F1651" t="s">
        <v>50</v>
      </c>
      <c r="G1651">
        <v>-218.63310000000001</v>
      </c>
      <c r="H1651" s="1">
        <v>3.057316E-6</v>
      </c>
      <c r="I1651">
        <v>281.39929999999998</v>
      </c>
      <c r="J1651">
        <v>-194.77</v>
      </c>
      <c r="K1651">
        <v>1.095575</v>
      </c>
      <c r="L1651">
        <v>296.21749999999997</v>
      </c>
      <c r="M1651">
        <v>-0.49575340000000001</v>
      </c>
      <c r="N1651">
        <v>0</v>
      </c>
      <c r="O1651">
        <v>-0.868326499999999</v>
      </c>
      <c r="P1651">
        <v>-0.57223519999999894</v>
      </c>
      <c r="Q1651">
        <v>4.5826189999999996E-3</v>
      </c>
      <c r="R1651">
        <v>-0.82007659999999905</v>
      </c>
      <c r="S1651">
        <v>-2.772446</v>
      </c>
      <c r="T1651">
        <v>-0.1265638</v>
      </c>
      <c r="U1651">
        <v>-1.7365109999999999</v>
      </c>
      <c r="V1651">
        <v>9.0753280000000006E-2</v>
      </c>
      <c r="W1651">
        <v>1.796704E-2</v>
      </c>
      <c r="X1651">
        <v>0.99571129999999997</v>
      </c>
      <c r="Y1651">
        <v>0.47209889999999999</v>
      </c>
      <c r="Z1651">
        <v>3.8388369999999998E-2</v>
      </c>
      <c r="AA1651">
        <v>0.88070939999999998</v>
      </c>
      <c r="AB1651">
        <v>24</v>
      </c>
      <c r="AC1651">
        <v>-23.863099999999999</v>
      </c>
      <c r="AD1651">
        <v>-1.095571942684</v>
      </c>
      <c r="AE1651">
        <v>-14.8181999999999</v>
      </c>
      <c r="AF1651">
        <v>13.356061231353801</v>
      </c>
      <c r="AG1651">
        <v>-1.095571942684</v>
      </c>
      <c r="AH1651">
        <v>24.6626667661601</v>
      </c>
      <c r="AI1651">
        <v>92.236954360426097</v>
      </c>
      <c r="AJ1651">
        <v>61.562250483182801</v>
      </c>
      <c r="AK1651">
        <v>28.068341267626199</v>
      </c>
    </row>
    <row r="1652" spans="1:37" x14ac:dyDescent="0.2">
      <c r="A1652" t="str">
        <f>"20200111155824742"</f>
        <v>20200111155824742</v>
      </c>
      <c r="B1652" t="str">
        <f>"1578729504732660"</f>
        <v>1578729504732660</v>
      </c>
      <c r="C1652" t="s">
        <v>37</v>
      </c>
      <c r="D1652">
        <v>5.9570930000000004</v>
      </c>
      <c r="E1652">
        <v>0.65290700000000002</v>
      </c>
      <c r="F1652" t="s">
        <v>49</v>
      </c>
      <c r="G1652">
        <v>-203.279</v>
      </c>
      <c r="H1652">
        <v>8.0000080000000001E-2</v>
      </c>
      <c r="I1652">
        <v>290.70479999999998</v>
      </c>
      <c r="J1652">
        <v>-194.90039999999999</v>
      </c>
      <c r="K1652">
        <v>1.095532</v>
      </c>
      <c r="L1652">
        <v>296.01900000000001</v>
      </c>
      <c r="M1652">
        <v>-0.50724380000000002</v>
      </c>
      <c r="N1652">
        <v>0</v>
      </c>
      <c r="O1652">
        <v>-0.86166469999999995</v>
      </c>
      <c r="P1652">
        <v>-0.58010640000000002</v>
      </c>
      <c r="Q1652">
        <v>3.9112620000000004E-3</v>
      </c>
      <c r="R1652">
        <v>-0.81453149999999996</v>
      </c>
      <c r="S1652">
        <v>-2.719849</v>
      </c>
      <c r="T1652">
        <v>-0.32462259999999998</v>
      </c>
      <c r="U1652">
        <v>-1.7621150000000001</v>
      </c>
      <c r="V1652">
        <v>8.7101410000000004E-2</v>
      </c>
      <c r="W1652">
        <v>1.7381099999999899E-2</v>
      </c>
      <c r="X1652">
        <v>0.99604780000000004</v>
      </c>
      <c r="Y1652">
        <v>0.44288179999999999</v>
      </c>
      <c r="Z1652">
        <v>9.7802360000000005E-2</v>
      </c>
      <c r="AA1652">
        <v>0.89122969999999901</v>
      </c>
      <c r="AB1652">
        <v>24</v>
      </c>
      <c r="AC1652">
        <v>-8.3786000000000307</v>
      </c>
      <c r="AD1652">
        <v>-1.0155319199999999</v>
      </c>
      <c r="AE1652">
        <v>-5.31420000000002</v>
      </c>
      <c r="AF1652">
        <v>4.4775780735868196</v>
      </c>
      <c r="AG1652">
        <v>-1.0155319199999999</v>
      </c>
      <c r="AH1652">
        <v>8.7385530805046105</v>
      </c>
      <c r="AI1652">
        <v>95.904885354118306</v>
      </c>
      <c r="AJ1652">
        <v>62.869691824529298</v>
      </c>
      <c r="AK1652">
        <v>9.8712876782312904</v>
      </c>
    </row>
    <row r="1653" spans="1:37" x14ac:dyDescent="0.2">
      <c r="A1653" t="str">
        <f>"20200111155824764"</f>
        <v>20200111155824764</v>
      </c>
      <c r="B1653" t="str">
        <f>"1578729504752179"</f>
        <v>1578729504752179</v>
      </c>
      <c r="C1653" t="s">
        <v>37</v>
      </c>
      <c r="D1653">
        <v>5.9791559999999997</v>
      </c>
      <c r="E1653">
        <v>0.6524221</v>
      </c>
      <c r="F1653" t="s">
        <v>49</v>
      </c>
      <c r="G1653">
        <v>-202.95580000000001</v>
      </c>
      <c r="H1653">
        <v>8.0000089999999996E-2</v>
      </c>
      <c r="I1653">
        <v>290.85219999999998</v>
      </c>
      <c r="J1653">
        <v>-195.03829999999999</v>
      </c>
      <c r="K1653">
        <v>1.0954539999999999</v>
      </c>
      <c r="L1653">
        <v>295.81540000000001</v>
      </c>
      <c r="M1653">
        <v>-0.51916879999999999</v>
      </c>
      <c r="N1653">
        <v>0</v>
      </c>
      <c r="O1653">
        <v>-0.85453219999999996</v>
      </c>
      <c r="P1653">
        <v>-0.59016020000000002</v>
      </c>
      <c r="Q1653">
        <v>1.7504109999999999E-3</v>
      </c>
      <c r="R1653">
        <v>-0.80728449999999996</v>
      </c>
      <c r="S1653">
        <v>-2.7221679999999999</v>
      </c>
      <c r="T1653">
        <v>-0.34317920000000002</v>
      </c>
      <c r="U1653">
        <v>-1.7460020000000001</v>
      </c>
      <c r="V1653">
        <v>8.5560449999999996E-2</v>
      </c>
      <c r="W1653">
        <v>1.5258499999999999E-2</v>
      </c>
      <c r="X1653">
        <v>0.99621610000000005</v>
      </c>
      <c r="Y1653">
        <v>0.43398729999999902</v>
      </c>
      <c r="Z1653">
        <v>0.1028181</v>
      </c>
      <c r="AA1653">
        <v>0.89503259999999996</v>
      </c>
      <c r="AB1653">
        <v>24</v>
      </c>
      <c r="AC1653">
        <v>-7.9175000000000102</v>
      </c>
      <c r="AD1653">
        <v>-1.01545391</v>
      </c>
      <c r="AE1653">
        <v>-4.96320000000002</v>
      </c>
      <c r="AF1653">
        <v>4.1406238707252303</v>
      </c>
      <c r="AG1653">
        <v>-1.01545391</v>
      </c>
      <c r="AH1653">
        <v>8.2552446478794295</v>
      </c>
      <c r="AI1653">
        <v>96.274556419506297</v>
      </c>
      <c r="AJ1653">
        <v>63.362804202120898</v>
      </c>
      <c r="AK1653">
        <v>9.2911235530745095</v>
      </c>
    </row>
    <row r="1654" spans="1:37" x14ac:dyDescent="0.2">
      <c r="A1654" t="str">
        <f>"20200111155824789"</f>
        <v>20200111155824789</v>
      </c>
      <c r="B1654" t="str">
        <f>"1578729504782436"</f>
        <v>1578729504782436</v>
      </c>
      <c r="C1654" t="s">
        <v>37</v>
      </c>
      <c r="D1654">
        <v>5.9746430000000004</v>
      </c>
      <c r="E1654">
        <v>0.6519469</v>
      </c>
      <c r="F1654" t="s">
        <v>49</v>
      </c>
      <c r="G1654">
        <v>-202.98140000000001</v>
      </c>
      <c r="H1654">
        <v>8.0000089999999996E-2</v>
      </c>
      <c r="I1654">
        <v>290.85239999999999</v>
      </c>
      <c r="J1654">
        <v>-195.1884</v>
      </c>
      <c r="K1654">
        <v>1.095345</v>
      </c>
      <c r="L1654">
        <v>295.60129999999998</v>
      </c>
      <c r="M1654">
        <v>-0.53191630000000001</v>
      </c>
      <c r="N1654">
        <v>0</v>
      </c>
      <c r="O1654">
        <v>-0.84665569999999901</v>
      </c>
      <c r="P1654">
        <v>-0.60395769999999904</v>
      </c>
      <c r="Q1654">
        <v>-9.9793259999999997E-4</v>
      </c>
      <c r="R1654">
        <v>-0.7970159</v>
      </c>
      <c r="S1654">
        <v>-2.7413479999999999</v>
      </c>
      <c r="T1654">
        <v>-0.35045599999999999</v>
      </c>
      <c r="U1654">
        <v>-1.7128599999999901</v>
      </c>
      <c r="V1654">
        <v>8.7707720000000003E-2</v>
      </c>
      <c r="W1654">
        <v>1.246355E-2</v>
      </c>
      <c r="X1654">
        <v>0.99606830000000002</v>
      </c>
      <c r="Y1654">
        <v>0.43091000000000002</v>
      </c>
      <c r="Z1654">
        <v>0.10439329999999999</v>
      </c>
      <c r="AA1654">
        <v>0.89633619999999903</v>
      </c>
      <c r="AB1654">
        <v>24</v>
      </c>
      <c r="AC1654">
        <v>-7.7930000000000001</v>
      </c>
      <c r="AD1654">
        <v>-1.01534491</v>
      </c>
      <c r="AE1654">
        <v>-4.7488999999999901</v>
      </c>
      <c r="AF1654">
        <v>4.0226626861665498</v>
      </c>
      <c r="AG1654">
        <v>-1.01534491</v>
      </c>
      <c r="AH1654">
        <v>8.0670252591147698</v>
      </c>
      <c r="AI1654">
        <v>96.426502153688403</v>
      </c>
      <c r="AJ1654">
        <v>63.496631074168498</v>
      </c>
      <c r="AK1654">
        <v>9.0713635636620396</v>
      </c>
    </row>
    <row r="1655" spans="1:37" x14ac:dyDescent="0.2">
      <c r="A1655" t="str">
        <f>"20200111155824810"</f>
        <v>20200111155824810</v>
      </c>
      <c r="B1655" t="str">
        <f>"1578729504802932"</f>
        <v>1578729504802932</v>
      </c>
      <c r="C1655" t="s">
        <v>37</v>
      </c>
      <c r="D1655">
        <v>5.9977199999999904</v>
      </c>
      <c r="E1655">
        <v>0.65154219999999996</v>
      </c>
      <c r="F1655" t="s">
        <v>49</v>
      </c>
      <c r="G1655">
        <v>-203.00659999999999</v>
      </c>
      <c r="H1655">
        <v>8.0000080000000001E-2</v>
      </c>
      <c r="I1655">
        <v>290.89510000000001</v>
      </c>
      <c r="J1655">
        <v>-195.33510000000001</v>
      </c>
      <c r="K1655">
        <v>1.0952360000000001</v>
      </c>
      <c r="L1655">
        <v>295.399</v>
      </c>
      <c r="M1655">
        <v>-0.54416129999999996</v>
      </c>
      <c r="N1655">
        <v>0</v>
      </c>
      <c r="O1655">
        <v>-0.83883759999999996</v>
      </c>
      <c r="P1655">
        <v>-0.61846859999999904</v>
      </c>
      <c r="Q1655">
        <v>-2.887779E-3</v>
      </c>
      <c r="R1655">
        <v>-0.78580459999999996</v>
      </c>
      <c r="S1655">
        <v>-2.767868</v>
      </c>
      <c r="T1655">
        <v>-0.35946090000000003</v>
      </c>
      <c r="U1655">
        <v>-1.6661680000000001</v>
      </c>
      <c r="V1655">
        <v>9.1460330000000006E-2</v>
      </c>
      <c r="W1655">
        <v>1.0490050000000001E-2</v>
      </c>
      <c r="X1655">
        <v>0.99575349999999996</v>
      </c>
      <c r="Y1655">
        <v>0.43244650000000001</v>
      </c>
      <c r="Z1655">
        <v>0.1066111</v>
      </c>
      <c r="AA1655">
        <v>0.89533459999999998</v>
      </c>
      <c r="AB1655">
        <v>24</v>
      </c>
      <c r="AC1655">
        <v>-7.6714999999999796</v>
      </c>
      <c r="AD1655">
        <v>-1.0152359200000001</v>
      </c>
      <c r="AE1655">
        <v>-4.5038999999999803</v>
      </c>
      <c r="AF1655">
        <v>3.93354109314904</v>
      </c>
      <c r="AG1655">
        <v>-1.0152359200000001</v>
      </c>
      <c r="AH1655">
        <v>7.8512711332082796</v>
      </c>
      <c r="AI1655">
        <v>96.594711850551803</v>
      </c>
      <c r="AJ1655">
        <v>63.388814041390901</v>
      </c>
      <c r="AK1655">
        <v>8.8400174158142999</v>
      </c>
    </row>
    <row r="1656" spans="1:37" x14ac:dyDescent="0.2">
      <c r="A1656" t="str">
        <f>"20200111155824833"</f>
        <v>20200111155824833</v>
      </c>
      <c r="B1656" t="str">
        <f>"1578729504822452"</f>
        <v>1578729504822452</v>
      </c>
      <c r="C1656" t="s">
        <v>37</v>
      </c>
      <c r="D1656">
        <v>5.9249299999999998</v>
      </c>
      <c r="E1656">
        <v>0.65124700000000002</v>
      </c>
      <c r="F1656" t="s">
        <v>49</v>
      </c>
      <c r="G1656">
        <v>-203.04810000000001</v>
      </c>
      <c r="H1656">
        <v>8.0000080000000001E-2</v>
      </c>
      <c r="I1656">
        <v>290.93920000000003</v>
      </c>
      <c r="J1656">
        <v>-195.4744</v>
      </c>
      <c r="K1656">
        <v>1.095129</v>
      </c>
      <c r="L1656">
        <v>295.21260000000001</v>
      </c>
      <c r="M1656">
        <v>-0.55559619999999998</v>
      </c>
      <c r="N1656">
        <v>0</v>
      </c>
      <c r="O1656">
        <v>-0.83130749999999998</v>
      </c>
      <c r="P1656">
        <v>-0.63233669999999997</v>
      </c>
      <c r="Q1656">
        <v>-4.0998689999999999E-3</v>
      </c>
      <c r="R1656">
        <v>-0.77468309999999996</v>
      </c>
      <c r="S1656">
        <v>-2.7952880000000002</v>
      </c>
      <c r="T1656">
        <v>-0.36793229999999999</v>
      </c>
      <c r="U1656">
        <v>-1.6163019999999999</v>
      </c>
      <c r="V1656">
        <v>9.5499879999999995E-2</v>
      </c>
      <c r="W1656">
        <v>9.1883490000000002E-3</v>
      </c>
      <c r="X1656">
        <v>0.99538700000000002</v>
      </c>
      <c r="Y1656">
        <v>0.43563099999999999</v>
      </c>
      <c r="Z1656">
        <v>0.1087216</v>
      </c>
      <c r="AA1656">
        <v>0.89353530000000003</v>
      </c>
      <c r="AB1656">
        <v>24</v>
      </c>
      <c r="AC1656">
        <v>-7.5736999999999997</v>
      </c>
      <c r="AD1656">
        <v>-1.01512892</v>
      </c>
      <c r="AE1656">
        <v>-4.2733999999999801</v>
      </c>
      <c r="AF1656">
        <v>3.86953211910149</v>
      </c>
      <c r="AG1656">
        <v>-1.01512892</v>
      </c>
      <c r="AH1656">
        <v>7.65702296432376</v>
      </c>
      <c r="AI1656">
        <v>96.7480867074419</v>
      </c>
      <c r="AJ1656">
        <v>63.189916844518201</v>
      </c>
      <c r="AK1656">
        <v>8.6390836447600101</v>
      </c>
    </row>
    <row r="1657" spans="1:37" x14ac:dyDescent="0.2">
      <c r="A1657" t="str">
        <f>"20200111155824853"</f>
        <v>20200111155824853</v>
      </c>
      <c r="B1657" t="str">
        <f>"1578729504842947"</f>
        <v>1578729504842947</v>
      </c>
      <c r="C1657" t="s">
        <v>37</v>
      </c>
      <c r="D1657">
        <v>6.0785609999999997</v>
      </c>
      <c r="E1657">
        <v>0.65023509999999995</v>
      </c>
      <c r="F1657" t="s">
        <v>49</v>
      </c>
      <c r="G1657">
        <v>-203.0949</v>
      </c>
      <c r="H1657">
        <v>8.0000070000000006E-2</v>
      </c>
      <c r="I1657">
        <v>290.97899999999998</v>
      </c>
      <c r="J1657">
        <v>-195.61619999999999</v>
      </c>
      <c r="K1657">
        <v>1.095043</v>
      </c>
      <c r="L1657">
        <v>295.02839999999998</v>
      </c>
      <c r="M1657">
        <v>-0.567046099999999</v>
      </c>
      <c r="N1657">
        <v>0</v>
      </c>
      <c r="O1657">
        <v>-0.82353940000000003</v>
      </c>
      <c r="P1657">
        <v>-0.646408599999999</v>
      </c>
      <c r="Q1657">
        <v>-5.2864409999999898E-3</v>
      </c>
      <c r="R1657">
        <v>-0.76297329999999997</v>
      </c>
      <c r="S1657">
        <v>-2.8215180000000002</v>
      </c>
      <c r="T1657">
        <v>-0.3758553</v>
      </c>
      <c r="U1657">
        <v>-1.5675049999999999</v>
      </c>
      <c r="V1657">
        <v>9.9921029999999994E-2</v>
      </c>
      <c r="W1657">
        <v>7.9028420000000002E-3</v>
      </c>
      <c r="X1657">
        <v>0.99496399999999996</v>
      </c>
      <c r="Y1657">
        <v>0.43828529999999999</v>
      </c>
      <c r="Z1657">
        <v>0.11059479999999999</v>
      </c>
      <c r="AA1657">
        <v>0.89200610000000002</v>
      </c>
      <c r="AB1657">
        <v>24</v>
      </c>
      <c r="AC1657">
        <v>-7.4786999999999999</v>
      </c>
      <c r="AD1657">
        <v>-1.0150429299999999</v>
      </c>
      <c r="AE1657">
        <v>-4.0493999999999302</v>
      </c>
      <c r="AF1657">
        <v>3.8090153342505699</v>
      </c>
      <c r="AG1657">
        <v>-1.0150429299999999</v>
      </c>
      <c r="AH1657">
        <v>7.4701124706122597</v>
      </c>
      <c r="AI1657">
        <v>96.902189512574495</v>
      </c>
      <c r="AJ1657">
        <v>62.982935167868</v>
      </c>
      <c r="AK1657">
        <v>8.4463891865042395</v>
      </c>
    </row>
    <row r="1658" spans="1:37" x14ac:dyDescent="0.2">
      <c r="A1658" t="str">
        <f>"20200111155824876"</f>
        <v>20200111155824876</v>
      </c>
      <c r="B1658" t="str">
        <f>"1578729504872229"</f>
        <v>1578729504872229</v>
      </c>
      <c r="C1658" t="s">
        <v>37</v>
      </c>
      <c r="D1658">
        <v>6.0511089999999896</v>
      </c>
      <c r="E1658">
        <v>0.64010730000000005</v>
      </c>
      <c r="F1658" t="s">
        <v>49</v>
      </c>
      <c r="G1658">
        <v>-203.172</v>
      </c>
      <c r="H1658">
        <v>8.0000080000000001E-2</v>
      </c>
      <c r="I1658">
        <v>290.9873</v>
      </c>
      <c r="J1658">
        <v>-195.76339999999999</v>
      </c>
      <c r="K1658">
        <v>1.0949719999999901</v>
      </c>
      <c r="L1658">
        <v>294.84289999999999</v>
      </c>
      <c r="M1658">
        <v>-0.57872469999999998</v>
      </c>
      <c r="N1658">
        <v>0</v>
      </c>
      <c r="O1658">
        <v>-0.81537440000000005</v>
      </c>
      <c r="P1658">
        <v>-0.66299600000000003</v>
      </c>
      <c r="Q1658">
        <v>-6.3400629999999999E-3</v>
      </c>
      <c r="R1658">
        <v>-0.74859609999999999</v>
      </c>
      <c r="S1658">
        <v>-2.8430939999999998</v>
      </c>
      <c r="T1658">
        <v>-0.38194299999999998</v>
      </c>
      <c r="U1658">
        <v>-1.520599</v>
      </c>
      <c r="V1658">
        <v>0.10755430000000001</v>
      </c>
      <c r="W1658">
        <v>6.6712050000000004E-3</v>
      </c>
      <c r="X1658">
        <v>0.99417679999999997</v>
      </c>
      <c r="Y1658">
        <v>0.43955659999999902</v>
      </c>
      <c r="Z1658">
        <v>0.111902</v>
      </c>
      <c r="AA1658">
        <v>0.89121709999999998</v>
      </c>
      <c r="AB1658">
        <v>24</v>
      </c>
      <c r="AC1658">
        <v>-7.4085999999999999</v>
      </c>
      <c r="AD1658">
        <v>-1.01497191999999</v>
      </c>
      <c r="AE1658">
        <v>-3.8555999999999799</v>
      </c>
      <c r="AF1658">
        <v>3.7544645179415301</v>
      </c>
      <c r="AG1658">
        <v>-1.01497191999999</v>
      </c>
      <c r="AH1658">
        <v>7.3240307240756399</v>
      </c>
      <c r="AI1658">
        <v>97.030319424745997</v>
      </c>
      <c r="AJ1658">
        <v>62.859292173480299</v>
      </c>
      <c r="AK1658">
        <v>8.2926230990003695</v>
      </c>
    </row>
    <row r="1659" spans="1:37" x14ac:dyDescent="0.2">
      <c r="A1659" t="str">
        <f>"20200111155824909"</f>
        <v>20200111155824909</v>
      </c>
      <c r="B1659" t="str">
        <f>"1578729504902484"</f>
        <v>1578729504902484</v>
      </c>
      <c r="C1659" t="s">
        <v>37</v>
      </c>
      <c r="D1659">
        <v>6.0855930000000003</v>
      </c>
      <c r="E1659">
        <v>0.63754949999999999</v>
      </c>
      <c r="F1659" t="s">
        <v>49</v>
      </c>
      <c r="G1659">
        <v>-202.88579999999999</v>
      </c>
      <c r="H1659">
        <v>8.0000080000000001E-2</v>
      </c>
      <c r="I1659">
        <v>291.0188</v>
      </c>
      <c r="J1659">
        <v>-195.9957</v>
      </c>
      <c r="K1659">
        <v>1.0948899999999999</v>
      </c>
      <c r="L1659">
        <v>294.56119999999999</v>
      </c>
      <c r="M1659">
        <v>-0.596715</v>
      </c>
      <c r="N1659">
        <v>0</v>
      </c>
      <c r="O1659">
        <v>-0.80230119999999905</v>
      </c>
      <c r="P1659">
        <v>-0.68662919999999905</v>
      </c>
      <c r="Q1659">
        <v>-7.9225349999999996E-3</v>
      </c>
      <c r="R1659">
        <v>-0.72696470000000002</v>
      </c>
      <c r="S1659">
        <v>-2.8146969999999998</v>
      </c>
      <c r="T1659">
        <v>-0.40110970000000001</v>
      </c>
      <c r="U1659">
        <v>-1.511261</v>
      </c>
      <c r="V1659">
        <v>0.11725190000000001</v>
      </c>
      <c r="W1659">
        <v>4.8644999999999999E-3</v>
      </c>
      <c r="X1659">
        <v>0.99309029999999998</v>
      </c>
      <c r="Y1659">
        <v>0.41741419999999901</v>
      </c>
      <c r="Z1659">
        <v>0.1164594</v>
      </c>
      <c r="AA1659">
        <v>0.90122279999999999</v>
      </c>
      <c r="AB1659">
        <v>24</v>
      </c>
      <c r="AC1659">
        <v>-6.8900999999999897</v>
      </c>
      <c r="AD1659">
        <v>-1.0148899199999999</v>
      </c>
      <c r="AE1659">
        <v>-3.5423999999999798</v>
      </c>
      <c r="AF1659">
        <v>3.3569424670167298</v>
      </c>
      <c r="AG1659">
        <v>-1.0148899199999999</v>
      </c>
      <c r="AH1659">
        <v>6.8370203919143497</v>
      </c>
      <c r="AI1659">
        <v>97.589704222775893</v>
      </c>
      <c r="AJ1659">
        <v>63.849194965444902</v>
      </c>
      <c r="AK1659">
        <v>7.6840036514847299</v>
      </c>
    </row>
    <row r="1660" spans="1:37" x14ac:dyDescent="0.2">
      <c r="A1660" t="str">
        <f>"20200111155824932"</f>
        <v>20200111155824932</v>
      </c>
      <c r="B1660" t="str">
        <f>"1578729504922980"</f>
        <v>1578729504922980</v>
      </c>
      <c r="C1660" t="s">
        <v>37</v>
      </c>
      <c r="D1660">
        <v>6.0668959999999998</v>
      </c>
      <c r="E1660">
        <v>0.63555620000000002</v>
      </c>
      <c r="F1660" t="s">
        <v>49</v>
      </c>
      <c r="G1660">
        <v>-203.1823</v>
      </c>
      <c r="H1660">
        <v>8.0000089999999996E-2</v>
      </c>
      <c r="I1660">
        <v>290.93920000000003</v>
      </c>
      <c r="J1660">
        <v>-196.16050000000001</v>
      </c>
      <c r="K1660">
        <v>1.0948530000000001</v>
      </c>
      <c r="L1660">
        <v>294.36939999999998</v>
      </c>
      <c r="M1660">
        <v>-0.60912540000000004</v>
      </c>
      <c r="N1660">
        <v>0</v>
      </c>
      <c r="O1660">
        <v>-0.79291969999999901</v>
      </c>
      <c r="P1660">
        <v>-0.70231719999999997</v>
      </c>
      <c r="Q1660">
        <v>-8.4367339999999996E-3</v>
      </c>
      <c r="R1660">
        <v>-0.71181439999999996</v>
      </c>
      <c r="S1660">
        <v>-2.8459629999999998</v>
      </c>
      <c r="T1660">
        <v>-0.40190920000000002</v>
      </c>
      <c r="U1660">
        <v>-1.4343569999999899</v>
      </c>
      <c r="V1660">
        <v>0.1234441</v>
      </c>
      <c r="W1660">
        <v>4.2083779999999996E-3</v>
      </c>
      <c r="X1660">
        <v>0.99234259999999996</v>
      </c>
      <c r="Y1660">
        <v>0.4265757</v>
      </c>
      <c r="Z1660">
        <v>0.1165503</v>
      </c>
      <c r="AA1660">
        <v>0.89691089999999996</v>
      </c>
      <c r="AB1660">
        <v>24</v>
      </c>
      <c r="AC1660">
        <v>-7.0217999999999803</v>
      </c>
      <c r="AD1660">
        <v>-1.0148529100000001</v>
      </c>
      <c r="AE1660">
        <v>-3.43019999999995</v>
      </c>
      <c r="AF1660">
        <v>3.4210342387909098</v>
      </c>
      <c r="AG1660">
        <v>-1.0148529100000001</v>
      </c>
      <c r="AH1660">
        <v>6.8818295695146903</v>
      </c>
      <c r="AI1660">
        <v>97.522501578098897</v>
      </c>
      <c r="AJ1660">
        <v>63.5675167216449</v>
      </c>
      <c r="AK1660">
        <v>7.7519661967633704</v>
      </c>
    </row>
    <row r="1661" spans="1:37" x14ac:dyDescent="0.2">
      <c r="A1661" t="str">
        <f>"20200111155824977"</f>
        <v>20200111155824977</v>
      </c>
      <c r="B1661" t="str">
        <f>"1578729504972756"</f>
        <v>1578729504972756</v>
      </c>
      <c r="C1661" t="s">
        <v>37</v>
      </c>
      <c r="D1661">
        <v>6.2207889999999999</v>
      </c>
      <c r="E1661">
        <v>0.66084900000000002</v>
      </c>
      <c r="F1661" t="s">
        <v>49</v>
      </c>
      <c r="G1661">
        <v>-203.40629999999999</v>
      </c>
      <c r="H1661">
        <v>8.0000089999999996E-2</v>
      </c>
      <c r="I1661">
        <v>290.87099999999998</v>
      </c>
      <c r="J1661">
        <v>-196.48099999999999</v>
      </c>
      <c r="K1661">
        <v>1.09483</v>
      </c>
      <c r="L1661">
        <v>294.01330000000002</v>
      </c>
      <c r="M1661">
        <v>-0.63241020000000003</v>
      </c>
      <c r="N1661">
        <v>0</v>
      </c>
      <c r="O1661">
        <v>-0.77447500000000002</v>
      </c>
      <c r="P1661">
        <v>-0.72943419999999903</v>
      </c>
      <c r="Q1661">
        <v>-6.7941109999999898E-3</v>
      </c>
      <c r="R1661">
        <v>-0.68401769999999995</v>
      </c>
      <c r="S1661">
        <v>-2.8648220000000002</v>
      </c>
      <c r="T1661">
        <v>-0.40124779999999999</v>
      </c>
      <c r="U1661">
        <v>-1.3832089999999999</v>
      </c>
      <c r="V1661">
        <v>0.13253399999999901</v>
      </c>
      <c r="W1661">
        <v>5.6488839999999998E-3</v>
      </c>
      <c r="X1661">
        <v>0.9911624</v>
      </c>
      <c r="Y1661">
        <v>0.41515730000000001</v>
      </c>
      <c r="Z1661">
        <v>0.1143966</v>
      </c>
      <c r="AA1661">
        <v>0.90252860000000001</v>
      </c>
      <c r="AB1661">
        <v>24</v>
      </c>
      <c r="AC1661">
        <v>-6.9252999999999902</v>
      </c>
      <c r="AD1661">
        <v>-1.01482991</v>
      </c>
      <c r="AE1661">
        <v>-3.1423000000000298</v>
      </c>
      <c r="AF1661">
        <v>3.3175860527363001</v>
      </c>
      <c r="AG1661">
        <v>-1.01482991</v>
      </c>
      <c r="AH1661">
        <v>6.6948811607792802</v>
      </c>
      <c r="AI1661">
        <v>97.734658825390895</v>
      </c>
      <c r="AJ1661">
        <v>63.6397127523244</v>
      </c>
      <c r="AK1661">
        <v>7.5404038831151796</v>
      </c>
    </row>
    <row r="1662" spans="1:37" x14ac:dyDescent="0.2">
      <c r="A1662" t="str">
        <f>"20200111155825001"</f>
        <v>20200111155825001</v>
      </c>
      <c r="B1662" t="str">
        <f>"1578729504992276"</f>
        <v>1578729504992276</v>
      </c>
      <c r="C1662" t="s">
        <v>37</v>
      </c>
      <c r="D1662">
        <v>6.0691899999999999</v>
      </c>
      <c r="E1662">
        <v>0.66657639999999996</v>
      </c>
      <c r="F1662" t="s">
        <v>49</v>
      </c>
      <c r="G1662">
        <v>-204.6267</v>
      </c>
      <c r="H1662">
        <v>0.08</v>
      </c>
      <c r="I1662">
        <v>291.0197</v>
      </c>
      <c r="J1662">
        <v>-196.65950000000001</v>
      </c>
      <c r="K1662">
        <v>1.094838</v>
      </c>
      <c r="L1662">
        <v>293.82380000000001</v>
      </c>
      <c r="M1662">
        <v>-0.64488610000000002</v>
      </c>
      <c r="N1662">
        <v>0</v>
      </c>
      <c r="O1662">
        <v>-0.7641173</v>
      </c>
      <c r="P1662">
        <v>-0.74141679999999999</v>
      </c>
      <c r="Q1662">
        <v>-5.1348139999999997E-3</v>
      </c>
      <c r="R1662">
        <v>-0.67102489999999904</v>
      </c>
      <c r="S1662">
        <v>-3.0560459999999998</v>
      </c>
      <c r="T1662">
        <v>-0.38073770000000001</v>
      </c>
      <c r="U1662">
        <v>-1.123108</v>
      </c>
      <c r="V1662">
        <v>0.13401859999999999</v>
      </c>
      <c r="W1662">
        <v>7.2867869999999899E-3</v>
      </c>
      <c r="X1662">
        <v>0.99095200000000006</v>
      </c>
      <c r="Y1662">
        <v>0.48790909999999899</v>
      </c>
      <c r="Z1662">
        <v>0.1085218</v>
      </c>
      <c r="AA1662">
        <v>0.86612219999999995</v>
      </c>
      <c r="AB1662">
        <v>24</v>
      </c>
      <c r="AC1662">
        <v>-7.9671999999999903</v>
      </c>
      <c r="AD1662">
        <v>-1.0148379999999999</v>
      </c>
      <c r="AE1662">
        <v>-2.8041</v>
      </c>
      <c r="AF1662">
        <v>4.2191677237402097</v>
      </c>
      <c r="AG1662">
        <v>-1.0148379999999999</v>
      </c>
      <c r="AH1662">
        <v>7.1778719182377904</v>
      </c>
      <c r="AI1662">
        <v>96.949331289637897</v>
      </c>
      <c r="AJ1662">
        <v>59.552901002057098</v>
      </c>
      <c r="AK1662">
        <v>8.3876765389422303</v>
      </c>
    </row>
    <row r="1663" spans="1:37" x14ac:dyDescent="0.2">
      <c r="A1663" t="str">
        <f>"20200111155825021"</f>
        <v>20200111155825021</v>
      </c>
      <c r="B1663" t="str">
        <f>"1578729505012772"</f>
        <v>1578729505012772</v>
      </c>
      <c r="C1663" t="s">
        <v>37</v>
      </c>
      <c r="D1663">
        <v>6.13917</v>
      </c>
      <c r="E1663">
        <v>0.66735049999999996</v>
      </c>
      <c r="F1663" t="s">
        <v>49</v>
      </c>
      <c r="G1663">
        <v>-205.05340000000001</v>
      </c>
      <c r="H1663">
        <v>7.9999970000000004E-2</v>
      </c>
      <c r="I1663">
        <v>291.02850000000001</v>
      </c>
      <c r="J1663">
        <v>-196.81549999999999</v>
      </c>
      <c r="K1663">
        <v>1.0948610000000001</v>
      </c>
      <c r="L1663">
        <v>293.66320000000002</v>
      </c>
      <c r="M1663">
        <v>-0.65549480000000004</v>
      </c>
      <c r="N1663">
        <v>0</v>
      </c>
      <c r="O1663">
        <v>-0.75503629999999999</v>
      </c>
      <c r="P1663">
        <v>-0.74708940000000001</v>
      </c>
      <c r="Q1663">
        <v>-3.002518E-3</v>
      </c>
      <c r="R1663">
        <v>-0.66471650000000004</v>
      </c>
      <c r="S1663">
        <v>-3.107208</v>
      </c>
      <c r="T1663">
        <v>-0.37566699999999997</v>
      </c>
      <c r="U1663">
        <v>-1.034729</v>
      </c>
      <c r="V1663">
        <v>0.1286361</v>
      </c>
      <c r="W1663">
        <v>9.5707529999999996E-3</v>
      </c>
      <c r="X1663">
        <v>0.99164569999999996</v>
      </c>
      <c r="Y1663">
        <v>0.5025345</v>
      </c>
      <c r="Z1663">
        <v>0.1064351</v>
      </c>
      <c r="AA1663">
        <v>0.85798050000000003</v>
      </c>
      <c r="AB1663">
        <v>23</v>
      </c>
      <c r="AC1663">
        <v>-8.2379000000000193</v>
      </c>
      <c r="AD1663">
        <v>-1.0148610300000001</v>
      </c>
      <c r="AE1663">
        <v>-2.6347</v>
      </c>
      <c r="AF1663">
        <v>4.4324084718052399</v>
      </c>
      <c r="AG1663">
        <v>-1.0148610300000001</v>
      </c>
      <c r="AH1663">
        <v>7.28973827830362</v>
      </c>
      <c r="AI1663">
        <v>96.783716771300007</v>
      </c>
      <c r="AJ1663">
        <v>58.698977847909497</v>
      </c>
      <c r="AK1663">
        <v>8.5916512928137703</v>
      </c>
    </row>
    <row r="1664" spans="1:37" x14ac:dyDescent="0.2">
      <c r="A1664" t="str">
        <f>"20200111155825044"</f>
        <v>20200111155825044</v>
      </c>
      <c r="B1664" t="str">
        <f>"1578729505032291"</f>
        <v>1578729505032291</v>
      </c>
      <c r="C1664" t="s">
        <v>37</v>
      </c>
      <c r="D1664">
        <v>6.0643549999999999</v>
      </c>
      <c r="E1664">
        <v>0.66759809999999997</v>
      </c>
      <c r="F1664" t="s">
        <v>49</v>
      </c>
      <c r="G1664">
        <v>-205.4967</v>
      </c>
      <c r="H1664">
        <v>8.0000080000000001E-2</v>
      </c>
      <c r="I1664">
        <v>290.87220000000002</v>
      </c>
      <c r="J1664">
        <v>-196.99029999999999</v>
      </c>
      <c r="K1664">
        <v>1.0948910000000001</v>
      </c>
      <c r="L1664">
        <v>293.48840000000001</v>
      </c>
      <c r="M1664">
        <v>-0.66707019999999995</v>
      </c>
      <c r="N1664">
        <v>0</v>
      </c>
      <c r="O1664">
        <v>-0.74482950000000003</v>
      </c>
      <c r="P1664">
        <v>-0.75165130000000002</v>
      </c>
      <c r="Q1664">
        <v>-1.599399E-3</v>
      </c>
      <c r="R1664">
        <v>-0.65955920000000001</v>
      </c>
      <c r="S1664">
        <v>-3.12124599999999</v>
      </c>
      <c r="T1664">
        <v>-0.36488520000000002</v>
      </c>
      <c r="U1664">
        <v>-1.0035099999999999</v>
      </c>
      <c r="V1664">
        <v>0.1201884</v>
      </c>
      <c r="W1664">
        <v>1.120288E-2</v>
      </c>
      <c r="X1664">
        <v>0.99268789999999996</v>
      </c>
      <c r="Y1664">
        <v>0.49859719999999902</v>
      </c>
      <c r="Z1664">
        <v>0.1023302</v>
      </c>
      <c r="AA1664">
        <v>0.8607726</v>
      </c>
      <c r="AB1664">
        <v>23</v>
      </c>
      <c r="AC1664">
        <v>-8.50640000000001</v>
      </c>
      <c r="AD1664">
        <v>-1.01489092</v>
      </c>
      <c r="AE1664">
        <v>-2.6161999999999899</v>
      </c>
      <c r="AF1664">
        <v>4.5322542768599101</v>
      </c>
      <c r="AG1664">
        <v>-1.01489092</v>
      </c>
      <c r="AH1664">
        <v>7.5260551408224003</v>
      </c>
      <c r="AI1664">
        <v>96.589627020242503</v>
      </c>
      <c r="AJ1664">
        <v>58.9432922292009</v>
      </c>
      <c r="AK1664">
        <v>8.8438022587749394</v>
      </c>
    </row>
    <row r="1665" spans="1:37" x14ac:dyDescent="0.2">
      <c r="A1665" t="str">
        <f>"20200111155825066"</f>
        <v>20200111155825066</v>
      </c>
      <c r="B1665" t="str">
        <f>"1578729505062547"</f>
        <v>1578729505062547</v>
      </c>
      <c r="C1665" t="s">
        <v>37</v>
      </c>
      <c r="D1665">
        <v>6.1122209999999999</v>
      </c>
      <c r="E1665">
        <v>0.6660431</v>
      </c>
      <c r="F1665" t="s">
        <v>49</v>
      </c>
      <c r="G1665">
        <v>-206.01820000000001</v>
      </c>
      <c r="H1665">
        <v>8.0000180000000004E-2</v>
      </c>
      <c r="I1665">
        <v>290.66059999999999</v>
      </c>
      <c r="J1665">
        <v>-197.1506</v>
      </c>
      <c r="K1665">
        <v>1.0949249999999999</v>
      </c>
      <c r="L1665">
        <v>293.3329</v>
      </c>
      <c r="M1665">
        <v>-0.6773903</v>
      </c>
      <c r="N1665">
        <v>0</v>
      </c>
      <c r="O1665">
        <v>-0.7354562</v>
      </c>
      <c r="P1665">
        <v>-0.75616740000000005</v>
      </c>
      <c r="Q1665">
        <v>-4.4605319999999998E-4</v>
      </c>
      <c r="R1665">
        <v>-0.65437849999999997</v>
      </c>
      <c r="S1665">
        <v>-3.1301570000000001</v>
      </c>
      <c r="T1665">
        <v>-0.35188359999999902</v>
      </c>
      <c r="U1665">
        <v>-0.98043819999999904</v>
      </c>
      <c r="V1665">
        <v>0.11319419999999999</v>
      </c>
      <c r="W1665">
        <v>1.2543179999999999E-2</v>
      </c>
      <c r="X1665">
        <v>0.99349370000000004</v>
      </c>
      <c r="Y1665">
        <v>0.49352550000000001</v>
      </c>
      <c r="Z1665">
        <v>9.7735459999999996E-2</v>
      </c>
      <c r="AA1665">
        <v>0.86422239999999995</v>
      </c>
      <c r="AB1665">
        <v>23</v>
      </c>
      <c r="AC1665">
        <v>-8.8676000000000101</v>
      </c>
      <c r="AD1665">
        <v>-1.0149248199999901</v>
      </c>
      <c r="AE1665">
        <v>-2.6722999999999999</v>
      </c>
      <c r="AF1665">
        <v>4.6562061796426102</v>
      </c>
      <c r="AG1665">
        <v>-1.0149248199999901</v>
      </c>
      <c r="AH1665">
        <v>7.8785557736834901</v>
      </c>
      <c r="AI1665">
        <v>96.328315478301704</v>
      </c>
      <c r="AJ1665">
        <v>59.417021935692397</v>
      </c>
      <c r="AK1665">
        <v>9.2077124985870196</v>
      </c>
    </row>
    <row r="1666" spans="1:37" x14ac:dyDescent="0.2">
      <c r="A1666" t="str">
        <f>"20200111155825088"</f>
        <v>20200111155825088</v>
      </c>
      <c r="B1666" t="str">
        <f>"1578729505083044"</f>
        <v>1578729505083044</v>
      </c>
      <c r="C1666" t="s">
        <v>37</v>
      </c>
      <c r="D1666">
        <v>6.1028409999999997</v>
      </c>
      <c r="E1666">
        <v>0.66489399999999999</v>
      </c>
      <c r="F1666" t="s">
        <v>49</v>
      </c>
      <c r="G1666">
        <v>-206.00839999999999</v>
      </c>
      <c r="H1666">
        <v>8.0000199999999994E-2</v>
      </c>
      <c r="I1666">
        <v>290.58920000000001</v>
      </c>
      <c r="J1666">
        <v>-197.32980000000001</v>
      </c>
      <c r="K1666">
        <v>1.094965</v>
      </c>
      <c r="L1666">
        <v>293.16449999999998</v>
      </c>
      <c r="M1666">
        <v>-0.68860159999999904</v>
      </c>
      <c r="N1666">
        <v>0</v>
      </c>
      <c r="O1666">
        <v>-0.72496959999999999</v>
      </c>
      <c r="P1666">
        <v>-0.76427080000000003</v>
      </c>
      <c r="Q1666">
        <v>-3.5294150000000002E-4</v>
      </c>
      <c r="R1666">
        <v>-0.64489560000000001</v>
      </c>
      <c r="S1666">
        <v>-3.1285400000000001</v>
      </c>
      <c r="T1666">
        <v>-0.35846849999999902</v>
      </c>
      <c r="U1666">
        <v>-0.96908570000000005</v>
      </c>
      <c r="V1666">
        <v>0.1103346</v>
      </c>
      <c r="W1666">
        <v>1.271863E-2</v>
      </c>
      <c r="X1666">
        <v>0.99381309999999901</v>
      </c>
      <c r="Y1666">
        <v>0.48275269999999998</v>
      </c>
      <c r="Z1666">
        <v>9.8385760000000003E-2</v>
      </c>
      <c r="AA1666">
        <v>0.87021269999999995</v>
      </c>
      <c r="AB1666">
        <v>23</v>
      </c>
      <c r="AC1666">
        <v>-8.6785999999999799</v>
      </c>
      <c r="AD1666">
        <v>-1.0149648</v>
      </c>
      <c r="AE1666">
        <v>-2.5752999999999702</v>
      </c>
      <c r="AF1666">
        <v>4.4628236018846499</v>
      </c>
      <c r="AG1666">
        <v>-1.0149648</v>
      </c>
      <c r="AH1666">
        <v>7.7467008435639304</v>
      </c>
      <c r="AI1666">
        <v>96.476915350934803</v>
      </c>
      <c r="AJ1666">
        <v>60.054037291745303</v>
      </c>
      <c r="AK1666">
        <v>8.9976842579883805</v>
      </c>
    </row>
    <row r="1667" spans="1:37" x14ac:dyDescent="0.2">
      <c r="A1667" t="str">
        <f>"20200111155825111"</f>
        <v>20200111155825111</v>
      </c>
      <c r="B1667" t="str">
        <f>"1578729505102565"</f>
        <v>1578729505102565</v>
      </c>
      <c r="C1667" t="s">
        <v>37</v>
      </c>
      <c r="D1667">
        <v>6.093108</v>
      </c>
      <c r="E1667">
        <v>0.66390850000000001</v>
      </c>
      <c r="F1667" t="s">
        <v>49</v>
      </c>
      <c r="G1667">
        <v>-206.14240000000001</v>
      </c>
      <c r="H1667">
        <v>8.0000219999999997E-2</v>
      </c>
      <c r="I1667">
        <v>290.53179999999998</v>
      </c>
      <c r="J1667">
        <v>-197.5094</v>
      </c>
      <c r="K1667">
        <v>1.0950029999999999</v>
      </c>
      <c r="L1667">
        <v>293.00060000000002</v>
      </c>
      <c r="M1667">
        <v>-0.69951949999999996</v>
      </c>
      <c r="N1667">
        <v>0</v>
      </c>
      <c r="O1667">
        <v>-0.71444079999999999</v>
      </c>
      <c r="P1667">
        <v>-0.77352639999999995</v>
      </c>
      <c r="Q1667">
        <v>-1.2788789999999999E-3</v>
      </c>
      <c r="R1667">
        <v>-0.63376250000000001</v>
      </c>
      <c r="S1667">
        <v>-3.1348880000000001</v>
      </c>
      <c r="T1667">
        <v>-0.36105149999999903</v>
      </c>
      <c r="U1667">
        <v>-0.93652340000000001</v>
      </c>
      <c r="V1667">
        <v>0.10962470000000001</v>
      </c>
      <c r="W1667">
        <v>1.181844E-2</v>
      </c>
      <c r="X1667">
        <v>0.99390279999999998</v>
      </c>
      <c r="Y1667">
        <v>0.47823500000000002</v>
      </c>
      <c r="Z1667">
        <v>9.8136020000000004E-2</v>
      </c>
      <c r="AA1667">
        <v>0.872731699999999</v>
      </c>
      <c r="AB1667">
        <v>23</v>
      </c>
      <c r="AC1667">
        <v>-8.6330000000000098</v>
      </c>
      <c r="AD1667">
        <v>-1.0150027800000001</v>
      </c>
      <c r="AE1667">
        <v>-2.4688000000000399</v>
      </c>
      <c r="AF1667">
        <v>4.3853052092040796</v>
      </c>
      <c r="AG1667">
        <v>-1.0150027800000001</v>
      </c>
      <c r="AH1667">
        <v>7.7052664304833298</v>
      </c>
      <c r="AI1667">
        <v>96.531098680133297</v>
      </c>
      <c r="AJ1667">
        <v>60.354458468717802</v>
      </c>
      <c r="AK1667">
        <v>8.9236911189268309</v>
      </c>
    </row>
    <row r="1668" spans="1:37" x14ac:dyDescent="0.2">
      <c r="A1668" t="str">
        <f>"20200111155825133"</f>
        <v>20200111155825133</v>
      </c>
      <c r="B1668" t="str">
        <f>"1578729505123061"</f>
        <v>1578729505123061</v>
      </c>
      <c r="C1668" t="s">
        <v>37</v>
      </c>
      <c r="D1668">
        <v>6.0425209999999998</v>
      </c>
      <c r="E1668">
        <v>0.66310570000000002</v>
      </c>
      <c r="F1668" t="s">
        <v>49</v>
      </c>
      <c r="G1668">
        <v>-206.25</v>
      </c>
      <c r="H1668">
        <v>8.000024E-2</v>
      </c>
      <c r="I1668">
        <v>290.5077</v>
      </c>
      <c r="J1668">
        <v>-197.69059999999999</v>
      </c>
      <c r="K1668">
        <v>1.0950309999999901</v>
      </c>
      <c r="L1668">
        <v>292.84019999999998</v>
      </c>
      <c r="M1668">
        <v>-0.71022390000000002</v>
      </c>
      <c r="N1668">
        <v>0</v>
      </c>
      <c r="O1668">
        <v>-0.70380050000000005</v>
      </c>
      <c r="P1668">
        <v>-0.7831979</v>
      </c>
      <c r="Q1668">
        <v>-3.176262E-3</v>
      </c>
      <c r="R1668">
        <v>-0.62176450000000005</v>
      </c>
      <c r="S1668">
        <v>-3.14321899999999</v>
      </c>
      <c r="T1668">
        <v>-0.36500859999999902</v>
      </c>
      <c r="U1668">
        <v>-0.89648439999999996</v>
      </c>
      <c r="V1668">
        <v>0.10989349999999901</v>
      </c>
      <c r="W1668">
        <v>9.9212129999999999E-3</v>
      </c>
      <c r="X1668">
        <v>0.9938939</v>
      </c>
      <c r="Y1668">
        <v>0.475803799999999</v>
      </c>
      <c r="Z1668">
        <v>9.8308380000000001E-2</v>
      </c>
      <c r="AA1668">
        <v>0.87404020000000004</v>
      </c>
      <c r="AB1668">
        <v>23</v>
      </c>
      <c r="AC1668">
        <v>-8.5594000000000001</v>
      </c>
      <c r="AD1668">
        <v>-1.0150307599999999</v>
      </c>
      <c r="AE1668">
        <v>-2.33249999999998</v>
      </c>
      <c r="AF1668">
        <v>4.3116100410329397</v>
      </c>
      <c r="AG1668">
        <v>-1.0150307599999999</v>
      </c>
      <c r="AH1668">
        <v>7.6218826560099302</v>
      </c>
      <c r="AI1668">
        <v>96.611778461878401</v>
      </c>
      <c r="AJ1668">
        <v>60.503665578689798</v>
      </c>
      <c r="AK1668">
        <v>8.8155183518422398</v>
      </c>
    </row>
    <row r="1669" spans="1:37" x14ac:dyDescent="0.2">
      <c r="A1669" t="str">
        <f>"20200111155825156"</f>
        <v>20200111155825156</v>
      </c>
      <c r="B1669" t="str">
        <f>"1578729505153316"</f>
        <v>1578729505153316</v>
      </c>
      <c r="C1669" t="s">
        <v>37</v>
      </c>
      <c r="D1669">
        <v>6.0978139999999996</v>
      </c>
      <c r="E1669">
        <v>0.661919699999999</v>
      </c>
      <c r="F1669" t="s">
        <v>49</v>
      </c>
      <c r="G1669">
        <v>-206.33779999999999</v>
      </c>
      <c r="H1669">
        <v>8.0000249999999995E-2</v>
      </c>
      <c r="I1669">
        <v>290.5043</v>
      </c>
      <c r="J1669">
        <v>-197.8724</v>
      </c>
      <c r="K1669">
        <v>1.0950549999999999</v>
      </c>
      <c r="L1669">
        <v>292.6841</v>
      </c>
      <c r="M1669">
        <v>-0.72066140000000001</v>
      </c>
      <c r="N1669">
        <v>0</v>
      </c>
      <c r="O1669">
        <v>-0.69310950000000005</v>
      </c>
      <c r="P1669">
        <v>-0.79295939999999998</v>
      </c>
      <c r="Q1669">
        <v>-5.15000599999999E-3</v>
      </c>
      <c r="R1669">
        <v>-0.60925280000000004</v>
      </c>
      <c r="S1669">
        <v>-3.1528019999999999</v>
      </c>
      <c r="T1669">
        <v>-0.37008629999999998</v>
      </c>
      <c r="U1669">
        <v>-0.85168459999999901</v>
      </c>
      <c r="V1669">
        <v>0.1107667</v>
      </c>
      <c r="W1669">
        <v>7.9309740000000004E-3</v>
      </c>
      <c r="X1669">
        <v>0.9938148</v>
      </c>
      <c r="Y1669">
        <v>0.47479840000000001</v>
      </c>
      <c r="Z1669">
        <v>9.8795939999999999E-2</v>
      </c>
      <c r="AA1669">
        <v>0.87453179999999997</v>
      </c>
      <c r="AB1669">
        <v>23</v>
      </c>
      <c r="AC1669">
        <v>-8.4653999999999794</v>
      </c>
      <c r="AD1669">
        <v>-1.01505475</v>
      </c>
      <c r="AE1669">
        <v>-2.1798000000000002</v>
      </c>
      <c r="AF1669">
        <v>4.2399119030402401</v>
      </c>
      <c r="AG1669">
        <v>-1.01505475</v>
      </c>
      <c r="AH1669">
        <v>7.51118770621627</v>
      </c>
      <c r="AI1669">
        <v>96.711936339056393</v>
      </c>
      <c r="AJ1669">
        <v>60.556160361758899</v>
      </c>
      <c r="AK1669">
        <v>8.6847642368146207</v>
      </c>
    </row>
    <row r="1670" spans="1:37" x14ac:dyDescent="0.2">
      <c r="A1670" t="str">
        <f>"20200111155825178"</f>
        <v>20200111155825178</v>
      </c>
      <c r="B1670" t="str">
        <f>"1578729505172836"</f>
        <v>1578729505172836</v>
      </c>
      <c r="C1670" t="s">
        <v>37</v>
      </c>
      <c r="D1670">
        <v>6.9651149999999902</v>
      </c>
      <c r="E1670">
        <v>0.66147009999999995</v>
      </c>
      <c r="F1670" t="s">
        <v>49</v>
      </c>
      <c r="G1670">
        <v>-206.43879999999999</v>
      </c>
      <c r="H1670">
        <v>8.0000269999999998E-2</v>
      </c>
      <c r="I1670">
        <v>290.49329999999998</v>
      </c>
      <c r="J1670">
        <v>-198.05189999999999</v>
      </c>
      <c r="K1670">
        <v>1.0950789999999999</v>
      </c>
      <c r="L1670">
        <v>292.53449999999998</v>
      </c>
      <c r="M1670">
        <v>-0.73068</v>
      </c>
      <c r="N1670">
        <v>0</v>
      </c>
      <c r="O1670">
        <v>-0.68253940000000002</v>
      </c>
      <c r="P1670">
        <v>-0.80217910000000003</v>
      </c>
      <c r="Q1670">
        <v>-6.8378040000000003E-3</v>
      </c>
      <c r="R1670">
        <v>-0.59704440000000003</v>
      </c>
      <c r="S1670">
        <v>-3.1599430000000002</v>
      </c>
      <c r="T1670">
        <v>-0.37442890000000001</v>
      </c>
      <c r="U1670">
        <v>-0.80813599999999997</v>
      </c>
      <c r="V1670">
        <v>0.11145519999999901</v>
      </c>
      <c r="W1670">
        <v>6.2301400000000003E-3</v>
      </c>
      <c r="X1670">
        <v>0.99374989999999996</v>
      </c>
      <c r="Y1670">
        <v>0.47367529999999902</v>
      </c>
      <c r="Z1670">
        <v>9.9101980000000006E-2</v>
      </c>
      <c r="AA1670">
        <v>0.87510599999999905</v>
      </c>
      <c r="AB1670">
        <v>23</v>
      </c>
      <c r="AC1670">
        <v>-8.38689999999999</v>
      </c>
      <c r="AD1670">
        <v>-1.0150787299999999</v>
      </c>
      <c r="AE1670">
        <v>-2.0411999999999999</v>
      </c>
      <c r="AF1670">
        <v>4.1757002960231304</v>
      </c>
      <c r="AG1670">
        <v>-1.0150787299999999</v>
      </c>
      <c r="AH1670">
        <v>7.4196577097293304</v>
      </c>
      <c r="AI1670">
        <v>96.798994847264098</v>
      </c>
      <c r="AJ1670">
        <v>60.629677946556598</v>
      </c>
      <c r="AK1670">
        <v>8.5742742153404503</v>
      </c>
    </row>
    <row r="1671" spans="1:37" x14ac:dyDescent="0.2">
      <c r="A1671" t="str">
        <f>"20200111155825201"</f>
        <v>20200111155825201</v>
      </c>
      <c r="B1671" t="str">
        <f>"1578729505193332"</f>
        <v>1578729505193332</v>
      </c>
      <c r="C1671" t="s">
        <v>37</v>
      </c>
      <c r="D1671">
        <v>6.0645030000000002</v>
      </c>
      <c r="E1671">
        <v>0.66083719999999901</v>
      </c>
      <c r="F1671" t="s">
        <v>49</v>
      </c>
      <c r="G1671">
        <v>-206.52010000000001</v>
      </c>
      <c r="H1671">
        <v>8.0000280000000007E-2</v>
      </c>
      <c r="I1671">
        <v>290.4984</v>
      </c>
      <c r="J1671">
        <v>-198.23650000000001</v>
      </c>
      <c r="K1671">
        <v>1.0951059999999999</v>
      </c>
      <c r="L1671">
        <v>292.3852</v>
      </c>
      <c r="M1671">
        <v>-0.74070170000000002</v>
      </c>
      <c r="N1671">
        <v>0</v>
      </c>
      <c r="O1671">
        <v>-0.67165069999999905</v>
      </c>
      <c r="P1671">
        <v>-0.81091679999999999</v>
      </c>
      <c r="Q1671">
        <v>-8.1779609999999992E-3</v>
      </c>
      <c r="R1671">
        <v>-0.58510450000000003</v>
      </c>
      <c r="S1671">
        <v>-3.1694179999999998</v>
      </c>
      <c r="T1671">
        <v>-0.37991639999999999</v>
      </c>
      <c r="U1671">
        <v>-0.76205440000000002</v>
      </c>
      <c r="V1671">
        <v>0.11141860000000001</v>
      </c>
      <c r="W1671">
        <v>4.8945389999999998E-3</v>
      </c>
      <c r="X1671">
        <v>0.99376149999999996</v>
      </c>
      <c r="Y1671">
        <v>0.47314899999999999</v>
      </c>
      <c r="Z1671">
        <v>9.9608160000000001E-2</v>
      </c>
      <c r="AA1671">
        <v>0.87533320000000003</v>
      </c>
      <c r="AB1671">
        <v>23</v>
      </c>
      <c r="AC1671">
        <v>-8.2835999999999999</v>
      </c>
      <c r="AD1671">
        <v>-1.01510572</v>
      </c>
      <c r="AE1671">
        <v>-1.88679999999999</v>
      </c>
      <c r="AF1671">
        <v>4.1079957642896803</v>
      </c>
      <c r="AG1671">
        <v>-1.01510572</v>
      </c>
      <c r="AH1671">
        <v>7.2996467172465698</v>
      </c>
      <c r="AI1671">
        <v>96.909950289123799</v>
      </c>
      <c r="AJ1671">
        <v>60.630653714344199</v>
      </c>
      <c r="AK1671">
        <v>8.4374706529153194</v>
      </c>
    </row>
    <row r="1672" spans="1:37" x14ac:dyDescent="0.2">
      <c r="A1672" t="str">
        <f>"20200111155825223"</f>
        <v>20200111155825223</v>
      </c>
      <c r="B1672" t="str">
        <f>"1578729505212852"</f>
        <v>1578729505212852</v>
      </c>
      <c r="C1672" t="s">
        <v>37</v>
      </c>
      <c r="D1672">
        <v>6.0948739999999999</v>
      </c>
      <c r="E1672">
        <v>0.65937049999999997</v>
      </c>
      <c r="F1672" t="s">
        <v>49</v>
      </c>
      <c r="G1672">
        <v>-206.65620000000001</v>
      </c>
      <c r="H1672">
        <v>8.0000299999999996E-2</v>
      </c>
      <c r="I1672">
        <v>290.48020000000002</v>
      </c>
      <c r="J1672">
        <v>-198.42490000000001</v>
      </c>
      <c r="K1672">
        <v>1.0954999999999999</v>
      </c>
      <c r="L1672">
        <v>292.23680000000002</v>
      </c>
      <c r="M1672">
        <v>-0.75096609999999997</v>
      </c>
      <c r="N1672">
        <v>0</v>
      </c>
      <c r="O1672">
        <v>-0.66014569999999995</v>
      </c>
      <c r="P1672">
        <v>-0.81960849999999996</v>
      </c>
      <c r="Q1672">
        <v>-9.4374939999999994E-3</v>
      </c>
      <c r="R1672">
        <v>-0.57284650000000004</v>
      </c>
      <c r="S1672">
        <v>-3.1770019999999999</v>
      </c>
      <c r="T1672">
        <v>-0.38302619999999998</v>
      </c>
      <c r="U1672">
        <v>-0.71881099999999998</v>
      </c>
      <c r="V1672">
        <v>0.1110035</v>
      </c>
      <c r="W1672">
        <v>4.0720030000000003E-3</v>
      </c>
      <c r="X1672">
        <v>0.99381169999999996</v>
      </c>
      <c r="Y1672">
        <v>0.47132740000000001</v>
      </c>
      <c r="Z1672">
        <v>9.9355879999999994E-2</v>
      </c>
      <c r="AA1672">
        <v>0.87634409999999896</v>
      </c>
      <c r="AB1672">
        <v>23</v>
      </c>
      <c r="AC1672">
        <v>-8.2312999999999992</v>
      </c>
      <c r="AD1672">
        <v>-1.0154996999999999</v>
      </c>
      <c r="AE1672">
        <v>-1.7565999999999899</v>
      </c>
      <c r="AF1672">
        <v>4.0561929730294404</v>
      </c>
      <c r="AG1672">
        <v>-1.0154996999999999</v>
      </c>
      <c r="AH1672">
        <v>7.2366387416646702</v>
      </c>
      <c r="AI1672">
        <v>96.978863185256799</v>
      </c>
      <c r="AJ1672">
        <v>60.729026469023403</v>
      </c>
      <c r="AK1672">
        <v>8.3578036201214694</v>
      </c>
    </row>
    <row r="1673" spans="1:37" x14ac:dyDescent="0.2">
      <c r="A1673" t="str">
        <f>"20200111155825246"</f>
        <v>20200111155825246</v>
      </c>
      <c r="B1673" t="str">
        <f>"1578729505243108"</f>
        <v>1578729505243108</v>
      </c>
      <c r="C1673" t="s">
        <v>37</v>
      </c>
      <c r="D1673">
        <v>6.0834609999999998</v>
      </c>
      <c r="E1673">
        <v>0.65730290000000002</v>
      </c>
      <c r="F1673" t="s">
        <v>49</v>
      </c>
      <c r="G1673">
        <v>-206.7296</v>
      </c>
      <c r="H1673">
        <v>8.0000310000000005E-2</v>
      </c>
      <c r="I1673">
        <v>290.46010000000001</v>
      </c>
      <c r="J1673">
        <v>-198.60470000000001</v>
      </c>
      <c r="K1673">
        <v>1.0959809999999901</v>
      </c>
      <c r="L1673">
        <v>292.09829999999999</v>
      </c>
      <c r="M1673">
        <v>-0.76126090000000002</v>
      </c>
      <c r="N1673">
        <v>0</v>
      </c>
      <c r="O1673">
        <v>-0.64823730000000002</v>
      </c>
      <c r="P1673">
        <v>-0.82868589999999998</v>
      </c>
      <c r="Q1673">
        <v>-9.9298059999999994E-3</v>
      </c>
      <c r="R1673">
        <v>-0.55962590000000001</v>
      </c>
      <c r="S1673">
        <v>-3.18026699999999</v>
      </c>
      <c r="T1673">
        <v>-0.38888699999999998</v>
      </c>
      <c r="U1673">
        <v>-0.68038940000000003</v>
      </c>
      <c r="V1673">
        <v>0.1112918</v>
      </c>
      <c r="W1673">
        <v>4.0023860000000001E-3</v>
      </c>
      <c r="X1673">
        <v>0.99377969999999904</v>
      </c>
      <c r="Y1673">
        <v>0.46762510000000002</v>
      </c>
      <c r="Z1673">
        <v>9.9712229999999999E-2</v>
      </c>
      <c r="AA1673">
        <v>0.87828490000000004</v>
      </c>
      <c r="AB1673">
        <v>23</v>
      </c>
      <c r="AC1673">
        <v>-8.1248999999999896</v>
      </c>
      <c r="AD1673">
        <v>-1.0159806899999999</v>
      </c>
      <c r="AE1673">
        <v>-1.6381999999999799</v>
      </c>
      <c r="AF1673">
        <v>3.96079599297792</v>
      </c>
      <c r="AG1673">
        <v>-1.0159806899999999</v>
      </c>
      <c r="AH1673">
        <v>7.1407964937134203</v>
      </c>
      <c r="AI1673">
        <v>97.092311665534197</v>
      </c>
      <c r="AJ1673">
        <v>60.9841185975231</v>
      </c>
      <c r="AK1673">
        <v>8.22867524119604</v>
      </c>
    </row>
    <row r="1674" spans="1:37" x14ac:dyDescent="0.2">
      <c r="A1674" t="str">
        <f>"20200111155825267"</f>
        <v>20200111155825267</v>
      </c>
      <c r="B1674" t="str">
        <f>"1578729505262628"</f>
        <v>1578729505262628</v>
      </c>
      <c r="C1674" t="s">
        <v>37</v>
      </c>
      <c r="D1674">
        <v>6.1201600000000003</v>
      </c>
      <c r="E1674">
        <v>0.65653799999999995</v>
      </c>
      <c r="F1674" t="s">
        <v>49</v>
      </c>
      <c r="G1674">
        <v>-206.83949999999999</v>
      </c>
      <c r="H1674">
        <v>8.0000340000000003E-2</v>
      </c>
      <c r="I1674">
        <v>290.43369999999999</v>
      </c>
      <c r="J1674">
        <v>-198.7826</v>
      </c>
      <c r="K1674">
        <v>1.095758</v>
      </c>
      <c r="L1674">
        <v>291.96420000000001</v>
      </c>
      <c r="M1674">
        <v>-0.77175680000000002</v>
      </c>
      <c r="N1674">
        <v>0</v>
      </c>
      <c r="O1674">
        <v>-0.63570579999999999</v>
      </c>
      <c r="P1674">
        <v>-0.83823890000000001</v>
      </c>
      <c r="Q1674">
        <v>-8.20863199999999E-3</v>
      </c>
      <c r="R1674">
        <v>-0.54524150000000005</v>
      </c>
      <c r="S1674">
        <v>-3.1812130000000001</v>
      </c>
      <c r="T1674">
        <v>-0.39248729999999998</v>
      </c>
      <c r="U1674">
        <v>-0.64306640000000004</v>
      </c>
      <c r="V1674">
        <v>0.11225539999999901</v>
      </c>
      <c r="W1674">
        <v>5.4600619999999999E-3</v>
      </c>
      <c r="X1674">
        <v>0.9936644</v>
      </c>
      <c r="Y1674">
        <v>0.46308059999999901</v>
      </c>
      <c r="Z1674">
        <v>9.9389140000000001E-2</v>
      </c>
      <c r="AA1674">
        <v>0.88072589999999995</v>
      </c>
      <c r="AB1674">
        <v>23</v>
      </c>
      <c r="AC1674">
        <v>-8.0568999999999793</v>
      </c>
      <c r="AD1674">
        <v>-1.01575766</v>
      </c>
      <c r="AE1674">
        <v>-1.53050000000001</v>
      </c>
      <c r="AF1674">
        <v>3.8816281579965102</v>
      </c>
      <c r="AG1674">
        <v>-1.01575766</v>
      </c>
      <c r="AH1674">
        <v>7.0832220632164997</v>
      </c>
      <c r="AI1674">
        <v>97.167784145882706</v>
      </c>
      <c r="AJ1674">
        <v>61.277118950072101</v>
      </c>
      <c r="AK1674">
        <v>8.1406901167921308</v>
      </c>
    </row>
    <row r="1675" spans="1:37" x14ac:dyDescent="0.2">
      <c r="A1675" t="str">
        <f>"20200111155825289"</f>
        <v>20200111155825289</v>
      </c>
      <c r="B1675" t="str">
        <f>"1578729505283124"</f>
        <v>1578729505283124</v>
      </c>
      <c r="C1675" t="s">
        <v>37</v>
      </c>
      <c r="D1675">
        <v>6.1025150000000004</v>
      </c>
      <c r="E1675">
        <v>0.63328169999999995</v>
      </c>
      <c r="F1675" t="s">
        <v>49</v>
      </c>
      <c r="G1675">
        <v>-207.1678</v>
      </c>
      <c r="H1675">
        <v>8.0000390000000005E-2</v>
      </c>
      <c r="I1675">
        <v>290.4049</v>
      </c>
      <c r="J1675">
        <v>-198.97989999999999</v>
      </c>
      <c r="K1675">
        <v>1.094565</v>
      </c>
      <c r="L1675">
        <v>291.82049999999998</v>
      </c>
      <c r="M1675">
        <v>-0.78232880000000005</v>
      </c>
      <c r="N1675">
        <v>0</v>
      </c>
      <c r="O1675">
        <v>-0.62267930000000005</v>
      </c>
      <c r="P1675">
        <v>-0.84852249999999996</v>
      </c>
      <c r="Q1675">
        <v>-5.1023639999999999E-3</v>
      </c>
      <c r="R1675">
        <v>-0.5291344</v>
      </c>
      <c r="S1675">
        <v>-3.189362</v>
      </c>
      <c r="T1675">
        <v>-0.38635150000000001</v>
      </c>
      <c r="U1675">
        <v>-0.59310909999999994</v>
      </c>
      <c r="V1675">
        <v>0.1146515</v>
      </c>
      <c r="W1675">
        <v>6.79327199999999E-3</v>
      </c>
      <c r="X1675">
        <v>0.99338249999999995</v>
      </c>
      <c r="Y1675">
        <v>0.46228149999999901</v>
      </c>
      <c r="Z1675">
        <v>9.6615629999999994E-2</v>
      </c>
      <c r="AA1675">
        <v>0.88145409999999902</v>
      </c>
      <c r="AB1675">
        <v>23</v>
      </c>
      <c r="AC1675">
        <v>-8.1879000000000097</v>
      </c>
      <c r="AD1675">
        <v>-1.0145646100000001</v>
      </c>
      <c r="AE1675">
        <v>-1.41559999999998</v>
      </c>
      <c r="AF1675">
        <v>3.9328037434778298</v>
      </c>
      <c r="AG1675">
        <v>-1.0145646100000001</v>
      </c>
      <c r="AH1675">
        <v>7.1808871400213103</v>
      </c>
      <c r="AI1675">
        <v>97.064031537154705</v>
      </c>
      <c r="AJ1675">
        <v>61.291511429171102</v>
      </c>
      <c r="AK1675">
        <v>8.2499349543072906</v>
      </c>
    </row>
    <row r="1676" spans="1:37" x14ac:dyDescent="0.2">
      <c r="A1676" t="str">
        <f>"20200111155825312"</f>
        <v>20200111155825312</v>
      </c>
      <c r="B1676" t="str">
        <f>"1578729505302644"</f>
        <v>1578729505302644</v>
      </c>
      <c r="C1676" t="s">
        <v>37</v>
      </c>
      <c r="D1676">
        <v>6.1204580000000002</v>
      </c>
      <c r="E1676">
        <v>0.63150169999999906</v>
      </c>
      <c r="F1676" t="s">
        <v>49</v>
      </c>
      <c r="G1676">
        <v>-206.9967</v>
      </c>
      <c r="H1676">
        <v>8.0000390000000005E-2</v>
      </c>
      <c r="I1676">
        <v>290.04059999999998</v>
      </c>
      <c r="J1676">
        <v>-199.1748</v>
      </c>
      <c r="K1676">
        <v>1.093369</v>
      </c>
      <c r="L1676">
        <v>291.68430000000001</v>
      </c>
      <c r="M1676">
        <v>-0.79104019999999897</v>
      </c>
      <c r="N1676">
        <v>0</v>
      </c>
      <c r="O1676">
        <v>-0.61161449999999995</v>
      </c>
      <c r="P1676">
        <v>-0.85743609999999904</v>
      </c>
      <c r="Q1676">
        <v>-4.1443390000000004E-3</v>
      </c>
      <c r="R1676">
        <v>-0.51457410000000003</v>
      </c>
      <c r="S1676">
        <v>-3.1035159999999999</v>
      </c>
      <c r="T1676">
        <v>-0.39276279999999902</v>
      </c>
      <c r="U1676">
        <v>-0.68905640000000001</v>
      </c>
      <c r="V1676">
        <v>0.1176266</v>
      </c>
      <c r="W1676">
        <v>5.3999800000000004E-3</v>
      </c>
      <c r="X1676">
        <v>0.99304319999999902</v>
      </c>
      <c r="Y1676">
        <v>0.41861429999999999</v>
      </c>
      <c r="Z1676">
        <v>9.6588430000000003E-2</v>
      </c>
      <c r="AA1676">
        <v>0.90301309999999901</v>
      </c>
      <c r="AB1676">
        <v>23</v>
      </c>
      <c r="AC1676">
        <v>-7.8218999999999896</v>
      </c>
      <c r="AD1676">
        <v>-1.0133686099999999</v>
      </c>
      <c r="AE1676">
        <v>-1.6437000000000199</v>
      </c>
      <c r="AF1676">
        <v>3.4289541599845998</v>
      </c>
      <c r="AG1676">
        <v>-1.0133686099999999</v>
      </c>
      <c r="AH1676">
        <v>7.0796039786048199</v>
      </c>
      <c r="AI1676">
        <v>97.340654052434004</v>
      </c>
      <c r="AJ1676">
        <v>64.157113699460496</v>
      </c>
      <c r="AK1676">
        <v>7.9312946651152902</v>
      </c>
    </row>
    <row r="1677" spans="1:37" x14ac:dyDescent="0.2">
      <c r="A1677" t="str">
        <f>"20200111155825333"</f>
        <v>20200111155825333</v>
      </c>
      <c r="B1677" t="str">
        <f>"1578729505322165"</f>
        <v>1578729505322165</v>
      </c>
      <c r="C1677" t="s">
        <v>37</v>
      </c>
      <c r="D1677">
        <v>6.1395790000000003</v>
      </c>
      <c r="E1677">
        <v>0.63042929999999997</v>
      </c>
      <c r="F1677" t="s">
        <v>49</v>
      </c>
      <c r="G1677">
        <v>-207.38890000000001</v>
      </c>
      <c r="H1677">
        <v>8.0000450000000001E-2</v>
      </c>
      <c r="I1677">
        <v>289.97489999999999</v>
      </c>
      <c r="J1677">
        <v>-199.35910000000001</v>
      </c>
      <c r="K1677">
        <v>1.092848</v>
      </c>
      <c r="L1677">
        <v>291.56049999999999</v>
      </c>
      <c r="M1677">
        <v>-0.79823630000000001</v>
      </c>
      <c r="N1677">
        <v>0</v>
      </c>
      <c r="O1677">
        <v>-0.60222640000000005</v>
      </c>
      <c r="P1677">
        <v>-0.86494309999999996</v>
      </c>
      <c r="Q1677">
        <v>-4.3783620000000002E-3</v>
      </c>
      <c r="R1677">
        <v>-0.50185139999999995</v>
      </c>
      <c r="S1677">
        <v>-3.1087189999999998</v>
      </c>
      <c r="T1677">
        <v>-0.38352219999999998</v>
      </c>
      <c r="U1677">
        <v>-0.64694209999999996</v>
      </c>
      <c r="V1677">
        <v>0.1204978</v>
      </c>
      <c r="W1677">
        <v>3.022014E-3</v>
      </c>
      <c r="X1677">
        <v>0.99270899999999995</v>
      </c>
      <c r="Y1677">
        <v>0.42026809999999998</v>
      </c>
      <c r="Z1677">
        <v>9.3601089999999998E-2</v>
      </c>
      <c r="AA1677">
        <v>0.90255949999999996</v>
      </c>
      <c r="AB1677">
        <v>23</v>
      </c>
      <c r="AC1677">
        <v>-8.0297999999999892</v>
      </c>
      <c r="AD1677">
        <v>-1.01284755</v>
      </c>
      <c r="AE1677">
        <v>-1.5855999999999899</v>
      </c>
      <c r="AF1677">
        <v>3.5164792719853999</v>
      </c>
      <c r="AG1677">
        <v>-1.01284755</v>
      </c>
      <c r="AH1677">
        <v>7.25400938224087</v>
      </c>
      <c r="AI1677">
        <v>97.1612054710276</v>
      </c>
      <c r="AJ1677">
        <v>64.137583934027106</v>
      </c>
      <c r="AK1677">
        <v>8.12478545855104</v>
      </c>
    </row>
    <row r="1678" spans="1:37" x14ac:dyDescent="0.2">
      <c r="A1678" t="str">
        <f>"20200111155825356"</f>
        <v>20200111155825356</v>
      </c>
      <c r="B1678" t="str">
        <f>"1578729505352420"</f>
        <v>1578729505352420</v>
      </c>
      <c r="C1678" t="s">
        <v>37</v>
      </c>
      <c r="D1678">
        <v>6.2244010000000003</v>
      </c>
      <c r="E1678">
        <v>0.62039449999999996</v>
      </c>
      <c r="F1678" t="s">
        <v>49</v>
      </c>
      <c r="G1678">
        <v>-207.63980000000001</v>
      </c>
      <c r="H1678">
        <v>8.0000500000000002E-2</v>
      </c>
      <c r="I1678">
        <v>289.94589999999999</v>
      </c>
      <c r="J1678">
        <v>-199.55350000000001</v>
      </c>
      <c r="K1678">
        <v>1.093154</v>
      </c>
      <c r="L1678">
        <v>291.43430000000001</v>
      </c>
      <c r="M1678">
        <v>-0.80568609999999996</v>
      </c>
      <c r="N1678">
        <v>0</v>
      </c>
      <c r="O1678">
        <v>-0.592252</v>
      </c>
      <c r="P1678">
        <v>-0.87244880000000002</v>
      </c>
      <c r="Q1678">
        <v>-4.1905019999999996E-3</v>
      </c>
      <c r="R1678">
        <v>-0.48868809999999901</v>
      </c>
      <c r="S1678">
        <v>-3.1141969999999999</v>
      </c>
      <c r="T1678">
        <v>-0.38090749999999901</v>
      </c>
      <c r="U1678">
        <v>-0.60723879999999997</v>
      </c>
      <c r="V1678">
        <v>0.1231318</v>
      </c>
      <c r="W1678">
        <v>1.2949139999999899E-3</v>
      </c>
      <c r="X1678">
        <v>0.99238950000000004</v>
      </c>
      <c r="Y1678">
        <v>0.4205121</v>
      </c>
      <c r="Z1678">
        <v>9.2059940000000007E-2</v>
      </c>
      <c r="AA1678">
        <v>0.90260429999999903</v>
      </c>
      <c r="AB1678">
        <v>23</v>
      </c>
      <c r="AC1678">
        <v>-8.0862999999999907</v>
      </c>
      <c r="AD1678">
        <v>-1.0131535</v>
      </c>
      <c r="AE1678">
        <v>-1.4884000000000099</v>
      </c>
      <c r="AF1678">
        <v>3.5364404464142698</v>
      </c>
      <c r="AG1678">
        <v>-1.0131535</v>
      </c>
      <c r="AH1678">
        <v>7.2862912279207297</v>
      </c>
      <c r="AI1678">
        <v>97.130296453224801</v>
      </c>
      <c r="AJ1678">
        <v>64.110134091870293</v>
      </c>
      <c r="AK1678">
        <v>8.1622871123032503</v>
      </c>
    </row>
    <row r="1679" spans="1:37" x14ac:dyDescent="0.2">
      <c r="A1679" t="str">
        <f>"20200111155825378"</f>
        <v>20200111155825378</v>
      </c>
      <c r="B1679" t="str">
        <f>"1578729505372916"</f>
        <v>1578729505372916</v>
      </c>
      <c r="C1679" t="s">
        <v>37</v>
      </c>
      <c r="D1679">
        <v>5.9451989999999997</v>
      </c>
      <c r="E1679">
        <v>0.62099349999999998</v>
      </c>
      <c r="F1679" t="s">
        <v>49</v>
      </c>
      <c r="G1679">
        <v>-208.00649999999999</v>
      </c>
      <c r="H1679">
        <v>8.0000580000000002E-2</v>
      </c>
      <c r="I1679">
        <v>289.71190000000001</v>
      </c>
      <c r="J1679">
        <v>-199.7552</v>
      </c>
      <c r="K1679">
        <v>1.094211</v>
      </c>
      <c r="L1679">
        <v>291.30689999999998</v>
      </c>
      <c r="M1679">
        <v>-0.81384540000000005</v>
      </c>
      <c r="N1679">
        <v>0</v>
      </c>
      <c r="O1679">
        <v>-0.58101239999999998</v>
      </c>
      <c r="P1679">
        <v>-0.88049679999999997</v>
      </c>
      <c r="Q1679">
        <v>-3.2102989999999998E-3</v>
      </c>
      <c r="R1679">
        <v>-0.47404079999999899</v>
      </c>
      <c r="S1679">
        <v>-3.0847630000000001</v>
      </c>
      <c r="T1679">
        <v>-0.36973059999999902</v>
      </c>
      <c r="U1679">
        <v>-0.62853999999999999</v>
      </c>
      <c r="V1679">
        <v>0.1259149</v>
      </c>
      <c r="W1679">
        <v>6.6978160000000003E-4</v>
      </c>
      <c r="X1679">
        <v>0.99204079999999994</v>
      </c>
      <c r="Y1679">
        <v>0.40069290000000002</v>
      </c>
      <c r="Z1679">
        <v>8.7885420000000006E-2</v>
      </c>
      <c r="AA1679">
        <v>0.91198760000000001</v>
      </c>
      <c r="AB1679">
        <v>23</v>
      </c>
      <c r="AC1679">
        <v>-8.2512999999999792</v>
      </c>
      <c r="AD1679">
        <v>-1.0142104199999999</v>
      </c>
      <c r="AE1679">
        <v>-1.59499999999997</v>
      </c>
      <c r="AF1679">
        <v>3.4459774346724301</v>
      </c>
      <c r="AG1679">
        <v>-1.0142104199999999</v>
      </c>
      <c r="AH1679">
        <v>7.5325995515809101</v>
      </c>
      <c r="AI1679">
        <v>96.980483579762094</v>
      </c>
      <c r="AJ1679">
        <v>65.417080641225795</v>
      </c>
      <c r="AK1679">
        <v>8.3452644811764394</v>
      </c>
    </row>
    <row r="1680" spans="1:37" x14ac:dyDescent="0.2">
      <c r="A1680" t="str">
        <f>"20200111155825401"</f>
        <v>20200111155825401</v>
      </c>
      <c r="B1680" t="str">
        <f>"1578729505392436"</f>
        <v>1578729505392436</v>
      </c>
      <c r="C1680" t="s">
        <v>37</v>
      </c>
      <c r="D1680">
        <v>5.9672559999999999</v>
      </c>
      <c r="E1680">
        <v>0.62019449999999998</v>
      </c>
      <c r="F1680" t="s">
        <v>49</v>
      </c>
      <c r="G1680">
        <v>-209.84379999999999</v>
      </c>
      <c r="H1680" s="1">
        <v>6.1601989999999997E-6</v>
      </c>
      <c r="I1680">
        <v>289.44450000000001</v>
      </c>
      <c r="J1680">
        <v>-199.95750000000001</v>
      </c>
      <c r="K1680">
        <v>1.0955729999999999</v>
      </c>
      <c r="L1680">
        <v>291.18239999999997</v>
      </c>
      <c r="M1680">
        <v>-0.82235970000000003</v>
      </c>
      <c r="N1680">
        <v>0</v>
      </c>
      <c r="O1680">
        <v>-0.56891579999999997</v>
      </c>
      <c r="P1680">
        <v>-0.88913969999999898</v>
      </c>
      <c r="Q1680">
        <v>-2.7709520000000001E-3</v>
      </c>
      <c r="R1680">
        <v>-0.45762829999999899</v>
      </c>
      <c r="S1680">
        <v>-3.0980379999999998</v>
      </c>
      <c r="T1680">
        <v>-0.33601300000000001</v>
      </c>
      <c r="U1680">
        <v>-0.57192989999999999</v>
      </c>
      <c r="V1680">
        <v>0.1296061</v>
      </c>
      <c r="W1680">
        <v>-2.6425180000000002E-4</v>
      </c>
      <c r="X1680">
        <v>0.99156549999999999</v>
      </c>
      <c r="Y1680">
        <v>0.40510759999999901</v>
      </c>
      <c r="Z1680">
        <v>7.8994480000000006E-2</v>
      </c>
      <c r="AA1680">
        <v>0.91085000000000005</v>
      </c>
      <c r="AB1680">
        <v>23</v>
      </c>
      <c r="AC1680">
        <v>-9.8862999999999701</v>
      </c>
      <c r="AD1680">
        <v>-1.0955668398009999</v>
      </c>
      <c r="AE1680">
        <v>-1.73789999999996</v>
      </c>
      <c r="AF1680">
        <v>4.1460293819807497</v>
      </c>
      <c r="AG1680">
        <v>-1.0955668398009999</v>
      </c>
      <c r="AH1680">
        <v>9.0117342023476592</v>
      </c>
      <c r="AI1680">
        <v>96.302391979289695</v>
      </c>
      <c r="AJ1680">
        <v>65.2942552633926</v>
      </c>
      <c r="AK1680">
        <v>9.98003906157094</v>
      </c>
    </row>
    <row r="1681" spans="1:37" x14ac:dyDescent="0.2">
      <c r="A1681" t="str">
        <f>"20200111155825424"</f>
        <v>20200111155825424</v>
      </c>
      <c r="B1681" t="str">
        <f>"1578729505412931"</f>
        <v>1578729505412931</v>
      </c>
      <c r="C1681" t="s">
        <v>37</v>
      </c>
      <c r="D1681">
        <v>6.1797149999999998</v>
      </c>
      <c r="E1681">
        <v>0.62121340000000003</v>
      </c>
      <c r="F1681" t="s">
        <v>50</v>
      </c>
      <c r="G1681">
        <v>-210.42429999999999</v>
      </c>
      <c r="H1681" s="1">
        <v>-1.31097E-6</v>
      </c>
      <c r="I1681">
        <v>289.4314</v>
      </c>
      <c r="J1681">
        <v>-200.1584</v>
      </c>
      <c r="K1681">
        <v>1.096846</v>
      </c>
      <c r="L1681">
        <v>291.06180000000001</v>
      </c>
      <c r="M1681">
        <v>-0.83071810000000001</v>
      </c>
      <c r="N1681">
        <v>0</v>
      </c>
      <c r="O1681">
        <v>-0.55665419999999999</v>
      </c>
      <c r="P1681">
        <v>-0.89738430000000002</v>
      </c>
      <c r="Q1681">
        <v>-2.2473989999999902E-3</v>
      </c>
      <c r="R1681">
        <v>-0.44124399999999903</v>
      </c>
      <c r="S1681">
        <v>-3.10563699999999</v>
      </c>
      <c r="T1681">
        <v>-0.32506869999999999</v>
      </c>
      <c r="U1681">
        <v>-0.51953130000000003</v>
      </c>
      <c r="V1681">
        <v>0.13305229999999901</v>
      </c>
      <c r="W1681">
        <v>-9.6880489999999996E-4</v>
      </c>
      <c r="X1681">
        <v>0.99110849999999995</v>
      </c>
      <c r="Y1681">
        <v>0.407234599999999</v>
      </c>
      <c r="Z1681">
        <v>7.5501990000000005E-2</v>
      </c>
      <c r="AA1681">
        <v>0.91019740000000005</v>
      </c>
      <c r="AB1681">
        <v>23</v>
      </c>
      <c r="AC1681">
        <v>-10.265899999999901</v>
      </c>
      <c r="AD1681">
        <v>-1.0968473109700001</v>
      </c>
      <c r="AE1681">
        <v>-1.6304000000000001</v>
      </c>
      <c r="AF1681">
        <v>4.3122329006321802</v>
      </c>
      <c r="AG1681">
        <v>-1.0968473109700001</v>
      </c>
      <c r="AH1681">
        <v>9.3319347206888992</v>
      </c>
      <c r="AI1681">
        <v>96.090202421004705</v>
      </c>
      <c r="AJ1681">
        <v>65.198615229920705</v>
      </c>
      <c r="AK1681">
        <v>10.3384443822112</v>
      </c>
    </row>
    <row r="1682" spans="1:37" x14ac:dyDescent="0.2">
      <c r="A1682" t="str">
        <f>"20200111155825468"</f>
        <v>20200111155825468</v>
      </c>
      <c r="B1682" t="str">
        <f>"1578729505462709"</f>
        <v>1578729505462709</v>
      </c>
      <c r="C1682" t="s">
        <v>37</v>
      </c>
      <c r="D1682">
        <v>6.0946230000000003</v>
      </c>
      <c r="E1682">
        <v>0.62282919999999997</v>
      </c>
      <c r="F1682" t="s">
        <v>49</v>
      </c>
      <c r="G1682">
        <v>-209.78970000000001</v>
      </c>
      <c r="H1682">
        <v>8.0000849999999998E-2</v>
      </c>
      <c r="I1682">
        <v>289.65750000000003</v>
      </c>
      <c r="J1682">
        <v>-200.5539</v>
      </c>
      <c r="K1682">
        <v>1.0989169999999999</v>
      </c>
      <c r="L1682">
        <v>290.834</v>
      </c>
      <c r="M1682">
        <v>-0.84632770000000002</v>
      </c>
      <c r="N1682">
        <v>0</v>
      </c>
      <c r="O1682">
        <v>-0.53263939999999999</v>
      </c>
      <c r="P1682">
        <v>-0.91146550000000004</v>
      </c>
      <c r="Q1682">
        <v>-4.7138900000000001E-3</v>
      </c>
      <c r="R1682">
        <v>-0.41134989999999999</v>
      </c>
      <c r="S1682">
        <v>-3.1186370000000001</v>
      </c>
      <c r="T1682">
        <v>-0.32925709999999903</v>
      </c>
      <c r="U1682">
        <v>-0.4547119</v>
      </c>
      <c r="V1682">
        <v>0.1372467</v>
      </c>
      <c r="W1682">
        <v>-5.2615359999999998E-3</v>
      </c>
      <c r="X1682">
        <v>0.99052289999999998</v>
      </c>
      <c r="Y1682">
        <v>0.400223</v>
      </c>
      <c r="Z1682">
        <v>7.3896180000000006E-2</v>
      </c>
      <c r="AA1682">
        <v>0.91343359999999996</v>
      </c>
      <c r="AB1682">
        <v>23</v>
      </c>
      <c r="AC1682">
        <v>-9.23580000000001</v>
      </c>
      <c r="AD1682">
        <v>-1.0189161499999999</v>
      </c>
      <c r="AE1682">
        <v>-1.1764999999999699</v>
      </c>
      <c r="AF1682">
        <v>3.8772581192187698</v>
      </c>
      <c r="AG1682">
        <v>-1.0189161499999999</v>
      </c>
      <c r="AH1682">
        <v>8.3433421669458703</v>
      </c>
      <c r="AI1682">
        <v>96.319686243312304</v>
      </c>
      <c r="AJ1682">
        <v>65.075102445668705</v>
      </c>
      <c r="AK1682">
        <v>9.2564938912374206</v>
      </c>
    </row>
    <row r="1683" spans="1:37" x14ac:dyDescent="0.2">
      <c r="A1683" t="str">
        <f>"20200111155825491"</f>
        <v>20200111155825491</v>
      </c>
      <c r="B1683" t="str">
        <f>"1578729505482229"</f>
        <v>1578729505482229</v>
      </c>
      <c r="C1683" t="s">
        <v>37</v>
      </c>
      <c r="D1683">
        <v>6.1550570000000002</v>
      </c>
      <c r="E1683">
        <v>0.62465380000000004</v>
      </c>
      <c r="F1683" t="s">
        <v>50</v>
      </c>
      <c r="G1683">
        <v>-210.16739999999999</v>
      </c>
      <c r="H1683">
        <v>8.0000070000000006E-2</v>
      </c>
      <c r="I1683">
        <v>289.79500000000002</v>
      </c>
      <c r="J1683">
        <v>-200.76130000000001</v>
      </c>
      <c r="K1683">
        <v>1.0998459999999901</v>
      </c>
      <c r="L1683">
        <v>290.71870000000001</v>
      </c>
      <c r="M1683">
        <v>-0.85451949999999999</v>
      </c>
      <c r="N1683">
        <v>0</v>
      </c>
      <c r="O1683">
        <v>-0.51939519999999995</v>
      </c>
      <c r="P1683">
        <v>-0.91776089999999999</v>
      </c>
      <c r="Q1683">
        <v>-5.671794E-3</v>
      </c>
      <c r="R1683">
        <v>-0.39709299999999997</v>
      </c>
      <c r="S1683">
        <v>-3.1366879999999999</v>
      </c>
      <c r="T1683">
        <v>-0.3324532</v>
      </c>
      <c r="U1683">
        <v>-0.33901979999999998</v>
      </c>
      <c r="V1683">
        <v>0.13720979999999999</v>
      </c>
      <c r="W1683">
        <v>-6.4314840000000003E-3</v>
      </c>
      <c r="X1683">
        <v>0.99052109999999904</v>
      </c>
      <c r="Y1683">
        <v>0.41966709999999902</v>
      </c>
      <c r="Z1683">
        <v>7.432677E-2</v>
      </c>
      <c r="AA1683">
        <v>0.90462980000000004</v>
      </c>
      <c r="AB1683">
        <v>23</v>
      </c>
      <c r="AC1683">
        <v>-9.4060999999999808</v>
      </c>
      <c r="AD1683">
        <v>-1.01984592999999</v>
      </c>
      <c r="AE1683">
        <v>-0.92369999999999597</v>
      </c>
      <c r="AF1683">
        <v>4.0490696793216303</v>
      </c>
      <c r="AG1683">
        <v>-1.01984592999999</v>
      </c>
      <c r="AH1683">
        <v>8.4195354288659896</v>
      </c>
      <c r="AI1683">
        <v>96.229810246930001</v>
      </c>
      <c r="AJ1683">
        <v>64.316462682706998</v>
      </c>
      <c r="AK1683">
        <v>9.3980651108017401</v>
      </c>
    </row>
    <row r="1684" spans="1:37" x14ac:dyDescent="0.2">
      <c r="A1684" t="str">
        <f>"20200111155825513"</f>
        <v>20200111155825513</v>
      </c>
      <c r="B1684" t="str">
        <f>"1578729505502724"</f>
        <v>1578729505502724</v>
      </c>
      <c r="C1684" t="s">
        <v>37</v>
      </c>
      <c r="D1684">
        <v>6.2745739999999897</v>
      </c>
      <c r="E1684">
        <v>0.62494179999999999</v>
      </c>
      <c r="F1684" t="s">
        <v>50</v>
      </c>
      <c r="G1684">
        <v>-210.4744</v>
      </c>
      <c r="H1684">
        <v>8.0000150000000006E-2</v>
      </c>
      <c r="I1684">
        <v>289.86689999999999</v>
      </c>
      <c r="J1684">
        <v>-200.9581</v>
      </c>
      <c r="K1684">
        <v>1.100325</v>
      </c>
      <c r="L1684">
        <v>290.61200000000002</v>
      </c>
      <c r="M1684">
        <v>-0.8619947</v>
      </c>
      <c r="N1684">
        <v>0</v>
      </c>
      <c r="O1684">
        <v>-0.50688889999999998</v>
      </c>
      <c r="P1684">
        <v>-0.92264729999999995</v>
      </c>
      <c r="Q1684">
        <v>-5.8463040000000001E-3</v>
      </c>
      <c r="R1684">
        <v>-0.38560119999999998</v>
      </c>
      <c r="S1684">
        <v>-3.1473689999999999</v>
      </c>
      <c r="T1684">
        <v>-0.33046419999999999</v>
      </c>
      <c r="U1684">
        <v>-0.27603149999999999</v>
      </c>
      <c r="V1684">
        <v>0.13513739999999999</v>
      </c>
      <c r="W1684">
        <v>-6.5575590000000001E-3</v>
      </c>
      <c r="X1684">
        <v>0.99080509999999999</v>
      </c>
      <c r="Y1684">
        <v>0.4248247</v>
      </c>
      <c r="Z1684">
        <v>7.2919319999999996E-2</v>
      </c>
      <c r="AA1684">
        <v>0.90233399999999997</v>
      </c>
      <c r="AB1684">
        <v>22</v>
      </c>
      <c r="AC1684">
        <v>-9.5162999999999993</v>
      </c>
      <c r="AD1684">
        <v>-1.0203248499999999</v>
      </c>
      <c r="AE1684">
        <v>-0.74510000000003596</v>
      </c>
      <c r="AF1684">
        <v>4.1342575859702499</v>
      </c>
      <c r="AG1684">
        <v>-1.0203248499999999</v>
      </c>
      <c r="AH1684">
        <v>8.4838715950879102</v>
      </c>
      <c r="AI1684">
        <v>96.170442240241997</v>
      </c>
      <c r="AJ1684">
        <v>64.019660477357306</v>
      </c>
      <c r="AK1684">
        <v>9.4925879415794494</v>
      </c>
    </row>
    <row r="1685" spans="1:37" x14ac:dyDescent="0.2">
      <c r="A1685" t="str">
        <f>"20200111155825535"</f>
        <v>20200111155825535</v>
      </c>
      <c r="B1685" t="str">
        <f>"1578729505532981"</f>
        <v>1578729505532981</v>
      </c>
      <c r="C1685" t="s">
        <v>37</v>
      </c>
      <c r="D1685">
        <v>5.7543889999999998</v>
      </c>
      <c r="E1685">
        <v>0.62474819999999998</v>
      </c>
      <c r="F1685" t="s">
        <v>50</v>
      </c>
      <c r="G1685">
        <v>-210.84129999999999</v>
      </c>
      <c r="H1685">
        <v>8.0000269999999998E-2</v>
      </c>
      <c r="I1685">
        <v>289.8784</v>
      </c>
      <c r="J1685">
        <v>-201.16540000000001</v>
      </c>
      <c r="K1685">
        <v>1.1005199999999999</v>
      </c>
      <c r="L1685">
        <v>290.50319999999999</v>
      </c>
      <c r="M1685">
        <v>-0.86894509999999903</v>
      </c>
      <c r="N1685">
        <v>0</v>
      </c>
      <c r="O1685">
        <v>-0.4948746</v>
      </c>
      <c r="P1685">
        <v>-0.926585399999999</v>
      </c>
      <c r="Q1685">
        <v>-5.0563320000000002E-3</v>
      </c>
      <c r="R1685">
        <v>-0.37605060000000001</v>
      </c>
      <c r="S1685">
        <v>-3.151688</v>
      </c>
      <c r="T1685">
        <v>-0.32537480000000002</v>
      </c>
      <c r="U1685">
        <v>-0.23394780000000001</v>
      </c>
      <c r="V1685">
        <v>0.13165479999999999</v>
      </c>
      <c r="W1685">
        <v>-5.7507769999999899E-3</v>
      </c>
      <c r="X1685">
        <v>0.99127889999999996</v>
      </c>
      <c r="Y1685">
        <v>0.42456709999999898</v>
      </c>
      <c r="Z1685">
        <v>7.0696410000000001E-2</v>
      </c>
      <c r="AA1685">
        <v>0.9026322</v>
      </c>
      <c r="AB1685">
        <v>22</v>
      </c>
      <c r="AC1685">
        <v>-9.6758999999999808</v>
      </c>
      <c r="AD1685">
        <v>-1.02051973</v>
      </c>
      <c r="AE1685">
        <v>-0.62479999999999303</v>
      </c>
      <c r="AF1685">
        <v>4.19899587038626</v>
      </c>
      <c r="AG1685">
        <v>-1.02051973</v>
      </c>
      <c r="AH1685">
        <v>8.6216608311686702</v>
      </c>
      <c r="AI1685">
        <v>96.074384507957404</v>
      </c>
      <c r="AJ1685">
        <v>64.032590849610799</v>
      </c>
      <c r="AK1685">
        <v>9.6439650728602402</v>
      </c>
    </row>
    <row r="1686" spans="1:37" x14ac:dyDescent="0.2">
      <c r="A1686" t="str">
        <f>"20200111155825558"</f>
        <v>20200111155825558</v>
      </c>
      <c r="B1686" t="str">
        <f>"1578729505552501"</f>
        <v>1578729505552501</v>
      </c>
      <c r="C1686" t="s">
        <v>37</v>
      </c>
      <c r="D1686">
        <v>5.7238199999999999</v>
      </c>
      <c r="E1686">
        <v>0.64413659999999995</v>
      </c>
      <c r="F1686" t="s">
        <v>50</v>
      </c>
      <c r="G1686">
        <v>-211.26310000000001</v>
      </c>
      <c r="H1686">
        <v>8.0000390000000005E-2</v>
      </c>
      <c r="I1686">
        <v>289.858</v>
      </c>
      <c r="J1686">
        <v>-201.3707</v>
      </c>
      <c r="K1686">
        <v>1.1008180000000001</v>
      </c>
      <c r="L1686">
        <v>290.39920000000001</v>
      </c>
      <c r="M1686">
        <v>-0.87488529999999998</v>
      </c>
      <c r="N1686">
        <v>0</v>
      </c>
      <c r="O1686">
        <v>-0.48429079999999902</v>
      </c>
      <c r="P1686">
        <v>-0.92932289999999995</v>
      </c>
      <c r="Q1686">
        <v>-4.6631989999999998E-3</v>
      </c>
      <c r="R1686">
        <v>-0.36923909999999999</v>
      </c>
      <c r="S1686">
        <v>-3.1541899999999998</v>
      </c>
      <c r="T1686">
        <v>-0.31877709999999998</v>
      </c>
      <c r="U1686">
        <v>-0.2015381</v>
      </c>
      <c r="V1686">
        <v>0.1269219</v>
      </c>
      <c r="W1686">
        <v>-5.2825179999999999E-3</v>
      </c>
      <c r="X1686">
        <v>0.99189869999999902</v>
      </c>
      <c r="Y1686">
        <v>0.42312169999999999</v>
      </c>
      <c r="Z1686">
        <v>6.8260890000000005E-2</v>
      </c>
      <c r="AA1686">
        <v>0.90349789999999996</v>
      </c>
      <c r="AB1686">
        <v>22</v>
      </c>
      <c r="AC1686">
        <v>-9.8924000000000092</v>
      </c>
      <c r="AD1686">
        <v>-1.0208176099999999</v>
      </c>
      <c r="AE1686">
        <v>-0.54120000000000301</v>
      </c>
      <c r="AF1686">
        <v>4.2720371914676498</v>
      </c>
      <c r="AG1686">
        <v>-1.0208176099999999</v>
      </c>
      <c r="AH1686">
        <v>8.8233079385904905</v>
      </c>
      <c r="AI1686">
        <v>95.944895993848604</v>
      </c>
      <c r="AJ1686">
        <v>64.164831209075302</v>
      </c>
      <c r="AK1686">
        <v>9.8561216174194399</v>
      </c>
    </row>
    <row r="1687" spans="1:37" x14ac:dyDescent="0.2">
      <c r="A1687" t="str">
        <f>"20200111155825580"</f>
        <v>20200111155825580</v>
      </c>
      <c r="B1687" t="str">
        <f>"1578729505572997"</f>
        <v>1578729505572997</v>
      </c>
      <c r="C1687" t="s">
        <v>37</v>
      </c>
      <c r="D1687">
        <v>5.7597800000000001</v>
      </c>
      <c r="E1687">
        <v>0.64192340000000003</v>
      </c>
      <c r="F1687" t="s">
        <v>50</v>
      </c>
      <c r="G1687">
        <v>-224.10900000000001</v>
      </c>
      <c r="H1687">
        <v>8.0001230000000007E-2</v>
      </c>
      <c r="I1687">
        <v>290.13979999999998</v>
      </c>
      <c r="J1687">
        <v>-201.57929999999999</v>
      </c>
      <c r="K1687">
        <v>1.101488</v>
      </c>
      <c r="L1687">
        <v>290.29719999999998</v>
      </c>
      <c r="M1687">
        <v>-0.88027540000000004</v>
      </c>
      <c r="N1687">
        <v>0</v>
      </c>
      <c r="O1687">
        <v>-0.47441749999999999</v>
      </c>
      <c r="P1687">
        <v>-0.93172900000000003</v>
      </c>
      <c r="Q1687">
        <v>-5.3922629999999996E-3</v>
      </c>
      <c r="R1687">
        <v>-0.3631144</v>
      </c>
      <c r="S1687">
        <v>-3.2128749999999999</v>
      </c>
      <c r="T1687">
        <v>-0.14423920000000001</v>
      </c>
      <c r="U1687">
        <v>-3.6651610000000001E-2</v>
      </c>
      <c r="V1687">
        <v>0.1222586</v>
      </c>
      <c r="W1687">
        <v>-5.789598E-3</v>
      </c>
      <c r="X1687">
        <v>0.99248139999999996</v>
      </c>
      <c r="Y1687">
        <v>0.46344259999999898</v>
      </c>
      <c r="Z1687">
        <v>3.0992700000000001E-2</v>
      </c>
      <c r="AA1687">
        <v>0.88558479999999995</v>
      </c>
      <c r="AB1687">
        <v>22</v>
      </c>
      <c r="AC1687">
        <v>-22.529699999999998</v>
      </c>
      <c r="AD1687">
        <v>-1.0214867700000001</v>
      </c>
      <c r="AE1687">
        <v>-0.15739999999999499</v>
      </c>
      <c r="AF1687">
        <v>10.528514623295299</v>
      </c>
      <c r="AG1687">
        <v>-1.0214867700000001</v>
      </c>
      <c r="AH1687">
        <v>19.866607239896201</v>
      </c>
      <c r="AI1687">
        <v>92.601253319528197</v>
      </c>
      <c r="AJ1687">
        <v>62.078182773856803</v>
      </c>
      <c r="AK1687">
        <v>22.5072241428952</v>
      </c>
    </row>
    <row r="1688" spans="1:37" x14ac:dyDescent="0.2">
      <c r="A1688" t="str">
        <f>"20200111155825602"</f>
        <v>20200111155825602</v>
      </c>
      <c r="B1688" t="str">
        <f>"1578729505593140"</f>
        <v>1578729505593140</v>
      </c>
      <c r="C1688" t="s">
        <v>37</v>
      </c>
      <c r="D1688">
        <v>5.6618709999999997</v>
      </c>
      <c r="E1688">
        <v>0.64066869999999998</v>
      </c>
      <c r="F1688" t="s">
        <v>50</v>
      </c>
      <c r="G1688">
        <v>-224.90180000000001</v>
      </c>
      <c r="H1688">
        <v>8.0001450000000002E-2</v>
      </c>
      <c r="I1688">
        <v>290.0686</v>
      </c>
      <c r="J1688">
        <v>-201.78149999999999</v>
      </c>
      <c r="K1688">
        <v>1.1025419999999999</v>
      </c>
      <c r="L1688">
        <v>290.20150000000001</v>
      </c>
      <c r="M1688">
        <v>-0.88516280000000003</v>
      </c>
      <c r="N1688">
        <v>0</v>
      </c>
      <c r="O1688">
        <v>-0.46522950000000002</v>
      </c>
      <c r="P1688">
        <v>-0.934635199999999</v>
      </c>
      <c r="Q1688">
        <v>-7.21850099999999E-3</v>
      </c>
      <c r="R1688">
        <v>-0.3555354</v>
      </c>
      <c r="S1688">
        <v>-3.206772</v>
      </c>
      <c r="T1688">
        <v>-0.14045099999999999</v>
      </c>
      <c r="U1688">
        <v>-3.143311E-2</v>
      </c>
      <c r="V1688">
        <v>0.11989320000000001</v>
      </c>
      <c r="W1688">
        <v>-7.3197319999999998E-3</v>
      </c>
      <c r="X1688">
        <v>0.99275979999999997</v>
      </c>
      <c r="Y1688">
        <v>0.45568760000000003</v>
      </c>
      <c r="Z1688">
        <v>2.9708579999999998E-2</v>
      </c>
      <c r="AA1688">
        <v>0.88964390000000004</v>
      </c>
      <c r="AB1688">
        <v>22</v>
      </c>
      <c r="AC1688">
        <v>-23.1203</v>
      </c>
      <c r="AD1688">
        <v>-1.02254055</v>
      </c>
      <c r="AE1688">
        <v>-0.13290000000000601</v>
      </c>
      <c r="AF1688">
        <v>10.6180960001409</v>
      </c>
      <c r="AG1688">
        <v>-1.02254055</v>
      </c>
      <c r="AH1688">
        <v>20.487481858605399</v>
      </c>
      <c r="AI1688">
        <v>92.537272680926193</v>
      </c>
      <c r="AJ1688">
        <v>62.603540093317399</v>
      </c>
      <c r="AK1688">
        <v>23.098191806963801</v>
      </c>
    </row>
    <row r="1689" spans="1:37" x14ac:dyDescent="0.2">
      <c r="A1689" t="str">
        <f>"20200111155825626"</f>
        <v>20200111155825626</v>
      </c>
      <c r="B1689" t="str">
        <f>"1578729505622419"</f>
        <v>1578729505622419</v>
      </c>
      <c r="C1689" t="s">
        <v>37</v>
      </c>
      <c r="D1689">
        <v>5.6819750000000004</v>
      </c>
      <c r="E1689">
        <v>0.63675649999999995</v>
      </c>
      <c r="F1689" t="s">
        <v>50</v>
      </c>
      <c r="G1689">
        <v>-224.5445</v>
      </c>
      <c r="H1689">
        <v>8.0001349999999999E-2</v>
      </c>
      <c r="I1689">
        <v>290.09949999999998</v>
      </c>
      <c r="J1689">
        <v>-201.9983</v>
      </c>
      <c r="K1689">
        <v>1.1040299999999901</v>
      </c>
      <c r="L1689">
        <v>290.10180000000003</v>
      </c>
      <c r="M1689">
        <v>-0.89023999999999903</v>
      </c>
      <c r="N1689">
        <v>0</v>
      </c>
      <c r="O1689">
        <v>-0.45542959999999899</v>
      </c>
      <c r="P1689">
        <v>-0.93785429999999903</v>
      </c>
      <c r="Q1689">
        <v>-9.8238259999999904E-3</v>
      </c>
      <c r="R1689">
        <v>-0.34689039999999999</v>
      </c>
      <c r="S1689">
        <v>-3.2032470000000002</v>
      </c>
      <c r="T1689">
        <v>-0.14389360000000001</v>
      </c>
      <c r="U1689">
        <v>-1.434326E-2</v>
      </c>
      <c r="V1689">
        <v>0.11796230000000001</v>
      </c>
      <c r="W1689">
        <v>-9.4182480000000006E-3</v>
      </c>
      <c r="X1689">
        <v>0.99297340000000001</v>
      </c>
      <c r="Y1689">
        <v>0.4505651</v>
      </c>
      <c r="Z1689">
        <v>2.9964379999999999E-2</v>
      </c>
      <c r="AA1689">
        <v>0.89224059999999905</v>
      </c>
      <c r="AB1689">
        <v>22</v>
      </c>
      <c r="AC1689">
        <v>-22.546199999999999</v>
      </c>
      <c r="AD1689">
        <v>-1.02402864999999</v>
      </c>
      <c r="AE1689">
        <v>-2.3000000000479299E-3</v>
      </c>
      <c r="AF1689">
        <v>10.2453149250337</v>
      </c>
      <c r="AG1689">
        <v>-1.02402864999999</v>
      </c>
      <c r="AH1689">
        <v>20.031821293532701</v>
      </c>
      <c r="AI1689">
        <v>92.605894113213196</v>
      </c>
      <c r="AJ1689">
        <v>62.912436204186598</v>
      </c>
      <c r="AK1689">
        <v>22.523076542186001</v>
      </c>
    </row>
    <row r="1690" spans="1:37" x14ac:dyDescent="0.2">
      <c r="A1690" t="str">
        <f>"20200111155825646"</f>
        <v>20200111155825646</v>
      </c>
      <c r="B1690" t="str">
        <f>"1578729505642914"</f>
        <v>1578729505642914</v>
      </c>
      <c r="C1690" t="s">
        <v>37</v>
      </c>
      <c r="D1690">
        <v>5.7176980000000004</v>
      </c>
      <c r="E1690">
        <v>0.6350635</v>
      </c>
      <c r="F1690" t="s">
        <v>50</v>
      </c>
      <c r="G1690">
        <v>-222.44820000000001</v>
      </c>
      <c r="H1690">
        <v>8.0000740000000001E-2</v>
      </c>
      <c r="I1690">
        <v>290.01420000000002</v>
      </c>
      <c r="J1690">
        <v>-202.1936</v>
      </c>
      <c r="K1690">
        <v>1.10555</v>
      </c>
      <c r="L1690">
        <v>290.01429999999999</v>
      </c>
      <c r="M1690">
        <v>-0.89471309999999904</v>
      </c>
      <c r="N1690">
        <v>0</v>
      </c>
      <c r="O1690">
        <v>-0.44656849999999998</v>
      </c>
      <c r="P1690">
        <v>-0.94099159999999904</v>
      </c>
      <c r="Q1690">
        <v>-1.1737060000000001E-2</v>
      </c>
      <c r="R1690">
        <v>-0.33822669999999999</v>
      </c>
      <c r="S1690">
        <v>-3.1920470000000001</v>
      </c>
      <c r="T1690">
        <v>-0.1598417</v>
      </c>
      <c r="U1690">
        <v>-1.3671880000000001E-2</v>
      </c>
      <c r="V1690">
        <v>0.1171691</v>
      </c>
      <c r="W1690">
        <v>-1.0780049999999999E-2</v>
      </c>
      <c r="X1690">
        <v>0.99305350000000003</v>
      </c>
      <c r="Y1690">
        <v>0.44166539999999999</v>
      </c>
      <c r="Z1690">
        <v>3.277331E-2</v>
      </c>
      <c r="AA1690">
        <v>0.89658110000000002</v>
      </c>
      <c r="AB1690">
        <v>22</v>
      </c>
      <c r="AC1690">
        <v>-20.2546</v>
      </c>
      <c r="AD1690">
        <v>-1.02554926</v>
      </c>
      <c r="AE1690" s="1">
        <v>-9.9999999974897906E-5</v>
      </c>
      <c r="AF1690">
        <v>9.0221410581387396</v>
      </c>
      <c r="AG1690">
        <v>-1.02554926</v>
      </c>
      <c r="AH1690">
        <v>18.076347829744101</v>
      </c>
      <c r="AI1690">
        <v>92.905994830951698</v>
      </c>
      <c r="AJ1690">
        <v>63.475618139595902</v>
      </c>
      <c r="AK1690">
        <v>20.228819328362501</v>
      </c>
    </row>
    <row r="1691" spans="1:37" x14ac:dyDescent="0.2">
      <c r="A1691" t="str">
        <f>"20200111155825670"</f>
        <v>20200111155825670</v>
      </c>
      <c r="B1691" t="str">
        <f>"1578729505662435"</f>
        <v>1578729505662435</v>
      </c>
      <c r="C1691" t="s">
        <v>37</v>
      </c>
      <c r="D1691">
        <v>5.730607</v>
      </c>
      <c r="E1691">
        <v>0.63392890000000002</v>
      </c>
      <c r="F1691" t="s">
        <v>50</v>
      </c>
      <c r="G1691">
        <v>-222.12299999999999</v>
      </c>
      <c r="H1691">
        <v>8.0000639999999998E-2</v>
      </c>
      <c r="I1691">
        <v>290.03410000000002</v>
      </c>
      <c r="J1691">
        <v>-202.41220000000001</v>
      </c>
      <c r="K1691">
        <v>1.1072120000000001</v>
      </c>
      <c r="L1691">
        <v>289.91879999999998</v>
      </c>
      <c r="M1691">
        <v>-0.89954920000000005</v>
      </c>
      <c r="N1691">
        <v>0</v>
      </c>
      <c r="O1691">
        <v>-0.43673299999999998</v>
      </c>
      <c r="P1691">
        <v>-0.94444830000000002</v>
      </c>
      <c r="Q1691">
        <v>-1.181079E-2</v>
      </c>
      <c r="R1691">
        <v>-0.32844899999999999</v>
      </c>
      <c r="S1691">
        <v>-3.1872250000000002</v>
      </c>
      <c r="T1691">
        <v>-0.1640122</v>
      </c>
      <c r="U1691">
        <v>3.1738280000000001E-3</v>
      </c>
      <c r="V1691">
        <v>0.11661680000000001</v>
      </c>
      <c r="W1691">
        <v>-1.020911E-2</v>
      </c>
      <c r="X1691">
        <v>0.99312449999999997</v>
      </c>
      <c r="Y1691">
        <v>0.43651999999999902</v>
      </c>
      <c r="Z1691">
        <v>3.3091200000000001E-2</v>
      </c>
      <c r="AA1691">
        <v>0.89908580000000005</v>
      </c>
      <c r="AB1691">
        <v>22</v>
      </c>
      <c r="AC1691">
        <v>-19.7107999999999</v>
      </c>
      <c r="AD1691">
        <v>-1.0272113599999999</v>
      </c>
      <c r="AE1691">
        <v>0.115300000000047</v>
      </c>
      <c r="AF1691">
        <v>8.6888068618350207</v>
      </c>
      <c r="AG1691">
        <v>-1.0272113599999999</v>
      </c>
      <c r="AH1691">
        <v>17.633258504137299</v>
      </c>
      <c r="AI1691">
        <v>92.991257471751496</v>
      </c>
      <c r="AJ1691">
        <v>63.768178123379897</v>
      </c>
      <c r="AK1691">
        <v>19.684570946152601</v>
      </c>
    </row>
    <row r="1692" spans="1:37" x14ac:dyDescent="0.2">
      <c r="A1692" t="str">
        <f>"20200111155825691"</f>
        <v>20200111155825691</v>
      </c>
      <c r="B1692" t="str">
        <f>"1578729505682931"</f>
        <v>1578729505682931</v>
      </c>
      <c r="C1692" t="s">
        <v>37</v>
      </c>
      <c r="D1692">
        <v>5.8970820000000002</v>
      </c>
      <c r="E1692">
        <v>0.61670509999999901</v>
      </c>
      <c r="F1692" t="s">
        <v>50</v>
      </c>
      <c r="G1692">
        <v>-222.34479999999999</v>
      </c>
      <c r="H1692">
        <v>8.0000710000000003E-2</v>
      </c>
      <c r="I1692">
        <v>290.09300000000002</v>
      </c>
      <c r="J1692">
        <v>-202.61539999999999</v>
      </c>
      <c r="K1692">
        <v>1.108619</v>
      </c>
      <c r="L1692">
        <v>289.83199999999999</v>
      </c>
      <c r="M1692">
        <v>-0.90379699999999996</v>
      </c>
      <c r="N1692">
        <v>0</v>
      </c>
      <c r="O1692">
        <v>-0.4278614</v>
      </c>
      <c r="P1692">
        <v>-0.94762979999999997</v>
      </c>
      <c r="Q1692">
        <v>-1.1342639999999999E-2</v>
      </c>
      <c r="R1692">
        <v>-0.31917049999999902</v>
      </c>
      <c r="S1692">
        <v>-3.184097</v>
      </c>
      <c r="T1692">
        <v>-0.16409000000000001</v>
      </c>
      <c r="U1692">
        <v>2.7832030000000001E-2</v>
      </c>
      <c r="V1692">
        <v>0.11665159999999999</v>
      </c>
      <c r="W1692">
        <v>-9.1961839999999996E-3</v>
      </c>
      <c r="X1692">
        <v>0.99313030000000002</v>
      </c>
      <c r="Y1692">
        <v>0.43464659999999899</v>
      </c>
      <c r="Z1692">
        <v>3.268078E-2</v>
      </c>
      <c r="AA1692">
        <v>0.90000789999999997</v>
      </c>
      <c r="AB1692">
        <v>22</v>
      </c>
      <c r="AC1692">
        <v>-19.729399999999998</v>
      </c>
      <c r="AD1692">
        <v>-1.02861829</v>
      </c>
      <c r="AE1692">
        <v>0.26100000000002399</v>
      </c>
      <c r="AF1692">
        <v>8.6541914882086406</v>
      </c>
      <c r="AG1692">
        <v>-1.02861829</v>
      </c>
      <c r="AH1692">
        <v>17.672430484115999</v>
      </c>
      <c r="AI1692">
        <v>92.9923237796054</v>
      </c>
      <c r="AJ1692">
        <v>63.9090024356301</v>
      </c>
      <c r="AK1692">
        <v>19.704514333446902</v>
      </c>
    </row>
    <row r="1693" spans="1:37" x14ac:dyDescent="0.2">
      <c r="A1693" t="str">
        <f>"20200111155825714"</f>
        <v>20200111155825714</v>
      </c>
      <c r="B1693" t="str">
        <f>"1578729505702450"</f>
        <v>1578729505702450</v>
      </c>
      <c r="C1693" t="s">
        <v>37</v>
      </c>
      <c r="D1693">
        <v>5.6630330000000004</v>
      </c>
      <c r="E1693">
        <v>0.61569859999999998</v>
      </c>
      <c r="F1693" t="s">
        <v>50</v>
      </c>
      <c r="G1693">
        <v>-224.58109999999999</v>
      </c>
      <c r="H1693" s="1">
        <v>9.0104290000000001E-7</v>
      </c>
      <c r="I1693">
        <v>289.33440000000002</v>
      </c>
      <c r="J1693">
        <v>-202.82689999999999</v>
      </c>
      <c r="K1693">
        <v>1.10992</v>
      </c>
      <c r="L1693">
        <v>289.7439</v>
      </c>
      <c r="M1693">
        <v>-0.90791509999999997</v>
      </c>
      <c r="N1693">
        <v>0</v>
      </c>
      <c r="O1693">
        <v>-0.41903950000000001</v>
      </c>
      <c r="P1693">
        <v>-0.95099349999999905</v>
      </c>
      <c r="Q1693">
        <v>-1.128145E-2</v>
      </c>
      <c r="R1693">
        <v>-0.30900499999999997</v>
      </c>
      <c r="S1693">
        <v>-3.1399379999999999</v>
      </c>
      <c r="T1693">
        <v>-0.15847429999999901</v>
      </c>
      <c r="U1693">
        <v>-7.1136469999999993E-2</v>
      </c>
      <c r="V1693">
        <v>0.1176499</v>
      </c>
      <c r="W1693">
        <v>-8.6738849999999992E-3</v>
      </c>
      <c r="X1693">
        <v>0.99301729999999999</v>
      </c>
      <c r="Y1693">
        <v>0.39737679999999997</v>
      </c>
      <c r="Z1693">
        <v>3.0619239999999999E-2</v>
      </c>
      <c r="AA1693">
        <v>0.91714459999999998</v>
      </c>
      <c r="AB1693">
        <v>22</v>
      </c>
      <c r="AC1693">
        <v>-21.754200000000001</v>
      </c>
      <c r="AD1693">
        <v>-1.1099190989570999</v>
      </c>
      <c r="AE1693">
        <v>-0.40949999999997999</v>
      </c>
      <c r="AF1693">
        <v>8.7218019321943192</v>
      </c>
      <c r="AG1693">
        <v>-1.1099190989570999</v>
      </c>
      <c r="AH1693">
        <v>19.871809732004898</v>
      </c>
      <c r="AI1693">
        <v>92.927819671265198</v>
      </c>
      <c r="AJ1693">
        <v>66.303173384772194</v>
      </c>
      <c r="AK1693">
        <v>21.729946419070298</v>
      </c>
    </row>
    <row r="1694" spans="1:37" x14ac:dyDescent="0.2">
      <c r="A1694" t="str">
        <f>"20200111155825735"</f>
        <v>20200111155825735</v>
      </c>
      <c r="B1694" t="str">
        <f>"1578729505732707"</f>
        <v>1578729505732707</v>
      </c>
      <c r="C1694" t="s">
        <v>37</v>
      </c>
      <c r="D1694">
        <v>5.4467509999999999</v>
      </c>
      <c r="E1694">
        <v>0.62067329999999998</v>
      </c>
      <c r="F1694" t="s">
        <v>50</v>
      </c>
      <c r="G1694">
        <v>-224.7458</v>
      </c>
      <c r="H1694" s="1">
        <v>9.8868369999999991E-7</v>
      </c>
      <c r="I1694">
        <v>289.4314</v>
      </c>
      <c r="J1694">
        <v>-203.03020000000001</v>
      </c>
      <c r="K1694">
        <v>1.1110370000000001</v>
      </c>
      <c r="L1694">
        <v>289.66120000000001</v>
      </c>
      <c r="M1694">
        <v>-0.91160769999999902</v>
      </c>
      <c r="N1694">
        <v>0</v>
      </c>
      <c r="O1694">
        <v>-0.41093299999999999</v>
      </c>
      <c r="P1694">
        <v>-0.95405130000000005</v>
      </c>
      <c r="Q1694">
        <v>-1.2468470000000001E-2</v>
      </c>
      <c r="R1694">
        <v>-0.29938369999999997</v>
      </c>
      <c r="S1694">
        <v>-3.1381839999999999</v>
      </c>
      <c r="T1694">
        <v>-0.15891</v>
      </c>
      <c r="U1694">
        <v>-4.4738769999999997E-2</v>
      </c>
      <c r="V1694">
        <v>0.1187816</v>
      </c>
      <c r="W1694">
        <v>-9.4744319999999996E-3</v>
      </c>
      <c r="X1694">
        <v>0.99287519999999996</v>
      </c>
      <c r="Y1694">
        <v>0.3969085</v>
      </c>
      <c r="Z1694">
        <v>3.0341710000000001E-2</v>
      </c>
      <c r="AA1694">
        <v>0.91735659999999897</v>
      </c>
      <c r="AB1694">
        <v>22</v>
      </c>
      <c r="AC1694">
        <v>-21.715599999999899</v>
      </c>
      <c r="AD1694">
        <v>-1.1110360113163</v>
      </c>
      <c r="AE1694">
        <v>-0.229800000000011</v>
      </c>
      <c r="AF1694">
        <v>8.6918789837333996</v>
      </c>
      <c r="AG1694">
        <v>-1.1110360113163</v>
      </c>
      <c r="AH1694">
        <v>19.839661993266201</v>
      </c>
      <c r="AI1694">
        <v>92.9363605844717</v>
      </c>
      <c r="AJ1694">
        <v>66.341475924252904</v>
      </c>
      <c r="AK1694">
        <v>21.688599523559802</v>
      </c>
    </row>
    <row r="1695" spans="1:37" x14ac:dyDescent="0.2">
      <c r="A1695" t="str">
        <f>"20200111155825758"</f>
        <v>20200111155825758</v>
      </c>
      <c r="B1695" t="str">
        <f>"1578729505752228"</f>
        <v>1578729505752228</v>
      </c>
      <c r="C1695" t="s">
        <v>37</v>
      </c>
      <c r="D1695">
        <v>5.4650800000000004</v>
      </c>
      <c r="E1695">
        <v>0.61675609999999903</v>
      </c>
      <c r="F1695" t="s">
        <v>50</v>
      </c>
      <c r="G1695">
        <v>-244.73410000000001</v>
      </c>
      <c r="H1695">
        <v>8.0001409999999995E-2</v>
      </c>
      <c r="I1695">
        <v>289.9529</v>
      </c>
      <c r="J1695">
        <v>-203.23660000000001</v>
      </c>
      <c r="K1695">
        <v>1.1120559999999999</v>
      </c>
      <c r="L1695">
        <v>289.57900000000001</v>
      </c>
      <c r="M1695">
        <v>-0.91513719999999998</v>
      </c>
      <c r="N1695">
        <v>0</v>
      </c>
      <c r="O1695">
        <v>-0.40300140000000001</v>
      </c>
      <c r="P1695">
        <v>-0.95695259999999904</v>
      </c>
      <c r="Q1695">
        <v>-1.289686E-2</v>
      </c>
      <c r="R1695">
        <v>-0.28995870000000001</v>
      </c>
      <c r="S1695">
        <v>-3.1503749999999999</v>
      </c>
      <c r="T1695">
        <v>-7.7885869999999996E-2</v>
      </c>
      <c r="U1695">
        <v>2.2033690000000002E-2</v>
      </c>
      <c r="V1695">
        <v>0.1199505</v>
      </c>
      <c r="W1695">
        <v>-9.5483990000000008E-3</v>
      </c>
      <c r="X1695">
        <v>0.99273400000000001</v>
      </c>
      <c r="Y1695">
        <v>0.40917229999999999</v>
      </c>
      <c r="Z1695">
        <v>1.48022E-2</v>
      </c>
      <c r="AA1695">
        <v>0.91233709999999901</v>
      </c>
      <c r="AB1695">
        <v>22</v>
      </c>
      <c r="AC1695">
        <v>-41.497500000000002</v>
      </c>
      <c r="AD1695">
        <v>-1.03205459</v>
      </c>
      <c r="AE1695">
        <v>0.37389999999999102</v>
      </c>
      <c r="AF1695">
        <v>17.056142423273201</v>
      </c>
      <c r="AG1695">
        <v>-1.03205459</v>
      </c>
      <c r="AH1695">
        <v>37.803994688587899</v>
      </c>
      <c r="AI1695">
        <v>91.425491523642194</v>
      </c>
      <c r="AJ1695">
        <v>65.716388119691402</v>
      </c>
      <c r="AK1695">
        <v>41.486373009152103</v>
      </c>
    </row>
    <row r="1696" spans="1:37" x14ac:dyDescent="0.2">
      <c r="A1696" t="str">
        <f>"20200111155825781"</f>
        <v>20200111155825781</v>
      </c>
      <c r="B1696" t="str">
        <f>"1578729505772724"</f>
        <v>1578729505772724</v>
      </c>
      <c r="C1696" t="s">
        <v>37</v>
      </c>
      <c r="D1696">
        <v>5.4854209999999997</v>
      </c>
      <c r="E1696">
        <v>0.61474319999999905</v>
      </c>
      <c r="F1696" t="s">
        <v>50</v>
      </c>
      <c r="G1696">
        <v>-235.14099999999999</v>
      </c>
      <c r="H1696">
        <v>7.9999829999999994E-2</v>
      </c>
      <c r="I1696">
        <v>289.82420000000002</v>
      </c>
      <c r="J1696">
        <v>-203.4554</v>
      </c>
      <c r="K1696">
        <v>1.1130469999999999</v>
      </c>
      <c r="L1696">
        <v>289.4939</v>
      </c>
      <c r="M1696">
        <v>-0.91867880000000002</v>
      </c>
      <c r="N1696">
        <v>0</v>
      </c>
      <c r="O1696">
        <v>-0.39484999999999998</v>
      </c>
      <c r="P1696">
        <v>-0.9594355</v>
      </c>
      <c r="Q1696">
        <v>-1.06818E-2</v>
      </c>
      <c r="R1696">
        <v>-0.28172579999999903</v>
      </c>
      <c r="S1696">
        <v>-3.1408999999999998</v>
      </c>
      <c r="T1696">
        <v>-0.10160329999999999</v>
      </c>
      <c r="U1696">
        <v>2.4139399999999998E-2</v>
      </c>
      <c r="V1696">
        <v>0.11982660000000001</v>
      </c>
      <c r="W1696">
        <v>-6.9053329999999996E-3</v>
      </c>
      <c r="X1696">
        <v>0.99277090000000001</v>
      </c>
      <c r="Y1696">
        <v>0.40151509999999901</v>
      </c>
      <c r="Z1696">
        <v>1.899679E-2</v>
      </c>
      <c r="AA1696">
        <v>0.91565540000000001</v>
      </c>
      <c r="AB1696">
        <v>22</v>
      </c>
      <c r="AC1696">
        <v>-31.685599999999901</v>
      </c>
      <c r="AD1696">
        <v>-1.0330471699999999</v>
      </c>
      <c r="AE1696">
        <v>0.33030000000002202</v>
      </c>
      <c r="AF1696">
        <v>12.8016790864058</v>
      </c>
      <c r="AG1696">
        <v>-1.0330471699999999</v>
      </c>
      <c r="AH1696">
        <v>28.949479840715799</v>
      </c>
      <c r="AI1696">
        <v>91.869237467490294</v>
      </c>
      <c r="AJ1696">
        <v>66.144622999877797</v>
      </c>
      <c r="AK1696">
        <v>31.6705313648947</v>
      </c>
    </row>
    <row r="1697" spans="1:37" x14ac:dyDescent="0.2">
      <c r="A1697" t="str">
        <f>"20200111155825915"</f>
        <v>20200111155825915</v>
      </c>
      <c r="B1697" t="str">
        <f>"1578729505902531"</f>
        <v>1578729505902531</v>
      </c>
      <c r="C1697" t="s">
        <v>37</v>
      </c>
      <c r="D1697">
        <v>5.5233040000000004</v>
      </c>
      <c r="E1697">
        <v>0.58038269999999903</v>
      </c>
      <c r="F1697" t="s">
        <v>50</v>
      </c>
      <c r="G1697">
        <v>-234.0565</v>
      </c>
      <c r="H1697">
        <v>8.0000979999999999E-2</v>
      </c>
      <c r="I1697">
        <v>289.84739999999999</v>
      </c>
      <c r="J1697">
        <v>-204.7201</v>
      </c>
      <c r="K1697">
        <v>1.1166339999999999</v>
      </c>
      <c r="L1697">
        <v>289.0385</v>
      </c>
      <c r="M1697">
        <v>-0.93604639999999995</v>
      </c>
      <c r="N1697">
        <v>0</v>
      </c>
      <c r="O1697">
        <v>-0.3516492</v>
      </c>
      <c r="P1697">
        <v>-0.96729480000000001</v>
      </c>
      <c r="Q1697">
        <v>-6.4295209999999997E-3</v>
      </c>
      <c r="R1697">
        <v>-0.25357350000000001</v>
      </c>
      <c r="S1697">
        <v>-3.136307</v>
      </c>
      <c r="T1697">
        <v>-0.1058766</v>
      </c>
      <c r="U1697">
        <v>3.6224369999999999E-2</v>
      </c>
      <c r="V1697">
        <v>0.1029841</v>
      </c>
      <c r="W1697" s="1">
        <v>7.3653589999999995E-5</v>
      </c>
      <c r="X1697">
        <v>0.99468299999999998</v>
      </c>
      <c r="Y1697">
        <v>0.36206500000000003</v>
      </c>
      <c r="Z1697">
        <v>1.7787870000000001E-2</v>
      </c>
      <c r="AA1697">
        <v>0.93198309999999995</v>
      </c>
      <c r="AB1697">
        <v>22</v>
      </c>
      <c r="AC1697">
        <v>-29.336400000000001</v>
      </c>
      <c r="AD1697">
        <v>-1.03663302</v>
      </c>
      <c r="AE1697">
        <v>0.80889999999999396</v>
      </c>
      <c r="AF1697">
        <v>11.0603754571833</v>
      </c>
      <c r="AG1697">
        <v>-1.03663302</v>
      </c>
      <c r="AH1697">
        <v>27.144089200576602</v>
      </c>
      <c r="AI1697">
        <v>92.025519243587595</v>
      </c>
      <c r="AJ1697">
        <v>67.8306265699824</v>
      </c>
      <c r="AK1697">
        <v>29.329304318392499</v>
      </c>
    </row>
    <row r="1698" spans="1:37" x14ac:dyDescent="0.2">
      <c r="A1698" t="str">
        <f>"20200111155825936"</f>
        <v>20200111155825936</v>
      </c>
      <c r="B1698" t="str">
        <f>"1578729505932787"</f>
        <v>1578729505932787</v>
      </c>
      <c r="C1698" t="s">
        <v>37</v>
      </c>
      <c r="D1698">
        <v>5.4953609999999999</v>
      </c>
      <c r="E1698">
        <v>0.57414829999999994</v>
      </c>
      <c r="F1698" t="s">
        <v>50</v>
      </c>
      <c r="G1698">
        <v>-223.7159</v>
      </c>
      <c r="H1698" s="1">
        <v>4.406103E-7</v>
      </c>
      <c r="I1698">
        <v>288.21850000000001</v>
      </c>
      <c r="J1698">
        <v>-204.9298</v>
      </c>
      <c r="K1698">
        <v>1.117046</v>
      </c>
      <c r="L1698">
        <v>288.96839999999997</v>
      </c>
      <c r="M1698">
        <v>-0.93847199999999997</v>
      </c>
      <c r="N1698">
        <v>0</v>
      </c>
      <c r="O1698">
        <v>-0.34511770000000003</v>
      </c>
      <c r="P1698">
        <v>-0.96843950000000001</v>
      </c>
      <c r="Q1698">
        <v>-6.6586040000000003E-3</v>
      </c>
      <c r="R1698">
        <v>-0.24915999999999999</v>
      </c>
      <c r="S1698">
        <v>-3.0655669999999899</v>
      </c>
      <c r="T1698">
        <v>-0.18020429999999901</v>
      </c>
      <c r="U1698">
        <v>-0.1323242</v>
      </c>
      <c r="V1698">
        <v>0.10058839999999999</v>
      </c>
      <c r="W1698">
        <v>1.834075E-4</v>
      </c>
      <c r="X1698">
        <v>0.99492809999999898</v>
      </c>
      <c r="Y1698">
        <v>0.30325629999999998</v>
      </c>
      <c r="Z1698">
        <v>2.8804409999999999E-2</v>
      </c>
      <c r="AA1698">
        <v>0.95247359999999903</v>
      </c>
      <c r="AB1698">
        <v>22</v>
      </c>
      <c r="AC1698">
        <v>-18.786100000000001</v>
      </c>
      <c r="AD1698">
        <v>-1.1170455593897</v>
      </c>
      <c r="AE1698">
        <v>-0.74989999999996804</v>
      </c>
      <c r="AF1698">
        <v>5.7597974930257498</v>
      </c>
      <c r="AG1698">
        <v>-1.1170455593897</v>
      </c>
      <c r="AH1698">
        <v>17.827568727945799</v>
      </c>
      <c r="AI1698">
        <v>93.412146566041301</v>
      </c>
      <c r="AJ1698">
        <v>72.095199081031097</v>
      </c>
      <c r="AK1698">
        <v>18.768198227108801</v>
      </c>
    </row>
    <row r="1699" spans="1:37" x14ac:dyDescent="0.2">
      <c r="A1699" t="str">
        <f>"20200111155825959"</f>
        <v>20200111155825959</v>
      </c>
      <c r="B1699" t="str">
        <f>"1578729505952307"</f>
        <v>1578729505952307</v>
      </c>
      <c r="C1699" t="s">
        <v>37</v>
      </c>
      <c r="D1699">
        <v>5.5191439999999998</v>
      </c>
      <c r="E1699">
        <v>0.57255069999999997</v>
      </c>
      <c r="F1699" t="s">
        <v>50</v>
      </c>
      <c r="G1699">
        <v>-222.0615</v>
      </c>
      <c r="H1699" s="1">
        <v>-4.3975929999999901E-7</v>
      </c>
      <c r="I1699">
        <v>288.03989999999999</v>
      </c>
      <c r="J1699">
        <v>-205.14349999999999</v>
      </c>
      <c r="K1699">
        <v>1.117483</v>
      </c>
      <c r="L1699">
        <v>288.89839999999998</v>
      </c>
      <c r="M1699">
        <v>-0.94079539999999995</v>
      </c>
      <c r="N1699">
        <v>0</v>
      </c>
      <c r="O1699">
        <v>-0.33872740000000001</v>
      </c>
      <c r="P1699">
        <v>-0.96938469999999999</v>
      </c>
      <c r="Q1699">
        <v>-6.2780789999999998E-3</v>
      </c>
      <c r="R1699">
        <v>-0.2454662</v>
      </c>
      <c r="S1699">
        <v>-3.0538020000000001</v>
      </c>
      <c r="T1699">
        <v>-0.19911809999999999</v>
      </c>
      <c r="U1699">
        <v>-0.16552729999999999</v>
      </c>
      <c r="V1699">
        <v>9.7651249999999995E-2</v>
      </c>
      <c r="W1699">
        <v>9.22505E-4</v>
      </c>
      <c r="X1699">
        <v>0.995220199999999</v>
      </c>
      <c r="Y1699">
        <v>0.28604020000000002</v>
      </c>
      <c r="Z1699">
        <v>3.097074E-2</v>
      </c>
      <c r="AA1699">
        <v>0.95771689999999998</v>
      </c>
      <c r="AB1699">
        <v>22</v>
      </c>
      <c r="AC1699">
        <v>-16.917999999999999</v>
      </c>
      <c r="AD1699">
        <v>-1.1174834397593001</v>
      </c>
      <c r="AE1699">
        <v>-0.85849999999999205</v>
      </c>
      <c r="AF1699">
        <v>4.9019978653089602</v>
      </c>
      <c r="AG1699">
        <v>-1.1174834397593001</v>
      </c>
      <c r="AH1699">
        <v>16.138303310348601</v>
      </c>
      <c r="AI1699">
        <v>93.790599018682997</v>
      </c>
      <c r="AJ1699">
        <v>73.103879513713096</v>
      </c>
      <c r="AK1699">
        <v>16.9033483678956</v>
      </c>
    </row>
    <row r="1700" spans="1:37" x14ac:dyDescent="0.2">
      <c r="A1700" t="str">
        <f>"20200111155825981"</f>
        <v>20200111155825981</v>
      </c>
      <c r="B1700" t="str">
        <f>"1578729505972803"</f>
        <v>1578729505972803</v>
      </c>
      <c r="C1700" t="s">
        <v>37</v>
      </c>
      <c r="D1700">
        <v>5.5586650000000004</v>
      </c>
      <c r="E1700">
        <v>0.57131480000000001</v>
      </c>
      <c r="F1700" t="s">
        <v>50</v>
      </c>
      <c r="G1700">
        <v>-221.9228</v>
      </c>
      <c r="H1700" s="1">
        <v>-5.1356590000000002E-7</v>
      </c>
      <c r="I1700">
        <v>287.98570000000001</v>
      </c>
      <c r="J1700">
        <v>-205.35059999999999</v>
      </c>
      <c r="K1700">
        <v>1.1179129999999999</v>
      </c>
      <c r="L1700">
        <v>288.83170000000001</v>
      </c>
      <c r="M1700">
        <v>-0.94288799999999995</v>
      </c>
      <c r="N1700">
        <v>0</v>
      </c>
      <c r="O1700">
        <v>-0.33285429999999999</v>
      </c>
      <c r="P1700">
        <v>-0.97011630000000004</v>
      </c>
      <c r="Q1700">
        <v>-6.1418769999999996E-3</v>
      </c>
      <c r="R1700">
        <v>-0.2425639</v>
      </c>
      <c r="S1700">
        <v>-3.0513919999999999</v>
      </c>
      <c r="T1700">
        <v>-0.2032195</v>
      </c>
      <c r="U1700">
        <v>-0.1659851</v>
      </c>
      <c r="V1700">
        <v>9.4443120000000005E-2</v>
      </c>
      <c r="W1700">
        <v>1.4093549999999999E-3</v>
      </c>
      <c r="X1700">
        <v>0.995529199999999</v>
      </c>
      <c r="Y1700">
        <v>0.27984709999999902</v>
      </c>
      <c r="Z1700">
        <v>3.1055570000000001E-2</v>
      </c>
      <c r="AA1700">
        <v>0.95954219999999901</v>
      </c>
      <c r="AB1700">
        <v>22</v>
      </c>
      <c r="AC1700">
        <v>-16.572199999999999</v>
      </c>
      <c r="AD1700">
        <v>-1.1179135135659</v>
      </c>
      <c r="AE1700">
        <v>-0.84600000000000297</v>
      </c>
      <c r="AF1700">
        <v>4.69752607345211</v>
      </c>
      <c r="AG1700">
        <v>-1.1179135135659</v>
      </c>
      <c r="AH1700">
        <v>15.8367998731404</v>
      </c>
      <c r="AI1700">
        <v>93.871599820268202</v>
      </c>
      <c r="AJ1700">
        <v>73.478541911076107</v>
      </c>
      <c r="AK1700">
        <v>16.556591196755299</v>
      </c>
    </row>
    <row r="1701" spans="1:37" x14ac:dyDescent="0.2">
      <c r="A1701" t="str">
        <f>"20200111155826003"</f>
        <v>20200111155826003</v>
      </c>
      <c r="B1701" t="str">
        <f>"1578729505992854"</f>
        <v>1578729505992854</v>
      </c>
      <c r="C1701" t="s">
        <v>37</v>
      </c>
      <c r="D1701">
        <v>5.554951</v>
      </c>
      <c r="E1701">
        <v>0.5703241</v>
      </c>
      <c r="F1701" t="s">
        <v>50</v>
      </c>
      <c r="G1701">
        <v>-221.93530000000001</v>
      </c>
      <c r="H1701" s="1">
        <v>-5.0693770000000003E-7</v>
      </c>
      <c r="I1701">
        <v>287.92829999999998</v>
      </c>
      <c r="J1701">
        <v>-205.56139999999999</v>
      </c>
      <c r="K1701">
        <v>1.1182350000000001</v>
      </c>
      <c r="L1701">
        <v>288.76490000000001</v>
      </c>
      <c r="M1701">
        <v>-0.94467230000000002</v>
      </c>
      <c r="N1701">
        <v>0</v>
      </c>
      <c r="O1701">
        <v>-0.32776109999999897</v>
      </c>
      <c r="P1701">
        <v>-0.97052289999999997</v>
      </c>
      <c r="Q1701">
        <v>-7.2645919999999899E-3</v>
      </c>
      <c r="R1701">
        <v>-0.24089969999999999</v>
      </c>
      <c r="S1701">
        <v>-3.0495759999999899</v>
      </c>
      <c r="T1701">
        <v>-0.205561299999999</v>
      </c>
      <c r="U1701">
        <v>-0.16610720000000001</v>
      </c>
      <c r="V1701">
        <v>9.0708590000000006E-2</v>
      </c>
      <c r="W1701">
        <v>4.2564059999999898E-4</v>
      </c>
      <c r="X1701">
        <v>0.99587739999999902</v>
      </c>
      <c r="Y1701">
        <v>0.2745841</v>
      </c>
      <c r="Z1701">
        <v>3.0928339999999999E-2</v>
      </c>
      <c r="AA1701">
        <v>0.96106559999999897</v>
      </c>
      <c r="AB1701">
        <v>22</v>
      </c>
      <c r="AC1701">
        <v>-16.373899999999999</v>
      </c>
      <c r="AD1701">
        <v>-1.1182355069376999</v>
      </c>
      <c r="AE1701">
        <v>-0.83660000000003198</v>
      </c>
      <c r="AF1701">
        <v>4.5556043956029297</v>
      </c>
      <c r="AG1701">
        <v>-1.1182355069376999</v>
      </c>
      <c r="AH1701">
        <v>15.670590650931601</v>
      </c>
      <c r="AI1701">
        <v>93.919899375806693</v>
      </c>
      <c r="AJ1701">
        <v>73.790300341124293</v>
      </c>
      <c r="AK1701">
        <v>16.3576096483343</v>
      </c>
    </row>
    <row r="1702" spans="1:37" x14ac:dyDescent="0.2">
      <c r="A1702" t="str">
        <f>"20200111155826026"</f>
        <v>20200111155826026</v>
      </c>
      <c r="B1702" t="str">
        <f>"1578729506023111"</f>
        <v>1578729506023111</v>
      </c>
      <c r="C1702" t="s">
        <v>37</v>
      </c>
      <c r="D1702">
        <v>5.5596920000000001</v>
      </c>
      <c r="E1702">
        <v>0.56928840000000003</v>
      </c>
      <c r="F1702" t="s">
        <v>50</v>
      </c>
      <c r="G1702">
        <v>-221.78540000000001</v>
      </c>
      <c r="H1702" s="1">
        <v>-5.8668599999999996E-7</v>
      </c>
      <c r="I1702">
        <v>287.86989999999997</v>
      </c>
      <c r="J1702">
        <v>-205.7722</v>
      </c>
      <c r="K1702">
        <v>1.1186160000000001</v>
      </c>
      <c r="L1702">
        <v>288.69900000000001</v>
      </c>
      <c r="M1702">
        <v>-0.94611639999999997</v>
      </c>
      <c r="N1702">
        <v>0</v>
      </c>
      <c r="O1702">
        <v>-0.323573</v>
      </c>
      <c r="P1702">
        <v>-0.97066909999999895</v>
      </c>
      <c r="Q1702">
        <v>-9.7688319999999999E-3</v>
      </c>
      <c r="R1702">
        <v>-0.2402205</v>
      </c>
      <c r="S1702">
        <v>-3.0478209999999999</v>
      </c>
      <c r="T1702">
        <v>-0.2100697</v>
      </c>
      <c r="U1702">
        <v>-0.1681213</v>
      </c>
      <c r="V1702">
        <v>8.6843890000000007E-2</v>
      </c>
      <c r="W1702">
        <v>-1.8982579999999899E-3</v>
      </c>
      <c r="X1702">
        <v>0.99622009999999905</v>
      </c>
      <c r="Y1702">
        <v>0.26961869999999999</v>
      </c>
      <c r="Z1702">
        <v>3.117694E-2</v>
      </c>
      <c r="AA1702">
        <v>0.96246239999999905</v>
      </c>
      <c r="AB1702">
        <v>22</v>
      </c>
      <c r="AC1702">
        <v>-16.013200000000001</v>
      </c>
      <c r="AD1702">
        <v>-1.1186165866859901</v>
      </c>
      <c r="AE1702">
        <v>-0.82910000000003903</v>
      </c>
      <c r="AF1702">
        <v>4.3760777536932602</v>
      </c>
      <c r="AG1702">
        <v>-1.1186165866859901</v>
      </c>
      <c r="AH1702">
        <v>15.3452100051072</v>
      </c>
      <c r="AI1702">
        <v>94.009987431738594</v>
      </c>
      <c r="AJ1702">
        <v>74.083149113062404</v>
      </c>
      <c r="AK1702">
        <v>15.9961504642592</v>
      </c>
    </row>
    <row r="1703" spans="1:37" x14ac:dyDescent="0.2">
      <c r="A1703" t="str">
        <f>"20200111155826047"</f>
        <v>20200111155826047</v>
      </c>
      <c r="B1703" t="str">
        <f>"1578729506042631"</f>
        <v>1578729506042631</v>
      </c>
      <c r="C1703" t="s">
        <v>37</v>
      </c>
      <c r="D1703">
        <v>5.5838900000000002</v>
      </c>
      <c r="E1703">
        <v>0.56843849999999996</v>
      </c>
      <c r="F1703" t="s">
        <v>50</v>
      </c>
      <c r="G1703">
        <v>-221.2929</v>
      </c>
      <c r="H1703" s="1">
        <v>-8.4878159999999999E-7</v>
      </c>
      <c r="I1703">
        <v>287.81549999999999</v>
      </c>
      <c r="J1703">
        <v>-205.982</v>
      </c>
      <c r="K1703">
        <v>1.1192850000000001</v>
      </c>
      <c r="L1703">
        <v>288.6343</v>
      </c>
      <c r="M1703">
        <v>-0.94742230000000005</v>
      </c>
      <c r="N1703">
        <v>0</v>
      </c>
      <c r="O1703">
        <v>-0.3197218</v>
      </c>
      <c r="P1703">
        <v>-0.97067760000000003</v>
      </c>
      <c r="Q1703">
        <v>-1.387041E-2</v>
      </c>
      <c r="R1703">
        <v>-0.23998510000000001</v>
      </c>
      <c r="S1703">
        <v>-3.0455169999999998</v>
      </c>
      <c r="T1703">
        <v>-0.21949859999999999</v>
      </c>
      <c r="U1703">
        <v>-0.17337040000000001</v>
      </c>
      <c r="V1703">
        <v>8.2812060000000007E-2</v>
      </c>
      <c r="W1703">
        <v>-5.4538499999999997E-3</v>
      </c>
      <c r="X1703">
        <v>0.9965503</v>
      </c>
      <c r="Y1703">
        <v>0.26390130000000001</v>
      </c>
      <c r="Z1703">
        <v>3.2124560000000003E-2</v>
      </c>
      <c r="AA1703">
        <v>0.96401460000000005</v>
      </c>
      <c r="AB1703">
        <v>22</v>
      </c>
      <c r="AC1703">
        <v>-15.3109</v>
      </c>
      <c r="AD1703">
        <v>-1.1192858487816</v>
      </c>
      <c r="AE1703">
        <v>-0.81880000000000996</v>
      </c>
      <c r="AF1703">
        <v>4.0979892652247996</v>
      </c>
      <c r="AG1703">
        <v>-1.1192858487816</v>
      </c>
      <c r="AH1703">
        <v>14.6906385675605</v>
      </c>
      <c r="AI1703">
        <v>94.197329822872106</v>
      </c>
      <c r="AJ1703">
        <v>74.413426660922696</v>
      </c>
      <c r="AK1703">
        <v>15.292520340083801</v>
      </c>
    </row>
    <row r="1704" spans="1:37" x14ac:dyDescent="0.2">
      <c r="A1704" t="str">
        <f>"20200111155826070"</f>
        <v>20200111155826070</v>
      </c>
      <c r="B1704" t="str">
        <f>"1578729506063127"</f>
        <v>1578729506063127</v>
      </c>
      <c r="C1704" t="s">
        <v>37</v>
      </c>
      <c r="D1704">
        <v>5.6176539999999999</v>
      </c>
      <c r="E1704">
        <v>0.56774089999999999</v>
      </c>
      <c r="F1704" t="s">
        <v>50</v>
      </c>
      <c r="G1704">
        <v>-220.50479999999999</v>
      </c>
      <c r="H1704" s="1">
        <v>-1.268147E-6</v>
      </c>
      <c r="I1704">
        <v>287.78109999999998</v>
      </c>
      <c r="J1704">
        <v>-206.19900000000001</v>
      </c>
      <c r="K1704">
        <v>1.120106</v>
      </c>
      <c r="L1704">
        <v>288.56779999999998</v>
      </c>
      <c r="M1704">
        <v>-0.94880589999999998</v>
      </c>
      <c r="N1704">
        <v>0</v>
      </c>
      <c r="O1704">
        <v>-0.3155752</v>
      </c>
      <c r="P1704">
        <v>-0.97072420000000004</v>
      </c>
      <c r="Q1704">
        <v>-1.6414040000000001E-2</v>
      </c>
      <c r="R1704">
        <v>-0.23963599999999999</v>
      </c>
      <c r="S1704">
        <v>-3.0430450000000002</v>
      </c>
      <c r="T1704">
        <v>-0.2345304</v>
      </c>
      <c r="U1704">
        <v>-0.17877199999999999</v>
      </c>
      <c r="V1704">
        <v>7.8706590000000007E-2</v>
      </c>
      <c r="W1704">
        <v>-7.1878380000000002E-3</v>
      </c>
      <c r="X1704">
        <v>0.99687190000000003</v>
      </c>
      <c r="Y1704">
        <v>0.2577489</v>
      </c>
      <c r="Z1704">
        <v>3.380184E-2</v>
      </c>
      <c r="AA1704">
        <v>0.96562049999999999</v>
      </c>
      <c r="AB1704">
        <v>22</v>
      </c>
      <c r="AC1704">
        <v>-14.3057999999999</v>
      </c>
      <c r="AD1704">
        <v>-1.1201072681469999</v>
      </c>
      <c r="AE1704">
        <v>-0.78669999999999596</v>
      </c>
      <c r="AF1704">
        <v>3.74557565595551</v>
      </c>
      <c r="AG1704">
        <v>-1.1201072681469999</v>
      </c>
      <c r="AH1704">
        <v>13.7389596401297</v>
      </c>
      <c r="AI1704">
        <v>94.4974618510917</v>
      </c>
      <c r="AJ1704">
        <v>74.750367448634506</v>
      </c>
      <c r="AK1704">
        <v>14.284361703616799</v>
      </c>
    </row>
    <row r="1705" spans="1:37" x14ac:dyDescent="0.2">
      <c r="A1705" t="str">
        <f>"20200111155826092"</f>
        <v>20200111155826092</v>
      </c>
      <c r="B1705" t="str">
        <f>"1578729506082646"</f>
        <v>1578729506082646</v>
      </c>
      <c r="C1705" t="s">
        <v>37</v>
      </c>
      <c r="D1705">
        <v>5.6481449999999898</v>
      </c>
      <c r="E1705">
        <v>0.56715319999999902</v>
      </c>
      <c r="F1705" t="s">
        <v>50</v>
      </c>
      <c r="G1705">
        <v>-220.0658</v>
      </c>
      <c r="H1705" s="1">
        <v>-1.501763E-6</v>
      </c>
      <c r="I1705">
        <v>287.73129999999998</v>
      </c>
      <c r="J1705">
        <v>-206.41079999999999</v>
      </c>
      <c r="K1705">
        <v>1.120816</v>
      </c>
      <c r="L1705">
        <v>288.5034</v>
      </c>
      <c r="M1705">
        <v>-0.95012849999999904</v>
      </c>
      <c r="N1705">
        <v>0</v>
      </c>
      <c r="O1705">
        <v>-0.311548299999999</v>
      </c>
      <c r="P1705">
        <v>-0.97094599999999898</v>
      </c>
      <c r="Q1705">
        <v>-1.7193549999999998E-2</v>
      </c>
      <c r="R1705">
        <v>-0.23868059999999999</v>
      </c>
      <c r="S1705">
        <v>-3.0410309999999998</v>
      </c>
      <c r="T1705">
        <v>-0.24564240000000001</v>
      </c>
      <c r="U1705">
        <v>-0.1834412</v>
      </c>
      <c r="V1705">
        <v>7.5463539999999996E-2</v>
      </c>
      <c r="W1705">
        <v>-7.1300950000000004E-3</v>
      </c>
      <c r="X1705">
        <v>0.99712309999999904</v>
      </c>
      <c r="Y1705">
        <v>0.25200329999999999</v>
      </c>
      <c r="Z1705">
        <v>3.487722E-2</v>
      </c>
      <c r="AA1705">
        <v>0.96709769999999995</v>
      </c>
      <c r="AB1705">
        <v>22</v>
      </c>
      <c r="AC1705">
        <v>-13.654999999999999</v>
      </c>
      <c r="AD1705">
        <v>-1.120817501763</v>
      </c>
      <c r="AE1705">
        <v>-0.77210000000002299</v>
      </c>
      <c r="AF1705">
        <v>3.49745016867573</v>
      </c>
      <c r="AG1705">
        <v>-1.120817501763</v>
      </c>
      <c r="AH1705">
        <v>13.127666478739799</v>
      </c>
      <c r="AI1705">
        <v>94.716253724285096</v>
      </c>
      <c r="AJ1705">
        <v>75.081870952290501</v>
      </c>
      <c r="AK1705">
        <v>13.6317283105135</v>
      </c>
    </row>
    <row r="1706" spans="1:37" x14ac:dyDescent="0.2">
      <c r="A1706" t="str">
        <f>"20200111155826115"</f>
        <v>20200111155826115</v>
      </c>
      <c r="B1706" t="str">
        <f>"1578729506102735"</f>
        <v>1578729506102735</v>
      </c>
      <c r="C1706" t="s">
        <v>37</v>
      </c>
      <c r="D1706">
        <v>5.6643419999999898</v>
      </c>
      <c r="E1706">
        <v>0.566704599999999</v>
      </c>
      <c r="F1706" t="s">
        <v>50</v>
      </c>
      <c r="G1706">
        <v>-219.92509999999999</v>
      </c>
      <c r="H1706" s="1">
        <v>3.7448659999999998E-6</v>
      </c>
      <c r="I1706">
        <v>287.6755</v>
      </c>
      <c r="J1706">
        <v>-206.61420000000001</v>
      </c>
      <c r="K1706">
        <v>1.1213420000000001</v>
      </c>
      <c r="L1706">
        <v>288.4418</v>
      </c>
      <c r="M1706">
        <v>-0.95126069999999996</v>
      </c>
      <c r="N1706">
        <v>0</v>
      </c>
      <c r="O1706">
        <v>-0.30804870000000001</v>
      </c>
      <c r="P1706">
        <v>-0.97070400000000001</v>
      </c>
      <c r="Q1706">
        <v>-1.7759239999999999E-2</v>
      </c>
      <c r="R1706">
        <v>-0.23962149999999999</v>
      </c>
      <c r="S1706">
        <v>-3.0395509999999999</v>
      </c>
      <c r="T1706">
        <v>-0.25208619999999998</v>
      </c>
      <c r="U1706">
        <v>-0.18618770000000001</v>
      </c>
      <c r="V1706">
        <v>7.0845690000000003E-2</v>
      </c>
      <c r="W1706">
        <v>-6.7561180000000002E-3</v>
      </c>
      <c r="X1706">
        <v>0.99746440000000003</v>
      </c>
      <c r="Y1706">
        <v>0.247472899999999</v>
      </c>
      <c r="Z1706">
        <v>3.5340499999999997E-2</v>
      </c>
      <c r="AA1706">
        <v>0.9682501</v>
      </c>
      <c r="AB1706">
        <v>22</v>
      </c>
      <c r="AC1706">
        <v>-13.310899999999901</v>
      </c>
      <c r="AD1706">
        <v>-1.1213382551340001</v>
      </c>
      <c r="AE1706">
        <v>-0.76630000000000098</v>
      </c>
      <c r="AF1706">
        <v>3.3481246156451898</v>
      </c>
      <c r="AG1706">
        <v>-1.1213382551340001</v>
      </c>
      <c r="AH1706">
        <v>12.8089409989635</v>
      </c>
      <c r="AI1706">
        <v>94.841268341997306</v>
      </c>
      <c r="AJ1706">
        <v>75.351229523798096</v>
      </c>
      <c r="AK1706">
        <v>13.286696633823</v>
      </c>
    </row>
    <row r="1707" spans="1:37" x14ac:dyDescent="0.2">
      <c r="A1707" t="str">
        <f>"20200111155826149"</f>
        <v>20200111155826149</v>
      </c>
      <c r="B1707" t="str">
        <f>"1578729506142751"</f>
        <v>1578729506142751</v>
      </c>
      <c r="C1707" t="s">
        <v>37</v>
      </c>
      <c r="D1707">
        <v>5.6961129999999898</v>
      </c>
      <c r="E1707">
        <v>0.56583809999999901</v>
      </c>
      <c r="F1707" t="s">
        <v>50</v>
      </c>
      <c r="G1707">
        <v>-219.84649999999999</v>
      </c>
      <c r="H1707" s="1">
        <v>3.703034E-6</v>
      </c>
      <c r="I1707">
        <v>287.59640000000002</v>
      </c>
      <c r="J1707">
        <v>-206.94099999999901</v>
      </c>
      <c r="K1707">
        <v>1.121966</v>
      </c>
      <c r="L1707">
        <v>288.34410000000003</v>
      </c>
      <c r="M1707">
        <v>-0.95269889999999902</v>
      </c>
      <c r="N1707">
        <v>0</v>
      </c>
      <c r="O1707">
        <v>-0.30351699999999998</v>
      </c>
      <c r="P1707">
        <v>-0.97106369999999897</v>
      </c>
      <c r="Q1707">
        <v>-1.8125829999999999E-2</v>
      </c>
      <c r="R1707">
        <v>-0.2381326</v>
      </c>
      <c r="S1707">
        <v>-3.0379330000000002</v>
      </c>
      <c r="T1707">
        <v>-0.25744210000000001</v>
      </c>
      <c r="U1707">
        <v>-0.19409179999999901</v>
      </c>
      <c r="V1707">
        <v>6.7690130000000001E-2</v>
      </c>
      <c r="W1707">
        <v>-5.6226669999999996E-3</v>
      </c>
      <c r="X1707">
        <v>0.99769059999999898</v>
      </c>
      <c r="Y1707">
        <v>0.240279399999999</v>
      </c>
      <c r="Z1707">
        <v>3.5432190000000002E-2</v>
      </c>
      <c r="AA1707">
        <v>0.9700569</v>
      </c>
      <c r="AB1707">
        <v>22</v>
      </c>
      <c r="AC1707">
        <v>-12.9055</v>
      </c>
      <c r="AD1707">
        <v>-1.1219622969659999</v>
      </c>
      <c r="AE1707">
        <v>-0.74770000000000802</v>
      </c>
      <c r="AF1707">
        <v>3.1811313399261998</v>
      </c>
      <c r="AG1707">
        <v>-1.1219622969659999</v>
      </c>
      <c r="AH1707">
        <v>12.429881481213201</v>
      </c>
      <c r="AI1707">
        <v>94.997516539905703</v>
      </c>
      <c r="AJ1707">
        <v>75.644636184571496</v>
      </c>
      <c r="AK1707">
        <v>12.8794545550144</v>
      </c>
    </row>
    <row r="1708" spans="1:37" x14ac:dyDescent="0.2">
      <c r="A1708" t="str">
        <f>"20200111155826171"</f>
        <v>20200111155826171</v>
      </c>
      <c r="B1708" t="str">
        <f>"1578729506162271"</f>
        <v>1578729506162271</v>
      </c>
      <c r="C1708" t="s">
        <v>37</v>
      </c>
      <c r="D1708">
        <v>5.7026339999999998</v>
      </c>
      <c r="E1708">
        <v>0.56560849999999996</v>
      </c>
      <c r="F1708" t="s">
        <v>50</v>
      </c>
      <c r="G1708">
        <v>-219.9435</v>
      </c>
      <c r="H1708" s="1">
        <v>3.7546379999999998E-6</v>
      </c>
      <c r="I1708">
        <v>287.49770000000001</v>
      </c>
      <c r="J1708">
        <v>-207.149</v>
      </c>
      <c r="K1708">
        <v>1.1222559999999999</v>
      </c>
      <c r="L1708">
        <v>288.28219999999999</v>
      </c>
      <c r="M1708">
        <v>-0.95340619999999998</v>
      </c>
      <c r="N1708">
        <v>0</v>
      </c>
      <c r="O1708">
        <v>-0.30124319999999999</v>
      </c>
      <c r="P1708">
        <v>-0.97131129999999999</v>
      </c>
      <c r="Q1708">
        <v>-1.6611520000000001E-2</v>
      </c>
      <c r="R1708">
        <v>-0.23723169999999999</v>
      </c>
      <c r="S1708">
        <v>-3.0360259999999899</v>
      </c>
      <c r="T1708">
        <v>-0.26197280000000001</v>
      </c>
      <c r="U1708">
        <v>-0.1976318</v>
      </c>
      <c r="V1708">
        <v>6.6362270000000001E-2</v>
      </c>
      <c r="W1708">
        <v>-3.0463109999999999E-3</v>
      </c>
      <c r="X1708">
        <v>0.99779089999999904</v>
      </c>
      <c r="Y1708">
        <v>0.23675299999999999</v>
      </c>
      <c r="Z1708">
        <v>3.5734679999999998E-2</v>
      </c>
      <c r="AA1708">
        <v>0.97091249999999996</v>
      </c>
      <c r="AB1708">
        <v>22</v>
      </c>
      <c r="AC1708">
        <v>-12.794499999999999</v>
      </c>
      <c r="AD1708">
        <v>-1.1222522453620001</v>
      </c>
      <c r="AE1708">
        <v>-0.78449999999997999</v>
      </c>
      <c r="AF1708">
        <v>3.0830955603920001</v>
      </c>
      <c r="AG1708">
        <v>-1.1222522453620001</v>
      </c>
      <c r="AH1708">
        <v>12.3417567409161</v>
      </c>
      <c r="AI1708">
        <v>95.041597443434597</v>
      </c>
      <c r="AJ1708">
        <v>75.973997103803796</v>
      </c>
      <c r="AK1708">
        <v>12.7704302115738</v>
      </c>
    </row>
    <row r="1709" spans="1:37" x14ac:dyDescent="0.2">
      <c r="A1709" t="str">
        <f>"20200111155826193"</f>
        <v>20200111155826193</v>
      </c>
      <c r="B1709" t="str">
        <f>"1578729506182766"</f>
        <v>1578729506182766</v>
      </c>
      <c r="C1709" t="s">
        <v>37</v>
      </c>
      <c r="D1709">
        <v>5.7511449999999904</v>
      </c>
      <c r="E1709">
        <v>0.55842389999999997</v>
      </c>
      <c r="F1709" t="s">
        <v>50</v>
      </c>
      <c r="G1709">
        <v>-220.24850000000001</v>
      </c>
      <c r="H1709" s="1">
        <v>-1.4045320000000001E-6</v>
      </c>
      <c r="I1709">
        <v>287.42959999999999</v>
      </c>
      <c r="J1709">
        <v>-207.35570000000001</v>
      </c>
      <c r="K1709">
        <v>1.1224540000000001</v>
      </c>
      <c r="L1709">
        <v>288.22109999999998</v>
      </c>
      <c r="M1709">
        <v>-0.9540109</v>
      </c>
      <c r="N1709">
        <v>0</v>
      </c>
      <c r="O1709">
        <v>-0.29927109999999901</v>
      </c>
      <c r="P1709">
        <v>-0.97179680000000002</v>
      </c>
      <c r="Q1709">
        <v>-1.561074E-2</v>
      </c>
      <c r="R1709">
        <v>-0.23530389999999901</v>
      </c>
      <c r="S1709">
        <v>-3.0359039999999999</v>
      </c>
      <c r="T1709">
        <v>-0.26009149999999998</v>
      </c>
      <c r="U1709">
        <v>-0.19760129999999901</v>
      </c>
      <c r="V1709">
        <v>6.6372159999999999E-2</v>
      </c>
      <c r="W1709">
        <v>-9.7740070000000004E-4</v>
      </c>
      <c r="X1709">
        <v>0.99779439999999997</v>
      </c>
      <c r="Y1709">
        <v>0.2347978</v>
      </c>
      <c r="Z1709">
        <v>3.5235799999999998E-2</v>
      </c>
      <c r="AA1709">
        <v>0.97140539999999997</v>
      </c>
      <c r="AB1709">
        <v>22</v>
      </c>
      <c r="AC1709">
        <v>-12.8927999999999</v>
      </c>
      <c r="AD1709">
        <v>-1.1224554045320001</v>
      </c>
      <c r="AE1709">
        <v>-0.79149999999998499</v>
      </c>
      <c r="AF1709">
        <v>3.0805469290369798</v>
      </c>
      <c r="AG1709">
        <v>-1.1224554045320001</v>
      </c>
      <c r="AH1709">
        <v>12.4446550288664</v>
      </c>
      <c r="AI1709">
        <v>95.003670148244197</v>
      </c>
      <c r="AJ1709">
        <v>76.096502619163402</v>
      </c>
      <c r="AK1709">
        <v>12.869309006495</v>
      </c>
    </row>
    <row r="1710" spans="1:37" x14ac:dyDescent="0.2">
      <c r="A1710" t="str">
        <f>"20200111155826215"</f>
        <v>20200111155826215</v>
      </c>
      <c r="B1710" t="str">
        <f>"1578729506213023"</f>
        <v>1578729506213023</v>
      </c>
      <c r="C1710" t="s">
        <v>37</v>
      </c>
      <c r="D1710">
        <v>5.758718</v>
      </c>
      <c r="E1710">
        <v>0.55716169999999998</v>
      </c>
      <c r="F1710" t="s">
        <v>50</v>
      </c>
      <c r="G1710">
        <v>-221.05670000000001</v>
      </c>
      <c r="H1710" s="1">
        <v>-9.7445830000000009E-7</v>
      </c>
      <c r="I1710">
        <v>287.09440000000001</v>
      </c>
      <c r="J1710">
        <v>-207.5676</v>
      </c>
      <c r="K1710">
        <v>1.1225879999999999</v>
      </c>
      <c r="L1710">
        <v>288.1585</v>
      </c>
      <c r="M1710">
        <v>-0.95455999999999996</v>
      </c>
      <c r="N1710">
        <v>0</v>
      </c>
      <c r="O1710">
        <v>-0.2974521</v>
      </c>
      <c r="P1710">
        <v>-0.97251219999999905</v>
      </c>
      <c r="Q1710">
        <v>-1.502328E-2</v>
      </c>
      <c r="R1710">
        <v>-0.23236609999999999</v>
      </c>
      <c r="S1710">
        <v>-3.0228730000000001</v>
      </c>
      <c r="T1710">
        <v>-0.247648799999999</v>
      </c>
      <c r="U1710">
        <v>-0.24859619999999999</v>
      </c>
      <c r="V1710">
        <v>6.7556160000000004E-2</v>
      </c>
      <c r="W1710">
        <v>7.7182439999999998E-4</v>
      </c>
      <c r="X1710">
        <v>0.99771520000000002</v>
      </c>
      <c r="Y1710">
        <v>0.2165734</v>
      </c>
      <c r="Z1710">
        <v>3.2777679999999997E-2</v>
      </c>
      <c r="AA1710">
        <v>0.97571589999999997</v>
      </c>
      <c r="AB1710">
        <v>22</v>
      </c>
      <c r="AC1710">
        <v>-13.489100000000001</v>
      </c>
      <c r="AD1710">
        <v>-1.1225889744583</v>
      </c>
      <c r="AE1710">
        <v>-1.0640999999999901</v>
      </c>
      <c r="AF1710">
        <v>2.97663124237959</v>
      </c>
      <c r="AG1710">
        <v>-1.1225889744583</v>
      </c>
      <c r="AH1710">
        <v>13.1047002058885</v>
      </c>
      <c r="AI1710">
        <v>94.775129996608896</v>
      </c>
      <c r="AJ1710">
        <v>77.202842119452299</v>
      </c>
      <c r="AK1710">
        <v>13.485314495587399</v>
      </c>
    </row>
    <row r="1711" spans="1:37" x14ac:dyDescent="0.2">
      <c r="A1711" t="str">
        <f>"20200111155826239"</f>
        <v>20200111155826239</v>
      </c>
      <c r="B1711" t="str">
        <f>"1578729506232543"</f>
        <v>1578729506232543</v>
      </c>
      <c r="C1711" t="s">
        <v>37</v>
      </c>
      <c r="D1711">
        <v>6.0478129999999997</v>
      </c>
      <c r="E1711">
        <v>0.55685209999999996</v>
      </c>
      <c r="F1711" t="s">
        <v>50</v>
      </c>
      <c r="G1711">
        <v>-221.1114</v>
      </c>
      <c r="H1711" s="1">
        <v>-9.4538110000000003E-7</v>
      </c>
      <c r="I1711">
        <v>287.03879999999998</v>
      </c>
      <c r="J1711">
        <v>-207.7799</v>
      </c>
      <c r="K1711">
        <v>1.122654</v>
      </c>
      <c r="L1711">
        <v>288.09589999999997</v>
      </c>
      <c r="M1711">
        <v>-0.95508769999999998</v>
      </c>
      <c r="N1711">
        <v>0</v>
      </c>
      <c r="O1711">
        <v>-0.29567769999999999</v>
      </c>
      <c r="P1711">
        <v>-0.97315790000000002</v>
      </c>
      <c r="Q1711">
        <v>-1.5747540000000001E-2</v>
      </c>
      <c r="R1711">
        <v>-0.2295991</v>
      </c>
      <c r="S1711">
        <v>-3.02121</v>
      </c>
      <c r="T1711">
        <v>-0.25041570000000002</v>
      </c>
      <c r="U1711">
        <v>-0.24978639999999999</v>
      </c>
      <c r="V1711">
        <v>6.8556389999999995E-2</v>
      </c>
      <c r="W1711">
        <v>1.3597639999999901E-3</v>
      </c>
      <c r="X1711">
        <v>0.99764629999999999</v>
      </c>
      <c r="Y1711">
        <v>0.21431410000000001</v>
      </c>
      <c r="Z1711">
        <v>3.2926570000000002E-2</v>
      </c>
      <c r="AA1711">
        <v>0.97620959999999901</v>
      </c>
      <c r="AB1711">
        <v>22</v>
      </c>
      <c r="AC1711">
        <v>-13.3315</v>
      </c>
      <c r="AD1711">
        <v>-1.1226549453810999</v>
      </c>
      <c r="AE1711">
        <v>-1.0570999999999899</v>
      </c>
      <c r="AF1711">
        <v>2.9122415746428798</v>
      </c>
      <c r="AG1711">
        <v>-1.1226549453810999</v>
      </c>
      <c r="AH1711">
        <v>12.956499947487799</v>
      </c>
      <c r="AI1711">
        <v>94.832226289272</v>
      </c>
      <c r="AJ1711">
        <v>77.332121935531404</v>
      </c>
      <c r="AK1711">
        <v>13.327130073827499</v>
      </c>
    </row>
    <row r="1712" spans="1:37" x14ac:dyDescent="0.2">
      <c r="A1712" t="str">
        <f>"20200111155826261"</f>
        <v>20200111155826261</v>
      </c>
      <c r="B1712" t="str">
        <f>"1578729506253040"</f>
        <v>1578729506253040</v>
      </c>
      <c r="C1712" t="s">
        <v>37</v>
      </c>
      <c r="D1712">
        <v>5.7329280000000002</v>
      </c>
      <c r="E1712">
        <v>0.55658580000000002</v>
      </c>
      <c r="F1712" t="s">
        <v>50</v>
      </c>
      <c r="G1712">
        <v>-221.01339999999999</v>
      </c>
      <c r="H1712" s="1">
        <v>-9.9753780000000009E-7</v>
      </c>
      <c r="I1712">
        <v>287.02940000000001</v>
      </c>
      <c r="J1712">
        <v>-207.995</v>
      </c>
      <c r="K1712">
        <v>1.1225620000000001</v>
      </c>
      <c r="L1712">
        <v>288.03230000000002</v>
      </c>
      <c r="M1712">
        <v>-0.9555958</v>
      </c>
      <c r="N1712">
        <v>0</v>
      </c>
      <c r="O1712">
        <v>-0.29394749999999997</v>
      </c>
      <c r="P1712">
        <v>-0.97387380000000001</v>
      </c>
      <c r="Q1712">
        <v>-1.7553550000000001E-2</v>
      </c>
      <c r="R1712">
        <v>-0.226410799999999</v>
      </c>
      <c r="S1712">
        <v>-3.02116399999999</v>
      </c>
      <c r="T1712">
        <v>-0.25630009999999998</v>
      </c>
      <c r="U1712">
        <v>-0.2434692</v>
      </c>
      <c r="V1712">
        <v>6.9991949999999997E-2</v>
      </c>
      <c r="W1712">
        <v>8.8531160000000005E-4</v>
      </c>
      <c r="X1712">
        <v>0.99754709999999902</v>
      </c>
      <c r="Y1712">
        <v>0.21450329999999901</v>
      </c>
      <c r="Z1712">
        <v>3.35711E-2</v>
      </c>
      <c r="AA1712">
        <v>0.97614619999999996</v>
      </c>
      <c r="AB1712">
        <v>22</v>
      </c>
      <c r="AC1712">
        <v>-13.0183999999999</v>
      </c>
      <c r="AD1712">
        <v>-1.1225629975378</v>
      </c>
      <c r="AE1712">
        <v>-1.0029000000000099</v>
      </c>
      <c r="AF1712">
        <v>2.8479275612753998</v>
      </c>
      <c r="AG1712">
        <v>-1.1225629975378</v>
      </c>
      <c r="AH1712">
        <v>12.644415001463299</v>
      </c>
      <c r="AI1712">
        <v>94.950017718497094</v>
      </c>
      <c r="AJ1712">
        <v>77.306962089375503</v>
      </c>
      <c r="AK1712">
        <v>13.0096913801575</v>
      </c>
    </row>
    <row r="1713" spans="1:37" x14ac:dyDescent="0.2">
      <c r="A1713" t="str">
        <f>"20200111155826283"</f>
        <v>20200111155826283</v>
      </c>
      <c r="B1713" t="str">
        <f>"1578729506272558"</f>
        <v>1578729506272558</v>
      </c>
      <c r="C1713" t="s">
        <v>37</v>
      </c>
      <c r="D1713">
        <v>5.7847080000000002</v>
      </c>
      <c r="E1713">
        <v>0.55666499999999997</v>
      </c>
      <c r="F1713" t="s">
        <v>50</v>
      </c>
      <c r="G1713">
        <v>-220.827</v>
      </c>
      <c r="H1713" s="1">
        <v>-1.096691E-6</v>
      </c>
      <c r="I1713">
        <v>287.0317</v>
      </c>
      <c r="J1713">
        <v>-208.19200000000001</v>
      </c>
      <c r="K1713">
        <v>1.1221950000000001</v>
      </c>
      <c r="L1713">
        <v>287.97410000000002</v>
      </c>
      <c r="M1713">
        <v>-0.95586939999999998</v>
      </c>
      <c r="N1713">
        <v>0</v>
      </c>
      <c r="O1713">
        <v>-0.2929949</v>
      </c>
      <c r="P1713">
        <v>-0.97433700000000001</v>
      </c>
      <c r="Q1713">
        <v>-2.1129530000000001E-2</v>
      </c>
      <c r="R1713">
        <v>-0.22410079999999999</v>
      </c>
      <c r="S1713">
        <v>-3.0209809999999999</v>
      </c>
      <c r="T1713">
        <v>-0.2642795</v>
      </c>
      <c r="U1713">
        <v>-0.2355652</v>
      </c>
      <c r="V1713">
        <v>7.1260939999999995E-2</v>
      </c>
      <c r="W1713">
        <v>-1.7658070000000001E-3</v>
      </c>
      <c r="X1713">
        <v>0.99745609999999996</v>
      </c>
      <c r="Y1713">
        <v>0.21595309999999901</v>
      </c>
      <c r="Z1713">
        <v>3.4604339999999997E-2</v>
      </c>
      <c r="AA1713">
        <v>0.9757903</v>
      </c>
      <c r="AB1713">
        <v>22</v>
      </c>
      <c r="AC1713">
        <v>-12.6349999999999</v>
      </c>
      <c r="AD1713">
        <v>-1.1221960966910001</v>
      </c>
      <c r="AE1713">
        <v>-0.94240000000002</v>
      </c>
      <c r="AF1713">
        <v>2.7800259583500599</v>
      </c>
      <c r="AG1713">
        <v>-1.1221960966910001</v>
      </c>
      <c r="AH1713">
        <v>12.260239819812501</v>
      </c>
      <c r="AI1713">
        <v>95.101002422590497</v>
      </c>
      <c r="AJ1713">
        <v>77.224142500855905</v>
      </c>
      <c r="AK1713">
        <v>12.621463815574</v>
      </c>
    </row>
    <row r="1714" spans="1:37" x14ac:dyDescent="0.2">
      <c r="A1714" t="str">
        <f>"20200111155826304"</f>
        <v>20200111155826304</v>
      </c>
      <c r="B1714" t="str">
        <f>"1578729506293054"</f>
        <v>1578729506293054</v>
      </c>
      <c r="C1714" t="s">
        <v>37</v>
      </c>
      <c r="D1714">
        <v>5.7445719999999998</v>
      </c>
      <c r="E1714">
        <v>0.57502299999999995</v>
      </c>
      <c r="F1714" t="s">
        <v>50</v>
      </c>
      <c r="G1714">
        <v>-220.39269999999999</v>
      </c>
      <c r="H1714" s="1">
        <v>-1.3278109999999999E-6</v>
      </c>
      <c r="I1714">
        <v>287.05279999999999</v>
      </c>
      <c r="J1714">
        <v>-208.3954</v>
      </c>
      <c r="K1714">
        <v>1.1216189999999999</v>
      </c>
      <c r="L1714">
        <v>287.91410000000002</v>
      </c>
      <c r="M1714">
        <v>-0.9559687</v>
      </c>
      <c r="N1714">
        <v>0</v>
      </c>
      <c r="O1714">
        <v>-0.29262739999999998</v>
      </c>
      <c r="P1714">
        <v>-0.97439769999999903</v>
      </c>
      <c r="Q1714">
        <v>-2.4487410000000001E-2</v>
      </c>
      <c r="R1714">
        <v>-0.22349459999999999</v>
      </c>
      <c r="S1714">
        <v>-3.0205229999999998</v>
      </c>
      <c r="T1714">
        <v>-0.27782190000000001</v>
      </c>
      <c r="U1714">
        <v>-0.2280884</v>
      </c>
      <c r="V1714">
        <v>7.1399210000000005E-2</v>
      </c>
      <c r="W1714">
        <v>-4.4434459999999898E-3</v>
      </c>
      <c r="X1714">
        <v>0.99743789999999999</v>
      </c>
      <c r="Y1714">
        <v>0.2177646</v>
      </c>
      <c r="Z1714">
        <v>3.6432539999999999E-2</v>
      </c>
      <c r="AA1714">
        <v>0.97532109999999905</v>
      </c>
      <c r="AB1714">
        <v>22</v>
      </c>
      <c r="AC1714">
        <v>-11.9972999999999</v>
      </c>
      <c r="AD1714">
        <v>-1.121620327811</v>
      </c>
      <c r="AE1714">
        <v>-0.86130000000002804</v>
      </c>
      <c r="AF1714">
        <v>2.6648535079253</v>
      </c>
      <c r="AG1714">
        <v>-1.121620327811</v>
      </c>
      <c r="AH1714">
        <v>11.622907447027</v>
      </c>
      <c r="AI1714">
        <v>95.373445558048203</v>
      </c>
      <c r="AJ1714">
        <v>77.086640732864197</v>
      </c>
      <c r="AK1714">
        <v>11.977122104271</v>
      </c>
    </row>
    <row r="1715" spans="1:37" x14ac:dyDescent="0.2">
      <c r="A1715" t="str">
        <f>"20200111155826327"</f>
        <v>20200111155826327</v>
      </c>
      <c r="B1715" t="str">
        <f>"1578729506323311"</f>
        <v>1578729506323311</v>
      </c>
      <c r="C1715" t="s">
        <v>37</v>
      </c>
      <c r="D1715">
        <v>5.6984029999999999</v>
      </c>
      <c r="E1715">
        <v>0.58138480000000003</v>
      </c>
      <c r="F1715" t="s">
        <v>50</v>
      </c>
      <c r="G1715">
        <v>-223.28440000000001</v>
      </c>
      <c r="H1715" s="1">
        <v>2.109915E-7</v>
      </c>
      <c r="I1715">
        <v>287.4991</v>
      </c>
      <c r="J1715">
        <v>-208.60239999999999</v>
      </c>
      <c r="K1715">
        <v>1.121049</v>
      </c>
      <c r="L1715">
        <v>287.85309999999998</v>
      </c>
      <c r="M1715">
        <v>-0.9561035</v>
      </c>
      <c r="N1715">
        <v>0</v>
      </c>
      <c r="O1715">
        <v>-0.29215350000000001</v>
      </c>
      <c r="P1715">
        <v>-0.97415010000000002</v>
      </c>
      <c r="Q1715">
        <v>-2.6831210000000001E-2</v>
      </c>
      <c r="R1715">
        <v>-0.22430259999999999</v>
      </c>
      <c r="S1715">
        <v>-3.053528</v>
      </c>
      <c r="T1715">
        <v>-0.23002819999999999</v>
      </c>
      <c r="U1715">
        <v>-8.5113530000000007E-2</v>
      </c>
      <c r="V1715">
        <v>7.0017389999999999E-2</v>
      </c>
      <c r="W1715">
        <v>-6.1999840000000004E-3</v>
      </c>
      <c r="X1715">
        <v>0.99752649999999998</v>
      </c>
      <c r="Y1715">
        <v>0.26391529999999902</v>
      </c>
      <c r="Z1715">
        <v>3.163556E-2</v>
      </c>
      <c r="AA1715">
        <v>0.96402690000000002</v>
      </c>
      <c r="AB1715">
        <v>22</v>
      </c>
      <c r="AC1715">
        <v>-14.682</v>
      </c>
      <c r="AD1715">
        <v>-1.1210487890084999</v>
      </c>
      <c r="AE1715">
        <v>-0.35399999999998399</v>
      </c>
      <c r="AF1715">
        <v>3.9290561088324201</v>
      </c>
      <c r="AG1715">
        <v>-1.1210487890084999</v>
      </c>
      <c r="AH1715">
        <v>14.0626191082115</v>
      </c>
      <c r="AI1715">
        <v>94.390436608997604</v>
      </c>
      <c r="AJ1715">
        <v>74.389786647142202</v>
      </c>
      <c r="AK1715">
        <v>14.6441622661157</v>
      </c>
    </row>
    <row r="1716" spans="1:37" x14ac:dyDescent="0.2">
      <c r="A1716" t="str">
        <f>"20200111155826349"</f>
        <v>20200111155826349</v>
      </c>
      <c r="B1716" t="str">
        <f>"1578729506342831"</f>
        <v>1578729506342831</v>
      </c>
      <c r="C1716" t="s">
        <v>37</v>
      </c>
      <c r="D1716">
        <v>5.6577599999999997</v>
      </c>
      <c r="E1716">
        <v>0.58242389999999999</v>
      </c>
      <c r="F1716" t="s">
        <v>50</v>
      </c>
      <c r="G1716">
        <v>-222.11170000000001</v>
      </c>
      <c r="H1716" s="1">
        <v>-4.1305000000000001E-7</v>
      </c>
      <c r="I1716">
        <v>287.68279999999999</v>
      </c>
      <c r="J1716">
        <v>-208.81870000000001</v>
      </c>
      <c r="K1716">
        <v>1.120482</v>
      </c>
      <c r="L1716">
        <v>287.78960000000001</v>
      </c>
      <c r="M1716">
        <v>-0.95641139999999902</v>
      </c>
      <c r="N1716">
        <v>0</v>
      </c>
      <c r="O1716">
        <v>-0.29112369999999999</v>
      </c>
      <c r="P1716">
        <v>-0.97387669999999904</v>
      </c>
      <c r="Q1716">
        <v>-2.96101E-2</v>
      </c>
      <c r="R1716">
        <v>-0.22513920000000001</v>
      </c>
      <c r="S1716">
        <v>-3.0637209999999899</v>
      </c>
      <c r="T1716">
        <v>-0.25423820000000003</v>
      </c>
      <c r="U1716">
        <v>-3.8635250000000003E-2</v>
      </c>
      <c r="V1716">
        <v>6.8013680000000007E-2</v>
      </c>
      <c r="W1716">
        <v>-8.5216530000000006E-3</v>
      </c>
      <c r="X1716">
        <v>0.99764799999999998</v>
      </c>
      <c r="Y1716">
        <v>0.2771845</v>
      </c>
      <c r="Z1716">
        <v>3.532445E-2</v>
      </c>
      <c r="AA1716">
        <v>0.960167199999999</v>
      </c>
      <c r="AB1716">
        <v>22</v>
      </c>
      <c r="AC1716">
        <v>-13.292999999999999</v>
      </c>
      <c r="AD1716">
        <v>-1.12048241305</v>
      </c>
      <c r="AE1716">
        <v>-0.106800000000021</v>
      </c>
      <c r="AF1716">
        <v>3.7421642127921002</v>
      </c>
      <c r="AG1716">
        <v>-1.12048241305</v>
      </c>
      <c r="AH1716">
        <v>12.6580807458355</v>
      </c>
      <c r="AI1716">
        <v>94.852050355084799</v>
      </c>
      <c r="AJ1716">
        <v>73.530507631938093</v>
      </c>
      <c r="AK1716">
        <v>13.2471235368871</v>
      </c>
    </row>
    <row r="1717" spans="1:37" x14ac:dyDescent="0.2">
      <c r="A1717" t="str">
        <f>"20200111155826373"</f>
        <v>20200111155826373</v>
      </c>
      <c r="B1717" t="str">
        <f>"1578729506362350"</f>
        <v>1578729506362350</v>
      </c>
      <c r="C1717" t="s">
        <v>37</v>
      </c>
      <c r="D1717">
        <v>5.7015190000000002</v>
      </c>
      <c r="E1717">
        <v>0.583157699999999</v>
      </c>
      <c r="F1717" t="s">
        <v>50</v>
      </c>
      <c r="G1717">
        <v>-222.04650000000001</v>
      </c>
      <c r="H1717" s="1">
        <v>-4.47721099999999E-7</v>
      </c>
      <c r="I1717">
        <v>287.6429</v>
      </c>
      <c r="J1717">
        <v>-209.03299999999999</v>
      </c>
      <c r="K1717">
        <v>1.119828</v>
      </c>
      <c r="L1717">
        <v>287.72680000000003</v>
      </c>
      <c r="M1717">
        <v>-0.95680229999999999</v>
      </c>
      <c r="N1717">
        <v>0</v>
      </c>
      <c r="O1717">
        <v>-0.28983559999999903</v>
      </c>
      <c r="P1717">
        <v>-0.97353909999999999</v>
      </c>
      <c r="Q1717">
        <v>-3.3585950000000003E-2</v>
      </c>
      <c r="R1717">
        <v>-0.22603969999999901</v>
      </c>
      <c r="S1717">
        <v>-3.0647279999999899</v>
      </c>
      <c r="T1717">
        <v>-0.259602</v>
      </c>
      <c r="U1717">
        <v>-3.3966059999999999E-2</v>
      </c>
      <c r="V1717">
        <v>6.5635150000000003E-2</v>
      </c>
      <c r="W1717">
        <v>-1.2293790000000001E-2</v>
      </c>
      <c r="X1717">
        <v>0.99776790000000004</v>
      </c>
      <c r="Y1717">
        <v>0.277281099999999</v>
      </c>
      <c r="Z1717">
        <v>3.5955870000000001E-2</v>
      </c>
      <c r="AA1717">
        <v>0.96011579999999996</v>
      </c>
      <c r="AB1717">
        <v>22</v>
      </c>
      <c r="AC1717">
        <v>-13.013500000000001</v>
      </c>
      <c r="AD1717">
        <v>-1.1198284477211</v>
      </c>
      <c r="AE1717">
        <v>-8.3900000000028202E-2</v>
      </c>
      <c r="AF1717">
        <v>3.6653286968019998</v>
      </c>
      <c r="AG1717">
        <v>-1.1198284477211</v>
      </c>
      <c r="AH1717">
        <v>12.387216763619699</v>
      </c>
      <c r="AI1717">
        <v>94.954394212561994</v>
      </c>
      <c r="AJ1717">
        <v>73.516721760272105</v>
      </c>
      <c r="AK1717">
        <v>12.9665642849919</v>
      </c>
    </row>
    <row r="1718" spans="1:37" x14ac:dyDescent="0.2">
      <c r="A1718" t="str">
        <f>"20200111155826393"</f>
        <v>20200111155826393</v>
      </c>
      <c r="B1718" t="str">
        <f>"1578729506382847"</f>
        <v>1578729506382847</v>
      </c>
      <c r="C1718" t="s">
        <v>37</v>
      </c>
      <c r="D1718">
        <v>5.6435899999999997</v>
      </c>
      <c r="E1718">
        <v>0.58339680000000005</v>
      </c>
      <c r="F1718" t="s">
        <v>50</v>
      </c>
      <c r="G1718">
        <v>-221.79920000000001</v>
      </c>
      <c r="H1718" s="1">
        <v>-5.7931999999999897E-7</v>
      </c>
      <c r="I1718">
        <v>287.59550000000002</v>
      </c>
      <c r="J1718">
        <v>-209.22799999999901</v>
      </c>
      <c r="K1718">
        <v>1.1190910000000001</v>
      </c>
      <c r="L1718">
        <v>287.67</v>
      </c>
      <c r="M1718">
        <v>-0.95714880000000002</v>
      </c>
      <c r="N1718">
        <v>0</v>
      </c>
      <c r="O1718">
        <v>-0.28870820000000003</v>
      </c>
      <c r="P1718">
        <v>-0.97329370000000004</v>
      </c>
      <c r="Q1718">
        <v>-3.8177589999999997E-2</v>
      </c>
      <c r="R1718">
        <v>-0.2263675</v>
      </c>
      <c r="S1718">
        <v>-3.0649259999999998</v>
      </c>
      <c r="T1718">
        <v>-0.26884809999999998</v>
      </c>
      <c r="U1718">
        <v>-3.1524660000000003E-2</v>
      </c>
      <c r="V1718">
        <v>6.3990019999999995E-2</v>
      </c>
      <c r="W1718">
        <v>-1.696959E-2</v>
      </c>
      <c r="X1718">
        <v>0.99780630000000003</v>
      </c>
      <c r="Y1718">
        <v>0.27677459999999998</v>
      </c>
      <c r="Z1718">
        <v>3.71125E-2</v>
      </c>
      <c r="AA1718">
        <v>0.96021800000000002</v>
      </c>
      <c r="AB1718">
        <v>22</v>
      </c>
      <c r="AC1718">
        <v>-12.571199999999999</v>
      </c>
      <c r="AD1718">
        <v>-1.11909157932</v>
      </c>
      <c r="AE1718">
        <v>-7.4500000000000399E-2</v>
      </c>
      <c r="AF1718">
        <v>3.5310341987114602</v>
      </c>
      <c r="AG1718">
        <v>-1.11909157932</v>
      </c>
      <c r="AH1718">
        <v>11.9623219422937</v>
      </c>
      <c r="AI1718">
        <v>95.127084264081304</v>
      </c>
      <c r="AJ1718">
        <v>73.554471244434595</v>
      </c>
      <c r="AK1718">
        <v>12.5226879992459</v>
      </c>
    </row>
    <row r="1719" spans="1:37" x14ac:dyDescent="0.2">
      <c r="A1719" t="str">
        <f>"20200111155826417"</f>
        <v>20200111155826417</v>
      </c>
      <c r="B1719" t="str">
        <f>"1578729506413103"</f>
        <v>1578729506413103</v>
      </c>
      <c r="C1719" t="s">
        <v>37</v>
      </c>
      <c r="D1719">
        <v>5.6806679999999998</v>
      </c>
      <c r="E1719">
        <v>0.58366839999999998</v>
      </c>
      <c r="F1719" t="s">
        <v>50</v>
      </c>
      <c r="G1719">
        <v>-221.35220000000001</v>
      </c>
      <c r="H1719" s="1">
        <v>-8.1723830000000001E-7</v>
      </c>
      <c r="I1719">
        <v>287.54469999999998</v>
      </c>
      <c r="J1719">
        <v>-209.44749999999999</v>
      </c>
      <c r="K1719">
        <v>1.1181410000000001</v>
      </c>
      <c r="L1719">
        <v>287.60640000000001</v>
      </c>
      <c r="M1719">
        <v>-0.957503199999999</v>
      </c>
      <c r="N1719">
        <v>0</v>
      </c>
      <c r="O1719">
        <v>-0.28757139999999998</v>
      </c>
      <c r="P1719">
        <v>-0.97329690000000002</v>
      </c>
      <c r="Q1719">
        <v>-4.3110250000000003E-2</v>
      </c>
      <c r="R1719">
        <v>-0.22546649999999999</v>
      </c>
      <c r="S1719">
        <v>-3.0638429999999999</v>
      </c>
      <c r="T1719">
        <v>-0.28279969999999999</v>
      </c>
      <c r="U1719">
        <v>-3.1646729999999998E-2</v>
      </c>
      <c r="V1719">
        <v>6.3589590000000001E-2</v>
      </c>
      <c r="W1719">
        <v>-2.2292309999999999E-2</v>
      </c>
      <c r="X1719">
        <v>0.99772719999999904</v>
      </c>
      <c r="Y1719">
        <v>0.2753698</v>
      </c>
      <c r="Z1719">
        <v>3.8877990000000001E-2</v>
      </c>
      <c r="AA1719">
        <v>0.96055190000000001</v>
      </c>
      <c r="AB1719">
        <v>22</v>
      </c>
      <c r="AC1719">
        <v>-11.9047</v>
      </c>
      <c r="AD1719">
        <v>-1.1181418172383</v>
      </c>
      <c r="AE1719">
        <v>-6.1700000000030203E-2</v>
      </c>
      <c r="AF1719">
        <v>3.3357717003245</v>
      </c>
      <c r="AG1719">
        <v>-1.1181418172383</v>
      </c>
      <c r="AH1719">
        <v>11.3194759677883</v>
      </c>
      <c r="AI1719">
        <v>95.412712183152095</v>
      </c>
      <c r="AJ1719">
        <v>73.580117348202606</v>
      </c>
      <c r="AK1719">
        <v>11.8536133792815</v>
      </c>
    </row>
    <row r="1720" spans="1:37" x14ac:dyDescent="0.2">
      <c r="A1720" t="str">
        <f>"20200111155826439"</f>
        <v>20200111155826439</v>
      </c>
      <c r="B1720" t="str">
        <f>"1578729506432624"</f>
        <v>1578729506432624</v>
      </c>
      <c r="C1720" t="s">
        <v>37</v>
      </c>
      <c r="D1720">
        <v>5.6566339999999897</v>
      </c>
      <c r="E1720">
        <v>0.5840168</v>
      </c>
      <c r="F1720" t="s">
        <v>50</v>
      </c>
      <c r="G1720">
        <v>-221.0241</v>
      </c>
      <c r="H1720" s="1">
        <v>-9.9180410000000002E-7</v>
      </c>
      <c r="I1720">
        <v>287.50290000000001</v>
      </c>
      <c r="J1720">
        <v>-209.65309999999999</v>
      </c>
      <c r="K1720">
        <v>1.1172120000000001</v>
      </c>
      <c r="L1720">
        <v>287.54739999999998</v>
      </c>
      <c r="M1720">
        <v>-0.957835399999999</v>
      </c>
      <c r="N1720">
        <v>0</v>
      </c>
      <c r="O1720">
        <v>-0.2865143</v>
      </c>
      <c r="P1720">
        <v>-0.97336139999999904</v>
      </c>
      <c r="Q1720">
        <v>-4.579445E-2</v>
      </c>
      <c r="R1720">
        <v>-0.2246562</v>
      </c>
      <c r="S1720">
        <v>-3.0628660000000001</v>
      </c>
      <c r="T1720">
        <v>-0.29583029999999999</v>
      </c>
      <c r="U1720">
        <v>-2.7404789999999998E-2</v>
      </c>
      <c r="V1720">
        <v>6.3259689999999993E-2</v>
      </c>
      <c r="W1720">
        <v>-2.5535249999999999E-2</v>
      </c>
      <c r="X1720">
        <v>0.99767039999999996</v>
      </c>
      <c r="Y1720">
        <v>0.2754122</v>
      </c>
      <c r="Z1720">
        <v>4.0578959999999997E-2</v>
      </c>
      <c r="AA1720">
        <v>0.96046939999999903</v>
      </c>
      <c r="AB1720">
        <v>22</v>
      </c>
      <c r="AC1720">
        <v>-11.371</v>
      </c>
      <c r="AD1720">
        <v>-1.1172129918041001</v>
      </c>
      <c r="AE1720">
        <v>-4.4499999999970799E-2</v>
      </c>
      <c r="AF1720">
        <v>3.1853233348266401</v>
      </c>
      <c r="AG1720">
        <v>-1.1172129918041001</v>
      </c>
      <c r="AH1720">
        <v>10.802531794105899</v>
      </c>
      <c r="AI1720">
        <v>95.665135664469801</v>
      </c>
      <c r="AJ1720">
        <v>73.570886924512195</v>
      </c>
      <c r="AK1720">
        <v>11.317647404788501</v>
      </c>
    </row>
    <row r="1721" spans="1:37" x14ac:dyDescent="0.2">
      <c r="A1721" t="str">
        <f>"20200111155826552"</f>
        <v>20200111155826552</v>
      </c>
      <c r="B1721" t="str">
        <f>"1578729506542911"</f>
        <v>1578729506542911</v>
      </c>
      <c r="C1721" t="s">
        <v>37</v>
      </c>
      <c r="D1721">
        <v>5.7428730000000003</v>
      </c>
      <c r="E1721">
        <v>0.58394380000000001</v>
      </c>
      <c r="F1721" t="s">
        <v>50</v>
      </c>
      <c r="G1721">
        <v>-221.0153</v>
      </c>
      <c r="H1721" s="1">
        <v>-9.9650640000000004E-7</v>
      </c>
      <c r="I1721">
        <v>287.46350000000001</v>
      </c>
      <c r="J1721">
        <v>-210.73830000000001</v>
      </c>
      <c r="K1721">
        <v>1.112131</v>
      </c>
      <c r="L1721">
        <v>287.24200000000002</v>
      </c>
      <c r="M1721">
        <v>-0.96050879999999905</v>
      </c>
      <c r="N1721">
        <v>0</v>
      </c>
      <c r="O1721">
        <v>-0.27776040000000002</v>
      </c>
      <c r="P1721">
        <v>-0.97602089999999997</v>
      </c>
      <c r="Q1721">
        <v>-4.9613940000000002E-2</v>
      </c>
      <c r="R1721">
        <v>-0.2119471</v>
      </c>
      <c r="S1721">
        <v>-3.0627140000000002</v>
      </c>
      <c r="T1721">
        <v>-0.30114770000000002</v>
      </c>
      <c r="U1721">
        <v>-2.261353E-2</v>
      </c>
      <c r="V1721">
        <v>6.7239869999999993E-2</v>
      </c>
      <c r="W1721">
        <v>-3.3753859999999997E-2</v>
      </c>
      <c r="X1721">
        <v>0.99716569999999904</v>
      </c>
      <c r="Y1721">
        <v>0.2680939</v>
      </c>
      <c r="Z1721">
        <v>4.0116449999999998E-2</v>
      </c>
      <c r="AA1721">
        <v>0.9625572</v>
      </c>
      <c r="AB1721">
        <v>22</v>
      </c>
      <c r="AC1721">
        <v>-10.2769999999999</v>
      </c>
      <c r="AD1721">
        <v>-1.1121319965064</v>
      </c>
      <c r="AE1721">
        <v>0.22149999999999101</v>
      </c>
      <c r="AF1721">
        <v>3.03222087095611</v>
      </c>
      <c r="AG1721">
        <v>-1.1121319965064</v>
      </c>
      <c r="AH1721">
        <v>9.6974489871159495</v>
      </c>
      <c r="AI1721">
        <v>96.246550823189907</v>
      </c>
      <c r="AJ1721">
        <v>72.636458938577505</v>
      </c>
      <c r="AK1721">
        <v>10.2211407311332</v>
      </c>
    </row>
    <row r="1722" spans="1:37" x14ac:dyDescent="0.2">
      <c r="A1722" t="str">
        <f>"20200111155826575"</f>
        <v>20200111155826575</v>
      </c>
      <c r="B1722" t="str">
        <f>"1578729506562430"</f>
        <v>1578729506562430</v>
      </c>
      <c r="C1722" t="s">
        <v>37</v>
      </c>
      <c r="D1722">
        <v>5.812932</v>
      </c>
      <c r="E1722">
        <v>0.55907030000000002</v>
      </c>
      <c r="F1722" t="s">
        <v>50</v>
      </c>
      <c r="G1722">
        <v>-221.5548</v>
      </c>
      <c r="H1722" s="1">
        <v>-7.0942049999999997E-7</v>
      </c>
      <c r="I1722">
        <v>287.29669999999999</v>
      </c>
      <c r="J1722">
        <v>-210.95099999999999</v>
      </c>
      <c r="K1722">
        <v>1.1110059999999999</v>
      </c>
      <c r="L1722">
        <v>287.18349999999998</v>
      </c>
      <c r="M1722">
        <v>-0.96107009999999904</v>
      </c>
      <c r="N1722">
        <v>0</v>
      </c>
      <c r="O1722">
        <v>-0.2758718</v>
      </c>
      <c r="P1722">
        <v>-0.97662320000000002</v>
      </c>
      <c r="Q1722">
        <v>-4.7363179999999998E-2</v>
      </c>
      <c r="R1722">
        <v>-0.20967559999999999</v>
      </c>
      <c r="S1722">
        <v>-3.0610659999999998</v>
      </c>
      <c r="T1722">
        <v>-0.31473329999999999</v>
      </c>
      <c r="U1722">
        <v>1.5472410000000001E-2</v>
      </c>
      <c r="V1722">
        <v>6.7668580000000006E-2</v>
      </c>
      <c r="W1722">
        <v>-3.2468379999999998E-2</v>
      </c>
      <c r="X1722">
        <v>0.99717939999999905</v>
      </c>
      <c r="Y1722">
        <v>0.277868</v>
      </c>
      <c r="Z1722">
        <v>4.2264780000000002E-2</v>
      </c>
      <c r="AA1722">
        <v>0.95968899999999902</v>
      </c>
      <c r="AB1722">
        <v>22</v>
      </c>
      <c r="AC1722">
        <v>-10.6038</v>
      </c>
      <c r="AD1722">
        <v>-1.1110067094204901</v>
      </c>
      <c r="AE1722">
        <v>0.113200000000006</v>
      </c>
      <c r="AF1722">
        <v>3.0014994592587798</v>
      </c>
      <c r="AG1722">
        <v>-1.1110067094204901</v>
      </c>
      <c r="AH1722">
        <v>10.050660517202999</v>
      </c>
      <c r="AI1722">
        <v>96.046134929230703</v>
      </c>
      <c r="AJ1722">
        <v>73.372426767869001</v>
      </c>
      <c r="AK1722">
        <v>10.5479434841286</v>
      </c>
    </row>
    <row r="1723" spans="1:37" x14ac:dyDescent="0.2">
      <c r="A1723" t="str">
        <f>"20200111155826595"</f>
        <v>20200111155826595</v>
      </c>
      <c r="B1723" t="str">
        <f>"1578729506592687"</f>
        <v>1578729506592687</v>
      </c>
      <c r="C1723" t="s">
        <v>37</v>
      </c>
      <c r="D1723">
        <v>5.8037269999999896</v>
      </c>
      <c r="E1723">
        <v>0.55038089999999995</v>
      </c>
      <c r="F1723" t="s">
        <v>50</v>
      </c>
      <c r="G1723">
        <v>-226.29859999999999</v>
      </c>
      <c r="H1723" s="1">
        <v>1.81504E-6</v>
      </c>
      <c r="I1723">
        <v>286.32139999999998</v>
      </c>
      <c r="J1723">
        <v>-211.15610000000001</v>
      </c>
      <c r="K1723">
        <v>1.10996299999999</v>
      </c>
      <c r="L1723">
        <v>287.1275</v>
      </c>
      <c r="M1723">
        <v>-0.9616017</v>
      </c>
      <c r="N1723">
        <v>0</v>
      </c>
      <c r="O1723">
        <v>-0.27406659999999999</v>
      </c>
      <c r="P1723">
        <v>-0.9769409</v>
      </c>
      <c r="Q1723">
        <v>-4.5040950000000003E-2</v>
      </c>
      <c r="R1723">
        <v>-0.20870619999999901</v>
      </c>
      <c r="S1723">
        <v>-3.0247039999999998</v>
      </c>
      <c r="T1723">
        <v>-0.21895539999999999</v>
      </c>
      <c r="U1723">
        <v>-0.1698914</v>
      </c>
      <c r="V1723">
        <v>6.6845840000000004E-2</v>
      </c>
      <c r="W1723">
        <v>-3.1062650000000001E-2</v>
      </c>
      <c r="X1723">
        <v>0.99727960000000004</v>
      </c>
      <c r="Y1723">
        <v>0.2184662</v>
      </c>
      <c r="Z1723">
        <v>2.7459399999999998E-2</v>
      </c>
      <c r="AA1723">
        <v>0.97545809999999999</v>
      </c>
      <c r="AB1723">
        <v>22</v>
      </c>
      <c r="AC1723">
        <v>-15.142499999999901</v>
      </c>
      <c r="AD1723">
        <v>-1.10996118495999</v>
      </c>
      <c r="AE1723">
        <v>-0.80610000000001403</v>
      </c>
      <c r="AF1723">
        <v>3.3572724249677401</v>
      </c>
      <c r="AG1723">
        <v>-1.10996118495999</v>
      </c>
      <c r="AH1723">
        <v>14.7047427726267</v>
      </c>
      <c r="AI1723">
        <v>94.208786438449195</v>
      </c>
      <c r="AJ1723">
        <v>77.139113554418202</v>
      </c>
      <c r="AK1723">
        <v>15.1239132494432</v>
      </c>
    </row>
    <row r="1724" spans="1:37" x14ac:dyDescent="0.2">
      <c r="A1724" t="str">
        <f>"20200111155826618"</f>
        <v>20200111155826618</v>
      </c>
      <c r="B1724" t="str">
        <f>"1578729506613183"</f>
        <v>1578729506613183</v>
      </c>
      <c r="C1724" t="s">
        <v>37</v>
      </c>
      <c r="D1724">
        <v>5.7871800000000002</v>
      </c>
      <c r="E1724">
        <v>0.54846519999999899</v>
      </c>
      <c r="F1724" t="s">
        <v>50</v>
      </c>
      <c r="G1724">
        <v>-228.63980000000001</v>
      </c>
      <c r="H1724" s="1">
        <v>3.06089099999999E-6</v>
      </c>
      <c r="I1724">
        <v>285.76850000000002</v>
      </c>
      <c r="J1724">
        <v>-211.37540000000001</v>
      </c>
      <c r="K1724">
        <v>1.108916</v>
      </c>
      <c r="L1724">
        <v>287.06819999999999</v>
      </c>
      <c r="M1724">
        <v>-0.96219249999999901</v>
      </c>
      <c r="N1724">
        <v>0</v>
      </c>
      <c r="O1724">
        <v>-0.27203649999999902</v>
      </c>
      <c r="P1724">
        <v>-0.97684150000000003</v>
      </c>
      <c r="Q1724">
        <v>-4.2488720000000001E-2</v>
      </c>
      <c r="R1724">
        <v>-0.20970349999999999</v>
      </c>
      <c r="S1724">
        <v>-3.011978</v>
      </c>
      <c r="T1724">
        <v>-0.19121629999999901</v>
      </c>
      <c r="U1724">
        <v>-0.234130899999999</v>
      </c>
      <c r="V1724">
        <v>6.378056E-2</v>
      </c>
      <c r="W1724">
        <v>-2.9445820000000001E-2</v>
      </c>
      <c r="X1724">
        <v>0.99752940000000001</v>
      </c>
      <c r="Y1724">
        <v>0.19574610000000001</v>
      </c>
      <c r="Z1724">
        <v>2.3215619999999999E-2</v>
      </c>
      <c r="AA1724">
        <v>0.98037980000000002</v>
      </c>
      <c r="AB1724">
        <v>22</v>
      </c>
      <c r="AC1724">
        <v>-17.264399999999899</v>
      </c>
      <c r="AD1724">
        <v>-1.108912939109</v>
      </c>
      <c r="AE1724">
        <v>-1.2996999999999701</v>
      </c>
      <c r="AF1724">
        <v>3.4322182127445999</v>
      </c>
      <c r="AG1724">
        <v>-1.108912939109</v>
      </c>
      <c r="AH1724">
        <v>16.8974637569648</v>
      </c>
      <c r="AI1724">
        <v>93.679778840862696</v>
      </c>
      <c r="AJ1724">
        <v>78.518266271234594</v>
      </c>
      <c r="AK1724">
        <v>17.278139112310601</v>
      </c>
    </row>
    <row r="1725" spans="1:37" x14ac:dyDescent="0.2">
      <c r="A1725" t="str">
        <f>"20200111155826640"</f>
        <v>20200111155826640</v>
      </c>
      <c r="B1725" t="str">
        <f>"1578729506632703"</f>
        <v>1578729506632703</v>
      </c>
      <c r="C1725" t="s">
        <v>37</v>
      </c>
      <c r="D1725">
        <v>6.2355109999999998</v>
      </c>
      <c r="E1725">
        <v>0.54747809999999997</v>
      </c>
      <c r="F1725" t="s">
        <v>50</v>
      </c>
      <c r="G1725">
        <v>-229.3904</v>
      </c>
      <c r="H1725" s="1">
        <v>3.4603230000000001E-6</v>
      </c>
      <c r="I1725">
        <v>285.5566</v>
      </c>
      <c r="J1725">
        <v>-211.59780000000001</v>
      </c>
      <c r="K1725">
        <v>1.1079509999999999</v>
      </c>
      <c r="L1725">
        <v>287.00869999999998</v>
      </c>
      <c r="M1725">
        <v>-0.96283459999999998</v>
      </c>
      <c r="N1725">
        <v>0</v>
      </c>
      <c r="O1725">
        <v>-0.26980120000000002</v>
      </c>
      <c r="P1725">
        <v>-0.97681569999999995</v>
      </c>
      <c r="Q1725">
        <v>-3.9829580000000003E-2</v>
      </c>
      <c r="R1725">
        <v>-0.2103438</v>
      </c>
      <c r="S1725">
        <v>-3.0088650000000001</v>
      </c>
      <c r="T1725">
        <v>-0.18521070000000001</v>
      </c>
      <c r="U1725">
        <v>-0.25247190000000003</v>
      </c>
      <c r="V1725">
        <v>6.0862340000000001E-2</v>
      </c>
      <c r="W1725">
        <v>-2.7693490000000001E-2</v>
      </c>
      <c r="X1725">
        <v>0.99776189999999998</v>
      </c>
      <c r="Y1725">
        <v>0.18751809999999999</v>
      </c>
      <c r="Z1725">
        <v>2.211689E-2</v>
      </c>
      <c r="AA1725">
        <v>0.98201209999999906</v>
      </c>
      <c r="AB1725">
        <v>23</v>
      </c>
      <c r="AC1725">
        <v>-17.792599999999901</v>
      </c>
      <c r="AD1725">
        <v>-1.107947539677</v>
      </c>
      <c r="AE1725">
        <v>-1.45209999999997</v>
      </c>
      <c r="AF1725">
        <v>3.3895433336065102</v>
      </c>
      <c r="AG1725">
        <v>-1.107947539677</v>
      </c>
      <c r="AH1725">
        <v>17.457239826953199</v>
      </c>
      <c r="AI1725">
        <v>93.565082172177796</v>
      </c>
      <c r="AJ1725">
        <v>79.0120193348979</v>
      </c>
      <c r="AK1725">
        <v>17.8177376267817</v>
      </c>
    </row>
    <row r="1726" spans="1:37" x14ac:dyDescent="0.2">
      <c r="A1726" t="str">
        <f>"20200111155826662"</f>
        <v>20200111155826662</v>
      </c>
      <c r="B1726" t="str">
        <f>"1578729506653199"</f>
        <v>1578729506653199</v>
      </c>
      <c r="C1726" t="s">
        <v>37</v>
      </c>
      <c r="D1726">
        <v>5.8019080000000001</v>
      </c>
      <c r="E1726">
        <v>0.54723089999999996</v>
      </c>
      <c r="F1726" t="s">
        <v>50</v>
      </c>
      <c r="G1726">
        <v>-231.59599999999901</v>
      </c>
      <c r="H1726" s="1">
        <v>-7.1592419999999895E-7</v>
      </c>
      <c r="I1726">
        <v>285.26710000000003</v>
      </c>
      <c r="J1726">
        <v>-211.82060000000001</v>
      </c>
      <c r="K1726">
        <v>1.1070739999999999</v>
      </c>
      <c r="L1726">
        <v>286.9495</v>
      </c>
      <c r="M1726">
        <v>-0.96352179999999998</v>
      </c>
      <c r="N1726">
        <v>0</v>
      </c>
      <c r="O1726">
        <v>-0.26737739999999999</v>
      </c>
      <c r="P1726">
        <v>-0.97663299999999997</v>
      </c>
      <c r="Q1726">
        <v>-3.638396E-2</v>
      </c>
      <c r="R1726">
        <v>-0.21181169999999999</v>
      </c>
      <c r="S1726">
        <v>-3.0080110000000002</v>
      </c>
      <c r="T1726">
        <v>-0.16665199999999999</v>
      </c>
      <c r="U1726">
        <v>-0.2619629</v>
      </c>
      <c r="V1726">
        <v>5.6910580000000002E-2</v>
      </c>
      <c r="W1726">
        <v>-2.5098519999999999E-2</v>
      </c>
      <c r="X1726">
        <v>0.998063699999999</v>
      </c>
      <c r="Y1726">
        <v>0.18211369999999999</v>
      </c>
      <c r="Z1726">
        <v>1.9626890000000001E-2</v>
      </c>
      <c r="AA1726">
        <v>0.983081599999999</v>
      </c>
      <c r="AB1726">
        <v>23</v>
      </c>
      <c r="AC1726">
        <v>-19.775399999999902</v>
      </c>
      <c r="AD1726">
        <v>-1.10707471592419</v>
      </c>
      <c r="AE1726">
        <v>-1.6823999999999699</v>
      </c>
      <c r="AF1726">
        <v>3.6553399647581202</v>
      </c>
      <c r="AG1726">
        <v>-1.10707471592419</v>
      </c>
      <c r="AH1726">
        <v>19.444679711077399</v>
      </c>
      <c r="AI1726">
        <v>93.202615917763296</v>
      </c>
      <c r="AJ1726">
        <v>79.353411745635199</v>
      </c>
      <c r="AK1726">
        <v>19.816222994076899</v>
      </c>
    </row>
    <row r="1727" spans="1:37" x14ac:dyDescent="0.2">
      <c r="A1727" t="str">
        <f>"20200111155826685"</f>
        <v>20200111155826685</v>
      </c>
      <c r="B1727" t="str">
        <f>"1578729506672719"</f>
        <v>1578729506672719</v>
      </c>
      <c r="C1727" t="s">
        <v>37</v>
      </c>
      <c r="D1727">
        <v>5.8202590000000001</v>
      </c>
      <c r="E1727">
        <v>0.54680819999999997</v>
      </c>
      <c r="F1727" t="s">
        <v>50</v>
      </c>
      <c r="G1727">
        <v>-236.74510000000001</v>
      </c>
      <c r="H1727" s="1">
        <v>2.047598E-6</v>
      </c>
      <c r="I1727">
        <v>284.73160000000001</v>
      </c>
      <c r="J1727">
        <v>-212.04239999999999</v>
      </c>
      <c r="K1727">
        <v>1.106274</v>
      </c>
      <c r="L1727">
        <v>286.89120000000003</v>
      </c>
      <c r="M1727">
        <v>-0.96424069999999995</v>
      </c>
      <c r="N1727">
        <v>0</v>
      </c>
      <c r="O1727">
        <v>-0.26480769999999998</v>
      </c>
      <c r="P1727">
        <v>-0.9763811</v>
      </c>
      <c r="Q1727">
        <v>-3.3430649999999999E-2</v>
      </c>
      <c r="R1727">
        <v>-0.21345320000000001</v>
      </c>
      <c r="S1727">
        <v>-3.0087280000000001</v>
      </c>
      <c r="T1727">
        <v>-0.13363829999999999</v>
      </c>
      <c r="U1727">
        <v>-0.26773069999999999</v>
      </c>
      <c r="V1727">
        <v>5.2615759999999998E-2</v>
      </c>
      <c r="W1727">
        <v>-2.2938440000000001E-2</v>
      </c>
      <c r="X1727">
        <v>0.99835130000000005</v>
      </c>
      <c r="Y1727">
        <v>0.17788509999999999</v>
      </c>
      <c r="Z1727">
        <v>1.553356E-2</v>
      </c>
      <c r="AA1727">
        <v>0.98392869999999999</v>
      </c>
      <c r="AB1727">
        <v>23</v>
      </c>
      <c r="AC1727">
        <v>-24.7027</v>
      </c>
      <c r="AD1727">
        <v>-1.1062719524019999</v>
      </c>
      <c r="AE1727">
        <v>-2.15960000000001</v>
      </c>
      <c r="AF1727">
        <v>4.4504932713523297</v>
      </c>
      <c r="AG1727">
        <v>-1.1062719524019999</v>
      </c>
      <c r="AH1727">
        <v>24.344198119019801</v>
      </c>
      <c r="AI1727">
        <v>92.559536303155298</v>
      </c>
      <c r="AJ1727">
        <v>79.639857606318301</v>
      </c>
      <c r="AK1727">
        <v>24.772377965167401</v>
      </c>
    </row>
    <row r="1728" spans="1:37" x14ac:dyDescent="0.2">
      <c r="A1728" t="str">
        <f>"20200111155826907"</f>
        <v>20200111155826907</v>
      </c>
      <c r="B1728" t="str">
        <f>"1578729506903055"</f>
        <v>1578729506903055</v>
      </c>
      <c r="C1728" t="s">
        <v>37</v>
      </c>
      <c r="D1728">
        <v>5.9960649999999998</v>
      </c>
      <c r="E1728">
        <v>0.54652840000000003</v>
      </c>
      <c r="F1728" t="s">
        <v>50</v>
      </c>
      <c r="G1728">
        <v>-243.01570000000001</v>
      </c>
      <c r="H1728" s="1">
        <v>6.7993909999999998E-8</v>
      </c>
      <c r="I1728">
        <v>284.053</v>
      </c>
      <c r="J1728">
        <v>-214.36680000000001</v>
      </c>
      <c r="K1728">
        <v>1.1017410000000001</v>
      </c>
      <c r="L1728">
        <v>286.32170000000002</v>
      </c>
      <c r="M1728">
        <v>-0.97207889999999997</v>
      </c>
      <c r="N1728">
        <v>0</v>
      </c>
      <c r="O1728">
        <v>-0.23460819999999999</v>
      </c>
      <c r="P1728">
        <v>-0.97859189999999996</v>
      </c>
      <c r="Q1728">
        <v>-1.8853760000000001E-2</v>
      </c>
      <c r="R1728">
        <v>-0.204945399999999</v>
      </c>
      <c r="S1728">
        <v>-3.0086360000000001</v>
      </c>
      <c r="T1728">
        <v>-0.10745969999999901</v>
      </c>
      <c r="U1728">
        <v>-0.27569579999999999</v>
      </c>
      <c r="V1728">
        <v>3.028672E-2</v>
      </c>
      <c r="W1728">
        <v>-1.43527999999999E-2</v>
      </c>
      <c r="X1728">
        <v>0.99943819999999906</v>
      </c>
      <c r="Y1728">
        <v>0.14468989999999901</v>
      </c>
      <c r="Z1728">
        <v>1.0855719999999999E-2</v>
      </c>
      <c r="AA1728">
        <v>0.98941749999999995</v>
      </c>
      <c r="AB1728">
        <v>25</v>
      </c>
      <c r="AC1728">
        <v>-28.648900000000001</v>
      </c>
      <c r="AD1728">
        <v>-1.10174093200609</v>
      </c>
      <c r="AE1728">
        <v>-2.2687000000000199</v>
      </c>
      <c r="AF1728">
        <v>4.5093328862384601</v>
      </c>
      <c r="AG1728">
        <v>-1.10174093200609</v>
      </c>
      <c r="AH1728">
        <v>28.339902312717101</v>
      </c>
      <c r="AI1728">
        <v>92.198676049510098</v>
      </c>
      <c r="AJ1728">
        <v>80.959113134547295</v>
      </c>
      <c r="AK1728">
        <v>28.717555245085201</v>
      </c>
    </row>
    <row r="1729" spans="1:37" x14ac:dyDescent="0.2">
      <c r="A1729" t="str">
        <f>"20200111155826952"</f>
        <v>20200111155826952</v>
      </c>
      <c r="B1729" t="str">
        <f>"1578729506943070"</f>
        <v>1578729506943070</v>
      </c>
      <c r="C1729" t="s">
        <v>37</v>
      </c>
      <c r="D1729">
        <v>6.409796</v>
      </c>
      <c r="E1729">
        <v>0.3540991</v>
      </c>
      <c r="F1729" t="s">
        <v>50</v>
      </c>
      <c r="G1729">
        <v>-265.04340000000002</v>
      </c>
      <c r="H1729" s="1">
        <v>1.1470640000000001E-6</v>
      </c>
      <c r="I1729">
        <v>282.08679999999998</v>
      </c>
      <c r="J1729">
        <v>-214.86519999999999</v>
      </c>
      <c r="K1729">
        <v>1.1013549999999901</v>
      </c>
      <c r="L1729">
        <v>286.20960000000002</v>
      </c>
      <c r="M1729">
        <v>-0.97364019999999996</v>
      </c>
      <c r="N1729">
        <v>0</v>
      </c>
      <c r="O1729">
        <v>-0.2280576</v>
      </c>
      <c r="P1729">
        <v>-0.97998909999999995</v>
      </c>
      <c r="Q1729">
        <v>-1.7120610000000001E-2</v>
      </c>
      <c r="R1729">
        <v>-0.19831399999999999</v>
      </c>
      <c r="S1729">
        <v>-3.0116580000000002</v>
      </c>
      <c r="T1729">
        <v>-6.5475229999999995E-2</v>
      </c>
      <c r="U1729">
        <v>-0.25167849999999897</v>
      </c>
      <c r="V1729">
        <v>3.0334699999999999E-2</v>
      </c>
      <c r="W1729">
        <v>-1.345258E-2</v>
      </c>
      <c r="X1729">
        <v>0.99944929999999998</v>
      </c>
      <c r="Y1729">
        <v>0.14609720000000001</v>
      </c>
      <c r="Z1729">
        <v>6.4893519999999899E-3</v>
      </c>
      <c r="AA1729">
        <v>0.98924899999999905</v>
      </c>
      <c r="AB1729">
        <v>25</v>
      </c>
      <c r="AC1729">
        <v>-50.178199999999997</v>
      </c>
      <c r="AD1729">
        <v>-1.1013538529359901</v>
      </c>
      <c r="AE1729">
        <v>-4.1228000000000398</v>
      </c>
      <c r="AF1729">
        <v>7.4258964294263201</v>
      </c>
      <c r="AG1729">
        <v>-1.1013538529359901</v>
      </c>
      <c r="AH1729">
        <v>49.772292260679102</v>
      </c>
      <c r="AI1729">
        <v>91.253752712040594</v>
      </c>
      <c r="AJ1729">
        <v>81.514213550484101</v>
      </c>
      <c r="AK1729">
        <v>50.335255983976097</v>
      </c>
    </row>
    <row r="1730" spans="1:37" x14ac:dyDescent="0.2">
      <c r="A1730" t="str">
        <f>"20200111155827198"</f>
        <v>20200111155827198</v>
      </c>
      <c r="B1730" t="str">
        <f>"1578729507192927"</f>
        <v>1578729507192927</v>
      </c>
      <c r="C1730" t="s">
        <v>37</v>
      </c>
      <c r="D1730">
        <v>5.9603669999999997</v>
      </c>
      <c r="E1730">
        <v>0.5701773</v>
      </c>
      <c r="F1730" t="s">
        <v>51</v>
      </c>
      <c r="G1730">
        <v>-242.38399999999999</v>
      </c>
      <c r="H1730">
        <v>17.69389</v>
      </c>
      <c r="I1730">
        <v>269.1576</v>
      </c>
      <c r="J1730">
        <v>-217.70760000000001</v>
      </c>
      <c r="K1730">
        <v>1.1004639999999899</v>
      </c>
      <c r="L1730">
        <v>285.63569999999999</v>
      </c>
      <c r="M1730">
        <v>-0.98161299999999996</v>
      </c>
      <c r="N1730">
        <v>0</v>
      </c>
      <c r="O1730">
        <v>-0.19085489999999999</v>
      </c>
      <c r="P1730">
        <v>-0.98317469999999996</v>
      </c>
      <c r="Q1730">
        <v>-2.592976E-2</v>
      </c>
      <c r="R1730">
        <v>-0.180819799999999</v>
      </c>
      <c r="S1730">
        <v>-2.7458800000000001</v>
      </c>
      <c r="T1730">
        <v>1.65563499999999</v>
      </c>
      <c r="U1730">
        <v>-1.7014769999999999</v>
      </c>
      <c r="V1730">
        <v>1.000618E-2</v>
      </c>
      <c r="W1730">
        <v>-2.2725889999999999E-2</v>
      </c>
      <c r="X1730">
        <v>0.99969169999999996</v>
      </c>
      <c r="Y1730">
        <v>-0.3370245</v>
      </c>
      <c r="Z1730">
        <v>-9.8856540000000007E-3</v>
      </c>
      <c r="AA1730">
        <v>0.94144399999999995</v>
      </c>
      <c r="AB1730">
        <v>27</v>
      </c>
      <c r="AC1730">
        <v>-24.676400000000001</v>
      </c>
      <c r="AD1730">
        <v>16.593426000000001</v>
      </c>
      <c r="AE1730">
        <v>-16.478099999999898</v>
      </c>
      <c r="AF1730">
        <v>-8.7341536895699292</v>
      </c>
      <c r="AG1730">
        <v>16.593426000000001</v>
      </c>
      <c r="AH1730">
        <v>20.847998231487299</v>
      </c>
      <c r="AI1730">
        <v>53.717451104017996</v>
      </c>
      <c r="AJ1730">
        <v>112.730977757514</v>
      </c>
      <c r="AK1730">
        <v>28.040439678268299</v>
      </c>
    </row>
    <row r="1731" spans="1:37" x14ac:dyDescent="0.2">
      <c r="A1731" t="str">
        <f>"20200111155827220"</f>
        <v>20200111155827220</v>
      </c>
      <c r="B1731" t="str">
        <f>"1578729507212447"</f>
        <v>1578729507212447</v>
      </c>
      <c r="C1731" t="s">
        <v>37</v>
      </c>
      <c r="D1731">
        <v>6.0200250000000004</v>
      </c>
      <c r="E1731">
        <v>0.56594560000000005</v>
      </c>
      <c r="F1731" t="s">
        <v>38</v>
      </c>
      <c r="G1731">
        <v>-218.511</v>
      </c>
      <c r="H1731">
        <v>1.005503</v>
      </c>
      <c r="I1731">
        <v>285.63729999999998</v>
      </c>
      <c r="J1731">
        <v>-217.97749999999999</v>
      </c>
      <c r="K1731">
        <v>1.1003889999999901</v>
      </c>
      <c r="L1731">
        <v>285.58710000000002</v>
      </c>
      <c r="M1731">
        <v>-0.98230699999999904</v>
      </c>
      <c r="N1731">
        <v>0</v>
      </c>
      <c r="O1731">
        <v>-0.1872499</v>
      </c>
      <c r="P1731">
        <v>-0.98304849999999999</v>
      </c>
      <c r="Q1731">
        <v>-2.5543059999999999E-2</v>
      </c>
      <c r="R1731">
        <v>-0.181559</v>
      </c>
      <c r="S1731">
        <v>-3.0429080000000002</v>
      </c>
      <c r="T1731">
        <v>-0.35960159999999902</v>
      </c>
      <c r="U1731">
        <v>5.6762699999999998E-3</v>
      </c>
      <c r="V1731">
        <v>5.5877100000000001E-3</v>
      </c>
      <c r="W1731">
        <v>-2.23479E-2</v>
      </c>
      <c r="X1731">
        <v>0.99973459999999903</v>
      </c>
      <c r="Y1731">
        <v>0.18649370000000001</v>
      </c>
      <c r="Z1731">
        <v>3.2935649999999997E-2</v>
      </c>
      <c r="AA1731">
        <v>0.981904</v>
      </c>
      <c r="AB1731">
        <v>27</v>
      </c>
      <c r="AC1731">
        <v>-0.53350000000000297</v>
      </c>
      <c r="AD1731">
        <v>-9.4885999999999804E-2</v>
      </c>
      <c r="AE1731">
        <v>5.0199999999961102E-2</v>
      </c>
      <c r="AF1731">
        <v>0.144674150136789</v>
      </c>
      <c r="AG1731">
        <v>-9.4885999999999804E-2</v>
      </c>
      <c r="AH1731">
        <v>0.49901683989338802</v>
      </c>
      <c r="AI1731">
        <v>100.349623506382</v>
      </c>
      <c r="AJ1731">
        <v>73.832155167334903</v>
      </c>
      <c r="AK1731">
        <v>0.52815884846415795</v>
      </c>
    </row>
    <row r="1732" spans="1:37" x14ac:dyDescent="0.2">
      <c r="A1732" t="str">
        <f>"20200111155827242"</f>
        <v>20200111155827242</v>
      </c>
      <c r="B1732" t="str">
        <f>"1578729507232943"</f>
        <v>1578729507232943</v>
      </c>
      <c r="C1732" t="s">
        <v>37</v>
      </c>
      <c r="D1732">
        <v>6.0574890000000003</v>
      </c>
      <c r="E1732">
        <v>0.5594519</v>
      </c>
      <c r="F1732" t="s">
        <v>38</v>
      </c>
      <c r="G1732">
        <v>-218.7619</v>
      </c>
      <c r="H1732">
        <v>1.0323309999999899</v>
      </c>
      <c r="I1732">
        <v>285.5797</v>
      </c>
      <c r="J1732">
        <v>-218.245</v>
      </c>
      <c r="K1732">
        <v>1.1003049999999901</v>
      </c>
      <c r="L1732">
        <v>285.53969999999998</v>
      </c>
      <c r="M1732">
        <v>-0.98298189999999996</v>
      </c>
      <c r="N1732">
        <v>0</v>
      </c>
      <c r="O1732">
        <v>-0.18367620000000001</v>
      </c>
      <c r="P1732">
        <v>-0.9830025</v>
      </c>
      <c r="Q1732">
        <v>-2.560782E-2</v>
      </c>
      <c r="R1732">
        <v>-0.1817975</v>
      </c>
      <c r="S1732">
        <v>-3.0395050000000001</v>
      </c>
      <c r="T1732">
        <v>-0.26366889999999998</v>
      </c>
      <c r="U1732">
        <v>-2.9113770000000001E-2</v>
      </c>
      <c r="V1732">
        <v>1.707051E-3</v>
      </c>
      <c r="W1732">
        <v>-2.248942E-2</v>
      </c>
      <c r="X1732">
        <v>0.99974560000000001</v>
      </c>
      <c r="Y1732">
        <v>0.17292099999999999</v>
      </c>
      <c r="Z1732">
        <v>2.3317419999999998E-2</v>
      </c>
      <c r="AA1732">
        <v>0.98465970000000003</v>
      </c>
      <c r="AB1732">
        <v>27</v>
      </c>
      <c r="AC1732">
        <v>-0.51689999999999203</v>
      </c>
      <c r="AD1732">
        <v>-6.7973999999999896E-2</v>
      </c>
      <c r="AE1732">
        <v>4.0000000000020401E-2</v>
      </c>
      <c r="AF1732">
        <v>0.131993168549252</v>
      </c>
      <c r="AG1732">
        <v>-6.7973999999999896E-2</v>
      </c>
      <c r="AH1732">
        <v>0.49229606650943603</v>
      </c>
      <c r="AI1732">
        <v>97.596427701766402</v>
      </c>
      <c r="AJ1732">
        <v>74.991005440383901</v>
      </c>
      <c r="AK1732">
        <v>0.51419653666699705</v>
      </c>
    </row>
    <row r="1733" spans="1:37" x14ac:dyDescent="0.2">
      <c r="A1733" t="str">
        <f>"20200111155827265"</f>
        <v>20200111155827265</v>
      </c>
      <c r="B1733" t="str">
        <f>"1578729507252462"</f>
        <v>1578729507252462</v>
      </c>
      <c r="C1733" t="s">
        <v>37</v>
      </c>
      <c r="D1733">
        <v>6.0526619999999998</v>
      </c>
      <c r="E1733">
        <v>0.55678899999999998</v>
      </c>
      <c r="F1733" t="s">
        <v>38</v>
      </c>
      <c r="G1733">
        <v>-219.0035</v>
      </c>
      <c r="H1733">
        <v>1.037128</v>
      </c>
      <c r="I1733">
        <v>285.51949999999999</v>
      </c>
      <c r="J1733">
        <v>-218.5154</v>
      </c>
      <c r="K1733">
        <v>1.1002319999999901</v>
      </c>
      <c r="L1733">
        <v>285.49290000000002</v>
      </c>
      <c r="M1733">
        <v>-0.98364929999999995</v>
      </c>
      <c r="N1733">
        <v>0</v>
      </c>
      <c r="O1733">
        <v>-0.1800696</v>
      </c>
      <c r="P1733">
        <v>-0.98293560000000002</v>
      </c>
      <c r="Q1733">
        <v>-2.6174960000000001E-2</v>
      </c>
      <c r="R1733">
        <v>-0.18207779999999901</v>
      </c>
      <c r="S1733">
        <v>-3.0303339999999999</v>
      </c>
      <c r="T1733">
        <v>-0.25239200000000001</v>
      </c>
      <c r="U1733">
        <v>-8.0841060000000006E-2</v>
      </c>
      <c r="V1733">
        <v>-2.2532260000000001E-3</v>
      </c>
      <c r="W1733">
        <v>-2.3201320000000001E-2</v>
      </c>
      <c r="X1733">
        <v>0.99972830000000001</v>
      </c>
      <c r="Y1733">
        <v>0.15262989999999901</v>
      </c>
      <c r="Z1733">
        <v>2.1242529999999999E-2</v>
      </c>
      <c r="AA1733">
        <v>0.98805509999999996</v>
      </c>
      <c r="AB1733">
        <v>27</v>
      </c>
      <c r="AC1733">
        <v>-0.48810000000000198</v>
      </c>
      <c r="AD1733">
        <v>-6.3103999999999799E-2</v>
      </c>
      <c r="AE1733">
        <v>2.6599999999973499E-2</v>
      </c>
      <c r="AF1733">
        <v>0.112187931536781</v>
      </c>
      <c r="AG1733">
        <v>-6.3103999999999799E-2</v>
      </c>
      <c r="AH1733">
        <v>0.46753990434899201</v>
      </c>
      <c r="AI1733">
        <v>97.477036411645997</v>
      </c>
      <c r="AJ1733">
        <v>76.506774876858401</v>
      </c>
      <c r="AK1733">
        <v>0.48493485021924998</v>
      </c>
    </row>
    <row r="1734" spans="1:37" x14ac:dyDescent="0.2">
      <c r="A1734" t="str">
        <f>"20200111155827287"</f>
        <v>20200111155827287</v>
      </c>
      <c r="B1734" t="str">
        <f>"1578729507282718"</f>
        <v>1578729507282718</v>
      </c>
      <c r="C1734" t="s">
        <v>37</v>
      </c>
      <c r="D1734">
        <v>6.0705029999999898</v>
      </c>
      <c r="E1734">
        <v>0.55478769999999999</v>
      </c>
      <c r="F1734" t="s">
        <v>38</v>
      </c>
      <c r="G1734">
        <v>-219.24940000000001</v>
      </c>
      <c r="H1734">
        <v>1.043391</v>
      </c>
      <c r="I1734">
        <v>285.46809999999999</v>
      </c>
      <c r="J1734">
        <v>-218.7954</v>
      </c>
      <c r="K1734">
        <v>1.10015</v>
      </c>
      <c r="L1734">
        <v>285.44540000000001</v>
      </c>
      <c r="M1734">
        <v>-0.98432199999999903</v>
      </c>
      <c r="N1734">
        <v>0</v>
      </c>
      <c r="O1734">
        <v>-0.17636060000000001</v>
      </c>
      <c r="P1734">
        <v>-0.983050599999999</v>
      </c>
      <c r="Q1734">
        <v>-2.584235E-2</v>
      </c>
      <c r="R1734">
        <v>-0.18150429999999901</v>
      </c>
      <c r="S1734">
        <v>-3.02684</v>
      </c>
      <c r="T1734">
        <v>-0.2343837</v>
      </c>
      <c r="U1734">
        <v>-0.1026306</v>
      </c>
      <c r="V1734">
        <v>-5.4362029999999997E-3</v>
      </c>
      <c r="W1734">
        <v>-2.3070110000000001E-2</v>
      </c>
      <c r="X1734">
        <v>0.99971909999999897</v>
      </c>
      <c r="Y1734">
        <v>0.14195749999999999</v>
      </c>
      <c r="Z1734">
        <v>1.9054629999999999E-2</v>
      </c>
      <c r="AA1734">
        <v>0.98968940000000005</v>
      </c>
      <c r="AB1734">
        <v>27</v>
      </c>
      <c r="AC1734">
        <v>-0.45400000000000701</v>
      </c>
      <c r="AD1734">
        <v>-5.6758999999999997E-2</v>
      </c>
      <c r="AE1734">
        <v>2.2699999999986099E-2</v>
      </c>
      <c r="AF1734">
        <v>0.100839993160304</v>
      </c>
      <c r="AG1734">
        <v>-5.6758999999999997E-2</v>
      </c>
      <c r="AH1734">
        <v>0.43608144663284798</v>
      </c>
      <c r="AI1734">
        <v>97.227136714822507</v>
      </c>
      <c r="AJ1734">
        <v>76.979711784837804</v>
      </c>
      <c r="AK1734">
        <v>0.45117326649411299</v>
      </c>
    </row>
    <row r="1735" spans="1:37" x14ac:dyDescent="0.2">
      <c r="A1735" t="str">
        <f>"20200111155827311"</f>
        <v>20200111155827311</v>
      </c>
      <c r="B1735" t="str">
        <f>"1578729507303216"</f>
        <v>1578729507303216</v>
      </c>
      <c r="C1735" t="s">
        <v>37</v>
      </c>
      <c r="D1735">
        <v>6.0969499999999996</v>
      </c>
      <c r="E1735">
        <v>0.55341669999999998</v>
      </c>
      <c r="F1735" t="s">
        <v>38</v>
      </c>
      <c r="G1735">
        <v>-219.74189999999999</v>
      </c>
      <c r="H1735">
        <v>1.028912</v>
      </c>
      <c r="I1735">
        <v>285.40910000000002</v>
      </c>
      <c r="J1735">
        <v>-219.08789999999999</v>
      </c>
      <c r="K1735">
        <v>1.1000829999999999</v>
      </c>
      <c r="L1735">
        <v>285.39690000000002</v>
      </c>
      <c r="M1735">
        <v>-0.98500209999999999</v>
      </c>
      <c r="N1735">
        <v>0</v>
      </c>
      <c r="O1735">
        <v>-0.1725246</v>
      </c>
      <c r="P1735">
        <v>-0.98337180000000002</v>
      </c>
      <c r="Q1735">
        <v>-2.5885439999999999E-2</v>
      </c>
      <c r="R1735">
        <v>-0.17975060000000001</v>
      </c>
      <c r="S1735">
        <v>-3.024292</v>
      </c>
      <c r="T1735">
        <v>-0.22762479999999999</v>
      </c>
      <c r="U1735">
        <v>-0.11633299999999901</v>
      </c>
      <c r="V1735">
        <v>-7.5507969999999997E-3</v>
      </c>
      <c r="W1735">
        <v>-2.3343539999999999E-2</v>
      </c>
      <c r="X1735">
        <v>0.999699</v>
      </c>
      <c r="Y1735">
        <v>0.13367660000000001</v>
      </c>
      <c r="Z1735">
        <v>1.7924010000000001E-2</v>
      </c>
      <c r="AA1735">
        <v>0.99086289999999999</v>
      </c>
      <c r="AB1735">
        <v>28</v>
      </c>
      <c r="AC1735">
        <v>-0.65399999999999603</v>
      </c>
      <c r="AD1735">
        <v>-7.1170999999999804E-2</v>
      </c>
      <c r="AE1735">
        <v>1.2200000000007E-2</v>
      </c>
      <c r="AF1735">
        <v>0.123387760775068</v>
      </c>
      <c r="AG1735">
        <v>-7.1170999999999804E-2</v>
      </c>
      <c r="AH1735">
        <v>0.63457606166209302</v>
      </c>
      <c r="AI1735">
        <v>96.2825818302383</v>
      </c>
      <c r="AJ1735">
        <v>78.996635671689305</v>
      </c>
      <c r="AK1735">
        <v>0.65036653418257795</v>
      </c>
    </row>
    <row r="1736" spans="1:37" x14ac:dyDescent="0.2">
      <c r="A1736" t="str">
        <f>"20200111155827333"</f>
        <v>20200111155827333</v>
      </c>
      <c r="B1736" t="str">
        <f>"1578729507322734"</f>
        <v>1578729507322734</v>
      </c>
      <c r="C1736" t="s">
        <v>37</v>
      </c>
      <c r="D1736">
        <v>6.0482579999999997</v>
      </c>
      <c r="E1736">
        <v>0.55247040000000003</v>
      </c>
      <c r="F1736" t="s">
        <v>38</v>
      </c>
      <c r="G1736">
        <v>-219.99250000000001</v>
      </c>
      <c r="H1736">
        <v>1.0328170000000001</v>
      </c>
      <c r="I1736">
        <v>285.3605</v>
      </c>
      <c r="J1736">
        <v>-219.3657</v>
      </c>
      <c r="K1736">
        <v>1.1000099999999999</v>
      </c>
      <c r="L1736">
        <v>285.3519</v>
      </c>
      <c r="M1736">
        <v>-0.98562719999999904</v>
      </c>
      <c r="N1736">
        <v>0</v>
      </c>
      <c r="O1736">
        <v>-0.1689206</v>
      </c>
      <c r="P1736">
        <v>-0.98376849999999905</v>
      </c>
      <c r="Q1736">
        <v>-2.461464E-2</v>
      </c>
      <c r="R1736">
        <v>-0.1777465</v>
      </c>
      <c r="S1736">
        <v>-3.0225680000000001</v>
      </c>
      <c r="T1736">
        <v>-0.2248117</v>
      </c>
      <c r="U1736">
        <v>-0.1217041</v>
      </c>
      <c r="V1736">
        <v>-9.1588929999999995E-3</v>
      </c>
      <c r="W1736">
        <v>-2.2290709999999998E-2</v>
      </c>
      <c r="X1736">
        <v>0.99970959999999998</v>
      </c>
      <c r="Y1736">
        <v>0.12831489999999901</v>
      </c>
      <c r="Z1736">
        <v>1.7248880000000001E-2</v>
      </c>
      <c r="AA1736">
        <v>0.99158349999999995</v>
      </c>
      <c r="AB1736">
        <v>28</v>
      </c>
      <c r="AC1736">
        <v>-0.62680000000000202</v>
      </c>
      <c r="AD1736">
        <v>-6.7192999999999795E-2</v>
      </c>
      <c r="AE1736">
        <v>8.6000000000012698E-3</v>
      </c>
      <c r="AF1736">
        <v>0.11305711226041</v>
      </c>
      <c r="AG1736">
        <v>-6.7192999999999795E-2</v>
      </c>
      <c r="AH1736">
        <v>0.60933879322663498</v>
      </c>
      <c r="AI1736">
        <v>96.187926190773894</v>
      </c>
      <c r="AJ1736">
        <v>79.488833212823707</v>
      </c>
      <c r="AK1736">
        <v>0.62337033520416696</v>
      </c>
    </row>
    <row r="1737" spans="1:37" x14ac:dyDescent="0.2">
      <c r="A1737" t="str">
        <f>"20200111155827354"</f>
        <v>20200111155827354</v>
      </c>
      <c r="B1737" t="str">
        <f>"1578729507343230"</f>
        <v>1578729507343230</v>
      </c>
      <c r="C1737" t="s">
        <v>37</v>
      </c>
      <c r="D1737">
        <v>6.0600059999999996</v>
      </c>
      <c r="E1737">
        <v>0.55200229999999995</v>
      </c>
      <c r="F1737" t="s">
        <v>38</v>
      </c>
      <c r="G1737">
        <v>-220.2457</v>
      </c>
      <c r="H1737">
        <v>1.036629</v>
      </c>
      <c r="I1737">
        <v>285.31630000000001</v>
      </c>
      <c r="J1737">
        <v>-219.63579999999999</v>
      </c>
      <c r="K1737">
        <v>1.099953</v>
      </c>
      <c r="L1737">
        <v>285.30900000000003</v>
      </c>
      <c r="M1737">
        <v>-0.98621479999999995</v>
      </c>
      <c r="N1737">
        <v>0</v>
      </c>
      <c r="O1737">
        <v>-0.16545739999999901</v>
      </c>
      <c r="P1737">
        <v>-0.98443700000000001</v>
      </c>
      <c r="Q1737">
        <v>-2.29822999999999E-2</v>
      </c>
      <c r="R1737">
        <v>-0.1742283</v>
      </c>
      <c r="S1737">
        <v>-3.0218349999999998</v>
      </c>
      <c r="T1737">
        <v>-0.2176061</v>
      </c>
      <c r="U1737">
        <v>-0.1228943</v>
      </c>
      <c r="V1737">
        <v>-9.0819469999999999E-3</v>
      </c>
      <c r="W1737">
        <v>-2.087433E-2</v>
      </c>
      <c r="X1737">
        <v>0.99974079999999999</v>
      </c>
      <c r="Y1737">
        <v>0.12450070000000001</v>
      </c>
      <c r="Z1737">
        <v>1.6318309999999999E-2</v>
      </c>
      <c r="AA1737">
        <v>0.99208529999999995</v>
      </c>
      <c r="AB1737">
        <v>28</v>
      </c>
      <c r="AC1737">
        <v>-0.60990000000000999</v>
      </c>
      <c r="AD1737">
        <v>-6.3323999999999894E-2</v>
      </c>
      <c r="AE1737">
        <v>7.2999999999865299E-3</v>
      </c>
      <c r="AF1737">
        <v>0.106959207427192</v>
      </c>
      <c r="AG1737">
        <v>-6.3323999999999894E-2</v>
      </c>
      <c r="AH1737">
        <v>0.59388466395499695</v>
      </c>
      <c r="AI1737">
        <v>95.990603989527699</v>
      </c>
      <c r="AJ1737">
        <v>79.790422462740807</v>
      </c>
      <c r="AK1737">
        <v>0.60675299349108502</v>
      </c>
    </row>
    <row r="1738" spans="1:37" x14ac:dyDescent="0.2">
      <c r="A1738" t="str">
        <f>"20200111155827377"</f>
        <v>20200111155827377</v>
      </c>
      <c r="B1738" t="str">
        <f>"1578729507372511"</f>
        <v>1578729507372511</v>
      </c>
      <c r="C1738" t="s">
        <v>37</v>
      </c>
      <c r="D1738">
        <v>6.1011369999999996</v>
      </c>
      <c r="E1738">
        <v>0.55125219999999997</v>
      </c>
      <c r="F1738" t="s">
        <v>38</v>
      </c>
      <c r="G1738">
        <v>-220.5034</v>
      </c>
      <c r="H1738">
        <v>1.044378</v>
      </c>
      <c r="I1738">
        <v>285.2758</v>
      </c>
      <c r="J1738">
        <v>-219.923</v>
      </c>
      <c r="K1738">
        <v>1.0999079999999899</v>
      </c>
      <c r="L1738">
        <v>285.2645</v>
      </c>
      <c r="M1738">
        <v>-0.98681749999999901</v>
      </c>
      <c r="N1738">
        <v>0</v>
      </c>
      <c r="O1738">
        <v>-0.16182650000000001</v>
      </c>
      <c r="P1738">
        <v>-0.98534699999999997</v>
      </c>
      <c r="Q1738">
        <v>-2.0984989999999999E-2</v>
      </c>
      <c r="R1738">
        <v>-0.16926629999999901</v>
      </c>
      <c r="S1738">
        <v>-3.0224299999999999</v>
      </c>
      <c r="T1738">
        <v>-0.19362470000000001</v>
      </c>
      <c r="U1738">
        <v>-0.115722699999999</v>
      </c>
      <c r="V1738">
        <v>-7.7064159999999998E-3</v>
      </c>
      <c r="W1738">
        <v>-1.91027E-2</v>
      </c>
      <c r="X1738">
        <v>0.9997878</v>
      </c>
      <c r="Y1738">
        <v>0.123372</v>
      </c>
      <c r="Z1738">
        <v>1.425655E-2</v>
      </c>
      <c r="AA1738">
        <v>0.99225810000000003</v>
      </c>
      <c r="AB1738">
        <v>28</v>
      </c>
      <c r="AC1738">
        <v>-0.58039999999999703</v>
      </c>
      <c r="AD1738">
        <v>-5.5529999999999802E-2</v>
      </c>
      <c r="AE1738">
        <v>1.1300000000005601E-2</v>
      </c>
      <c r="AF1738">
        <v>0.104122563229883</v>
      </c>
      <c r="AG1738">
        <v>-5.5529999999999802E-2</v>
      </c>
      <c r="AH1738">
        <v>0.56574447073775103</v>
      </c>
      <c r="AI1738">
        <v>95.513823835028205</v>
      </c>
      <c r="AJ1738">
        <v>79.571685654910198</v>
      </c>
      <c r="AK1738">
        <v>0.57792031911319697</v>
      </c>
    </row>
    <row r="1739" spans="1:37" x14ac:dyDescent="0.2">
      <c r="A1739" t="str">
        <f>"20200111155827398"</f>
        <v>20200111155827398</v>
      </c>
      <c r="B1739" t="str">
        <f>"1578729507393007"</f>
        <v>1578729507393007</v>
      </c>
      <c r="C1739" t="s">
        <v>37</v>
      </c>
      <c r="D1739">
        <v>6.0836399999999999</v>
      </c>
      <c r="E1739">
        <v>0.55088709999999996</v>
      </c>
      <c r="F1739" t="s">
        <v>38</v>
      </c>
      <c r="G1739">
        <v>-220.76650000000001</v>
      </c>
      <c r="H1739">
        <v>1.0535729999999901</v>
      </c>
      <c r="I1739">
        <v>285.23500000000001</v>
      </c>
      <c r="J1739">
        <v>-220.21090000000001</v>
      </c>
      <c r="K1739">
        <v>1.0998729999999901</v>
      </c>
      <c r="L1739">
        <v>285.2208</v>
      </c>
      <c r="M1739">
        <v>-0.98739779999999999</v>
      </c>
      <c r="N1739">
        <v>0</v>
      </c>
      <c r="O1739">
        <v>-0.15824939999999901</v>
      </c>
      <c r="P1739">
        <v>-0.98619389999999996</v>
      </c>
      <c r="Q1739">
        <v>-1.863546E-2</v>
      </c>
      <c r="R1739">
        <v>-0.1645431</v>
      </c>
      <c r="S1739">
        <v>-3.0228579999999998</v>
      </c>
      <c r="T1739">
        <v>-0.1661202</v>
      </c>
      <c r="U1739">
        <v>-0.1062317</v>
      </c>
      <c r="V1739">
        <v>-6.5181600000000003E-3</v>
      </c>
      <c r="W1739">
        <v>-1.6960659999999999E-2</v>
      </c>
      <c r="X1739">
        <v>0.99983489999999997</v>
      </c>
      <c r="Y1739">
        <v>0.1230516</v>
      </c>
      <c r="Z1739">
        <v>1.203128E-2</v>
      </c>
      <c r="AA1739">
        <v>0.99232730000000002</v>
      </c>
      <c r="AB1739">
        <v>29</v>
      </c>
      <c r="AC1739">
        <v>-0.55559999999999798</v>
      </c>
      <c r="AD1739">
        <v>-4.6300000000000001E-2</v>
      </c>
      <c r="AE1739">
        <v>1.42000000000166E-2</v>
      </c>
      <c r="AF1739">
        <v>0.101241943533603</v>
      </c>
      <c r="AG1739">
        <v>-4.6300000000000001E-2</v>
      </c>
      <c r="AH1739">
        <v>0.54258631617161202</v>
      </c>
      <c r="AI1739">
        <v>94.794988720794294</v>
      </c>
      <c r="AJ1739">
        <v>79.430643570278406</v>
      </c>
      <c r="AK1739">
        <v>0.55388945794909505</v>
      </c>
    </row>
    <row r="1740" spans="1:37" x14ac:dyDescent="0.2">
      <c r="A1740" t="str">
        <f>"20200111155827422"</f>
        <v>20200111155827422</v>
      </c>
      <c r="B1740" t="str">
        <f>"1578729507412526"</f>
        <v>1578729507412526</v>
      </c>
      <c r="C1740" t="s">
        <v>37</v>
      </c>
      <c r="D1740">
        <v>6.1067559999999999</v>
      </c>
      <c r="E1740">
        <v>0.55063519999999999</v>
      </c>
      <c r="F1740" t="s">
        <v>50</v>
      </c>
      <c r="G1740">
        <v>-242.7337</v>
      </c>
      <c r="H1740" s="1">
        <v>-8.2058679999999905E-8</v>
      </c>
      <c r="I1740">
        <v>284.5179</v>
      </c>
      <c r="J1740">
        <v>-220.5067</v>
      </c>
      <c r="K1740">
        <v>1.0998569999999901</v>
      </c>
      <c r="L1740">
        <v>285.17689999999999</v>
      </c>
      <c r="M1740">
        <v>-0.98796799999999996</v>
      </c>
      <c r="N1740">
        <v>0</v>
      </c>
      <c r="O1740">
        <v>-0.1546515</v>
      </c>
      <c r="P1740">
        <v>-0.98714259999999998</v>
      </c>
      <c r="Q1740">
        <v>-1.6442180000000001E-2</v>
      </c>
      <c r="R1740">
        <v>-0.15899440000000001</v>
      </c>
      <c r="S1740">
        <v>-3.0234529999999999</v>
      </c>
      <c r="T1740">
        <v>-0.14764639999999901</v>
      </c>
      <c r="U1740">
        <v>-9.4360349999999996E-2</v>
      </c>
      <c r="V1740">
        <v>-4.5178129999999999E-3</v>
      </c>
      <c r="W1740">
        <v>-1.496544E-2</v>
      </c>
      <c r="X1740">
        <v>0.99987780000000004</v>
      </c>
      <c r="Y1740">
        <v>0.12342789999999999</v>
      </c>
      <c r="Z1740">
        <v>1.052969E-2</v>
      </c>
      <c r="AA1740">
        <v>0.9922976</v>
      </c>
      <c r="AB1740">
        <v>29</v>
      </c>
      <c r="AC1740">
        <v>-22.227</v>
      </c>
      <c r="AD1740">
        <v>-1.0998570820586799</v>
      </c>
      <c r="AE1740">
        <v>-0.65899999999999104</v>
      </c>
      <c r="AF1740">
        <v>2.7795709963477102</v>
      </c>
      <c r="AG1740">
        <v>-1.0998570820586799</v>
      </c>
      <c r="AH1740">
        <v>22.007663964252998</v>
      </c>
      <c r="AI1740">
        <v>92.8385261228064</v>
      </c>
      <c r="AJ1740">
        <v>82.801649041432398</v>
      </c>
      <c r="AK1740">
        <v>22.209749518807499</v>
      </c>
    </row>
    <row r="1741" spans="1:37" x14ac:dyDescent="0.2">
      <c r="A1741" t="str">
        <f>"20200111155827443"</f>
        <v>20200111155827443</v>
      </c>
      <c r="B1741" t="str">
        <f>"1578729507433022"</f>
        <v>1578729507433022</v>
      </c>
      <c r="C1741" t="s">
        <v>37</v>
      </c>
      <c r="D1741">
        <v>6.1184050000000001</v>
      </c>
      <c r="E1741">
        <v>0.55011969999999899</v>
      </c>
      <c r="F1741" t="s">
        <v>50</v>
      </c>
      <c r="G1741">
        <v>-245.4716</v>
      </c>
      <c r="H1741" s="1">
        <v>1.3749049999999899E-6</v>
      </c>
      <c r="I1741">
        <v>284.52069999999998</v>
      </c>
      <c r="J1741">
        <v>-220.792</v>
      </c>
      <c r="K1741">
        <v>1.099855</v>
      </c>
      <c r="L1741">
        <v>285.13560000000001</v>
      </c>
      <c r="M1741">
        <v>-0.988490599999999</v>
      </c>
      <c r="N1741">
        <v>0</v>
      </c>
      <c r="O1741">
        <v>-0.15127669999999999</v>
      </c>
      <c r="P1741">
        <v>-0.98803560000000001</v>
      </c>
      <c r="Q1741">
        <v>-1.489454E-2</v>
      </c>
      <c r="R1741">
        <v>-0.15350459999999999</v>
      </c>
      <c r="S1741">
        <v>-3.0240480000000001</v>
      </c>
      <c r="T1741">
        <v>-0.13322790000000001</v>
      </c>
      <c r="U1741">
        <v>-7.9498289999999999E-2</v>
      </c>
      <c r="V1741">
        <v>-2.3609029999999902E-3</v>
      </c>
      <c r="W1741">
        <v>-1.3590380000000001E-2</v>
      </c>
      <c r="X1741">
        <v>0.99990489999999999</v>
      </c>
      <c r="Y1741">
        <v>0.1249808</v>
      </c>
      <c r="Z1741">
        <v>9.3889869999999997E-3</v>
      </c>
      <c r="AA1741">
        <v>0.99211469999999902</v>
      </c>
      <c r="AB1741">
        <v>29</v>
      </c>
      <c r="AC1741">
        <v>-24.679599999999901</v>
      </c>
      <c r="AD1741">
        <v>-1.099853625095</v>
      </c>
      <c r="AE1741">
        <v>-0.61490000000003397</v>
      </c>
      <c r="AF1741">
        <v>3.1194366606916</v>
      </c>
      <c r="AG1741">
        <v>-1.099853625095</v>
      </c>
      <c r="AH1741">
        <v>24.4400839014287</v>
      </c>
      <c r="AI1741">
        <v>92.555980698907803</v>
      </c>
      <c r="AJ1741">
        <v>82.726319232436396</v>
      </c>
      <c r="AK1741">
        <v>24.6628924537568</v>
      </c>
    </row>
    <row r="1742" spans="1:37" x14ac:dyDescent="0.2">
      <c r="A1742" t="str">
        <f>"20200111155827466"</f>
        <v>20200111155827466</v>
      </c>
      <c r="B1742" t="str">
        <f>"1578729507463280"</f>
        <v>1578729507463280</v>
      </c>
      <c r="C1742" t="s">
        <v>37</v>
      </c>
      <c r="D1742">
        <v>6.1287199999999897</v>
      </c>
      <c r="E1742">
        <v>0.54936359999999995</v>
      </c>
      <c r="F1742" t="s">
        <v>50</v>
      </c>
      <c r="G1742">
        <v>-245.4366</v>
      </c>
      <c r="H1742" s="1">
        <v>1.35630599999999E-6</v>
      </c>
      <c r="I1742">
        <v>284.5899</v>
      </c>
      <c r="J1742">
        <v>-221.07740000000001</v>
      </c>
      <c r="K1742">
        <v>1.09988</v>
      </c>
      <c r="L1742">
        <v>285.0951</v>
      </c>
      <c r="M1742">
        <v>-0.98898419999999898</v>
      </c>
      <c r="N1742">
        <v>0</v>
      </c>
      <c r="O1742">
        <v>-0.14801819999999999</v>
      </c>
      <c r="P1742">
        <v>-0.9887087</v>
      </c>
      <c r="Q1742">
        <v>-1.4707960000000001E-2</v>
      </c>
      <c r="R1742">
        <v>-0.14912809999999899</v>
      </c>
      <c r="S1742">
        <v>-3.0239259999999999</v>
      </c>
      <c r="T1742">
        <v>-0.1349535</v>
      </c>
      <c r="U1742">
        <v>-6.6955570000000006E-2</v>
      </c>
      <c r="V1742">
        <v>-1.226614E-3</v>
      </c>
      <c r="W1742">
        <v>-1.3550929999999999E-2</v>
      </c>
      <c r="X1742">
        <v>0.9999074</v>
      </c>
      <c r="Y1742">
        <v>0.12581789999999901</v>
      </c>
      <c r="Z1742">
        <v>9.3865570000000002E-3</v>
      </c>
      <c r="AA1742">
        <v>0.99200889999999997</v>
      </c>
      <c r="AB1742">
        <v>29</v>
      </c>
      <c r="AC1742">
        <v>-24.359199999999898</v>
      </c>
      <c r="AD1742">
        <v>-1.099878643694</v>
      </c>
      <c r="AE1742">
        <v>-0.50520000000000198</v>
      </c>
      <c r="AF1742">
        <v>3.0996547651439901</v>
      </c>
      <c r="AG1742">
        <v>-1.099878643694</v>
      </c>
      <c r="AH1742">
        <v>24.1165068314405</v>
      </c>
      <c r="AI1742">
        <v>92.589996524442995</v>
      </c>
      <c r="AJ1742">
        <v>82.676021589166993</v>
      </c>
      <c r="AK1742">
        <v>24.339751322576198</v>
      </c>
    </row>
    <row r="1743" spans="1:37" x14ac:dyDescent="0.2">
      <c r="A1743" t="str">
        <f>"20200111155827489"</f>
        <v>20200111155827489</v>
      </c>
      <c r="B1743" t="str">
        <f>"1578729507482799"</f>
        <v>1578729507482799</v>
      </c>
      <c r="C1743" t="s">
        <v>37</v>
      </c>
      <c r="D1743">
        <v>6.1473519999999997</v>
      </c>
      <c r="E1743">
        <v>0.54877790000000004</v>
      </c>
      <c r="F1743" t="s">
        <v>50</v>
      </c>
      <c r="G1743">
        <v>-244.15729999999999</v>
      </c>
      <c r="H1743" s="1">
        <v>6.7553890000000001E-7</v>
      </c>
      <c r="I1743">
        <v>284.63799999999998</v>
      </c>
      <c r="J1743">
        <v>-221.39840000000001</v>
      </c>
      <c r="K1743">
        <v>1.099934</v>
      </c>
      <c r="L1743">
        <v>285.05059999999997</v>
      </c>
      <c r="M1743">
        <v>-0.98949989999999999</v>
      </c>
      <c r="N1743">
        <v>0</v>
      </c>
      <c r="O1743">
        <v>-0.14452979999999899</v>
      </c>
      <c r="P1743">
        <v>-0.98930390000000001</v>
      </c>
      <c r="Q1743">
        <v>-1.5761049999999999E-2</v>
      </c>
      <c r="R1743">
        <v>-0.14501549999999999</v>
      </c>
      <c r="S1743">
        <v>-3.0230709999999998</v>
      </c>
      <c r="T1743">
        <v>-0.144065</v>
      </c>
      <c r="U1743">
        <v>-5.9875490000000003E-2</v>
      </c>
      <c r="V1743">
        <v>-6.0248180000000004E-4</v>
      </c>
      <c r="W1743">
        <v>-1.474264E-2</v>
      </c>
      <c r="X1743">
        <v>0.99989119999999998</v>
      </c>
      <c r="Y1743">
        <v>0.1246029</v>
      </c>
      <c r="Z1743">
        <v>9.8293979999999996E-3</v>
      </c>
      <c r="AA1743">
        <v>0.99215799999999998</v>
      </c>
      <c r="AB1743">
        <v>30</v>
      </c>
      <c r="AC1743">
        <v>-22.758899999999901</v>
      </c>
      <c r="AD1743">
        <v>-1.0999333244611</v>
      </c>
      <c r="AE1743">
        <v>-0.41259999999999702</v>
      </c>
      <c r="AF1743">
        <v>2.8743615259858699</v>
      </c>
      <c r="AG1743">
        <v>-1.0999333244611</v>
      </c>
      <c r="AH1743">
        <v>22.526973961819198</v>
      </c>
      <c r="AI1743">
        <v>92.772936997405296</v>
      </c>
      <c r="AJ1743">
        <v>82.728554791781505</v>
      </c>
      <c r="AK1743">
        <v>22.736234590996101</v>
      </c>
    </row>
    <row r="1744" spans="1:37" x14ac:dyDescent="0.2">
      <c r="A1744" t="str">
        <f>"20200111155827514"</f>
        <v>20200111155827514</v>
      </c>
      <c r="B1744" t="str">
        <f>"1578729507502319"</f>
        <v>1578729507502319</v>
      </c>
      <c r="C1744" t="s">
        <v>37</v>
      </c>
      <c r="D1744">
        <v>6.4995059999999896</v>
      </c>
      <c r="E1744">
        <v>0.54823369999999905</v>
      </c>
      <c r="F1744" t="s">
        <v>38</v>
      </c>
      <c r="G1744">
        <v>-222.34460000000001</v>
      </c>
      <c r="H1744">
        <v>1.0520830000000001</v>
      </c>
      <c r="I1744">
        <v>285.03440000000001</v>
      </c>
      <c r="J1744">
        <v>-221.7089</v>
      </c>
      <c r="K1744">
        <v>1.0999889999999899</v>
      </c>
      <c r="L1744">
        <v>285.00850000000003</v>
      </c>
      <c r="M1744">
        <v>-0.98996589999999995</v>
      </c>
      <c r="N1744">
        <v>0</v>
      </c>
      <c r="O1744">
        <v>-0.1413034</v>
      </c>
      <c r="P1744">
        <v>-0.98971290000000001</v>
      </c>
      <c r="Q1744">
        <v>-1.6809589999999999E-2</v>
      </c>
      <c r="R1744">
        <v>-0.1420777</v>
      </c>
      <c r="S1744">
        <v>-3.022354</v>
      </c>
      <c r="T1744">
        <v>-0.15292239999999899</v>
      </c>
      <c r="U1744">
        <v>-5.2215579999999998E-2</v>
      </c>
      <c r="V1744">
        <v>-8.9997999999999999E-4</v>
      </c>
      <c r="W1744">
        <v>-1.5900689999999999E-2</v>
      </c>
      <c r="X1744">
        <v>0.99987320000000002</v>
      </c>
      <c r="Y1744">
        <v>0.12384389999999899</v>
      </c>
      <c r="Z1744">
        <v>1.025508E-2</v>
      </c>
      <c r="AA1744">
        <v>0.99224869999999898</v>
      </c>
      <c r="AB1744">
        <v>30</v>
      </c>
      <c r="AC1744">
        <v>-0.63570000000001403</v>
      </c>
      <c r="AD1744">
        <v>-4.7905999999999699E-2</v>
      </c>
      <c r="AE1744">
        <v>2.58999999999787E-2</v>
      </c>
      <c r="AF1744">
        <v>0.114815774671024</v>
      </c>
      <c r="AG1744">
        <v>-4.7905999999999699E-2</v>
      </c>
      <c r="AH1744">
        <v>0.62213455970779996</v>
      </c>
      <c r="AI1744">
        <v>94.330394594896305</v>
      </c>
      <c r="AJ1744">
        <v>79.543638775441295</v>
      </c>
      <c r="AK1744">
        <v>0.63445177699500999</v>
      </c>
    </row>
    <row r="1745" spans="1:37" x14ac:dyDescent="0.2">
      <c r="A1745" t="str">
        <f>"20200111155827534"</f>
        <v>20200111155827534</v>
      </c>
      <c r="B1745" t="str">
        <f>"1578729507522814"</f>
        <v>1578729507522814</v>
      </c>
      <c r="C1745" t="s">
        <v>37</v>
      </c>
      <c r="D1745">
        <v>6.0925659999999997</v>
      </c>
      <c r="E1745">
        <v>0.54772129999999997</v>
      </c>
      <c r="F1745" t="s">
        <v>38</v>
      </c>
      <c r="G1745">
        <v>-222.61320000000001</v>
      </c>
      <c r="H1745">
        <v>1.0534269999999999</v>
      </c>
      <c r="I1745">
        <v>284.99419999999998</v>
      </c>
      <c r="J1745">
        <v>-221.99870000000001</v>
      </c>
      <c r="K1745">
        <v>1.1000529999999999</v>
      </c>
      <c r="L1745">
        <v>284.9699</v>
      </c>
      <c r="M1745">
        <v>-0.99037050000000004</v>
      </c>
      <c r="N1745">
        <v>0</v>
      </c>
      <c r="O1745">
        <v>-0.13844039999999999</v>
      </c>
      <c r="P1745">
        <v>-0.99008359999999995</v>
      </c>
      <c r="Q1745">
        <v>-1.6842320000000001E-2</v>
      </c>
      <c r="R1745">
        <v>-0.139465899999999</v>
      </c>
      <c r="S1745">
        <v>-3.0217290000000001</v>
      </c>
      <c r="T1745">
        <v>-0.15556300000000001</v>
      </c>
      <c r="U1745">
        <v>-4.7424319999999999E-2</v>
      </c>
      <c r="V1745">
        <v>-1.1512389999999901E-3</v>
      </c>
      <c r="W1745">
        <v>-1.601996E-2</v>
      </c>
      <c r="X1745">
        <v>0.99987099999999995</v>
      </c>
      <c r="Y1745">
        <v>0.1225376</v>
      </c>
      <c r="Z1745">
        <v>1.025472E-2</v>
      </c>
      <c r="AA1745">
        <v>0.99241089999999998</v>
      </c>
      <c r="AB1745">
        <v>30</v>
      </c>
      <c r="AC1745">
        <v>-0.61449999999999205</v>
      </c>
      <c r="AD1745">
        <v>-4.6626000000000001E-2</v>
      </c>
      <c r="AE1745">
        <v>2.4299999999982402E-2</v>
      </c>
      <c r="AF1745">
        <v>0.108513895231448</v>
      </c>
      <c r="AG1745">
        <v>-4.6626000000000001E-2</v>
      </c>
      <c r="AH1745">
        <v>0.60175967891622495</v>
      </c>
      <c r="AI1745">
        <v>94.360529796363593</v>
      </c>
      <c r="AJ1745">
        <v>79.777844758651995</v>
      </c>
      <c r="AK1745">
        <v>0.61324054049260301</v>
      </c>
    </row>
    <row r="1746" spans="1:37" x14ac:dyDescent="0.2">
      <c r="A1746" t="str">
        <f>"20200111155827556"</f>
        <v>20200111155827556</v>
      </c>
      <c r="B1746" t="str">
        <f>"1578729507553071"</f>
        <v>1578729507553071</v>
      </c>
      <c r="C1746" t="s">
        <v>37</v>
      </c>
      <c r="D1746">
        <v>6.1353010000000001</v>
      </c>
      <c r="E1746">
        <v>0.54675189999999996</v>
      </c>
      <c r="F1746" t="s">
        <v>38</v>
      </c>
      <c r="G1746">
        <v>-222.88409999999999</v>
      </c>
      <c r="H1746">
        <v>1.054322</v>
      </c>
      <c r="I1746">
        <v>284.9572</v>
      </c>
      <c r="J1746">
        <v>-222.3013</v>
      </c>
      <c r="K1746">
        <v>1.1001399999999999</v>
      </c>
      <c r="L1746">
        <v>284.93040000000002</v>
      </c>
      <c r="M1746">
        <v>-0.99075999999999997</v>
      </c>
      <c r="N1746">
        <v>0</v>
      </c>
      <c r="O1746">
        <v>-0.1356251</v>
      </c>
      <c r="P1746">
        <v>-0.99038119999999996</v>
      </c>
      <c r="Q1746">
        <v>-1.656639E-2</v>
      </c>
      <c r="R1746">
        <v>-0.13737089999999999</v>
      </c>
      <c r="S1746">
        <v>-3.021271</v>
      </c>
      <c r="T1746">
        <v>-0.15604960000000001</v>
      </c>
      <c r="U1746">
        <v>-4.3518069999999999E-2</v>
      </c>
      <c r="V1746">
        <v>-1.8721289999999999E-3</v>
      </c>
      <c r="W1746">
        <v>-1.5817520000000002E-2</v>
      </c>
      <c r="X1746">
        <v>0.99987320000000002</v>
      </c>
      <c r="Y1746">
        <v>0.12100080000000001</v>
      </c>
      <c r="Z1746">
        <v>1.0104709999999999E-2</v>
      </c>
      <c r="AA1746">
        <v>0.99260099999999996</v>
      </c>
      <c r="AB1746">
        <v>30</v>
      </c>
      <c r="AC1746">
        <v>-0.58279999999999099</v>
      </c>
      <c r="AD1746">
        <v>-4.58179999999999E-2</v>
      </c>
      <c r="AE1746">
        <v>2.67999999999801E-2</v>
      </c>
      <c r="AF1746">
        <v>0.104947427165146</v>
      </c>
      <c r="AG1746">
        <v>-4.58179999999999E-2</v>
      </c>
      <c r="AH1746">
        <v>0.57026315416260198</v>
      </c>
      <c r="AI1746">
        <v>94.518032847101793</v>
      </c>
      <c r="AJ1746">
        <v>79.572344360204994</v>
      </c>
      <c r="AK1746">
        <v>0.58164707219074296</v>
      </c>
    </row>
    <row r="1747" spans="1:37" x14ac:dyDescent="0.2">
      <c r="A1747" t="str">
        <f>"20200111155827579"</f>
        <v>20200111155827579</v>
      </c>
      <c r="B1747" t="str">
        <f>"1578729507572591"</f>
        <v>1578729507572591</v>
      </c>
      <c r="C1747" t="s">
        <v>37</v>
      </c>
      <c r="D1747">
        <v>6.0783779999999998</v>
      </c>
      <c r="E1747">
        <v>0.54614839999999998</v>
      </c>
      <c r="F1747" t="s">
        <v>38</v>
      </c>
      <c r="G1747">
        <v>-223.15520000000001</v>
      </c>
      <c r="H1747">
        <v>1.0541929999999999</v>
      </c>
      <c r="I1747">
        <v>284.9178</v>
      </c>
      <c r="J1747">
        <v>-222.61189999999999</v>
      </c>
      <c r="K1747">
        <v>1.10025</v>
      </c>
      <c r="L1747">
        <v>284.8904</v>
      </c>
      <c r="M1747">
        <v>-0.99112369999999905</v>
      </c>
      <c r="N1747">
        <v>0</v>
      </c>
      <c r="O1747">
        <v>-0.13294139999999999</v>
      </c>
      <c r="P1747">
        <v>-0.99062709999999998</v>
      </c>
      <c r="Q1747">
        <v>-1.6238659999999999E-2</v>
      </c>
      <c r="R1747">
        <v>-0.13562569999999999</v>
      </c>
      <c r="S1747">
        <v>-3.020187</v>
      </c>
      <c r="T1747">
        <v>-0.16252179999999999</v>
      </c>
      <c r="U1747">
        <v>-4.4982910000000001E-2</v>
      </c>
      <c r="V1747">
        <v>-2.81139E-3</v>
      </c>
      <c r="W1747">
        <v>-1.555133E-2</v>
      </c>
      <c r="X1747">
        <v>0.99987510000000002</v>
      </c>
      <c r="Y1747">
        <v>0.1178048</v>
      </c>
      <c r="Z1747">
        <v>1.029773E-2</v>
      </c>
      <c r="AA1747">
        <v>0.99298339999999996</v>
      </c>
      <c r="AB1747">
        <v>30</v>
      </c>
      <c r="AC1747">
        <v>-0.54330000000001599</v>
      </c>
      <c r="AD1747">
        <v>-4.6057000000000001E-2</v>
      </c>
      <c r="AE1747">
        <v>2.7400000000000001E-2</v>
      </c>
      <c r="AF1747">
        <v>9.8676540804196605E-2</v>
      </c>
      <c r="AG1747">
        <v>-4.6057000000000001E-2</v>
      </c>
      <c r="AH1747">
        <v>0.53102851158028996</v>
      </c>
      <c r="AI1747">
        <v>94.873933958958105</v>
      </c>
      <c r="AJ1747">
        <v>79.473274942314205</v>
      </c>
      <c r="AK1747">
        <v>0.54207894910728605</v>
      </c>
    </row>
    <row r="1748" spans="1:37" x14ac:dyDescent="0.2">
      <c r="A1748" t="str">
        <f>"20200111155827601"</f>
        <v>20200111155827601</v>
      </c>
      <c r="B1748" t="str">
        <f>"1578729507593088"</f>
        <v>1578729507593088</v>
      </c>
      <c r="C1748" t="s">
        <v>37</v>
      </c>
      <c r="D1748">
        <v>6.0446049999999998</v>
      </c>
      <c r="E1748">
        <v>0.54551119999999897</v>
      </c>
      <c r="F1748" t="s">
        <v>38</v>
      </c>
      <c r="G1748">
        <v>-223.42920000000001</v>
      </c>
      <c r="H1748">
        <v>1.0552029999999999</v>
      </c>
      <c r="I1748">
        <v>284.87860000000001</v>
      </c>
      <c r="J1748">
        <v>-222.92089999999999</v>
      </c>
      <c r="K1748">
        <v>1.1003689999999999</v>
      </c>
      <c r="L1748">
        <v>284.85140000000001</v>
      </c>
      <c r="M1748">
        <v>-0.99144940000000004</v>
      </c>
      <c r="N1748">
        <v>0</v>
      </c>
      <c r="O1748">
        <v>-0.130492</v>
      </c>
      <c r="P1748">
        <v>-0.99088679999999996</v>
      </c>
      <c r="Q1748">
        <v>-1.6599249999999999E-2</v>
      </c>
      <c r="R1748">
        <v>-0.1336735</v>
      </c>
      <c r="S1748">
        <v>-3.019577</v>
      </c>
      <c r="T1748">
        <v>-0.16653090000000001</v>
      </c>
      <c r="U1748">
        <v>-4.4372559999999998E-2</v>
      </c>
      <c r="V1748">
        <v>-3.3100779999999902E-3</v>
      </c>
      <c r="W1748">
        <v>-1.596434E-2</v>
      </c>
      <c r="X1748">
        <v>0.99986710000000001</v>
      </c>
      <c r="Y1748">
        <v>0.1155374</v>
      </c>
      <c r="Z1748">
        <v>1.035704E-2</v>
      </c>
      <c r="AA1748">
        <v>0.9932491</v>
      </c>
      <c r="AB1748">
        <v>31</v>
      </c>
      <c r="AC1748">
        <v>-0.50830000000001896</v>
      </c>
      <c r="AD1748">
        <v>-4.5165999999999998E-2</v>
      </c>
      <c r="AE1748">
        <v>2.71999999999934E-2</v>
      </c>
      <c r="AF1748">
        <v>9.2567716540772796E-2</v>
      </c>
      <c r="AG1748">
        <v>-4.5165999999999998E-2</v>
      </c>
      <c r="AH1748">
        <v>0.496495411851202</v>
      </c>
      <c r="AI1748">
        <v>95.110287078884298</v>
      </c>
      <c r="AJ1748">
        <v>79.438902839023399</v>
      </c>
      <c r="AK1748">
        <v>0.50706650815338605</v>
      </c>
    </row>
    <row r="1749" spans="1:37" x14ac:dyDescent="0.2">
      <c r="A1749" t="str">
        <f>"20200111155827623"</f>
        <v>20200111155827623</v>
      </c>
      <c r="B1749" t="str">
        <f>"1578729507612606"</f>
        <v>1578729507612606</v>
      </c>
      <c r="C1749" t="s">
        <v>37</v>
      </c>
      <c r="D1749">
        <v>6.0237040000000004</v>
      </c>
      <c r="E1749">
        <v>0.54504819999999998</v>
      </c>
      <c r="F1749" t="s">
        <v>38</v>
      </c>
      <c r="G1749">
        <v>-223.7047</v>
      </c>
      <c r="H1749">
        <v>1.0557289999999999</v>
      </c>
      <c r="I1749">
        <v>284.84010000000001</v>
      </c>
      <c r="J1749">
        <v>-223.2216</v>
      </c>
      <c r="K1749">
        <v>1.100501</v>
      </c>
      <c r="L1749">
        <v>284.81389999999999</v>
      </c>
      <c r="M1749">
        <v>-0.99173129999999998</v>
      </c>
      <c r="N1749">
        <v>0</v>
      </c>
      <c r="O1749">
        <v>-0.12833149999999999</v>
      </c>
      <c r="P1749">
        <v>-0.99129650000000002</v>
      </c>
      <c r="Q1749">
        <v>-1.745851E-2</v>
      </c>
      <c r="R1749">
        <v>-0.1304872</v>
      </c>
      <c r="S1749">
        <v>-3.0188139999999999</v>
      </c>
      <c r="T1749">
        <v>-0.17199999999999999</v>
      </c>
      <c r="U1749">
        <v>-4.3670649999999998E-2</v>
      </c>
      <c r="V1749">
        <v>-2.2744889999999898E-3</v>
      </c>
      <c r="W1749">
        <v>-1.6871859999999999E-2</v>
      </c>
      <c r="X1749">
        <v>0.9998551</v>
      </c>
      <c r="Y1749">
        <v>0.1135818</v>
      </c>
      <c r="Z1749">
        <v>1.0521569999999999E-2</v>
      </c>
      <c r="AA1749">
        <v>0.99347289999999899</v>
      </c>
      <c r="AB1749">
        <v>31</v>
      </c>
      <c r="AC1749">
        <v>-0.48310000000000702</v>
      </c>
      <c r="AD1749">
        <v>-4.4771999999999798E-2</v>
      </c>
      <c r="AE1749">
        <v>2.6200000000017099E-2</v>
      </c>
      <c r="AF1749">
        <v>8.7233267169345902E-2</v>
      </c>
      <c r="AG1749">
        <v>-4.4771999999999798E-2</v>
      </c>
      <c r="AH1749">
        <v>0.471703572382418</v>
      </c>
      <c r="AI1749">
        <v>95.332137996286903</v>
      </c>
      <c r="AJ1749">
        <v>79.522527692943299</v>
      </c>
      <c r="AK1749">
        <v>0.48178671119425198</v>
      </c>
    </row>
    <row r="1750" spans="1:37" x14ac:dyDescent="0.2">
      <c r="A1750" t="str">
        <f>"20200111155827644"</f>
        <v>20200111155827644</v>
      </c>
      <c r="B1750" t="str">
        <f>"1578729507633103"</f>
        <v>1578729507633103</v>
      </c>
      <c r="C1750" t="s">
        <v>37</v>
      </c>
      <c r="D1750">
        <v>5.9738429999999996</v>
      </c>
      <c r="E1750">
        <v>0.54446930000000004</v>
      </c>
      <c r="F1750" t="s">
        <v>38</v>
      </c>
      <c r="G1750">
        <v>-223.98330000000001</v>
      </c>
      <c r="H1750">
        <v>1.0570200000000001</v>
      </c>
      <c r="I1750">
        <v>284.80450000000002</v>
      </c>
      <c r="J1750">
        <v>-223.51859999999999</v>
      </c>
      <c r="K1750">
        <v>1.1006400000000001</v>
      </c>
      <c r="L1750">
        <v>284.7774</v>
      </c>
      <c r="M1750">
        <v>-0.99197690000000005</v>
      </c>
      <c r="N1750">
        <v>0</v>
      </c>
      <c r="O1750">
        <v>-0.12641820000000001</v>
      </c>
      <c r="P1750">
        <v>-0.99170270000000005</v>
      </c>
      <c r="Q1750">
        <v>-1.9087449999999999E-2</v>
      </c>
      <c r="R1750">
        <v>-0.12712709999999999</v>
      </c>
      <c r="S1750">
        <v>-3.0182950000000002</v>
      </c>
      <c r="T1750">
        <v>-0.172515</v>
      </c>
      <c r="U1750">
        <v>-3.805542E-2</v>
      </c>
      <c r="V1750">
        <v>-8.2032090000000002E-4</v>
      </c>
      <c r="W1750">
        <v>-1.8540399999999999E-2</v>
      </c>
      <c r="X1750">
        <v>0.99982780000000004</v>
      </c>
      <c r="Y1750">
        <v>0.1135116</v>
      </c>
      <c r="Z1750">
        <v>1.044464E-2</v>
      </c>
      <c r="AA1750">
        <v>0.99348179999999997</v>
      </c>
      <c r="AB1750">
        <v>31</v>
      </c>
      <c r="AC1750">
        <v>-0.46470000000002099</v>
      </c>
      <c r="AD1750">
        <v>-4.3619999999999902E-2</v>
      </c>
      <c r="AE1750">
        <v>2.7100000000018502E-2</v>
      </c>
      <c r="AF1750">
        <v>8.4883745955708204E-2</v>
      </c>
      <c r="AG1750">
        <v>-4.3619999999999902E-2</v>
      </c>
      <c r="AH1750">
        <v>0.45356298812486501</v>
      </c>
      <c r="AI1750">
        <v>95.4001608407807</v>
      </c>
      <c r="AJ1750">
        <v>79.399787646079503</v>
      </c>
      <c r="AK1750">
        <v>0.46349470215335797</v>
      </c>
    </row>
    <row r="1751" spans="1:37" x14ac:dyDescent="0.2">
      <c r="A1751" t="str">
        <f>"20200111155827667"</f>
        <v>20200111155827667</v>
      </c>
      <c r="B1751" t="str">
        <f>"1578729507662382"</f>
        <v>1578729507662382</v>
      </c>
      <c r="C1751" t="s">
        <v>37</v>
      </c>
      <c r="D1751">
        <v>5.9757619999999996</v>
      </c>
      <c r="E1751">
        <v>0.54370680000000005</v>
      </c>
      <c r="F1751" t="s">
        <v>38</v>
      </c>
      <c r="G1751">
        <v>-224.2627</v>
      </c>
      <c r="H1751">
        <v>1.0571809999999999</v>
      </c>
      <c r="I1751">
        <v>284.76940000000002</v>
      </c>
      <c r="J1751">
        <v>-223.8338</v>
      </c>
      <c r="K1751">
        <v>1.1007819999999999</v>
      </c>
      <c r="L1751">
        <v>284.73899999999998</v>
      </c>
      <c r="M1751">
        <v>-0.99220379999999997</v>
      </c>
      <c r="N1751">
        <v>0</v>
      </c>
      <c r="O1751">
        <v>-0.1246255</v>
      </c>
      <c r="P1751">
        <v>-0.99220390000000003</v>
      </c>
      <c r="Q1751">
        <v>-2.0175439999999999E-2</v>
      </c>
      <c r="R1751">
        <v>-0.1229841</v>
      </c>
      <c r="S1751">
        <v>-3.0175480000000001</v>
      </c>
      <c r="T1751">
        <v>-0.17621779999999901</v>
      </c>
      <c r="U1751">
        <v>-3.2409670000000002E-2</v>
      </c>
      <c r="V1751">
        <v>1.549096E-3</v>
      </c>
      <c r="W1751">
        <v>-1.966329E-2</v>
      </c>
      <c r="X1751">
        <v>0.99980550000000001</v>
      </c>
      <c r="Y1751">
        <v>0.11355750000000001</v>
      </c>
      <c r="Z1751">
        <v>1.056881E-2</v>
      </c>
      <c r="AA1751">
        <v>0.9934752</v>
      </c>
      <c r="AB1751">
        <v>31</v>
      </c>
      <c r="AC1751">
        <v>-0.42889999999999801</v>
      </c>
      <c r="AD1751">
        <v>-4.3601000000000001E-2</v>
      </c>
      <c r="AE1751">
        <v>3.03999999999859E-2</v>
      </c>
      <c r="AF1751">
        <v>8.2763846341636402E-2</v>
      </c>
      <c r="AG1751">
        <v>-4.3601000000000001E-2</v>
      </c>
      <c r="AH1751">
        <v>0.41747487452715298</v>
      </c>
      <c r="AI1751">
        <v>95.849318589462797</v>
      </c>
      <c r="AJ1751">
        <v>78.786583363076105</v>
      </c>
      <c r="AK1751">
        <v>0.42782726926146802</v>
      </c>
    </row>
    <row r="1752" spans="1:37" x14ac:dyDescent="0.2">
      <c r="A1752" t="str">
        <f>"20200111155827701"</f>
        <v>20200111155827701</v>
      </c>
      <c r="B1752" t="str">
        <f>"1578729507692639"</f>
        <v>1578729507692639</v>
      </c>
      <c r="C1752" t="s">
        <v>37</v>
      </c>
      <c r="D1752">
        <v>5.970485</v>
      </c>
      <c r="E1752">
        <v>0.54294240000000005</v>
      </c>
      <c r="F1752" t="s">
        <v>38</v>
      </c>
      <c r="G1752">
        <v>-224.82140000000001</v>
      </c>
      <c r="H1752">
        <v>1.0433509999999999</v>
      </c>
      <c r="I1752">
        <v>284.73079999999999</v>
      </c>
      <c r="J1752">
        <v>-224.3203</v>
      </c>
      <c r="K1752">
        <v>1.1009819999999999</v>
      </c>
      <c r="L1752">
        <v>284.68049999999999</v>
      </c>
      <c r="M1752">
        <v>-0.99250070000000001</v>
      </c>
      <c r="N1752">
        <v>0</v>
      </c>
      <c r="O1752">
        <v>-0.1222394</v>
      </c>
      <c r="P1752">
        <v>-0.99279329999999999</v>
      </c>
      <c r="Q1752">
        <v>-2.1647570000000001E-2</v>
      </c>
      <c r="R1752">
        <v>-0.11787069999999999</v>
      </c>
      <c r="S1752">
        <v>-3.016785</v>
      </c>
      <c r="T1752">
        <v>-0.1755254</v>
      </c>
      <c r="U1752">
        <v>-2.5878910000000001E-2</v>
      </c>
      <c r="V1752">
        <v>4.2972619999999996E-3</v>
      </c>
      <c r="W1752">
        <v>-2.1166819999999999E-2</v>
      </c>
      <c r="X1752">
        <v>0.99976669999999901</v>
      </c>
      <c r="Y1752">
        <v>0.1133238</v>
      </c>
      <c r="Z1752">
        <v>1.0385699999999999E-2</v>
      </c>
      <c r="AA1752">
        <v>0.99350380000000005</v>
      </c>
      <c r="AB1752">
        <v>32</v>
      </c>
      <c r="AC1752">
        <v>-0.50110000000000798</v>
      </c>
      <c r="AD1752">
        <v>-5.7630999999999898E-2</v>
      </c>
      <c r="AE1752">
        <v>5.0299999999992899E-2</v>
      </c>
      <c r="AF1752">
        <v>0.109739885506959</v>
      </c>
      <c r="AG1752">
        <v>-5.7630999999999898E-2</v>
      </c>
      <c r="AH1752">
        <v>0.484844337337627</v>
      </c>
      <c r="AI1752">
        <v>96.612918032951697</v>
      </c>
      <c r="AJ1752">
        <v>77.246536154554505</v>
      </c>
      <c r="AK1752">
        <v>0.50043801422398304</v>
      </c>
    </row>
    <row r="1753" spans="1:37" x14ac:dyDescent="0.2">
      <c r="A1753" t="str">
        <f>"20200111155827723"</f>
        <v>20200111155827723</v>
      </c>
      <c r="B1753" t="str">
        <f>"1578729507712918"</f>
        <v>1578729507712918</v>
      </c>
      <c r="C1753" t="s">
        <v>37</v>
      </c>
      <c r="D1753">
        <v>6.6247369999999997</v>
      </c>
      <c r="E1753">
        <v>0.5426299</v>
      </c>
      <c r="F1753" t="s">
        <v>38</v>
      </c>
      <c r="G1753">
        <v>-225.1097</v>
      </c>
      <c r="H1753">
        <v>1.0535060000000001</v>
      </c>
      <c r="I1753">
        <v>284.6764</v>
      </c>
      <c r="J1753">
        <v>-224.63820000000001</v>
      </c>
      <c r="K1753">
        <v>1.101078</v>
      </c>
      <c r="L1753">
        <v>284.64269999999999</v>
      </c>
      <c r="M1753">
        <v>-0.99267019999999995</v>
      </c>
      <c r="N1753">
        <v>0</v>
      </c>
      <c r="O1753">
        <v>-0.120854</v>
      </c>
      <c r="P1753">
        <v>-0.99305829999999995</v>
      </c>
      <c r="Q1753">
        <v>-2.3044470000000001E-2</v>
      </c>
      <c r="R1753">
        <v>-0.115346399999999</v>
      </c>
      <c r="S1753">
        <v>-3.0159150000000001</v>
      </c>
      <c r="T1753">
        <v>-0.18148989999999901</v>
      </c>
      <c r="U1753">
        <v>-1.6052250000000001E-2</v>
      </c>
      <c r="V1753">
        <v>5.4406929999999999E-3</v>
      </c>
      <c r="W1753">
        <v>-2.257238E-2</v>
      </c>
      <c r="X1753">
        <v>0.99973040000000002</v>
      </c>
      <c r="Y1753">
        <v>0.1151428</v>
      </c>
      <c r="Z1753">
        <v>1.0713439999999999E-2</v>
      </c>
      <c r="AA1753">
        <v>0.99329120000000004</v>
      </c>
      <c r="AB1753">
        <v>32</v>
      </c>
      <c r="AC1753">
        <v>-0.47149999999999098</v>
      </c>
      <c r="AD1753">
        <v>-4.7571999999999899E-2</v>
      </c>
      <c r="AE1753">
        <v>3.3700000000010201E-2</v>
      </c>
      <c r="AF1753">
        <v>8.9528900598450006E-2</v>
      </c>
      <c r="AG1753">
        <v>-4.7571999999999899E-2</v>
      </c>
      <c r="AH1753">
        <v>0.45931924731599499</v>
      </c>
      <c r="AI1753">
        <v>95.804608354871704</v>
      </c>
      <c r="AJ1753">
        <v>78.970399948015498</v>
      </c>
      <c r="AK1753">
        <v>0.47037505267743401</v>
      </c>
    </row>
    <row r="1754" spans="1:37" x14ac:dyDescent="0.2">
      <c r="A1754" t="str">
        <f>"20200111155827746"</f>
        <v>20200111155827746</v>
      </c>
      <c r="B1754" t="str">
        <f>"1578729507743174"</f>
        <v>1578729507743174</v>
      </c>
      <c r="C1754" t="s">
        <v>37</v>
      </c>
      <c r="D1754">
        <v>5.7245809999999997</v>
      </c>
      <c r="E1754">
        <v>0.54064579999999995</v>
      </c>
      <c r="F1754" t="s">
        <v>38</v>
      </c>
      <c r="G1754">
        <v>-225.3963</v>
      </c>
      <c r="H1754">
        <v>1.0544199999999999</v>
      </c>
      <c r="I1754">
        <v>284.63990000000001</v>
      </c>
      <c r="J1754">
        <v>-224.95259999999999</v>
      </c>
      <c r="K1754">
        <v>1.101143</v>
      </c>
      <c r="L1754">
        <v>284.60559999999998</v>
      </c>
      <c r="M1754">
        <v>-0.99282429999999999</v>
      </c>
      <c r="N1754">
        <v>0</v>
      </c>
      <c r="O1754">
        <v>-0.1195826</v>
      </c>
      <c r="P1754">
        <v>-0.99300840000000001</v>
      </c>
      <c r="Q1754">
        <v>-2.389204E-2</v>
      </c>
      <c r="R1754">
        <v>-0.1156026</v>
      </c>
      <c r="S1754">
        <v>-3.0153810000000001</v>
      </c>
      <c r="T1754">
        <v>-0.18562899999999999</v>
      </c>
      <c r="U1754">
        <v>-1.0864260000000001E-2</v>
      </c>
      <c r="V1754">
        <v>3.9015579999999998E-3</v>
      </c>
      <c r="W1754">
        <v>-2.34142E-2</v>
      </c>
      <c r="X1754">
        <v>0.999718199999999</v>
      </c>
      <c r="Y1754">
        <v>0.1155605</v>
      </c>
      <c r="Z1754">
        <v>1.0894569999999999E-2</v>
      </c>
      <c r="AA1754">
        <v>0.99324069999999998</v>
      </c>
      <c r="AB1754">
        <v>32</v>
      </c>
      <c r="AC1754">
        <v>-0.44370000000000598</v>
      </c>
      <c r="AD1754">
        <v>-4.6722999999999799E-2</v>
      </c>
      <c r="AE1754">
        <v>3.4300000000030098E-2</v>
      </c>
      <c r="AF1754">
        <v>8.6162906101993897E-2</v>
      </c>
      <c r="AG1754">
        <v>-4.6722999999999799E-2</v>
      </c>
      <c r="AH1754">
        <v>0.43165634444038098</v>
      </c>
      <c r="AI1754">
        <v>96.059097095038894</v>
      </c>
      <c r="AJ1754">
        <v>78.711557199851796</v>
      </c>
      <c r="AK1754">
        <v>0.44264464846259399</v>
      </c>
    </row>
    <row r="1755" spans="1:37" x14ac:dyDescent="0.2">
      <c r="A1755" t="str">
        <f>"20200111155827768"</f>
        <v>20200111155827768</v>
      </c>
      <c r="B1755" t="str">
        <f>"1578729507762694"</f>
        <v>1578729507762694</v>
      </c>
      <c r="C1755" t="s">
        <v>37</v>
      </c>
      <c r="D1755">
        <v>6.2403339999999998</v>
      </c>
      <c r="E1755">
        <v>0.53983530000000002</v>
      </c>
      <c r="F1755" t="s">
        <v>38</v>
      </c>
      <c r="G1755">
        <v>-225.96799999999999</v>
      </c>
      <c r="H1755">
        <v>1.038648</v>
      </c>
      <c r="I1755">
        <v>284.59649999999999</v>
      </c>
      <c r="J1755">
        <v>-225.28059999999999</v>
      </c>
      <c r="K1755">
        <v>1.101183</v>
      </c>
      <c r="L1755">
        <v>284.56729999999999</v>
      </c>
      <c r="M1755">
        <v>-0.99297619999999898</v>
      </c>
      <c r="N1755">
        <v>0</v>
      </c>
      <c r="O1755">
        <v>-0.118313899999999</v>
      </c>
      <c r="P1755">
        <v>-0.99284619999999901</v>
      </c>
      <c r="Q1755">
        <v>-2.3895300000000001E-2</v>
      </c>
      <c r="R1755">
        <v>-0.1169863</v>
      </c>
      <c r="S1755">
        <v>-3.0135190000000001</v>
      </c>
      <c r="T1755">
        <v>-0.18547420000000001</v>
      </c>
      <c r="U1755">
        <v>-2.6916499999999999E-2</v>
      </c>
      <c r="V1755">
        <v>1.234001E-3</v>
      </c>
      <c r="W1755">
        <v>-2.3403340000000002E-2</v>
      </c>
      <c r="X1755">
        <v>0.99972530000000004</v>
      </c>
      <c r="Y1755">
        <v>0.1090111</v>
      </c>
      <c r="Z1755">
        <v>1.061253E-2</v>
      </c>
      <c r="AA1755">
        <v>0.99398390000000003</v>
      </c>
      <c r="AB1755">
        <v>32</v>
      </c>
      <c r="AC1755">
        <v>-0.68739999999999601</v>
      </c>
      <c r="AD1755">
        <v>-6.2534999999999993E-2</v>
      </c>
      <c r="AE1755">
        <v>2.9200000000003001E-2</v>
      </c>
      <c r="AF1755">
        <v>0.10941994228098301</v>
      </c>
      <c r="AG1755">
        <v>-6.2534999999999993E-2</v>
      </c>
      <c r="AH1755">
        <v>0.67355273496964996</v>
      </c>
      <c r="AI1755">
        <v>95.236082364719906</v>
      </c>
      <c r="AJ1755">
        <v>80.772797083787296</v>
      </c>
      <c r="AK1755">
        <v>0.68524202788421396</v>
      </c>
    </row>
    <row r="1756" spans="1:37" x14ac:dyDescent="0.2">
      <c r="A1756" t="str">
        <f>"20200111155827790"</f>
        <v>20200111155827790</v>
      </c>
      <c r="B1756" t="str">
        <f>"1578729507783191"</f>
        <v>1578729507783191</v>
      </c>
      <c r="C1756" t="s">
        <v>37</v>
      </c>
      <c r="D1756">
        <v>5.669759</v>
      </c>
      <c r="E1756">
        <v>0.53912349999999998</v>
      </c>
      <c r="F1756" t="s">
        <v>38</v>
      </c>
      <c r="G1756">
        <v>-226.25970000000001</v>
      </c>
      <c r="H1756">
        <v>1.041174</v>
      </c>
      <c r="I1756">
        <v>284.55529999999999</v>
      </c>
      <c r="J1756">
        <v>-225.62200000000001</v>
      </c>
      <c r="K1756">
        <v>1.101208</v>
      </c>
      <c r="L1756">
        <v>284.52780000000001</v>
      </c>
      <c r="M1756">
        <v>-0.99312999999999996</v>
      </c>
      <c r="N1756">
        <v>0</v>
      </c>
      <c r="O1756">
        <v>-0.1170163</v>
      </c>
      <c r="P1756">
        <v>-0.99262459999999997</v>
      </c>
      <c r="Q1756">
        <v>-2.4127039999999999E-2</v>
      </c>
      <c r="R1756">
        <v>-0.11880499999999999</v>
      </c>
      <c r="S1756">
        <v>-3.012756</v>
      </c>
      <c r="T1756">
        <v>-0.184752</v>
      </c>
      <c r="U1756">
        <v>-3.7414549999999998E-2</v>
      </c>
      <c r="V1756">
        <v>-1.903304E-3</v>
      </c>
      <c r="W1756">
        <v>-2.3614960000000001E-2</v>
      </c>
      <c r="X1756">
        <v>0.99971929999999998</v>
      </c>
      <c r="Y1756">
        <v>0.10426009999999999</v>
      </c>
      <c r="Z1756">
        <v>1.03488E-2</v>
      </c>
      <c r="AA1756">
        <v>0.99449619999999905</v>
      </c>
      <c r="AB1756">
        <v>33</v>
      </c>
      <c r="AC1756">
        <v>-0.63769999999999505</v>
      </c>
      <c r="AD1756">
        <v>-6.00339999999999E-2</v>
      </c>
      <c r="AE1756">
        <v>2.7499999999974899E-2</v>
      </c>
      <c r="AF1756">
        <v>0.10103856551225</v>
      </c>
      <c r="AG1756">
        <v>-6.00339999999999E-2</v>
      </c>
      <c r="AH1756">
        <v>0.62457594975645603</v>
      </c>
      <c r="AI1756">
        <v>95.420341942329401</v>
      </c>
      <c r="AJ1756">
        <v>80.810786608682207</v>
      </c>
      <c r="AK1756">
        <v>0.63553755977987103</v>
      </c>
    </row>
    <row r="1757" spans="1:37" x14ac:dyDescent="0.2">
      <c r="A1757" t="str">
        <f>"20200111155827813"</f>
        <v>20200111155827813</v>
      </c>
      <c r="B1757" t="str">
        <f>"1578729507802354"</f>
        <v>1578729507802354</v>
      </c>
      <c r="C1757" t="s">
        <v>37</v>
      </c>
      <c r="D1757">
        <v>5.6271599999999999</v>
      </c>
      <c r="E1757">
        <v>0.53845299999999996</v>
      </c>
      <c r="F1757" t="s">
        <v>38</v>
      </c>
      <c r="G1757">
        <v>-226.5532</v>
      </c>
      <c r="H1757">
        <v>1.0440940000000001</v>
      </c>
      <c r="I1757">
        <v>284.51280000000003</v>
      </c>
      <c r="J1757">
        <v>-225.9359</v>
      </c>
      <c r="K1757">
        <v>1.10121</v>
      </c>
      <c r="L1757">
        <v>284.49200000000002</v>
      </c>
      <c r="M1757">
        <v>-0.99327149999999997</v>
      </c>
      <c r="N1757">
        <v>0</v>
      </c>
      <c r="O1757">
        <v>-0.115809</v>
      </c>
      <c r="P1757">
        <v>-0.99253670000000005</v>
      </c>
      <c r="Q1757">
        <v>-2.4040039999999999E-2</v>
      </c>
      <c r="R1757">
        <v>-0.119552399999999</v>
      </c>
      <c r="S1757">
        <v>-3.0119479999999998</v>
      </c>
      <c r="T1757">
        <v>-0.1847405</v>
      </c>
      <c r="U1757">
        <v>-4.8858640000000002E-2</v>
      </c>
      <c r="V1757">
        <v>-3.8711399999999999E-3</v>
      </c>
      <c r="W1757">
        <v>-2.350818E-2</v>
      </c>
      <c r="X1757">
        <v>0.99971620000000005</v>
      </c>
      <c r="Y1757">
        <v>9.9280289999999993E-2</v>
      </c>
      <c r="Z1757">
        <v>1.012413E-2</v>
      </c>
      <c r="AA1757">
        <v>0.995008</v>
      </c>
      <c r="AB1757">
        <v>33</v>
      </c>
      <c r="AC1757">
        <v>-0.61729999999999996</v>
      </c>
      <c r="AD1757">
        <v>-5.7115999999999903E-2</v>
      </c>
      <c r="AE1757">
        <v>2.0800000000008301E-2</v>
      </c>
      <c r="AF1757">
        <v>9.13676344460609E-2</v>
      </c>
      <c r="AG1757">
        <v>-5.7115999999999903E-2</v>
      </c>
      <c r="AH1757">
        <v>0.605559373727248</v>
      </c>
      <c r="AI1757">
        <v>95.328209023157996</v>
      </c>
      <c r="AJ1757">
        <v>81.419852622689206</v>
      </c>
      <c r="AK1757">
        <v>0.61507108303772995</v>
      </c>
    </row>
    <row r="1758" spans="1:37" x14ac:dyDescent="0.2">
      <c r="A1758" t="str">
        <f>"20200111155827834"</f>
        <v>20200111155827834</v>
      </c>
      <c r="B1758" t="str">
        <f>"1578729507822850"</f>
        <v>1578729507822850</v>
      </c>
      <c r="C1758" t="s">
        <v>37</v>
      </c>
      <c r="D1758">
        <v>6.5438489999999998</v>
      </c>
      <c r="E1758">
        <v>0.53779390000000005</v>
      </c>
      <c r="F1758" t="s">
        <v>38</v>
      </c>
      <c r="G1758">
        <v>-226.84799999999899</v>
      </c>
      <c r="H1758">
        <v>1.0446930000000001</v>
      </c>
      <c r="I1758">
        <v>284.47500000000002</v>
      </c>
      <c r="J1758">
        <v>-226.25540000000001</v>
      </c>
      <c r="K1758">
        <v>1.1011899999999999</v>
      </c>
      <c r="L1758">
        <v>284.45580000000001</v>
      </c>
      <c r="M1758">
        <v>-0.99341979999999996</v>
      </c>
      <c r="N1758">
        <v>0</v>
      </c>
      <c r="O1758">
        <v>-0.114529399999999</v>
      </c>
      <c r="P1758">
        <v>-0.99259699999999995</v>
      </c>
      <c r="Q1758">
        <v>-2.3513639999999999E-2</v>
      </c>
      <c r="R1758">
        <v>-0.11915770000000001</v>
      </c>
      <c r="S1758">
        <v>-3.0112299999999999</v>
      </c>
      <c r="T1758">
        <v>-0.18656829999999999</v>
      </c>
      <c r="U1758">
        <v>-5.654907E-2</v>
      </c>
      <c r="V1758">
        <v>-4.7588179999999997E-3</v>
      </c>
      <c r="W1758">
        <v>-2.2960830000000002E-2</v>
      </c>
      <c r="X1758">
        <v>0.99972499999999997</v>
      </c>
      <c r="Y1758">
        <v>9.5455070000000003E-2</v>
      </c>
      <c r="Z1758">
        <v>1.00289E-2</v>
      </c>
      <c r="AA1758">
        <v>0.99538320000000002</v>
      </c>
      <c r="AB1758">
        <v>33</v>
      </c>
      <c r="AC1758">
        <v>-0.59259999999997603</v>
      </c>
      <c r="AD1758">
        <v>-5.6496999999999797E-2</v>
      </c>
      <c r="AE1758">
        <v>1.9200000000011999E-2</v>
      </c>
      <c r="AF1758">
        <v>8.6161466849329002E-2</v>
      </c>
      <c r="AG1758">
        <v>-5.6496999999999797E-2</v>
      </c>
      <c r="AH1758">
        <v>0.58122429723829405</v>
      </c>
      <c r="AI1758">
        <v>95.492258249850906</v>
      </c>
      <c r="AJ1758">
        <v>81.567806398102505</v>
      </c>
      <c r="AK1758">
        <v>0.59028585708856096</v>
      </c>
    </row>
    <row r="1759" spans="1:37" x14ac:dyDescent="0.2">
      <c r="A1759" t="str">
        <f>"20200111155827857"</f>
        <v>20200111155827857</v>
      </c>
      <c r="B1759" t="str">
        <f>"1578729507853108"</f>
        <v>1578729507853108</v>
      </c>
      <c r="C1759" t="s">
        <v>37</v>
      </c>
      <c r="D1759">
        <v>5.6881599999999999</v>
      </c>
      <c r="E1759">
        <v>0.5368385</v>
      </c>
      <c r="F1759" t="s">
        <v>38</v>
      </c>
      <c r="G1759">
        <v>-227.14519999999999</v>
      </c>
      <c r="H1759">
        <v>1.046403</v>
      </c>
      <c r="I1759">
        <v>284.43790000000001</v>
      </c>
      <c r="J1759">
        <v>-226.6088</v>
      </c>
      <c r="K1759">
        <v>1.101135</v>
      </c>
      <c r="L1759">
        <v>284.41649999999998</v>
      </c>
      <c r="M1759">
        <v>-0.9935927</v>
      </c>
      <c r="N1759">
        <v>0</v>
      </c>
      <c r="O1759">
        <v>-0.11301939999999901</v>
      </c>
      <c r="P1759">
        <v>-0.99292729999999996</v>
      </c>
      <c r="Q1759">
        <v>-2.2034599999999901E-2</v>
      </c>
      <c r="R1759">
        <v>-0.1166623</v>
      </c>
      <c r="S1759">
        <v>-3.0106959999999998</v>
      </c>
      <c r="T1759">
        <v>-0.18540219999999999</v>
      </c>
      <c r="U1759">
        <v>-6.0791020000000001E-2</v>
      </c>
      <c r="V1759">
        <v>-3.7607179999999902E-3</v>
      </c>
      <c r="W1759">
        <v>-2.1459969999999998E-2</v>
      </c>
      <c r="X1759">
        <v>0.9997627</v>
      </c>
      <c r="Y1759">
        <v>9.2549790000000007E-2</v>
      </c>
      <c r="Z1759">
        <v>9.7860829999999992E-3</v>
      </c>
      <c r="AA1759">
        <v>0.99565990000000004</v>
      </c>
      <c r="AB1759">
        <v>33</v>
      </c>
      <c r="AC1759">
        <v>-0.536399999999986</v>
      </c>
      <c r="AD1759">
        <v>-5.4732000000000003E-2</v>
      </c>
      <c r="AE1759">
        <v>2.1400000000028199E-2</v>
      </c>
      <c r="AF1759">
        <v>8.1044063107277298E-2</v>
      </c>
      <c r="AG1759">
        <v>-5.4732000000000003E-2</v>
      </c>
      <c r="AH1759">
        <v>0.52508640570417198</v>
      </c>
      <c r="AI1759">
        <v>95.881548645776704</v>
      </c>
      <c r="AJ1759">
        <v>81.225961341227304</v>
      </c>
      <c r="AK1759">
        <v>0.53411559183781798</v>
      </c>
    </row>
    <row r="1760" spans="1:37" x14ac:dyDescent="0.2">
      <c r="A1760" t="str">
        <f>"20200111155827879"</f>
        <v>20200111155827879</v>
      </c>
      <c r="B1760" t="str">
        <f>"1578729507872627"</f>
        <v>1578729507872627</v>
      </c>
      <c r="C1760" t="s">
        <v>37</v>
      </c>
      <c r="D1760">
        <v>5.6669109999999998</v>
      </c>
      <c r="E1760">
        <v>0.53631689999999999</v>
      </c>
      <c r="F1760" t="s">
        <v>38</v>
      </c>
      <c r="G1760">
        <v>-227.4452</v>
      </c>
      <c r="H1760">
        <v>1.050678</v>
      </c>
      <c r="I1760">
        <v>284.39960000000002</v>
      </c>
      <c r="J1760">
        <v>-226.9205</v>
      </c>
      <c r="K1760">
        <v>1.101064</v>
      </c>
      <c r="L1760">
        <v>284.38220000000001</v>
      </c>
      <c r="M1760">
        <v>-0.99375579999999997</v>
      </c>
      <c r="N1760">
        <v>0</v>
      </c>
      <c r="O1760">
        <v>-0.1115758</v>
      </c>
      <c r="P1760">
        <v>-0.99326349999999997</v>
      </c>
      <c r="Q1760">
        <v>-2.0775789999999999E-2</v>
      </c>
      <c r="R1760">
        <v>-0.1140003</v>
      </c>
      <c r="S1760">
        <v>-3.0101619999999998</v>
      </c>
      <c r="T1760">
        <v>-0.1816053</v>
      </c>
      <c r="U1760">
        <v>-6.1004639999999999E-2</v>
      </c>
      <c r="V1760">
        <v>-2.5298819999999998E-3</v>
      </c>
      <c r="W1760">
        <v>-2.0179720000000002E-2</v>
      </c>
      <c r="X1760">
        <v>0.99979319999999905</v>
      </c>
      <c r="Y1760">
        <v>9.104988E-2</v>
      </c>
      <c r="Z1760">
        <v>9.4559840000000006E-3</v>
      </c>
      <c r="AA1760">
        <v>0.99580139999999995</v>
      </c>
      <c r="AB1760">
        <v>33</v>
      </c>
      <c r="AC1760">
        <v>-0.52469999999999495</v>
      </c>
      <c r="AD1760">
        <v>-5.0386E-2</v>
      </c>
      <c r="AE1760">
        <v>1.7400000000009099E-2</v>
      </c>
      <c r="AF1760">
        <v>7.5143018796405794E-2</v>
      </c>
      <c r="AG1760">
        <v>-5.0386E-2</v>
      </c>
      <c r="AH1760">
        <v>0.51474088855703604</v>
      </c>
      <c r="AI1760">
        <v>95.532382808945997</v>
      </c>
      <c r="AJ1760">
        <v>81.694502148584306</v>
      </c>
      <c r="AK1760">
        <v>0.52263123196219696</v>
      </c>
    </row>
    <row r="1761" spans="1:37" x14ac:dyDescent="0.2">
      <c r="A1761" t="str">
        <f>"20200111155827902"</f>
        <v>20200111155827902</v>
      </c>
      <c r="B1761" t="str">
        <f>"1578729507893123"</f>
        <v>1578729507893123</v>
      </c>
      <c r="C1761" t="s">
        <v>37</v>
      </c>
      <c r="D1761">
        <v>5.6634060000000002</v>
      </c>
      <c r="E1761">
        <v>0.53581420000000002</v>
      </c>
      <c r="F1761" t="s">
        <v>38</v>
      </c>
      <c r="G1761">
        <v>-227.7465</v>
      </c>
      <c r="H1761">
        <v>1.0519700000000001</v>
      </c>
      <c r="I1761">
        <v>284.36660000000001</v>
      </c>
      <c r="J1761">
        <v>-227.27770000000001</v>
      </c>
      <c r="K1761">
        <v>1.1009469999999999</v>
      </c>
      <c r="L1761">
        <v>284.34370000000001</v>
      </c>
      <c r="M1761">
        <v>-0.99395699999999998</v>
      </c>
      <c r="N1761">
        <v>0</v>
      </c>
      <c r="O1761">
        <v>-0.10976909999999999</v>
      </c>
      <c r="P1761">
        <v>-0.99361469999999896</v>
      </c>
      <c r="Q1761">
        <v>-1.9037350000000001E-2</v>
      </c>
      <c r="R1761">
        <v>-0.111209899999999</v>
      </c>
      <c r="S1761">
        <v>-3.0100250000000002</v>
      </c>
      <c r="T1761">
        <v>-0.1789589</v>
      </c>
      <c r="U1761">
        <v>-5.7159420000000002E-2</v>
      </c>
      <c r="V1761">
        <v>-1.53498E-3</v>
      </c>
      <c r="W1761">
        <v>-1.84120999999999E-2</v>
      </c>
      <c r="X1761">
        <v>0.99982929999999903</v>
      </c>
      <c r="Y1761">
        <v>9.0524960000000002E-2</v>
      </c>
      <c r="Z1761">
        <v>9.1967449999999992E-3</v>
      </c>
      <c r="AA1761">
        <v>0.99585170000000001</v>
      </c>
      <c r="AB1761">
        <v>34</v>
      </c>
      <c r="AC1761">
        <v>-0.468799999999987</v>
      </c>
      <c r="AD1761">
        <v>-4.8976999999999798E-2</v>
      </c>
      <c r="AE1761">
        <v>2.2899999999992801E-2</v>
      </c>
      <c r="AF1761">
        <v>7.3421912179140694E-2</v>
      </c>
      <c r="AG1761">
        <v>-4.8976999999999798E-2</v>
      </c>
      <c r="AH1761">
        <v>0.45846135581485598</v>
      </c>
      <c r="AI1761">
        <v>96.021572367259907</v>
      </c>
      <c r="AJ1761">
        <v>80.901425553016296</v>
      </c>
      <c r="AK1761">
        <v>0.46687936181912898</v>
      </c>
    </row>
    <row r="1762" spans="1:37" x14ac:dyDescent="0.2">
      <c r="A1762" t="str">
        <f>"20200111155827946"</f>
        <v>20200111155827946</v>
      </c>
      <c r="B1762" t="str">
        <f>"1578729507942899"</f>
        <v>1578729507942899</v>
      </c>
      <c r="C1762" t="s">
        <v>37</v>
      </c>
      <c r="D1762">
        <v>5.7978680000000002</v>
      </c>
      <c r="E1762">
        <v>0.53498310000000004</v>
      </c>
      <c r="F1762" t="s">
        <v>38</v>
      </c>
      <c r="G1762">
        <v>-228.05179999999999</v>
      </c>
      <c r="H1762">
        <v>1.0560419999999999</v>
      </c>
      <c r="I1762">
        <v>284.33030000000002</v>
      </c>
      <c r="J1762">
        <v>-227.94799999999901</v>
      </c>
      <c r="K1762">
        <v>1.100689</v>
      </c>
      <c r="L1762">
        <v>284.27359999999999</v>
      </c>
      <c r="M1762">
        <v>-0.99438179999999998</v>
      </c>
      <c r="N1762">
        <v>0</v>
      </c>
      <c r="O1762">
        <v>-0.10585079999999999</v>
      </c>
      <c r="P1762">
        <v>-0.99397579999999996</v>
      </c>
      <c r="Q1762">
        <v>-1.2866809999999999E-2</v>
      </c>
      <c r="R1762">
        <v>-0.10884189999999901</v>
      </c>
      <c r="S1762">
        <v>-3.01004</v>
      </c>
      <c r="T1762">
        <v>-0.17464079999999901</v>
      </c>
      <c r="U1762">
        <v>-5.264282E-2</v>
      </c>
      <c r="V1762">
        <v>-3.0685170000000002E-3</v>
      </c>
      <c r="W1762">
        <v>-1.216507E-2</v>
      </c>
      <c r="X1762">
        <v>0.99992130000000001</v>
      </c>
      <c r="Y1762">
        <v>8.8121019999999994E-2</v>
      </c>
      <c r="Z1762">
        <v>8.6797330000000002E-3</v>
      </c>
      <c r="AA1762">
        <v>0.99607190000000001</v>
      </c>
      <c r="AB1762">
        <v>34</v>
      </c>
      <c r="AC1762">
        <v>-0.103800000000006</v>
      </c>
      <c r="AD1762">
        <v>-4.4647000000000103E-2</v>
      </c>
      <c r="AE1762">
        <v>5.6700000000034799E-2</v>
      </c>
      <c r="AF1762">
        <v>5.89665668179725E-2</v>
      </c>
      <c r="AG1762">
        <v>-4.4647000000000103E-2</v>
      </c>
      <c r="AH1762">
        <v>8.5090478656602894E-2</v>
      </c>
      <c r="AI1762">
        <v>113.32896209112</v>
      </c>
      <c r="AJ1762">
        <v>55.278556985378103</v>
      </c>
      <c r="AK1762">
        <v>0.112742184515416</v>
      </c>
    </row>
    <row r="1763" spans="1:37" x14ac:dyDescent="0.2">
      <c r="A1763" t="str">
        <f>"20200111155827969"</f>
        <v>20200111155827969</v>
      </c>
      <c r="B1763" t="str">
        <f>"1578729507962419"</f>
        <v>1578729507962419</v>
      </c>
      <c r="C1763" t="s">
        <v>37</v>
      </c>
      <c r="D1763">
        <v>5.7088460000000003</v>
      </c>
      <c r="E1763">
        <v>0.53436669999999997</v>
      </c>
      <c r="F1763" t="s">
        <v>38</v>
      </c>
      <c r="G1763">
        <v>-228.965</v>
      </c>
      <c r="H1763">
        <v>1.0477350000000001</v>
      </c>
      <c r="I1763">
        <v>284.2561</v>
      </c>
      <c r="J1763">
        <v>-228.30019999999999</v>
      </c>
      <c r="K1763">
        <v>1.100541</v>
      </c>
      <c r="L1763">
        <v>284.238</v>
      </c>
      <c r="M1763">
        <v>-0.99462839999999997</v>
      </c>
      <c r="N1763">
        <v>0</v>
      </c>
      <c r="O1763">
        <v>-0.103506999999999</v>
      </c>
      <c r="P1763">
        <v>-0.9939945</v>
      </c>
      <c r="Q1763">
        <v>-9.4636859999999903E-3</v>
      </c>
      <c r="R1763">
        <v>-0.109020699999999</v>
      </c>
      <c r="S1763">
        <v>-3.0104220000000002</v>
      </c>
      <c r="T1763">
        <v>-0.1568119</v>
      </c>
      <c r="U1763">
        <v>-5.2246090000000002E-2</v>
      </c>
      <c r="V1763">
        <v>-5.5895469999999899E-3</v>
      </c>
      <c r="W1763">
        <v>-8.70972699999999E-3</v>
      </c>
      <c r="X1763">
        <v>0.99994649999999996</v>
      </c>
      <c r="Y1763">
        <v>8.5975899999999994E-2</v>
      </c>
      <c r="Z1763">
        <v>7.616668E-3</v>
      </c>
      <c r="AA1763">
        <v>0.99626809999999999</v>
      </c>
      <c r="AB1763">
        <v>34</v>
      </c>
      <c r="AC1763">
        <v>-0.66480000000001305</v>
      </c>
      <c r="AD1763">
        <v>-5.2805999999999902E-2</v>
      </c>
      <c r="AE1763">
        <v>1.8100000000003998E-2</v>
      </c>
      <c r="AF1763">
        <v>8.6270349194797202E-2</v>
      </c>
      <c r="AG1763">
        <v>-5.2805999999999902E-2</v>
      </c>
      <c r="AH1763">
        <v>0.65522471790315595</v>
      </c>
      <c r="AI1763">
        <v>94.568375416030307</v>
      </c>
      <c r="AJ1763">
        <v>82.499279821209896</v>
      </c>
      <c r="AK1763">
        <v>0.66298603132906397</v>
      </c>
    </row>
    <row r="1764" spans="1:37" x14ac:dyDescent="0.2">
      <c r="A1764" t="str">
        <f>"20200111155827991"</f>
        <v>20200111155827991</v>
      </c>
      <c r="B1764" t="str">
        <f>"1578729507982914"</f>
        <v>1578729507982914</v>
      </c>
      <c r="C1764" t="s">
        <v>37</v>
      </c>
      <c r="D1764">
        <v>5.7267339999999898</v>
      </c>
      <c r="E1764">
        <v>0.53383619999999898</v>
      </c>
      <c r="F1764" t="s">
        <v>38</v>
      </c>
      <c r="G1764">
        <v>-229.27789999999999</v>
      </c>
      <c r="H1764">
        <v>1.0537909999999999</v>
      </c>
      <c r="I1764">
        <v>284.21929999999998</v>
      </c>
      <c r="J1764">
        <v>-228.64429999999999</v>
      </c>
      <c r="K1764">
        <v>1.1004039999999999</v>
      </c>
      <c r="L1764">
        <v>284.20429999999999</v>
      </c>
      <c r="M1764">
        <v>-0.99487890000000001</v>
      </c>
      <c r="N1764">
        <v>0</v>
      </c>
      <c r="O1764">
        <v>-0.10107049999999999</v>
      </c>
      <c r="P1764">
        <v>-0.99392159999999996</v>
      </c>
      <c r="Q1764">
        <v>-6.6729909999999996E-3</v>
      </c>
      <c r="R1764">
        <v>-0.1098874</v>
      </c>
      <c r="S1764">
        <v>-3.0104220000000002</v>
      </c>
      <c r="T1764">
        <v>-0.14390310000000001</v>
      </c>
      <c r="U1764">
        <v>-5.7800289999999997E-2</v>
      </c>
      <c r="V1764">
        <v>-8.8978140000000004E-3</v>
      </c>
      <c r="W1764">
        <v>-5.8615659999999899E-3</v>
      </c>
      <c r="X1764">
        <v>0.99994329999999998</v>
      </c>
      <c r="Y1764">
        <v>8.1745449999999997E-2</v>
      </c>
      <c r="Z1764">
        <v>6.7732590000000002E-3</v>
      </c>
      <c r="AA1764">
        <v>0.99663029999999997</v>
      </c>
      <c r="AB1764">
        <v>34</v>
      </c>
      <c r="AC1764">
        <v>-0.63360000000000105</v>
      </c>
      <c r="AD1764">
        <v>-4.6613000000000203E-2</v>
      </c>
      <c r="AE1764">
        <v>1.49999999999863E-2</v>
      </c>
      <c r="AF1764">
        <v>7.8536653359662006E-2</v>
      </c>
      <c r="AG1764">
        <v>-4.6613000000000203E-2</v>
      </c>
      <c r="AH1764">
        <v>0.62545616746162702</v>
      </c>
      <c r="AI1764">
        <v>94.229081381402295</v>
      </c>
      <c r="AJ1764">
        <v>82.842999084991604</v>
      </c>
      <c r="AK1764">
        <v>0.63208875571846901</v>
      </c>
    </row>
    <row r="1765" spans="1:37" x14ac:dyDescent="0.2">
      <c r="A1765" t="str">
        <f>"20200111155828014"</f>
        <v>20200111155828014</v>
      </c>
      <c r="B1765" t="str">
        <f>"1578729508002434"</f>
        <v>1578729508002434</v>
      </c>
      <c r="C1765" t="s">
        <v>37</v>
      </c>
      <c r="D1765">
        <v>5.724704</v>
      </c>
      <c r="E1765">
        <v>0.53335549999999998</v>
      </c>
      <c r="F1765" t="s">
        <v>38</v>
      </c>
      <c r="G1765">
        <v>-229.5917</v>
      </c>
      <c r="H1765">
        <v>1.057974</v>
      </c>
      <c r="I1765">
        <v>284.18380000000002</v>
      </c>
      <c r="J1765">
        <v>-228.98230000000001</v>
      </c>
      <c r="K1765">
        <v>1.1002860000000001</v>
      </c>
      <c r="L1765">
        <v>284.17200000000003</v>
      </c>
      <c r="M1765">
        <v>-0.99513169999999995</v>
      </c>
      <c r="N1765">
        <v>0</v>
      </c>
      <c r="O1765">
        <v>-9.8550780000000004E-2</v>
      </c>
      <c r="P1765">
        <v>-0.99399699999999902</v>
      </c>
      <c r="Q1765">
        <v>-4.4285920000000003E-3</v>
      </c>
      <c r="R1765">
        <v>-0.109317</v>
      </c>
      <c r="S1765">
        <v>-3.0102229999999999</v>
      </c>
      <c r="T1765">
        <v>-0.13488410000000001</v>
      </c>
      <c r="U1765">
        <v>-6.5124509999999997E-2</v>
      </c>
      <c r="V1765">
        <v>-1.084473E-2</v>
      </c>
      <c r="W1765">
        <v>-3.5655819999999999E-3</v>
      </c>
      <c r="X1765">
        <v>0.99993489999999996</v>
      </c>
      <c r="Y1765">
        <v>7.6828099999999996E-2</v>
      </c>
      <c r="Z1765">
        <v>6.1268579999999998E-3</v>
      </c>
      <c r="AA1765">
        <v>0.99702549999999901</v>
      </c>
      <c r="AB1765">
        <v>35</v>
      </c>
      <c r="AC1765">
        <v>-0.60939999999999295</v>
      </c>
      <c r="AD1765">
        <v>-4.23120000000001E-2</v>
      </c>
      <c r="AE1765">
        <v>1.17999999999938E-2</v>
      </c>
      <c r="AF1765">
        <v>7.1455078501545796E-2</v>
      </c>
      <c r="AG1765">
        <v>-4.23120000000001E-2</v>
      </c>
      <c r="AH1765">
        <v>0.60236772685065798</v>
      </c>
      <c r="AI1765">
        <v>93.990132344028197</v>
      </c>
      <c r="AJ1765">
        <v>83.234976909650399</v>
      </c>
      <c r="AK1765">
        <v>0.60806497345176103</v>
      </c>
    </row>
    <row r="1766" spans="1:37" x14ac:dyDescent="0.2">
      <c r="A1766" t="str">
        <f>"20200111155828035"</f>
        <v>20200111155828035</v>
      </c>
      <c r="B1766" t="str">
        <f>"1578729508032691"</f>
        <v>1578729508032691</v>
      </c>
      <c r="C1766" t="s">
        <v>37</v>
      </c>
      <c r="D1766">
        <v>5.7516790000000002</v>
      </c>
      <c r="E1766">
        <v>0.532775</v>
      </c>
      <c r="F1766" t="s">
        <v>38</v>
      </c>
      <c r="G1766">
        <v>-229.9119</v>
      </c>
      <c r="H1766">
        <v>1.0605519999999999</v>
      </c>
      <c r="I1766">
        <v>284.15129999999999</v>
      </c>
      <c r="J1766">
        <v>-229.3313</v>
      </c>
      <c r="K1766">
        <v>1.100168</v>
      </c>
      <c r="L1766">
        <v>284.1397</v>
      </c>
      <c r="M1766">
        <v>-0.99539759999999999</v>
      </c>
      <c r="N1766">
        <v>0</v>
      </c>
      <c r="O1766">
        <v>-9.582794E-2</v>
      </c>
      <c r="P1766">
        <v>-0.99418790000000001</v>
      </c>
      <c r="Q1766">
        <v>-1.7576650000000001E-3</v>
      </c>
      <c r="R1766">
        <v>-0.10764549999999901</v>
      </c>
      <c r="S1766">
        <v>-3.0101009999999899</v>
      </c>
      <c r="T1766">
        <v>-0.12875149999999999</v>
      </c>
      <c r="U1766">
        <v>-6.7871089999999995E-2</v>
      </c>
      <c r="V1766">
        <v>-1.188375E-2</v>
      </c>
      <c r="W1766">
        <v>-8.4563140000000004E-4</v>
      </c>
      <c r="X1766">
        <v>0.99992899999999996</v>
      </c>
      <c r="Y1766">
        <v>7.3211120000000005E-2</v>
      </c>
      <c r="Z1766">
        <v>5.6554609999999996E-3</v>
      </c>
      <c r="AA1766">
        <v>0.99730039999999998</v>
      </c>
      <c r="AB1766">
        <v>35</v>
      </c>
      <c r="AC1766">
        <v>-0.580600000000004</v>
      </c>
      <c r="AD1766">
        <v>-3.9615999999999998E-2</v>
      </c>
      <c r="AE1766">
        <v>1.15999999999871E-2</v>
      </c>
      <c r="AF1766">
        <v>6.6873116567522498E-2</v>
      </c>
      <c r="AG1766">
        <v>-3.9615999999999998E-2</v>
      </c>
      <c r="AH1766">
        <v>0.57414443122265002</v>
      </c>
      <c r="AI1766">
        <v>93.920734192718896</v>
      </c>
      <c r="AJ1766">
        <v>83.356444474843101</v>
      </c>
      <c r="AK1766">
        <v>0.57938179905778298</v>
      </c>
    </row>
    <row r="1767" spans="1:37" x14ac:dyDescent="0.2">
      <c r="A1767" t="str">
        <f>"20200111155828059"</f>
        <v>20200111155828059</v>
      </c>
      <c r="B1767" t="str">
        <f>"1578729508053187"</f>
        <v>1578729508053187</v>
      </c>
      <c r="C1767" t="s">
        <v>37</v>
      </c>
      <c r="D1767">
        <v>5.7604540000000002</v>
      </c>
      <c r="E1767">
        <v>0.5324371</v>
      </c>
      <c r="F1767" t="s">
        <v>50</v>
      </c>
      <c r="G1767">
        <v>-256.5641</v>
      </c>
      <c r="H1767" s="1">
        <v>1.956276E-6</v>
      </c>
      <c r="I1767">
        <v>283.52839999999998</v>
      </c>
      <c r="J1767">
        <v>-229.69560000000001</v>
      </c>
      <c r="K1767">
        <v>1.100042</v>
      </c>
      <c r="L1767">
        <v>284.10700000000003</v>
      </c>
      <c r="M1767">
        <v>-0.99567709999999998</v>
      </c>
      <c r="N1767">
        <v>0</v>
      </c>
      <c r="O1767">
        <v>-9.2878359999999993E-2</v>
      </c>
      <c r="P1767">
        <v>-0.99440589999999995</v>
      </c>
      <c r="Q1767">
        <v>-4.3329970000000002E-4</v>
      </c>
      <c r="R1767">
        <v>-0.1056241</v>
      </c>
      <c r="S1767">
        <v>-3.0100250000000002</v>
      </c>
      <c r="T1767">
        <v>-0.1216009</v>
      </c>
      <c r="U1767">
        <v>-6.7565920000000002E-2</v>
      </c>
      <c r="V1767">
        <v>-1.280589E-2</v>
      </c>
      <c r="W1767">
        <v>5.3245219999999995E-4</v>
      </c>
      <c r="X1767">
        <v>0.99991790000000003</v>
      </c>
      <c r="Y1767">
        <v>7.0377830000000002E-2</v>
      </c>
      <c r="Z1767">
        <v>5.1659449999999999E-3</v>
      </c>
      <c r="AA1767">
        <v>0.99750699999999903</v>
      </c>
      <c r="AB1767">
        <v>35</v>
      </c>
      <c r="AC1767">
        <v>-26.868499999999901</v>
      </c>
      <c r="AD1767">
        <v>-1.1000400437240001</v>
      </c>
      <c r="AE1767">
        <v>-0.57860000000005096</v>
      </c>
      <c r="AF1767">
        <v>1.9161936723506601</v>
      </c>
      <c r="AG1767">
        <v>-1.1000400437240001</v>
      </c>
      <c r="AH1767">
        <v>26.761262387158201</v>
      </c>
      <c r="AI1767">
        <v>92.3478528499341</v>
      </c>
      <c r="AJ1767">
        <v>85.904425139449899</v>
      </c>
      <c r="AK1767">
        <v>26.852319282365201</v>
      </c>
    </row>
    <row r="1768" spans="1:37" x14ac:dyDescent="0.2">
      <c r="A1768" t="str">
        <f>"20200111155828081"</f>
        <v>20200111155828081</v>
      </c>
      <c r="B1768" t="str">
        <f>"1578729508072707"</f>
        <v>1578729508072707</v>
      </c>
      <c r="C1768" t="s">
        <v>37</v>
      </c>
      <c r="D1768">
        <v>5.7518739999999999</v>
      </c>
      <c r="E1768">
        <v>0.5320935</v>
      </c>
      <c r="F1768" t="s">
        <v>50</v>
      </c>
      <c r="G1768">
        <v>-257.02949999999998</v>
      </c>
      <c r="H1768" s="1">
        <v>2.203954E-6</v>
      </c>
      <c r="I1768">
        <v>283.51889999999997</v>
      </c>
      <c r="J1768">
        <v>-230.054</v>
      </c>
      <c r="K1768">
        <v>1.0999190000000001</v>
      </c>
      <c r="L1768">
        <v>284.07589999999999</v>
      </c>
      <c r="M1768">
        <v>-0.99595100000000003</v>
      </c>
      <c r="N1768">
        <v>0</v>
      </c>
      <c r="O1768">
        <v>-8.9893799999999996E-2</v>
      </c>
      <c r="P1768">
        <v>-0.99474099999999999</v>
      </c>
      <c r="Q1768">
        <v>-9.1077759999999997E-4</v>
      </c>
      <c r="R1768">
        <v>-0.1024193</v>
      </c>
      <c r="S1768">
        <v>-3.0099330000000002</v>
      </c>
      <c r="T1768">
        <v>-0.121133399999999</v>
      </c>
      <c r="U1768">
        <v>-6.4758300000000005E-2</v>
      </c>
      <c r="V1768">
        <v>-1.2583230000000001E-2</v>
      </c>
      <c r="W1768">
        <v>1.08544E-4</v>
      </c>
      <c r="X1768">
        <v>0.99992080000000005</v>
      </c>
      <c r="Y1768">
        <v>6.8322430000000003E-2</v>
      </c>
      <c r="Z1768">
        <v>4.9854030000000002E-3</v>
      </c>
      <c r="AA1768">
        <v>0.99765090000000001</v>
      </c>
      <c r="AB1768">
        <v>35</v>
      </c>
      <c r="AC1768">
        <v>-26.975499999999901</v>
      </c>
      <c r="AD1768">
        <v>-1.0999167960459999</v>
      </c>
      <c r="AE1768">
        <v>-0.55700000000001604</v>
      </c>
      <c r="AF1768">
        <v>1.8670833201530801</v>
      </c>
      <c r="AG1768">
        <v>-1.0999167960459999</v>
      </c>
      <c r="AH1768">
        <v>26.8716994908463</v>
      </c>
      <c r="AI1768">
        <v>92.338300566418894</v>
      </c>
      <c r="AJ1768">
        <v>86.025396788840894</v>
      </c>
      <c r="AK1768">
        <v>26.9589326682079</v>
      </c>
    </row>
    <row r="1769" spans="1:37" x14ac:dyDescent="0.2">
      <c r="A1769" t="str">
        <f>"20200111155828103"</f>
        <v>20200111155828103</v>
      </c>
      <c r="B1769" t="str">
        <f>"1578729508093203"</f>
        <v>1578729508093203</v>
      </c>
      <c r="C1769" t="s">
        <v>37</v>
      </c>
      <c r="D1769">
        <v>5.2554910000000001</v>
      </c>
      <c r="E1769">
        <v>0.53184659999999995</v>
      </c>
      <c r="F1769" t="s">
        <v>50</v>
      </c>
      <c r="G1769">
        <v>-256.39269999999999</v>
      </c>
      <c r="H1769" s="1">
        <v>1.86511E-6</v>
      </c>
      <c r="I1769">
        <v>283.56909999999999</v>
      </c>
      <c r="J1769">
        <v>-230.40270000000001</v>
      </c>
      <c r="K1769">
        <v>1.099807</v>
      </c>
      <c r="L1769">
        <v>284.04680000000002</v>
      </c>
      <c r="M1769">
        <v>-0.99621360000000003</v>
      </c>
      <c r="N1769">
        <v>0</v>
      </c>
      <c r="O1769">
        <v>-8.6932960000000004E-2</v>
      </c>
      <c r="P1769">
        <v>-0.99512990000000001</v>
      </c>
      <c r="Q1769">
        <v>-2.7269289999999999E-3</v>
      </c>
      <c r="R1769">
        <v>-9.8534659999999996E-2</v>
      </c>
      <c r="S1769">
        <v>-3.0097809999999998</v>
      </c>
      <c r="T1769">
        <v>-0.12568969999999999</v>
      </c>
      <c r="U1769">
        <v>-5.7922359999999999E-2</v>
      </c>
      <c r="V1769">
        <v>-1.166298E-2</v>
      </c>
      <c r="W1769">
        <v>-1.6514209999999999E-3</v>
      </c>
      <c r="X1769">
        <v>0.9999306</v>
      </c>
      <c r="Y1769">
        <v>6.7614160000000006E-2</v>
      </c>
      <c r="Z1769">
        <v>5.0352929999999997E-3</v>
      </c>
      <c r="AA1769">
        <v>0.9976988</v>
      </c>
      <c r="AB1769">
        <v>35</v>
      </c>
      <c r="AC1769">
        <v>-25.989999999999899</v>
      </c>
      <c r="AD1769">
        <v>-1.09980513489</v>
      </c>
      <c r="AE1769">
        <v>-0.47770000000002699</v>
      </c>
      <c r="AF1769">
        <v>1.7803104989798999</v>
      </c>
      <c r="AG1769">
        <v>-1.09980513489</v>
      </c>
      <c r="AH1769">
        <v>25.886794497657199</v>
      </c>
      <c r="AI1769">
        <v>92.427032596307001</v>
      </c>
      <c r="AJ1769">
        <v>86.065796573956106</v>
      </c>
      <c r="AK1769">
        <v>25.971238056192899</v>
      </c>
    </row>
    <row r="1770" spans="1:37" x14ac:dyDescent="0.2">
      <c r="A1770" t="str">
        <f>"20200111155828126"</f>
        <v>20200111155828126</v>
      </c>
      <c r="B1770" t="str">
        <f>"1578729508122773"</f>
        <v>1578729508122773</v>
      </c>
      <c r="C1770" t="s">
        <v>37</v>
      </c>
      <c r="D1770">
        <v>6.5198400000000003</v>
      </c>
      <c r="E1770">
        <v>0.46200530000000001</v>
      </c>
      <c r="F1770" t="s">
        <v>50</v>
      </c>
      <c r="G1770">
        <v>-255.38679999999999</v>
      </c>
      <c r="H1770" s="1">
        <v>1.3298139999999999E-6</v>
      </c>
      <c r="I1770">
        <v>283.64780000000002</v>
      </c>
      <c r="J1770">
        <v>-230.77590000000001</v>
      </c>
      <c r="K1770">
        <v>1.099702</v>
      </c>
      <c r="L1770">
        <v>284.01679999999999</v>
      </c>
      <c r="M1770">
        <v>-0.9964885</v>
      </c>
      <c r="N1770">
        <v>0</v>
      </c>
      <c r="O1770">
        <v>-8.372243E-2</v>
      </c>
      <c r="P1770">
        <v>-0.99556880000000003</v>
      </c>
      <c r="Q1770">
        <v>-3.6887299999999999E-3</v>
      </c>
      <c r="R1770">
        <v>-9.3963089999999999E-2</v>
      </c>
      <c r="S1770">
        <v>-3.0095369999999999</v>
      </c>
      <c r="T1770">
        <v>-0.1324803</v>
      </c>
      <c r="U1770">
        <v>-4.8065190000000001E-2</v>
      </c>
      <c r="V1770">
        <v>-1.029881E-2</v>
      </c>
      <c r="W1770">
        <v>-2.5447949999999999E-3</v>
      </c>
      <c r="X1770">
        <v>0.99994369999999999</v>
      </c>
      <c r="Y1770">
        <v>6.7652580000000004E-2</v>
      </c>
      <c r="Z1770">
        <v>5.16782599999999E-3</v>
      </c>
      <c r="AA1770">
        <v>0.99769560000000002</v>
      </c>
      <c r="AB1770">
        <v>36</v>
      </c>
      <c r="AC1770">
        <v>-24.610899999999901</v>
      </c>
      <c r="AD1770">
        <v>-1.0997006701859999</v>
      </c>
      <c r="AE1770">
        <v>-0.36899999999997102</v>
      </c>
      <c r="AF1770">
        <v>1.6894087938578899</v>
      </c>
      <c r="AG1770">
        <v>-1.0997006701859999</v>
      </c>
      <c r="AH1770">
        <v>24.506468483171101</v>
      </c>
      <c r="AI1770">
        <v>92.563285604795595</v>
      </c>
      <c r="AJ1770">
        <v>86.056425120629697</v>
      </c>
      <c r="AK1770">
        <v>24.589234253091899</v>
      </c>
    </row>
    <row r="1771" spans="1:37" x14ac:dyDescent="0.2">
      <c r="A1771" t="str">
        <f>"20200111155828147"</f>
        <v>20200111155828147</v>
      </c>
      <c r="B1771" t="str">
        <f>"1578729508143270"</f>
        <v>1578729508143270</v>
      </c>
      <c r="C1771" t="s">
        <v>37</v>
      </c>
      <c r="D1771">
        <v>5.7262490000000001</v>
      </c>
      <c r="E1771">
        <v>0.4730741</v>
      </c>
      <c r="F1771" t="s">
        <v>50</v>
      </c>
      <c r="G1771">
        <v>-252.38310000000001</v>
      </c>
      <c r="H1771" s="1">
        <v>-2.6859359999999998E-7</v>
      </c>
      <c r="I1771">
        <v>279.70530000000002</v>
      </c>
      <c r="J1771">
        <v>-231.10640000000001</v>
      </c>
      <c r="K1771">
        <v>1.0996299999999899</v>
      </c>
      <c r="L1771">
        <v>283.99130000000002</v>
      </c>
      <c r="M1771">
        <v>-0.99672510000000003</v>
      </c>
      <c r="N1771">
        <v>0</v>
      </c>
      <c r="O1771">
        <v>-8.0857540000000006E-2</v>
      </c>
      <c r="P1771">
        <v>-0.99586859999999999</v>
      </c>
      <c r="Q1771">
        <v>-4.5422350000000004E-3</v>
      </c>
      <c r="R1771">
        <v>-9.0691030000000006E-2</v>
      </c>
      <c r="S1771">
        <v>-2.9570919999999998</v>
      </c>
      <c r="T1771">
        <v>-0.15050139999999901</v>
      </c>
      <c r="U1771">
        <v>-0.59005739999999995</v>
      </c>
      <c r="V1771">
        <v>-9.8939800000000001E-3</v>
      </c>
      <c r="W1771">
        <v>-3.3178409999999898E-3</v>
      </c>
      <c r="X1771">
        <v>0.99994550000000004</v>
      </c>
      <c r="Y1771">
        <v>-0.1157036</v>
      </c>
      <c r="Z1771">
        <v>1.1472869999999899E-3</v>
      </c>
      <c r="AA1771">
        <v>0.99328309999999997</v>
      </c>
      <c r="AB1771">
        <v>36</v>
      </c>
      <c r="AC1771">
        <v>-21.276700000000002</v>
      </c>
      <c r="AD1771">
        <v>-1.0996302685935999</v>
      </c>
      <c r="AE1771">
        <v>-4.2859999999999996</v>
      </c>
      <c r="AF1771">
        <v>-2.5450506967930302</v>
      </c>
      <c r="AG1771">
        <v>-1.0996302685935999</v>
      </c>
      <c r="AH1771">
        <v>21.498404178558602</v>
      </c>
      <c r="AI1771">
        <v>92.907822559589604</v>
      </c>
      <c r="AJ1771">
        <v>96.751437366324893</v>
      </c>
      <c r="AK1771">
        <v>21.676435408099699</v>
      </c>
    </row>
    <row r="1772" spans="1:37" x14ac:dyDescent="0.2">
      <c r="A1772" t="str">
        <f>"20200111155828170"</f>
        <v>20200111155828170</v>
      </c>
      <c r="B1772" t="str">
        <f>"1578729508162789"</f>
        <v>1578729508162789</v>
      </c>
      <c r="C1772" t="s">
        <v>37</v>
      </c>
      <c r="D1772">
        <v>7.4997809999999996</v>
      </c>
      <c r="E1772">
        <v>0.47884549999999998</v>
      </c>
      <c r="F1772" t="s">
        <v>50</v>
      </c>
      <c r="G1772">
        <v>-265.94900000000001</v>
      </c>
      <c r="H1772">
        <v>8.0001180000000005E-2</v>
      </c>
      <c r="I1772">
        <v>278.24810000000002</v>
      </c>
      <c r="J1772">
        <v>-231.48929999999999</v>
      </c>
      <c r="K1772">
        <v>1.099564</v>
      </c>
      <c r="L1772">
        <v>283.962999999999</v>
      </c>
      <c r="M1772">
        <v>-0.99699009999999999</v>
      </c>
      <c r="N1772">
        <v>0</v>
      </c>
      <c r="O1772">
        <v>-7.7520850000000002E-2</v>
      </c>
      <c r="P1772">
        <v>-0.99603660000000005</v>
      </c>
      <c r="Q1772">
        <v>-5.0736369999999998E-3</v>
      </c>
      <c r="R1772">
        <v>-8.8802930000000002E-2</v>
      </c>
      <c r="S1772">
        <v>-2.9674839999999998</v>
      </c>
      <c r="T1772">
        <v>-8.6840029999999999E-2</v>
      </c>
      <c r="U1772">
        <v>-0.48913570000000001</v>
      </c>
      <c r="V1772">
        <v>-1.134918E-2</v>
      </c>
      <c r="W1772">
        <v>-3.7266399999999998E-3</v>
      </c>
      <c r="X1772">
        <v>0.9999287</v>
      </c>
      <c r="Y1772">
        <v>-8.5655609999999993E-2</v>
      </c>
      <c r="Z1772">
        <v>1.002979E-3</v>
      </c>
      <c r="AA1772">
        <v>0.99632430000000005</v>
      </c>
      <c r="AB1772">
        <v>36</v>
      </c>
      <c r="AC1772">
        <v>-34.459699999999998</v>
      </c>
      <c r="AD1772">
        <v>-1.01956282</v>
      </c>
      <c r="AE1772">
        <v>-5.7148999999999397</v>
      </c>
      <c r="AF1772">
        <v>-3.02377923913303</v>
      </c>
      <c r="AG1772">
        <v>-1.01956282</v>
      </c>
      <c r="AH1772">
        <v>34.769403250314603</v>
      </c>
      <c r="AI1772">
        <v>91.673322833633193</v>
      </c>
      <c r="AJ1772">
        <v>94.970317850136794</v>
      </c>
      <c r="AK1772">
        <v>34.915528803297903</v>
      </c>
    </row>
    <row r="1773" spans="1:37" x14ac:dyDescent="0.2">
      <c r="A1773" t="str">
        <f>"20200111155828192"</f>
        <v>20200111155828192</v>
      </c>
      <c r="B1773" t="str">
        <f>"1578729508183285"</f>
        <v>1578729508183285</v>
      </c>
      <c r="C1773" t="s">
        <v>37</v>
      </c>
      <c r="D1773">
        <v>5.8424930000000002</v>
      </c>
      <c r="E1773">
        <v>0.48240680000000002</v>
      </c>
      <c r="F1773" t="s">
        <v>50</v>
      </c>
      <c r="G1773">
        <v>-262.0831</v>
      </c>
      <c r="H1773">
        <v>8.0000849999999998E-2</v>
      </c>
      <c r="I1773">
        <v>279.45409999999998</v>
      </c>
      <c r="J1773">
        <v>-231.84790000000001</v>
      </c>
      <c r="K1773">
        <v>1.099512</v>
      </c>
      <c r="L1773">
        <v>283.93770000000001</v>
      </c>
      <c r="M1773">
        <v>-0.99722840000000001</v>
      </c>
      <c r="N1773">
        <v>0</v>
      </c>
      <c r="O1773">
        <v>-7.4387869999999995E-2</v>
      </c>
      <c r="P1773">
        <v>-0.99611679999999903</v>
      </c>
      <c r="Q1773">
        <v>-5.043067E-3</v>
      </c>
      <c r="R1773">
        <v>-8.7898009999999999E-2</v>
      </c>
      <c r="S1773">
        <v>-2.972397</v>
      </c>
      <c r="T1773">
        <v>-9.9057790000000007E-2</v>
      </c>
      <c r="U1773">
        <v>-0.43807979999999902</v>
      </c>
      <c r="V1773">
        <v>-1.3581070000000001E-2</v>
      </c>
      <c r="W1773">
        <v>-3.5517589999999998E-3</v>
      </c>
      <c r="X1773">
        <v>0.999901499999999</v>
      </c>
      <c r="Y1773">
        <v>-7.1812020000000004E-2</v>
      </c>
      <c r="Z1773">
        <v>1.2701469999999999E-3</v>
      </c>
      <c r="AA1773">
        <v>0.99741740000000001</v>
      </c>
      <c r="AB1773">
        <v>36</v>
      </c>
      <c r="AC1773">
        <v>-30.235199999999899</v>
      </c>
      <c r="AD1773">
        <v>-1.01951115</v>
      </c>
      <c r="AE1773">
        <v>-4.4836000000000196</v>
      </c>
      <c r="AF1773">
        <v>-2.2195739665229302</v>
      </c>
      <c r="AG1773">
        <v>-1.01951115</v>
      </c>
      <c r="AH1773">
        <v>30.451077770713098</v>
      </c>
      <c r="AI1773">
        <v>91.912493528941098</v>
      </c>
      <c r="AJ1773">
        <v>94.168907184363306</v>
      </c>
      <c r="AK1773">
        <v>30.548879668096799</v>
      </c>
    </row>
    <row r="1774" spans="1:37" x14ac:dyDescent="0.2">
      <c r="A1774" t="str">
        <f>"20200111155828214"</f>
        <v>20200111155828214</v>
      </c>
      <c r="B1774" t="str">
        <f>"1578729508202401"</f>
        <v>1578729508202401</v>
      </c>
      <c r="C1774" t="s">
        <v>37</v>
      </c>
      <c r="D1774">
        <v>5.9754940000000003</v>
      </c>
      <c r="E1774">
        <v>0.48363869999999998</v>
      </c>
      <c r="F1774" t="s">
        <v>50</v>
      </c>
      <c r="G1774">
        <v>-256.63290000000001</v>
      </c>
      <c r="H1774" s="1">
        <v>1.9929029999999999E-6</v>
      </c>
      <c r="I1774">
        <v>280.53460000000001</v>
      </c>
      <c r="J1774">
        <v>-232.2054</v>
      </c>
      <c r="K1774">
        <v>1.099475</v>
      </c>
      <c r="L1774">
        <v>283.9135</v>
      </c>
      <c r="M1774">
        <v>-0.99745649999999997</v>
      </c>
      <c r="N1774">
        <v>0</v>
      </c>
      <c r="O1774">
        <v>-7.1260470000000006E-2</v>
      </c>
      <c r="P1774">
        <v>-0.99613879999999999</v>
      </c>
      <c r="Q1774">
        <v>-5.51775099999999E-3</v>
      </c>
      <c r="R1774">
        <v>-8.7620039999999996E-2</v>
      </c>
      <c r="S1774">
        <v>-2.9749759999999998</v>
      </c>
      <c r="T1774">
        <v>-0.1319757</v>
      </c>
      <c r="U1774">
        <v>-0.4084778</v>
      </c>
      <c r="V1774">
        <v>-1.644031E-2</v>
      </c>
      <c r="W1774">
        <v>-3.840942E-3</v>
      </c>
      <c r="X1774">
        <v>0.99985749999999995</v>
      </c>
      <c r="Y1774">
        <v>-6.5090179999999997E-2</v>
      </c>
      <c r="Z1774">
        <v>1.7028259999999999E-3</v>
      </c>
      <c r="AA1774">
        <v>0.99787800000000004</v>
      </c>
      <c r="AB1774">
        <v>36</v>
      </c>
      <c r="AC1774">
        <v>-24.427499999999998</v>
      </c>
      <c r="AD1774">
        <v>-1.099473007097</v>
      </c>
      <c r="AE1774">
        <v>-3.3788999999999798</v>
      </c>
      <c r="AF1774">
        <v>-1.62635972167124</v>
      </c>
      <c r="AG1774">
        <v>-1.099473007097</v>
      </c>
      <c r="AH1774">
        <v>24.557365159838699</v>
      </c>
      <c r="AI1774">
        <v>92.557916976423002</v>
      </c>
      <c r="AJ1774">
        <v>93.788992431974904</v>
      </c>
      <c r="AK1774">
        <v>24.635707224093899</v>
      </c>
    </row>
    <row r="1775" spans="1:37" x14ac:dyDescent="0.2">
      <c r="A1775" t="str">
        <f>"20200111155828248"</f>
        <v>20200111155828248</v>
      </c>
      <c r="B1775" t="str">
        <f>"1578729508242418"</f>
        <v>1578729508242418</v>
      </c>
      <c r="C1775" t="s">
        <v>37</v>
      </c>
      <c r="D1775">
        <v>5.8690410000000002</v>
      </c>
      <c r="E1775">
        <v>0.4859791</v>
      </c>
      <c r="F1775" t="s">
        <v>50</v>
      </c>
      <c r="G1775">
        <v>-255.6454</v>
      </c>
      <c r="H1775" s="1">
        <v>1.46744E-6</v>
      </c>
      <c r="I1775">
        <v>280.77749999999997</v>
      </c>
      <c r="J1775">
        <v>-232.7542</v>
      </c>
      <c r="K1775">
        <v>1.099453</v>
      </c>
      <c r="L1775">
        <v>283.87860000000001</v>
      </c>
      <c r="M1775">
        <v>-0.99778719999999999</v>
      </c>
      <c r="N1775">
        <v>0</v>
      </c>
      <c r="O1775">
        <v>-6.6462170000000001E-2</v>
      </c>
      <c r="P1775">
        <v>-0.99636469999999899</v>
      </c>
      <c r="Q1775">
        <v>-5.4172519999999896E-3</v>
      </c>
      <c r="R1775">
        <v>-8.5019999999999998E-2</v>
      </c>
      <c r="S1775">
        <v>-2.97582999999999</v>
      </c>
      <c r="T1775">
        <v>-0.1395837</v>
      </c>
      <c r="U1775">
        <v>-0.39813229999999999</v>
      </c>
      <c r="V1775">
        <v>-1.8637250000000001E-2</v>
      </c>
      <c r="W1775">
        <v>-3.3430320000000001E-3</v>
      </c>
      <c r="X1775">
        <v>0.99982070000000001</v>
      </c>
      <c r="Y1775">
        <v>-6.6438540000000004E-2</v>
      </c>
      <c r="Z1775">
        <v>1.5463929999999901E-3</v>
      </c>
      <c r="AA1775">
        <v>0.99778929999999999</v>
      </c>
      <c r="AB1775">
        <v>37</v>
      </c>
      <c r="AC1775">
        <v>-22.891200000000001</v>
      </c>
      <c r="AD1775">
        <v>-1.0994515325600001</v>
      </c>
      <c r="AE1775">
        <v>-3.1011000000000299</v>
      </c>
      <c r="AF1775">
        <v>-1.5692869656489301</v>
      </c>
      <c r="AG1775">
        <v>-1.0994515325600001</v>
      </c>
      <c r="AH1775">
        <v>22.994603707353601</v>
      </c>
      <c r="AI1775">
        <v>92.731081652301597</v>
      </c>
      <c r="AJ1775">
        <v>93.904147215079902</v>
      </c>
      <c r="AK1775">
        <v>23.074298578965401</v>
      </c>
    </row>
    <row r="1776" spans="1:37" x14ac:dyDescent="0.2">
      <c r="A1776" t="str">
        <f>"20200111155828270"</f>
        <v>20200111155828270</v>
      </c>
      <c r="B1776" t="str">
        <f>"1578729508262913"</f>
        <v>1578729508262913</v>
      </c>
      <c r="C1776" t="s">
        <v>37</v>
      </c>
      <c r="D1776">
        <v>5.8497349999999999</v>
      </c>
      <c r="E1776">
        <v>0.48684909999999998</v>
      </c>
      <c r="F1776" t="s">
        <v>50</v>
      </c>
      <c r="G1776">
        <v>-253.65700000000001</v>
      </c>
      <c r="H1776" s="1">
        <v>4.0930720000000001E-7</v>
      </c>
      <c r="I1776">
        <v>281.26209999999998</v>
      </c>
      <c r="J1776">
        <v>-233.1396</v>
      </c>
      <c r="K1776">
        <v>1.0994699999999999</v>
      </c>
      <c r="L1776">
        <v>283.85590000000002</v>
      </c>
      <c r="M1776">
        <v>-0.99800499999999903</v>
      </c>
      <c r="N1776">
        <v>0</v>
      </c>
      <c r="O1776">
        <v>-6.3091250000000001E-2</v>
      </c>
      <c r="P1776">
        <v>-0.99658590000000002</v>
      </c>
      <c r="Q1776">
        <v>-5.111244E-3</v>
      </c>
      <c r="R1776">
        <v>-8.2404539999999998E-2</v>
      </c>
      <c r="S1776">
        <v>-2.9782869999999999</v>
      </c>
      <c r="T1776">
        <v>-0.15665270000000001</v>
      </c>
      <c r="U1776">
        <v>-0.37280269999999999</v>
      </c>
      <c r="V1776">
        <v>-1.938484E-2</v>
      </c>
      <c r="W1776">
        <v>-2.6086149999999999E-3</v>
      </c>
      <c r="X1776">
        <v>0.99980869999999999</v>
      </c>
      <c r="Y1776">
        <v>-6.1356239999999999E-2</v>
      </c>
      <c r="Z1776">
        <v>1.6922110000000001E-3</v>
      </c>
      <c r="AA1776">
        <v>0.99811450000000002</v>
      </c>
      <c r="AB1776">
        <v>37</v>
      </c>
      <c r="AC1776">
        <v>-20.517399999999999</v>
      </c>
      <c r="AD1776">
        <v>-1.0994695906928</v>
      </c>
      <c r="AE1776">
        <v>-2.5938000000000399</v>
      </c>
      <c r="AF1776">
        <v>-1.2905129999364799</v>
      </c>
      <c r="AG1776">
        <v>-1.0994695906928</v>
      </c>
      <c r="AH1776">
        <v>20.581997525399899</v>
      </c>
      <c r="AI1776">
        <v>93.051794832918901</v>
      </c>
      <c r="AJ1776">
        <v>93.5878091247356</v>
      </c>
      <c r="AK1776">
        <v>20.6517040294362</v>
      </c>
    </row>
    <row r="1777" spans="1:37" x14ac:dyDescent="0.2">
      <c r="A1777" t="str">
        <f>"20200111155828293"</f>
        <v>20200111155828293</v>
      </c>
      <c r="B1777" t="str">
        <f>"1578729508282433"</f>
        <v>1578729508282433</v>
      </c>
      <c r="C1777" t="s">
        <v>37</v>
      </c>
      <c r="D1777">
        <v>5.8887939999999999</v>
      </c>
      <c r="E1777">
        <v>0.48675580000000002</v>
      </c>
      <c r="F1777" t="s">
        <v>50</v>
      </c>
      <c r="G1777">
        <v>-252.5042</v>
      </c>
      <c r="H1777" s="1">
        <v>-2.041921E-7</v>
      </c>
      <c r="I1777">
        <v>281.52379999999999</v>
      </c>
      <c r="J1777">
        <v>-233.512</v>
      </c>
      <c r="K1777">
        <v>1.099499</v>
      </c>
      <c r="L1777">
        <v>283.83519999999999</v>
      </c>
      <c r="M1777">
        <v>-0.99820509999999996</v>
      </c>
      <c r="N1777">
        <v>0</v>
      </c>
      <c r="O1777">
        <v>-5.9819999999999998E-2</v>
      </c>
      <c r="P1777">
        <v>-0.99682929999999903</v>
      </c>
      <c r="Q1777">
        <v>-5.4348189999999996E-3</v>
      </c>
      <c r="R1777">
        <v>-7.93851E-2</v>
      </c>
      <c r="S1777">
        <v>-2.979752</v>
      </c>
      <c r="T1777">
        <v>-0.16918269999999999</v>
      </c>
      <c r="U1777">
        <v>-0.35885620000000001</v>
      </c>
      <c r="V1777">
        <v>-1.9632279999999998E-2</v>
      </c>
      <c r="W1777">
        <v>-2.4229020000000002E-3</v>
      </c>
      <c r="X1777">
        <v>0.99980429999999998</v>
      </c>
      <c r="Y1777">
        <v>-5.9962090000000003E-2</v>
      </c>
      <c r="Z1777">
        <v>1.6822079999999999E-3</v>
      </c>
      <c r="AA1777">
        <v>0.99819919999999995</v>
      </c>
      <c r="AB1777">
        <v>37</v>
      </c>
      <c r="AC1777">
        <v>-18.9922</v>
      </c>
      <c r="AD1777">
        <v>-1.0994992041920999</v>
      </c>
      <c r="AE1777">
        <v>-2.3113999999999901</v>
      </c>
      <c r="AF1777">
        <v>-1.1672875686883399</v>
      </c>
      <c r="AG1777">
        <v>-1.0994992041920999</v>
      </c>
      <c r="AH1777">
        <v>19.0335965722184</v>
      </c>
      <c r="AI1777">
        <v>93.299901249800996</v>
      </c>
      <c r="AJ1777">
        <v>93.509425636788094</v>
      </c>
      <c r="AK1777">
        <v>19.1010276488465</v>
      </c>
    </row>
    <row r="1778" spans="1:37" x14ac:dyDescent="0.2">
      <c r="A1778" t="str">
        <f>"20200111155828315"</f>
        <v>20200111155828315</v>
      </c>
      <c r="B1778" t="str">
        <f>"1578729508312969"</f>
        <v>1578729508312969</v>
      </c>
      <c r="C1778" t="s">
        <v>37</v>
      </c>
      <c r="D1778">
        <v>5.9045870000000003</v>
      </c>
      <c r="E1778">
        <v>0.48757230000000001</v>
      </c>
      <c r="F1778" t="s">
        <v>50</v>
      </c>
      <c r="G1778">
        <v>-254.08869999999999</v>
      </c>
      <c r="H1778" s="1">
        <v>6.3899919999999905E-7</v>
      </c>
      <c r="I1778">
        <v>281.41950000000003</v>
      </c>
      <c r="J1778">
        <v>-233.89019999999999</v>
      </c>
      <c r="K1778">
        <v>1.0995489999999899</v>
      </c>
      <c r="L1778">
        <v>283.81549999999999</v>
      </c>
      <c r="M1778">
        <v>-0.9983976</v>
      </c>
      <c r="N1778">
        <v>0</v>
      </c>
      <c r="O1778">
        <v>-5.6481200000000002E-2</v>
      </c>
      <c r="P1778">
        <v>-0.99707809999999897</v>
      </c>
      <c r="Q1778">
        <v>-6.2587240000000002E-3</v>
      </c>
      <c r="R1778">
        <v>-7.6134980000000005E-2</v>
      </c>
      <c r="S1778">
        <v>-2.980804</v>
      </c>
      <c r="T1778">
        <v>-0.15927669999999999</v>
      </c>
      <c r="U1778">
        <v>-0.34994509999999901</v>
      </c>
      <c r="V1778">
        <v>-1.971856E-2</v>
      </c>
      <c r="W1778">
        <v>-2.5990750000000002E-3</v>
      </c>
      <c r="X1778">
        <v>0.99980219999999898</v>
      </c>
      <c r="Y1778">
        <v>-6.0310919999999997E-2</v>
      </c>
      <c r="Z1778">
        <v>1.39723E-3</v>
      </c>
      <c r="AA1778">
        <v>0.99817869999999997</v>
      </c>
      <c r="AB1778">
        <v>37</v>
      </c>
      <c r="AC1778">
        <v>-20.198499999999999</v>
      </c>
      <c r="AD1778">
        <v>-1.0995483610007999</v>
      </c>
      <c r="AE1778">
        <v>-2.3959999999999502</v>
      </c>
      <c r="AF1778">
        <v>-1.2476866154820201</v>
      </c>
      <c r="AG1778">
        <v>-1.0995483610007999</v>
      </c>
      <c r="AH1778">
        <v>20.242431701379999</v>
      </c>
      <c r="AI1778">
        <v>93.103315255924201</v>
      </c>
      <c r="AJ1778">
        <v>93.527088744592405</v>
      </c>
      <c r="AK1778">
        <v>20.310631936837002</v>
      </c>
    </row>
    <row r="1779" spans="1:37" x14ac:dyDescent="0.2">
      <c r="A1779" t="str">
        <f>"20200111155828337"</f>
        <v>20200111155828337</v>
      </c>
      <c r="B1779" t="str">
        <f>"1578729508332489"</f>
        <v>1578729508332489</v>
      </c>
      <c r="C1779" t="s">
        <v>37</v>
      </c>
      <c r="D1779">
        <v>5.854768</v>
      </c>
      <c r="E1779">
        <v>0.48795859999999902</v>
      </c>
      <c r="F1779" t="s">
        <v>50</v>
      </c>
      <c r="G1779">
        <v>-252.5273</v>
      </c>
      <c r="H1779" s="1">
        <v>-1.9189889999999899E-7</v>
      </c>
      <c r="I1779">
        <v>281.7253</v>
      </c>
      <c r="J1779">
        <v>-234.24680000000001</v>
      </c>
      <c r="K1779">
        <v>1.09962</v>
      </c>
      <c r="L1779">
        <v>283.79809999999998</v>
      </c>
      <c r="M1779">
        <v>-0.99856869999999998</v>
      </c>
      <c r="N1779">
        <v>0</v>
      </c>
      <c r="O1779">
        <v>-5.3317389999999999E-2</v>
      </c>
      <c r="P1779">
        <v>-0.99728109999999903</v>
      </c>
      <c r="Q1779">
        <v>-7.6485700000000004E-3</v>
      </c>
      <c r="R1779">
        <v>-7.3294520000000002E-2</v>
      </c>
      <c r="S1779">
        <v>-2.982132</v>
      </c>
      <c r="T1779">
        <v>-0.17593989999999901</v>
      </c>
      <c r="U1779">
        <v>-0.33444209999999902</v>
      </c>
      <c r="V1779">
        <v>-2.0044610000000001E-2</v>
      </c>
      <c r="W1779">
        <v>-3.251084E-3</v>
      </c>
      <c r="X1779">
        <v>0.99979379999999995</v>
      </c>
      <c r="Y1779">
        <v>-5.8297160000000001E-2</v>
      </c>
      <c r="Z1779">
        <v>1.4168169999999999E-3</v>
      </c>
      <c r="AA1779">
        <v>0.99829829999999997</v>
      </c>
      <c r="AB1779">
        <v>37</v>
      </c>
      <c r="AC1779">
        <v>-18.2804999999999</v>
      </c>
      <c r="AD1779">
        <v>-1.0996201918988999</v>
      </c>
      <c r="AE1779">
        <v>-2.0727999999999702</v>
      </c>
      <c r="AF1779">
        <v>-1.0912759208594001</v>
      </c>
      <c r="AG1779">
        <v>-1.0996201918988999</v>
      </c>
      <c r="AH1779">
        <v>18.299641123820301</v>
      </c>
      <c r="AI1779">
        <v>93.432668540475007</v>
      </c>
      <c r="AJ1779">
        <v>93.412719654438703</v>
      </c>
      <c r="AK1779">
        <v>18.365100407089901</v>
      </c>
    </row>
    <row r="1780" spans="1:37" x14ac:dyDescent="0.2">
      <c r="A1780" t="str">
        <f>"20200111155828359"</f>
        <v>20200111155828359</v>
      </c>
      <c r="B1780" t="str">
        <f>"1578729508352985"</f>
        <v>1578729508352985</v>
      </c>
      <c r="C1780" t="s">
        <v>37</v>
      </c>
      <c r="D1780">
        <v>6.4706239999999999</v>
      </c>
      <c r="E1780">
        <v>0.48842770000000002</v>
      </c>
      <c r="F1780" t="s">
        <v>50</v>
      </c>
      <c r="G1780">
        <v>-252.3485</v>
      </c>
      <c r="H1780" s="1">
        <v>-2.8705449999999998E-7</v>
      </c>
      <c r="I1780">
        <v>281.83769999999998</v>
      </c>
      <c r="J1780">
        <v>-234.62029999999999</v>
      </c>
      <c r="K1780">
        <v>1.099739</v>
      </c>
      <c r="L1780">
        <v>283.78109999999998</v>
      </c>
      <c r="M1780">
        <v>-0.99873639999999997</v>
      </c>
      <c r="N1780">
        <v>0</v>
      </c>
      <c r="O1780">
        <v>-4.9993460000000003E-2</v>
      </c>
      <c r="P1780">
        <v>-0.99746669999999904</v>
      </c>
      <c r="Q1780">
        <v>-8.9263229999999999E-3</v>
      </c>
      <c r="R1780">
        <v>-7.0573670000000005E-2</v>
      </c>
      <c r="S1780">
        <v>-2.9830320000000001</v>
      </c>
      <c r="T1780">
        <v>-0.18121029999999999</v>
      </c>
      <c r="U1780">
        <v>-0.32305909999999999</v>
      </c>
      <c r="V1780">
        <v>-2.0648610000000001E-2</v>
      </c>
      <c r="W1780">
        <v>-3.6259920000000002E-3</v>
      </c>
      <c r="X1780">
        <v>0.99978020000000001</v>
      </c>
      <c r="Y1780">
        <v>-5.7816920000000001E-2</v>
      </c>
      <c r="Z1780">
        <v>1.273007E-3</v>
      </c>
      <c r="AA1780">
        <v>0.99832639999999995</v>
      </c>
      <c r="AB1780">
        <v>37</v>
      </c>
      <c r="AC1780">
        <v>-17.728200000000001</v>
      </c>
      <c r="AD1780">
        <v>-1.0997392870545</v>
      </c>
      <c r="AE1780">
        <v>-1.94339999999999</v>
      </c>
      <c r="AF1780">
        <v>-1.05066900247646</v>
      </c>
      <c r="AG1780">
        <v>-1.0997392870545</v>
      </c>
      <c r="AH1780">
        <v>17.735750538079198</v>
      </c>
      <c r="AI1780">
        <v>93.541998261532399</v>
      </c>
      <c r="AJ1780">
        <v>93.390249916046699</v>
      </c>
      <c r="AK1780">
        <v>17.800847704568302</v>
      </c>
    </row>
    <row r="1781" spans="1:37" x14ac:dyDescent="0.2">
      <c r="A1781" t="str">
        <f>"20200111155828383"</f>
        <v>20200111155828383</v>
      </c>
      <c r="B1781" t="str">
        <f>"1578729508372504"</f>
        <v>1578729508372504</v>
      </c>
      <c r="C1781" t="s">
        <v>37</v>
      </c>
      <c r="D1781">
        <v>6.0451949999999997</v>
      </c>
      <c r="E1781">
        <v>0.54744459999999995</v>
      </c>
      <c r="F1781" t="s">
        <v>50</v>
      </c>
      <c r="G1781">
        <v>-252.70939999999999</v>
      </c>
      <c r="H1781" s="1">
        <v>-9.4995469999999996E-8</v>
      </c>
      <c r="I1781">
        <v>281.89510000000001</v>
      </c>
      <c r="J1781">
        <v>-234.9983</v>
      </c>
      <c r="K1781">
        <v>1.0998829999999999</v>
      </c>
      <c r="L1781">
        <v>283.76530000000002</v>
      </c>
      <c r="M1781">
        <v>-0.9988939</v>
      </c>
      <c r="N1781">
        <v>0</v>
      </c>
      <c r="O1781">
        <v>-4.662057E-2</v>
      </c>
      <c r="P1781">
        <v>-0.99764640000000004</v>
      </c>
      <c r="Q1781">
        <v>-1.0065030000000001E-2</v>
      </c>
      <c r="R1781">
        <v>-6.7828040000000006E-2</v>
      </c>
      <c r="S1781">
        <v>-2.983978</v>
      </c>
      <c r="T1781">
        <v>-0.1814132</v>
      </c>
      <c r="U1781">
        <v>-0.31112669999999998</v>
      </c>
      <c r="V1781">
        <v>-2.1274069999999999E-2</v>
      </c>
      <c r="W1781">
        <v>-3.7635569999999998E-3</v>
      </c>
      <c r="X1781">
        <v>0.99976659999999995</v>
      </c>
      <c r="Y1781">
        <v>-5.7201389999999998E-2</v>
      </c>
      <c r="Z1781">
        <v>1.0891469999999999E-3</v>
      </c>
      <c r="AA1781">
        <v>0.99836209999999903</v>
      </c>
      <c r="AB1781">
        <v>37</v>
      </c>
      <c r="AC1781">
        <v>-17.711099999999899</v>
      </c>
      <c r="AD1781">
        <v>-1.0998830949954601</v>
      </c>
      <c r="AE1781">
        <v>-1.8702000000000101</v>
      </c>
      <c r="AF1781">
        <v>-1.0384884938788299</v>
      </c>
      <c r="AG1781">
        <v>-1.0998830949954601</v>
      </c>
      <c r="AH1781">
        <v>17.711480436435</v>
      </c>
      <c r="AI1781">
        <v>93.547428160300996</v>
      </c>
      <c r="AJ1781">
        <v>93.355617959525702</v>
      </c>
      <c r="AK1781">
        <v>17.775959620363601</v>
      </c>
    </row>
    <row r="1782" spans="1:37" x14ac:dyDescent="0.2">
      <c r="A1782" t="str">
        <f>"20200111155828403"</f>
        <v>20200111155828403</v>
      </c>
      <c r="B1782" t="str">
        <f>"1578729508393000"</f>
        <v>1578729508393000</v>
      </c>
      <c r="C1782" t="s">
        <v>37</v>
      </c>
      <c r="D1782">
        <v>6.0100519999999999</v>
      </c>
      <c r="E1782">
        <v>0.5554386</v>
      </c>
      <c r="F1782" t="s">
        <v>50</v>
      </c>
      <c r="G1782">
        <v>-354.4717</v>
      </c>
      <c r="H1782">
        <v>8.0001329999999996E-2</v>
      </c>
      <c r="I1782">
        <v>290.67290000000003</v>
      </c>
      <c r="J1782">
        <v>-235.35</v>
      </c>
      <c r="K1782">
        <v>1.100007</v>
      </c>
      <c r="L1782">
        <v>283.7518</v>
      </c>
      <c r="M1782">
        <v>-0.99902950000000001</v>
      </c>
      <c r="N1782">
        <v>0</v>
      </c>
      <c r="O1782">
        <v>-4.3479080000000003E-2</v>
      </c>
      <c r="P1782">
        <v>-0.99778899999999904</v>
      </c>
      <c r="Q1782">
        <v>-1.170497E-2</v>
      </c>
      <c r="R1782">
        <v>-6.5423179999999997E-2</v>
      </c>
      <c r="S1782">
        <v>-3.0186919999999899</v>
      </c>
      <c r="T1782">
        <v>-2.5769E-2</v>
      </c>
      <c r="U1782">
        <v>0.17452999999999999</v>
      </c>
      <c r="V1782">
        <v>-2.2014829999999999E-2</v>
      </c>
      <c r="W1782">
        <v>-4.4708680000000002E-3</v>
      </c>
      <c r="X1782">
        <v>0.99974759999999996</v>
      </c>
      <c r="Y1782">
        <v>0.1010679</v>
      </c>
      <c r="Z1782">
        <v>8.0189399999999896E-4</v>
      </c>
      <c r="AA1782">
        <v>0.99487919999999996</v>
      </c>
      <c r="AB1782">
        <v>37</v>
      </c>
      <c r="AC1782">
        <v>-119.1217</v>
      </c>
      <c r="AD1782">
        <v>-1.02000567</v>
      </c>
      <c r="AE1782">
        <v>6.9211000000000196</v>
      </c>
      <c r="AF1782">
        <v>12.0931014136874</v>
      </c>
      <c r="AG1782">
        <v>-1.02000567</v>
      </c>
      <c r="AH1782">
        <v>118.6994411917</v>
      </c>
      <c r="AI1782">
        <v>90.489805540003402</v>
      </c>
      <c r="AJ1782">
        <v>84.182776143393397</v>
      </c>
      <c r="AK1782">
        <v>119.318233529458</v>
      </c>
    </row>
    <row r="1783" spans="1:37" x14ac:dyDescent="0.2">
      <c r="A1783" t="str">
        <f>"20200111155828427"</f>
        <v>20200111155828427</v>
      </c>
      <c r="B1783" t="str">
        <f>"1578729508423258"</f>
        <v>1578729508423258</v>
      </c>
      <c r="C1783" t="s">
        <v>37</v>
      </c>
      <c r="D1783">
        <v>5.9697969999999998</v>
      </c>
      <c r="E1783">
        <v>0.55898819999999905</v>
      </c>
      <c r="F1783" t="s">
        <v>50</v>
      </c>
      <c r="G1783">
        <v>-267.0145</v>
      </c>
      <c r="H1783" s="1">
        <v>2.1959699999999998E-6</v>
      </c>
      <c r="I1783">
        <v>286.28870000000001</v>
      </c>
      <c r="J1783">
        <v>-235.72290000000001</v>
      </c>
      <c r="K1783">
        <v>1.100109</v>
      </c>
      <c r="L1783">
        <v>283.73869999999999</v>
      </c>
      <c r="M1783">
        <v>-0.99916109999999903</v>
      </c>
      <c r="N1783">
        <v>0</v>
      </c>
      <c r="O1783">
        <v>-4.0167420000000002E-2</v>
      </c>
      <c r="P1783">
        <v>-0.99798589999999998</v>
      </c>
      <c r="Q1783">
        <v>-1.383999E-2</v>
      </c>
      <c r="R1783">
        <v>-6.1909020000000002E-2</v>
      </c>
      <c r="S1783">
        <v>-3.0213009999999998</v>
      </c>
      <c r="T1783">
        <v>-0.1049581</v>
      </c>
      <c r="U1783">
        <v>0.24206539999999999</v>
      </c>
      <c r="V1783">
        <v>-2.1818770000000001E-2</v>
      </c>
      <c r="W1783">
        <v>-5.6851690000000003E-3</v>
      </c>
      <c r="X1783">
        <v>0.99974580000000002</v>
      </c>
      <c r="Y1783">
        <v>0.11974369999999999</v>
      </c>
      <c r="Z1783">
        <v>3.469022E-3</v>
      </c>
      <c r="AA1783">
        <v>0.99279879999999998</v>
      </c>
      <c r="AB1783">
        <v>37</v>
      </c>
      <c r="AC1783">
        <v>-31.291599999999899</v>
      </c>
      <c r="AD1783">
        <v>-1.1001068040299999</v>
      </c>
      <c r="AE1783">
        <v>2.55000000000001</v>
      </c>
      <c r="AF1783">
        <v>3.800218746663</v>
      </c>
      <c r="AG1783">
        <v>-1.1001068040299999</v>
      </c>
      <c r="AH1783">
        <v>31.125697561540701</v>
      </c>
      <c r="AI1783">
        <v>92.009311452486997</v>
      </c>
      <c r="AJ1783">
        <v>83.039058320812501</v>
      </c>
      <c r="AK1783">
        <v>31.376120636484998</v>
      </c>
    </row>
    <row r="1784" spans="1:37" x14ac:dyDescent="0.2">
      <c r="A1784" t="str">
        <f>"20200111155828449"</f>
        <v>20200111155828449</v>
      </c>
      <c r="B1784" t="str">
        <f>"1578729508442777"</f>
        <v>1578729508442777</v>
      </c>
      <c r="C1784" t="s">
        <v>37</v>
      </c>
      <c r="D1784">
        <v>6.6044739999999997</v>
      </c>
      <c r="E1784">
        <v>0.55949040000000005</v>
      </c>
      <c r="F1784" t="s">
        <v>38</v>
      </c>
      <c r="G1784">
        <v>-236.76159999999999</v>
      </c>
      <c r="H1784">
        <v>1.039183</v>
      </c>
      <c r="I1784">
        <v>283.83440000000002</v>
      </c>
      <c r="J1784">
        <v>-236.10050000000001</v>
      </c>
      <c r="K1784">
        <v>1.100203</v>
      </c>
      <c r="L1784">
        <v>283.72669999999999</v>
      </c>
      <c r="M1784">
        <v>-0.99928139999999999</v>
      </c>
      <c r="N1784">
        <v>0</v>
      </c>
      <c r="O1784">
        <v>-3.6861440000000002E-2</v>
      </c>
      <c r="P1784">
        <v>-0.99820599999999904</v>
      </c>
      <c r="Q1784">
        <v>-1.647591E-2</v>
      </c>
      <c r="R1784">
        <v>-5.7563929999999999E-2</v>
      </c>
      <c r="S1784">
        <v>-3.0208439999999999</v>
      </c>
      <c r="T1784">
        <v>-0.177232</v>
      </c>
      <c r="U1784">
        <v>0.277893099999999</v>
      </c>
      <c r="V1784">
        <v>-2.0789749999999999E-2</v>
      </c>
      <c r="W1784">
        <v>-7.4800219999999898E-3</v>
      </c>
      <c r="X1784">
        <v>0.99975590000000003</v>
      </c>
      <c r="Y1784">
        <v>0.12796939999999901</v>
      </c>
      <c r="Z1784">
        <v>5.8997379999999999E-3</v>
      </c>
      <c r="AA1784">
        <v>0.99176059999999999</v>
      </c>
      <c r="AB1784">
        <v>37</v>
      </c>
      <c r="AC1784">
        <v>-0.66109999999997604</v>
      </c>
      <c r="AD1784">
        <v>-6.1019999999999998E-2</v>
      </c>
      <c r="AE1784">
        <v>0.107700000000022</v>
      </c>
      <c r="AF1784">
        <v>0.13091040051729599</v>
      </c>
      <c r="AG1784">
        <v>-6.1019999999999998E-2</v>
      </c>
      <c r="AH1784">
        <v>0.651275498748069</v>
      </c>
      <c r="AI1784">
        <v>95.248221887233299</v>
      </c>
      <c r="AJ1784">
        <v>78.634645669671798</v>
      </c>
      <c r="AK1784">
        <v>0.667098754783087</v>
      </c>
    </row>
    <row r="1785" spans="1:37" x14ac:dyDescent="0.2">
      <c r="A1785" t="str">
        <f>"20200111155828583"</f>
        <v>20200111155828583</v>
      </c>
      <c r="B1785" t="str">
        <f>"1578729508573091"</f>
        <v>1578729508573091</v>
      </c>
      <c r="C1785" t="s">
        <v>37</v>
      </c>
      <c r="D1785">
        <v>9.3038889999999999</v>
      </c>
      <c r="E1785">
        <v>0.5594344</v>
      </c>
      <c r="F1785" t="s">
        <v>50</v>
      </c>
      <c r="G1785">
        <v>-255.8562</v>
      </c>
      <c r="H1785" s="1">
        <v>1.5795849999999899E-6</v>
      </c>
      <c r="I1785">
        <v>285.81959999999998</v>
      </c>
      <c r="J1785">
        <v>-238.31139999999999</v>
      </c>
      <c r="K1785">
        <v>1.100986</v>
      </c>
      <c r="L1785">
        <v>283.67989999999998</v>
      </c>
      <c r="M1785">
        <v>-0.99974110000000005</v>
      </c>
      <c r="N1785">
        <v>0</v>
      </c>
      <c r="O1785">
        <v>-1.9184429999999999E-2</v>
      </c>
      <c r="P1785">
        <v>-0.99916799999999995</v>
      </c>
      <c r="Q1785">
        <v>-2.1390610000000001E-2</v>
      </c>
      <c r="R1785">
        <v>-3.472691E-2</v>
      </c>
      <c r="S1785">
        <v>-3.012283</v>
      </c>
      <c r="T1785">
        <v>-0.18518309999999999</v>
      </c>
      <c r="U1785">
        <v>0.35903930000000001</v>
      </c>
      <c r="V1785">
        <v>-1.5612590000000001E-2</v>
      </c>
      <c r="W1785">
        <v>-9.0387019999999992E-3</v>
      </c>
      <c r="X1785">
        <v>0.99983729999999904</v>
      </c>
      <c r="Y1785">
        <v>0.1370922</v>
      </c>
      <c r="Z1785">
        <v>5.3696530000000003E-3</v>
      </c>
      <c r="AA1785">
        <v>0.99054370000000003</v>
      </c>
      <c r="AB1785">
        <v>37</v>
      </c>
      <c r="AC1785">
        <v>-17.544799999999999</v>
      </c>
      <c r="AD1785">
        <v>-1.1009844204150001</v>
      </c>
      <c r="AE1785">
        <v>2.1396999999999999</v>
      </c>
      <c r="AF1785">
        <v>2.4663484218944798</v>
      </c>
      <c r="AG1785">
        <v>-1.1009844204150001</v>
      </c>
      <c r="AH1785">
        <v>17.432875634497002</v>
      </c>
      <c r="AI1785">
        <v>93.578213246077894</v>
      </c>
      <c r="AJ1785">
        <v>81.947415542151006</v>
      </c>
      <c r="AK1785">
        <v>17.6408671589585</v>
      </c>
    </row>
    <row r="1786" spans="1:37" x14ac:dyDescent="0.2">
      <c r="A1786" t="str">
        <f>"20200111155828605"</f>
        <v>20200111155828605</v>
      </c>
      <c r="B1786" t="str">
        <f>"1578729508592611"</f>
        <v>1578729508592611</v>
      </c>
      <c r="C1786" t="s">
        <v>37</v>
      </c>
      <c r="D1786">
        <v>6.0493790000000001</v>
      </c>
      <c r="E1786">
        <v>0.55932490000000001</v>
      </c>
      <c r="F1786" t="s">
        <v>50</v>
      </c>
      <c r="G1786">
        <v>-257.3494</v>
      </c>
      <c r="H1786" s="1">
        <v>2.3742040000000002E-6</v>
      </c>
      <c r="I1786">
        <v>285.98349999999999</v>
      </c>
      <c r="J1786">
        <v>-238.65719999999999</v>
      </c>
      <c r="K1786">
        <v>1.1011839999999999</v>
      </c>
      <c r="L1786">
        <v>283.67559999999997</v>
      </c>
      <c r="M1786">
        <v>-0.99977759999999904</v>
      </c>
      <c r="N1786">
        <v>0</v>
      </c>
      <c r="O1786">
        <v>-1.6934069999999999E-2</v>
      </c>
      <c r="P1786">
        <v>-0.99927980000000005</v>
      </c>
      <c r="Q1786">
        <v>-2.122462E-2</v>
      </c>
      <c r="R1786">
        <v>-3.1459729999999998E-2</v>
      </c>
      <c r="S1786">
        <v>-3.0114290000000001</v>
      </c>
      <c r="T1786">
        <v>-0.1741529</v>
      </c>
      <c r="U1786">
        <v>0.36437989999999998</v>
      </c>
      <c r="V1786">
        <v>-1.458665E-2</v>
      </c>
      <c r="W1786">
        <v>-8.5553650000000005E-3</v>
      </c>
      <c r="X1786">
        <v>0.999857</v>
      </c>
      <c r="Y1786">
        <v>0.13666529999999999</v>
      </c>
      <c r="Z1786">
        <v>4.9093469999999997E-3</v>
      </c>
      <c r="AA1786">
        <v>0.99060509999999902</v>
      </c>
      <c r="AB1786">
        <v>37</v>
      </c>
      <c r="AC1786">
        <v>-18.6922</v>
      </c>
      <c r="AD1786">
        <v>-1.1011816257960001</v>
      </c>
      <c r="AE1786">
        <v>2.3079000000000098</v>
      </c>
      <c r="AF1786">
        <v>2.6151892088270898</v>
      </c>
      <c r="AG1786">
        <v>-1.1011816257960001</v>
      </c>
      <c r="AH1786">
        <v>18.5868960785354</v>
      </c>
      <c r="AI1786">
        <v>93.357533882547401</v>
      </c>
      <c r="AJ1786">
        <v>81.991018247518497</v>
      </c>
      <c r="AK1786">
        <v>18.802247775338699</v>
      </c>
    </row>
    <row r="1787" spans="1:37" x14ac:dyDescent="0.2">
      <c r="A1787" t="str">
        <f>"20200111155828626"</f>
        <v>20200111155828626</v>
      </c>
      <c r="B1787" t="str">
        <f>"1578729508622867"</f>
        <v>1578729508622867</v>
      </c>
      <c r="C1787" t="s">
        <v>37</v>
      </c>
      <c r="D1787">
        <v>6.2806829999999998</v>
      </c>
      <c r="E1787">
        <v>0.55867339999999999</v>
      </c>
      <c r="F1787" t="s">
        <v>50</v>
      </c>
      <c r="G1787">
        <v>-257.99259999999998</v>
      </c>
      <c r="H1787" s="1">
        <v>2.7164969999999999E-6</v>
      </c>
      <c r="I1787">
        <v>286.07350000000002</v>
      </c>
      <c r="J1787">
        <v>-239.01499999999999</v>
      </c>
      <c r="K1787">
        <v>1.1013850000000001</v>
      </c>
      <c r="L1787">
        <v>283.67169999999999</v>
      </c>
      <c r="M1787">
        <v>-0.99980740000000001</v>
      </c>
      <c r="N1787">
        <v>0</v>
      </c>
      <c r="O1787">
        <v>-1.4812850000000001E-2</v>
      </c>
      <c r="P1787">
        <v>-0.99941829999999998</v>
      </c>
      <c r="Q1787">
        <v>-2.0310269999999998E-2</v>
      </c>
      <c r="R1787">
        <v>-2.7399739999999999E-2</v>
      </c>
      <c r="S1787">
        <v>-3.010284</v>
      </c>
      <c r="T1787">
        <v>-0.17144039999999999</v>
      </c>
      <c r="U1787">
        <v>0.37332149999999997</v>
      </c>
      <c r="V1787">
        <v>-1.2634859999999999E-2</v>
      </c>
      <c r="W1787">
        <v>-7.3632039999999999E-3</v>
      </c>
      <c r="X1787">
        <v>0.99989309999999998</v>
      </c>
      <c r="Y1787">
        <v>0.13751729999999901</v>
      </c>
      <c r="Z1787">
        <v>4.7378089999999999E-3</v>
      </c>
      <c r="AA1787">
        <v>0.99048809999999998</v>
      </c>
      <c r="AB1787">
        <v>36</v>
      </c>
      <c r="AC1787">
        <v>-18.977599999999899</v>
      </c>
      <c r="AD1787">
        <v>-1.101382283503</v>
      </c>
      <c r="AE1787">
        <v>2.4018000000000299</v>
      </c>
      <c r="AF1787">
        <v>2.6738082243677601</v>
      </c>
      <c r="AG1787">
        <v>-1.101382283503</v>
      </c>
      <c r="AH1787">
        <v>18.877357324764599</v>
      </c>
      <c r="AI1787">
        <v>93.306159518964705</v>
      </c>
      <c r="AJ1787">
        <v>81.938194142416805</v>
      </c>
      <c r="AK1787">
        <v>19.097563010027098</v>
      </c>
    </row>
    <row r="1788" spans="1:37" x14ac:dyDescent="0.2">
      <c r="A1788" t="str">
        <f>"20200111155828650"</f>
        <v>20200111155828650</v>
      </c>
      <c r="B1788" t="str">
        <f>"1578729508642387"</f>
        <v>1578729508642387</v>
      </c>
      <c r="C1788" t="s">
        <v>37</v>
      </c>
      <c r="D1788">
        <v>6.0328819999999999</v>
      </c>
      <c r="E1788">
        <v>0.55843830000000005</v>
      </c>
      <c r="F1788" t="s">
        <v>50</v>
      </c>
      <c r="G1788">
        <v>-257.53960000000001</v>
      </c>
      <c r="H1788" s="1">
        <v>2.47538099999999E-6</v>
      </c>
      <c r="I1788">
        <v>286.01260000000002</v>
      </c>
      <c r="J1788">
        <v>-239.40610000000001</v>
      </c>
      <c r="K1788">
        <v>1.1016010000000001</v>
      </c>
      <c r="L1788">
        <v>283.66809999999998</v>
      </c>
      <c r="M1788">
        <v>-0.99983290000000002</v>
      </c>
      <c r="N1788">
        <v>0</v>
      </c>
      <c r="O1788">
        <v>-1.2707420000000001E-2</v>
      </c>
      <c r="P1788">
        <v>-0.99958880000000006</v>
      </c>
      <c r="Q1788">
        <v>-1.7462720000000001E-2</v>
      </c>
      <c r="R1788">
        <v>-2.2755419999999998E-2</v>
      </c>
      <c r="S1788">
        <v>-3.0085139999999999</v>
      </c>
      <c r="T1788">
        <v>-0.17887229999999901</v>
      </c>
      <c r="U1788">
        <v>0.38018800000000003</v>
      </c>
      <c r="V1788">
        <v>-1.0073230000000001E-2</v>
      </c>
      <c r="W1788">
        <v>-4.2562779999999996E-3</v>
      </c>
      <c r="X1788">
        <v>0.99994019999999995</v>
      </c>
      <c r="Y1788">
        <v>0.1377101</v>
      </c>
      <c r="Z1788">
        <v>4.8261099999999998E-3</v>
      </c>
      <c r="AA1788">
        <v>0.99046080000000003</v>
      </c>
      <c r="AB1788">
        <v>36</v>
      </c>
      <c r="AC1788">
        <v>-18.133500000000002</v>
      </c>
      <c r="AD1788">
        <v>-1.1015985246190001</v>
      </c>
      <c r="AE1788">
        <v>2.3445000000000298</v>
      </c>
      <c r="AF1788">
        <v>2.56544848050352</v>
      </c>
      <c r="AG1788">
        <v>-1.1015985246190001</v>
      </c>
      <c r="AH1788">
        <v>18.036770465803801</v>
      </c>
      <c r="AI1788">
        <v>93.460266678623</v>
      </c>
      <c r="AJ1788">
        <v>81.904869935530101</v>
      </c>
      <c r="AK1788">
        <v>18.251578946810401</v>
      </c>
    </row>
    <row r="1789" spans="1:37" x14ac:dyDescent="0.2">
      <c r="A1789" t="str">
        <f>"20200111155828672"</f>
        <v>20200111155828672</v>
      </c>
      <c r="B1789" t="str">
        <f>"1578729508662882"</f>
        <v>1578729508662882</v>
      </c>
      <c r="C1789" t="s">
        <v>37</v>
      </c>
      <c r="D1789">
        <v>6.0311519999999996</v>
      </c>
      <c r="E1789">
        <v>0.557704599999999</v>
      </c>
      <c r="F1789" t="s">
        <v>50</v>
      </c>
      <c r="G1789">
        <v>-258.4692</v>
      </c>
      <c r="H1789" s="1">
        <v>2.970094E-6</v>
      </c>
      <c r="I1789">
        <v>286.15289999999999</v>
      </c>
      <c r="J1789">
        <v>-239.7533</v>
      </c>
      <c r="K1789">
        <v>1.101782</v>
      </c>
      <c r="L1789">
        <v>283.66539999999998</v>
      </c>
      <c r="M1789">
        <v>-0.99985049999999998</v>
      </c>
      <c r="N1789">
        <v>0</v>
      </c>
      <c r="O1789">
        <v>-1.098113E-2</v>
      </c>
      <c r="P1789">
        <v>-0.99970949999999903</v>
      </c>
      <c r="Q1789">
        <v>-1.5439080000000001E-2</v>
      </c>
      <c r="R1789">
        <v>-1.8513669999999999E-2</v>
      </c>
      <c r="S1789">
        <v>-3.007126</v>
      </c>
      <c r="T1789">
        <v>-0.17377219999999999</v>
      </c>
      <c r="U1789">
        <v>0.39196779999999998</v>
      </c>
      <c r="V1789">
        <v>-7.5442560000000001E-3</v>
      </c>
      <c r="W1789">
        <v>-2.0337929999999999E-3</v>
      </c>
      <c r="X1789">
        <v>0.99996949999999996</v>
      </c>
      <c r="Y1789">
        <v>0.1398876</v>
      </c>
      <c r="Z1789">
        <v>4.6530230000000001E-3</v>
      </c>
      <c r="AA1789">
        <v>0.99015649999999999</v>
      </c>
      <c r="AB1789">
        <v>36</v>
      </c>
      <c r="AC1789">
        <v>-18.715900000000001</v>
      </c>
      <c r="AD1789">
        <v>-1.101779029906</v>
      </c>
      <c r="AE1789">
        <v>2.48750000000001</v>
      </c>
      <c r="AF1789">
        <v>2.6837509209884098</v>
      </c>
      <c r="AG1789">
        <v>-1.101779029906</v>
      </c>
      <c r="AH1789">
        <v>18.624031824289901</v>
      </c>
      <c r="AI1789">
        <v>93.351080720303003</v>
      </c>
      <c r="AJ1789">
        <v>81.800039369066397</v>
      </c>
      <c r="AK1789">
        <v>18.848633834546401</v>
      </c>
    </row>
    <row r="1790" spans="1:37" x14ac:dyDescent="0.2">
      <c r="A1790" t="str">
        <f>"20200111155828694"</f>
        <v>20200111155828694</v>
      </c>
      <c r="B1790" t="str">
        <f>"1578729508683379"</f>
        <v>1578729508683379</v>
      </c>
      <c r="C1790" t="s">
        <v>37</v>
      </c>
      <c r="D1790">
        <v>6.1610639999999997</v>
      </c>
      <c r="E1790">
        <v>0.55690689999999998</v>
      </c>
      <c r="F1790" t="s">
        <v>50</v>
      </c>
      <c r="G1790">
        <v>-258.4316</v>
      </c>
      <c r="H1790" s="1">
        <v>2.950102E-6</v>
      </c>
      <c r="I1790">
        <v>286.14120000000003</v>
      </c>
      <c r="J1790">
        <v>-240.10319999999999</v>
      </c>
      <c r="K1790">
        <v>1.1019299999999901</v>
      </c>
      <c r="L1790">
        <v>283.66320000000002</v>
      </c>
      <c r="M1790">
        <v>-0.99986439999999999</v>
      </c>
      <c r="N1790">
        <v>0</v>
      </c>
      <c r="O1790">
        <v>-9.3636209999999904E-3</v>
      </c>
      <c r="P1790">
        <v>-0.99977299999999902</v>
      </c>
      <c r="Q1790">
        <v>-1.432861E-2</v>
      </c>
      <c r="R1790">
        <v>-1.5777900000000001E-2</v>
      </c>
      <c r="S1790">
        <v>-3.005493</v>
      </c>
      <c r="T1790">
        <v>-0.1772851</v>
      </c>
      <c r="U1790">
        <v>0.39837649999999902</v>
      </c>
      <c r="V1790">
        <v>-6.4180069999999999E-3</v>
      </c>
      <c r="W1790">
        <v>-7.4272740000000002E-4</v>
      </c>
      <c r="X1790">
        <v>0.99997909999999901</v>
      </c>
      <c r="Y1790">
        <v>0.14042170000000001</v>
      </c>
      <c r="Z1790">
        <v>4.6695479999999999E-3</v>
      </c>
      <c r="AA1790">
        <v>0.99008079999999998</v>
      </c>
      <c r="AB1790">
        <v>36</v>
      </c>
      <c r="AC1790">
        <v>-18.328399999999998</v>
      </c>
      <c r="AD1790">
        <v>-1.1019270498979901</v>
      </c>
      <c r="AE1790">
        <v>2.4780000000000002</v>
      </c>
      <c r="AF1790">
        <v>2.6401555655029201</v>
      </c>
      <c r="AG1790">
        <v>-1.1019270498979901</v>
      </c>
      <c r="AH1790">
        <v>18.2396461675173</v>
      </c>
      <c r="AI1790">
        <v>93.421682224497999</v>
      </c>
      <c r="AJ1790">
        <v>81.763744457543595</v>
      </c>
      <c r="AK1790">
        <v>18.462647614835301</v>
      </c>
    </row>
    <row r="1791" spans="1:37" x14ac:dyDescent="0.2">
      <c r="A1791" t="str">
        <f>"20200111155828716"</f>
        <v>20200111155828716</v>
      </c>
      <c r="B1791" t="str">
        <f>"1578729508712658"</f>
        <v>1578729508712658</v>
      </c>
      <c r="C1791" t="s">
        <v>37</v>
      </c>
      <c r="D1791">
        <v>6.2431019999999897</v>
      </c>
      <c r="E1791">
        <v>0.55649869999999901</v>
      </c>
      <c r="F1791" t="s">
        <v>50</v>
      </c>
      <c r="G1791">
        <v>-260.16180000000003</v>
      </c>
      <c r="H1791" s="1">
        <v>-1.4507079999999999E-6</v>
      </c>
      <c r="I1791">
        <v>286.33999999999997</v>
      </c>
      <c r="J1791">
        <v>-240.4659</v>
      </c>
      <c r="K1791">
        <v>1.1020570000000001</v>
      </c>
      <c r="L1791">
        <v>283.66140000000001</v>
      </c>
      <c r="M1791">
        <v>-0.99987549999999903</v>
      </c>
      <c r="N1791">
        <v>0</v>
      </c>
      <c r="O1791">
        <v>-7.7929649999999998E-3</v>
      </c>
      <c r="P1791">
        <v>-0.99977549999999904</v>
      </c>
      <c r="Q1791">
        <v>-1.4474040000000001E-2</v>
      </c>
      <c r="R1791">
        <v>-1.5474979999999999E-2</v>
      </c>
      <c r="S1791">
        <v>-3.0046539999999999</v>
      </c>
      <c r="T1791">
        <v>-0.16506279999999901</v>
      </c>
      <c r="U1791">
        <v>0.40097050000000001</v>
      </c>
      <c r="V1791">
        <v>-7.6858859999999899E-3</v>
      </c>
      <c r="W1791">
        <v>-7.1589769999999997E-4</v>
      </c>
      <c r="X1791">
        <v>0.99997019999999903</v>
      </c>
      <c r="Y1791">
        <v>0.1397796</v>
      </c>
      <c r="Z1791">
        <v>4.24566099999999E-3</v>
      </c>
      <c r="AA1791">
        <v>0.99017350000000004</v>
      </c>
      <c r="AB1791">
        <v>36</v>
      </c>
      <c r="AC1791">
        <v>-19.695900000000002</v>
      </c>
      <c r="AD1791">
        <v>-1.102058450708</v>
      </c>
      <c r="AE1791">
        <v>2.6785999999999599</v>
      </c>
      <c r="AF1791">
        <v>2.82334370450419</v>
      </c>
      <c r="AG1791">
        <v>-1.102058450708</v>
      </c>
      <c r="AH1791">
        <v>19.614132506758502</v>
      </c>
      <c r="AI1791">
        <v>93.183154411960402</v>
      </c>
      <c r="AJ1791">
        <v>81.808859996932199</v>
      </c>
      <c r="AK1791">
        <v>19.846914029521599</v>
      </c>
    </row>
    <row r="1792" spans="1:37" x14ac:dyDescent="0.2">
      <c r="A1792" t="str">
        <f>"20200111155828739"</f>
        <v>20200111155828739</v>
      </c>
      <c r="B1792" t="str">
        <f>"1578729508733156"</f>
        <v>1578729508733156</v>
      </c>
      <c r="C1792" t="s">
        <v>37</v>
      </c>
      <c r="D1792">
        <v>5.9966419999999996</v>
      </c>
      <c r="E1792">
        <v>0.55649869999999901</v>
      </c>
      <c r="F1792" t="s">
        <v>50</v>
      </c>
      <c r="G1792">
        <v>-261.67230000000001</v>
      </c>
      <c r="H1792" s="1">
        <v>-6.4687249999999998E-7</v>
      </c>
      <c r="I1792">
        <v>286.47829999999999</v>
      </c>
      <c r="J1792">
        <v>-240.8536</v>
      </c>
      <c r="K1792">
        <v>1.1021809999999901</v>
      </c>
      <c r="L1792">
        <v>283.6601</v>
      </c>
      <c r="M1792">
        <v>-0.99988449999999995</v>
      </c>
      <c r="N1792">
        <v>0</v>
      </c>
      <c r="O1792">
        <v>-6.1964759999999898E-3</v>
      </c>
      <c r="P1792">
        <v>-0.99975349999999996</v>
      </c>
      <c r="Q1792">
        <v>-1.473022E-2</v>
      </c>
      <c r="R1792">
        <v>-1.6616599999999999E-2</v>
      </c>
      <c r="S1792">
        <v>-3.004578</v>
      </c>
      <c r="T1792">
        <v>-0.1561427</v>
      </c>
      <c r="U1792">
        <v>0.39910889999999999</v>
      </c>
      <c r="V1792">
        <v>-1.042472E-2</v>
      </c>
      <c r="W1792">
        <v>-8.083252E-4</v>
      </c>
      <c r="X1792">
        <v>0.99994530000000004</v>
      </c>
      <c r="Y1792">
        <v>0.13762679999999999</v>
      </c>
      <c r="Z1792">
        <v>3.8785690000000001E-3</v>
      </c>
      <c r="AA1792">
        <v>0.99047649999999998</v>
      </c>
      <c r="AB1792">
        <v>36</v>
      </c>
      <c r="AC1792">
        <v>-20.8187</v>
      </c>
      <c r="AD1792">
        <v>-1.1021816468725001</v>
      </c>
      <c r="AE1792">
        <v>2.8181999999999898</v>
      </c>
      <c r="AF1792">
        <v>2.9390713592848101</v>
      </c>
      <c r="AG1792">
        <v>-1.1021816468725001</v>
      </c>
      <c r="AH1792">
        <v>20.743740403717201</v>
      </c>
      <c r="AI1792">
        <v>93.011428877921404</v>
      </c>
      <c r="AJ1792">
        <v>81.935738972888203</v>
      </c>
      <c r="AK1792">
        <v>20.979888245042702</v>
      </c>
    </row>
    <row r="1793" spans="1:37" x14ac:dyDescent="0.2">
      <c r="A1793" t="str">
        <f>"20200111155828762"</f>
        <v>20200111155828762</v>
      </c>
      <c r="B1793" t="str">
        <f>"1578729508752674"</f>
        <v>1578729508752674</v>
      </c>
      <c r="C1793" t="s">
        <v>37</v>
      </c>
      <c r="D1793">
        <v>5.8066459999999998</v>
      </c>
      <c r="E1793">
        <v>0.49804199999999998</v>
      </c>
      <c r="F1793" t="s">
        <v>50</v>
      </c>
      <c r="G1793">
        <v>-261.95429999999999</v>
      </c>
      <c r="H1793" s="1">
        <v>-4.9678840000000001E-7</v>
      </c>
      <c r="I1793">
        <v>286.43900000000002</v>
      </c>
      <c r="J1793">
        <v>-241.20939999999999</v>
      </c>
      <c r="K1793">
        <v>1.1022780000000001</v>
      </c>
      <c r="L1793">
        <v>283.65940000000001</v>
      </c>
      <c r="M1793">
        <v>-0.99989059999999896</v>
      </c>
      <c r="N1793">
        <v>0</v>
      </c>
      <c r="O1793">
        <v>-4.7753120000000003E-3</v>
      </c>
      <c r="P1793">
        <v>-0.99972969999999906</v>
      </c>
      <c r="Q1793">
        <v>-1.4042839999999999E-2</v>
      </c>
      <c r="R1793">
        <v>-1.854188E-2</v>
      </c>
      <c r="S1793">
        <v>-3.0050050000000001</v>
      </c>
      <c r="T1793">
        <v>-0.1569641</v>
      </c>
      <c r="U1793">
        <v>0.39575199999999999</v>
      </c>
      <c r="V1793">
        <v>-1.3767110000000001E-2</v>
      </c>
      <c r="W1793" s="1">
        <v>1.1289639999999901E-5</v>
      </c>
      <c r="X1793">
        <v>0.99990519999999905</v>
      </c>
      <c r="Y1793">
        <v>0.13511609999999999</v>
      </c>
      <c r="Z1793">
        <v>3.7595459999999999E-3</v>
      </c>
      <c r="AA1793">
        <v>0.99082269999999995</v>
      </c>
      <c r="AB1793">
        <v>36</v>
      </c>
      <c r="AC1793">
        <v>-20.744900000000001</v>
      </c>
      <c r="AD1793">
        <v>-1.1022784967884001</v>
      </c>
      <c r="AE1793">
        <v>2.7796000000000101</v>
      </c>
      <c r="AF1793">
        <v>2.87067947713855</v>
      </c>
      <c r="AG1793">
        <v>-1.1022784967884001</v>
      </c>
      <c r="AH1793">
        <v>20.674048663318501</v>
      </c>
      <c r="AI1793">
        <v>93.023001224249398</v>
      </c>
      <c r="AJ1793">
        <v>82.094784529440005</v>
      </c>
      <c r="AK1793">
        <v>20.9014857528886</v>
      </c>
    </row>
    <row r="1794" spans="1:37" x14ac:dyDescent="0.2">
      <c r="A1794" t="str">
        <f>"20200111155828783"</f>
        <v>20200111155828783</v>
      </c>
      <c r="B1794" t="str">
        <f>"1578729508773170"</f>
        <v>1578729508773170</v>
      </c>
      <c r="C1794" t="s">
        <v>37</v>
      </c>
      <c r="D1794">
        <v>5.7755729999999996</v>
      </c>
      <c r="E1794">
        <v>0.49721189999999998</v>
      </c>
      <c r="F1794" t="s">
        <v>50</v>
      </c>
      <c r="G1794">
        <v>-265.50549999999998</v>
      </c>
      <c r="H1794" s="1">
        <v>1.3929569999999999E-6</v>
      </c>
      <c r="I1794">
        <v>283.04469999999998</v>
      </c>
      <c r="J1794">
        <v>-241.56460000000001</v>
      </c>
      <c r="K1794">
        <v>1.10236</v>
      </c>
      <c r="L1794">
        <v>283.65910000000002</v>
      </c>
      <c r="M1794">
        <v>-0.99989490000000003</v>
      </c>
      <c r="N1794">
        <v>0</v>
      </c>
      <c r="O1794">
        <v>-3.37931E-3</v>
      </c>
      <c r="P1794">
        <v>-0.99970040000000004</v>
      </c>
      <c r="Q1794">
        <v>-1.277696E-2</v>
      </c>
      <c r="R1794">
        <v>-2.087458E-2</v>
      </c>
      <c r="S1794">
        <v>-2.99749799999999</v>
      </c>
      <c r="T1794">
        <v>-0.1359919</v>
      </c>
      <c r="U1794">
        <v>-7.5836180000000003E-2</v>
      </c>
      <c r="V1794">
        <v>-1.7490740000000001E-2</v>
      </c>
      <c r="W1794">
        <v>1.3926660000000001E-3</v>
      </c>
      <c r="X1794">
        <v>0.99984599999999901</v>
      </c>
      <c r="Y1794">
        <v>-2.1893989999999999E-2</v>
      </c>
      <c r="Z1794">
        <v>-3.4308989999999899E-4</v>
      </c>
      <c r="AA1794">
        <v>0.99976019999999899</v>
      </c>
      <c r="AB1794">
        <v>36</v>
      </c>
      <c r="AC1794">
        <v>-23.9408999999999</v>
      </c>
      <c r="AD1794">
        <v>-1.102358607043</v>
      </c>
      <c r="AE1794">
        <v>-0.61440000000004602</v>
      </c>
      <c r="AF1794">
        <v>-0.53235679769466404</v>
      </c>
      <c r="AG1794">
        <v>-1.102358607043</v>
      </c>
      <c r="AH1794">
        <v>23.8922181832482</v>
      </c>
      <c r="AI1794">
        <v>92.641031250229602</v>
      </c>
      <c r="AJ1794">
        <v>91.276430310225905</v>
      </c>
      <c r="AK1794">
        <v>23.923559266432498</v>
      </c>
    </row>
    <row r="1795" spans="1:37" x14ac:dyDescent="0.2">
      <c r="A1795" t="str">
        <f>"20200111155828805"</f>
        <v>20200111155828805</v>
      </c>
      <c r="B1795" t="str">
        <f>"1578729508802451"</f>
        <v>1578729508802451</v>
      </c>
      <c r="C1795" t="s">
        <v>37</v>
      </c>
      <c r="D1795">
        <v>5.8802709999999996</v>
      </c>
      <c r="E1795">
        <v>0.49547790000000003</v>
      </c>
      <c r="F1795" t="s">
        <v>50</v>
      </c>
      <c r="G1795">
        <v>-259.53609999999998</v>
      </c>
      <c r="H1795" s="1">
        <v>3.5378639999999999E-6</v>
      </c>
      <c r="I1795">
        <v>283.10579999999999</v>
      </c>
      <c r="J1795">
        <v>-241.90649999999999</v>
      </c>
      <c r="K1795">
        <v>1.1024290000000001</v>
      </c>
      <c r="L1795">
        <v>283.65940000000001</v>
      </c>
      <c r="M1795">
        <v>-0.99989729999999999</v>
      </c>
      <c r="N1795">
        <v>0</v>
      </c>
      <c r="O1795">
        <v>-2.0475409999999999E-3</v>
      </c>
      <c r="P1795">
        <v>-0.99965990000000005</v>
      </c>
      <c r="Q1795">
        <v>-1.2854640000000001E-2</v>
      </c>
      <c r="R1795">
        <v>-2.269736E-2</v>
      </c>
      <c r="S1795">
        <v>-2.9966279999999998</v>
      </c>
      <c r="T1795">
        <v>-0.18381</v>
      </c>
      <c r="U1795">
        <v>-9.2254639999999999E-2</v>
      </c>
      <c r="V1795">
        <v>-2.0644909999999999E-2</v>
      </c>
      <c r="W1795">
        <v>1.410309E-3</v>
      </c>
      <c r="X1795">
        <v>0.99978590000000001</v>
      </c>
      <c r="Y1795">
        <v>-2.8674740000000001E-2</v>
      </c>
      <c r="Z1795">
        <v>-7.5294789999999902E-4</v>
      </c>
      <c r="AA1795">
        <v>0.99958849999999999</v>
      </c>
      <c r="AB1795">
        <v>36</v>
      </c>
      <c r="AC1795">
        <v>-17.6295999999999</v>
      </c>
      <c r="AD1795">
        <v>-1.1024254621359999</v>
      </c>
      <c r="AE1795">
        <v>-0.55360000000001697</v>
      </c>
      <c r="AF1795">
        <v>-0.515484150473283</v>
      </c>
      <c r="AG1795">
        <v>-1.1024254621359999</v>
      </c>
      <c r="AH1795">
        <v>17.562090727144199</v>
      </c>
      <c r="AI1795">
        <v>93.590373847882205</v>
      </c>
      <c r="AJ1795">
        <v>91.681268428371098</v>
      </c>
      <c r="AK1795">
        <v>17.604206784669302</v>
      </c>
    </row>
    <row r="1796" spans="1:37" x14ac:dyDescent="0.2">
      <c r="A1796" t="str">
        <f>"20200111155828827"</f>
        <v>20200111155828827</v>
      </c>
      <c r="B1796" t="str">
        <f>"1578729508822947"</f>
        <v>1578729508822947</v>
      </c>
      <c r="C1796" t="s">
        <v>37</v>
      </c>
      <c r="D1796">
        <v>5.7629479999999997</v>
      </c>
      <c r="E1796">
        <v>0.49587490000000001</v>
      </c>
      <c r="F1796" t="s">
        <v>50</v>
      </c>
      <c r="G1796">
        <v>-258.96429999999998</v>
      </c>
      <c r="H1796" s="1">
        <v>3.2335640000000001E-6</v>
      </c>
      <c r="I1796">
        <v>283.01940000000002</v>
      </c>
      <c r="J1796">
        <v>-242.27010000000001</v>
      </c>
      <c r="K1796">
        <v>1.1024799999999999</v>
      </c>
      <c r="L1796">
        <v>283.66000000000003</v>
      </c>
      <c r="M1796">
        <v>-0.99989810000000001</v>
      </c>
      <c r="N1796">
        <v>0</v>
      </c>
      <c r="O1796">
        <v>-6.3577419999999896E-4</v>
      </c>
      <c r="P1796">
        <v>-0.99964679999999995</v>
      </c>
      <c r="Q1796">
        <v>-1.3524599999999999E-2</v>
      </c>
      <c r="R1796">
        <v>-2.287925E-2</v>
      </c>
      <c r="S1796">
        <v>-2.995987</v>
      </c>
      <c r="T1796">
        <v>-0.19362670000000001</v>
      </c>
      <c r="U1796">
        <v>-0.1123962</v>
      </c>
      <c r="V1796">
        <v>-2.2241009999999999E-2</v>
      </c>
      <c r="W1796">
        <v>8.2236919999999995E-4</v>
      </c>
      <c r="X1796">
        <v>0.99975230000000004</v>
      </c>
      <c r="Y1796">
        <v>-3.6778529999999997E-2</v>
      </c>
      <c r="Z1796">
        <v>-1.145783E-3</v>
      </c>
      <c r="AA1796">
        <v>0.99932279999999996</v>
      </c>
      <c r="AB1796">
        <v>36</v>
      </c>
      <c r="AC1796">
        <v>-16.694199999999899</v>
      </c>
      <c r="AD1796">
        <v>-1.102476766436</v>
      </c>
      <c r="AE1796">
        <v>-0.64060000000000605</v>
      </c>
      <c r="AF1796">
        <v>-0.62725348309232298</v>
      </c>
      <c r="AG1796">
        <v>-1.102476766436</v>
      </c>
      <c r="AH1796">
        <v>16.622217437268802</v>
      </c>
      <c r="AI1796">
        <v>93.791922083399399</v>
      </c>
      <c r="AJ1796">
        <v>92.161079470649597</v>
      </c>
      <c r="AK1796">
        <v>16.6705433170136</v>
      </c>
    </row>
    <row r="1797" spans="1:37" x14ac:dyDescent="0.2">
      <c r="A1797" t="str">
        <f>"20200111155828851"</f>
        <v>20200111155828851</v>
      </c>
      <c r="B1797" t="str">
        <f>"1578729508842467"</f>
        <v>1578729508842467</v>
      </c>
      <c r="C1797" t="s">
        <v>37</v>
      </c>
      <c r="D1797">
        <v>6.8738089999999996</v>
      </c>
      <c r="E1797">
        <v>0.49613699999999999</v>
      </c>
      <c r="F1797" t="s">
        <v>50</v>
      </c>
      <c r="G1797">
        <v>-258.24200000000002</v>
      </c>
      <c r="H1797" s="1">
        <v>2.8491759999999999E-6</v>
      </c>
      <c r="I1797">
        <v>283.070999999999</v>
      </c>
      <c r="J1797">
        <v>-242.64410000000001</v>
      </c>
      <c r="K1797">
        <v>1.1025209999999901</v>
      </c>
      <c r="L1797">
        <v>283.66129999999998</v>
      </c>
      <c r="M1797">
        <v>-0.99989689999999998</v>
      </c>
      <c r="N1797">
        <v>0</v>
      </c>
      <c r="O1797">
        <v>8.1463550000000003E-4</v>
      </c>
      <c r="P1797">
        <v>-0.9996526</v>
      </c>
      <c r="Q1797">
        <v>-1.529195E-2</v>
      </c>
      <c r="R1797">
        <v>-2.1470360000000001E-2</v>
      </c>
      <c r="S1797">
        <v>-2.995743</v>
      </c>
      <c r="T1797">
        <v>-0.20678440000000001</v>
      </c>
      <c r="U1797">
        <v>-0.11047360000000001</v>
      </c>
      <c r="V1797">
        <v>-2.2288200000000001E-2</v>
      </c>
      <c r="W1797">
        <v>-8.7826720000000003E-4</v>
      </c>
      <c r="X1797">
        <v>0.99975119999999895</v>
      </c>
      <c r="Y1797">
        <v>-3.7574749999999997E-2</v>
      </c>
      <c r="Z1797">
        <v>-1.350991E-3</v>
      </c>
      <c r="AA1797">
        <v>0.99929290000000004</v>
      </c>
      <c r="AB1797">
        <v>36</v>
      </c>
      <c r="AC1797">
        <v>-15.597899999999999</v>
      </c>
      <c r="AD1797">
        <v>-1.1025181508239901</v>
      </c>
      <c r="AE1797">
        <v>-0.59030000000001304</v>
      </c>
      <c r="AF1797">
        <v>-0.600014213514656</v>
      </c>
      <c r="AG1797">
        <v>-1.1025181508239901</v>
      </c>
      <c r="AH1797">
        <v>15.5199839523373</v>
      </c>
      <c r="AI1797">
        <v>94.060363543028402</v>
      </c>
      <c r="AJ1797">
        <v>92.213995172780798</v>
      </c>
      <c r="AK1797">
        <v>15.5706603973667</v>
      </c>
    </row>
    <row r="1798" spans="1:37" x14ac:dyDescent="0.2">
      <c r="A1798" t="str">
        <f>"20200111155828872"</f>
        <v>20200111155828872</v>
      </c>
      <c r="B1798" t="str">
        <f>"1578729508862962"</f>
        <v>1578729508862962</v>
      </c>
      <c r="C1798" t="s">
        <v>37</v>
      </c>
      <c r="D1798">
        <v>5.8294949999999996</v>
      </c>
      <c r="E1798">
        <v>0.49151129999999998</v>
      </c>
      <c r="F1798" t="s">
        <v>50</v>
      </c>
      <c r="G1798">
        <v>-257.85599999999999</v>
      </c>
      <c r="H1798" s="1">
        <v>2.6438060000000002E-6</v>
      </c>
      <c r="I1798">
        <v>283.13119999999998</v>
      </c>
      <c r="J1798">
        <v>-242.99270000000001</v>
      </c>
      <c r="K1798">
        <v>1.1025499999999999</v>
      </c>
      <c r="L1798">
        <v>283.66300000000001</v>
      </c>
      <c r="M1798">
        <v>-0.99989409999999901</v>
      </c>
      <c r="N1798">
        <v>0</v>
      </c>
      <c r="O1798">
        <v>2.1681829999999902E-3</v>
      </c>
      <c r="P1798">
        <v>-0.99968809999999997</v>
      </c>
      <c r="Q1798">
        <v>-1.6272470000000001E-2</v>
      </c>
      <c r="R1798">
        <v>-1.895107E-2</v>
      </c>
      <c r="S1798">
        <v>-2.9954990000000001</v>
      </c>
      <c r="T1798">
        <v>-0.21710470000000001</v>
      </c>
      <c r="U1798">
        <v>-0.1044006</v>
      </c>
      <c r="V1798">
        <v>-2.1125439999999999E-2</v>
      </c>
      <c r="W1798">
        <v>-1.8090479999999999E-3</v>
      </c>
      <c r="X1798">
        <v>0.99977519999999998</v>
      </c>
      <c r="Y1798">
        <v>-3.6896030000000003E-2</v>
      </c>
      <c r="Z1798">
        <v>-1.491809E-3</v>
      </c>
      <c r="AA1798">
        <v>0.99931800000000004</v>
      </c>
      <c r="AB1798">
        <v>36</v>
      </c>
      <c r="AC1798">
        <v>-14.863299999999899</v>
      </c>
      <c r="AD1798">
        <v>-1.102547356194</v>
      </c>
      <c r="AE1798">
        <v>-0.53180000000003202</v>
      </c>
      <c r="AF1798">
        <v>-0.560945755625472</v>
      </c>
      <c r="AG1798">
        <v>-1.102547356194</v>
      </c>
      <c r="AH1798">
        <v>14.780883330076501</v>
      </c>
      <c r="AI1798">
        <v>94.262894422069706</v>
      </c>
      <c r="AJ1798">
        <v>92.173375368222693</v>
      </c>
      <c r="AK1798">
        <v>14.8325582025063</v>
      </c>
    </row>
    <row r="1799" spans="1:37" x14ac:dyDescent="0.2">
      <c r="A1799" t="str">
        <f>"20200111155828895"</f>
        <v>20200111155828895</v>
      </c>
      <c r="B1799" t="str">
        <f>"1578729508882482"</f>
        <v>1578729508882482</v>
      </c>
      <c r="C1799" t="s">
        <v>37</v>
      </c>
      <c r="D1799">
        <v>5.8573740000000001</v>
      </c>
      <c r="E1799">
        <v>0.49161090000000002</v>
      </c>
      <c r="F1799" t="s">
        <v>52</v>
      </c>
      <c r="G1799">
        <v>-437.47680000000003</v>
      </c>
      <c r="H1799">
        <v>8.0000879999999996E-2</v>
      </c>
      <c r="I1799">
        <v>275.69560000000001</v>
      </c>
      <c r="J1799">
        <v>-243.34620000000001</v>
      </c>
      <c r="K1799">
        <v>1.1025750000000001</v>
      </c>
      <c r="L1799">
        <v>283.66520000000003</v>
      </c>
      <c r="M1799">
        <v>-0.99988949999999999</v>
      </c>
      <c r="N1799">
        <v>0</v>
      </c>
      <c r="O1799">
        <v>3.5426799999999999E-3</v>
      </c>
      <c r="P1799">
        <v>-0.99972809999999901</v>
      </c>
      <c r="Q1799">
        <v>-1.689769E-2</v>
      </c>
      <c r="R1799">
        <v>-1.6081640000000001E-2</v>
      </c>
      <c r="S1799">
        <v>-2.9983520000000001</v>
      </c>
      <c r="T1799">
        <v>-1.5764589999999998E-2</v>
      </c>
      <c r="U1799">
        <v>-0.12283330000000001</v>
      </c>
      <c r="V1799">
        <v>-1.9632279999999998E-2</v>
      </c>
      <c r="W1799">
        <v>-2.392496E-3</v>
      </c>
      <c r="X1799">
        <v>0.99980440000000004</v>
      </c>
      <c r="Y1799">
        <v>-4.4471759999999999E-2</v>
      </c>
      <c r="Z1799">
        <v>-1.3548179999999999E-4</v>
      </c>
      <c r="AA1799">
        <v>0.99901059999999997</v>
      </c>
      <c r="AB1799">
        <v>36</v>
      </c>
      <c r="AC1799">
        <v>-194.13059999999999</v>
      </c>
      <c r="AD1799">
        <v>-1.02257412</v>
      </c>
      <c r="AE1799">
        <v>-7.9696000000000096</v>
      </c>
      <c r="AF1799">
        <v>-8.6571244615350906</v>
      </c>
      <c r="AG1799">
        <v>-1.02257412</v>
      </c>
      <c r="AH1799">
        <v>194.09576849536001</v>
      </c>
      <c r="AI1799">
        <v>90.3015544872639</v>
      </c>
      <c r="AJ1799">
        <v>92.553832936689901</v>
      </c>
      <c r="AK1799">
        <v>194.29142752467999</v>
      </c>
    </row>
    <row r="1800" spans="1:37" x14ac:dyDescent="0.2">
      <c r="A1800" t="str">
        <f>"20200111155828917"</f>
        <v>20200111155828917</v>
      </c>
      <c r="B1800" t="str">
        <f>"1578729508912739"</f>
        <v>1578729508912739</v>
      </c>
      <c r="C1800" t="s">
        <v>37</v>
      </c>
      <c r="D1800">
        <v>6.0071690000000002</v>
      </c>
      <c r="E1800">
        <v>0.48861149999999998</v>
      </c>
      <c r="F1800" t="s">
        <v>50</v>
      </c>
      <c r="G1800">
        <v>-353.08010000000002</v>
      </c>
      <c r="H1800">
        <v>8.0000559999999998E-2</v>
      </c>
      <c r="I1800">
        <v>279.49160000000001</v>
      </c>
      <c r="J1800">
        <v>-243.70769999999999</v>
      </c>
      <c r="K1800">
        <v>1.1026009999999999</v>
      </c>
      <c r="L1800">
        <v>283.66789999999997</v>
      </c>
      <c r="M1800">
        <v>-0.99988290000000002</v>
      </c>
      <c r="N1800">
        <v>0</v>
      </c>
      <c r="O1800">
        <v>4.9510439999999999E-3</v>
      </c>
      <c r="P1800">
        <v>-0.99977519999999998</v>
      </c>
      <c r="Q1800">
        <v>-1.6629479999999999E-2</v>
      </c>
      <c r="R1800">
        <v>-1.314421E-2</v>
      </c>
      <c r="S1800">
        <v>-2.99848899999999</v>
      </c>
      <c r="T1800">
        <v>-2.7941939999999998E-2</v>
      </c>
      <c r="U1800">
        <v>-0.1140442</v>
      </c>
      <c r="V1800">
        <v>-1.810144E-2</v>
      </c>
      <c r="W1800">
        <v>-2.0883669999999998E-3</v>
      </c>
      <c r="X1800">
        <v>0.999834</v>
      </c>
      <c r="Y1800">
        <v>-4.2951839999999998E-2</v>
      </c>
      <c r="Z1800">
        <v>-2.4617569999999997E-4</v>
      </c>
      <c r="AA1800">
        <v>0.99907710000000005</v>
      </c>
      <c r="AB1800">
        <v>36</v>
      </c>
      <c r="AC1800">
        <v>-109.3724</v>
      </c>
      <c r="AD1800">
        <v>-1.0226004399999999</v>
      </c>
      <c r="AE1800">
        <v>-4.1762999999999604</v>
      </c>
      <c r="AF1800">
        <v>-4.7174013648427202</v>
      </c>
      <c r="AG1800">
        <v>-1.0226004399999999</v>
      </c>
      <c r="AH1800">
        <v>109.340835639304</v>
      </c>
      <c r="AI1800">
        <v>90.535340077581793</v>
      </c>
      <c r="AJ1800">
        <v>92.470437227810294</v>
      </c>
      <c r="AK1800">
        <v>109.44732945850301</v>
      </c>
    </row>
    <row r="1801" spans="1:37" x14ac:dyDescent="0.2">
      <c r="A1801" t="str">
        <f>"20200111155828940"</f>
        <v>20200111155828940</v>
      </c>
      <c r="B1801" t="str">
        <f>"1578729508933235"</f>
        <v>1578729508933235</v>
      </c>
      <c r="C1801" t="s">
        <v>37</v>
      </c>
      <c r="D1801">
        <v>6.0731449999999896</v>
      </c>
      <c r="E1801">
        <v>0.48676940000000002</v>
      </c>
      <c r="F1801" t="s">
        <v>52</v>
      </c>
      <c r="G1801">
        <v>-298.95650000000001</v>
      </c>
      <c r="H1801" s="1">
        <v>4.0881669999999998E-6</v>
      </c>
      <c r="I1801">
        <v>281.25689999999997</v>
      </c>
      <c r="J1801">
        <v>-244.0737</v>
      </c>
      <c r="K1801">
        <v>1.1026309999999999</v>
      </c>
      <c r="L1801">
        <v>283.67110000000002</v>
      </c>
      <c r="M1801">
        <v>-0.99987440000000005</v>
      </c>
      <c r="N1801">
        <v>0</v>
      </c>
      <c r="O1801">
        <v>6.3774809999999999E-3</v>
      </c>
      <c r="P1801">
        <v>-0.99981239999999905</v>
      </c>
      <c r="Q1801">
        <v>-1.6262860000000001E-2</v>
      </c>
      <c r="R1801">
        <v>-1.053192E-2</v>
      </c>
      <c r="S1801">
        <v>-2.9979709999999899</v>
      </c>
      <c r="T1801">
        <v>-5.9830429999999997E-2</v>
      </c>
      <c r="U1801">
        <v>-0.1308289</v>
      </c>
      <c r="V1801">
        <v>-1.691432E-2</v>
      </c>
      <c r="W1801">
        <v>-1.6904159999999999E-3</v>
      </c>
      <c r="X1801">
        <v>0.99985550000000001</v>
      </c>
      <c r="Y1801">
        <v>-4.9957660000000001E-2</v>
      </c>
      <c r="Z1801">
        <v>-6.2543440000000004E-4</v>
      </c>
      <c r="AA1801">
        <v>0.99875119999999895</v>
      </c>
      <c r="AB1801">
        <v>36</v>
      </c>
      <c r="AC1801">
        <v>-54.882800000000003</v>
      </c>
      <c r="AD1801">
        <v>-1.1026269118330001</v>
      </c>
      <c r="AE1801">
        <v>-2.4142000000000499</v>
      </c>
      <c r="AF1801">
        <v>-2.7630886400322101</v>
      </c>
      <c r="AG1801">
        <v>-1.1026269118330001</v>
      </c>
      <c r="AH1801">
        <v>54.844191442570398</v>
      </c>
      <c r="AI1801">
        <v>91.150301692532196</v>
      </c>
      <c r="AJ1801">
        <v>92.884162799283899</v>
      </c>
      <c r="AK1801">
        <v>54.924819343614502</v>
      </c>
    </row>
    <row r="1802" spans="1:37" x14ac:dyDescent="0.2">
      <c r="A1802" t="str">
        <f>"20200111155828962"</f>
        <v>20200111155828962</v>
      </c>
      <c r="B1802" t="str">
        <f>"1578729508952754"</f>
        <v>1578729508952754</v>
      </c>
      <c r="C1802" t="s">
        <v>37</v>
      </c>
      <c r="D1802">
        <v>5.8307339999999996</v>
      </c>
      <c r="E1802">
        <v>0.48836930000000001</v>
      </c>
      <c r="F1802" t="s">
        <v>52</v>
      </c>
      <c r="G1802">
        <v>-286.77069999999998</v>
      </c>
      <c r="H1802" s="1">
        <v>6.0033349999999997E-6</v>
      </c>
      <c r="I1802">
        <v>281.6952</v>
      </c>
      <c r="J1802">
        <v>-244.43090000000001</v>
      </c>
      <c r="K1802">
        <v>1.102651</v>
      </c>
      <c r="L1802">
        <v>283.6748</v>
      </c>
      <c r="M1802">
        <v>-0.99986409999999903</v>
      </c>
      <c r="N1802">
        <v>0</v>
      </c>
      <c r="O1802">
        <v>7.7705489999999999E-3</v>
      </c>
      <c r="P1802">
        <v>-0.99983759999999999</v>
      </c>
      <c r="Q1802">
        <v>-1.5971030000000001E-2</v>
      </c>
      <c r="R1802">
        <v>-8.362431E-3</v>
      </c>
      <c r="S1802">
        <v>-2.997849</v>
      </c>
      <c r="T1802">
        <v>-7.7417730000000004E-2</v>
      </c>
      <c r="U1802">
        <v>-0.13873289999999999</v>
      </c>
      <c r="V1802">
        <v>-1.6137189999999999E-2</v>
      </c>
      <c r="W1802">
        <v>-1.3720329999999999E-3</v>
      </c>
      <c r="X1802">
        <v>0.99986889999999995</v>
      </c>
      <c r="Y1802">
        <v>-5.396915E-2</v>
      </c>
      <c r="Z1802">
        <v>-8.9693070000000001E-4</v>
      </c>
      <c r="AA1802">
        <v>0.99854219999999905</v>
      </c>
      <c r="AB1802">
        <v>36</v>
      </c>
      <c r="AC1802">
        <v>-42.339799999999897</v>
      </c>
      <c r="AD1802">
        <v>-1.102644996665</v>
      </c>
      <c r="AE1802">
        <v>-1.9796</v>
      </c>
      <c r="AF1802">
        <v>-2.3070172288028701</v>
      </c>
      <c r="AG1802">
        <v>-1.102644996665</v>
      </c>
      <c r="AH1802">
        <v>42.2945146079023</v>
      </c>
      <c r="AI1802">
        <v>91.491183544350505</v>
      </c>
      <c r="AJ1802">
        <v>93.122189492670003</v>
      </c>
      <c r="AK1802">
        <v>42.371737283249601</v>
      </c>
    </row>
    <row r="1803" spans="1:37" x14ac:dyDescent="0.2">
      <c r="A1803" t="str">
        <f>"20200111155828978"</f>
        <v>20200111155828978</v>
      </c>
      <c r="B1803" t="str">
        <f>"1578729508973252"</f>
        <v>1578729508973252</v>
      </c>
      <c r="C1803" t="s">
        <v>37</v>
      </c>
      <c r="D1803">
        <v>5.9519719999999996</v>
      </c>
      <c r="E1803">
        <v>0.48908059999999998</v>
      </c>
      <c r="F1803" t="s">
        <v>50</v>
      </c>
      <c r="G1803">
        <v>-279.25080000000003</v>
      </c>
      <c r="H1803" s="1">
        <v>3.488241E-6</v>
      </c>
      <c r="I1803">
        <v>282.27800000000002</v>
      </c>
      <c r="J1803">
        <v>-244.6788</v>
      </c>
      <c r="K1803">
        <v>1.102665</v>
      </c>
      <c r="L1803">
        <v>283.67770000000002</v>
      </c>
      <c r="M1803">
        <v>-0.99985579999999996</v>
      </c>
      <c r="N1803">
        <v>0</v>
      </c>
      <c r="O1803">
        <v>8.737234E-3</v>
      </c>
      <c r="P1803">
        <v>-0.99984869999999904</v>
      </c>
      <c r="Q1803">
        <v>-1.5907930000000001E-2</v>
      </c>
      <c r="R1803">
        <v>-7.0402429999999998E-3</v>
      </c>
      <c r="S1803">
        <v>-2.9979709999999899</v>
      </c>
      <c r="T1803">
        <v>-9.4937209999999994E-2</v>
      </c>
      <c r="U1803">
        <v>-0.1202698</v>
      </c>
      <c r="V1803">
        <v>-1.578104E-2</v>
      </c>
      <c r="W1803">
        <v>-1.292907E-3</v>
      </c>
      <c r="X1803">
        <v>0.99987469999999901</v>
      </c>
      <c r="Y1803">
        <v>-4.8785639999999998E-2</v>
      </c>
      <c r="Z1803">
        <v>-1.0484889999999899E-3</v>
      </c>
      <c r="AA1803">
        <v>0.99880869999999999</v>
      </c>
      <c r="AB1803">
        <v>36</v>
      </c>
      <c r="AC1803">
        <v>-34.572000000000003</v>
      </c>
      <c r="AD1803">
        <v>-1.102661511759</v>
      </c>
      <c r="AE1803">
        <v>-1.39969999999999</v>
      </c>
      <c r="AF1803">
        <v>-1.7000157036836001</v>
      </c>
      <c r="AG1803">
        <v>-1.102661511759</v>
      </c>
      <c r="AH1803">
        <v>34.523387223301199</v>
      </c>
      <c r="AI1803">
        <v>91.827167182036106</v>
      </c>
      <c r="AJ1803">
        <v>92.819106650434193</v>
      </c>
      <c r="AK1803">
        <v>34.582801812060801</v>
      </c>
    </row>
    <row r="1804" spans="1:37" x14ac:dyDescent="0.2">
      <c r="A1804" t="str">
        <f>"20200111155828995"</f>
        <v>20200111155828995</v>
      </c>
      <c r="B1804" t="str">
        <f>"1578729508992771"</f>
        <v>1578729508992771</v>
      </c>
      <c r="C1804" t="s">
        <v>37</v>
      </c>
      <c r="D1804">
        <v>6.0061859999999996</v>
      </c>
      <c r="E1804">
        <v>0.48811090000000001</v>
      </c>
      <c r="F1804" t="s">
        <v>50</v>
      </c>
      <c r="G1804">
        <v>-271.8322</v>
      </c>
      <c r="H1804" s="1">
        <v>-4.7635520000000002E-7</v>
      </c>
      <c r="I1804">
        <v>282.66239999999999</v>
      </c>
      <c r="J1804">
        <v>-244.95699999999999</v>
      </c>
      <c r="K1804">
        <v>1.1026799999999899</v>
      </c>
      <c r="L1804">
        <v>283.68119999999999</v>
      </c>
      <c r="M1804">
        <v>-0.9998454</v>
      </c>
      <c r="N1804">
        <v>0</v>
      </c>
      <c r="O1804">
        <v>9.8221699999999999E-3</v>
      </c>
      <c r="P1804">
        <v>-0.99985859999999904</v>
      </c>
      <c r="Q1804">
        <v>-1.5776200000000001E-2</v>
      </c>
      <c r="R1804">
        <v>-5.8244430000000003E-3</v>
      </c>
      <c r="S1804">
        <v>-2.9977109999999998</v>
      </c>
      <c r="T1804">
        <v>-0.12173299999999999</v>
      </c>
      <c r="U1804">
        <v>-0.1120911</v>
      </c>
      <c r="V1804">
        <v>-1.5649920000000001E-2</v>
      </c>
      <c r="W1804">
        <v>-1.144464E-3</v>
      </c>
      <c r="X1804">
        <v>0.99987689999999996</v>
      </c>
      <c r="Y1804">
        <v>-4.713378E-2</v>
      </c>
      <c r="Z1804">
        <v>-1.3549089999999901E-3</v>
      </c>
      <c r="AA1804">
        <v>0.99888770000000005</v>
      </c>
      <c r="AB1804">
        <v>36</v>
      </c>
      <c r="AC1804">
        <v>-26.8752</v>
      </c>
      <c r="AD1804">
        <v>-1.1026804763551901</v>
      </c>
      <c r="AE1804">
        <v>-1.0187999999999899</v>
      </c>
      <c r="AF1804">
        <v>-1.28059899563622</v>
      </c>
      <c r="AG1804">
        <v>-1.1026804763551901</v>
      </c>
      <c r="AH1804">
        <v>26.8188125087866</v>
      </c>
      <c r="AI1804">
        <v>92.351766687930606</v>
      </c>
      <c r="AJ1804">
        <v>92.733798479423001</v>
      </c>
      <c r="AK1804">
        <v>26.872002947342999</v>
      </c>
    </row>
    <row r="1805" spans="1:37" x14ac:dyDescent="0.2">
      <c r="A1805" t="str">
        <f>"20200111155829018"</f>
        <v>20200111155829018</v>
      </c>
      <c r="B1805" t="str">
        <f>"1578729509013267"</f>
        <v>1578729509013267</v>
      </c>
      <c r="C1805" t="s">
        <v>37</v>
      </c>
      <c r="D1805">
        <v>5.8460140000000003</v>
      </c>
      <c r="E1805">
        <v>0.48865979999999998</v>
      </c>
      <c r="F1805" t="s">
        <v>50</v>
      </c>
      <c r="G1805">
        <v>-272.22579999999999</v>
      </c>
      <c r="H1805" s="1">
        <v>-2.6528800000000001E-7</v>
      </c>
      <c r="I1805">
        <v>282.62470000000002</v>
      </c>
      <c r="J1805">
        <v>-245.31559999999999</v>
      </c>
      <c r="K1805">
        <v>1.1026929999999999</v>
      </c>
      <c r="L1805">
        <v>283.68619999999999</v>
      </c>
      <c r="M1805">
        <v>-0.99983060000000001</v>
      </c>
      <c r="N1805">
        <v>0</v>
      </c>
      <c r="O1805">
        <v>1.1221480000000001E-2</v>
      </c>
      <c r="P1805">
        <v>-0.9998707</v>
      </c>
      <c r="Q1805">
        <v>-1.539779E-2</v>
      </c>
      <c r="R1805">
        <v>-4.6580429999999997E-3</v>
      </c>
      <c r="S1805">
        <v>-2.997833</v>
      </c>
      <c r="T1805">
        <v>-0.1212246</v>
      </c>
      <c r="U1805">
        <v>-0.1161499</v>
      </c>
      <c r="V1805">
        <v>-1.588117E-2</v>
      </c>
      <c r="W1805">
        <v>-7.4640380000000003E-4</v>
      </c>
      <c r="X1805">
        <v>0.99987359999999903</v>
      </c>
      <c r="Y1805">
        <v>-4.9877539999999998E-2</v>
      </c>
      <c r="Z1805">
        <v>-1.4611489999999999E-3</v>
      </c>
      <c r="AA1805">
        <v>0.99875429999999998</v>
      </c>
      <c r="AB1805">
        <v>36</v>
      </c>
      <c r="AC1805">
        <v>-26.9102</v>
      </c>
      <c r="AD1805">
        <v>-1.1026932652879999</v>
      </c>
      <c r="AE1805">
        <v>-1.0614999999999599</v>
      </c>
      <c r="AF1805">
        <v>-1.3611556037741599</v>
      </c>
      <c r="AG1805">
        <v>-1.1026932652879999</v>
      </c>
      <c r="AH1805">
        <v>26.851576093097599</v>
      </c>
      <c r="AI1805">
        <v>92.348588658612798</v>
      </c>
      <c r="AJ1805">
        <v>92.901944100319696</v>
      </c>
      <c r="AK1805">
        <v>26.908656891387398</v>
      </c>
    </row>
    <row r="1806" spans="1:37" x14ac:dyDescent="0.2">
      <c r="A1806" t="str">
        <f>"20200111155829040"</f>
        <v>20200111155829040</v>
      </c>
      <c r="B1806" t="str">
        <f>"1578729509032787"</f>
        <v>1578729509032787</v>
      </c>
      <c r="C1806" t="s">
        <v>37</v>
      </c>
      <c r="D1806">
        <v>5.854393</v>
      </c>
      <c r="E1806">
        <v>0.48894409999999999</v>
      </c>
      <c r="F1806" t="s">
        <v>50</v>
      </c>
      <c r="G1806">
        <v>-269.53309999999999</v>
      </c>
      <c r="H1806" s="1">
        <v>3.5362230000000001E-6</v>
      </c>
      <c r="I1806">
        <v>282.80410000000001</v>
      </c>
      <c r="J1806">
        <v>-245.67570000000001</v>
      </c>
      <c r="K1806">
        <v>1.102708</v>
      </c>
      <c r="L1806">
        <v>283.69159999999999</v>
      </c>
      <c r="M1806">
        <v>-0.99981359999999997</v>
      </c>
      <c r="N1806">
        <v>0</v>
      </c>
      <c r="O1806">
        <v>1.2626719999999999E-2</v>
      </c>
      <c r="P1806">
        <v>-0.99987760000000003</v>
      </c>
      <c r="Q1806">
        <v>-1.52188999999999E-2</v>
      </c>
      <c r="R1806">
        <v>-3.6380520000000001E-3</v>
      </c>
      <c r="S1806">
        <v>-2.99780299999999</v>
      </c>
      <c r="T1806">
        <v>-0.1364987</v>
      </c>
      <c r="U1806">
        <v>-0.109191899999999</v>
      </c>
      <c r="V1806">
        <v>-1.62664E-2</v>
      </c>
      <c r="W1806">
        <v>-5.5044839999999996E-4</v>
      </c>
      <c r="X1806">
        <v>0.99986759999999997</v>
      </c>
      <c r="Y1806">
        <v>-4.8952910000000002E-2</v>
      </c>
      <c r="Z1806">
        <v>-1.6880650000000001E-3</v>
      </c>
      <c r="AA1806">
        <v>0.99879969999999996</v>
      </c>
      <c r="AB1806">
        <v>36</v>
      </c>
      <c r="AC1806">
        <v>-23.857399999999899</v>
      </c>
      <c r="AD1806">
        <v>-1.102704463777</v>
      </c>
      <c r="AE1806">
        <v>-0.88749999999998797</v>
      </c>
      <c r="AF1806">
        <v>-1.1861715066816401</v>
      </c>
      <c r="AG1806">
        <v>-1.102704463777</v>
      </c>
      <c r="AH1806">
        <v>23.793529250061201</v>
      </c>
      <c r="AI1806">
        <v>92.650171768609397</v>
      </c>
      <c r="AJ1806">
        <v>92.853986136694701</v>
      </c>
      <c r="AK1806">
        <v>23.8485847410536</v>
      </c>
    </row>
    <row r="1807" spans="1:37" x14ac:dyDescent="0.2">
      <c r="A1807" t="str">
        <f>"20200111155829063"</f>
        <v>20200111155829063</v>
      </c>
      <c r="B1807" t="str">
        <f>"1578729509053282"</f>
        <v>1578729509053282</v>
      </c>
      <c r="C1807" t="s">
        <v>37</v>
      </c>
      <c r="D1807">
        <v>5.9402660000000003</v>
      </c>
      <c r="E1807">
        <v>0.48914950000000001</v>
      </c>
      <c r="F1807" t="s">
        <v>50</v>
      </c>
      <c r="G1807">
        <v>-267.72160000000002</v>
      </c>
      <c r="H1807" s="1">
        <v>2.5722390000000001E-6</v>
      </c>
      <c r="I1807">
        <v>282.92290000000003</v>
      </c>
      <c r="J1807">
        <v>-246.02709999999999</v>
      </c>
      <c r="K1807">
        <v>1.1027169999999999</v>
      </c>
      <c r="L1807">
        <v>283.69740000000002</v>
      </c>
      <c r="M1807">
        <v>-0.99979509999999905</v>
      </c>
      <c r="N1807">
        <v>0</v>
      </c>
      <c r="O1807">
        <v>1.3998969999999999E-2</v>
      </c>
      <c r="P1807">
        <v>-0.99987380000000003</v>
      </c>
      <c r="Q1807">
        <v>-1.5562980000000001E-2</v>
      </c>
      <c r="R1807">
        <v>-3.1903719999999999E-3</v>
      </c>
      <c r="S1807">
        <v>-2.9977109999999998</v>
      </c>
      <c r="T1807">
        <v>-0.14994160000000001</v>
      </c>
      <c r="U1807">
        <v>-0.104522699999999</v>
      </c>
      <c r="V1807">
        <v>-1.7191339999999999E-2</v>
      </c>
      <c r="W1807">
        <v>-8.7893770000000001E-4</v>
      </c>
      <c r="X1807">
        <v>0.99985179999999996</v>
      </c>
      <c r="Y1807">
        <v>-4.8756510000000003E-2</v>
      </c>
      <c r="Z1807">
        <v>-1.9178979999999999E-3</v>
      </c>
      <c r="AA1807">
        <v>0.9988089</v>
      </c>
      <c r="AB1807">
        <v>36</v>
      </c>
      <c r="AC1807">
        <v>-21.694500000000001</v>
      </c>
      <c r="AD1807">
        <v>-1.1027144277609999</v>
      </c>
      <c r="AE1807">
        <v>-0.77449999999998898</v>
      </c>
      <c r="AF1807">
        <v>-1.07538238242572</v>
      </c>
      <c r="AG1807">
        <v>-1.1027144277609999</v>
      </c>
      <c r="AH1807">
        <v>21.625729018481099</v>
      </c>
      <c r="AI1807">
        <v>92.915436528201994</v>
      </c>
      <c r="AJ1807">
        <v>92.846801626969295</v>
      </c>
      <c r="AK1807">
        <v>21.6805115704957</v>
      </c>
    </row>
    <row r="1808" spans="1:37" x14ac:dyDescent="0.2">
      <c r="A1808" t="str">
        <f>"20200111155829084"</f>
        <v>20200111155829084</v>
      </c>
      <c r="B1808" t="str">
        <f>"1578729509072802"</f>
        <v>1578729509072802</v>
      </c>
      <c r="C1808" t="s">
        <v>37</v>
      </c>
      <c r="D1808">
        <v>5.8976319999999998</v>
      </c>
      <c r="E1808">
        <v>0.489380599999999</v>
      </c>
      <c r="F1808" t="s">
        <v>50</v>
      </c>
      <c r="G1808">
        <v>-266.26990000000001</v>
      </c>
      <c r="H1808" s="1">
        <v>1.7997239999999999E-6</v>
      </c>
      <c r="I1808">
        <v>283.00729999999999</v>
      </c>
      <c r="J1808">
        <v>-246.37110000000001</v>
      </c>
      <c r="K1808">
        <v>1.102724</v>
      </c>
      <c r="L1808">
        <v>283.70359999999999</v>
      </c>
      <c r="M1808">
        <v>-0.99977519999999998</v>
      </c>
      <c r="N1808">
        <v>0</v>
      </c>
      <c r="O1808">
        <v>1.534221E-2</v>
      </c>
      <c r="P1808">
        <v>-0.99984830000000002</v>
      </c>
      <c r="Q1808">
        <v>-1.7185120000000002E-2</v>
      </c>
      <c r="R1808">
        <v>-2.8498479999999999E-3</v>
      </c>
      <c r="S1808">
        <v>-2.9975130000000001</v>
      </c>
      <c r="T1808">
        <v>-0.16328799999999999</v>
      </c>
      <c r="U1808">
        <v>-0.1022034</v>
      </c>
      <c r="V1808">
        <v>-1.819964E-2</v>
      </c>
      <c r="W1808">
        <v>-2.4878890000000001E-3</v>
      </c>
      <c r="X1808">
        <v>0.99983129999999998</v>
      </c>
      <c r="Y1808">
        <v>-4.9311430000000003E-2</v>
      </c>
      <c r="Z1808">
        <v>-2.1767409999999998E-3</v>
      </c>
      <c r="AA1808">
        <v>0.99878109999999998</v>
      </c>
      <c r="AB1808">
        <v>36</v>
      </c>
      <c r="AC1808">
        <v>-19.898799999999898</v>
      </c>
      <c r="AD1808">
        <v>-1.102722200276</v>
      </c>
      <c r="AE1808">
        <v>-0.69630000000000702</v>
      </c>
      <c r="AF1808">
        <v>-0.99847972231742199</v>
      </c>
      <c r="AG1808">
        <v>-1.102722200276</v>
      </c>
      <c r="AH1808">
        <v>19.824965687860701</v>
      </c>
      <c r="AI1808">
        <v>93.179655188317099</v>
      </c>
      <c r="AJ1808">
        <v>92.883252177284305</v>
      </c>
      <c r="AK1808">
        <v>19.880699749548899</v>
      </c>
    </row>
    <row r="1809" spans="1:37" x14ac:dyDescent="0.2">
      <c r="A1809" t="str">
        <f>"20200111155829106"</f>
        <v>20200111155829106</v>
      </c>
      <c r="B1809" t="str">
        <f>"1578729509103058"</f>
        <v>1578729509103058</v>
      </c>
      <c r="C1809" t="s">
        <v>37</v>
      </c>
      <c r="D1809">
        <v>5.8945589999999903</v>
      </c>
      <c r="E1809">
        <v>0.489618099999999</v>
      </c>
      <c r="F1809" t="s">
        <v>50</v>
      </c>
      <c r="G1809">
        <v>-265.07229999999998</v>
      </c>
      <c r="H1809" s="1">
        <v>1.1624169999999999E-6</v>
      </c>
      <c r="I1809">
        <v>283.08150000000001</v>
      </c>
      <c r="J1809">
        <v>-246.7321</v>
      </c>
      <c r="K1809">
        <v>1.1027279999999999</v>
      </c>
      <c r="L1809">
        <v>283.7106</v>
      </c>
      <c r="M1809">
        <v>-0.99975230000000004</v>
      </c>
      <c r="N1809">
        <v>0</v>
      </c>
      <c r="O1809">
        <v>1.6752280000000001E-2</v>
      </c>
      <c r="P1809">
        <v>-0.99982359999999904</v>
      </c>
      <c r="Q1809">
        <v>-1.8594429999999999E-2</v>
      </c>
      <c r="R1809">
        <v>-2.5997519999999999E-3</v>
      </c>
      <c r="S1809">
        <v>-2.997147</v>
      </c>
      <c r="T1809">
        <v>-0.1767281</v>
      </c>
      <c r="U1809">
        <v>-9.9700929999999993E-2</v>
      </c>
      <c r="V1809">
        <v>-1.9363780000000001E-2</v>
      </c>
      <c r="W1809">
        <v>-3.8852270000000002E-3</v>
      </c>
      <c r="X1809">
        <v>0.99980499999999894</v>
      </c>
      <c r="Y1809">
        <v>-4.9871440000000003E-2</v>
      </c>
      <c r="Z1809">
        <v>-2.4554809999999998E-3</v>
      </c>
      <c r="AA1809">
        <v>0.99875270000000005</v>
      </c>
      <c r="AB1809">
        <v>36</v>
      </c>
      <c r="AC1809">
        <v>-18.3401999999999</v>
      </c>
      <c r="AD1809">
        <v>-1.1027268375829999</v>
      </c>
      <c r="AE1809">
        <v>-0.629099999999994</v>
      </c>
      <c r="AF1809">
        <v>-0.93291617363058899</v>
      </c>
      <c r="AG1809">
        <v>-1.1027268375829999</v>
      </c>
      <c r="AH1809">
        <v>18.261146372905699</v>
      </c>
      <c r="AI1809">
        <v>93.451205745498399</v>
      </c>
      <c r="AJ1809">
        <v>92.924555163093203</v>
      </c>
      <c r="AK1809">
        <v>18.318182385761801</v>
      </c>
    </row>
    <row r="1810" spans="1:37" x14ac:dyDescent="0.2">
      <c r="A1810" t="str">
        <f>"20200111155829122"</f>
        <v>20200111155829122</v>
      </c>
      <c r="B1810" t="str">
        <f>"1578729509113795"</f>
        <v>1578729509113795</v>
      </c>
      <c r="C1810" t="s">
        <v>37</v>
      </c>
      <c r="D1810">
        <v>5.9153039999999999</v>
      </c>
      <c r="E1810">
        <v>0.489699</v>
      </c>
      <c r="F1810" t="s">
        <v>50</v>
      </c>
      <c r="G1810">
        <v>-264.08339999999998</v>
      </c>
      <c r="H1810" s="1">
        <v>6.3619340000000003E-7</v>
      </c>
      <c r="I1810">
        <v>283.14530000000002</v>
      </c>
      <c r="J1810">
        <v>-246.99189999999999</v>
      </c>
      <c r="K1810">
        <v>1.102733</v>
      </c>
      <c r="L1810">
        <v>283.71589999999998</v>
      </c>
      <c r="M1810">
        <v>-0.99973469999999998</v>
      </c>
      <c r="N1810">
        <v>0</v>
      </c>
      <c r="O1810">
        <v>1.7767109999999999E-2</v>
      </c>
      <c r="P1810">
        <v>-0.99981390000000003</v>
      </c>
      <c r="Q1810">
        <v>-1.9175959999999999E-2</v>
      </c>
      <c r="R1810">
        <v>-2.0906940000000001E-3</v>
      </c>
      <c r="S1810">
        <v>-2.9967349999999899</v>
      </c>
      <c r="T1810">
        <v>-0.19045109999999901</v>
      </c>
      <c r="U1810">
        <v>-9.7625729999999994E-2</v>
      </c>
      <c r="V1810">
        <v>-1.9870990000000002E-2</v>
      </c>
      <c r="W1810">
        <v>-4.4600580000000003E-3</v>
      </c>
      <c r="X1810">
        <v>0.99979259999999903</v>
      </c>
      <c r="Y1810">
        <v>-5.0177600000000003E-2</v>
      </c>
      <c r="Z1810">
        <v>-2.72031099999999E-3</v>
      </c>
      <c r="AA1810">
        <v>0.99873659999999997</v>
      </c>
      <c r="AB1810">
        <v>35</v>
      </c>
      <c r="AC1810">
        <v>-17.0914999999999</v>
      </c>
      <c r="AD1810">
        <v>-1.1027323638066</v>
      </c>
      <c r="AE1810">
        <v>-0.57059999999995603</v>
      </c>
      <c r="AF1810">
        <v>-0.87058909514273397</v>
      </c>
      <c r="AG1810">
        <v>-1.1027323638066</v>
      </c>
      <c r="AH1810">
        <v>17.007941652751299</v>
      </c>
      <c r="AI1810">
        <v>93.704818367976003</v>
      </c>
      <c r="AJ1810">
        <v>92.930253715450405</v>
      </c>
      <c r="AK1810">
        <v>17.065873060062302</v>
      </c>
    </row>
    <row r="1811" spans="1:37" x14ac:dyDescent="0.2">
      <c r="A1811" t="str">
        <f>"20200111155829141"</f>
        <v>20200111155829141</v>
      </c>
      <c r="B1811" t="str">
        <f>"1578729509133315"</f>
        <v>1578729509133315</v>
      </c>
      <c r="C1811" t="s">
        <v>37</v>
      </c>
      <c r="D1811">
        <v>5.9305430000000001</v>
      </c>
      <c r="E1811">
        <v>0.48956699999999997</v>
      </c>
      <c r="F1811" t="s">
        <v>50</v>
      </c>
      <c r="G1811">
        <v>-263.97410000000002</v>
      </c>
      <c r="H1811" s="1">
        <v>5.7800529999999997E-7</v>
      </c>
      <c r="I1811">
        <v>283.1737</v>
      </c>
      <c r="J1811">
        <v>-247.2758</v>
      </c>
      <c r="K1811">
        <v>1.1027290000000001</v>
      </c>
      <c r="L1811">
        <v>283.72199999999998</v>
      </c>
      <c r="M1811">
        <v>-0.9997144</v>
      </c>
      <c r="N1811">
        <v>0</v>
      </c>
      <c r="O1811">
        <v>1.8876759999999999E-2</v>
      </c>
      <c r="P1811">
        <v>-0.99979819999999997</v>
      </c>
      <c r="Q1811">
        <v>-2.0028099999999899E-2</v>
      </c>
      <c r="R1811">
        <v>-1.6594979999999999E-3</v>
      </c>
      <c r="S1811">
        <v>-2.9966430000000002</v>
      </c>
      <c r="T1811">
        <v>-0.19458619999999999</v>
      </c>
      <c r="U1811">
        <v>-9.5672610000000005E-2</v>
      </c>
      <c r="V1811">
        <v>-2.0551679999999999E-2</v>
      </c>
      <c r="W1811">
        <v>-5.3056300000000004E-3</v>
      </c>
      <c r="X1811">
        <v>0.99977469999999902</v>
      </c>
      <c r="Y1811">
        <v>-5.0627569999999997E-2</v>
      </c>
      <c r="Z1811">
        <v>-2.8659229999999998E-3</v>
      </c>
      <c r="AA1811">
        <v>0.99871350000000003</v>
      </c>
      <c r="AB1811">
        <v>35</v>
      </c>
      <c r="AC1811">
        <v>-16.6983</v>
      </c>
      <c r="AD1811">
        <v>-1.1027284219947</v>
      </c>
      <c r="AE1811">
        <v>-0.54829999999998302</v>
      </c>
      <c r="AF1811">
        <v>-0.85970076676409302</v>
      </c>
      <c r="AG1811">
        <v>-1.1027284219947</v>
      </c>
      <c r="AH1811">
        <v>16.612602167629401</v>
      </c>
      <c r="AI1811">
        <v>93.792606925133796</v>
      </c>
      <c r="AJ1811">
        <v>92.962409165990707</v>
      </c>
      <c r="AK1811">
        <v>16.671342062382902</v>
      </c>
    </row>
    <row r="1812" spans="1:37" x14ac:dyDescent="0.2">
      <c r="A1812" t="str">
        <f>"20200111155829164"</f>
        <v>20200111155829164</v>
      </c>
      <c r="B1812" t="str">
        <f>"1578729509152834"</f>
        <v>1578729509152834</v>
      </c>
      <c r="C1812" t="s">
        <v>37</v>
      </c>
      <c r="D1812">
        <v>5.8941359999999996</v>
      </c>
      <c r="E1812">
        <v>0.48979020000000001</v>
      </c>
      <c r="F1812" t="s">
        <v>50</v>
      </c>
      <c r="G1812">
        <v>-264.42599999999999</v>
      </c>
      <c r="H1812" s="1">
        <v>8.1850030000000001E-7</v>
      </c>
      <c r="I1812">
        <v>283.1771</v>
      </c>
      <c r="J1812">
        <v>-247.6293</v>
      </c>
      <c r="K1812">
        <v>1.1027309999999999</v>
      </c>
      <c r="L1812">
        <v>283.73009999999999</v>
      </c>
      <c r="M1812">
        <v>-0.99968729999999995</v>
      </c>
      <c r="N1812">
        <v>0</v>
      </c>
      <c r="O1812">
        <v>2.0257890000000001E-2</v>
      </c>
      <c r="P1812">
        <v>-0.99977700000000003</v>
      </c>
      <c r="Q1812">
        <v>-2.1111789999999998E-2</v>
      </c>
      <c r="R1812">
        <v>-6.8593679999999903E-4</v>
      </c>
      <c r="S1812">
        <v>-2.99656699999999</v>
      </c>
      <c r="T1812">
        <v>-0.19267479999999901</v>
      </c>
      <c r="U1812">
        <v>-9.5214839999999995E-2</v>
      </c>
      <c r="V1812">
        <v>-2.096249E-2</v>
      </c>
      <c r="W1812">
        <v>-6.3835480000000002E-3</v>
      </c>
      <c r="X1812">
        <v>0.99975990000000003</v>
      </c>
      <c r="Y1812">
        <v>-5.1853169999999997E-2</v>
      </c>
      <c r="Z1812">
        <v>-2.9659609999999901E-3</v>
      </c>
      <c r="AA1812">
        <v>0.99865029999999999</v>
      </c>
      <c r="AB1812">
        <v>35</v>
      </c>
      <c r="AC1812">
        <v>-16.796699999999898</v>
      </c>
      <c r="AD1812">
        <v>-1.1027301814996999</v>
      </c>
      <c r="AE1812">
        <v>-0.55299999999999705</v>
      </c>
      <c r="AF1812">
        <v>-0.88935965792579597</v>
      </c>
      <c r="AG1812">
        <v>-1.1027301814996999</v>
      </c>
      <c r="AH1812">
        <v>16.7101037823433</v>
      </c>
      <c r="AI1812">
        <v>93.7702576525555</v>
      </c>
      <c r="AJ1812">
        <v>93.0465712667134</v>
      </c>
      <c r="AK1812">
        <v>16.770048982367999</v>
      </c>
    </row>
    <row r="1813" spans="1:37" x14ac:dyDescent="0.2">
      <c r="A1813" t="str">
        <f>"20200111155829185"</f>
        <v>20200111155829185</v>
      </c>
      <c r="B1813" t="str">
        <f>"1578729509173330"</f>
        <v>1578729509173330</v>
      </c>
      <c r="C1813" t="s">
        <v>37</v>
      </c>
      <c r="D1813">
        <v>6.4153909999999996</v>
      </c>
      <c r="E1813">
        <v>0.490212799999999</v>
      </c>
      <c r="F1813" t="s">
        <v>50</v>
      </c>
      <c r="G1813">
        <v>-263.99799999999999</v>
      </c>
      <c r="H1813" s="1">
        <v>5.9074369999999898E-7</v>
      </c>
      <c r="I1813">
        <v>283.23390000000001</v>
      </c>
      <c r="J1813">
        <v>-247.96199999999999</v>
      </c>
      <c r="K1813">
        <v>1.102733</v>
      </c>
      <c r="L1813">
        <v>283.73809999999997</v>
      </c>
      <c r="M1813">
        <v>-0.99966010000000005</v>
      </c>
      <c r="N1813">
        <v>0</v>
      </c>
      <c r="O1813">
        <v>2.1558569999999999E-2</v>
      </c>
      <c r="P1813">
        <v>-0.99975809999999998</v>
      </c>
      <c r="Q1813">
        <v>-2.1998440000000001E-2</v>
      </c>
      <c r="R1813">
        <v>5.1067050000000002E-4</v>
      </c>
      <c r="S1813">
        <v>-2.9963380000000002</v>
      </c>
      <c r="T1813">
        <v>-0.2018577</v>
      </c>
      <c r="U1813">
        <v>-9.0820310000000001E-2</v>
      </c>
      <c r="V1813">
        <v>-2.1068670000000001E-2</v>
      </c>
      <c r="W1813">
        <v>-7.2667139999999996E-3</v>
      </c>
      <c r="X1813">
        <v>0.99975159999999996</v>
      </c>
      <c r="Y1813">
        <v>-5.1674600000000001E-2</v>
      </c>
      <c r="Z1813">
        <v>-3.1888179999999999E-3</v>
      </c>
      <c r="AA1813">
        <v>0.99865890000000002</v>
      </c>
      <c r="AB1813">
        <v>35</v>
      </c>
      <c r="AC1813">
        <v>-16.035999999999898</v>
      </c>
      <c r="AD1813">
        <v>-1.1027324092563</v>
      </c>
      <c r="AE1813">
        <v>-0.50419999999996801</v>
      </c>
      <c r="AF1813">
        <v>-0.84583735571864005</v>
      </c>
      <c r="AG1813">
        <v>-1.1027324092563</v>
      </c>
      <c r="AH1813">
        <v>15.946070398122201</v>
      </c>
      <c r="AI1813">
        <v>93.950390635171502</v>
      </c>
      <c r="AJ1813">
        <v>93.036330195290702</v>
      </c>
      <c r="AK1813">
        <v>16.006518070480599</v>
      </c>
    </row>
    <row r="1814" spans="1:37" x14ac:dyDescent="0.2">
      <c r="A1814" t="str">
        <f>"20200111155829207"</f>
        <v>20200111155829207</v>
      </c>
      <c r="B1814" t="str">
        <f>"1578729509203586"</f>
        <v>1578729509203586</v>
      </c>
      <c r="C1814" t="s">
        <v>37</v>
      </c>
      <c r="D1814">
        <v>5.9681649999999999</v>
      </c>
      <c r="E1814">
        <v>0.49099309999999902</v>
      </c>
      <c r="F1814" t="s">
        <v>50</v>
      </c>
      <c r="G1814">
        <v>-264.24970000000002</v>
      </c>
      <c r="H1814" s="1">
        <v>7.2469989999999998E-7</v>
      </c>
      <c r="I1814">
        <v>283.28160000000003</v>
      </c>
      <c r="J1814">
        <v>-248.31639999999999</v>
      </c>
      <c r="K1814">
        <v>1.1027439999999999</v>
      </c>
      <c r="L1814">
        <v>283.74720000000002</v>
      </c>
      <c r="M1814">
        <v>-0.9996292</v>
      </c>
      <c r="N1814">
        <v>0</v>
      </c>
      <c r="O1814">
        <v>2.2944900000000001E-2</v>
      </c>
      <c r="P1814">
        <v>-0.99975539999999996</v>
      </c>
      <c r="Q1814">
        <v>-2.206232E-2</v>
      </c>
      <c r="R1814">
        <v>1.6651439999999999E-3</v>
      </c>
      <c r="S1814">
        <v>-2.9963069999999998</v>
      </c>
      <c r="T1814">
        <v>-0.20285989999999901</v>
      </c>
      <c r="U1814">
        <v>-8.3984379999999997E-2</v>
      </c>
      <c r="V1814">
        <v>-2.1300820000000002E-2</v>
      </c>
      <c r="W1814">
        <v>-7.3274480000000003E-3</v>
      </c>
      <c r="X1814">
        <v>0.99974629999999998</v>
      </c>
      <c r="Y1814">
        <v>-5.0780609999999997E-2</v>
      </c>
      <c r="Z1814">
        <v>-3.2682609999999902E-3</v>
      </c>
      <c r="AA1814">
        <v>0.9987045</v>
      </c>
      <c r="AB1814">
        <v>35</v>
      </c>
      <c r="AC1814">
        <v>-15.933299999999999</v>
      </c>
      <c r="AD1814">
        <v>-1.1027432753001001</v>
      </c>
      <c r="AE1814">
        <v>-0.46559999999999402</v>
      </c>
      <c r="AF1814">
        <v>-0.82714601081997796</v>
      </c>
      <c r="AG1814">
        <v>-1.1027432753001001</v>
      </c>
      <c r="AH1814">
        <v>15.842598436244099</v>
      </c>
      <c r="AI1814">
        <v>93.976321536986106</v>
      </c>
      <c r="AJ1814">
        <v>92.988713237694498</v>
      </c>
      <c r="AK1814">
        <v>15.902456994644499</v>
      </c>
    </row>
    <row r="1815" spans="1:37" x14ac:dyDescent="0.2">
      <c r="A1815" t="str">
        <f>"20200111155829230"</f>
        <v>20200111155829230</v>
      </c>
      <c r="B1815" t="str">
        <f>"1578729509223107"</f>
        <v>1578729509223107</v>
      </c>
      <c r="C1815" t="s">
        <v>37</v>
      </c>
      <c r="D1815">
        <v>5.9741349999999898</v>
      </c>
      <c r="E1815">
        <v>0.4917569</v>
      </c>
      <c r="F1815" t="s">
        <v>50</v>
      </c>
      <c r="G1815">
        <v>-265.17649999999998</v>
      </c>
      <c r="H1815" s="1">
        <v>1.217875E-6</v>
      </c>
      <c r="I1815">
        <v>283.33179999999999</v>
      </c>
      <c r="J1815">
        <v>-248.6901</v>
      </c>
      <c r="K1815">
        <v>1.1027530000000001</v>
      </c>
      <c r="L1815">
        <v>283.75729999999999</v>
      </c>
      <c r="M1815">
        <v>-0.9995946</v>
      </c>
      <c r="N1815">
        <v>0</v>
      </c>
      <c r="O1815">
        <v>2.4407100000000001E-2</v>
      </c>
      <c r="P1815">
        <v>-0.99973999999999996</v>
      </c>
      <c r="Q1815">
        <v>-2.274199E-2</v>
      </c>
      <c r="R1815">
        <v>1.7362089999999901E-3</v>
      </c>
      <c r="S1815">
        <v>-2.996521</v>
      </c>
      <c r="T1815">
        <v>-0.19598929999999901</v>
      </c>
      <c r="U1815">
        <v>-7.3822020000000002E-2</v>
      </c>
      <c r="V1815">
        <v>-2.2694120000000002E-2</v>
      </c>
      <c r="W1815">
        <v>-8.0016369999999903E-3</v>
      </c>
      <c r="X1815">
        <v>0.999710399999999</v>
      </c>
      <c r="Y1815">
        <v>-4.8866939999999998E-2</v>
      </c>
      <c r="Z1815">
        <v>-3.1907289999999998E-3</v>
      </c>
      <c r="AA1815">
        <v>0.99880020000000003</v>
      </c>
      <c r="AB1815">
        <v>35</v>
      </c>
      <c r="AC1815">
        <v>-16.4863999999999</v>
      </c>
      <c r="AD1815">
        <v>-1.1027517821249999</v>
      </c>
      <c r="AE1815">
        <v>-0.42549999999999899</v>
      </c>
      <c r="AF1815">
        <v>-0.82411696798284895</v>
      </c>
      <c r="AG1815">
        <v>-1.1027517821249999</v>
      </c>
      <c r="AH1815">
        <v>16.397785160088301</v>
      </c>
      <c r="AI1815">
        <v>93.842515542725593</v>
      </c>
      <c r="AJ1815">
        <v>92.877140311331004</v>
      </c>
      <c r="AK1815">
        <v>16.455472901934801</v>
      </c>
    </row>
    <row r="1816" spans="1:37" x14ac:dyDescent="0.2">
      <c r="A1816" t="str">
        <f>"20200111155829264"</f>
        <v>20200111155829264</v>
      </c>
      <c r="B1816" t="str">
        <f>"1578729509253363"</f>
        <v>1578729509253363</v>
      </c>
      <c r="C1816" t="s">
        <v>37</v>
      </c>
      <c r="D1816">
        <v>5.9277809999999898</v>
      </c>
      <c r="E1816">
        <v>0.492868999999999</v>
      </c>
      <c r="F1816" t="s">
        <v>50</v>
      </c>
      <c r="G1816">
        <v>-265.2955</v>
      </c>
      <c r="H1816" s="1">
        <v>1.2812360000000001E-6</v>
      </c>
      <c r="I1816">
        <v>283.38319999999999</v>
      </c>
      <c r="J1816">
        <v>-249.20179999999999</v>
      </c>
      <c r="K1816">
        <v>1.10276</v>
      </c>
      <c r="L1816">
        <v>283.77199999999999</v>
      </c>
      <c r="M1816">
        <v>-0.99954349999999903</v>
      </c>
      <c r="N1816">
        <v>0</v>
      </c>
      <c r="O1816">
        <v>2.640959E-2</v>
      </c>
      <c r="P1816">
        <v>-0.99974569999999996</v>
      </c>
      <c r="Q1816">
        <v>-2.2408150000000002E-2</v>
      </c>
      <c r="R1816">
        <v>2.5342030000000001E-3</v>
      </c>
      <c r="S1816">
        <v>-2.9963989999999998</v>
      </c>
      <c r="T1816">
        <v>-0.198988</v>
      </c>
      <c r="U1816">
        <v>-6.7504880000000003E-2</v>
      </c>
      <c r="V1816">
        <v>-2.3897359999999999E-2</v>
      </c>
      <c r="W1816">
        <v>-7.6635560000000002E-3</v>
      </c>
      <c r="X1816">
        <v>0.99968500000000005</v>
      </c>
      <c r="Y1816">
        <v>-4.8755340000000001E-2</v>
      </c>
      <c r="Z1816">
        <v>-3.3687629999999999E-3</v>
      </c>
      <c r="AA1816">
        <v>0.99880499999999905</v>
      </c>
      <c r="AB1816">
        <v>35</v>
      </c>
      <c r="AC1816">
        <v>-16.093699999999998</v>
      </c>
      <c r="AD1816">
        <v>-1.102758718764</v>
      </c>
      <c r="AE1816">
        <v>-0.38880000000000298</v>
      </c>
      <c r="AF1816">
        <v>-0.80993758732299703</v>
      </c>
      <c r="AG1816">
        <v>-1.102758718764</v>
      </c>
      <c r="AH1816">
        <v>16.0027249291124</v>
      </c>
      <c r="AI1816">
        <v>93.937035871300694</v>
      </c>
      <c r="AJ1816">
        <v>92.897409130072305</v>
      </c>
      <c r="AK1816">
        <v>16.061110822231502</v>
      </c>
    </row>
    <row r="1817" spans="1:37" x14ac:dyDescent="0.2">
      <c r="A1817" t="str">
        <f>"20200111155829286"</f>
        <v>20200111155829286</v>
      </c>
      <c r="B1817" t="str">
        <f>"1578729509282643"</f>
        <v>1578729509282643</v>
      </c>
      <c r="C1817" t="s">
        <v>37</v>
      </c>
      <c r="D1817">
        <v>5.97783</v>
      </c>
      <c r="E1817">
        <v>0.49362889999999998</v>
      </c>
      <c r="F1817" t="s">
        <v>50</v>
      </c>
      <c r="G1817">
        <v>-265.74549999999999</v>
      </c>
      <c r="H1817" s="1">
        <v>1.5206819999999901E-6</v>
      </c>
      <c r="I1817">
        <v>283.4631</v>
      </c>
      <c r="J1817">
        <v>-249.55009999999999</v>
      </c>
      <c r="K1817">
        <v>1.1027670000000001</v>
      </c>
      <c r="L1817">
        <v>283.7826</v>
      </c>
      <c r="M1817">
        <v>-0.99950649999999996</v>
      </c>
      <c r="N1817">
        <v>0</v>
      </c>
      <c r="O1817">
        <v>2.777251E-2</v>
      </c>
      <c r="P1817">
        <v>-0.99975729999999996</v>
      </c>
      <c r="Q1817">
        <v>-2.1751059999999999E-2</v>
      </c>
      <c r="R1817">
        <v>3.4516029999999902E-3</v>
      </c>
      <c r="S1817">
        <v>-2.996429</v>
      </c>
      <c r="T1817">
        <v>-0.19973339999999901</v>
      </c>
      <c r="U1817">
        <v>-5.5938719999999997E-2</v>
      </c>
      <c r="V1817">
        <v>-2.4341740000000001E-2</v>
      </c>
      <c r="W1817">
        <v>-7.0050549999999996E-3</v>
      </c>
      <c r="X1817">
        <v>0.99967909999999904</v>
      </c>
      <c r="Y1817">
        <v>-4.6264420000000001E-2</v>
      </c>
      <c r="Z1817">
        <v>-3.389249E-3</v>
      </c>
      <c r="AA1817">
        <v>0.99892349999999996</v>
      </c>
      <c r="AB1817">
        <v>35</v>
      </c>
      <c r="AC1817">
        <v>-16.195399999999999</v>
      </c>
      <c r="AD1817">
        <v>-1.102765479318</v>
      </c>
      <c r="AE1817">
        <v>-0.319500000000005</v>
      </c>
      <c r="AF1817">
        <v>-0.76566354247096002</v>
      </c>
      <c r="AG1817">
        <v>-1.102765479318</v>
      </c>
      <c r="AH1817">
        <v>16.105633853552298</v>
      </c>
      <c r="AI1817">
        <v>93.912568612040502</v>
      </c>
      <c r="AJ1817">
        <v>92.721798195129395</v>
      </c>
      <c r="AK1817">
        <v>16.16149046924</v>
      </c>
    </row>
    <row r="1818" spans="1:37" x14ac:dyDescent="0.2">
      <c r="A1818" t="str">
        <f>"20200111155829308"</f>
        <v>20200111155829308</v>
      </c>
      <c r="B1818" t="str">
        <f>"1578729509303139"</f>
        <v>1578729509303139</v>
      </c>
      <c r="C1818" t="s">
        <v>37</v>
      </c>
      <c r="D1818">
        <v>6.0274739999999998</v>
      </c>
      <c r="E1818">
        <v>0.49412889999999998</v>
      </c>
      <c r="F1818" t="s">
        <v>50</v>
      </c>
      <c r="G1818">
        <v>-265.79360000000003</v>
      </c>
      <c r="H1818" s="1">
        <v>1.546274E-6</v>
      </c>
      <c r="I1818">
        <v>283.52629999999999</v>
      </c>
      <c r="J1818">
        <v>-249.89279999999999</v>
      </c>
      <c r="K1818">
        <v>1.1027769999999999</v>
      </c>
      <c r="L1818">
        <v>283.79340000000002</v>
      </c>
      <c r="M1818">
        <v>-0.99946900000000005</v>
      </c>
      <c r="N1818">
        <v>0</v>
      </c>
      <c r="O1818">
        <v>2.9095159999999998E-2</v>
      </c>
      <c r="P1818">
        <v>-0.99975509999999901</v>
      </c>
      <c r="Q1818">
        <v>-2.1655830000000001E-2</v>
      </c>
      <c r="R1818">
        <v>4.5492639999999999E-3</v>
      </c>
      <c r="S1818">
        <v>-2.9964750000000002</v>
      </c>
      <c r="T1818">
        <v>-0.20342969999999999</v>
      </c>
      <c r="U1818">
        <v>-4.7271729999999998E-2</v>
      </c>
      <c r="V1818">
        <v>-2.4566279999999999E-2</v>
      </c>
      <c r="W1818">
        <v>-6.910083E-3</v>
      </c>
      <c r="X1818">
        <v>0.99967430000000002</v>
      </c>
      <c r="Y1818">
        <v>-4.4691990000000001E-2</v>
      </c>
      <c r="Z1818">
        <v>-3.4882089999999999E-3</v>
      </c>
      <c r="AA1818">
        <v>0.99899470000000001</v>
      </c>
      <c r="AB1818">
        <v>35</v>
      </c>
      <c r="AC1818">
        <v>-15.9008</v>
      </c>
      <c r="AD1818">
        <v>-1.1027754537259999</v>
      </c>
      <c r="AE1818">
        <v>-0.26710000000002698</v>
      </c>
      <c r="AF1818">
        <v>-0.72618112852033201</v>
      </c>
      <c r="AG1818">
        <v>-1.1027754537259999</v>
      </c>
      <c r="AH1818">
        <v>15.8102703337037</v>
      </c>
      <c r="AI1818">
        <v>93.985762892624606</v>
      </c>
      <c r="AJ1818">
        <v>92.629802720071496</v>
      </c>
      <c r="AK1818">
        <v>15.8653112404879</v>
      </c>
    </row>
    <row r="1819" spans="1:37" x14ac:dyDescent="0.2">
      <c r="A1819" t="str">
        <f>"20200111155829331"</f>
        <v>20200111155829331</v>
      </c>
      <c r="B1819" t="str">
        <f>"1578729509322658"</f>
        <v>1578729509322658</v>
      </c>
      <c r="C1819" t="s">
        <v>37</v>
      </c>
      <c r="D1819">
        <v>5.9826059999999996</v>
      </c>
      <c r="E1819">
        <v>0.49460759999999998</v>
      </c>
      <c r="F1819" t="s">
        <v>50</v>
      </c>
      <c r="G1819">
        <v>-265.90219999999999</v>
      </c>
      <c r="H1819" s="1">
        <v>1.604075E-6</v>
      </c>
      <c r="I1819">
        <v>283.57920000000001</v>
      </c>
      <c r="J1819">
        <v>-250.26519999999999</v>
      </c>
      <c r="K1819">
        <v>1.1027990000000001</v>
      </c>
      <c r="L1819">
        <v>283.80579999999998</v>
      </c>
      <c r="M1819">
        <v>-0.99942679999999995</v>
      </c>
      <c r="N1819">
        <v>0</v>
      </c>
      <c r="O1819">
        <v>3.050779E-2</v>
      </c>
      <c r="P1819">
        <v>-0.99974959999999902</v>
      </c>
      <c r="Q1819">
        <v>-2.153238E-2</v>
      </c>
      <c r="R1819">
        <v>6.1122019999999997E-3</v>
      </c>
      <c r="S1819">
        <v>-2.9964599999999999</v>
      </c>
      <c r="T1819">
        <v>-0.20640529999999899</v>
      </c>
      <c r="U1819">
        <v>-4.01001E-2</v>
      </c>
      <c r="V1819">
        <v>-2.441567E-2</v>
      </c>
      <c r="W1819">
        <v>-6.7892880000000001E-3</v>
      </c>
      <c r="X1819">
        <v>0.99967890000000004</v>
      </c>
      <c r="Y1819">
        <v>-4.3707570000000001E-2</v>
      </c>
      <c r="Z1819">
        <v>-3.6024859999999998E-3</v>
      </c>
      <c r="AA1819">
        <v>0.99903790000000003</v>
      </c>
      <c r="AB1819">
        <v>35</v>
      </c>
      <c r="AC1819">
        <v>-15.637</v>
      </c>
      <c r="AD1819">
        <v>-1.1027973959249999</v>
      </c>
      <c r="AE1819">
        <v>-0.226599999999962</v>
      </c>
      <c r="AF1819">
        <v>-0.70011471796156599</v>
      </c>
      <c r="AG1819">
        <v>-1.1027973959249999</v>
      </c>
      <c r="AH1819">
        <v>15.5455027282842</v>
      </c>
      <c r="AI1819">
        <v>94.053667555044797</v>
      </c>
      <c r="AJ1819">
        <v>92.578657735412605</v>
      </c>
      <c r="AK1819">
        <v>15.6002877470212</v>
      </c>
    </row>
    <row r="1820" spans="1:37" x14ac:dyDescent="0.2">
      <c r="A1820" t="str">
        <f>"20200111155829352"</f>
        <v>20200111155829352</v>
      </c>
      <c r="B1820" t="str">
        <f>"1578729509343154"</f>
        <v>1578729509343154</v>
      </c>
      <c r="C1820" t="s">
        <v>37</v>
      </c>
      <c r="D1820">
        <v>6.5232710000000003</v>
      </c>
      <c r="E1820">
        <v>0.49479909999999999</v>
      </c>
      <c r="F1820" t="s">
        <v>50</v>
      </c>
      <c r="G1820">
        <v>-266.30990000000003</v>
      </c>
      <c r="H1820" s="1">
        <v>1.821007E-6</v>
      </c>
      <c r="I1820">
        <v>283.6386</v>
      </c>
      <c r="J1820">
        <v>-250.59599999999901</v>
      </c>
      <c r="K1820">
        <v>1.1028260000000001</v>
      </c>
      <c r="L1820">
        <v>283.81709999999998</v>
      </c>
      <c r="M1820">
        <v>-0.99938919999999998</v>
      </c>
      <c r="N1820">
        <v>0</v>
      </c>
      <c r="O1820">
        <v>3.1720970000000001E-2</v>
      </c>
      <c r="P1820">
        <v>-0.99974609999999997</v>
      </c>
      <c r="Q1820">
        <v>-2.1273199999999999E-2</v>
      </c>
      <c r="R1820">
        <v>7.4460680000000001E-3</v>
      </c>
      <c r="S1820">
        <v>-2.9965060000000001</v>
      </c>
      <c r="T1820">
        <v>-0.20595869999999999</v>
      </c>
      <c r="U1820">
        <v>-3.1219480000000001E-2</v>
      </c>
      <c r="V1820">
        <v>-2.429415E-2</v>
      </c>
      <c r="W1820">
        <v>-6.5337140000000004E-3</v>
      </c>
      <c r="X1820">
        <v>0.99968349999999995</v>
      </c>
      <c r="Y1820">
        <v>-4.1961659999999998E-2</v>
      </c>
      <c r="Z1820">
        <v>-3.6180349999999999E-3</v>
      </c>
      <c r="AA1820">
        <v>0.99911269999999996</v>
      </c>
      <c r="AB1820">
        <v>35</v>
      </c>
      <c r="AC1820">
        <v>-15.713900000000001</v>
      </c>
      <c r="AD1820">
        <v>-1.102824178993</v>
      </c>
      <c r="AE1820">
        <v>-0.178499999999985</v>
      </c>
      <c r="AF1820">
        <v>-0.673606521229551</v>
      </c>
      <c r="AG1820">
        <v>-1.102824178993</v>
      </c>
      <c r="AH1820">
        <v>15.623385645949501</v>
      </c>
      <c r="AI1820">
        <v>94.033964225156296</v>
      </c>
      <c r="AJ1820">
        <v>92.468794105000597</v>
      </c>
      <c r="AK1820">
        <v>15.676739009031101</v>
      </c>
    </row>
    <row r="1821" spans="1:37" x14ac:dyDescent="0.2">
      <c r="A1821" t="str">
        <f>"20200111155829374"</f>
        <v>20200111155829374</v>
      </c>
      <c r="B1821" t="str">
        <f>"1578729509362675"</f>
        <v>1578729509362675</v>
      </c>
      <c r="C1821" t="s">
        <v>37</v>
      </c>
      <c r="D1821">
        <v>5.999034</v>
      </c>
      <c r="E1821">
        <v>0.49504740000000003</v>
      </c>
      <c r="F1821" t="s">
        <v>50</v>
      </c>
      <c r="G1821">
        <v>-267.0179</v>
      </c>
      <c r="H1821" s="1">
        <v>2.1977679999999999E-6</v>
      </c>
      <c r="I1821">
        <v>283.67610000000002</v>
      </c>
      <c r="J1821">
        <v>-250.9375</v>
      </c>
      <c r="K1821">
        <v>1.102887</v>
      </c>
      <c r="L1821">
        <v>283.82920000000001</v>
      </c>
      <c r="M1821">
        <v>-0.99935099999999999</v>
      </c>
      <c r="N1821">
        <v>0</v>
      </c>
      <c r="O1821">
        <v>3.2900459999999999E-2</v>
      </c>
      <c r="P1821">
        <v>-0.99972649999999996</v>
      </c>
      <c r="Q1821">
        <v>-2.165338E-2</v>
      </c>
      <c r="R1821">
        <v>8.8434659999999995E-3</v>
      </c>
      <c r="S1821">
        <v>-2.9966889999999999</v>
      </c>
      <c r="T1821">
        <v>-0.20124549999999999</v>
      </c>
      <c r="U1821">
        <v>-2.572632E-2</v>
      </c>
      <c r="V1821">
        <v>-2.4076719999999999E-2</v>
      </c>
      <c r="W1821">
        <v>-6.91974699999999E-3</v>
      </c>
      <c r="X1821">
        <v>0.99968619999999997</v>
      </c>
      <c r="Y1821">
        <v>-4.1315589999999999E-2</v>
      </c>
      <c r="Z1821">
        <v>-3.5926609999999901E-3</v>
      </c>
      <c r="AA1821">
        <v>0.99913969999999896</v>
      </c>
      <c r="AB1821">
        <v>35</v>
      </c>
      <c r="AC1821">
        <v>-16.080399999999901</v>
      </c>
      <c r="AD1821">
        <v>-1.1028848022319999</v>
      </c>
      <c r="AE1821">
        <v>-0.15309999999999399</v>
      </c>
      <c r="AF1821">
        <v>-0.67893316791526004</v>
      </c>
      <c r="AG1821">
        <v>-1.1028848022319999</v>
      </c>
      <c r="AH1821">
        <v>15.9914383454102</v>
      </c>
      <c r="AI1821">
        <v>93.941742739125701</v>
      </c>
      <c r="AJ1821">
        <v>92.4310919930045</v>
      </c>
      <c r="AK1821">
        <v>16.043796479903001</v>
      </c>
    </row>
    <row r="1822" spans="1:37" x14ac:dyDescent="0.2">
      <c r="A1822" t="str">
        <f>"20200111155829397"</f>
        <v>20200111155829397</v>
      </c>
      <c r="B1822" t="str">
        <f>"1578729509392931"</f>
        <v>1578729509392931</v>
      </c>
      <c r="C1822" t="s">
        <v>37</v>
      </c>
      <c r="D1822">
        <v>6.0059389999999997</v>
      </c>
      <c r="E1822">
        <v>0.49552590000000002</v>
      </c>
      <c r="F1822" t="s">
        <v>50</v>
      </c>
      <c r="G1822">
        <v>-267.29090000000002</v>
      </c>
      <c r="H1822" s="1">
        <v>2.3430580000000002E-6</v>
      </c>
      <c r="I1822">
        <v>283.72179999999997</v>
      </c>
      <c r="J1822">
        <v>-251.2953</v>
      </c>
      <c r="K1822">
        <v>1.102976</v>
      </c>
      <c r="L1822">
        <v>283.84219999999999</v>
      </c>
      <c r="M1822">
        <v>-0.99931360000000002</v>
      </c>
      <c r="N1822">
        <v>0</v>
      </c>
      <c r="O1822">
        <v>3.4020599999999998E-2</v>
      </c>
      <c r="P1822">
        <v>-0.99970759999999903</v>
      </c>
      <c r="Q1822">
        <v>-2.2200190000000002E-2</v>
      </c>
      <c r="R1822">
        <v>9.6067909999999999E-3</v>
      </c>
      <c r="S1822">
        <v>-2.9966279999999998</v>
      </c>
      <c r="T1822">
        <v>-0.20209489999999999</v>
      </c>
      <c r="U1822">
        <v>-1.9683840000000001E-2</v>
      </c>
      <c r="V1822">
        <v>-2.4433659999999999E-2</v>
      </c>
      <c r="W1822">
        <v>-7.4736890000000004E-3</v>
      </c>
      <c r="X1822">
        <v>0.99967349999999999</v>
      </c>
      <c r="Y1822">
        <v>-4.0419160000000003E-2</v>
      </c>
      <c r="Z1822">
        <v>-3.6531139999999998E-3</v>
      </c>
      <c r="AA1822">
        <v>0.99917610000000001</v>
      </c>
      <c r="AB1822">
        <v>35</v>
      </c>
      <c r="AC1822">
        <v>-15.9956</v>
      </c>
      <c r="AD1822">
        <v>-1.1029736569419999</v>
      </c>
      <c r="AE1822">
        <v>-0.12040000000001699</v>
      </c>
      <c r="AF1822">
        <v>-0.66142394934754101</v>
      </c>
      <c r="AG1822">
        <v>-1.1029736569419999</v>
      </c>
      <c r="AH1822">
        <v>15.906614190815301</v>
      </c>
      <c r="AI1822">
        <v>93.963158941868102</v>
      </c>
      <c r="AJ1822">
        <v>92.381083823608805</v>
      </c>
      <c r="AK1822">
        <v>15.958521471117701</v>
      </c>
    </row>
    <row r="1823" spans="1:37" x14ac:dyDescent="0.2">
      <c r="A1823" t="str">
        <f>"20200111155829420"</f>
        <v>20200111155829420</v>
      </c>
      <c r="B1823" t="str">
        <f>"1578729509413428"</f>
        <v>1578729509413428</v>
      </c>
      <c r="C1823" t="s">
        <v>37</v>
      </c>
      <c r="D1823">
        <v>6.0217619999999998</v>
      </c>
      <c r="E1823">
        <v>0.49574809999999903</v>
      </c>
      <c r="F1823" t="s">
        <v>50</v>
      </c>
      <c r="G1823">
        <v>-267.20949999999999</v>
      </c>
      <c r="H1823" s="1">
        <v>2.2997280000000001E-6</v>
      </c>
      <c r="I1823">
        <v>283.76760000000002</v>
      </c>
      <c r="J1823">
        <v>-251.6489</v>
      </c>
      <c r="K1823">
        <v>1.1030979999999999</v>
      </c>
      <c r="L1823">
        <v>283.8553</v>
      </c>
      <c r="M1823">
        <v>-0.99928079999999997</v>
      </c>
      <c r="N1823">
        <v>0</v>
      </c>
      <c r="O1823">
        <v>3.4973789999999998E-2</v>
      </c>
      <c r="P1823">
        <v>-0.99968489999999999</v>
      </c>
      <c r="Q1823">
        <v>-2.2995809999999998E-2</v>
      </c>
      <c r="R1823">
        <v>1.008356E-2</v>
      </c>
      <c r="S1823">
        <v>-2.9963989999999998</v>
      </c>
      <c r="T1823">
        <v>-0.2076731</v>
      </c>
      <c r="U1823">
        <v>-1.403809E-2</v>
      </c>
      <c r="V1823">
        <v>-2.4909230000000001E-2</v>
      </c>
      <c r="W1823">
        <v>-8.2788669999999901E-3</v>
      </c>
      <c r="X1823">
        <v>0.99965539999999997</v>
      </c>
      <c r="Y1823">
        <v>-3.9480630000000003E-2</v>
      </c>
      <c r="Z1823">
        <v>-3.7874750000000002E-3</v>
      </c>
      <c r="AA1823">
        <v>0.99921319999999902</v>
      </c>
      <c r="AB1823">
        <v>35</v>
      </c>
      <c r="AC1823">
        <v>-15.5605999999999</v>
      </c>
      <c r="AD1823">
        <v>-1.1030957002719901</v>
      </c>
      <c r="AE1823">
        <v>-8.7699999999983902E-2</v>
      </c>
      <c r="AF1823">
        <v>-0.62875824450893103</v>
      </c>
      <c r="AG1823">
        <v>-1.1030957002719901</v>
      </c>
      <c r="AH1823">
        <v>15.4702685463014</v>
      </c>
      <c r="AI1823">
        <v>94.075176000710599</v>
      </c>
      <c r="AJ1823">
        <v>92.327391871203204</v>
      </c>
      <c r="AK1823">
        <v>15.5222861057474</v>
      </c>
    </row>
    <row r="1824" spans="1:37" x14ac:dyDescent="0.2">
      <c r="A1824" t="str">
        <f>"20200111155829441"</f>
        <v>20200111155829441</v>
      </c>
      <c r="B1824" t="str">
        <f>"1578729509432946"</f>
        <v>1578729509432946</v>
      </c>
      <c r="C1824" t="s">
        <v>37</v>
      </c>
      <c r="D1824">
        <v>6.0104150000000001</v>
      </c>
      <c r="E1824">
        <v>0.49596560000000001</v>
      </c>
      <c r="F1824" t="s">
        <v>50</v>
      </c>
      <c r="G1824">
        <v>-267.22730000000001</v>
      </c>
      <c r="H1824" s="1">
        <v>2.309213E-6</v>
      </c>
      <c r="I1824">
        <v>283.79770000000002</v>
      </c>
      <c r="J1824">
        <v>-251.9913</v>
      </c>
      <c r="K1824">
        <v>1.103256</v>
      </c>
      <c r="L1824">
        <v>283.86799999999999</v>
      </c>
      <c r="M1824">
        <v>-0.99925489999999995</v>
      </c>
      <c r="N1824">
        <v>0</v>
      </c>
      <c r="O1824">
        <v>3.5706069999999999E-2</v>
      </c>
      <c r="P1824">
        <v>-0.9996796</v>
      </c>
      <c r="Q1824">
        <v>-2.3138309999999999E-2</v>
      </c>
      <c r="R1824">
        <v>1.026996E-2</v>
      </c>
      <c r="S1824">
        <v>-2.9961549999999999</v>
      </c>
      <c r="T1824">
        <v>-0.2121557</v>
      </c>
      <c r="U1824">
        <v>-1.107788E-2</v>
      </c>
      <c r="V1824">
        <v>-2.5453079999999999E-2</v>
      </c>
      <c r="W1824">
        <v>-8.4329279999999993E-3</v>
      </c>
      <c r="X1824">
        <v>0.99964050000000004</v>
      </c>
      <c r="Y1824">
        <v>-3.921707E-2</v>
      </c>
      <c r="Z1824">
        <v>-3.9117900000000001E-3</v>
      </c>
      <c r="AA1824">
        <v>0.99922310000000003</v>
      </c>
      <c r="AB1824">
        <v>35</v>
      </c>
      <c r="AC1824">
        <v>-15.236000000000001</v>
      </c>
      <c r="AD1824">
        <v>-1.1032536907870001</v>
      </c>
      <c r="AE1824">
        <v>-7.0299999999974702E-2</v>
      </c>
      <c r="AF1824">
        <v>-0.61112697613793698</v>
      </c>
      <c r="AG1824">
        <v>-1.1032536907870001</v>
      </c>
      <c r="AH1824">
        <v>15.144366518213401</v>
      </c>
      <c r="AI1824">
        <v>94.163210147119599</v>
      </c>
      <c r="AJ1824">
        <v>92.310826858496995</v>
      </c>
      <c r="AK1824">
        <v>15.1967918366076</v>
      </c>
    </row>
    <row r="1825" spans="1:37" x14ac:dyDescent="0.2">
      <c r="A1825" t="str">
        <f>"20200111155829463"</f>
        <v>20200111155829463</v>
      </c>
      <c r="B1825" t="str">
        <f>"1578729509452466"</f>
        <v>1578729509452466</v>
      </c>
      <c r="C1825" t="s">
        <v>37</v>
      </c>
      <c r="D1825">
        <v>6.0239900000000004</v>
      </c>
      <c r="E1825">
        <v>0.49621979999999999</v>
      </c>
      <c r="F1825" t="s">
        <v>50</v>
      </c>
      <c r="G1825">
        <v>-267.39769999999999</v>
      </c>
      <c r="H1825" s="1">
        <v>2.3998779999999999E-6</v>
      </c>
      <c r="I1825">
        <v>283.81869999999998</v>
      </c>
      <c r="J1825">
        <v>-252.3236</v>
      </c>
      <c r="K1825">
        <v>1.1034280000000001</v>
      </c>
      <c r="L1825">
        <v>283.88040000000001</v>
      </c>
      <c r="M1825">
        <v>-0.99923680000000004</v>
      </c>
      <c r="N1825">
        <v>0</v>
      </c>
      <c r="O1825">
        <v>3.6211309999999997E-2</v>
      </c>
      <c r="P1825">
        <v>-0.99968049999999997</v>
      </c>
      <c r="Q1825">
        <v>-2.3485829999999999E-2</v>
      </c>
      <c r="R1825">
        <v>9.3592139999999994E-3</v>
      </c>
      <c r="S1825">
        <v>-2.9960779999999998</v>
      </c>
      <c r="T1825">
        <v>-0.21455009999999999</v>
      </c>
      <c r="U1825">
        <v>-9.5825200000000006E-3</v>
      </c>
      <c r="V1825">
        <v>-2.686533E-2</v>
      </c>
      <c r="W1825">
        <v>-8.7923930000000008E-3</v>
      </c>
      <c r="X1825">
        <v>0.99960039999999994</v>
      </c>
      <c r="Y1825">
        <v>-3.921811E-2</v>
      </c>
      <c r="Z1825">
        <v>-3.9920829999999996E-3</v>
      </c>
      <c r="AA1825">
        <v>0.99922269999999902</v>
      </c>
      <c r="AB1825">
        <v>35</v>
      </c>
      <c r="AC1825">
        <v>-15.0740999999999</v>
      </c>
      <c r="AD1825">
        <v>-1.103425600122</v>
      </c>
      <c r="AE1825">
        <v>-6.1700000000030203E-2</v>
      </c>
      <c r="AF1825">
        <v>-0.60433288682064201</v>
      </c>
      <c r="AG1825">
        <v>-1.103425600122</v>
      </c>
      <c r="AH1825">
        <v>14.981702704573401</v>
      </c>
      <c r="AI1825">
        <v>94.208906641637697</v>
      </c>
      <c r="AJ1825">
        <v>92.309948495701903</v>
      </c>
      <c r="AK1825">
        <v>15.034433219157901</v>
      </c>
    </row>
    <row r="1826" spans="1:37" x14ac:dyDescent="0.2">
      <c r="A1826" t="str">
        <f>"20200111155829487"</f>
        <v>20200111155829487</v>
      </c>
      <c r="B1826" t="str">
        <f>"1578729509482723"</f>
        <v>1578729509482723</v>
      </c>
      <c r="C1826" t="s">
        <v>37</v>
      </c>
      <c r="D1826">
        <v>6.0040870000000002</v>
      </c>
      <c r="E1826">
        <v>0.49643109999999901</v>
      </c>
      <c r="F1826" t="s">
        <v>50</v>
      </c>
      <c r="G1826">
        <v>-267.68490000000003</v>
      </c>
      <c r="H1826" s="1">
        <v>2.5527199999999998E-6</v>
      </c>
      <c r="I1826">
        <v>283.8261</v>
      </c>
      <c r="J1826">
        <v>-252.68010000000001</v>
      </c>
      <c r="K1826">
        <v>1.103626</v>
      </c>
      <c r="L1826">
        <v>283.89370000000002</v>
      </c>
      <c r="M1826">
        <v>-0.99922569999999999</v>
      </c>
      <c r="N1826">
        <v>0</v>
      </c>
      <c r="O1826">
        <v>3.6514030000000003E-2</v>
      </c>
      <c r="P1826">
        <v>-0.99971529999999997</v>
      </c>
      <c r="Q1826">
        <v>-2.2881490000000001E-2</v>
      </c>
      <c r="R1826">
        <v>6.761329E-3</v>
      </c>
      <c r="S1826">
        <v>-2.9960019999999998</v>
      </c>
      <c r="T1826">
        <v>-0.21520819999999999</v>
      </c>
      <c r="U1826">
        <v>-1.0589599999999999E-2</v>
      </c>
      <c r="V1826">
        <v>-2.9760990000000001E-2</v>
      </c>
      <c r="W1826">
        <v>-8.2016209999999992E-3</v>
      </c>
      <c r="X1826">
        <v>0.99952339999999995</v>
      </c>
      <c r="Y1826">
        <v>-3.9853159999999999E-2</v>
      </c>
      <c r="Z1826">
        <v>-4.0488859999999998E-3</v>
      </c>
      <c r="AA1826">
        <v>0.99919740000000001</v>
      </c>
      <c r="AB1826">
        <v>35</v>
      </c>
      <c r="AC1826">
        <v>-15.004799999999999</v>
      </c>
      <c r="AD1826">
        <v>-1.1036234472799999</v>
      </c>
      <c r="AE1826">
        <v>-6.7600000000027194E-2</v>
      </c>
      <c r="AF1826">
        <v>-0.61218771266303296</v>
      </c>
      <c r="AG1826">
        <v>-1.1036234472799999</v>
      </c>
      <c r="AH1826">
        <v>14.9116556669158</v>
      </c>
      <c r="AI1826">
        <v>94.229239122219695</v>
      </c>
      <c r="AJ1826">
        <v>92.350918413511195</v>
      </c>
      <c r="AK1826">
        <v>14.964966863898701</v>
      </c>
    </row>
    <row r="1827" spans="1:37" x14ac:dyDescent="0.2">
      <c r="A1827" t="str">
        <f>"20200111155829510"</f>
        <v>20200111155829510</v>
      </c>
      <c r="B1827" t="str">
        <f>"1578729509503219"</f>
        <v>1578729509503219</v>
      </c>
      <c r="C1827" t="s">
        <v>37</v>
      </c>
      <c r="D1827">
        <v>6.0039949999999997</v>
      </c>
      <c r="E1827">
        <v>0.49661309999999897</v>
      </c>
      <c r="F1827" t="s">
        <v>50</v>
      </c>
      <c r="G1827">
        <v>-267.99950000000001</v>
      </c>
      <c r="H1827" s="1">
        <v>2.7201559999999999E-6</v>
      </c>
      <c r="I1827">
        <v>283.80590000000001</v>
      </c>
      <c r="J1827">
        <v>-253.03700000000001</v>
      </c>
      <c r="K1827">
        <v>1.1038239999999999</v>
      </c>
      <c r="L1827">
        <v>283.90690000000001</v>
      </c>
      <c r="M1827">
        <v>-0.99922429999999995</v>
      </c>
      <c r="N1827">
        <v>0</v>
      </c>
      <c r="O1827">
        <v>3.6555730000000002E-2</v>
      </c>
      <c r="P1827">
        <v>-0.99974850000000004</v>
      </c>
      <c r="Q1827">
        <v>-2.2285630000000001E-2</v>
      </c>
      <c r="R1827">
        <v>2.495719E-3</v>
      </c>
      <c r="S1827">
        <v>-2.9960330000000002</v>
      </c>
      <c r="T1827">
        <v>-0.2158359</v>
      </c>
      <c r="U1827">
        <v>-1.7181399999999999E-2</v>
      </c>
      <c r="V1827">
        <v>-3.4062259999999997E-2</v>
      </c>
      <c r="W1827">
        <v>-7.6220200000000002E-3</v>
      </c>
      <c r="X1827">
        <v>0.99939069999999997</v>
      </c>
      <c r="Y1827">
        <v>-4.2086039999999998E-2</v>
      </c>
      <c r="Z1827">
        <v>-4.1439529999999997E-3</v>
      </c>
      <c r="AA1827">
        <v>0.99910540000000003</v>
      </c>
      <c r="AB1827">
        <v>35</v>
      </c>
      <c r="AC1827">
        <v>-14.9625</v>
      </c>
      <c r="AD1827">
        <v>-1.1038212798439999</v>
      </c>
      <c r="AE1827">
        <v>-0.10099999999999899</v>
      </c>
      <c r="AF1827">
        <v>-0.644449074314559</v>
      </c>
      <c r="AG1827">
        <v>-1.1038212798439999</v>
      </c>
      <c r="AH1827">
        <v>14.8678915412821</v>
      </c>
      <c r="AI1827">
        <v>94.241992369639902</v>
      </c>
      <c r="AJ1827">
        <v>92.481933212157202</v>
      </c>
      <c r="AK1827">
        <v>14.922732153012401</v>
      </c>
    </row>
    <row r="1828" spans="1:37" x14ac:dyDescent="0.2">
      <c r="A1828" t="str">
        <f>"20200111155829531"</f>
        <v>20200111155829531</v>
      </c>
      <c r="B1828" t="str">
        <f>"1578729509522738"</f>
        <v>1578729509522738</v>
      </c>
      <c r="C1828" t="s">
        <v>37</v>
      </c>
      <c r="D1828">
        <v>6.7009399999999903</v>
      </c>
      <c r="E1828">
        <v>0.49668099999999998</v>
      </c>
      <c r="F1828" t="s">
        <v>50</v>
      </c>
      <c r="G1828">
        <v>-268.35050000000001</v>
      </c>
      <c r="H1828" s="1">
        <v>2.9069439999999898E-6</v>
      </c>
      <c r="I1828">
        <v>283.76229999999998</v>
      </c>
      <c r="J1828">
        <v>-253.37469999999999</v>
      </c>
      <c r="K1828">
        <v>1.104007</v>
      </c>
      <c r="L1828">
        <v>283.91910000000001</v>
      </c>
      <c r="M1828">
        <v>-0.9992299</v>
      </c>
      <c r="N1828">
        <v>0</v>
      </c>
      <c r="O1828">
        <v>3.6403199999999997E-2</v>
      </c>
      <c r="P1828">
        <v>-0.9997703</v>
      </c>
      <c r="Q1828">
        <v>-2.1381529999999999E-2</v>
      </c>
      <c r="R1828">
        <v>-1.588414E-3</v>
      </c>
      <c r="S1828">
        <v>-2.9960019999999998</v>
      </c>
      <c r="T1828">
        <v>-0.21595599999999901</v>
      </c>
      <c r="U1828">
        <v>-2.8289789999999999E-2</v>
      </c>
      <c r="V1828">
        <v>-3.7988019999999997E-2</v>
      </c>
      <c r="W1828">
        <v>-6.7360129999999999E-3</v>
      </c>
      <c r="X1828">
        <v>0.99925549999999996</v>
      </c>
      <c r="Y1828">
        <v>-4.5628500000000002E-2</v>
      </c>
      <c r="Z1828">
        <v>-4.262811E-3</v>
      </c>
      <c r="AA1828">
        <v>0.99894939999999999</v>
      </c>
      <c r="AB1828">
        <v>35</v>
      </c>
      <c r="AC1828">
        <v>-14.9758</v>
      </c>
      <c r="AD1828">
        <v>-1.104004093056</v>
      </c>
      <c r="AE1828">
        <v>-0.156800000000032</v>
      </c>
      <c r="AF1828">
        <v>-0.69812797028015305</v>
      </c>
      <c r="AG1828">
        <v>-1.104004093056</v>
      </c>
      <c r="AH1828">
        <v>14.879309969621699</v>
      </c>
      <c r="AI1828">
        <v>94.238768409833298</v>
      </c>
      <c r="AJ1828">
        <v>92.686312257146099</v>
      </c>
      <c r="AK1828">
        <v>14.936534834842201</v>
      </c>
    </row>
    <row r="1829" spans="1:37" x14ac:dyDescent="0.2">
      <c r="A1829" t="str">
        <f>"20200111155829554"</f>
        <v>20200111155829554</v>
      </c>
      <c r="B1829" t="str">
        <f>"1578729509543236"</f>
        <v>1578729509543236</v>
      </c>
      <c r="C1829" t="s">
        <v>37</v>
      </c>
      <c r="D1829">
        <v>5.9683209999999898</v>
      </c>
      <c r="E1829">
        <v>0.49672479999999902</v>
      </c>
      <c r="F1829" t="s">
        <v>50</v>
      </c>
      <c r="G1829">
        <v>-268.88490000000002</v>
      </c>
      <c r="H1829" s="1">
        <v>3.1912879999999999E-6</v>
      </c>
      <c r="I1829">
        <v>283.71140000000003</v>
      </c>
      <c r="J1829">
        <v>-253.73349999999999</v>
      </c>
      <c r="K1829">
        <v>1.104182</v>
      </c>
      <c r="L1829">
        <v>283.93189999999998</v>
      </c>
      <c r="M1829">
        <v>-0.99924310000000005</v>
      </c>
      <c r="N1829">
        <v>0</v>
      </c>
      <c r="O1829">
        <v>3.6041370000000003E-2</v>
      </c>
      <c r="P1829">
        <v>-0.99978979999999995</v>
      </c>
      <c r="Q1829">
        <v>-1.9920839999999999E-2</v>
      </c>
      <c r="R1829">
        <v>-4.8819040000000003E-3</v>
      </c>
      <c r="S1829">
        <v>-2.9960629999999999</v>
      </c>
      <c r="T1829">
        <v>-0.21325839999999999</v>
      </c>
      <c r="U1829">
        <v>-4.0130619999999999E-2</v>
      </c>
      <c r="V1829">
        <v>-4.0916189999999998E-2</v>
      </c>
      <c r="W1829">
        <v>-5.296289E-3</v>
      </c>
      <c r="X1829">
        <v>0.99914849999999999</v>
      </c>
      <c r="Y1829">
        <v>-4.9210879999999999E-2</v>
      </c>
      <c r="Z1829">
        <v>-4.3111770000000002E-3</v>
      </c>
      <c r="AA1829">
        <v>0.99877909999999903</v>
      </c>
      <c r="AB1829">
        <v>35</v>
      </c>
      <c r="AC1829">
        <v>-15.151400000000001</v>
      </c>
      <c r="AD1829">
        <v>-1.1041788087119999</v>
      </c>
      <c r="AE1829">
        <v>-0.22049999999995801</v>
      </c>
      <c r="AF1829">
        <v>-0.76244397619387405</v>
      </c>
      <c r="AG1829">
        <v>-1.1041788087119999</v>
      </c>
      <c r="AH1829">
        <v>15.0536734571808</v>
      </c>
      <c r="AI1829">
        <v>94.189750504834194</v>
      </c>
      <c r="AJ1829">
        <v>92.899460068533003</v>
      </c>
      <c r="AK1829">
        <v>15.113358866045401</v>
      </c>
    </row>
    <row r="1830" spans="1:37" x14ac:dyDescent="0.2">
      <c r="A1830" t="str">
        <f>"20200111155829577"</f>
        <v>20200111155829577</v>
      </c>
      <c r="B1830" t="str">
        <f>"1578729509572515"</f>
        <v>1578729509572515</v>
      </c>
      <c r="C1830" t="s">
        <v>37</v>
      </c>
      <c r="D1830">
        <v>5.9712360000000002</v>
      </c>
      <c r="E1830">
        <v>0.49706239999999902</v>
      </c>
      <c r="F1830" t="s">
        <v>50</v>
      </c>
      <c r="G1830">
        <v>-269.56490000000002</v>
      </c>
      <c r="H1830" s="1">
        <v>3.5532049999999899E-6</v>
      </c>
      <c r="I1830">
        <v>283.67140000000001</v>
      </c>
      <c r="J1830">
        <v>-254.065</v>
      </c>
      <c r="K1830">
        <v>1.1043339999999999</v>
      </c>
      <c r="L1830">
        <v>283.94349999999997</v>
      </c>
      <c r="M1830">
        <v>-0.99926099999999995</v>
      </c>
      <c r="N1830">
        <v>0</v>
      </c>
      <c r="O1830">
        <v>3.5543909999999998E-2</v>
      </c>
      <c r="P1830">
        <v>-0.99979589999999996</v>
      </c>
      <c r="Q1830">
        <v>-1.9085629999999999E-2</v>
      </c>
      <c r="R1830">
        <v>-6.6187449999999997E-3</v>
      </c>
      <c r="S1830">
        <v>-2.996216</v>
      </c>
      <c r="T1830">
        <v>-0.20897379999999999</v>
      </c>
      <c r="U1830">
        <v>-4.9316409999999998E-2</v>
      </c>
      <c r="V1830">
        <v>-4.215315E-2</v>
      </c>
      <c r="W1830">
        <v>-4.4803709999999899E-3</v>
      </c>
      <c r="X1830">
        <v>0.99910109999999996</v>
      </c>
      <c r="Y1830">
        <v>-5.1777749999999997E-2</v>
      </c>
      <c r="Z1830">
        <v>-4.2792530000000002E-3</v>
      </c>
      <c r="AA1830">
        <v>0.99864949999999997</v>
      </c>
      <c r="AB1830">
        <v>35</v>
      </c>
      <c r="AC1830">
        <v>-15.4999</v>
      </c>
      <c r="AD1830">
        <v>-1.1043304467949999</v>
      </c>
      <c r="AE1830">
        <v>-0.27209999999996598</v>
      </c>
      <c r="AF1830">
        <v>-0.81875914016195095</v>
      </c>
      <c r="AG1830">
        <v>-1.1043304467949999</v>
      </c>
      <c r="AH1830">
        <v>15.402270024489701</v>
      </c>
      <c r="AI1830">
        <v>94.095281231684098</v>
      </c>
      <c r="AJ1830">
        <v>93.042884604993006</v>
      </c>
      <c r="AK1830">
        <v>15.4635000621661</v>
      </c>
    </row>
    <row r="1831" spans="1:37" x14ac:dyDescent="0.2">
      <c r="A1831" t="str">
        <f>"20200111155829599"</f>
        <v>20200111155829599</v>
      </c>
      <c r="B1831" t="str">
        <f>"1578729509593012"</f>
        <v>1578729509593012</v>
      </c>
      <c r="C1831" t="s">
        <v>37</v>
      </c>
      <c r="D1831">
        <v>5.9497599999999897</v>
      </c>
      <c r="E1831">
        <v>0.49735469999999998</v>
      </c>
      <c r="F1831" t="s">
        <v>50</v>
      </c>
      <c r="G1831">
        <v>-269.88990000000001</v>
      </c>
      <c r="H1831" s="1">
        <v>3.7261070000000002E-6</v>
      </c>
      <c r="I1831">
        <v>283.66930000000002</v>
      </c>
      <c r="J1831">
        <v>-254.43020000000001</v>
      </c>
      <c r="K1831">
        <v>1.104487</v>
      </c>
      <c r="L1831">
        <v>283.95580000000001</v>
      </c>
      <c r="M1831">
        <v>-0.99928519999999899</v>
      </c>
      <c r="N1831">
        <v>0</v>
      </c>
      <c r="O1831">
        <v>3.4857079999999999E-2</v>
      </c>
      <c r="P1831">
        <v>-0.99981769999999903</v>
      </c>
      <c r="Q1831">
        <v>-1.7672099999999899E-2</v>
      </c>
      <c r="R1831">
        <v>-7.2321260000000002E-3</v>
      </c>
      <c r="S1831">
        <v>-2.9962770000000001</v>
      </c>
      <c r="T1831">
        <v>-0.209094</v>
      </c>
      <c r="U1831">
        <v>-5.1910400000000002E-2</v>
      </c>
      <c r="V1831">
        <v>-4.2079520000000002E-2</v>
      </c>
      <c r="W1831">
        <v>-3.0854770000000001E-3</v>
      </c>
      <c r="X1831">
        <v>0.99910949999999998</v>
      </c>
      <c r="Y1831">
        <v>-5.1956339999999997E-2</v>
      </c>
      <c r="Z1831">
        <v>-4.2399650000000001E-3</v>
      </c>
      <c r="AA1831">
        <v>0.99864039999999998</v>
      </c>
      <c r="AB1831">
        <v>34</v>
      </c>
      <c r="AC1831">
        <v>-15.4596999999999</v>
      </c>
      <c r="AD1831">
        <v>-1.1044832738929999</v>
      </c>
      <c r="AE1831">
        <v>-0.28649999999998899</v>
      </c>
      <c r="AF1831">
        <v>-0.821074170716382</v>
      </c>
      <c r="AG1831">
        <v>-1.1044832738929999</v>
      </c>
      <c r="AH1831">
        <v>15.361934233413301</v>
      </c>
      <c r="AI1831">
        <v>94.106500609420493</v>
      </c>
      <c r="AJ1831">
        <v>93.059469124037193</v>
      </c>
      <c r="AK1831">
        <v>15.423458415279001</v>
      </c>
    </row>
    <row r="1832" spans="1:37" x14ac:dyDescent="0.2">
      <c r="A1832" t="str">
        <f>"20200111155829622"</f>
        <v>20200111155829622</v>
      </c>
      <c r="B1832" t="str">
        <f>"1578729509613508"</f>
        <v>1578729509613508</v>
      </c>
      <c r="C1832" t="s">
        <v>37</v>
      </c>
      <c r="D1832">
        <v>6.0441099999999999</v>
      </c>
      <c r="E1832">
        <v>0.49758590000000003</v>
      </c>
      <c r="F1832" t="s">
        <v>50</v>
      </c>
      <c r="G1832">
        <v>-270.428</v>
      </c>
      <c r="H1832" s="1">
        <v>-1.2682519999999999E-6</v>
      </c>
      <c r="I1832">
        <v>283.68329999999997</v>
      </c>
      <c r="J1832">
        <v>-254.76480000000001</v>
      </c>
      <c r="K1832">
        <v>1.1046149999999999</v>
      </c>
      <c r="L1832">
        <v>283.96690000000001</v>
      </c>
      <c r="M1832">
        <v>-0.99931009999999998</v>
      </c>
      <c r="N1832">
        <v>0</v>
      </c>
      <c r="O1832">
        <v>3.4139700000000002E-2</v>
      </c>
      <c r="P1832">
        <v>-0.99983529999999998</v>
      </c>
      <c r="Q1832">
        <v>-1.686414E-2</v>
      </c>
      <c r="R1832">
        <v>-6.7374430000000001E-3</v>
      </c>
      <c r="S1832">
        <v>-2.996521</v>
      </c>
      <c r="T1832">
        <v>-0.2068806</v>
      </c>
      <c r="U1832">
        <v>-5.1055910000000003E-2</v>
      </c>
      <c r="V1832">
        <v>-4.0868540000000002E-2</v>
      </c>
      <c r="W1832">
        <v>-2.2904219999999999E-3</v>
      </c>
      <c r="X1832">
        <v>0.99916190000000005</v>
      </c>
      <c r="Y1832">
        <v>-5.0961859999999998E-2</v>
      </c>
      <c r="Z1832">
        <v>-4.1111120000000001E-3</v>
      </c>
      <c r="AA1832">
        <v>0.99869219999999903</v>
      </c>
      <c r="AB1832">
        <v>34</v>
      </c>
      <c r="AC1832">
        <v>-15.6631999999999</v>
      </c>
      <c r="AD1832">
        <v>-1.104616268252</v>
      </c>
      <c r="AE1832">
        <v>-0.28360000000003499</v>
      </c>
      <c r="AF1832">
        <v>-0.81418076997785505</v>
      </c>
      <c r="AG1832">
        <v>-1.104616268252</v>
      </c>
      <c r="AH1832">
        <v>15.566987455716999</v>
      </c>
      <c r="AI1832">
        <v>94.053320572582606</v>
      </c>
      <c r="AJ1832">
        <v>92.993941883503098</v>
      </c>
      <c r="AK1832">
        <v>15.6273531307365</v>
      </c>
    </row>
    <row r="1833" spans="1:37" x14ac:dyDescent="0.2">
      <c r="A1833" t="str">
        <f>"20200111155829642"</f>
        <v>20200111155829642</v>
      </c>
      <c r="B1833" t="str">
        <f>"1578729509633026"</f>
        <v>1578729509633026</v>
      </c>
      <c r="C1833" t="s">
        <v>37</v>
      </c>
      <c r="D1833">
        <v>5.9735740000000002</v>
      </c>
      <c r="E1833">
        <v>0.49784329999999999</v>
      </c>
      <c r="F1833" t="s">
        <v>50</v>
      </c>
      <c r="G1833">
        <v>-270.84010000000001</v>
      </c>
      <c r="H1833" s="1">
        <v>-1.0502689999999999E-6</v>
      </c>
      <c r="I1833">
        <v>283.71379999999999</v>
      </c>
      <c r="J1833">
        <v>-255.08779999999999</v>
      </c>
      <c r="K1833">
        <v>1.1047049999999901</v>
      </c>
      <c r="L1833">
        <v>283.97719999999998</v>
      </c>
      <c r="M1833">
        <v>-0.99933510000000003</v>
      </c>
      <c r="N1833">
        <v>0</v>
      </c>
      <c r="O1833">
        <v>3.3399829999999998E-2</v>
      </c>
      <c r="P1833">
        <v>-0.99987000000000004</v>
      </c>
      <c r="Q1833">
        <v>-1.5347599999999999E-2</v>
      </c>
      <c r="R1833">
        <v>-4.9555290000000002E-3</v>
      </c>
      <c r="S1833">
        <v>-2.9967189999999899</v>
      </c>
      <c r="T1833">
        <v>-0.20591909999999999</v>
      </c>
      <c r="U1833">
        <v>-4.7180180000000002E-2</v>
      </c>
      <c r="V1833">
        <v>-3.8351009999999998E-2</v>
      </c>
      <c r="W1833">
        <v>-7.8057919999999995E-4</v>
      </c>
      <c r="X1833">
        <v>0.99926399999999904</v>
      </c>
      <c r="Y1833">
        <v>-4.8938349999999999E-2</v>
      </c>
      <c r="Z1833">
        <v>-3.9716079999999997E-3</v>
      </c>
      <c r="AA1833">
        <v>0.99879390000000001</v>
      </c>
      <c r="AB1833">
        <v>34</v>
      </c>
      <c r="AC1833">
        <v>-15.7523</v>
      </c>
      <c r="AD1833">
        <v>-1.10470605026899</v>
      </c>
      <c r="AE1833">
        <v>-0.26339999999998998</v>
      </c>
      <c r="AF1833">
        <v>-0.78557089718584505</v>
      </c>
      <c r="AG1833">
        <v>-1.10470605026899</v>
      </c>
      <c r="AH1833">
        <v>15.6577248060365</v>
      </c>
      <c r="AI1833">
        <v>94.030672769075906</v>
      </c>
      <c r="AJ1833">
        <v>92.872204517349402</v>
      </c>
      <c r="AK1833">
        <v>15.7162922851918</v>
      </c>
    </row>
    <row r="1834" spans="1:37" x14ac:dyDescent="0.2">
      <c r="A1834" t="str">
        <f>"20200111155829665"</f>
        <v>20200111155829665</v>
      </c>
      <c r="B1834" t="str">
        <f>"1578729509652546"</f>
        <v>1578729509652546</v>
      </c>
      <c r="C1834" t="s">
        <v>37</v>
      </c>
      <c r="D1834">
        <v>5.9876709999999997</v>
      </c>
      <c r="E1834">
        <v>0.49799199999999999</v>
      </c>
      <c r="F1834" t="s">
        <v>50</v>
      </c>
      <c r="G1834">
        <v>-271.49009999999998</v>
      </c>
      <c r="H1834" s="1">
        <v>-7.065079E-7</v>
      </c>
      <c r="I1834">
        <v>283.7629</v>
      </c>
      <c r="J1834">
        <v>-255.42080000000001</v>
      </c>
      <c r="K1834">
        <v>1.1047629999999999</v>
      </c>
      <c r="L1834">
        <v>283.98759999999999</v>
      </c>
      <c r="M1834">
        <v>-0.9993609</v>
      </c>
      <c r="N1834">
        <v>0</v>
      </c>
      <c r="O1834">
        <v>3.2622419999999999E-2</v>
      </c>
      <c r="P1834">
        <v>-0.99989280000000003</v>
      </c>
      <c r="Q1834">
        <v>-1.434681E-2</v>
      </c>
      <c r="R1834">
        <v>-2.946817E-3</v>
      </c>
      <c r="S1834">
        <v>-2.9971009999999998</v>
      </c>
      <c r="T1834">
        <v>-0.2018558</v>
      </c>
      <c r="U1834">
        <v>-3.9154050000000003E-2</v>
      </c>
      <c r="V1834">
        <v>-3.556819E-2</v>
      </c>
      <c r="W1834">
        <v>2.172629E-4</v>
      </c>
      <c r="X1834">
        <v>0.99936719999999901</v>
      </c>
      <c r="Y1834">
        <v>-4.5502069999999999E-2</v>
      </c>
      <c r="Z1834">
        <v>-3.725103E-3</v>
      </c>
      <c r="AA1834">
        <v>0.99895730000000005</v>
      </c>
      <c r="AB1834">
        <v>34</v>
      </c>
      <c r="AC1834">
        <v>-16.069299999999899</v>
      </c>
      <c r="AD1834">
        <v>-1.1047637065078999</v>
      </c>
      <c r="AE1834">
        <v>-0.224699999999984</v>
      </c>
      <c r="AF1834">
        <v>-0.74533364539293501</v>
      </c>
      <c r="AG1834">
        <v>-1.1047637065078999</v>
      </c>
      <c r="AH1834">
        <v>15.977908474034299</v>
      </c>
      <c r="AI1834">
        <v>93.951035545691099</v>
      </c>
      <c r="AJ1834">
        <v>92.670783694132993</v>
      </c>
      <c r="AK1834">
        <v>16.0333896695237</v>
      </c>
    </row>
    <row r="1835" spans="1:37" x14ac:dyDescent="0.2">
      <c r="A1835" t="str">
        <f>"20200111155829687"</f>
        <v>20200111155829687</v>
      </c>
      <c r="B1835" t="str">
        <f>"1578729509682803"</f>
        <v>1578729509682803</v>
      </c>
      <c r="C1835" t="s">
        <v>37</v>
      </c>
      <c r="D1835">
        <v>5.4601280000000001</v>
      </c>
      <c r="E1835">
        <v>0.49779679999999998</v>
      </c>
      <c r="F1835" t="s">
        <v>50</v>
      </c>
      <c r="G1835">
        <v>-272.16000000000003</v>
      </c>
      <c r="H1835" s="1">
        <v>-3.5209519999999999E-7</v>
      </c>
      <c r="I1835">
        <v>283.80950000000001</v>
      </c>
      <c r="J1835">
        <v>-255.76779999999999</v>
      </c>
      <c r="K1835">
        <v>1.104784</v>
      </c>
      <c r="L1835">
        <v>283.99810000000002</v>
      </c>
      <c r="M1835">
        <v>-0.999386199999999</v>
      </c>
      <c r="N1835">
        <v>0</v>
      </c>
      <c r="O1835">
        <v>3.1837169999999998E-2</v>
      </c>
      <c r="P1835">
        <v>-0.99990659999999898</v>
      </c>
      <c r="Q1835">
        <v>-1.363282E-2</v>
      </c>
      <c r="R1835">
        <v>-9.9565089999999992E-4</v>
      </c>
      <c r="S1835">
        <v>-2.9973749999999999</v>
      </c>
      <c r="T1835">
        <v>-0.1978229</v>
      </c>
      <c r="U1835">
        <v>-3.1890870000000002E-2</v>
      </c>
      <c r="V1835">
        <v>-3.2834160000000001E-2</v>
      </c>
      <c r="W1835">
        <v>9.3108799999999995E-4</v>
      </c>
      <c r="X1835">
        <v>0.99946039999999903</v>
      </c>
      <c r="Y1835">
        <v>-4.2311069999999999E-2</v>
      </c>
      <c r="Z1835">
        <v>-3.4935979999999901E-3</v>
      </c>
      <c r="AA1835">
        <v>0.99909840000000005</v>
      </c>
      <c r="AB1835">
        <v>34</v>
      </c>
      <c r="AC1835">
        <v>-16.392199999999999</v>
      </c>
      <c r="AD1835">
        <v>-1.1047843520952001</v>
      </c>
      <c r="AE1835">
        <v>-0.18860000000000801</v>
      </c>
      <c r="AF1835">
        <v>-0.707229323413327</v>
      </c>
      <c r="AG1835">
        <v>-1.1047843520952001</v>
      </c>
      <c r="AH1835">
        <v>16.3038354594112</v>
      </c>
      <c r="AI1835">
        <v>93.8729330775856</v>
      </c>
      <c r="AJ1835">
        <v>92.483824643963999</v>
      </c>
      <c r="AK1835">
        <v>16.3565207934965</v>
      </c>
    </row>
    <row r="1836" spans="1:37" x14ac:dyDescent="0.2">
      <c r="A1836" t="str">
        <f>"20200111155829710"</f>
        <v>20200111155829710</v>
      </c>
      <c r="B1836" t="str">
        <f>"1578729509703299"</f>
        <v>1578729509703299</v>
      </c>
      <c r="C1836" t="s">
        <v>37</v>
      </c>
      <c r="D1836">
        <v>5.8870889999999996</v>
      </c>
      <c r="E1836">
        <v>0.49739250000000002</v>
      </c>
      <c r="F1836" t="s">
        <v>50</v>
      </c>
      <c r="G1836">
        <v>-272.55900000000003</v>
      </c>
      <c r="H1836" s="1">
        <v>-1.4117029999999999E-7</v>
      </c>
      <c r="I1836">
        <v>283.8417</v>
      </c>
      <c r="J1836">
        <v>-256.11540000000002</v>
      </c>
      <c r="K1836">
        <v>1.1047799999999901</v>
      </c>
      <c r="L1836">
        <v>284.00850000000003</v>
      </c>
      <c r="M1836">
        <v>-0.999409199999999</v>
      </c>
      <c r="N1836">
        <v>0</v>
      </c>
      <c r="O1836">
        <v>3.1107619999999999E-2</v>
      </c>
      <c r="P1836">
        <v>-0.9999169</v>
      </c>
      <c r="Q1836">
        <v>-1.289384E-2</v>
      </c>
      <c r="R1836">
        <v>2.3209789999999999E-4</v>
      </c>
      <c r="S1836">
        <v>-2.9975589999999999</v>
      </c>
      <c r="T1836">
        <v>-0.19722579999999901</v>
      </c>
      <c r="U1836">
        <v>-2.792358E-2</v>
      </c>
      <c r="V1836">
        <v>-3.0878659999999999E-2</v>
      </c>
      <c r="W1836">
        <v>1.6711389999999899E-3</v>
      </c>
      <c r="X1836">
        <v>0.99952169999999896</v>
      </c>
      <c r="Y1836">
        <v>-4.0265809999999999E-2</v>
      </c>
      <c r="Z1836">
        <v>-3.3677259999999902E-3</v>
      </c>
      <c r="AA1836">
        <v>0.99918340000000005</v>
      </c>
      <c r="AB1836">
        <v>34</v>
      </c>
      <c r="AC1836">
        <v>-16.4436</v>
      </c>
      <c r="AD1836">
        <v>-1.10478014117029</v>
      </c>
      <c r="AE1836">
        <v>-0.16680000000002301</v>
      </c>
      <c r="AF1836">
        <v>-0.67524742168104301</v>
      </c>
      <c r="AG1836">
        <v>-1.10478014117029</v>
      </c>
      <c r="AH1836">
        <v>16.356625373267299</v>
      </c>
      <c r="AI1836">
        <v>93.860797402147796</v>
      </c>
      <c r="AJ1836">
        <v>92.363988305382193</v>
      </c>
      <c r="AK1836">
        <v>16.407793631144401</v>
      </c>
    </row>
    <row r="1837" spans="1:37" x14ac:dyDescent="0.2">
      <c r="A1837" t="str">
        <f>"20200111155829732"</f>
        <v>20200111155829732</v>
      </c>
      <c r="B1837" t="str">
        <f>"1578729509722818"</f>
        <v>1578729509722818</v>
      </c>
      <c r="C1837" t="s">
        <v>37</v>
      </c>
      <c r="D1837">
        <v>5.6113749999999998</v>
      </c>
      <c r="E1837">
        <v>0.45330730000000002</v>
      </c>
      <c r="F1837" t="s">
        <v>50</v>
      </c>
      <c r="G1837">
        <v>-273.14490000000001</v>
      </c>
      <c r="H1837" s="1">
        <v>1.701581E-7</v>
      </c>
      <c r="I1837">
        <v>283.8519</v>
      </c>
      <c r="J1837">
        <v>-256.4554</v>
      </c>
      <c r="K1837">
        <v>1.1047610000000001</v>
      </c>
      <c r="L1837">
        <v>284.01839999999999</v>
      </c>
      <c r="M1837">
        <v>-0.99942929999999996</v>
      </c>
      <c r="N1837">
        <v>0</v>
      </c>
      <c r="O1837">
        <v>3.0458849999999999E-2</v>
      </c>
      <c r="P1837">
        <v>-0.9999266</v>
      </c>
      <c r="Q1837">
        <v>-1.2087850000000001E-2</v>
      </c>
      <c r="R1837">
        <v>9.6696039999999905E-4</v>
      </c>
      <c r="S1837">
        <v>-2.9977419999999899</v>
      </c>
      <c r="T1837">
        <v>-0.19447729999999999</v>
      </c>
      <c r="U1837">
        <v>-2.7557370000000001E-2</v>
      </c>
      <c r="V1837">
        <v>-2.9496419999999999E-2</v>
      </c>
      <c r="W1837">
        <v>2.4774689999999999E-3</v>
      </c>
      <c r="X1837">
        <v>0.99956179999999994</v>
      </c>
      <c r="Y1837">
        <v>-3.9501809999999998E-2</v>
      </c>
      <c r="Z1837">
        <v>-3.2539000000000001E-3</v>
      </c>
      <c r="AA1837">
        <v>0.99921419999999905</v>
      </c>
      <c r="AB1837">
        <v>34</v>
      </c>
      <c r="AC1837">
        <v>-16.689499999999999</v>
      </c>
      <c r="AD1837">
        <v>-1.1047608298418901</v>
      </c>
      <c r="AE1837">
        <v>-0.16649999999998499</v>
      </c>
      <c r="AF1837">
        <v>-0.67187622378938705</v>
      </c>
      <c r="AG1837">
        <v>-1.1047608298418901</v>
      </c>
      <c r="AH1837">
        <v>16.603935403162499</v>
      </c>
      <c r="AI1837">
        <v>93.803522467752202</v>
      </c>
      <c r="AJ1837">
        <v>92.317202557265105</v>
      </c>
      <c r="AK1837">
        <v>16.654206226165201</v>
      </c>
    </row>
    <row r="1838" spans="1:37" x14ac:dyDescent="0.2">
      <c r="A1838" t="str">
        <f>"20200111155829755"</f>
        <v>20200111155829755</v>
      </c>
      <c r="B1838" t="str">
        <f>"1578729509753076"</f>
        <v>1578729509753076</v>
      </c>
      <c r="C1838" t="s">
        <v>37</v>
      </c>
      <c r="D1838">
        <v>5.9795089999999904</v>
      </c>
      <c r="E1838">
        <v>0.46454409999999902</v>
      </c>
      <c r="F1838" t="s">
        <v>53</v>
      </c>
      <c r="G1838">
        <v>-385.31319999999999</v>
      </c>
      <c r="H1838">
        <v>1.7541709999999999</v>
      </c>
      <c r="I1838">
        <v>268.23919999999998</v>
      </c>
      <c r="J1838">
        <v>-256.7987</v>
      </c>
      <c r="K1838">
        <v>1.104719</v>
      </c>
      <c r="L1838">
        <v>284.0283</v>
      </c>
      <c r="M1838">
        <v>-0.99944659999999996</v>
      </c>
      <c r="N1838">
        <v>0</v>
      </c>
      <c r="O1838">
        <v>2.989054E-2</v>
      </c>
      <c r="P1838">
        <v>-0.999919</v>
      </c>
      <c r="Q1838">
        <v>-1.2707090000000001E-2</v>
      </c>
      <c r="R1838">
        <v>7.7563689999999999E-4</v>
      </c>
      <c r="S1838">
        <v>-3.0007929999999998</v>
      </c>
      <c r="T1838">
        <v>1.512492E-2</v>
      </c>
      <c r="U1838">
        <v>-0.36746220000000002</v>
      </c>
      <c r="V1838">
        <v>-2.911849E-2</v>
      </c>
      <c r="W1838">
        <v>1.857105E-3</v>
      </c>
      <c r="X1838">
        <v>0.99957419999999997</v>
      </c>
      <c r="Y1838">
        <v>-0.15116260000000001</v>
      </c>
      <c r="Z1838">
        <v>5.2969659999999995E-4</v>
      </c>
      <c r="AA1838">
        <v>0.98850879999999997</v>
      </c>
      <c r="AB1838">
        <v>34</v>
      </c>
      <c r="AC1838">
        <v>-128.5145</v>
      </c>
      <c r="AD1838">
        <v>0.64945199999999903</v>
      </c>
      <c r="AE1838">
        <v>-15.789099999999999</v>
      </c>
      <c r="AF1838">
        <v>-19.623326955464901</v>
      </c>
      <c r="AG1838">
        <v>0.64945199999999903</v>
      </c>
      <c r="AH1838">
        <v>127.98184982368301</v>
      </c>
      <c r="AI1838">
        <v>89.712609989768197</v>
      </c>
      <c r="AJ1838">
        <v>98.717213469155595</v>
      </c>
      <c r="AK1838">
        <v>129.47915134489099</v>
      </c>
    </row>
    <row r="1839" spans="1:37" x14ac:dyDescent="0.2">
      <c r="A1839" t="str">
        <f>"20200111155829777"</f>
        <v>20200111155829777</v>
      </c>
      <c r="B1839" t="str">
        <f>"1578729509772595"</f>
        <v>1578729509772595</v>
      </c>
      <c r="C1839" t="s">
        <v>37</v>
      </c>
      <c r="D1839">
        <v>5.4276910000000003</v>
      </c>
      <c r="E1839">
        <v>0.46439609999999898</v>
      </c>
      <c r="F1839" t="s">
        <v>52</v>
      </c>
      <c r="G1839">
        <v>-303.7319</v>
      </c>
      <c r="H1839" s="1">
        <v>3.7416579999999998E-6</v>
      </c>
      <c r="I1839">
        <v>279.60910000000001</v>
      </c>
      <c r="J1839">
        <v>-257.13470000000001</v>
      </c>
      <c r="K1839">
        <v>1.104671</v>
      </c>
      <c r="L1839">
        <v>284.03789999999998</v>
      </c>
      <c r="M1839">
        <v>-0.99946000000000002</v>
      </c>
      <c r="N1839">
        <v>0</v>
      </c>
      <c r="O1839">
        <v>2.9433480000000001E-2</v>
      </c>
      <c r="P1839">
        <v>-0.99991459999999999</v>
      </c>
      <c r="Q1839">
        <v>-1.300692E-2</v>
      </c>
      <c r="R1839">
        <v>1.269603E-3</v>
      </c>
      <c r="S1839">
        <v>-2.9995729999999998</v>
      </c>
      <c r="T1839">
        <v>-7.0604089999999994E-2</v>
      </c>
      <c r="U1839">
        <v>-0.28244019999999997</v>
      </c>
      <c r="V1839">
        <v>-2.8166650000000001E-2</v>
      </c>
      <c r="W1839">
        <v>1.558605E-3</v>
      </c>
      <c r="X1839">
        <v>0.99960199999999999</v>
      </c>
      <c r="Y1839">
        <v>-0.12297</v>
      </c>
      <c r="Z1839">
        <v>-2.1352649999999999E-3</v>
      </c>
      <c r="AA1839">
        <v>0.99240810000000002</v>
      </c>
      <c r="AB1839">
        <v>34</v>
      </c>
      <c r="AC1839">
        <v>-46.597200000000001</v>
      </c>
      <c r="AD1839">
        <v>-1.1046672583419901</v>
      </c>
      <c r="AE1839">
        <v>-4.4287999999999599</v>
      </c>
      <c r="AF1839">
        <v>-5.7953170160597303</v>
      </c>
      <c r="AG1839">
        <v>-1.1046672583419901</v>
      </c>
      <c r="AH1839">
        <v>46.420782802201998</v>
      </c>
      <c r="AI1839">
        <v>91.352703583868006</v>
      </c>
      <c r="AJ1839">
        <v>97.116167917008099</v>
      </c>
      <c r="AK1839">
        <v>46.794177683099598</v>
      </c>
    </row>
    <row r="1840" spans="1:37" x14ac:dyDescent="0.2">
      <c r="A1840" t="str">
        <f>"20200111155829800"</f>
        <v>20200111155829800</v>
      </c>
      <c r="B1840" t="str">
        <f>"1578729509793091"</f>
        <v>1578729509793091</v>
      </c>
      <c r="C1840" t="s">
        <v>37</v>
      </c>
      <c r="D1840">
        <v>5.4431269999999996</v>
      </c>
      <c r="E1840">
        <v>0.46393390000000001</v>
      </c>
      <c r="F1840" t="s">
        <v>52</v>
      </c>
      <c r="G1840">
        <v>-291.41559999999998</v>
      </c>
      <c r="H1840" s="1">
        <v>2.7905210000000002E-6</v>
      </c>
      <c r="I1840">
        <v>280.79969999999997</v>
      </c>
      <c r="J1840">
        <v>-257.49160000000001</v>
      </c>
      <c r="K1840">
        <v>1.1046069999999999</v>
      </c>
      <c r="L1840">
        <v>284.048</v>
      </c>
      <c r="M1840">
        <v>-0.9994712</v>
      </c>
      <c r="N1840">
        <v>0</v>
      </c>
      <c r="O1840">
        <v>2.9058009999999999E-2</v>
      </c>
      <c r="P1840">
        <v>-0.99992019999999904</v>
      </c>
      <c r="Q1840">
        <v>-1.25124E-2</v>
      </c>
      <c r="R1840">
        <v>1.7950500000000001E-3</v>
      </c>
      <c r="S1840">
        <v>-2.99939</v>
      </c>
      <c r="T1840">
        <v>-9.6652269999999998E-2</v>
      </c>
      <c r="U1840">
        <v>-0.2833252</v>
      </c>
      <c r="V1840">
        <v>-2.7266229999999999E-2</v>
      </c>
      <c r="W1840">
        <v>2.0549919999999998E-3</v>
      </c>
      <c r="X1840">
        <v>0.99962609999999996</v>
      </c>
      <c r="Y1840">
        <v>-0.1228567</v>
      </c>
      <c r="Z1840">
        <v>-2.908927E-3</v>
      </c>
      <c r="AA1840">
        <v>0.99242009999999903</v>
      </c>
      <c r="AB1840">
        <v>34</v>
      </c>
      <c r="AC1840">
        <v>-33.9239999999999</v>
      </c>
      <c r="AD1840">
        <v>-1.1046042094789901</v>
      </c>
      <c r="AE1840">
        <v>-3.2483000000000199</v>
      </c>
      <c r="AF1840">
        <v>-4.2283546554214402</v>
      </c>
      <c r="AG1840">
        <v>-1.1046042094789901</v>
      </c>
      <c r="AH1840">
        <v>33.7797836753453</v>
      </c>
      <c r="AI1840">
        <v>91.858421059442094</v>
      </c>
      <c r="AJ1840">
        <v>97.134838930579093</v>
      </c>
      <c r="AK1840">
        <v>34.061311171250402</v>
      </c>
    </row>
    <row r="1841" spans="1:37" x14ac:dyDescent="0.2">
      <c r="A1841" t="str">
        <f>"20200111155829822"</f>
        <v>20200111155829822</v>
      </c>
      <c r="B1841" t="str">
        <f>"1578729509813116"</f>
        <v>1578729509813116</v>
      </c>
      <c r="C1841" t="s">
        <v>37</v>
      </c>
      <c r="D1841">
        <v>5.6552930000000003</v>
      </c>
      <c r="E1841">
        <v>0.46410469999999998</v>
      </c>
      <c r="F1841" t="s">
        <v>52</v>
      </c>
      <c r="G1841">
        <v>-287.66660000000002</v>
      </c>
      <c r="H1841" s="1">
        <v>5.7145070000000001E-6</v>
      </c>
      <c r="I1841">
        <v>281.1703</v>
      </c>
      <c r="J1841">
        <v>-257.8261</v>
      </c>
      <c r="K1841">
        <v>1.104538</v>
      </c>
      <c r="L1841">
        <v>284.05739999999997</v>
      </c>
      <c r="M1841">
        <v>-0.99947849999999905</v>
      </c>
      <c r="N1841">
        <v>0</v>
      </c>
      <c r="O1841">
        <v>2.880926E-2</v>
      </c>
      <c r="P1841">
        <v>-0.99994130000000003</v>
      </c>
      <c r="Q1841">
        <v>-1.050155E-2</v>
      </c>
      <c r="R1841">
        <v>2.7179449999999998E-3</v>
      </c>
      <c r="S1841">
        <v>-2.9994200000000002</v>
      </c>
      <c r="T1841">
        <v>-0.1097986</v>
      </c>
      <c r="U1841">
        <v>-0.2860413</v>
      </c>
      <c r="V1841">
        <v>-2.6096810000000002E-2</v>
      </c>
      <c r="W1841">
        <v>4.0681889999999998E-3</v>
      </c>
      <c r="X1841">
        <v>0.99965110000000001</v>
      </c>
      <c r="Y1841">
        <v>-0.123476399999999</v>
      </c>
      <c r="Z1841">
        <v>-3.3063959999999901E-3</v>
      </c>
      <c r="AA1841">
        <v>0.99234199999999995</v>
      </c>
      <c r="AB1841">
        <v>34</v>
      </c>
      <c r="AC1841">
        <v>-29.840499999999999</v>
      </c>
      <c r="AD1841">
        <v>-1.104532285493</v>
      </c>
      <c r="AE1841">
        <v>-2.88709999999997</v>
      </c>
      <c r="AF1841">
        <v>-3.7405982009396102</v>
      </c>
      <c r="AG1841">
        <v>-1.104532285493</v>
      </c>
      <c r="AH1841">
        <v>29.704607177732498</v>
      </c>
      <c r="AI1841">
        <v>92.112826925031698</v>
      </c>
      <c r="AJ1841">
        <v>97.177280100025499</v>
      </c>
      <c r="AK1841">
        <v>29.9595686560065</v>
      </c>
    </row>
    <row r="1842" spans="1:37" x14ac:dyDescent="0.2">
      <c r="A1842" t="str">
        <f>"20200111155829843"</f>
        <v>20200111155829843</v>
      </c>
      <c r="B1842" t="str">
        <f>"1578729509832636"</f>
        <v>1578729509832636</v>
      </c>
      <c r="C1842" t="s">
        <v>37</v>
      </c>
      <c r="D1842">
        <v>5.9877709999999897</v>
      </c>
      <c r="E1842">
        <v>0.466588</v>
      </c>
      <c r="F1842" t="s">
        <v>52</v>
      </c>
      <c r="G1842">
        <v>-286.99700000000001</v>
      </c>
      <c r="H1842" s="1">
        <v>5.982433E-6</v>
      </c>
      <c r="I1842">
        <v>281.31049999999999</v>
      </c>
      <c r="J1842">
        <v>-258.14449999999999</v>
      </c>
      <c r="K1842">
        <v>1.1044700000000001</v>
      </c>
      <c r="L1842">
        <v>284.06639999999999</v>
      </c>
      <c r="M1842">
        <v>-0.99948289999999995</v>
      </c>
      <c r="N1842">
        <v>0</v>
      </c>
      <c r="O1842">
        <v>2.8655989999999999E-2</v>
      </c>
      <c r="P1842">
        <v>-0.99995429999999996</v>
      </c>
      <c r="Q1842">
        <v>-8.8780760000000004E-3</v>
      </c>
      <c r="R1842">
        <v>3.5689070000000001E-3</v>
      </c>
      <c r="S1842">
        <v>-2.9997560000000001</v>
      </c>
      <c r="T1842">
        <v>-0.11358310000000001</v>
      </c>
      <c r="U1842">
        <v>-0.28247070000000002</v>
      </c>
      <c r="V1842">
        <v>-2.509368E-2</v>
      </c>
      <c r="W1842">
        <v>5.6937079999999996E-3</v>
      </c>
      <c r="X1842">
        <v>0.99966889999999997</v>
      </c>
      <c r="Y1842">
        <v>-0.122137</v>
      </c>
      <c r="Z1842">
        <v>-3.3890019999999999E-3</v>
      </c>
      <c r="AA1842">
        <v>0.99250749999999999</v>
      </c>
      <c r="AB1842">
        <v>34</v>
      </c>
      <c r="AC1842">
        <v>-28.852499999999999</v>
      </c>
      <c r="AD1842">
        <v>-1.104464017567</v>
      </c>
      <c r="AE1842">
        <v>-2.7558999999999898</v>
      </c>
      <c r="AF1842">
        <v>-3.57645960223156</v>
      </c>
      <c r="AG1842">
        <v>-1.104464017567</v>
      </c>
      <c r="AH1842">
        <v>28.719963438483902</v>
      </c>
      <c r="AI1842">
        <v>92.185435970967006</v>
      </c>
      <c r="AJ1842">
        <v>97.098426532280797</v>
      </c>
      <c r="AK1842">
        <v>28.962859043270299</v>
      </c>
    </row>
    <row r="1843" spans="1:37" x14ac:dyDescent="0.2">
      <c r="A1843" t="str">
        <f>"20200111155829858"</f>
        <v>20200111155829858</v>
      </c>
      <c r="B1843" t="str">
        <f>"1578729509853133"</f>
        <v>1578729509853133</v>
      </c>
      <c r="C1843" t="s">
        <v>37</v>
      </c>
      <c r="D1843">
        <v>6.0138999999999996</v>
      </c>
      <c r="E1843">
        <v>0.47014440000000002</v>
      </c>
      <c r="F1843" t="s">
        <v>52</v>
      </c>
      <c r="G1843">
        <v>-284.75319999999999</v>
      </c>
      <c r="H1843" s="1">
        <v>6.8864529999999998E-6</v>
      </c>
      <c r="I1843">
        <v>281.75099999999998</v>
      </c>
      <c r="J1843">
        <v>-258.36329999999998</v>
      </c>
      <c r="K1843">
        <v>1.1044290000000001</v>
      </c>
      <c r="L1843">
        <v>284.07260000000002</v>
      </c>
      <c r="M1843">
        <v>-0.9994847</v>
      </c>
      <c r="N1843">
        <v>0</v>
      </c>
      <c r="O1843">
        <v>2.8592590000000001E-2</v>
      </c>
      <c r="P1843">
        <v>-0.99995849999999897</v>
      </c>
      <c r="Q1843">
        <v>-8.228384E-3</v>
      </c>
      <c r="R1843">
        <v>3.921356E-3</v>
      </c>
      <c r="S1843">
        <v>-2.9999689999999899</v>
      </c>
      <c r="T1843">
        <v>-0.12452149999999999</v>
      </c>
      <c r="U1843">
        <v>-0.26104739999999999</v>
      </c>
      <c r="V1843">
        <v>-2.4677439999999998E-2</v>
      </c>
      <c r="W1843">
        <v>6.3441019999999999E-3</v>
      </c>
      <c r="X1843">
        <v>0.99967530000000004</v>
      </c>
      <c r="Y1843">
        <v>-0.1150188</v>
      </c>
      <c r="Z1843">
        <v>-3.565992E-3</v>
      </c>
      <c r="AA1843">
        <v>0.99335689999999999</v>
      </c>
      <c r="AB1843">
        <v>34</v>
      </c>
      <c r="AC1843">
        <v>-26.389900000000001</v>
      </c>
      <c r="AD1843">
        <v>-1.104422113547</v>
      </c>
      <c r="AE1843">
        <v>-2.3216000000000401</v>
      </c>
      <c r="AF1843">
        <v>-3.06995096075137</v>
      </c>
      <c r="AG1843">
        <v>-1.104422113547</v>
      </c>
      <c r="AH1843">
        <v>26.2670687034698</v>
      </c>
      <c r="AI1843">
        <v>92.391375370175297</v>
      </c>
      <c r="AJ1843">
        <v>96.666173779289906</v>
      </c>
      <c r="AK1843">
        <v>26.468910921666399</v>
      </c>
    </row>
    <row r="1844" spans="1:37" x14ac:dyDescent="0.2">
      <c r="A1844" t="str">
        <f>"20200111155829876"</f>
        <v>20200111155829876</v>
      </c>
      <c r="B1844" t="str">
        <f>"1578729509872653"</f>
        <v>1578729509872653</v>
      </c>
      <c r="C1844" t="s">
        <v>37</v>
      </c>
      <c r="D1844">
        <v>6.0073230000000004</v>
      </c>
      <c r="E1844">
        <v>0.47325800000000001</v>
      </c>
      <c r="F1844" t="s">
        <v>52</v>
      </c>
      <c r="G1844">
        <v>-283.28339999999997</v>
      </c>
      <c r="H1844" s="1">
        <v>7.4565599999999996E-6</v>
      </c>
      <c r="I1844">
        <v>282.14640000000003</v>
      </c>
      <c r="J1844">
        <v>-258.64819999999997</v>
      </c>
      <c r="K1844">
        <v>1.1043829999999999</v>
      </c>
      <c r="L1844">
        <v>284.08069999999998</v>
      </c>
      <c r="M1844">
        <v>-0.99948630000000005</v>
      </c>
      <c r="N1844">
        <v>0</v>
      </c>
      <c r="O1844">
        <v>2.8542189999999999E-2</v>
      </c>
      <c r="P1844">
        <v>-0.99995990000000001</v>
      </c>
      <c r="Q1844">
        <v>-7.3699239999999999E-3</v>
      </c>
      <c r="R1844">
        <v>5.1287160000000002E-3</v>
      </c>
      <c r="S1844">
        <v>-2.9999389999999999</v>
      </c>
      <c r="T1844">
        <v>-0.13295299999999999</v>
      </c>
      <c r="U1844">
        <v>-0.23187260000000001</v>
      </c>
      <c r="V1844">
        <v>-2.34197999999999E-2</v>
      </c>
      <c r="W1844">
        <v>7.2033430000000001E-3</v>
      </c>
      <c r="X1844">
        <v>0.99969979999999903</v>
      </c>
      <c r="Y1844">
        <v>-0.10536079999999901</v>
      </c>
      <c r="Z1844">
        <v>-3.5929079999999902E-3</v>
      </c>
      <c r="AA1844">
        <v>0.99442759999999997</v>
      </c>
      <c r="AB1844">
        <v>34</v>
      </c>
      <c r="AC1844">
        <v>-24.635200000000001</v>
      </c>
      <c r="AD1844">
        <v>-1.10437554344</v>
      </c>
      <c r="AE1844">
        <v>-1.9342999999999499</v>
      </c>
      <c r="AF1844">
        <v>-2.6314731011268901</v>
      </c>
      <c r="AG1844">
        <v>-1.10437554344</v>
      </c>
      <c r="AH1844">
        <v>24.520969452573802</v>
      </c>
      <c r="AI1844">
        <v>92.564042562841806</v>
      </c>
      <c r="AJ1844">
        <v>96.125266669282894</v>
      </c>
      <c r="AK1844">
        <v>24.686478868339201</v>
      </c>
    </row>
    <row r="1845" spans="1:37" x14ac:dyDescent="0.2">
      <c r="A1845" t="str">
        <f>"20200111155829900"</f>
        <v>20200111155829900</v>
      </c>
      <c r="B1845" t="str">
        <f>"1578729509893149"</f>
        <v>1578729509893149</v>
      </c>
      <c r="C1845" t="s">
        <v>37</v>
      </c>
      <c r="D1845">
        <v>5.8961690000000004</v>
      </c>
      <c r="E1845">
        <v>0.47571799999999997</v>
      </c>
      <c r="F1845" t="s">
        <v>52</v>
      </c>
      <c r="G1845">
        <v>-281.28649999999999</v>
      </c>
      <c r="H1845" s="1">
        <v>8.2613330000000003E-6</v>
      </c>
      <c r="I1845">
        <v>282.53739999999999</v>
      </c>
      <c r="J1845">
        <v>-259.01499999999999</v>
      </c>
      <c r="K1845">
        <v>1.1043240000000001</v>
      </c>
      <c r="L1845">
        <v>284.09109999999998</v>
      </c>
      <c r="M1845">
        <v>-0.99948669999999995</v>
      </c>
      <c r="N1845">
        <v>0</v>
      </c>
      <c r="O1845">
        <v>2.853027E-2</v>
      </c>
      <c r="P1845">
        <v>-0.99995630000000002</v>
      </c>
      <c r="Q1845">
        <v>-7.0557349999999996E-3</v>
      </c>
      <c r="R1845">
        <v>6.149575E-3</v>
      </c>
      <c r="S1845">
        <v>-3.000092</v>
      </c>
      <c r="T1845">
        <v>-0.14635499999999901</v>
      </c>
      <c r="U1845">
        <v>-0.20452879999999901</v>
      </c>
      <c r="V1845">
        <v>-2.2386260000000002E-2</v>
      </c>
      <c r="W1845">
        <v>7.5166159999999899E-3</v>
      </c>
      <c r="X1845">
        <v>0.99972109999999903</v>
      </c>
      <c r="Y1845">
        <v>-9.6308000000000005E-2</v>
      </c>
      <c r="Z1845">
        <v>-3.7347229999999901E-3</v>
      </c>
      <c r="AA1845">
        <v>0.99534460000000002</v>
      </c>
      <c r="AB1845">
        <v>34</v>
      </c>
      <c r="AC1845">
        <v>-22.2715</v>
      </c>
      <c r="AD1845">
        <v>-1.1043157386669999</v>
      </c>
      <c r="AE1845">
        <v>-1.5536999999999901</v>
      </c>
      <c r="AF1845">
        <v>-2.1832051581012801</v>
      </c>
      <c r="AG1845">
        <v>-1.1043157386669999</v>
      </c>
      <c r="AH1845">
        <v>22.163871658179499</v>
      </c>
      <c r="AI1845">
        <v>92.838689765847406</v>
      </c>
      <c r="AJ1845">
        <v>95.625651162633602</v>
      </c>
      <c r="AK1845">
        <v>22.298500059270399</v>
      </c>
    </row>
    <row r="1846" spans="1:37" x14ac:dyDescent="0.2">
      <c r="A1846" t="str">
        <f>"20200111155829916"</f>
        <v>20200111155829916</v>
      </c>
      <c r="B1846" t="str">
        <f>"1578729509913178"</f>
        <v>1578729509913178</v>
      </c>
      <c r="C1846" t="s">
        <v>37</v>
      </c>
      <c r="D1846">
        <v>6.0087630000000001</v>
      </c>
      <c r="E1846">
        <v>0.47759570000000001</v>
      </c>
      <c r="F1846" t="s">
        <v>52</v>
      </c>
      <c r="G1846">
        <v>-281.79329999999999</v>
      </c>
      <c r="H1846" s="1">
        <v>8.0009490000000006E-6</v>
      </c>
      <c r="I1846">
        <v>282.7097</v>
      </c>
      <c r="J1846">
        <v>-259.23700000000002</v>
      </c>
      <c r="K1846">
        <v>1.1042969999999901</v>
      </c>
      <c r="L1846">
        <v>284.09739999999999</v>
      </c>
      <c r="M1846">
        <v>-0.99948599999999999</v>
      </c>
      <c r="N1846">
        <v>0</v>
      </c>
      <c r="O1846">
        <v>2.8550880000000001E-2</v>
      </c>
      <c r="P1846">
        <v>-0.9999536</v>
      </c>
      <c r="Q1846">
        <v>-6.9253429999999996E-3</v>
      </c>
      <c r="R1846">
        <v>6.7028909999999999E-3</v>
      </c>
      <c r="S1846">
        <v>-3.0002140000000002</v>
      </c>
      <c r="T1846">
        <v>-0.145453</v>
      </c>
      <c r="U1846">
        <v>-0.18194579999999999</v>
      </c>
      <c r="V1846">
        <v>-2.1853279999999999E-2</v>
      </c>
      <c r="W1846">
        <v>7.6458350000000001E-3</v>
      </c>
      <c r="X1846">
        <v>0.99973199999999995</v>
      </c>
      <c r="Y1846">
        <v>-8.887246E-2</v>
      </c>
      <c r="Z1846">
        <v>-3.5334670000000002E-3</v>
      </c>
      <c r="AA1846">
        <v>0.99603680000000006</v>
      </c>
      <c r="AB1846">
        <v>34</v>
      </c>
      <c r="AC1846">
        <v>-22.556299999999901</v>
      </c>
      <c r="AD1846">
        <v>-1.1042889990510001</v>
      </c>
      <c r="AE1846">
        <v>-1.3876999999999899</v>
      </c>
      <c r="AF1846">
        <v>-2.0263663889401999</v>
      </c>
      <c r="AG1846">
        <v>-1.1042889990510001</v>
      </c>
      <c r="AH1846">
        <v>22.453864241680598</v>
      </c>
      <c r="AI1846">
        <v>92.804180607466705</v>
      </c>
      <c r="AJ1846">
        <v>95.156732996694302</v>
      </c>
      <c r="AK1846">
        <v>22.5721428827542</v>
      </c>
    </row>
    <row r="1847" spans="1:37" x14ac:dyDescent="0.2">
      <c r="A1847" t="str">
        <f>"20200111155829933"</f>
        <v>20200111155829933</v>
      </c>
      <c r="B1847" t="str">
        <f>"1578729509922936"</f>
        <v>1578729509922936</v>
      </c>
      <c r="C1847" t="s">
        <v>37</v>
      </c>
      <c r="D1847">
        <v>5.9343750000000002</v>
      </c>
      <c r="E1847">
        <v>0.47813899999999998</v>
      </c>
      <c r="F1847" t="s">
        <v>52</v>
      </c>
      <c r="G1847">
        <v>-280.35719999999998</v>
      </c>
      <c r="H1847" s="1">
        <v>8.5922230000000001E-6</v>
      </c>
      <c r="I1847">
        <v>282.93029999999999</v>
      </c>
      <c r="J1847">
        <v>-259.50990000000002</v>
      </c>
      <c r="K1847">
        <v>1.1042639999999999</v>
      </c>
      <c r="L1847">
        <v>284.10520000000002</v>
      </c>
      <c r="M1847">
        <v>-0.99948490000000001</v>
      </c>
      <c r="N1847">
        <v>0</v>
      </c>
      <c r="O1847">
        <v>2.8597850000000001E-2</v>
      </c>
      <c r="P1847">
        <v>-0.99994620000000001</v>
      </c>
      <c r="Q1847">
        <v>-6.7538429999999998E-3</v>
      </c>
      <c r="R1847">
        <v>7.8963820000000004E-3</v>
      </c>
      <c r="S1847">
        <v>-3.0002140000000002</v>
      </c>
      <c r="T1847">
        <v>-0.15686839999999999</v>
      </c>
      <c r="U1847">
        <v>-0.165802</v>
      </c>
      <c r="V1847">
        <v>-2.0706749999999999E-2</v>
      </c>
      <c r="W1847">
        <v>7.8165370000000001E-3</v>
      </c>
      <c r="X1847">
        <v>0.99975499999999995</v>
      </c>
      <c r="Y1847">
        <v>-8.3561140000000006E-2</v>
      </c>
      <c r="Z1847">
        <v>-3.6747799999999999E-3</v>
      </c>
      <c r="AA1847">
        <v>0.99649589999999999</v>
      </c>
      <c r="AB1847">
        <v>34</v>
      </c>
      <c r="AC1847">
        <v>-20.847299999999901</v>
      </c>
      <c r="AD1847">
        <v>-1.1042554077769999</v>
      </c>
      <c r="AE1847">
        <v>-1.17490000000003</v>
      </c>
      <c r="AF1847">
        <v>-1.76573214576492</v>
      </c>
      <c r="AG1847">
        <v>-1.1042554077769999</v>
      </c>
      <c r="AH1847">
        <v>20.7471427036111</v>
      </c>
      <c r="AI1847">
        <v>93.0357083145243</v>
      </c>
      <c r="AJ1847">
        <v>94.864563441622707</v>
      </c>
      <c r="AK1847">
        <v>20.851405717125999</v>
      </c>
    </row>
    <row r="1848" spans="1:37" x14ac:dyDescent="0.2">
      <c r="A1848" t="str">
        <f>"20200111155829957"</f>
        <v>20200111155829957</v>
      </c>
      <c r="B1848" t="str">
        <f>"1578729509953193"</f>
        <v>1578729509953193</v>
      </c>
      <c r="C1848" t="s">
        <v>37</v>
      </c>
      <c r="D1848">
        <v>6.0716960000000002</v>
      </c>
      <c r="E1848">
        <v>0.48033090000000001</v>
      </c>
      <c r="F1848" t="s">
        <v>52</v>
      </c>
      <c r="G1848">
        <v>-280.72629999999998</v>
      </c>
      <c r="H1848" s="1">
        <v>8.4164180000000005E-6</v>
      </c>
      <c r="I1848">
        <v>282.98910000000001</v>
      </c>
      <c r="J1848">
        <v>-259.84960000000001</v>
      </c>
      <c r="K1848">
        <v>1.104228</v>
      </c>
      <c r="L1848">
        <v>284.11500000000001</v>
      </c>
      <c r="M1848">
        <v>-0.99948219999999999</v>
      </c>
      <c r="N1848">
        <v>0</v>
      </c>
      <c r="O1848">
        <v>2.868894E-2</v>
      </c>
      <c r="P1848">
        <v>-0.99994519999999998</v>
      </c>
      <c r="Q1848">
        <v>-5.8034430000000001E-3</v>
      </c>
      <c r="R1848">
        <v>8.7157339999999993E-3</v>
      </c>
      <c r="S1848">
        <v>-3.0003359999999999</v>
      </c>
      <c r="T1848">
        <v>-0.1561594</v>
      </c>
      <c r="U1848">
        <v>-0.1578369</v>
      </c>
      <c r="V1848">
        <v>-1.9978159999999998E-2</v>
      </c>
      <c r="W1848">
        <v>8.7654109999999903E-3</v>
      </c>
      <c r="X1848">
        <v>0.99976200000000004</v>
      </c>
      <c r="Y1848">
        <v>-8.1016379999999999E-2</v>
      </c>
      <c r="Z1848">
        <v>-3.5968929999999999E-3</v>
      </c>
      <c r="AA1848">
        <v>0.99670630000000005</v>
      </c>
      <c r="AB1848">
        <v>34</v>
      </c>
      <c r="AC1848">
        <v>-20.8766999999999</v>
      </c>
      <c r="AD1848">
        <v>-1.1042195835819999</v>
      </c>
      <c r="AE1848">
        <v>-1.1258999999999999</v>
      </c>
      <c r="AF1848">
        <v>-1.7196335283980599</v>
      </c>
      <c r="AG1848">
        <v>-1.1042195835819999</v>
      </c>
      <c r="AH1848">
        <v>20.777841041334501</v>
      </c>
      <c r="AI1848">
        <v>93.031724639254605</v>
      </c>
      <c r="AJ1848">
        <v>94.731179809030806</v>
      </c>
      <c r="AK1848">
        <v>20.8781014151125</v>
      </c>
    </row>
    <row r="1849" spans="1:37" x14ac:dyDescent="0.2">
      <c r="A1849" t="str">
        <f>"20200111155829978"</f>
        <v>20200111155829978</v>
      </c>
      <c r="B1849" t="str">
        <f>"1578729509972713"</f>
        <v>1578729509972713</v>
      </c>
      <c r="C1849" t="s">
        <v>37</v>
      </c>
      <c r="D1849">
        <v>6.036219</v>
      </c>
      <c r="E1849">
        <v>0.48139009999999999</v>
      </c>
      <c r="F1849" t="s">
        <v>52</v>
      </c>
      <c r="G1849">
        <v>-282.61579999999998</v>
      </c>
      <c r="H1849" s="1">
        <v>7.5614710000000002E-6</v>
      </c>
      <c r="I1849">
        <v>283.07139999999998</v>
      </c>
      <c r="J1849">
        <v>-260.18770000000001</v>
      </c>
      <c r="K1849">
        <v>1.104196</v>
      </c>
      <c r="L1849">
        <v>284.12479999999999</v>
      </c>
      <c r="M1849">
        <v>-0.9994788</v>
      </c>
      <c r="N1849">
        <v>0</v>
      </c>
      <c r="O1849">
        <v>2.8810769999999999E-2</v>
      </c>
      <c r="P1849">
        <v>-0.99993880000000002</v>
      </c>
      <c r="Q1849">
        <v>-5.7964189999999997E-3</v>
      </c>
      <c r="R1849">
        <v>9.4268359999999992E-3</v>
      </c>
      <c r="S1849">
        <v>-3.0005189999999899</v>
      </c>
      <c r="T1849">
        <v>-0.1455332</v>
      </c>
      <c r="U1849">
        <v>-0.13754269999999999</v>
      </c>
      <c r="V1849">
        <v>-1.9387970000000001E-2</v>
      </c>
      <c r="W1849">
        <v>8.7706559999999999E-3</v>
      </c>
      <c r="X1849">
        <v>0.99977359999999904</v>
      </c>
      <c r="Y1849">
        <v>-7.4434990000000006E-2</v>
      </c>
      <c r="Z1849">
        <v>-3.1992229999999902E-3</v>
      </c>
      <c r="AA1849">
        <v>0.99722080000000002</v>
      </c>
      <c r="AB1849">
        <v>34</v>
      </c>
      <c r="AC1849">
        <v>-22.428099999999901</v>
      </c>
      <c r="AD1849">
        <v>-1.1041884385289999</v>
      </c>
      <c r="AE1849">
        <v>-1.0534000000000101</v>
      </c>
      <c r="AF1849">
        <v>-1.6951023917127099</v>
      </c>
      <c r="AG1849">
        <v>-1.1041884385289999</v>
      </c>
      <c r="AH1849">
        <v>22.3344196813166</v>
      </c>
      <c r="AI1849">
        <v>92.822230495156006</v>
      </c>
      <c r="AJ1849">
        <v>94.340223426043593</v>
      </c>
      <c r="AK1849">
        <v>22.425853533976198</v>
      </c>
    </row>
    <row r="1850" spans="1:37" x14ac:dyDescent="0.2">
      <c r="A1850" t="str">
        <f>"20200111155830001"</f>
        <v>20200111155830001</v>
      </c>
      <c r="B1850" t="str">
        <f>"1578729509993209"</f>
        <v>1578729509993209</v>
      </c>
      <c r="C1850" t="s">
        <v>37</v>
      </c>
      <c r="D1850">
        <v>6.0162019999999998</v>
      </c>
      <c r="E1850">
        <v>0.48222290000000001</v>
      </c>
      <c r="F1850" t="s">
        <v>52</v>
      </c>
      <c r="G1850">
        <v>-281.52890000000002</v>
      </c>
      <c r="H1850" s="1">
        <v>8.0131749999999997E-6</v>
      </c>
      <c r="I1850">
        <v>283.21800000000002</v>
      </c>
      <c r="J1850">
        <v>-260.5367</v>
      </c>
      <c r="K1850">
        <v>1.104152</v>
      </c>
      <c r="L1850">
        <v>284.13510000000002</v>
      </c>
      <c r="M1850">
        <v>-0.99947430000000004</v>
      </c>
      <c r="N1850">
        <v>0</v>
      </c>
      <c r="O1850">
        <v>2.8967340000000001E-2</v>
      </c>
      <c r="P1850">
        <v>-0.99992769999999997</v>
      </c>
      <c r="Q1850">
        <v>-6.5108739999999998E-3</v>
      </c>
      <c r="R1850">
        <v>1.011308E-2</v>
      </c>
      <c r="S1850">
        <v>-3.0004879999999998</v>
      </c>
      <c r="T1850">
        <v>-0.15524450000000001</v>
      </c>
      <c r="U1850">
        <v>-0.12750239999999999</v>
      </c>
      <c r="V1850">
        <v>-1.885796E-2</v>
      </c>
      <c r="W1850">
        <v>8.0544710000000005E-3</v>
      </c>
      <c r="X1850">
        <v>0.999789699999999</v>
      </c>
      <c r="Y1850">
        <v>-7.1248199999999998E-2</v>
      </c>
      <c r="Z1850">
        <v>-3.3384389999999999E-3</v>
      </c>
      <c r="AA1850">
        <v>0.99745300000000003</v>
      </c>
      <c r="AB1850">
        <v>34</v>
      </c>
      <c r="AC1850">
        <v>-20.9922</v>
      </c>
      <c r="AD1850">
        <v>-1.104143986825</v>
      </c>
      <c r="AE1850">
        <v>-0.91710000000000402</v>
      </c>
      <c r="AF1850">
        <v>-1.5206687698474</v>
      </c>
      <c r="AG1850">
        <v>-1.104143986825</v>
      </c>
      <c r="AH1850">
        <v>20.899112274001801</v>
      </c>
      <c r="AI1850">
        <v>93.016285319878307</v>
      </c>
      <c r="AJ1850">
        <v>94.161642169999794</v>
      </c>
      <c r="AK1850">
        <v>20.9834330197078</v>
      </c>
    </row>
    <row r="1851" spans="1:37" x14ac:dyDescent="0.2">
      <c r="A1851" t="str">
        <f>"20200111155830023"</f>
        <v>20200111155830023</v>
      </c>
      <c r="B1851" t="str">
        <f>"1578729510013234"</f>
        <v>1578729510013234</v>
      </c>
      <c r="C1851" t="s">
        <v>37</v>
      </c>
      <c r="D1851">
        <v>9.6506139999999991</v>
      </c>
      <c r="E1851">
        <v>0.48268069999999902</v>
      </c>
      <c r="F1851" t="s">
        <v>52</v>
      </c>
      <c r="G1851">
        <v>-280.5283</v>
      </c>
      <c r="H1851" s="1">
        <v>8.431749E-6</v>
      </c>
      <c r="I1851">
        <v>283.33980000000003</v>
      </c>
      <c r="J1851">
        <v>-260.86779999999999</v>
      </c>
      <c r="K1851">
        <v>1.104117</v>
      </c>
      <c r="L1851">
        <v>284.14479999999998</v>
      </c>
      <c r="M1851">
        <v>-0.9994693</v>
      </c>
      <c r="N1851">
        <v>0</v>
      </c>
      <c r="O1851">
        <v>2.9144299999999901E-2</v>
      </c>
      <c r="P1851">
        <v>-0.99992320000000001</v>
      </c>
      <c r="Q1851">
        <v>-7.2783789999999998E-3</v>
      </c>
      <c r="R1851">
        <v>1.004675E-2</v>
      </c>
      <c r="S1851">
        <v>-3.0003660000000001</v>
      </c>
      <c r="T1851">
        <v>-0.16571179999999999</v>
      </c>
      <c r="U1851">
        <v>-0.11935419999999999</v>
      </c>
      <c r="V1851">
        <v>-1.9100249999999999E-2</v>
      </c>
      <c r="W1851">
        <v>7.2853559999999998E-3</v>
      </c>
      <c r="X1851">
        <v>0.99979099999999999</v>
      </c>
      <c r="Y1851">
        <v>-6.8707000000000004E-2</v>
      </c>
      <c r="Z1851">
        <v>-3.5031959999999901E-3</v>
      </c>
      <c r="AA1851">
        <v>0.99763069999999898</v>
      </c>
      <c r="AB1851">
        <v>34</v>
      </c>
      <c r="AC1851">
        <v>-19.660499999999999</v>
      </c>
      <c r="AD1851">
        <v>-1.1041085682509999</v>
      </c>
      <c r="AE1851">
        <v>-0.80499999999994998</v>
      </c>
      <c r="AF1851">
        <v>-1.37338601601971</v>
      </c>
      <c r="AG1851">
        <v>-1.1041085682509999</v>
      </c>
      <c r="AH1851">
        <v>19.5670756928054</v>
      </c>
      <c r="AI1851">
        <v>93.221686735543003</v>
      </c>
      <c r="AJ1851">
        <v>94.014927161703397</v>
      </c>
      <c r="AK1851">
        <v>19.646264175345401</v>
      </c>
    </row>
    <row r="1852" spans="1:37" x14ac:dyDescent="0.2">
      <c r="A1852" t="str">
        <f>"20200111155830045"</f>
        <v>20200111155830045</v>
      </c>
      <c r="B1852" t="str">
        <f>"1578729510032754"</f>
        <v>1578729510032754</v>
      </c>
      <c r="C1852" t="s">
        <v>37</v>
      </c>
      <c r="D1852">
        <v>6.0627339999999998</v>
      </c>
      <c r="E1852">
        <v>0.48300920000000003</v>
      </c>
      <c r="F1852" t="s">
        <v>52</v>
      </c>
      <c r="G1852">
        <v>-280.37900000000002</v>
      </c>
      <c r="H1852" s="1">
        <v>8.4872060000000004E-6</v>
      </c>
      <c r="I1852">
        <v>283.39179999999999</v>
      </c>
      <c r="J1852">
        <v>-261.18049999999999</v>
      </c>
      <c r="K1852">
        <v>1.104088</v>
      </c>
      <c r="L1852">
        <v>284.15410000000003</v>
      </c>
      <c r="M1852">
        <v>-0.99946369999999896</v>
      </c>
      <c r="N1852">
        <v>0</v>
      </c>
      <c r="O1852">
        <v>2.933647E-2</v>
      </c>
      <c r="P1852">
        <v>-0.99992649999999905</v>
      </c>
      <c r="Q1852">
        <v>-7.3736330000000001E-3</v>
      </c>
      <c r="R1852">
        <v>9.6352529999999999E-3</v>
      </c>
      <c r="S1852">
        <v>-3.0001220000000002</v>
      </c>
      <c r="T1852">
        <v>-0.169771799999999</v>
      </c>
      <c r="U1852">
        <v>-0.1157837</v>
      </c>
      <c r="V1852">
        <v>-1.970334E-2</v>
      </c>
      <c r="W1852">
        <v>7.188084E-3</v>
      </c>
      <c r="X1852">
        <v>0.99978009999999995</v>
      </c>
      <c r="Y1852">
        <v>-6.7710370000000006E-2</v>
      </c>
      <c r="Z1852">
        <v>-3.5719549999999999E-3</v>
      </c>
      <c r="AA1852">
        <v>0.99769859999999899</v>
      </c>
      <c r="AB1852">
        <v>34</v>
      </c>
      <c r="AC1852">
        <v>-19.198499999999999</v>
      </c>
      <c r="AD1852">
        <v>-1.104079512794</v>
      </c>
      <c r="AE1852">
        <v>-0.76230000000003795</v>
      </c>
      <c r="AF1852">
        <v>-1.3208860573177701</v>
      </c>
      <c r="AG1852">
        <v>-1.104079512794</v>
      </c>
      <c r="AH1852">
        <v>19.104784818003001</v>
      </c>
      <c r="AI1852">
        <v>93.299626697894098</v>
      </c>
      <c r="AJ1852">
        <v>93.955079902757802</v>
      </c>
      <c r="AK1852">
        <v>19.182193161606602</v>
      </c>
    </row>
    <row r="1853" spans="1:37" x14ac:dyDescent="0.2">
      <c r="A1853" t="str">
        <f>"20200111155830067"</f>
        <v>20200111155830067</v>
      </c>
      <c r="B1853" t="str">
        <f>"1578729510063012"</f>
        <v>1578729510063012</v>
      </c>
      <c r="C1853" t="s">
        <v>37</v>
      </c>
      <c r="D1853">
        <v>6.2206640000000002</v>
      </c>
      <c r="E1853">
        <v>0.48262820000000001</v>
      </c>
      <c r="F1853" t="s">
        <v>52</v>
      </c>
      <c r="G1853">
        <v>-281.233</v>
      </c>
      <c r="H1853" s="1">
        <v>8.1086670000000005E-6</v>
      </c>
      <c r="I1853">
        <v>283.390999999999</v>
      </c>
      <c r="J1853">
        <v>-261.51830000000001</v>
      </c>
      <c r="K1853">
        <v>1.1040620000000001</v>
      </c>
      <c r="L1853">
        <v>284.16419999999999</v>
      </c>
      <c r="M1853">
        <v>-0.99945699999999904</v>
      </c>
      <c r="N1853">
        <v>0</v>
      </c>
      <c r="O1853">
        <v>2.9567449999999999E-2</v>
      </c>
      <c r="P1853">
        <v>-0.99992630000000005</v>
      </c>
      <c r="Q1853">
        <v>-7.8417620000000004E-3</v>
      </c>
      <c r="R1853">
        <v>9.2809620000000002E-3</v>
      </c>
      <c r="S1853">
        <v>-3.000092</v>
      </c>
      <c r="T1853">
        <v>-0.16518339999999901</v>
      </c>
      <c r="U1853">
        <v>-0.1141663</v>
      </c>
      <c r="V1853">
        <v>-2.028835E-2</v>
      </c>
      <c r="W1853">
        <v>6.71698E-3</v>
      </c>
      <c r="X1853">
        <v>0.99977159999999998</v>
      </c>
      <c r="Y1853">
        <v>-6.7412589999999994E-2</v>
      </c>
      <c r="Z1853">
        <v>-3.4801490000000001E-3</v>
      </c>
      <c r="AA1853">
        <v>0.99771909999999897</v>
      </c>
      <c r="AB1853">
        <v>34</v>
      </c>
      <c r="AC1853">
        <v>-19.714700000000001</v>
      </c>
      <c r="AD1853">
        <v>-1.104053891333</v>
      </c>
      <c r="AE1853">
        <v>-0.77320000000003097</v>
      </c>
      <c r="AF1853">
        <v>-1.35160456909976</v>
      </c>
      <c r="AG1853">
        <v>-1.104053891333</v>
      </c>
      <c r="AH1853">
        <v>19.621771901934601</v>
      </c>
      <c r="AI1853">
        <v>93.212855954992406</v>
      </c>
      <c r="AJ1853">
        <v>93.940475041191107</v>
      </c>
      <c r="AK1853">
        <v>19.6992310123448</v>
      </c>
    </row>
    <row r="1854" spans="1:37" x14ac:dyDescent="0.2">
      <c r="A1854" t="str">
        <f>"20200111155830179"</f>
        <v>20200111155830179</v>
      </c>
      <c r="B1854" t="str">
        <f>"1578729510173300"</f>
        <v>1578729510173300</v>
      </c>
      <c r="C1854" t="s">
        <v>37</v>
      </c>
      <c r="D1854">
        <v>5.7926409999999997</v>
      </c>
      <c r="E1854">
        <v>0.4236142</v>
      </c>
      <c r="F1854" t="s">
        <v>52</v>
      </c>
      <c r="G1854">
        <v>-281.87939999999998</v>
      </c>
      <c r="H1854" s="1">
        <v>7.8279470000000003E-6</v>
      </c>
      <c r="I1854">
        <v>283.3623</v>
      </c>
      <c r="J1854">
        <v>-263.18920000000003</v>
      </c>
      <c r="K1854">
        <v>1.1040219999999901</v>
      </c>
      <c r="L1854">
        <v>284.2158</v>
      </c>
      <c r="M1854">
        <v>-0.99941859999999905</v>
      </c>
      <c r="N1854">
        <v>0</v>
      </c>
      <c r="O1854">
        <v>3.0846749999999999E-2</v>
      </c>
      <c r="P1854">
        <v>-0.99992130000000001</v>
      </c>
      <c r="Q1854">
        <v>-8.6917090000000006E-3</v>
      </c>
      <c r="R1854">
        <v>9.0792640000000001E-3</v>
      </c>
      <c r="S1854">
        <v>-3.0000309999999999</v>
      </c>
      <c r="T1854">
        <v>-0.16267290000000001</v>
      </c>
      <c r="U1854">
        <v>-0.11816409999999999</v>
      </c>
      <c r="V1854">
        <v>-2.1769159999999999E-2</v>
      </c>
      <c r="W1854">
        <v>5.8520150000000003E-3</v>
      </c>
      <c r="X1854">
        <v>0.99974589999999997</v>
      </c>
      <c r="Y1854">
        <v>-7.0016499999999995E-2</v>
      </c>
      <c r="Z1854">
        <v>-3.5671349999999999E-3</v>
      </c>
      <c r="AA1854">
        <v>0.99753950000000002</v>
      </c>
      <c r="AB1854">
        <v>33</v>
      </c>
      <c r="AC1854">
        <v>-18.690199999999901</v>
      </c>
      <c r="AD1854">
        <v>-1.1040141720529999</v>
      </c>
      <c r="AE1854">
        <v>-0.85349999999999604</v>
      </c>
      <c r="AF1854">
        <v>-1.42472574189187</v>
      </c>
      <c r="AG1854">
        <v>-1.1040141720529999</v>
      </c>
      <c r="AH1854">
        <v>18.5902440311989</v>
      </c>
      <c r="AI1854">
        <v>93.388704632494395</v>
      </c>
      <c r="AJ1854">
        <v>94.382487660938594</v>
      </c>
      <c r="AK1854">
        <v>18.677415877771502</v>
      </c>
    </row>
    <row r="1855" spans="1:37" x14ac:dyDescent="0.2">
      <c r="A1855" t="str">
        <f>"20200111155830193"</f>
        <v>20200111155830193</v>
      </c>
      <c r="B1855" t="str">
        <f>"1578729510183059"</f>
        <v>1578729510183059</v>
      </c>
      <c r="C1855" t="s">
        <v>37</v>
      </c>
      <c r="D1855">
        <v>5.7956430000000001</v>
      </c>
      <c r="E1855">
        <v>0.42115659999999999</v>
      </c>
      <c r="F1855" t="s">
        <v>52</v>
      </c>
      <c r="G1855">
        <v>-287.0849</v>
      </c>
      <c r="H1855">
        <v>5.7702059999999999E-2</v>
      </c>
      <c r="I1855">
        <v>279.53960000000001</v>
      </c>
      <c r="J1855">
        <v>-263.39589999999998</v>
      </c>
      <c r="K1855">
        <v>1.104023</v>
      </c>
      <c r="L1855">
        <v>284.22230000000002</v>
      </c>
      <c r="M1855">
        <v>-0.99941360000000001</v>
      </c>
      <c r="N1855">
        <v>0</v>
      </c>
      <c r="O1855">
        <v>3.1007730000000001E-2</v>
      </c>
      <c r="P1855">
        <v>-0.99992590000000003</v>
      </c>
      <c r="Q1855">
        <v>-8.3431119999999998E-3</v>
      </c>
      <c r="R1855">
        <v>8.8918439999999994E-3</v>
      </c>
      <c r="S1855">
        <v>-3.0044559999999998</v>
      </c>
      <c r="T1855">
        <v>-0.13155600000000001</v>
      </c>
      <c r="U1855">
        <v>-0.58795169999999997</v>
      </c>
      <c r="V1855">
        <v>-2.2117599999999901E-2</v>
      </c>
      <c r="W1855">
        <v>6.1981919999999999E-3</v>
      </c>
      <c r="X1855">
        <v>0.99973619999999996</v>
      </c>
      <c r="Y1855">
        <v>-0.22215779999999999</v>
      </c>
      <c r="Z1855">
        <v>-6.1612150000000003E-3</v>
      </c>
      <c r="AA1855">
        <v>0.97499130000000001</v>
      </c>
      <c r="AB1855">
        <v>33</v>
      </c>
      <c r="AC1855">
        <v>-23.689</v>
      </c>
      <c r="AD1855">
        <v>-1.04632094</v>
      </c>
      <c r="AE1855">
        <v>-4.6827000000000103</v>
      </c>
      <c r="AF1855">
        <v>-5.4049194787116299</v>
      </c>
      <c r="AG1855">
        <v>-1.04632094</v>
      </c>
      <c r="AH1855">
        <v>23.4882911644195</v>
      </c>
      <c r="AI1855">
        <v>92.485761226201106</v>
      </c>
      <c r="AJ1855">
        <v>102.958816969387</v>
      </c>
      <c r="AK1855">
        <v>24.1248370752092</v>
      </c>
    </row>
    <row r="1856" spans="1:37" x14ac:dyDescent="0.2">
      <c r="A1856" t="str">
        <f>"20200111155830212"</f>
        <v>20200111155830212</v>
      </c>
      <c r="B1856" t="str">
        <f>"1578729510202578"</f>
        <v>1578729510202578</v>
      </c>
      <c r="C1856" t="s">
        <v>37</v>
      </c>
      <c r="D1856">
        <v>5.7694369999999999</v>
      </c>
      <c r="E1856">
        <v>0.41841529999999999</v>
      </c>
      <c r="F1856" t="s">
        <v>52</v>
      </c>
      <c r="G1856">
        <v>-286.12650000000002</v>
      </c>
      <c r="H1856">
        <v>5.1151290000000004E-3</v>
      </c>
      <c r="I1856">
        <v>279.61559999999997</v>
      </c>
      <c r="J1856">
        <v>-263.67720000000003</v>
      </c>
      <c r="K1856">
        <v>1.1040179999999999</v>
      </c>
      <c r="L1856">
        <v>284.2312</v>
      </c>
      <c r="M1856">
        <v>-0.99940680000000004</v>
      </c>
      <c r="N1856">
        <v>0</v>
      </c>
      <c r="O1856">
        <v>3.122635E-2</v>
      </c>
      <c r="P1856">
        <v>-0.99993430000000005</v>
      </c>
      <c r="Q1856">
        <v>-7.4774719999999998E-3</v>
      </c>
      <c r="R1856">
        <v>8.7117050000000001E-3</v>
      </c>
      <c r="S1856">
        <v>-3.0044249999999999</v>
      </c>
      <c r="T1856">
        <v>-0.14524860000000001</v>
      </c>
      <c r="U1856">
        <v>-0.608886699999999</v>
      </c>
      <c r="V1856">
        <v>-2.2515520000000001E-2</v>
      </c>
      <c r="W1856">
        <v>7.061248E-3</v>
      </c>
      <c r="X1856">
        <v>0.99972150000000004</v>
      </c>
      <c r="Y1856">
        <v>-0.22884369999999901</v>
      </c>
      <c r="Z1856">
        <v>-6.9676900000000003E-3</v>
      </c>
      <c r="AA1856">
        <v>0.97343829999999998</v>
      </c>
      <c r="AB1856">
        <v>33</v>
      </c>
      <c r="AC1856">
        <v>-22.449299999999901</v>
      </c>
      <c r="AD1856">
        <v>-1.0989028709999999</v>
      </c>
      <c r="AE1856">
        <v>-4.6156000000000201</v>
      </c>
      <c r="AF1856">
        <v>-5.3022426686307096</v>
      </c>
      <c r="AG1856">
        <v>-1.0989028709999999</v>
      </c>
      <c r="AH1856">
        <v>22.243070485763901</v>
      </c>
      <c r="AI1856">
        <v>92.751388499593403</v>
      </c>
      <c r="AJ1856">
        <v>103.407789716484</v>
      </c>
      <c r="AK1856">
        <v>22.892696422038298</v>
      </c>
    </row>
    <row r="1857" spans="1:37" x14ac:dyDescent="0.2">
      <c r="A1857" t="str">
        <f>"20200111155830234"</f>
        <v>20200111155830234</v>
      </c>
      <c r="B1857" t="str">
        <f>"1578729510222983"</f>
        <v>1578729510222983</v>
      </c>
      <c r="C1857" t="s">
        <v>37</v>
      </c>
      <c r="D1857">
        <v>5.76973</v>
      </c>
      <c r="E1857">
        <v>0.41678559999999998</v>
      </c>
      <c r="F1857" t="s">
        <v>52</v>
      </c>
      <c r="G1857">
        <v>-285.62650000000002</v>
      </c>
      <c r="H1857">
        <v>1.409114E-2</v>
      </c>
      <c r="I1857">
        <v>279.61590000000001</v>
      </c>
      <c r="J1857">
        <v>-264.00459999999998</v>
      </c>
      <c r="K1857">
        <v>1.10402</v>
      </c>
      <c r="L1857">
        <v>284.24169999999998</v>
      </c>
      <c r="M1857">
        <v>-0.99939889999999998</v>
      </c>
      <c r="N1857">
        <v>0</v>
      </c>
      <c r="O1857">
        <v>3.1480420000000002E-2</v>
      </c>
      <c r="P1857">
        <v>-0.99993539999999903</v>
      </c>
      <c r="Q1857">
        <v>-7.0068999999999999E-3</v>
      </c>
      <c r="R1857">
        <v>8.9474940000000003E-3</v>
      </c>
      <c r="S1857">
        <v>-3.004578</v>
      </c>
      <c r="T1857">
        <v>-0.1491972</v>
      </c>
      <c r="U1857">
        <v>-0.63177490000000003</v>
      </c>
      <c r="V1857">
        <v>-2.253403E-2</v>
      </c>
      <c r="W1857">
        <v>7.5280590000000001E-3</v>
      </c>
      <c r="X1857">
        <v>0.99971769999999904</v>
      </c>
      <c r="Y1857">
        <v>-0.2361627</v>
      </c>
      <c r="Z1857">
        <v>-7.343268E-3</v>
      </c>
      <c r="AA1857">
        <v>0.97168580000000004</v>
      </c>
      <c r="AB1857">
        <v>33</v>
      </c>
      <c r="AC1857">
        <v>-21.6219</v>
      </c>
      <c r="AD1857">
        <v>-1.0899288600000001</v>
      </c>
      <c r="AE1857">
        <v>-4.6257999999999697</v>
      </c>
      <c r="AF1857">
        <v>-5.2913880156933804</v>
      </c>
      <c r="AG1857">
        <v>-1.0899288600000001</v>
      </c>
      <c r="AH1857">
        <v>21.413513017418801</v>
      </c>
      <c r="AI1857">
        <v>92.828848005837301</v>
      </c>
      <c r="AJ1857">
        <v>103.88002803845301</v>
      </c>
      <c r="AK1857">
        <v>22.084502978324998</v>
      </c>
    </row>
    <row r="1858" spans="1:37" x14ac:dyDescent="0.2">
      <c r="A1858" t="str">
        <f>"20200111155830269"</f>
        <v>20200111155830269</v>
      </c>
      <c r="B1858" t="str">
        <f>"1578729510263000"</f>
        <v>1578729510263000</v>
      </c>
      <c r="C1858" t="s">
        <v>37</v>
      </c>
      <c r="D1858">
        <v>5.6401959999999898</v>
      </c>
      <c r="E1858">
        <v>0.41360730000000001</v>
      </c>
      <c r="F1858" t="s">
        <v>52</v>
      </c>
      <c r="G1858">
        <v>-285.57810000000001</v>
      </c>
      <c r="H1858">
        <v>3.0080610000000001E-2</v>
      </c>
      <c r="I1858">
        <v>279.61599999999999</v>
      </c>
      <c r="J1858">
        <v>-264.51650000000001</v>
      </c>
      <c r="K1858">
        <v>1.1040110000000001</v>
      </c>
      <c r="L1858">
        <v>284.25830000000002</v>
      </c>
      <c r="M1858">
        <v>-0.99938640000000001</v>
      </c>
      <c r="N1858">
        <v>0</v>
      </c>
      <c r="O1858">
        <v>3.1876590000000003E-2</v>
      </c>
      <c r="P1858">
        <v>-0.999934199999999</v>
      </c>
      <c r="Q1858">
        <v>-7.5101480000000003E-3</v>
      </c>
      <c r="R1858">
        <v>8.6753739999999996E-3</v>
      </c>
      <c r="S1858">
        <v>-3.0049440000000001</v>
      </c>
      <c r="T1858">
        <v>-0.149588</v>
      </c>
      <c r="U1858">
        <v>-0.64431759999999905</v>
      </c>
      <c r="V1858">
        <v>-2.3202449999999999E-2</v>
      </c>
      <c r="W1858">
        <v>7.0197649999999999E-3</v>
      </c>
      <c r="X1858">
        <v>0.99970609999999904</v>
      </c>
      <c r="Y1858">
        <v>-0.2403959</v>
      </c>
      <c r="Z1858">
        <v>-7.4821130000000003E-3</v>
      </c>
      <c r="AA1858">
        <v>0.97064609999999996</v>
      </c>
      <c r="AB1858">
        <v>33</v>
      </c>
      <c r="AC1858">
        <v>-21.061599999999999</v>
      </c>
      <c r="AD1858">
        <v>-1.0739303899999999</v>
      </c>
      <c r="AE1858">
        <v>-4.6423000000000298</v>
      </c>
      <c r="AF1858">
        <v>-5.2982459925792904</v>
      </c>
      <c r="AG1858">
        <v>-1.0739303899999999</v>
      </c>
      <c r="AH1858">
        <v>20.851197353710901</v>
      </c>
      <c r="AI1858">
        <v>92.857729907087801</v>
      </c>
      <c r="AJ1858">
        <v>104.257011941314</v>
      </c>
      <c r="AK1858">
        <v>21.540593496091301</v>
      </c>
    </row>
    <row r="1859" spans="1:37" x14ac:dyDescent="0.2">
      <c r="A1859" t="str">
        <f>"20200111155830290"</f>
        <v>20200111155830290</v>
      </c>
      <c r="B1859" t="str">
        <f>"1578729510282519"</f>
        <v>1578729510282519</v>
      </c>
      <c r="C1859" t="s">
        <v>37</v>
      </c>
      <c r="D1859">
        <v>5.8627159999999998</v>
      </c>
      <c r="E1859">
        <v>0.4044934</v>
      </c>
      <c r="F1859" t="s">
        <v>52</v>
      </c>
      <c r="G1859">
        <v>-292.64580000000001</v>
      </c>
      <c r="H1859" s="1">
        <v>3.65990299999999E-6</v>
      </c>
      <c r="I1859">
        <v>277.99810000000002</v>
      </c>
      <c r="J1859">
        <v>-264.8442</v>
      </c>
      <c r="K1859">
        <v>1.1040099999999999</v>
      </c>
      <c r="L1859">
        <v>284.26900000000001</v>
      </c>
      <c r="M1859">
        <v>-0.9993784</v>
      </c>
      <c r="N1859">
        <v>0</v>
      </c>
      <c r="O1859">
        <v>3.2130039999999999E-2</v>
      </c>
      <c r="P1859">
        <v>-0.99992449999999999</v>
      </c>
      <c r="Q1859">
        <v>-8.8256469999999903E-3</v>
      </c>
      <c r="R1859">
        <v>8.5867489999999994E-3</v>
      </c>
      <c r="S1859">
        <v>-3.0051269999999999</v>
      </c>
      <c r="T1859">
        <v>-0.1179441</v>
      </c>
      <c r="U1859">
        <v>-0.66879270000000002</v>
      </c>
      <c r="V1859">
        <v>-2.3545400000000001E-2</v>
      </c>
      <c r="W1859">
        <v>5.7003829999999998E-3</v>
      </c>
      <c r="X1859">
        <v>0.99970650000000005</v>
      </c>
      <c r="Y1859">
        <v>-0.2482837</v>
      </c>
      <c r="Z1859">
        <v>-6.058005E-3</v>
      </c>
      <c r="AA1859">
        <v>0.96866839999999999</v>
      </c>
      <c r="AB1859">
        <v>33</v>
      </c>
      <c r="AC1859">
        <v>-27.801600000000001</v>
      </c>
      <c r="AD1859">
        <v>-1.1040063400969999</v>
      </c>
      <c r="AE1859">
        <v>-6.2708999999999797</v>
      </c>
      <c r="AF1859">
        <v>-7.1502927703430297</v>
      </c>
      <c r="AG1859">
        <v>-1.1040063400969999</v>
      </c>
      <c r="AH1859">
        <v>27.544405574914599</v>
      </c>
      <c r="AI1859">
        <v>92.221682294678104</v>
      </c>
      <c r="AJ1859">
        <v>104.552289169197</v>
      </c>
      <c r="AK1859">
        <v>28.478760422040502</v>
      </c>
    </row>
    <row r="1860" spans="1:37" x14ac:dyDescent="0.2">
      <c r="A1860" t="str">
        <f>"20200111155830312"</f>
        <v>20200111155830312</v>
      </c>
      <c r="B1860" t="str">
        <f>"1578729510303015"</f>
        <v>1578729510303015</v>
      </c>
      <c r="C1860" t="s">
        <v>37</v>
      </c>
      <c r="D1860">
        <v>5.7130879999999999</v>
      </c>
      <c r="E1860">
        <v>0.4047327</v>
      </c>
      <c r="F1860" t="s">
        <v>54</v>
      </c>
      <c r="G1860">
        <v>-328.16739999999999</v>
      </c>
      <c r="H1860">
        <v>0.59347469999999902</v>
      </c>
      <c r="I1860">
        <v>268.75139999999999</v>
      </c>
      <c r="J1860">
        <v>-265.1617</v>
      </c>
      <c r="K1860">
        <v>1.104007</v>
      </c>
      <c r="L1860">
        <v>284.27949999999998</v>
      </c>
      <c r="M1860">
        <v>-0.99937039999999999</v>
      </c>
      <c r="N1860">
        <v>0</v>
      </c>
      <c r="O1860">
        <v>3.2375689999999999E-2</v>
      </c>
      <c r="P1860">
        <v>-0.99991419999999998</v>
      </c>
      <c r="Q1860">
        <v>-9.4914960000000003E-3</v>
      </c>
      <c r="R1860">
        <v>9.0502940000000004E-3</v>
      </c>
      <c r="S1860">
        <v>-3.00637799999999</v>
      </c>
      <c r="T1860">
        <v>-2.4237870000000002E-2</v>
      </c>
      <c r="U1860">
        <v>-0.73672490000000002</v>
      </c>
      <c r="V1860">
        <v>-2.33280999999999E-2</v>
      </c>
      <c r="W1860">
        <v>5.0313900000000002E-3</v>
      </c>
      <c r="X1860">
        <v>0.99971520000000003</v>
      </c>
      <c r="Y1860">
        <v>-0.26932620000000002</v>
      </c>
      <c r="Z1860">
        <v>-1.327284E-3</v>
      </c>
      <c r="AA1860">
        <v>0.96304809999999996</v>
      </c>
      <c r="AB1860">
        <v>33</v>
      </c>
      <c r="AC1860">
        <v>-63.005699999999898</v>
      </c>
      <c r="AD1860">
        <v>-0.51053230000000005</v>
      </c>
      <c r="AE1860">
        <v>-15.528099999999901</v>
      </c>
      <c r="AF1860">
        <v>-17.558938982552299</v>
      </c>
      <c r="AG1860">
        <v>-0.51053230000000005</v>
      </c>
      <c r="AH1860">
        <v>62.466011124805497</v>
      </c>
      <c r="AI1860">
        <v>90.450795321146202</v>
      </c>
      <c r="AJ1860">
        <v>105.700454896048</v>
      </c>
      <c r="AK1860">
        <v>64.888978472978394</v>
      </c>
    </row>
    <row r="1861" spans="1:37" x14ac:dyDescent="0.2">
      <c r="A1861" t="str">
        <f>"20200111155830334"</f>
        <v>20200111155830334</v>
      </c>
      <c r="B1861" t="str">
        <f>"1578729510323092"</f>
        <v>1578729510323092</v>
      </c>
      <c r="C1861" t="s">
        <v>37</v>
      </c>
      <c r="D1861">
        <v>5.6760640000000002</v>
      </c>
      <c r="E1861">
        <v>0.40550989999999998</v>
      </c>
      <c r="F1861" t="s">
        <v>55</v>
      </c>
      <c r="G1861">
        <v>-328.89679999999998</v>
      </c>
      <c r="H1861">
        <v>5.293059E-2</v>
      </c>
      <c r="I1861">
        <v>268.7054</v>
      </c>
      <c r="J1861">
        <v>-265.48630000000003</v>
      </c>
      <c r="K1861">
        <v>1.104004</v>
      </c>
      <c r="L1861">
        <v>284.29020000000003</v>
      </c>
      <c r="M1861">
        <v>-0.99936239999999998</v>
      </c>
      <c r="N1861">
        <v>0</v>
      </c>
      <c r="O1861">
        <v>3.2626389999999998E-2</v>
      </c>
      <c r="P1861">
        <v>-0.99990349999999995</v>
      </c>
      <c r="Q1861">
        <v>-1.0775679999999999E-2</v>
      </c>
      <c r="R1861">
        <v>8.7802390000000004E-3</v>
      </c>
      <c r="S1861">
        <v>-3.0064389999999999</v>
      </c>
      <c r="T1861">
        <v>-4.9577360000000001E-2</v>
      </c>
      <c r="U1861">
        <v>-0.73464969999999996</v>
      </c>
      <c r="V1861">
        <v>-2.3848790000000002E-2</v>
      </c>
      <c r="W1861">
        <v>3.7434650000000001E-3</v>
      </c>
      <c r="X1861">
        <v>0.99970859999999995</v>
      </c>
      <c r="Y1861">
        <v>-0.2689066</v>
      </c>
      <c r="Z1861">
        <v>-2.7155949999999999E-3</v>
      </c>
      <c r="AA1861">
        <v>0.96316239999999997</v>
      </c>
      <c r="AB1861">
        <v>33</v>
      </c>
      <c r="AC1861">
        <v>-63.4104999999999</v>
      </c>
      <c r="AD1861">
        <v>-1.0510734100000001</v>
      </c>
      <c r="AE1861">
        <v>-15.5848</v>
      </c>
      <c r="AF1861">
        <v>-17.641003643720101</v>
      </c>
      <c r="AG1861">
        <v>-1.0510734100000001</v>
      </c>
      <c r="AH1861">
        <v>62.851919935223698</v>
      </c>
      <c r="AI1861">
        <v>90.922429966299106</v>
      </c>
      <c r="AJ1861">
        <v>105.67813782048501</v>
      </c>
      <c r="AK1861">
        <v>65.289153803788295</v>
      </c>
    </row>
    <row r="1862" spans="1:37" x14ac:dyDescent="0.2">
      <c r="A1862" t="str">
        <f>"20200111155830357"</f>
        <v>20200111155830357</v>
      </c>
      <c r="B1862" t="str">
        <f>"1578729510353349"</f>
        <v>1578729510353349</v>
      </c>
      <c r="C1862" t="s">
        <v>37</v>
      </c>
      <c r="D1862">
        <v>5.7049079999999996</v>
      </c>
      <c r="E1862">
        <v>0.40532390000000001</v>
      </c>
      <c r="F1862" t="s">
        <v>41</v>
      </c>
      <c r="G1862">
        <v>-326.06200000000001</v>
      </c>
      <c r="H1862">
        <v>-0.05</v>
      </c>
      <c r="I1862">
        <v>269.59480000000002</v>
      </c>
      <c r="J1862">
        <v>-265.81990000000002</v>
      </c>
      <c r="K1862">
        <v>1.1040019999999999</v>
      </c>
      <c r="L1862">
        <v>284.3014</v>
      </c>
      <c r="M1862">
        <v>-0.99935390000000002</v>
      </c>
      <c r="N1862">
        <v>0</v>
      </c>
      <c r="O1862">
        <v>3.2883900000000001E-2</v>
      </c>
      <c r="P1862">
        <v>-0.99988860000000002</v>
      </c>
      <c r="Q1862">
        <v>-1.228227E-2</v>
      </c>
      <c r="R1862">
        <v>8.4836670000000003E-3</v>
      </c>
      <c r="S1862">
        <v>-3.0061339999999999</v>
      </c>
      <c r="T1862">
        <v>-5.7268739999999999E-2</v>
      </c>
      <c r="U1862">
        <v>-0.7292786</v>
      </c>
      <c r="V1862">
        <v>-2.4403299999999999E-2</v>
      </c>
      <c r="W1862">
        <v>2.2328510000000001E-3</v>
      </c>
      <c r="X1862">
        <v>0.99969969999999997</v>
      </c>
      <c r="Y1862">
        <v>-0.26753969999999999</v>
      </c>
      <c r="Z1862">
        <v>-3.1297899999999999E-3</v>
      </c>
      <c r="AA1862">
        <v>0.96354169999999995</v>
      </c>
      <c r="AB1862">
        <v>33</v>
      </c>
      <c r="AC1862">
        <v>-60.242099999999901</v>
      </c>
      <c r="AD1862">
        <v>-1.154002</v>
      </c>
      <c r="AE1862">
        <v>-14.7065999999999</v>
      </c>
      <c r="AF1862">
        <v>-16.674073840667901</v>
      </c>
      <c r="AG1862">
        <v>-1.154002</v>
      </c>
      <c r="AH1862">
        <v>59.705174811256299</v>
      </c>
      <c r="AI1862">
        <v>91.066495304907093</v>
      </c>
      <c r="AJ1862">
        <v>105.603640600433</v>
      </c>
      <c r="AK1862">
        <v>62.000519016397902</v>
      </c>
    </row>
    <row r="1863" spans="1:37" x14ac:dyDescent="0.2">
      <c r="A1863" t="str">
        <f>"20200111155830380"</f>
        <v>20200111155830380</v>
      </c>
      <c r="B1863" t="str">
        <f>"1578729510372869"</f>
        <v>1578729510372869</v>
      </c>
      <c r="C1863" t="s">
        <v>37</v>
      </c>
      <c r="D1863">
        <v>6.6278899999999998</v>
      </c>
      <c r="E1863">
        <v>0.40532390000000001</v>
      </c>
      <c r="F1863" t="s">
        <v>52</v>
      </c>
      <c r="G1863">
        <v>-308.55950000000001</v>
      </c>
      <c r="H1863" s="1">
        <v>4.4618199999999999E-6</v>
      </c>
      <c r="I1863">
        <v>273.88979999999998</v>
      </c>
      <c r="J1863">
        <v>-266.1678</v>
      </c>
      <c r="K1863">
        <v>1.1040000000000001</v>
      </c>
      <c r="L1863">
        <v>284.31310000000002</v>
      </c>
      <c r="M1863">
        <v>-0.99934529999999999</v>
      </c>
      <c r="N1863">
        <v>0</v>
      </c>
      <c r="O1863">
        <v>3.315249E-2</v>
      </c>
      <c r="P1863">
        <v>-0.99986549999999996</v>
      </c>
      <c r="Q1863">
        <v>-1.4131370000000001E-2</v>
      </c>
      <c r="R1863">
        <v>8.3646810000000005E-3</v>
      </c>
      <c r="S1863">
        <v>-3.005585</v>
      </c>
      <c r="T1863">
        <v>-7.7636479999999994E-2</v>
      </c>
      <c r="U1863">
        <v>-0.73217769999999904</v>
      </c>
      <c r="V1863">
        <v>-2.4790909999999999E-2</v>
      </c>
      <c r="W1863">
        <v>3.7986440000000002E-4</v>
      </c>
      <c r="X1863">
        <v>0.99969259999999904</v>
      </c>
      <c r="Y1863">
        <v>-0.26867259999999998</v>
      </c>
      <c r="Z1863">
        <v>-4.2641449999999996E-3</v>
      </c>
      <c r="AA1863">
        <v>0.96322209999999997</v>
      </c>
      <c r="AB1863">
        <v>33</v>
      </c>
      <c r="AC1863">
        <v>-42.3917</v>
      </c>
      <c r="AD1863">
        <v>-1.10399553818</v>
      </c>
      <c r="AE1863">
        <v>-10.423299999999999</v>
      </c>
      <c r="AF1863">
        <v>-11.815550353049501</v>
      </c>
      <c r="AG1863">
        <v>-1.10399553818</v>
      </c>
      <c r="AH1863">
        <v>41.995939158878201</v>
      </c>
      <c r="AI1863">
        <v>91.449597769723198</v>
      </c>
      <c r="AJ1863">
        <v>105.71393825919201</v>
      </c>
      <c r="AK1863">
        <v>43.640404926283303</v>
      </c>
    </row>
    <row r="1864" spans="1:37" x14ac:dyDescent="0.2">
      <c r="A1864" t="str">
        <f>"20200111155830402"</f>
        <v>20200111155830402</v>
      </c>
      <c r="B1864" t="str">
        <f>"1578729510393366"</f>
        <v>1578729510393366</v>
      </c>
      <c r="C1864" t="s">
        <v>37</v>
      </c>
      <c r="D1864">
        <v>6.0644390000000001</v>
      </c>
      <c r="E1864">
        <v>0.49154359999999903</v>
      </c>
      <c r="F1864" t="s">
        <v>52</v>
      </c>
      <c r="G1864">
        <v>-305.72460000000001</v>
      </c>
      <c r="H1864" s="1">
        <v>4.8794199999999898E-6</v>
      </c>
      <c r="I1864">
        <v>274.66890000000001</v>
      </c>
      <c r="J1864">
        <v>-266.48099999999999</v>
      </c>
      <c r="K1864">
        <v>1.10399</v>
      </c>
      <c r="L1864">
        <v>284.32380000000001</v>
      </c>
      <c r="M1864">
        <v>-0.99933709999999898</v>
      </c>
      <c r="N1864">
        <v>0</v>
      </c>
      <c r="O1864">
        <v>3.3395149999999998E-2</v>
      </c>
      <c r="P1864">
        <v>-0.99983449999999996</v>
      </c>
      <c r="Q1864">
        <v>-1.6174319999999999E-2</v>
      </c>
      <c r="R1864">
        <v>8.3447399999999998E-3</v>
      </c>
      <c r="S1864">
        <v>-3.0053709999999998</v>
      </c>
      <c r="T1864">
        <v>-8.387733E-2</v>
      </c>
      <c r="U1864">
        <v>-0.73272709999999996</v>
      </c>
      <c r="V1864">
        <v>-2.5054010000000002E-2</v>
      </c>
      <c r="W1864">
        <v>-1.666795E-3</v>
      </c>
      <c r="X1864">
        <v>0.99968469999999998</v>
      </c>
      <c r="Y1864">
        <v>-0.26907229999999999</v>
      </c>
      <c r="Z1864">
        <v>-4.6191979999999997E-3</v>
      </c>
      <c r="AA1864">
        <v>0.96310890000000005</v>
      </c>
      <c r="AB1864">
        <v>33</v>
      </c>
      <c r="AC1864">
        <v>-39.243600000000001</v>
      </c>
      <c r="AD1864">
        <v>-1.10398512058</v>
      </c>
      <c r="AE1864">
        <v>-9.6548999999999907</v>
      </c>
      <c r="AF1864">
        <v>-10.9520246257529</v>
      </c>
      <c r="AG1864">
        <v>-1.10398512058</v>
      </c>
      <c r="AH1864">
        <v>38.870239914369897</v>
      </c>
      <c r="AI1864">
        <v>91.565927689473398</v>
      </c>
      <c r="AJ1864">
        <v>105.735639116236</v>
      </c>
      <c r="AK1864">
        <v>40.398776931365603</v>
      </c>
    </row>
    <row r="1865" spans="1:37" x14ac:dyDescent="0.2">
      <c r="A1865" t="str">
        <f>"20200111155830423"</f>
        <v>20200111155830423</v>
      </c>
      <c r="B1865" t="str">
        <f>"1578729510412884"</f>
        <v>1578729510412884</v>
      </c>
      <c r="C1865" t="s">
        <v>37</v>
      </c>
      <c r="D1865">
        <v>6.0939730000000001</v>
      </c>
      <c r="E1865">
        <v>0.49431759999999902</v>
      </c>
      <c r="F1865" t="s">
        <v>52</v>
      </c>
      <c r="G1865">
        <v>-305.73579999999998</v>
      </c>
      <c r="H1865" s="1">
        <v>3.02322299999999E-6</v>
      </c>
      <c r="I1865">
        <v>283.74630000000002</v>
      </c>
      <c r="J1865">
        <v>-266.79759999999999</v>
      </c>
      <c r="K1865">
        <v>1.1039909999999999</v>
      </c>
      <c r="L1865">
        <v>284.33460000000002</v>
      </c>
      <c r="M1865">
        <v>-0.99932900000000002</v>
      </c>
      <c r="N1865">
        <v>0</v>
      </c>
      <c r="O1865">
        <v>3.3640419999999997E-2</v>
      </c>
      <c r="P1865">
        <v>-0.99981949999999997</v>
      </c>
      <c r="Q1865">
        <v>-1.712673E-2</v>
      </c>
      <c r="R1865">
        <v>8.2561219999999994E-3</v>
      </c>
      <c r="S1865">
        <v>-2.9995419999999999</v>
      </c>
      <c r="T1865">
        <v>-8.4357860000000007E-2</v>
      </c>
      <c r="U1865">
        <v>-4.4128420000000002E-2</v>
      </c>
      <c r="V1865">
        <v>-2.538764E-2</v>
      </c>
      <c r="W1865">
        <v>-2.6226380000000001E-3</v>
      </c>
      <c r="X1865">
        <v>0.99967430000000002</v>
      </c>
      <c r="Y1865">
        <v>-4.8309709999999999E-2</v>
      </c>
      <c r="Z1865">
        <v>-1.625025E-3</v>
      </c>
      <c r="AA1865">
        <v>0.99883109999999997</v>
      </c>
      <c r="AB1865">
        <v>33</v>
      </c>
      <c r="AC1865">
        <v>-38.938200000000002</v>
      </c>
      <c r="AD1865">
        <v>-1.103987976777</v>
      </c>
      <c r="AE1865">
        <v>-0.58830000000000304</v>
      </c>
      <c r="AF1865">
        <v>-1.89647768937604</v>
      </c>
      <c r="AG1865">
        <v>-1.103987976777</v>
      </c>
      <c r="AH1865">
        <v>38.865128907110403</v>
      </c>
      <c r="AI1865">
        <v>91.625151833143605</v>
      </c>
      <c r="AJ1865">
        <v>92.793610892225999</v>
      </c>
      <c r="AK1865">
        <v>38.927029966919903</v>
      </c>
    </row>
    <row r="1866" spans="1:37" x14ac:dyDescent="0.2">
      <c r="A1866" t="str">
        <f>"20200111155830447"</f>
        <v>20200111155830447</v>
      </c>
      <c r="B1866" t="str">
        <f>"1578729510443141"</f>
        <v>1578729510443141</v>
      </c>
      <c r="C1866" t="s">
        <v>37</v>
      </c>
      <c r="D1866">
        <v>5.9400360000000001</v>
      </c>
      <c r="E1866">
        <v>0.49712979999999901</v>
      </c>
      <c r="F1866" t="s">
        <v>52</v>
      </c>
      <c r="G1866">
        <v>-303.4742</v>
      </c>
      <c r="H1866" s="1">
        <v>3.3966449999999898E-6</v>
      </c>
      <c r="I1866">
        <v>284.06369999999998</v>
      </c>
      <c r="J1866">
        <v>-267.13319999999999</v>
      </c>
      <c r="K1866">
        <v>1.10399</v>
      </c>
      <c r="L1866">
        <v>284.34620000000001</v>
      </c>
      <c r="M1866">
        <v>-0.9993204</v>
      </c>
      <c r="N1866">
        <v>0</v>
      </c>
      <c r="O1866">
        <v>3.3897429999999999E-2</v>
      </c>
      <c r="P1866">
        <v>-0.99981520000000002</v>
      </c>
      <c r="Q1866">
        <v>-1.7078309999999999E-2</v>
      </c>
      <c r="R1866">
        <v>8.8432819999999992E-3</v>
      </c>
      <c r="S1866">
        <v>-2.9992070000000002</v>
      </c>
      <c r="T1866">
        <v>-9.0277910000000003E-2</v>
      </c>
      <c r="U1866">
        <v>-2.215576E-2</v>
      </c>
      <c r="V1866">
        <v>-2.5058250000000001E-2</v>
      </c>
      <c r="W1866">
        <v>-2.5780779999999902E-3</v>
      </c>
      <c r="X1866">
        <v>0.99968269999999904</v>
      </c>
      <c r="Y1866">
        <v>-4.1248779999999999E-2</v>
      </c>
      <c r="Z1866">
        <v>-1.6407379999999899E-3</v>
      </c>
      <c r="AA1866">
        <v>0.99914749999999997</v>
      </c>
      <c r="AB1866">
        <v>33</v>
      </c>
      <c r="AC1866">
        <v>-36.341000000000001</v>
      </c>
      <c r="AD1866">
        <v>-1.1039866033550001</v>
      </c>
      <c r="AE1866">
        <v>-0.28250000000002701</v>
      </c>
      <c r="AF1866">
        <v>-1.5129371660917299</v>
      </c>
      <c r="AG1866">
        <v>-1.1039866033550001</v>
      </c>
      <c r="AH1866">
        <v>36.277057563735099</v>
      </c>
      <c r="AI1866">
        <v>91.741579245962797</v>
      </c>
      <c r="AJ1866">
        <v>92.388140469349494</v>
      </c>
      <c r="AK1866">
        <v>36.325372272992297</v>
      </c>
    </row>
    <row r="1867" spans="1:37" x14ac:dyDescent="0.2">
      <c r="A1867" t="str">
        <f>"20200111155830469"</f>
        <v>20200111155830469</v>
      </c>
      <c r="B1867" t="str">
        <f>"1578729510462660"</f>
        <v>1578729510462660</v>
      </c>
      <c r="C1867" t="s">
        <v>37</v>
      </c>
      <c r="D1867">
        <v>6.0264660000000001</v>
      </c>
      <c r="E1867">
        <v>0.49680550000000001</v>
      </c>
      <c r="F1867" t="s">
        <v>52</v>
      </c>
      <c r="G1867">
        <v>-287.30110000000002</v>
      </c>
      <c r="H1867" s="1">
        <v>5.2220189999999996E-6</v>
      </c>
      <c r="I1867">
        <v>284.33819999999997</v>
      </c>
      <c r="J1867">
        <v>-267.47250000000003</v>
      </c>
      <c r="K1867">
        <v>1.103999</v>
      </c>
      <c r="L1867">
        <v>284.35789999999997</v>
      </c>
      <c r="M1867">
        <v>-0.99931170000000002</v>
      </c>
      <c r="N1867">
        <v>0</v>
      </c>
      <c r="O1867">
        <v>3.4151050000000002E-2</v>
      </c>
      <c r="P1867">
        <v>-0.9998089</v>
      </c>
      <c r="Q1867">
        <v>-1.6829279999999999E-2</v>
      </c>
      <c r="R1867">
        <v>9.9612280000000008E-3</v>
      </c>
      <c r="S1867">
        <v>-2.9977719999999999</v>
      </c>
      <c r="T1867">
        <v>-0.1640974</v>
      </c>
      <c r="U1867">
        <v>-1.190186E-3</v>
      </c>
      <c r="V1867">
        <v>-2.419402E-2</v>
      </c>
      <c r="W1867">
        <v>-2.333183E-3</v>
      </c>
      <c r="X1867">
        <v>0.9997045</v>
      </c>
      <c r="Y1867">
        <v>-3.4448739999999999E-2</v>
      </c>
      <c r="Z1867">
        <v>-2.8101020000000001E-3</v>
      </c>
      <c r="AA1867">
        <v>0.99940249999999997</v>
      </c>
      <c r="AB1867">
        <v>33</v>
      </c>
      <c r="AC1867">
        <v>-19.828599999999899</v>
      </c>
      <c r="AD1867">
        <v>-1.1039937779809901</v>
      </c>
      <c r="AE1867">
        <v>-1.97000000000002E-2</v>
      </c>
      <c r="AF1867">
        <v>-0.69477334015672598</v>
      </c>
      <c r="AG1867">
        <v>-1.1039937779809901</v>
      </c>
      <c r="AH1867">
        <v>19.755119321013101</v>
      </c>
      <c r="AI1867">
        <v>93.196614369102207</v>
      </c>
      <c r="AJ1867">
        <v>92.014221187649895</v>
      </c>
      <c r="AK1867">
        <v>19.798137580173599</v>
      </c>
    </row>
    <row r="1868" spans="1:37" x14ac:dyDescent="0.2">
      <c r="A1868" t="str">
        <f>"20200111155830490"</f>
        <v>20200111155830490</v>
      </c>
      <c r="B1868" t="str">
        <f>"1578729510483156"</f>
        <v>1578729510483156</v>
      </c>
      <c r="C1868" t="s">
        <v>37</v>
      </c>
      <c r="D1868">
        <v>6.0487900000000003</v>
      </c>
      <c r="E1868">
        <v>0.4966872</v>
      </c>
      <c r="F1868" t="s">
        <v>52</v>
      </c>
      <c r="G1868">
        <v>-290.30439999999999</v>
      </c>
      <c r="H1868" s="1">
        <v>2.2821359999999999E-6</v>
      </c>
      <c r="I1868">
        <v>284.3603</v>
      </c>
      <c r="J1868">
        <v>-267.78859999999997</v>
      </c>
      <c r="K1868">
        <v>1.1040030000000001</v>
      </c>
      <c r="L1868">
        <v>284.36900000000003</v>
      </c>
      <c r="M1868">
        <v>-0.99930390000000002</v>
      </c>
      <c r="N1868">
        <v>0</v>
      </c>
      <c r="O1868">
        <v>3.4383080000000003E-2</v>
      </c>
      <c r="P1868">
        <v>-0.99979810000000002</v>
      </c>
      <c r="Q1868">
        <v>-1.7063599999999901E-2</v>
      </c>
      <c r="R1868">
        <v>1.0622639999999999E-2</v>
      </c>
      <c r="S1868">
        <v>-2.9981689999999999</v>
      </c>
      <c r="T1868">
        <v>-0.1449714</v>
      </c>
      <c r="U1868">
        <v>3.0517579999999998E-4</v>
      </c>
      <c r="V1868">
        <v>-2.3764980000000002E-2</v>
      </c>
      <c r="W1868">
        <v>-2.5714139999999902E-3</v>
      </c>
      <c r="X1868">
        <v>0.99971429999999994</v>
      </c>
      <c r="Y1868">
        <v>-3.4204829999999999E-2</v>
      </c>
      <c r="Z1868">
        <v>-2.4879670000000002E-3</v>
      </c>
      <c r="AA1868">
        <v>0.99941179999999996</v>
      </c>
      <c r="AB1868">
        <v>33</v>
      </c>
      <c r="AC1868">
        <v>-22.515799999999999</v>
      </c>
      <c r="AD1868">
        <v>-1.1040007178639999</v>
      </c>
      <c r="AE1868">
        <v>-8.7000000000330095E-3</v>
      </c>
      <c r="AF1868">
        <v>-0.78106072406149596</v>
      </c>
      <c r="AG1868">
        <v>-1.1040007178639999</v>
      </c>
      <c r="AH1868">
        <v>22.448215896112998</v>
      </c>
      <c r="AI1868">
        <v>92.813831498210305</v>
      </c>
      <c r="AJ1868">
        <v>91.992739084971603</v>
      </c>
      <c r="AK1868">
        <v>22.488914388165</v>
      </c>
    </row>
    <row r="1869" spans="1:37" x14ac:dyDescent="0.2">
      <c r="A1869" t="str">
        <f>"20200111155830513"</f>
        <v>20200111155830513</v>
      </c>
      <c r="B1869" t="str">
        <f>"1578729510502676"</f>
        <v>1578729510502676</v>
      </c>
      <c r="C1869" t="s">
        <v>37</v>
      </c>
      <c r="D1869">
        <v>6.0526049999999998</v>
      </c>
      <c r="E1869">
        <v>0.49625190000000002</v>
      </c>
      <c r="F1869" t="s">
        <v>52</v>
      </c>
      <c r="G1869">
        <v>-292.90980000000002</v>
      </c>
      <c r="H1869" s="1">
        <v>2.7421789999999998E-6</v>
      </c>
      <c r="I1869">
        <v>284.38440000000003</v>
      </c>
      <c r="J1869">
        <v>-268.10500000000002</v>
      </c>
      <c r="K1869">
        <v>1.1040049999999999</v>
      </c>
      <c r="L1869">
        <v>284.38010000000003</v>
      </c>
      <c r="M1869">
        <v>-0.99929609999999902</v>
      </c>
      <c r="N1869">
        <v>0</v>
      </c>
      <c r="O1869">
        <v>3.4608960000000001E-2</v>
      </c>
      <c r="P1869">
        <v>-0.99980970000000002</v>
      </c>
      <c r="Q1869">
        <v>-1.6855470000000001E-2</v>
      </c>
      <c r="R1869">
        <v>9.8249469999999901E-3</v>
      </c>
      <c r="S1869">
        <v>-2.9983219999999999</v>
      </c>
      <c r="T1869">
        <v>-0.13176740000000001</v>
      </c>
      <c r="U1869">
        <v>1.8310550000000001E-3</v>
      </c>
      <c r="V1869">
        <v>-2.4788459999999998E-2</v>
      </c>
      <c r="W1869">
        <v>-2.3668119999999998E-3</v>
      </c>
      <c r="X1869">
        <v>0.99968989999999902</v>
      </c>
      <c r="Y1869">
        <v>-3.3936099999999997E-2</v>
      </c>
      <c r="Z1869">
        <v>-2.265492E-3</v>
      </c>
      <c r="AA1869">
        <v>0.99942140000000002</v>
      </c>
      <c r="AB1869">
        <v>33</v>
      </c>
      <c r="AC1869">
        <v>-24.8048</v>
      </c>
      <c r="AD1869">
        <v>-1.10400225782099</v>
      </c>
      <c r="AE1869">
        <v>4.3000000000006297E-3</v>
      </c>
      <c r="AF1869">
        <v>-0.85257197395632101</v>
      </c>
      <c r="AG1869">
        <v>-1.10400225782099</v>
      </c>
      <c r="AH1869">
        <v>24.741075657513701</v>
      </c>
      <c r="AI1869">
        <v>92.553457621263902</v>
      </c>
      <c r="AJ1869">
        <v>91.973618879453696</v>
      </c>
      <c r="AK1869">
        <v>24.7803657084973</v>
      </c>
    </row>
    <row r="1870" spans="1:37" x14ac:dyDescent="0.2">
      <c r="A1870" t="str">
        <f>"20200111155830536"</f>
        <v>20200111155830536</v>
      </c>
      <c r="B1870" t="str">
        <f>"1578729510532933"</f>
        <v>1578729510532933</v>
      </c>
      <c r="C1870" t="s">
        <v>37</v>
      </c>
      <c r="D1870">
        <v>5.8906140000000002</v>
      </c>
      <c r="E1870">
        <v>0.49710490000000002</v>
      </c>
      <c r="F1870" t="s">
        <v>52</v>
      </c>
      <c r="G1870">
        <v>-293.6628</v>
      </c>
      <c r="H1870" s="1">
        <v>2.8790439999999998E-6</v>
      </c>
      <c r="I1870">
        <v>284.34660000000002</v>
      </c>
      <c r="J1870">
        <v>-268.44920000000002</v>
      </c>
      <c r="K1870">
        <v>1.10402</v>
      </c>
      <c r="L1870">
        <v>284.39229999999998</v>
      </c>
      <c r="M1870">
        <v>-0.99928779999999995</v>
      </c>
      <c r="N1870">
        <v>0</v>
      </c>
      <c r="O1870">
        <v>3.4848539999999997E-2</v>
      </c>
      <c r="P1870">
        <v>-0.99984059999999897</v>
      </c>
      <c r="Q1870">
        <v>-1.601093E-2</v>
      </c>
      <c r="R1870">
        <v>7.9178180000000001E-3</v>
      </c>
      <c r="S1870">
        <v>-2.9984439999999899</v>
      </c>
      <c r="T1870">
        <v>-0.1295222</v>
      </c>
      <c r="U1870">
        <v>-3.9367680000000002E-3</v>
      </c>
      <c r="V1870">
        <v>-2.69345E-2</v>
      </c>
      <c r="W1870">
        <v>-1.525867E-3</v>
      </c>
      <c r="X1870">
        <v>0.99963609999999903</v>
      </c>
      <c r="Y1870">
        <v>-3.6098140000000001E-2</v>
      </c>
      <c r="Z1870">
        <v>-2.2838619999999998E-3</v>
      </c>
      <c r="AA1870">
        <v>0.9993457</v>
      </c>
      <c r="AB1870">
        <v>33</v>
      </c>
      <c r="AC1870">
        <v>-25.2135999999999</v>
      </c>
      <c r="AD1870">
        <v>-1.1040171209559999</v>
      </c>
      <c r="AE1870">
        <v>-4.5699999999953798E-2</v>
      </c>
      <c r="AF1870">
        <v>-0.92265246342472096</v>
      </c>
      <c r="AG1870">
        <v>-1.1040171209559999</v>
      </c>
      <c r="AH1870">
        <v>25.148473332722599</v>
      </c>
      <c r="AI1870">
        <v>92.511980948648898</v>
      </c>
      <c r="AJ1870">
        <v>92.1011371846689</v>
      </c>
      <c r="AK1870">
        <v>25.189598097990501</v>
      </c>
    </row>
    <row r="1871" spans="1:37" x14ac:dyDescent="0.2">
      <c r="A1871" t="str">
        <f>"20200111155830560"</f>
        <v>20200111155830560</v>
      </c>
      <c r="B1871" t="str">
        <f>"1578729510552453"</f>
        <v>1578729510552453</v>
      </c>
      <c r="C1871" t="s">
        <v>37</v>
      </c>
      <c r="D1871">
        <v>5.8527209999999998</v>
      </c>
      <c r="E1871">
        <v>0.4973535</v>
      </c>
      <c r="F1871" t="s">
        <v>52</v>
      </c>
      <c r="G1871">
        <v>-289.87569999999999</v>
      </c>
      <c r="H1871" s="1">
        <v>4.0750040000000001E-6</v>
      </c>
      <c r="I1871">
        <v>284.36369999999999</v>
      </c>
      <c r="J1871">
        <v>-268.78969999999998</v>
      </c>
      <c r="K1871">
        <v>1.104036</v>
      </c>
      <c r="L1871">
        <v>284.40440000000001</v>
      </c>
      <c r="M1871">
        <v>-0.99927969999999899</v>
      </c>
      <c r="N1871">
        <v>0</v>
      </c>
      <c r="O1871">
        <v>3.5081109999999999E-2</v>
      </c>
      <c r="P1871">
        <v>-0.99989209999999995</v>
      </c>
      <c r="Q1871">
        <v>-1.291811E-2</v>
      </c>
      <c r="R1871">
        <v>6.9919680000000003E-3</v>
      </c>
      <c r="S1871">
        <v>-2.9980470000000001</v>
      </c>
      <c r="T1871">
        <v>-0.15447649999999999</v>
      </c>
      <c r="U1871">
        <v>-3.9978030000000003E-3</v>
      </c>
      <c r="V1871">
        <v>-2.809277E-2</v>
      </c>
      <c r="W1871">
        <v>1.563851E-3</v>
      </c>
      <c r="X1871">
        <v>0.999604099999999</v>
      </c>
      <c r="Y1871">
        <v>-3.6322689999999998E-2</v>
      </c>
      <c r="Z1871">
        <v>-2.741458E-3</v>
      </c>
      <c r="AA1871">
        <v>0.99933639999999901</v>
      </c>
      <c r="AB1871">
        <v>33</v>
      </c>
      <c r="AC1871">
        <v>-21.085999999999999</v>
      </c>
      <c r="AD1871">
        <v>-1.104031924996</v>
      </c>
      <c r="AE1871">
        <v>-4.0700000000015203E-2</v>
      </c>
      <c r="AF1871">
        <v>-0.77833894532681602</v>
      </c>
      <c r="AG1871">
        <v>-1.104031924996</v>
      </c>
      <c r="AH1871">
        <v>21.013982389419201</v>
      </c>
      <c r="AI1871">
        <v>93.005381711450994</v>
      </c>
      <c r="AJ1871">
        <v>92.121214298229205</v>
      </c>
      <c r="AK1871">
        <v>21.057353914204</v>
      </c>
    </row>
    <row r="1872" spans="1:37" x14ac:dyDescent="0.2">
      <c r="A1872" t="str">
        <f>"20200111155830582"</f>
        <v>20200111155830582</v>
      </c>
      <c r="B1872" t="str">
        <f>"1578729510572952"</f>
        <v>1578729510572952</v>
      </c>
      <c r="C1872" t="s">
        <v>37</v>
      </c>
      <c r="D1872">
        <v>5.6921929999999996</v>
      </c>
      <c r="E1872">
        <v>0.49758029999999998</v>
      </c>
      <c r="F1872" t="s">
        <v>52</v>
      </c>
      <c r="G1872">
        <v>-289.76339999999999</v>
      </c>
      <c r="H1872" s="1">
        <v>4.1242180000000003E-6</v>
      </c>
      <c r="I1872">
        <v>284.36649999999997</v>
      </c>
      <c r="J1872">
        <v>-269.11399999999998</v>
      </c>
      <c r="K1872">
        <v>1.1040459999999901</v>
      </c>
      <c r="L1872">
        <v>284.41609999999997</v>
      </c>
      <c r="M1872">
        <v>-0.99927199999999905</v>
      </c>
      <c r="N1872">
        <v>0</v>
      </c>
      <c r="O1872">
        <v>3.5298690000000001E-2</v>
      </c>
      <c r="P1872">
        <v>-0.99991600000000003</v>
      </c>
      <c r="Q1872">
        <v>-1.088918E-2</v>
      </c>
      <c r="R1872">
        <v>7.0263769999999899E-3</v>
      </c>
      <c r="S1872">
        <v>-2.998291</v>
      </c>
      <c r="T1872">
        <v>-0.15782639999999901</v>
      </c>
      <c r="U1872">
        <v>-5.432129E-3</v>
      </c>
      <c r="V1872">
        <v>-2.8275660000000001E-2</v>
      </c>
      <c r="W1872">
        <v>3.5889709999999998E-3</v>
      </c>
      <c r="X1872">
        <v>0.99959370000000003</v>
      </c>
      <c r="Y1872">
        <v>-3.701285E-2</v>
      </c>
      <c r="Z1872">
        <v>-2.8301939999999999E-3</v>
      </c>
      <c r="AA1872">
        <v>0.99931080000000005</v>
      </c>
      <c r="AB1872">
        <v>33</v>
      </c>
      <c r="AC1872">
        <v>-20.649399999999901</v>
      </c>
      <c r="AD1872">
        <v>-1.1040418757820001</v>
      </c>
      <c r="AE1872">
        <v>-4.9599999999998E-2</v>
      </c>
      <c r="AF1872">
        <v>-0.77632300774581597</v>
      </c>
      <c r="AG1872">
        <v>-1.1040418757820001</v>
      </c>
      <c r="AH1872">
        <v>20.575959263270899</v>
      </c>
      <c r="AI1872">
        <v>93.069188173489593</v>
      </c>
      <c r="AJ1872">
        <v>92.160722773341206</v>
      </c>
      <c r="AK1872">
        <v>20.6201766597577</v>
      </c>
    </row>
    <row r="1873" spans="1:37" x14ac:dyDescent="0.2">
      <c r="A1873" t="str">
        <f>"20200111155830603"</f>
        <v>20200111155830603</v>
      </c>
      <c r="B1873" t="str">
        <f>"1578729510592473"</f>
        <v>1578729510592473</v>
      </c>
      <c r="C1873" t="s">
        <v>37</v>
      </c>
      <c r="D1873">
        <v>5.6949699999999996</v>
      </c>
      <c r="E1873">
        <v>0.49800420000000001</v>
      </c>
      <c r="F1873" t="s">
        <v>52</v>
      </c>
      <c r="G1873">
        <v>-289.34750000000003</v>
      </c>
      <c r="H1873" s="1">
        <v>4.3043929999999998E-6</v>
      </c>
      <c r="I1873">
        <v>284.38709999999998</v>
      </c>
      <c r="J1873">
        <v>-269.41370000000001</v>
      </c>
      <c r="K1873">
        <v>1.1040459999999901</v>
      </c>
      <c r="L1873">
        <v>284.42689999999999</v>
      </c>
      <c r="M1873">
        <v>-0.99926510000000002</v>
      </c>
      <c r="N1873">
        <v>0</v>
      </c>
      <c r="O1873">
        <v>3.5497510000000003E-2</v>
      </c>
      <c r="P1873">
        <v>-0.99989740000000005</v>
      </c>
      <c r="Q1873">
        <v>-1.1621340000000001E-2</v>
      </c>
      <c r="R1873">
        <v>8.3932360000000001E-3</v>
      </c>
      <c r="S1873">
        <v>-2.99850499999999</v>
      </c>
      <c r="T1873">
        <v>-0.1636137</v>
      </c>
      <c r="U1873">
        <v>-4.3029790000000002E-3</v>
      </c>
      <c r="V1873">
        <v>-2.7107920000000001E-2</v>
      </c>
      <c r="W1873">
        <v>2.8532150000000001E-3</v>
      </c>
      <c r="X1873">
        <v>0.99962839999999997</v>
      </c>
      <c r="Y1873">
        <v>-3.6827739999999998E-2</v>
      </c>
      <c r="Z1873">
        <v>-2.9394019999999998E-3</v>
      </c>
      <c r="AA1873">
        <v>0.99931729999999996</v>
      </c>
      <c r="AB1873">
        <v>33</v>
      </c>
      <c r="AC1873">
        <v>-19.933800000000002</v>
      </c>
      <c r="AD1873">
        <v>-1.1040416956069901</v>
      </c>
      <c r="AE1873">
        <v>-3.9800000000013797E-2</v>
      </c>
      <c r="AF1873">
        <v>-0.74516338599044896</v>
      </c>
      <c r="AG1873">
        <v>-1.1040416956069901</v>
      </c>
      <c r="AH1873">
        <v>19.858903627598199</v>
      </c>
      <c r="AI1873">
        <v>93.179809596214398</v>
      </c>
      <c r="AJ1873">
        <v>92.148894883181001</v>
      </c>
      <c r="AK1873">
        <v>19.903523050648399</v>
      </c>
    </row>
    <row r="1874" spans="1:37" x14ac:dyDescent="0.2">
      <c r="A1874" t="str">
        <f>"20200111155830626"</f>
        <v>20200111155830626</v>
      </c>
      <c r="B1874" t="str">
        <f>"1578729510623289"</f>
        <v>1578729510623289</v>
      </c>
      <c r="C1874" t="s">
        <v>37</v>
      </c>
      <c r="D1874">
        <v>5.702617</v>
      </c>
      <c r="E1874">
        <v>0.49864560000000002</v>
      </c>
      <c r="F1874" t="s">
        <v>52</v>
      </c>
      <c r="G1874">
        <v>-288.2704</v>
      </c>
      <c r="H1874" s="1">
        <v>4.7702450000000003E-6</v>
      </c>
      <c r="I1874">
        <v>284.44420000000002</v>
      </c>
      <c r="J1874">
        <v>-269.73540000000003</v>
      </c>
      <c r="K1874">
        <v>1.1040379999999901</v>
      </c>
      <c r="L1874">
        <v>284.43849999999998</v>
      </c>
      <c r="M1874">
        <v>-0.99925759999999897</v>
      </c>
      <c r="N1874">
        <v>0</v>
      </c>
      <c r="O1874">
        <v>3.5710409999999998E-2</v>
      </c>
      <c r="P1874">
        <v>-0.99985349999999995</v>
      </c>
      <c r="Q1874">
        <v>-1.401527E-2</v>
      </c>
      <c r="R1874">
        <v>9.8491910000000002E-3</v>
      </c>
      <c r="S1874">
        <v>-2.9981990000000001</v>
      </c>
      <c r="T1874">
        <v>-0.1755418</v>
      </c>
      <c r="U1874">
        <v>2.746582E-3</v>
      </c>
      <c r="V1874">
        <v>-2.5865349999999999E-2</v>
      </c>
      <c r="W1874">
        <v>4.5615819999999998E-4</v>
      </c>
      <c r="X1874">
        <v>0.99966529999999998</v>
      </c>
      <c r="Y1874">
        <v>-3.4678100000000003E-2</v>
      </c>
      <c r="Z1874">
        <v>-3.1032149999999999E-3</v>
      </c>
      <c r="AA1874">
        <v>0.99939369999999905</v>
      </c>
      <c r="AB1874">
        <v>33</v>
      </c>
      <c r="AC1874">
        <v>-18.534999999999901</v>
      </c>
      <c r="AD1874">
        <v>-1.104033229755</v>
      </c>
      <c r="AE1874">
        <v>5.7000000000471101E-3</v>
      </c>
      <c r="AF1874">
        <v>-0.65394509647362498</v>
      </c>
      <c r="AG1874">
        <v>-1.104033229755</v>
      </c>
      <c r="AH1874">
        <v>18.4578911898431</v>
      </c>
      <c r="AI1874">
        <v>93.420848400601798</v>
      </c>
      <c r="AJ1874">
        <v>92.029084933922306</v>
      </c>
      <c r="AK1874">
        <v>18.502439859048099</v>
      </c>
    </row>
    <row r="1875" spans="1:37" x14ac:dyDescent="0.2">
      <c r="A1875" t="str">
        <f>"20200111155830647"</f>
        <v>20200111155830647</v>
      </c>
      <c r="B1875" t="str">
        <f>"1578729510642808"</f>
        <v>1578729510642808</v>
      </c>
      <c r="C1875" t="s">
        <v>37</v>
      </c>
      <c r="D1875">
        <v>5.7070589999999903</v>
      </c>
      <c r="E1875">
        <v>0.4989884</v>
      </c>
      <c r="F1875" t="s">
        <v>52</v>
      </c>
      <c r="G1875">
        <v>-286.65980000000002</v>
      </c>
      <c r="H1875" s="1">
        <v>5.4718930000000001E-6</v>
      </c>
      <c r="I1875">
        <v>284.505</v>
      </c>
      <c r="J1875">
        <v>-270.0548</v>
      </c>
      <c r="K1875">
        <v>1.104028</v>
      </c>
      <c r="L1875">
        <v>284.4502</v>
      </c>
      <c r="M1875">
        <v>-0.99924979999999997</v>
      </c>
      <c r="N1875">
        <v>0</v>
      </c>
      <c r="O1875">
        <v>3.5923789999999997E-2</v>
      </c>
      <c r="P1875">
        <v>-0.99980849999999899</v>
      </c>
      <c r="Q1875">
        <v>-1.5731789999999999E-2</v>
      </c>
      <c r="R1875">
        <v>1.1642410000000001E-2</v>
      </c>
      <c r="S1875">
        <v>-2.9975890000000001</v>
      </c>
      <c r="T1875">
        <v>-0.19554260000000001</v>
      </c>
      <c r="U1875">
        <v>1.177979E-2</v>
      </c>
      <c r="V1875">
        <v>-2.428655E-2</v>
      </c>
      <c r="W1875">
        <v>-1.2644049999999999E-3</v>
      </c>
      <c r="X1875">
        <v>0.99970419999999904</v>
      </c>
      <c r="Y1875">
        <v>-3.1856059999999999E-2</v>
      </c>
      <c r="Z1875">
        <v>-3.378687E-3</v>
      </c>
      <c r="AA1875">
        <v>0.99948669999999995</v>
      </c>
      <c r="AB1875">
        <v>32</v>
      </c>
      <c r="AC1875">
        <v>-16.605</v>
      </c>
      <c r="AD1875">
        <v>-1.104022528107</v>
      </c>
      <c r="AE1875">
        <v>5.4800000000000099E-2</v>
      </c>
      <c r="AF1875">
        <v>-0.53942780105580801</v>
      </c>
      <c r="AG1875">
        <v>-1.104022528107</v>
      </c>
      <c r="AH1875">
        <v>16.5232074221841</v>
      </c>
      <c r="AI1875">
        <v>93.820590908094999</v>
      </c>
      <c r="AJ1875">
        <v>91.869852645369093</v>
      </c>
      <c r="AK1875">
        <v>16.568833139712599</v>
      </c>
    </row>
    <row r="1876" spans="1:37" x14ac:dyDescent="0.2">
      <c r="A1876" t="str">
        <f>"20200111155830671"</f>
        <v>20200111155830671</v>
      </c>
      <c r="B1876" t="str">
        <f>"1578729510663305"</f>
        <v>1578729510663305</v>
      </c>
      <c r="C1876" t="s">
        <v>37</v>
      </c>
      <c r="D1876">
        <v>5.9534260000000003</v>
      </c>
      <c r="E1876">
        <v>0.49933309999999997</v>
      </c>
      <c r="F1876" t="s">
        <v>52</v>
      </c>
      <c r="G1876">
        <v>-285.99610000000001</v>
      </c>
      <c r="H1876" s="1">
        <v>5.75574399999999E-6</v>
      </c>
      <c r="I1876">
        <v>284.5557</v>
      </c>
      <c r="J1876">
        <v>-270.3965</v>
      </c>
      <c r="K1876">
        <v>1.1040179999999999</v>
      </c>
      <c r="L1876">
        <v>284.46269999999998</v>
      </c>
      <c r="M1876">
        <v>-0.99924169999999901</v>
      </c>
      <c r="N1876">
        <v>0</v>
      </c>
      <c r="O1876">
        <v>3.6155189999999997E-2</v>
      </c>
      <c r="P1876">
        <v>-0.99979399999999996</v>
      </c>
      <c r="Q1876">
        <v>-1.6131650000000001E-2</v>
      </c>
      <c r="R1876">
        <v>1.2317379999999999E-2</v>
      </c>
      <c r="S1876">
        <v>-2.9970699999999999</v>
      </c>
      <c r="T1876">
        <v>-0.20756329999999901</v>
      </c>
      <c r="U1876">
        <v>1.9836429999999999E-2</v>
      </c>
      <c r="V1876">
        <v>-2.3843199999999998E-2</v>
      </c>
      <c r="W1876">
        <v>-1.6678729999999901E-3</v>
      </c>
      <c r="X1876">
        <v>0.99971429999999994</v>
      </c>
      <c r="Y1876">
        <v>-2.9387099999999999E-2</v>
      </c>
      <c r="Z1876">
        <v>-3.5170759999999901E-3</v>
      </c>
      <c r="AA1876">
        <v>0.9995619</v>
      </c>
      <c r="AB1876">
        <v>32</v>
      </c>
      <c r="AC1876">
        <v>-15.599600000000001</v>
      </c>
      <c r="AD1876">
        <v>-1.1040122442560001</v>
      </c>
      <c r="AE1876">
        <v>9.3000000000017694E-2</v>
      </c>
      <c r="AF1876">
        <v>-0.46877835420242803</v>
      </c>
      <c r="AG1876">
        <v>-1.1040122442560001</v>
      </c>
      <c r="AH1876">
        <v>15.5150546901321</v>
      </c>
      <c r="AI1876">
        <v>94.068312775884195</v>
      </c>
      <c r="AJ1876">
        <v>91.730632146245895</v>
      </c>
      <c r="AK1876">
        <v>15.5613469281622</v>
      </c>
    </row>
    <row r="1877" spans="1:37" x14ac:dyDescent="0.2">
      <c r="A1877" t="str">
        <f>"20200111155830692"</f>
        <v>20200111155830692</v>
      </c>
      <c r="B1877" t="str">
        <f>"1578729510682824"</f>
        <v>1578729510682824</v>
      </c>
      <c r="C1877" t="s">
        <v>37</v>
      </c>
      <c r="D1877">
        <v>5.7185139999999999</v>
      </c>
      <c r="E1877">
        <v>0.49846859999999998</v>
      </c>
      <c r="F1877" t="s">
        <v>52</v>
      </c>
      <c r="G1877">
        <v>-285.86770000000001</v>
      </c>
      <c r="H1877" s="1">
        <v>5.8059819999999999E-6</v>
      </c>
      <c r="I1877">
        <v>284.5881</v>
      </c>
      <c r="J1877">
        <v>-270.7038</v>
      </c>
      <c r="K1877">
        <v>1.1040099999999999</v>
      </c>
      <c r="L1877">
        <v>284.47399999999999</v>
      </c>
      <c r="M1877">
        <v>-0.99923410000000001</v>
      </c>
      <c r="N1877">
        <v>0</v>
      </c>
      <c r="O1877">
        <v>3.636491E-2</v>
      </c>
      <c r="P1877">
        <v>-0.99980599999999997</v>
      </c>
      <c r="Q1877">
        <v>-1.6650379999999999E-2</v>
      </c>
      <c r="R1877">
        <v>1.0530110000000001E-2</v>
      </c>
      <c r="S1877">
        <v>-2.9968870000000001</v>
      </c>
      <c r="T1877">
        <v>-0.21385460000000001</v>
      </c>
      <c r="U1877">
        <v>2.4291989999999999E-2</v>
      </c>
      <c r="V1877">
        <v>-2.584003E-2</v>
      </c>
      <c r="W1877">
        <v>-2.1893720000000002E-3</v>
      </c>
      <c r="X1877">
        <v>0.99966369999999904</v>
      </c>
      <c r="Y1877">
        <v>-2.8103510000000002E-2</v>
      </c>
      <c r="Z1877">
        <v>-3.592797E-3</v>
      </c>
      <c r="AA1877">
        <v>0.999598599999999</v>
      </c>
      <c r="AB1877">
        <v>32</v>
      </c>
      <c r="AC1877">
        <v>-15.1639</v>
      </c>
      <c r="AD1877">
        <v>-1.1040041940180001</v>
      </c>
      <c r="AE1877">
        <v>0.114100000000007</v>
      </c>
      <c r="AF1877">
        <v>-0.43516047106130501</v>
      </c>
      <c r="AG1877">
        <v>-1.1040041940180001</v>
      </c>
      <c r="AH1877">
        <v>15.0781003771312</v>
      </c>
      <c r="AI1877">
        <v>94.185933118000406</v>
      </c>
      <c r="AJ1877">
        <v>91.653122000839602</v>
      </c>
      <c r="AK1877">
        <v>15.124724819937301</v>
      </c>
    </row>
    <row r="1878" spans="1:37" x14ac:dyDescent="0.2">
      <c r="A1878" t="str">
        <f>"20200111155830713"</f>
        <v>20200111155830713</v>
      </c>
      <c r="B1878" t="str">
        <f>"1578729510703320"</f>
        <v>1578729510703320</v>
      </c>
      <c r="C1878" t="s">
        <v>37</v>
      </c>
      <c r="D1878">
        <v>5.6753799999999996</v>
      </c>
      <c r="E1878">
        <v>0.4987125</v>
      </c>
      <c r="F1878" t="s">
        <v>52</v>
      </c>
      <c r="G1878">
        <v>-285.95580000000001</v>
      </c>
      <c r="H1878" s="1">
        <v>5.7777970000000001E-6</v>
      </c>
      <c r="I1878">
        <v>284.53550000000001</v>
      </c>
      <c r="J1878">
        <v>-271.02089999999998</v>
      </c>
      <c r="K1878">
        <v>1.103999</v>
      </c>
      <c r="L1878">
        <v>284.48579999999998</v>
      </c>
      <c r="M1878">
        <v>-0.99922619999999895</v>
      </c>
      <c r="N1878">
        <v>0</v>
      </c>
      <c r="O1878">
        <v>3.6583379999999999E-2</v>
      </c>
      <c r="P1878">
        <v>-0.99980999999999998</v>
      </c>
      <c r="Q1878">
        <v>-1.7919089999999999E-2</v>
      </c>
      <c r="R1878">
        <v>7.6710399999999996E-3</v>
      </c>
      <c r="S1878">
        <v>-2.9968569999999999</v>
      </c>
      <c r="T1878">
        <v>-0.21692500000000001</v>
      </c>
      <c r="U1878">
        <v>1.208496E-2</v>
      </c>
      <c r="V1878">
        <v>-2.8916270000000001E-2</v>
      </c>
      <c r="W1878">
        <v>-3.460945E-3</v>
      </c>
      <c r="X1878">
        <v>0.99957589999999996</v>
      </c>
      <c r="Y1878">
        <v>-3.2376700000000001E-2</v>
      </c>
      <c r="Z1878">
        <v>-3.8146170000000002E-3</v>
      </c>
      <c r="AA1878">
        <v>0.99946840000000003</v>
      </c>
      <c r="AB1878">
        <v>32</v>
      </c>
      <c r="AC1878">
        <v>-14.934900000000001</v>
      </c>
      <c r="AD1878">
        <v>-1.103993222203</v>
      </c>
      <c r="AE1878">
        <v>4.9700000000029797E-2</v>
      </c>
      <c r="AF1878">
        <v>-0.49405978735120898</v>
      </c>
      <c r="AG1878">
        <v>-1.103993222203</v>
      </c>
      <c r="AH1878">
        <v>14.845600208662599</v>
      </c>
      <c r="AI1878">
        <v>94.250628324200704</v>
      </c>
      <c r="AJ1878">
        <v>91.906093152723798</v>
      </c>
      <c r="AK1878">
        <v>14.8947890775126</v>
      </c>
    </row>
    <row r="1879" spans="1:37" x14ac:dyDescent="0.2">
      <c r="A1879" t="str">
        <f>"20200111155830737"</f>
        <v>20200111155830737</v>
      </c>
      <c r="B1879" t="str">
        <f>"1578729510733318"</f>
        <v>1578729510733318</v>
      </c>
      <c r="C1879" t="s">
        <v>37</v>
      </c>
      <c r="D1879">
        <v>5.7040499999999996</v>
      </c>
      <c r="E1879">
        <v>0.49800129999999998</v>
      </c>
      <c r="F1879" t="s">
        <v>52</v>
      </c>
      <c r="G1879">
        <v>-285.70359999999999</v>
      </c>
      <c r="H1879" s="1">
        <v>5.8945360000000002E-6</v>
      </c>
      <c r="I1879">
        <v>284.512</v>
      </c>
      <c r="J1879">
        <v>-271.34750000000003</v>
      </c>
      <c r="K1879">
        <v>1.104004</v>
      </c>
      <c r="L1879">
        <v>284.49799999999999</v>
      </c>
      <c r="M1879">
        <v>-0.99921800000000005</v>
      </c>
      <c r="N1879">
        <v>0</v>
      </c>
      <c r="O1879">
        <v>3.68099E-2</v>
      </c>
      <c r="P1879">
        <v>-0.99982789999999999</v>
      </c>
      <c r="Q1879">
        <v>-1.8141999999999998E-2</v>
      </c>
      <c r="R1879">
        <v>3.9162149999999998E-3</v>
      </c>
      <c r="S1879">
        <v>-2.9964900000000001</v>
      </c>
      <c r="T1879">
        <v>-0.2253076</v>
      </c>
      <c r="U1879">
        <v>5.3405759999999997E-3</v>
      </c>
      <c r="V1879">
        <v>-3.2895430000000003E-2</v>
      </c>
      <c r="W1879">
        <v>-3.6869070000000001E-3</v>
      </c>
      <c r="X1879">
        <v>0.99945200000000001</v>
      </c>
      <c r="Y1879">
        <v>-3.4830420000000001E-2</v>
      </c>
      <c r="Z1879">
        <v>-4.0712589999999998E-3</v>
      </c>
      <c r="AA1879">
        <v>0.99938490000000002</v>
      </c>
      <c r="AB1879">
        <v>32</v>
      </c>
      <c r="AC1879">
        <v>-14.3560999999999</v>
      </c>
      <c r="AD1879">
        <v>-1.103998105464</v>
      </c>
      <c r="AE1879">
        <v>1.4000000000009999E-2</v>
      </c>
      <c r="AF1879">
        <v>-0.51148636849843698</v>
      </c>
      <c r="AG1879">
        <v>-1.103998105464</v>
      </c>
      <c r="AH1879">
        <v>14.2625388793418</v>
      </c>
      <c r="AI1879">
        <v>94.423346945652597</v>
      </c>
      <c r="AJ1879">
        <v>92.053873903446302</v>
      </c>
      <c r="AK1879">
        <v>14.314344043887001</v>
      </c>
    </row>
    <row r="1880" spans="1:37" x14ac:dyDescent="0.2">
      <c r="A1880" t="str">
        <f>"20200111155830759"</f>
        <v>20200111155830759</v>
      </c>
      <c r="B1880" t="str">
        <f>"1578729510752838"</f>
        <v>1578729510752838</v>
      </c>
      <c r="C1880" t="s">
        <v>37</v>
      </c>
      <c r="D1880">
        <v>5.6901650000000004</v>
      </c>
      <c r="E1880">
        <v>0.49831609999999998</v>
      </c>
      <c r="F1880" t="s">
        <v>52</v>
      </c>
      <c r="G1880">
        <v>-285.7901</v>
      </c>
      <c r="H1880" s="1">
        <v>5.8703630000000002E-6</v>
      </c>
      <c r="I1880">
        <v>284.44310000000002</v>
      </c>
      <c r="J1880">
        <v>-271.67779999999999</v>
      </c>
      <c r="K1880">
        <v>1.104012</v>
      </c>
      <c r="L1880">
        <v>284.5104</v>
      </c>
      <c r="M1880">
        <v>-0.99920949999999997</v>
      </c>
      <c r="N1880">
        <v>0</v>
      </c>
      <c r="O1880">
        <v>3.7039879999999997E-2</v>
      </c>
      <c r="P1880">
        <v>-0.99983129999999998</v>
      </c>
      <c r="Q1880">
        <v>-1.8261949999999999E-2</v>
      </c>
      <c r="R1880">
        <v>2.07288E-3</v>
      </c>
      <c r="S1880">
        <v>-2.9963380000000002</v>
      </c>
      <c r="T1880">
        <v>-0.2290402</v>
      </c>
      <c r="U1880">
        <v>-1.138306E-2</v>
      </c>
      <c r="V1880">
        <v>-3.4967970000000001E-2</v>
      </c>
      <c r="W1880">
        <v>-3.8103679999999902E-3</v>
      </c>
      <c r="X1880">
        <v>0.99938119999999997</v>
      </c>
      <c r="Y1880">
        <v>-4.0613320000000001E-2</v>
      </c>
      <c r="Z1880">
        <v>-4.3770299999999996E-3</v>
      </c>
      <c r="AA1880">
        <v>0.99916539999999998</v>
      </c>
      <c r="AB1880">
        <v>32</v>
      </c>
      <c r="AC1880">
        <v>-14.112299999999999</v>
      </c>
      <c r="AD1880">
        <v>-1.1040061296370001</v>
      </c>
      <c r="AE1880">
        <v>-6.7299999999988799E-2</v>
      </c>
      <c r="AF1880">
        <v>-0.58643730720867704</v>
      </c>
      <c r="AG1880">
        <v>-1.1040061296370001</v>
      </c>
      <c r="AH1880">
        <v>14.0143558034199</v>
      </c>
      <c r="AI1880">
        <v>94.500353880230904</v>
      </c>
      <c r="AJ1880">
        <v>92.396170883132996</v>
      </c>
      <c r="AK1880">
        <v>14.070000242871799</v>
      </c>
    </row>
    <row r="1881" spans="1:37" x14ac:dyDescent="0.2">
      <c r="A1881" t="str">
        <f>"20200111155830782"</f>
        <v>20200111155830782</v>
      </c>
      <c r="B1881" t="str">
        <f>"1578729510773334"</f>
        <v>1578729510773334</v>
      </c>
      <c r="C1881" t="s">
        <v>37</v>
      </c>
      <c r="D1881">
        <v>5.9306960000000002</v>
      </c>
      <c r="E1881">
        <v>0.49857959999999901</v>
      </c>
      <c r="F1881" t="s">
        <v>52</v>
      </c>
      <c r="G1881">
        <v>-285.8657</v>
      </c>
      <c r="H1881" s="1">
        <v>5.8371800000000001E-6</v>
      </c>
      <c r="I1881">
        <v>284.44139999999999</v>
      </c>
      <c r="J1881">
        <v>-271.99799999999999</v>
      </c>
      <c r="K1881">
        <v>1.1040140000000001</v>
      </c>
      <c r="L1881">
        <v>284.52249999999998</v>
      </c>
      <c r="M1881">
        <v>-0.99920140000000002</v>
      </c>
      <c r="N1881">
        <v>0</v>
      </c>
      <c r="O1881">
        <v>3.7258359999999997E-2</v>
      </c>
      <c r="P1881">
        <v>-0.99980369999999996</v>
      </c>
      <c r="Q1881">
        <v>-1.9814720000000001E-2</v>
      </c>
      <c r="R1881">
        <v>5.2930779999999997E-4</v>
      </c>
      <c r="S1881">
        <v>-2.9962770000000001</v>
      </c>
      <c r="T1881">
        <v>-0.23314869999999999</v>
      </c>
      <c r="U1881">
        <v>-1.4556879999999999E-2</v>
      </c>
      <c r="V1881">
        <v>-3.6728480000000001E-2</v>
      </c>
      <c r="W1881">
        <v>-5.3669969999999897E-3</v>
      </c>
      <c r="X1881">
        <v>0.9993109</v>
      </c>
      <c r="Y1881">
        <v>-4.1877499999999998E-2</v>
      </c>
      <c r="Z1881">
        <v>-4.5214829999999998E-3</v>
      </c>
      <c r="AA1881">
        <v>0.99911249999999996</v>
      </c>
      <c r="AB1881">
        <v>32</v>
      </c>
      <c r="AC1881">
        <v>-13.867699999999999</v>
      </c>
      <c r="AD1881">
        <v>-1.10400816282</v>
      </c>
      <c r="AE1881">
        <v>-8.1099999999992095E-2</v>
      </c>
      <c r="AF1881">
        <v>-0.59402064735112103</v>
      </c>
      <c r="AG1881">
        <v>-1.10400816282</v>
      </c>
      <c r="AH1881">
        <v>13.7677932466559</v>
      </c>
      <c r="AI1881">
        <v>94.580365999061499</v>
      </c>
      <c r="AJ1881">
        <v>92.470532480501603</v>
      </c>
      <c r="AK1881">
        <v>13.8247540822871</v>
      </c>
    </row>
    <row r="1882" spans="1:37" x14ac:dyDescent="0.2">
      <c r="A1882" t="str">
        <f>"20200111155830797"</f>
        <v>20200111155830797</v>
      </c>
      <c r="B1882" t="str">
        <f>"1578729510792854"</f>
        <v>1578729510792854</v>
      </c>
      <c r="C1882" t="s">
        <v>37</v>
      </c>
      <c r="D1882">
        <v>5.782241</v>
      </c>
      <c r="E1882">
        <v>0.49894659999999902</v>
      </c>
      <c r="F1882" t="s">
        <v>52</v>
      </c>
      <c r="G1882">
        <v>-285.92129999999997</v>
      </c>
      <c r="H1882" s="1">
        <v>5.8120009999999998E-6</v>
      </c>
      <c r="I1882">
        <v>284.44400000000002</v>
      </c>
      <c r="J1882">
        <v>-272.21260000000001</v>
      </c>
      <c r="K1882">
        <v>1.1040179999999999</v>
      </c>
      <c r="L1882">
        <v>284.53059999999999</v>
      </c>
      <c r="M1882">
        <v>-0.99919639999999998</v>
      </c>
      <c r="N1882">
        <v>0</v>
      </c>
      <c r="O1882">
        <v>3.7394400000000001E-2</v>
      </c>
      <c r="P1882">
        <v>-0.99979089999999904</v>
      </c>
      <c r="Q1882">
        <v>-2.0448770000000002E-2</v>
      </c>
      <c r="R1882">
        <v>2.348312E-4</v>
      </c>
      <c r="S1882">
        <v>-2.995911</v>
      </c>
      <c r="T1882">
        <v>-0.23755119999999999</v>
      </c>
      <c r="U1882">
        <v>-1.6876220000000001E-2</v>
      </c>
      <c r="V1882">
        <v>-3.7159110000000002E-2</v>
      </c>
      <c r="W1882">
        <v>-6.0039469999999999E-3</v>
      </c>
      <c r="X1882">
        <v>0.99929129999999999</v>
      </c>
      <c r="Y1882">
        <v>-4.2775170000000001E-2</v>
      </c>
      <c r="Z1882">
        <v>-4.6534590000000004E-3</v>
      </c>
      <c r="AA1882">
        <v>0.99907389999999996</v>
      </c>
      <c r="AB1882">
        <v>32</v>
      </c>
      <c r="AC1882">
        <v>-13.708699999999901</v>
      </c>
      <c r="AD1882">
        <v>-1.1040121879989999</v>
      </c>
      <c r="AE1882">
        <v>-8.6599999999975794E-2</v>
      </c>
      <c r="AF1882">
        <v>-0.59536024657420805</v>
      </c>
      <c r="AG1882">
        <v>-1.1040121879989999</v>
      </c>
      <c r="AH1882">
        <v>13.6076201557725</v>
      </c>
      <c r="AI1882">
        <v>94.633942795273299</v>
      </c>
      <c r="AJ1882">
        <v>92.505205766969596</v>
      </c>
      <c r="AK1882">
        <v>13.66530727932</v>
      </c>
    </row>
    <row r="1883" spans="1:37" x14ac:dyDescent="0.2">
      <c r="A1883" t="str">
        <f>"20200111155830815"</f>
        <v>20200111155830815</v>
      </c>
      <c r="B1883" t="str">
        <f>"1578729510802613"</f>
        <v>1578729510802613</v>
      </c>
      <c r="C1883" t="s">
        <v>37</v>
      </c>
      <c r="D1883">
        <v>5.6891350000000003</v>
      </c>
      <c r="E1883">
        <v>0.49911080000000002</v>
      </c>
      <c r="F1883" t="s">
        <v>52</v>
      </c>
      <c r="G1883">
        <v>-285.82819999999998</v>
      </c>
      <c r="H1883" s="1">
        <v>5.8496319999999999E-6</v>
      </c>
      <c r="I1883">
        <v>284.46190000000001</v>
      </c>
      <c r="J1883">
        <v>-272.47899999999998</v>
      </c>
      <c r="K1883">
        <v>1.1040319999999999</v>
      </c>
      <c r="L1883">
        <v>284.54079999999999</v>
      </c>
      <c r="M1883">
        <v>-0.99919059999999904</v>
      </c>
      <c r="N1883">
        <v>0</v>
      </c>
      <c r="O1883">
        <v>3.7547009999999999E-2</v>
      </c>
      <c r="P1883">
        <v>-0.99978699999999998</v>
      </c>
      <c r="Q1883">
        <v>-2.0624730000000001E-2</v>
      </c>
      <c r="R1883">
        <v>6.8345560000000001E-4</v>
      </c>
      <c r="S1883">
        <v>-2.9956669999999899</v>
      </c>
      <c r="T1883">
        <v>-0.24290239999999999</v>
      </c>
      <c r="U1883">
        <v>-1.5136719999999999E-2</v>
      </c>
      <c r="V1883">
        <v>-3.6863159999999999E-2</v>
      </c>
      <c r="W1883">
        <v>-6.1839240000000004E-3</v>
      </c>
      <c r="X1883">
        <v>0.999301199999999</v>
      </c>
      <c r="Y1883">
        <v>-4.233754E-2</v>
      </c>
      <c r="Z1883">
        <v>-4.7529670000000003E-3</v>
      </c>
      <c r="AA1883">
        <v>0.99909199999999998</v>
      </c>
      <c r="AB1883">
        <v>32</v>
      </c>
      <c r="AC1883">
        <v>-13.3491999999999</v>
      </c>
      <c r="AD1883">
        <v>-1.104026150368</v>
      </c>
      <c r="AE1883">
        <v>-7.8899999999975906E-2</v>
      </c>
      <c r="AF1883">
        <v>-0.57617827578859704</v>
      </c>
      <c r="AG1883">
        <v>-1.104026150368</v>
      </c>
      <c r="AH1883">
        <v>13.246222887345001</v>
      </c>
      <c r="AI1883">
        <v>94.759910044807995</v>
      </c>
      <c r="AJ1883">
        <v>92.490656165932606</v>
      </c>
      <c r="AK1883">
        <v>13.3046336261999</v>
      </c>
    </row>
    <row r="1884" spans="1:37" x14ac:dyDescent="0.2">
      <c r="A1884" t="str">
        <f>"20200111155830838"</f>
        <v>20200111155830838</v>
      </c>
      <c r="B1884" t="str">
        <f>"1578729510832496"</f>
        <v>1578729510832496</v>
      </c>
      <c r="C1884" t="s">
        <v>37</v>
      </c>
      <c r="D1884">
        <v>5.73231</v>
      </c>
      <c r="E1884">
        <v>0.49951200000000001</v>
      </c>
      <c r="F1884" t="s">
        <v>52</v>
      </c>
      <c r="G1884">
        <v>-286.00200000000001</v>
      </c>
      <c r="H1884" s="1">
        <v>5.7679909999999899E-6</v>
      </c>
      <c r="I1884">
        <v>284.48379999999997</v>
      </c>
      <c r="J1884">
        <v>-272.8032</v>
      </c>
      <c r="K1884">
        <v>1.10407099999999</v>
      </c>
      <c r="L1884">
        <v>284.5532</v>
      </c>
      <c r="M1884">
        <v>-0.99918490000000004</v>
      </c>
      <c r="N1884">
        <v>0</v>
      </c>
      <c r="O1884">
        <v>3.769923E-2</v>
      </c>
      <c r="P1884">
        <v>-0.99981059999999999</v>
      </c>
      <c r="Q1884">
        <v>-1.9441770000000001E-2</v>
      </c>
      <c r="R1884">
        <v>8.1525969999999995E-4</v>
      </c>
      <c r="S1884">
        <v>-2.9956360000000002</v>
      </c>
      <c r="T1884">
        <v>-0.24456439999999999</v>
      </c>
      <c r="U1884">
        <v>-1.2634279999999999E-2</v>
      </c>
      <c r="V1884">
        <v>-3.6883409999999998E-2</v>
      </c>
      <c r="W1884">
        <v>-5.0066219999999996E-3</v>
      </c>
      <c r="X1884">
        <v>0.99930699999999995</v>
      </c>
      <c r="Y1884">
        <v>-4.165336E-2</v>
      </c>
      <c r="Z1884">
        <v>-4.7699459999999997E-3</v>
      </c>
      <c r="AA1884">
        <v>0.99912069999999997</v>
      </c>
      <c r="AB1884">
        <v>32</v>
      </c>
      <c r="AC1884">
        <v>-13.1988</v>
      </c>
      <c r="AD1884">
        <v>-1.1040652320090001</v>
      </c>
      <c r="AE1884">
        <v>-6.9400000000030104E-2</v>
      </c>
      <c r="AF1884">
        <v>-0.56304747166589597</v>
      </c>
      <c r="AG1884">
        <v>-1.1040652320090001</v>
      </c>
      <c r="AH1884">
        <v>13.095172607848401</v>
      </c>
      <c r="AI1884">
        <v>94.814831318988695</v>
      </c>
      <c r="AJ1884">
        <v>92.462005419120899</v>
      </c>
      <c r="AK1884">
        <v>13.153688764799901</v>
      </c>
    </row>
    <row r="1885" spans="1:37" x14ac:dyDescent="0.2">
      <c r="A1885" t="str">
        <f>"20200111155830861"</f>
        <v>20200111155830861</v>
      </c>
      <c r="B1885" t="str">
        <f>"1578729510852992"</f>
        <v>1578729510852992</v>
      </c>
      <c r="C1885" t="s">
        <v>37</v>
      </c>
      <c r="D1885">
        <v>5.7541419999999999</v>
      </c>
      <c r="E1885">
        <v>0.49981609999999999</v>
      </c>
      <c r="F1885" t="s">
        <v>52</v>
      </c>
      <c r="G1885">
        <v>-286.33370000000002</v>
      </c>
      <c r="H1885" s="1">
        <v>5.6152419999999999E-6</v>
      </c>
      <c r="I1885">
        <v>284.5111</v>
      </c>
      <c r="J1885">
        <v>-273.13499999999999</v>
      </c>
      <c r="K1885">
        <v>1.1041129999999999</v>
      </c>
      <c r="L1885">
        <v>284.5659</v>
      </c>
      <c r="M1885">
        <v>-0.99918090000000004</v>
      </c>
      <c r="N1885">
        <v>0</v>
      </c>
      <c r="O1885">
        <v>3.7810980000000001E-2</v>
      </c>
      <c r="P1885">
        <v>-0.99985869999999999</v>
      </c>
      <c r="Q1885">
        <v>-1.6789930000000002E-2</v>
      </c>
      <c r="R1885">
        <v>9.3482109999999999E-4</v>
      </c>
      <c r="S1885">
        <v>-2.9957889999999998</v>
      </c>
      <c r="T1885">
        <v>-0.24445059999999999</v>
      </c>
      <c r="U1885">
        <v>-9.3078610000000006E-3</v>
      </c>
      <c r="V1885">
        <v>-3.6876140000000002E-2</v>
      </c>
      <c r="W1885">
        <v>-2.3663E-3</v>
      </c>
      <c r="X1885">
        <v>0.99931700000000001</v>
      </c>
      <c r="Y1885">
        <v>-4.0658689999999997E-2</v>
      </c>
      <c r="Z1885">
        <v>-4.7360700000000002E-3</v>
      </c>
      <c r="AA1885">
        <v>0.99916179999999999</v>
      </c>
      <c r="AB1885">
        <v>32</v>
      </c>
      <c r="AC1885">
        <v>-13.198700000000001</v>
      </c>
      <c r="AD1885">
        <v>-1.1041073847579901</v>
      </c>
      <c r="AE1885">
        <v>-5.4800000000000099E-2</v>
      </c>
      <c r="AF1885">
        <v>-0.55001961112836095</v>
      </c>
      <c r="AG1885">
        <v>-1.1041073847579901</v>
      </c>
      <c r="AH1885">
        <v>13.095549311764101</v>
      </c>
      <c r="AI1885">
        <v>94.815078927226494</v>
      </c>
      <c r="AJ1885">
        <v>92.405037822342393</v>
      </c>
      <c r="AK1885">
        <v>13.1535161256049</v>
      </c>
    </row>
    <row r="1886" spans="1:37" x14ac:dyDescent="0.2">
      <c r="A1886" t="str">
        <f>"20200111155831229"</f>
        <v>20200111155831229</v>
      </c>
      <c r="B1886" t="str">
        <f>"1578729511223257"</f>
        <v>1578729511223257</v>
      </c>
      <c r="C1886" t="s">
        <v>37</v>
      </c>
      <c r="D1886">
        <v>5.9885320000000002</v>
      </c>
      <c r="E1886">
        <v>0.49916640000000001</v>
      </c>
      <c r="F1886" t="s">
        <v>52</v>
      </c>
      <c r="G1886">
        <v>-287.017</v>
      </c>
      <c r="H1886" s="1">
        <v>5.3075170000000003E-6</v>
      </c>
      <c r="I1886">
        <v>284.53410000000002</v>
      </c>
      <c r="J1886">
        <v>-278.38380000000001</v>
      </c>
      <c r="K1886">
        <v>1.1055889999999999</v>
      </c>
      <c r="L1886">
        <v>284.7285</v>
      </c>
      <c r="M1886">
        <v>-0.99969739999999996</v>
      </c>
      <c r="N1886">
        <v>0</v>
      </c>
      <c r="O1886">
        <v>2.1657849999999999E-2</v>
      </c>
      <c r="P1886">
        <v>-0.9999133</v>
      </c>
      <c r="Q1886">
        <v>-1.311763E-2</v>
      </c>
      <c r="R1886">
        <v>-1.174839E-3</v>
      </c>
      <c r="S1886">
        <v>-2.996429</v>
      </c>
      <c r="T1886">
        <v>-0.23832220000000001</v>
      </c>
      <c r="U1886">
        <v>-6.8664549999999996E-3</v>
      </c>
      <c r="V1886">
        <v>-2.282592E-2</v>
      </c>
      <c r="W1886">
        <v>-1.548123E-3</v>
      </c>
      <c r="X1886">
        <v>0.99973829999999997</v>
      </c>
      <c r="Y1886">
        <v>-2.38067E-2</v>
      </c>
      <c r="Z1886">
        <v>-2.6651190000000001E-3</v>
      </c>
      <c r="AA1886">
        <v>0.99971299999999996</v>
      </c>
      <c r="AB1886">
        <v>32</v>
      </c>
      <c r="AC1886">
        <v>-8.6331999999999791</v>
      </c>
      <c r="AD1886">
        <v>-1.105583692483</v>
      </c>
      <c r="AE1886">
        <v>-0.19439999999997301</v>
      </c>
      <c r="AF1886">
        <v>-0.37519366794537201</v>
      </c>
      <c r="AG1886">
        <v>-1.105583692483</v>
      </c>
      <c r="AH1886">
        <v>8.4878355487057107</v>
      </c>
      <c r="AI1886">
        <v>97.414124464789197</v>
      </c>
      <c r="AJ1886">
        <v>92.531037325302194</v>
      </c>
      <c r="AK1886">
        <v>8.5677557091354508</v>
      </c>
    </row>
    <row r="1887" spans="1:37" x14ac:dyDescent="0.2">
      <c r="A1887" t="str">
        <f>"20200111155831251"</f>
        <v>20200111155831251</v>
      </c>
      <c r="B1887" t="str">
        <f>"1578729511242777"</f>
        <v>1578729511242777</v>
      </c>
      <c r="C1887" t="s">
        <v>37</v>
      </c>
      <c r="D1887">
        <v>5.9771859999999997</v>
      </c>
      <c r="E1887">
        <v>0.49878980000000001</v>
      </c>
      <c r="F1887" t="s">
        <v>38</v>
      </c>
      <c r="G1887">
        <v>-279.3485</v>
      </c>
      <c r="H1887">
        <v>1.0328469999999901</v>
      </c>
      <c r="I1887">
        <v>284.72219999999999</v>
      </c>
      <c r="J1887">
        <v>-278.70999999999998</v>
      </c>
      <c r="K1887">
        <v>1.1056189999999999</v>
      </c>
      <c r="L1887">
        <v>284.73329999999999</v>
      </c>
      <c r="M1887">
        <v>-0.99974689999999999</v>
      </c>
      <c r="N1887">
        <v>0</v>
      </c>
      <c r="O1887">
        <v>1.9364119999999999E-2</v>
      </c>
      <c r="P1887">
        <v>-0.99991749999999902</v>
      </c>
      <c r="Q1887">
        <v>-1.22617E-2</v>
      </c>
      <c r="R1887">
        <v>-3.8581039999999998E-3</v>
      </c>
      <c r="S1887">
        <v>-2.9973139999999998</v>
      </c>
      <c r="T1887">
        <v>-0.22600319999999999</v>
      </c>
      <c r="U1887">
        <v>-1.934814E-2</v>
      </c>
      <c r="V1887">
        <v>-2.321732E-2</v>
      </c>
      <c r="W1887">
        <v>-9.0216229999999997E-4</v>
      </c>
      <c r="X1887">
        <v>0.99973009999999995</v>
      </c>
      <c r="Y1887">
        <v>-2.5690910000000001E-2</v>
      </c>
      <c r="Z1887">
        <v>-2.4252470000000002E-3</v>
      </c>
      <c r="AA1887">
        <v>0.99966699999999997</v>
      </c>
      <c r="AB1887">
        <v>32</v>
      </c>
      <c r="AC1887">
        <v>-0.63850000000002105</v>
      </c>
      <c r="AD1887">
        <v>-7.2772000000000198E-2</v>
      </c>
      <c r="AE1887">
        <v>-1.1099999999999E-2</v>
      </c>
      <c r="AF1887">
        <v>-2.3161938956567801E-2</v>
      </c>
      <c r="AG1887">
        <v>-7.2772000000000198E-2</v>
      </c>
      <c r="AH1887">
        <v>0.62998432832972595</v>
      </c>
      <c r="AI1887">
        <v>96.584849610330906</v>
      </c>
      <c r="AJ1887">
        <v>92.1055823454342</v>
      </c>
      <c r="AK1887">
        <v>0.63459632313879899</v>
      </c>
    </row>
    <row r="1888" spans="1:37" x14ac:dyDescent="0.2">
      <c r="A1888" t="str">
        <f>"20200111155831274"</f>
        <v>20200111155831274</v>
      </c>
      <c r="B1888" t="str">
        <f>"1578729511263274"</f>
        <v>1578729511263274</v>
      </c>
      <c r="C1888" t="s">
        <v>37</v>
      </c>
      <c r="D1888">
        <v>5.9772829999999999</v>
      </c>
      <c r="E1888">
        <v>0.49848679999999901</v>
      </c>
      <c r="F1888" t="s">
        <v>52</v>
      </c>
      <c r="G1888">
        <v>-293.49650000000003</v>
      </c>
      <c r="H1888" s="1">
        <v>2.8288470000000002E-6</v>
      </c>
      <c r="I1888">
        <v>284.58330000000001</v>
      </c>
      <c r="J1888">
        <v>-279.0249</v>
      </c>
      <c r="K1888">
        <v>1.1056360000000001</v>
      </c>
      <c r="L1888">
        <v>284.73719999999997</v>
      </c>
      <c r="M1888">
        <v>-0.99978959999999995</v>
      </c>
      <c r="N1888">
        <v>0</v>
      </c>
      <c r="O1888">
        <v>1.7141110000000001E-2</v>
      </c>
      <c r="P1888">
        <v>-0.9999034</v>
      </c>
      <c r="Q1888">
        <v>-1.227495E-2</v>
      </c>
      <c r="R1888">
        <v>-6.5340930000000004E-3</v>
      </c>
      <c r="S1888">
        <v>-2.9973749999999999</v>
      </c>
      <c r="T1888">
        <v>-0.22412009999999999</v>
      </c>
      <c r="U1888">
        <v>-3.0395510000000001E-2</v>
      </c>
      <c r="V1888">
        <v>-2.3669229999999999E-2</v>
      </c>
      <c r="W1888">
        <v>-1.1048099999999999E-3</v>
      </c>
      <c r="X1888">
        <v>0.99971929999999998</v>
      </c>
      <c r="Y1888">
        <v>-2.7156369999999999E-2</v>
      </c>
      <c r="Z1888">
        <v>-2.293748E-3</v>
      </c>
      <c r="AA1888">
        <v>0.99962850000000003</v>
      </c>
      <c r="AB1888">
        <v>32</v>
      </c>
      <c r="AC1888">
        <v>-14.4716</v>
      </c>
      <c r="AD1888">
        <v>-1.1056331711530001</v>
      </c>
      <c r="AE1888">
        <v>-0.15389999999996401</v>
      </c>
      <c r="AF1888">
        <v>-0.39962010410271398</v>
      </c>
      <c r="AG1888">
        <v>-1.1056331711530001</v>
      </c>
      <c r="AH1888">
        <v>14.3828920665967</v>
      </c>
      <c r="AI1888">
        <v>94.394073292379005</v>
      </c>
      <c r="AJ1888">
        <v>91.591519713524804</v>
      </c>
      <c r="AK1888">
        <v>14.430859473230599</v>
      </c>
    </row>
    <row r="1889" spans="1:37" x14ac:dyDescent="0.2">
      <c r="A1889" t="str">
        <f>"20200111155831295"</f>
        <v>20200111155831295</v>
      </c>
      <c r="B1889" t="str">
        <f>"1578729511282793"</f>
        <v>1578729511282793</v>
      </c>
      <c r="C1889" t="s">
        <v>37</v>
      </c>
      <c r="D1889">
        <v>9.5647280000000006</v>
      </c>
      <c r="E1889">
        <v>0.49804799999999899</v>
      </c>
      <c r="F1889" t="s">
        <v>52</v>
      </c>
      <c r="G1889">
        <v>-293.5908</v>
      </c>
      <c r="H1889" s="1">
        <v>2.8497029999999999E-6</v>
      </c>
      <c r="I1889">
        <v>284.53629999999998</v>
      </c>
      <c r="J1889">
        <v>-279.3322</v>
      </c>
      <c r="K1889">
        <v>1.105626</v>
      </c>
      <c r="L1889">
        <v>284.74040000000002</v>
      </c>
      <c r="M1889">
        <v>-0.99982579999999999</v>
      </c>
      <c r="N1889">
        <v>0</v>
      </c>
      <c r="O1889">
        <v>1.5002329999999999E-2</v>
      </c>
      <c r="P1889">
        <v>-0.99988089999999996</v>
      </c>
      <c r="Q1889">
        <v>-1.289823E-2</v>
      </c>
      <c r="R1889">
        <v>-8.4962400000000004E-3</v>
      </c>
      <c r="S1889">
        <v>-2.997223</v>
      </c>
      <c r="T1889">
        <v>-0.22750599999999899</v>
      </c>
      <c r="U1889">
        <v>-4.1351319999999997E-2</v>
      </c>
      <c r="V1889">
        <v>-2.3488530000000001E-2</v>
      </c>
      <c r="W1889">
        <v>-1.897772E-3</v>
      </c>
      <c r="X1889">
        <v>0.99972229999999995</v>
      </c>
      <c r="Y1889">
        <v>-2.8669900000000002E-2</v>
      </c>
      <c r="Z1889">
        <v>-2.2236280000000001E-3</v>
      </c>
      <c r="AA1889">
        <v>0.99958649999999905</v>
      </c>
      <c r="AB1889">
        <v>32</v>
      </c>
      <c r="AC1889">
        <v>-14.258599999999999</v>
      </c>
      <c r="AD1889">
        <v>-1.105623150297</v>
      </c>
      <c r="AE1889">
        <v>-0.204100000000039</v>
      </c>
      <c r="AF1889">
        <v>-0.41550469770662102</v>
      </c>
      <c r="AG1889">
        <v>-1.105623150297</v>
      </c>
      <c r="AH1889">
        <v>14.1687596840324</v>
      </c>
      <c r="AI1889">
        <v>94.459979352029606</v>
      </c>
      <c r="AJ1889">
        <v>91.679740865104094</v>
      </c>
      <c r="AK1889">
        <v>14.217904124312801</v>
      </c>
    </row>
    <row r="1890" spans="1:37" x14ac:dyDescent="0.2">
      <c r="A1890" t="str">
        <f>"20200111155831317"</f>
        <v>20200111155831317</v>
      </c>
      <c r="B1890" t="str">
        <f>"1578729511313050"</f>
        <v>1578729511313050</v>
      </c>
      <c r="C1890" t="s">
        <v>37</v>
      </c>
      <c r="D1890">
        <v>5.9519570000000002</v>
      </c>
      <c r="E1890">
        <v>0.49765239999999999</v>
      </c>
      <c r="F1890" t="s">
        <v>52</v>
      </c>
      <c r="G1890">
        <v>-293.82060000000001</v>
      </c>
      <c r="H1890" s="1">
        <v>2.8941700000000002E-6</v>
      </c>
      <c r="I1890">
        <v>284.49380000000002</v>
      </c>
      <c r="J1890">
        <v>-279.66399999999999</v>
      </c>
      <c r="K1890">
        <v>1.105599</v>
      </c>
      <c r="L1890">
        <v>284.7432</v>
      </c>
      <c r="M1890">
        <v>-0.99985889999999999</v>
      </c>
      <c r="N1890">
        <v>0</v>
      </c>
      <c r="O1890">
        <v>1.27502E-2</v>
      </c>
      <c r="P1890">
        <v>-0.99985279999999999</v>
      </c>
      <c r="Q1890">
        <v>-1.3586600000000001E-2</v>
      </c>
      <c r="R1890">
        <v>-1.0479479999999999E-2</v>
      </c>
      <c r="S1890">
        <v>-2.9969790000000001</v>
      </c>
      <c r="T1890">
        <v>-0.22870219999999999</v>
      </c>
      <c r="U1890">
        <v>-5.1025389999999997E-2</v>
      </c>
      <c r="V1890">
        <v>-2.321581E-2</v>
      </c>
      <c r="W1890">
        <v>-2.752862E-3</v>
      </c>
      <c r="X1890">
        <v>0.99972669999999997</v>
      </c>
      <c r="Y1890">
        <v>-2.9647630000000001E-2</v>
      </c>
      <c r="Z1890">
        <v>-2.101056E-3</v>
      </c>
      <c r="AA1890">
        <v>0.99955819999999995</v>
      </c>
      <c r="AB1890">
        <v>32</v>
      </c>
      <c r="AC1890">
        <v>-14.156599999999999</v>
      </c>
      <c r="AD1890">
        <v>-1.1055961058299999</v>
      </c>
      <c r="AE1890">
        <v>-0.24939999999998</v>
      </c>
      <c r="AF1890">
        <v>-0.42728470237190203</v>
      </c>
      <c r="AG1890">
        <v>-1.1055961058299999</v>
      </c>
      <c r="AH1890">
        <v>14.066500805741301</v>
      </c>
      <c r="AI1890">
        <v>94.492020097557898</v>
      </c>
      <c r="AJ1890">
        <v>91.739884342105299</v>
      </c>
      <c r="AK1890">
        <v>14.1163507991276</v>
      </c>
    </row>
    <row r="1891" spans="1:37" x14ac:dyDescent="0.2">
      <c r="A1891" t="str">
        <f>"20200111155831341"</f>
        <v>20200111155831341</v>
      </c>
      <c r="B1891" t="str">
        <f>"1578729511333546"</f>
        <v>1578729511333546</v>
      </c>
      <c r="C1891" t="s">
        <v>37</v>
      </c>
      <c r="D1891">
        <v>5.9838620000000002</v>
      </c>
      <c r="E1891">
        <v>0.49752109999999899</v>
      </c>
      <c r="F1891" t="s">
        <v>52</v>
      </c>
      <c r="G1891">
        <v>-293.95490000000001</v>
      </c>
      <c r="H1891" s="1">
        <v>2.92129599999999E-6</v>
      </c>
      <c r="I1891">
        <v>284.45609999999999</v>
      </c>
      <c r="J1891">
        <v>-279.99560000000002</v>
      </c>
      <c r="K1891">
        <v>1.105561</v>
      </c>
      <c r="L1891">
        <v>284.74529999999999</v>
      </c>
      <c r="M1891">
        <v>-0.99988600000000005</v>
      </c>
      <c r="N1891">
        <v>0</v>
      </c>
      <c r="O1891">
        <v>1.0576169999999999E-2</v>
      </c>
      <c r="P1891">
        <v>-0.99983580000000005</v>
      </c>
      <c r="Q1891">
        <v>-1.3124129999999999E-2</v>
      </c>
      <c r="R1891">
        <v>-1.250802E-2</v>
      </c>
      <c r="S1891">
        <v>-2.9966740000000001</v>
      </c>
      <c r="T1891">
        <v>-0.23183400000000001</v>
      </c>
      <c r="U1891">
        <v>-6.0211180000000003E-2</v>
      </c>
      <c r="V1891">
        <v>-2.307186E-2</v>
      </c>
      <c r="W1891">
        <v>-2.4390100000000001E-3</v>
      </c>
      <c r="X1891">
        <v>0.99973080000000003</v>
      </c>
      <c r="Y1891">
        <v>-3.0539319999999998E-2</v>
      </c>
      <c r="Z1891">
        <v>-1.9964050000000001E-3</v>
      </c>
      <c r="AA1891">
        <v>0.99953159999999897</v>
      </c>
      <c r="AB1891">
        <v>32</v>
      </c>
      <c r="AC1891">
        <v>-13.959299999999899</v>
      </c>
      <c r="AD1891">
        <v>-1.105558078704</v>
      </c>
      <c r="AE1891">
        <v>-0.28919999999999302</v>
      </c>
      <c r="AF1891">
        <v>-0.43410659147202302</v>
      </c>
      <c r="AG1891">
        <v>-1.105558078704</v>
      </c>
      <c r="AH1891">
        <v>13.868508438353301</v>
      </c>
      <c r="AI1891">
        <v>94.555596483063894</v>
      </c>
      <c r="AJ1891">
        <v>91.792864543477506</v>
      </c>
      <c r="AK1891">
        <v>13.919275609845</v>
      </c>
    </row>
    <row r="1892" spans="1:37" x14ac:dyDescent="0.2">
      <c r="A1892" t="str">
        <f>"20200111155831384"</f>
        <v>20200111155831384</v>
      </c>
      <c r="B1892" t="str">
        <f>"1578729511372585"</f>
        <v>1578729511372585</v>
      </c>
      <c r="C1892" t="s">
        <v>37</v>
      </c>
      <c r="D1892">
        <v>6.011393</v>
      </c>
      <c r="E1892">
        <v>0.49716769999999999</v>
      </c>
      <c r="F1892" t="s">
        <v>52</v>
      </c>
      <c r="G1892">
        <v>-294.19029999999998</v>
      </c>
      <c r="H1892" s="1">
        <v>2.9657790000000001E-6</v>
      </c>
      <c r="I1892">
        <v>284.4248</v>
      </c>
      <c r="J1892">
        <v>-280.62740000000002</v>
      </c>
      <c r="K1892">
        <v>1.10545</v>
      </c>
      <c r="L1892">
        <v>284.74759999999998</v>
      </c>
      <c r="M1892">
        <v>-0.99992219999999998</v>
      </c>
      <c r="N1892">
        <v>0</v>
      </c>
      <c r="O1892">
        <v>6.677873E-3</v>
      </c>
      <c r="P1892">
        <v>-0.99978539999999905</v>
      </c>
      <c r="Q1892">
        <v>-1.307349E-2</v>
      </c>
      <c r="R1892">
        <v>-1.608824E-2</v>
      </c>
      <c r="S1892">
        <v>-2.9965820000000001</v>
      </c>
      <c r="T1892">
        <v>-0.23338979999999901</v>
      </c>
      <c r="U1892">
        <v>-6.7657469999999997E-2</v>
      </c>
      <c r="V1892">
        <v>-2.2753880000000001E-2</v>
      </c>
      <c r="W1892">
        <v>-2.6222569999999998E-3</v>
      </c>
      <c r="X1892">
        <v>0.99973769999999995</v>
      </c>
      <c r="Y1892">
        <v>-2.9140079999999999E-2</v>
      </c>
      <c r="Z1892">
        <v>-1.652225E-3</v>
      </c>
      <c r="AA1892">
        <v>0.99957389999999902</v>
      </c>
      <c r="AB1892">
        <v>32</v>
      </c>
      <c r="AC1892">
        <v>-13.5628999999999</v>
      </c>
      <c r="AD1892">
        <v>-1.1054470342210001</v>
      </c>
      <c r="AE1892">
        <v>-0.322799999999972</v>
      </c>
      <c r="AF1892">
        <v>-0.41064275616177698</v>
      </c>
      <c r="AG1892">
        <v>-1.1054470342210001</v>
      </c>
      <c r="AH1892">
        <v>13.4710032613742</v>
      </c>
      <c r="AI1892">
        <v>94.689081935387506</v>
      </c>
      <c r="AJ1892">
        <v>91.746032768385902</v>
      </c>
      <c r="AK1892">
        <v>13.5225208258893</v>
      </c>
    </row>
    <row r="1893" spans="1:37" x14ac:dyDescent="0.2">
      <c r="A1893" t="str">
        <f>"20200111155831473"</f>
        <v>20200111155831473</v>
      </c>
      <c r="B1893" t="str">
        <f>"1578729511463353"</f>
        <v>1578729511463353</v>
      </c>
      <c r="C1893" t="s">
        <v>37</v>
      </c>
      <c r="D1893">
        <v>5.9890019999999904</v>
      </c>
      <c r="E1893">
        <v>0.49720429999999999</v>
      </c>
      <c r="F1893" t="s">
        <v>52</v>
      </c>
      <c r="G1893">
        <v>-294.56909999999999</v>
      </c>
      <c r="H1893" s="1">
        <v>3.0379350000000001E-6</v>
      </c>
      <c r="I1893">
        <v>284.36799999999999</v>
      </c>
      <c r="J1893">
        <v>-281.91890000000001</v>
      </c>
      <c r="K1893">
        <v>1.1052219999999999</v>
      </c>
      <c r="L1893">
        <v>284.7457</v>
      </c>
      <c r="M1893">
        <v>-0.99994780000000005</v>
      </c>
      <c r="N1893">
        <v>0</v>
      </c>
      <c r="O1893">
        <v>-2.6675949999999999E-4</v>
      </c>
      <c r="P1893">
        <v>-0.99968179999999995</v>
      </c>
      <c r="Q1893">
        <v>-1.3739950000000001E-2</v>
      </c>
      <c r="R1893">
        <v>-2.1160379999999999E-2</v>
      </c>
      <c r="S1893">
        <v>-2.996216</v>
      </c>
      <c r="T1893">
        <v>-0.23757339999999999</v>
      </c>
      <c r="U1893">
        <v>-8.1573489999999999E-2</v>
      </c>
      <c r="V1893">
        <v>-2.0880780000000002E-2</v>
      </c>
      <c r="W1893">
        <v>-3.5968250000000001E-3</v>
      </c>
      <c r="X1893">
        <v>0.99977549999999904</v>
      </c>
      <c r="Y1893">
        <v>-2.6865320000000002E-2</v>
      </c>
      <c r="Z1893">
        <v>-1.04211E-3</v>
      </c>
      <c r="AA1893">
        <v>0.99963849999999999</v>
      </c>
      <c r="AB1893">
        <v>33</v>
      </c>
      <c r="AC1893">
        <v>-12.6501999999999</v>
      </c>
      <c r="AD1893">
        <v>-1.1052189620649999</v>
      </c>
      <c r="AE1893">
        <v>-0.37770000000000398</v>
      </c>
      <c r="AF1893">
        <v>-0.37149213248805402</v>
      </c>
      <c r="AG1893">
        <v>-1.1052189620649999</v>
      </c>
      <c r="AH1893">
        <v>12.5545552837294</v>
      </c>
      <c r="AI1893">
        <v>95.028777225075899</v>
      </c>
      <c r="AJ1893">
        <v>91.694900525257594</v>
      </c>
      <c r="AK1893">
        <v>12.6085833356022</v>
      </c>
    </row>
    <row r="1894" spans="1:37" x14ac:dyDescent="0.2">
      <c r="A1894" t="str">
        <f>"20200111155831496"</f>
        <v>20200111155831496</v>
      </c>
      <c r="B1894" t="str">
        <f>"1578729511492633"</f>
        <v>1578729511492633</v>
      </c>
      <c r="C1894" t="s">
        <v>37</v>
      </c>
      <c r="D1894">
        <v>6.27346</v>
      </c>
      <c r="E1894">
        <v>0.49771509999999902</v>
      </c>
      <c r="F1894" t="s">
        <v>52</v>
      </c>
      <c r="G1894">
        <v>-295.67450000000002</v>
      </c>
      <c r="H1894" s="1">
        <v>3.240064E-6</v>
      </c>
      <c r="I1894">
        <v>284.29880000000003</v>
      </c>
      <c r="J1894">
        <v>-282.24849999999998</v>
      </c>
      <c r="K1894">
        <v>1.105178</v>
      </c>
      <c r="L1894">
        <v>284.74400000000003</v>
      </c>
      <c r="M1894">
        <v>-0.99994669999999897</v>
      </c>
      <c r="N1894">
        <v>0</v>
      </c>
      <c r="O1894">
        <v>-1.852418E-3</v>
      </c>
      <c r="P1894">
        <v>-0.99964399999999998</v>
      </c>
      <c r="Q1894">
        <v>-1.237226E-2</v>
      </c>
      <c r="R1894">
        <v>-2.3643270000000001E-2</v>
      </c>
      <c r="S1894">
        <v>-2.9955750000000001</v>
      </c>
      <c r="T1894">
        <v>-0.24068629999999999</v>
      </c>
      <c r="U1894">
        <v>-9.732056E-2</v>
      </c>
      <c r="V1894">
        <v>-2.1783299999999998E-2</v>
      </c>
      <c r="W1894">
        <v>-2.2783870000000002E-3</v>
      </c>
      <c r="X1894">
        <v>0.99976010000000004</v>
      </c>
      <c r="Y1894">
        <v>-3.0527080000000002E-2</v>
      </c>
      <c r="Z1894">
        <v>-1.0755249999999999E-3</v>
      </c>
      <c r="AA1894">
        <v>0.99953340000000002</v>
      </c>
      <c r="AB1894">
        <v>33</v>
      </c>
      <c r="AC1894">
        <v>-13.426</v>
      </c>
      <c r="AD1894">
        <v>-1.105174759936</v>
      </c>
      <c r="AE1894">
        <v>-0.44519999999999899</v>
      </c>
      <c r="AF1894">
        <v>-0.41750153683741698</v>
      </c>
      <c r="AG1894">
        <v>-1.105174759936</v>
      </c>
      <c r="AH1894">
        <v>13.3365335963714</v>
      </c>
      <c r="AI1894">
        <v>94.734866273092607</v>
      </c>
      <c r="AJ1894">
        <v>91.793064601601998</v>
      </c>
      <c r="AK1894">
        <v>13.388758237805501</v>
      </c>
    </row>
    <row r="1895" spans="1:37" x14ac:dyDescent="0.2">
      <c r="A1895" t="str">
        <f>"20200111155831519"</f>
        <v>20200111155831519</v>
      </c>
      <c r="B1895" t="str">
        <f>"1578729511513487"</f>
        <v>1578729511513487</v>
      </c>
      <c r="C1895" t="s">
        <v>37</v>
      </c>
      <c r="D1895">
        <v>6.1124470000000004</v>
      </c>
      <c r="E1895">
        <v>0.55314229999999998</v>
      </c>
      <c r="F1895" t="s">
        <v>52</v>
      </c>
      <c r="G1895">
        <v>-296.2124</v>
      </c>
      <c r="H1895" s="1">
        <v>3.337667E-6</v>
      </c>
      <c r="I1895">
        <v>284.27390000000003</v>
      </c>
      <c r="J1895">
        <v>-282.59300000000002</v>
      </c>
      <c r="K1895">
        <v>1.105111</v>
      </c>
      <c r="L1895">
        <v>284.74180000000001</v>
      </c>
      <c r="M1895">
        <v>-0.99994280000000002</v>
      </c>
      <c r="N1895">
        <v>0</v>
      </c>
      <c r="O1895">
        <v>-3.423012E-3</v>
      </c>
      <c r="P1895">
        <v>-0.99958539999999996</v>
      </c>
      <c r="Q1895">
        <v>-1.2554340000000001E-2</v>
      </c>
      <c r="R1895">
        <v>-2.5916939999999999E-2</v>
      </c>
      <c r="S1895">
        <v>-2.9957579999999999</v>
      </c>
      <c r="T1895">
        <v>-0.23709939999999999</v>
      </c>
      <c r="U1895">
        <v>-0.10086059999999999</v>
      </c>
      <c r="V1895">
        <v>-2.2486929999999999E-2</v>
      </c>
      <c r="W1895">
        <v>-2.4914149999999999E-3</v>
      </c>
      <c r="X1895">
        <v>0.99974409999999903</v>
      </c>
      <c r="Y1895">
        <v>-3.014383E-2</v>
      </c>
      <c r="Z1895">
        <v>-9.2024469999999999E-4</v>
      </c>
      <c r="AA1895">
        <v>0.99954519999999902</v>
      </c>
      <c r="AB1895">
        <v>33</v>
      </c>
      <c r="AC1895">
        <v>-13.619399999999899</v>
      </c>
      <c r="AD1895">
        <v>-1.1051076623330001</v>
      </c>
      <c r="AE1895">
        <v>-0.46789999999998599</v>
      </c>
      <c r="AF1895">
        <v>-0.41852316568072001</v>
      </c>
      <c r="AG1895">
        <v>-1.1051076623330001</v>
      </c>
      <c r="AH1895">
        <v>13.531932006638501</v>
      </c>
      <c r="AI1895">
        <v>94.666572234818204</v>
      </c>
      <c r="AJ1895">
        <v>91.771511214396895</v>
      </c>
      <c r="AK1895">
        <v>13.583431393350001</v>
      </c>
    </row>
    <row r="1896" spans="1:37" x14ac:dyDescent="0.2">
      <c r="A1896" t="str">
        <f>"20200111155831542"</f>
        <v>20200111155831542</v>
      </c>
      <c r="B1896" t="str">
        <f>"1578729511533007"</f>
        <v>1578729511533007</v>
      </c>
      <c r="C1896" t="s">
        <v>37</v>
      </c>
      <c r="D1896">
        <v>6.0792080000000004</v>
      </c>
      <c r="E1896">
        <v>0.55650859999999902</v>
      </c>
      <c r="F1896" t="s">
        <v>38</v>
      </c>
      <c r="G1896">
        <v>-283.38720000000001</v>
      </c>
      <c r="H1896">
        <v>1.0236430000000001</v>
      </c>
      <c r="I1896">
        <v>284.82929999999999</v>
      </c>
      <c r="J1896">
        <v>-282.9282</v>
      </c>
      <c r="K1896">
        <v>1.1050389999999899</v>
      </c>
      <c r="L1896">
        <v>284.73910000000001</v>
      </c>
      <c r="M1896">
        <v>-0.99993690000000002</v>
      </c>
      <c r="N1896">
        <v>0</v>
      </c>
      <c r="O1896">
        <v>-4.8534149999999998E-3</v>
      </c>
      <c r="P1896">
        <v>-0.99955059999999996</v>
      </c>
      <c r="Q1896">
        <v>-1.4004320000000001E-2</v>
      </c>
      <c r="R1896">
        <v>-2.6508839999999999E-2</v>
      </c>
      <c r="S1896">
        <v>-3.0059809999999998</v>
      </c>
      <c r="T1896">
        <v>-0.308562</v>
      </c>
      <c r="U1896">
        <v>0.33059690000000003</v>
      </c>
      <c r="V1896">
        <v>-2.1644469999999999E-2</v>
      </c>
      <c r="W1896">
        <v>-3.9437140000000001E-3</v>
      </c>
      <c r="X1896">
        <v>0.99975789999999998</v>
      </c>
      <c r="Y1896">
        <v>0.11352909999999999</v>
      </c>
      <c r="Z1896">
        <v>6.2897129999999997E-3</v>
      </c>
      <c r="AA1896">
        <v>0.99351480000000003</v>
      </c>
      <c r="AB1896">
        <v>33</v>
      </c>
      <c r="AC1896">
        <v>-0.45900000000000302</v>
      </c>
      <c r="AD1896">
        <v>-8.1395999999999802E-2</v>
      </c>
      <c r="AE1896">
        <v>9.01999999999816E-2</v>
      </c>
      <c r="AF1896">
        <v>8.97105277304764E-2</v>
      </c>
      <c r="AG1896">
        <v>-8.1395999999999802E-2</v>
      </c>
      <c r="AH1896">
        <v>0.44508070741675998</v>
      </c>
      <c r="AI1896">
        <v>100.163666941451</v>
      </c>
      <c r="AJ1896">
        <v>78.604142231648595</v>
      </c>
      <c r="AK1896">
        <v>0.46127012012082902</v>
      </c>
    </row>
    <row r="1897" spans="1:37" x14ac:dyDescent="0.2">
      <c r="A1897" t="str">
        <f>"20200111155831565"</f>
        <v>20200111155831565</v>
      </c>
      <c r="B1897" t="str">
        <f>"1578729511553503"</f>
        <v>1578729511553503</v>
      </c>
      <c r="C1897" t="s">
        <v>37</v>
      </c>
      <c r="D1897">
        <v>6.0864079999999996</v>
      </c>
      <c r="E1897">
        <v>0.55692459999999999</v>
      </c>
      <c r="F1897" t="s">
        <v>38</v>
      </c>
      <c r="G1897">
        <v>-283.68220000000002</v>
      </c>
      <c r="H1897">
        <v>1.028151</v>
      </c>
      <c r="I1897">
        <v>284.82870000000003</v>
      </c>
      <c r="J1897">
        <v>-283.24099999999999</v>
      </c>
      <c r="K1897">
        <v>1.1049549999999999</v>
      </c>
      <c r="L1897">
        <v>284.7364</v>
      </c>
      <c r="M1897">
        <v>-0.99993009999999904</v>
      </c>
      <c r="N1897">
        <v>0</v>
      </c>
      <c r="O1897">
        <v>-6.0775909999999898E-3</v>
      </c>
      <c r="P1897">
        <v>-0.99952680000000005</v>
      </c>
      <c r="Q1897">
        <v>-1.4710610000000001E-2</v>
      </c>
      <c r="R1897">
        <v>-2.701839E-2</v>
      </c>
      <c r="S1897">
        <v>-3.0065</v>
      </c>
      <c r="T1897">
        <v>-0.30688330000000003</v>
      </c>
      <c r="U1897">
        <v>0.35607909999999998</v>
      </c>
      <c r="V1897">
        <v>-2.0929320000000001E-2</v>
      </c>
      <c r="W1897">
        <v>-4.6284200000000003E-3</v>
      </c>
      <c r="X1897">
        <v>0.99977019999999905</v>
      </c>
      <c r="Y1897">
        <v>0.1229865</v>
      </c>
      <c r="Z1897">
        <v>6.8556140000000003E-3</v>
      </c>
      <c r="AA1897">
        <v>0.99238470000000001</v>
      </c>
      <c r="AB1897">
        <v>33</v>
      </c>
      <c r="AC1897">
        <v>-0.44120000000003701</v>
      </c>
      <c r="AD1897">
        <v>-7.6803999999999803E-2</v>
      </c>
      <c r="AE1897">
        <v>9.2300000000022905E-2</v>
      </c>
      <c r="AF1897">
        <v>9.2300106151684699E-2</v>
      </c>
      <c r="AG1897">
        <v>-7.6803999999999803E-2</v>
      </c>
      <c r="AH1897">
        <v>0.42819890985573</v>
      </c>
      <c r="AI1897">
        <v>99.945038540979397</v>
      </c>
      <c r="AJ1897">
        <v>77.835768732648205</v>
      </c>
      <c r="AK1897">
        <v>0.44471616837399502</v>
      </c>
    </row>
    <row r="1898" spans="1:37" x14ac:dyDescent="0.2">
      <c r="A1898" t="str">
        <f>"20200111155831587"</f>
        <v>20200111155831587</v>
      </c>
      <c r="B1898" t="str">
        <f>"1578729511582783"</f>
        <v>1578729511582783</v>
      </c>
      <c r="C1898" t="s">
        <v>37</v>
      </c>
      <c r="D1898">
        <v>6.0634100000000002</v>
      </c>
      <c r="E1898">
        <v>0.55863359999999995</v>
      </c>
      <c r="F1898" t="s">
        <v>38</v>
      </c>
      <c r="G1898">
        <v>-283.97730000000001</v>
      </c>
      <c r="H1898">
        <v>1.0325549999999999</v>
      </c>
      <c r="I1898">
        <v>284.82420000000002</v>
      </c>
      <c r="J1898">
        <v>-283.57240000000002</v>
      </c>
      <c r="K1898">
        <v>1.1048439999999999</v>
      </c>
      <c r="L1898">
        <v>284.73320000000001</v>
      </c>
      <c r="M1898">
        <v>-0.99992219999999998</v>
      </c>
      <c r="N1898">
        <v>0</v>
      </c>
      <c r="O1898">
        <v>-7.2266639999999998E-3</v>
      </c>
      <c r="P1898">
        <v>-0.99949399999999999</v>
      </c>
      <c r="Q1898">
        <v>-1.5564420000000001E-2</v>
      </c>
      <c r="R1898">
        <v>-2.7741709999999999E-2</v>
      </c>
      <c r="S1898">
        <v>-3.0067439999999999</v>
      </c>
      <c r="T1898">
        <v>-0.29578499999999902</v>
      </c>
      <c r="U1898">
        <v>0.35870359999999901</v>
      </c>
      <c r="V1898">
        <v>-2.050304E-2</v>
      </c>
      <c r="W1898">
        <v>-5.4394209999999998E-3</v>
      </c>
      <c r="X1898">
        <v>0.99977499999999997</v>
      </c>
      <c r="Y1898">
        <v>0.12500319999999901</v>
      </c>
      <c r="Z1898">
        <v>6.8190269999999897E-3</v>
      </c>
      <c r="AA1898">
        <v>0.99213289999999998</v>
      </c>
      <c r="AB1898">
        <v>33</v>
      </c>
      <c r="AC1898">
        <v>-0.40489999999999698</v>
      </c>
      <c r="AD1898">
        <v>-7.22890000000002E-2</v>
      </c>
      <c r="AE1898">
        <v>9.1000000000008199E-2</v>
      </c>
      <c r="AF1898">
        <v>9.1157912083004E-2</v>
      </c>
      <c r="AG1898">
        <v>-7.22890000000002E-2</v>
      </c>
      <c r="AH1898">
        <v>0.392327649959752</v>
      </c>
      <c r="AI1898">
        <v>100.174873032815</v>
      </c>
      <c r="AJ1898">
        <v>76.919340365975302</v>
      </c>
      <c r="AK1898">
        <v>0.40921442958340798</v>
      </c>
    </row>
    <row r="1899" spans="1:37" x14ac:dyDescent="0.2">
      <c r="A1899" t="str">
        <f>"20200111155831609"</f>
        <v>20200111155831609</v>
      </c>
      <c r="B1899" t="str">
        <f>"1578729511603279"</f>
        <v>1578729511603279</v>
      </c>
      <c r="C1899" t="s">
        <v>37</v>
      </c>
      <c r="D1899">
        <v>6.1229420000000001</v>
      </c>
      <c r="E1899">
        <v>0.55967309999999904</v>
      </c>
      <c r="F1899" t="s">
        <v>38</v>
      </c>
      <c r="G1899">
        <v>-284.55380000000002</v>
      </c>
      <c r="H1899">
        <v>1.009422</v>
      </c>
      <c r="I1899">
        <v>284.85410000000002</v>
      </c>
      <c r="J1899">
        <v>-283.89749999999998</v>
      </c>
      <c r="K1899">
        <v>1.1047180000000001</v>
      </c>
      <c r="L1899">
        <v>284.72980000000001</v>
      </c>
      <c r="M1899">
        <v>-0.99991409999999903</v>
      </c>
      <c r="N1899">
        <v>0</v>
      </c>
      <c r="O1899">
        <v>-8.1830400000000008E-3</v>
      </c>
      <c r="P1899">
        <v>-0.99945409999999901</v>
      </c>
      <c r="Q1899">
        <v>-1.6287059999999999E-2</v>
      </c>
      <c r="R1899">
        <v>-2.874022E-2</v>
      </c>
      <c r="S1899">
        <v>-3.007263</v>
      </c>
      <c r="T1899">
        <v>-0.2923695</v>
      </c>
      <c r="U1899">
        <v>0.370697</v>
      </c>
      <c r="V1899">
        <v>-2.054539E-2</v>
      </c>
      <c r="W1899">
        <v>-6.107098E-3</v>
      </c>
      <c r="X1899">
        <v>0.9997703</v>
      </c>
      <c r="Y1899">
        <v>0.12981809999999999</v>
      </c>
      <c r="Z1899">
        <v>7.0629730000000002E-3</v>
      </c>
      <c r="AA1899">
        <v>0.99151270000000002</v>
      </c>
      <c r="AB1899">
        <v>33</v>
      </c>
      <c r="AC1899">
        <v>-0.65630000000004396</v>
      </c>
      <c r="AD1899">
        <v>-9.5296000000000006E-2</v>
      </c>
      <c r="AE1899">
        <v>0.124300000000005</v>
      </c>
      <c r="AF1899">
        <v>0.12708012337045599</v>
      </c>
      <c r="AG1899">
        <v>-9.5296000000000006E-2</v>
      </c>
      <c r="AH1899">
        <v>0.64219000521465297</v>
      </c>
      <c r="AI1899">
        <v>98.282338949041502</v>
      </c>
      <c r="AJ1899">
        <v>78.806604149316001</v>
      </c>
      <c r="AK1899">
        <v>0.66154265786073596</v>
      </c>
    </row>
    <row r="1900" spans="1:37" x14ac:dyDescent="0.2">
      <c r="A1900" t="str">
        <f>"20200111155831630"</f>
        <v>20200111155831630</v>
      </c>
      <c r="B1900" t="str">
        <f>"1578729511622799"</f>
        <v>1578729511622799</v>
      </c>
      <c r="C1900" t="s">
        <v>37</v>
      </c>
      <c r="D1900">
        <v>6.1426889999999998</v>
      </c>
      <c r="E1900">
        <v>0.5602182</v>
      </c>
      <c r="F1900" t="s">
        <v>38</v>
      </c>
      <c r="G1900">
        <v>-284.84879999999998</v>
      </c>
      <c r="H1900">
        <v>1.012122</v>
      </c>
      <c r="I1900">
        <v>284.84899999999999</v>
      </c>
      <c r="J1900">
        <v>-284.2244</v>
      </c>
      <c r="K1900">
        <v>1.104587</v>
      </c>
      <c r="L1900">
        <v>284.72620000000001</v>
      </c>
      <c r="M1900">
        <v>-0.99990669999999904</v>
      </c>
      <c r="N1900">
        <v>0</v>
      </c>
      <c r="O1900">
        <v>-8.9984550000000007E-3</v>
      </c>
      <c r="P1900">
        <v>-0.99936569999999902</v>
      </c>
      <c r="Q1900">
        <v>-1.7976539999999999E-2</v>
      </c>
      <c r="R1900">
        <v>-3.0746900000000001E-2</v>
      </c>
      <c r="S1900">
        <v>-3.0077210000000001</v>
      </c>
      <c r="T1900">
        <v>-0.29283290000000001</v>
      </c>
      <c r="U1900">
        <v>0.37622070000000002</v>
      </c>
      <c r="V1900">
        <v>-2.1736470000000001E-2</v>
      </c>
      <c r="W1900">
        <v>-7.7368879999999999E-3</v>
      </c>
      <c r="X1900">
        <v>0.99973380000000001</v>
      </c>
      <c r="Y1900">
        <v>0.13238369999999999</v>
      </c>
      <c r="Z1900">
        <v>7.2753009999999996E-3</v>
      </c>
      <c r="AA1900">
        <v>0.99117180000000005</v>
      </c>
      <c r="AB1900">
        <v>33</v>
      </c>
      <c r="AC1900">
        <v>-0.62439999999997997</v>
      </c>
      <c r="AD1900">
        <v>-9.2465000000000006E-2</v>
      </c>
      <c r="AE1900">
        <v>0.12279999999998301</v>
      </c>
      <c r="AF1900">
        <v>0.12575882693802201</v>
      </c>
      <c r="AG1900">
        <v>-9.2465000000000006E-2</v>
      </c>
      <c r="AH1900">
        <v>0.61038270333170597</v>
      </c>
      <c r="AI1900">
        <v>98.439436443513998</v>
      </c>
      <c r="AJ1900">
        <v>78.358099533891604</v>
      </c>
      <c r="AK1900">
        <v>0.63002547829778199</v>
      </c>
    </row>
    <row r="1901" spans="1:37" x14ac:dyDescent="0.2">
      <c r="A1901" t="str">
        <f>"20200111155831653"</f>
        <v>20200111155831653</v>
      </c>
      <c r="B1901" t="str">
        <f>"1578729511643295"</f>
        <v>1578729511643295</v>
      </c>
      <c r="C1901" t="s">
        <v>37</v>
      </c>
      <c r="D1901">
        <v>6.1109999999999998</v>
      </c>
      <c r="E1901">
        <v>0.56058569999999996</v>
      </c>
      <c r="F1901" t="s">
        <v>38</v>
      </c>
      <c r="G1901">
        <v>-285.14389999999997</v>
      </c>
      <c r="H1901">
        <v>1.0147329999999899</v>
      </c>
      <c r="I1901">
        <v>284.84100000000001</v>
      </c>
      <c r="J1901">
        <v>-284.54480000000001</v>
      </c>
      <c r="K1901">
        <v>1.10446</v>
      </c>
      <c r="L1901">
        <v>284.72250000000003</v>
      </c>
      <c r="M1901">
        <v>-0.99990000000000001</v>
      </c>
      <c r="N1901">
        <v>0</v>
      </c>
      <c r="O1901">
        <v>-9.6323940000000007E-3</v>
      </c>
      <c r="P1901">
        <v>-0.99930300000000005</v>
      </c>
      <c r="Q1901">
        <v>-1.9018609999999998E-2</v>
      </c>
      <c r="R1901">
        <v>-3.2125899999999999E-2</v>
      </c>
      <c r="S1901">
        <v>-3.0081180000000001</v>
      </c>
      <c r="T1901">
        <v>-0.29402299999999998</v>
      </c>
      <c r="U1901">
        <v>0.3751526</v>
      </c>
      <c r="V1901">
        <v>-2.2482809999999999E-2</v>
      </c>
      <c r="W1901">
        <v>-8.7044689999999994E-3</v>
      </c>
      <c r="X1901">
        <v>0.99970930000000002</v>
      </c>
      <c r="Y1901">
        <v>0.13264000000000001</v>
      </c>
      <c r="Z1901">
        <v>7.3779850000000001E-3</v>
      </c>
      <c r="AA1901">
        <v>0.99113680000000004</v>
      </c>
      <c r="AB1901">
        <v>33</v>
      </c>
      <c r="AC1901">
        <v>-0.59909999999996399</v>
      </c>
      <c r="AD1901">
        <v>-8.9727000000000098E-2</v>
      </c>
      <c r="AE1901">
        <v>0.11849999999998299</v>
      </c>
      <c r="AF1901">
        <v>0.12163981132688501</v>
      </c>
      <c r="AG1901">
        <v>-8.9727000000000098E-2</v>
      </c>
      <c r="AH1901">
        <v>0.58529625680258901</v>
      </c>
      <c r="AI1901">
        <v>98.5360718317622</v>
      </c>
      <c r="AJ1901">
        <v>78.259569840831603</v>
      </c>
      <c r="AK1901">
        <v>0.60449887217079501</v>
      </c>
    </row>
    <row r="1902" spans="1:37" x14ac:dyDescent="0.2">
      <c r="A1902" t="str">
        <f>"20200111155831675"</f>
        <v>20200111155831675</v>
      </c>
      <c r="B1902" t="str">
        <f>"1578729511662815"</f>
        <v>1578729511662815</v>
      </c>
      <c r="C1902" t="s">
        <v>37</v>
      </c>
      <c r="D1902">
        <v>6.0883799999999999</v>
      </c>
      <c r="E1902">
        <v>0.56093859999999995</v>
      </c>
      <c r="F1902" t="s">
        <v>38</v>
      </c>
      <c r="G1902">
        <v>-285.43880000000001</v>
      </c>
      <c r="H1902">
        <v>1.016519</v>
      </c>
      <c r="I1902">
        <v>284.83409999999998</v>
      </c>
      <c r="J1902">
        <v>-284.86849999999998</v>
      </c>
      <c r="K1902">
        <v>1.10433</v>
      </c>
      <c r="L1902">
        <v>284.71890000000002</v>
      </c>
      <c r="M1902">
        <v>-0.99989470000000003</v>
      </c>
      <c r="N1902">
        <v>0</v>
      </c>
      <c r="O1902">
        <v>-1.008265E-2</v>
      </c>
      <c r="P1902">
        <v>-0.99925599999999903</v>
      </c>
      <c r="Q1902">
        <v>-1.9649280000000002E-2</v>
      </c>
      <c r="R1902">
        <v>-3.3194199999999903E-2</v>
      </c>
      <c r="S1902">
        <v>-3.0084529999999998</v>
      </c>
      <c r="T1902">
        <v>-0.29607</v>
      </c>
      <c r="U1902">
        <v>0.37442019999999998</v>
      </c>
      <c r="V1902">
        <v>-2.310384E-2</v>
      </c>
      <c r="W1902">
        <v>-9.2304819999999999E-3</v>
      </c>
      <c r="X1902">
        <v>0.99969050000000004</v>
      </c>
      <c r="Y1902">
        <v>0.13282289999999999</v>
      </c>
      <c r="Z1902">
        <v>7.4813930000000002E-3</v>
      </c>
      <c r="AA1902">
        <v>0.99111159999999998</v>
      </c>
      <c r="AB1902">
        <v>33</v>
      </c>
      <c r="AC1902">
        <v>-0.570300000000031</v>
      </c>
      <c r="AD1902">
        <v>-8.7811E-2</v>
      </c>
      <c r="AE1902">
        <v>0.115199999999958</v>
      </c>
      <c r="AF1902">
        <v>0.11825102838613701</v>
      </c>
      <c r="AG1902">
        <v>-8.7811E-2</v>
      </c>
      <c r="AH1902">
        <v>0.55643475572231005</v>
      </c>
      <c r="AI1902">
        <v>98.775078101458007</v>
      </c>
      <c r="AJ1902">
        <v>78.002249201179396</v>
      </c>
      <c r="AK1902">
        <v>0.57559857089044797</v>
      </c>
    </row>
    <row r="1903" spans="1:37" x14ac:dyDescent="0.2">
      <c r="A1903" t="str">
        <f>"20200111155831720"</f>
        <v>20200111155831720</v>
      </c>
      <c r="B1903" t="str">
        <f>"1578729511712591"</f>
        <v>1578729511712591</v>
      </c>
      <c r="C1903" t="s">
        <v>37</v>
      </c>
      <c r="D1903">
        <v>9.9126949999999994</v>
      </c>
      <c r="E1903">
        <v>0.55767009999999995</v>
      </c>
      <c r="F1903" t="s">
        <v>38</v>
      </c>
      <c r="G1903">
        <v>-285.73379999999997</v>
      </c>
      <c r="H1903">
        <v>1.0183249999999999</v>
      </c>
      <c r="I1903">
        <v>284.82659999999998</v>
      </c>
      <c r="J1903">
        <v>-285.54450000000003</v>
      </c>
      <c r="K1903">
        <v>1.104088</v>
      </c>
      <c r="L1903">
        <v>284.71140000000003</v>
      </c>
      <c r="M1903">
        <v>-0.99988690000000002</v>
      </c>
      <c r="N1903">
        <v>0</v>
      </c>
      <c r="O1903">
        <v>-1.038993E-2</v>
      </c>
      <c r="P1903">
        <v>-0.99928039999999996</v>
      </c>
      <c r="Q1903">
        <v>-1.7219140000000001E-2</v>
      </c>
      <c r="R1903">
        <v>-3.3797430000000003E-2</v>
      </c>
      <c r="S1903">
        <v>-3.0087890000000002</v>
      </c>
      <c r="T1903">
        <v>-0.29911320000000002</v>
      </c>
      <c r="U1903">
        <v>0.37408449999999999</v>
      </c>
      <c r="V1903">
        <v>-2.340944E-2</v>
      </c>
      <c r="W1903">
        <v>-6.3520139999999996E-3</v>
      </c>
      <c r="X1903">
        <v>0.99970579999999998</v>
      </c>
      <c r="Y1903">
        <v>0.13298889999999999</v>
      </c>
      <c r="Z1903">
        <v>7.5957100000000003E-3</v>
      </c>
      <c r="AA1903">
        <v>0.99108839999999998</v>
      </c>
      <c r="AB1903">
        <v>33</v>
      </c>
      <c r="AC1903">
        <v>-0.18929999999994601</v>
      </c>
      <c r="AD1903">
        <v>-8.5763000000000006E-2</v>
      </c>
      <c r="AE1903">
        <v>0.115199999999958</v>
      </c>
      <c r="AF1903">
        <v>0.10189789302280799</v>
      </c>
      <c r="AG1903">
        <v>-8.5763000000000006E-2</v>
      </c>
      <c r="AH1903">
        <v>0.16358947321888301</v>
      </c>
      <c r="AI1903">
        <v>113.98864978479</v>
      </c>
      <c r="AJ1903">
        <v>58.081723639229899</v>
      </c>
      <c r="AK1903">
        <v>0.21095020388593999</v>
      </c>
    </row>
    <row r="1904" spans="1:37" x14ac:dyDescent="0.2">
      <c r="A1904" t="str">
        <f>"20200111155831741"</f>
        <v>20200111155831741</v>
      </c>
      <c r="B1904" t="str">
        <f>"1578729511733087"</f>
        <v>1578729511733087</v>
      </c>
      <c r="C1904" t="s">
        <v>37</v>
      </c>
      <c r="D1904">
        <v>5.9445889999999997</v>
      </c>
      <c r="E1904">
        <v>0.55379769999999995</v>
      </c>
      <c r="F1904" t="s">
        <v>38</v>
      </c>
      <c r="G1904">
        <v>-286.32850000000002</v>
      </c>
      <c r="H1904">
        <v>1.032913</v>
      </c>
      <c r="I1904">
        <v>284.80200000000002</v>
      </c>
      <c r="J1904">
        <v>-285.85649999999998</v>
      </c>
      <c r="K1904">
        <v>1.103974</v>
      </c>
      <c r="L1904">
        <v>284.70830000000001</v>
      </c>
      <c r="M1904">
        <v>-0.99988519999999903</v>
      </c>
      <c r="N1904">
        <v>0</v>
      </c>
      <c r="O1904">
        <v>-1.0213119999999999E-2</v>
      </c>
      <c r="P1904">
        <v>-0.9993071</v>
      </c>
      <c r="Q1904">
        <v>-1.650445E-2</v>
      </c>
      <c r="R1904">
        <v>-3.3364690000000002E-2</v>
      </c>
      <c r="S1904">
        <v>-3.0092159999999999</v>
      </c>
      <c r="T1904">
        <v>-0.27323619999999998</v>
      </c>
      <c r="U1904">
        <v>0.34747309999999998</v>
      </c>
      <c r="V1904">
        <v>-2.3155499999999999E-2</v>
      </c>
      <c r="W1904">
        <v>-5.3113839999999997E-3</v>
      </c>
      <c r="X1904">
        <v>0.99971779999999999</v>
      </c>
      <c r="Y1904">
        <v>0.1243016</v>
      </c>
      <c r="Z1904">
        <v>6.53574E-3</v>
      </c>
      <c r="AA1904">
        <v>0.99222299999999997</v>
      </c>
      <c r="AB1904">
        <v>33</v>
      </c>
      <c r="AC1904">
        <v>-0.472000000000036</v>
      </c>
      <c r="AD1904">
        <v>-7.1060999999999999E-2</v>
      </c>
      <c r="AE1904">
        <v>9.3700000000012496E-2</v>
      </c>
      <c r="AF1904">
        <v>9.6413535283889296E-2</v>
      </c>
      <c r="AG1904">
        <v>-7.1060999999999999E-2</v>
      </c>
      <c r="AH1904">
        <v>0.46096614846093598</v>
      </c>
      <c r="AI1904">
        <v>98.580716237283099</v>
      </c>
      <c r="AJ1904">
        <v>78.186579653538899</v>
      </c>
      <c r="AK1904">
        <v>0.47627200792598301</v>
      </c>
    </row>
    <row r="1905" spans="1:37" x14ac:dyDescent="0.2">
      <c r="A1905" t="str">
        <f>"20200111155831756"</f>
        <v>20200111155831756</v>
      </c>
      <c r="B1905" t="str">
        <f>"1578729511752608"</f>
        <v>1578729511752608</v>
      </c>
      <c r="C1905" t="s">
        <v>37</v>
      </c>
      <c r="D1905">
        <v>6.0469410000000003</v>
      </c>
      <c r="E1905">
        <v>0.55113659999999998</v>
      </c>
      <c r="F1905" t="s">
        <v>38</v>
      </c>
      <c r="G1905">
        <v>-286.62369999999999</v>
      </c>
      <c r="H1905">
        <v>1.0366580000000001</v>
      </c>
      <c r="I1905">
        <v>284.78969999999998</v>
      </c>
      <c r="J1905">
        <v>-286.06479999999999</v>
      </c>
      <c r="K1905">
        <v>1.1038809999999999</v>
      </c>
      <c r="L1905">
        <v>284.7063</v>
      </c>
      <c r="M1905">
        <v>-0.99988539999999904</v>
      </c>
      <c r="N1905">
        <v>0</v>
      </c>
      <c r="O1905">
        <v>-9.9557759999999995E-3</v>
      </c>
      <c r="P1905">
        <v>-0.99931109999999901</v>
      </c>
      <c r="Q1905">
        <v>-1.7102619999999999E-2</v>
      </c>
      <c r="R1905">
        <v>-3.2943229999999997E-2</v>
      </c>
      <c r="S1905">
        <v>-3.008362</v>
      </c>
      <c r="T1905">
        <v>-0.26415109999999897</v>
      </c>
      <c r="U1905">
        <v>0.3179321</v>
      </c>
      <c r="V1905">
        <v>-2.29929E-2</v>
      </c>
      <c r="W1905">
        <v>-5.6837930000000004E-3</v>
      </c>
      <c r="X1905">
        <v>0.99971949999999998</v>
      </c>
      <c r="Y1905">
        <v>0.1145198</v>
      </c>
      <c r="Z1905">
        <v>5.8744819999999899E-3</v>
      </c>
      <c r="AA1905">
        <v>0.99340360000000005</v>
      </c>
      <c r="AB1905">
        <v>33</v>
      </c>
      <c r="AC1905">
        <v>-0.55889999999999396</v>
      </c>
      <c r="AD1905">
        <v>-6.7222999999999797E-2</v>
      </c>
      <c r="AE1905">
        <v>8.3399999999983196E-2</v>
      </c>
      <c r="AF1905">
        <v>8.7719151708305299E-2</v>
      </c>
      <c r="AG1905">
        <v>-6.7222999999999797E-2</v>
      </c>
      <c r="AH1905">
        <v>0.55025498569211295</v>
      </c>
      <c r="AI1905">
        <v>96.879125009723097</v>
      </c>
      <c r="AJ1905">
        <v>80.942381738393607</v>
      </c>
      <c r="AK1905">
        <v>0.56124337910077104</v>
      </c>
    </row>
    <row r="1906" spans="1:37" x14ac:dyDescent="0.2">
      <c r="A1906" t="str">
        <f>"20200111155831770"</f>
        <v>20200111155831770</v>
      </c>
      <c r="B1906" t="str">
        <f>"1578729511763344"</f>
        <v>1578729511763344</v>
      </c>
      <c r="C1906" t="s">
        <v>37</v>
      </c>
      <c r="D1906">
        <v>6.055021</v>
      </c>
      <c r="E1906">
        <v>0.55014219999999903</v>
      </c>
      <c r="F1906" t="s">
        <v>38</v>
      </c>
      <c r="G1906">
        <v>-286.91410000000002</v>
      </c>
      <c r="H1906">
        <v>1.030513</v>
      </c>
      <c r="I1906">
        <v>284.79070000000002</v>
      </c>
      <c r="J1906">
        <v>-286.26870000000002</v>
      </c>
      <c r="K1906">
        <v>1.1037809999999999</v>
      </c>
      <c r="L1906">
        <v>284.7045</v>
      </c>
      <c r="M1906">
        <v>-0.99988619999999995</v>
      </c>
      <c r="N1906">
        <v>0</v>
      </c>
      <c r="O1906">
        <v>-9.6224380000000005E-3</v>
      </c>
      <c r="P1906">
        <v>-0.99932030000000005</v>
      </c>
      <c r="Q1906">
        <v>-1.7576359999999999E-2</v>
      </c>
      <c r="R1906">
        <v>-3.2407650000000003E-2</v>
      </c>
      <c r="S1906">
        <v>-3.0074459999999998</v>
      </c>
      <c r="T1906">
        <v>-0.25988939999999999</v>
      </c>
      <c r="U1906">
        <v>0.2983093</v>
      </c>
      <c r="V1906">
        <v>-2.2792650000000001E-2</v>
      </c>
      <c r="W1906">
        <v>-5.9401669999999997E-3</v>
      </c>
      <c r="X1906">
        <v>0.99972249999999996</v>
      </c>
      <c r="Y1906">
        <v>0.1078438</v>
      </c>
      <c r="Z1906">
        <v>5.467792E-3</v>
      </c>
      <c r="AA1906">
        <v>0.99415279999999995</v>
      </c>
      <c r="AB1906">
        <v>33</v>
      </c>
      <c r="AC1906">
        <v>-0.64539999999999498</v>
      </c>
      <c r="AD1906">
        <v>-7.3267999999999806E-2</v>
      </c>
      <c r="AE1906">
        <v>8.6200000000019303E-2</v>
      </c>
      <c r="AF1906">
        <v>9.1251352442921499E-2</v>
      </c>
      <c r="AG1906">
        <v>-7.3267999999999806E-2</v>
      </c>
      <c r="AH1906">
        <v>0.63648166805057804</v>
      </c>
      <c r="AI1906">
        <v>96.500754765725205</v>
      </c>
      <c r="AJ1906">
        <v>81.841193207320899</v>
      </c>
      <c r="AK1906">
        <v>0.64715061841205701</v>
      </c>
    </row>
    <row r="1907" spans="1:37" x14ac:dyDescent="0.2">
      <c r="A1907" t="str">
        <f>"20200111155831786"</f>
        <v>20200111155831786</v>
      </c>
      <c r="B1907" t="str">
        <f>"1578729511782863"</f>
        <v>1578729511782863</v>
      </c>
      <c r="C1907" t="s">
        <v>37</v>
      </c>
      <c r="D1907">
        <v>6.2107950000000001</v>
      </c>
      <c r="E1907">
        <v>0.54845319999999997</v>
      </c>
      <c r="F1907" t="s">
        <v>38</v>
      </c>
      <c r="G1907">
        <v>-287.20330000000001</v>
      </c>
      <c r="H1907">
        <v>1.022723</v>
      </c>
      <c r="I1907">
        <v>284.79539999999997</v>
      </c>
      <c r="J1907">
        <v>-286.51029999999997</v>
      </c>
      <c r="K1907">
        <v>1.1036509999999999</v>
      </c>
      <c r="L1907">
        <v>284.70260000000002</v>
      </c>
      <c r="M1907">
        <v>-0.99988829999999995</v>
      </c>
      <c r="N1907">
        <v>0</v>
      </c>
      <c r="O1907">
        <v>-9.1066250000000001E-3</v>
      </c>
      <c r="P1907">
        <v>-0.99932489999999996</v>
      </c>
      <c r="Q1907">
        <v>-1.787708E-2</v>
      </c>
      <c r="R1907">
        <v>-3.2101959999999999E-2</v>
      </c>
      <c r="S1907">
        <v>-3.0068969999999999</v>
      </c>
      <c r="T1907">
        <v>-0.26082630000000001</v>
      </c>
      <c r="U1907">
        <v>0.29205320000000001</v>
      </c>
      <c r="V1907">
        <v>-2.3005250000000001E-2</v>
      </c>
      <c r="W1907">
        <v>-5.9924990000000001E-3</v>
      </c>
      <c r="X1907">
        <v>0.99971739999999998</v>
      </c>
      <c r="Y1907">
        <v>0.1053077</v>
      </c>
      <c r="Z1907">
        <v>5.3348819999999896E-3</v>
      </c>
      <c r="AA1907">
        <v>0.99442540000000001</v>
      </c>
      <c r="AB1907">
        <v>33</v>
      </c>
      <c r="AC1907">
        <v>-0.69300000000004003</v>
      </c>
      <c r="AD1907">
        <v>-8.0927999999999806E-2</v>
      </c>
      <c r="AE1907">
        <v>9.2799999999954197E-2</v>
      </c>
      <c r="AF1907">
        <v>9.7797281094045299E-2</v>
      </c>
      <c r="AG1907">
        <v>-8.0927999999999806E-2</v>
      </c>
      <c r="AH1907">
        <v>0.68297617266407695</v>
      </c>
      <c r="AI1907">
        <v>96.6900369894379</v>
      </c>
      <c r="AJ1907">
        <v>81.851050558115006</v>
      </c>
      <c r="AK1907">
        <v>0.69467265801977496</v>
      </c>
    </row>
    <row r="1908" spans="1:37" x14ac:dyDescent="0.2">
      <c r="A1908" t="str">
        <f>"20200111155831810"</f>
        <v>20200111155831810</v>
      </c>
      <c r="B1908" t="str">
        <f>"1578729511803359"</f>
        <v>1578729511803359</v>
      </c>
      <c r="C1908" t="s">
        <v>37</v>
      </c>
      <c r="D1908">
        <v>6.1996500000000001</v>
      </c>
      <c r="E1908">
        <v>0.54690909999999904</v>
      </c>
      <c r="F1908" t="s">
        <v>38</v>
      </c>
      <c r="G1908">
        <v>-287.4932</v>
      </c>
      <c r="H1908">
        <v>1.016899</v>
      </c>
      <c r="I1908">
        <v>284.79399999999998</v>
      </c>
      <c r="J1908">
        <v>-286.85469999999998</v>
      </c>
      <c r="K1908">
        <v>1.10347</v>
      </c>
      <c r="L1908">
        <v>284.70030000000003</v>
      </c>
      <c r="M1908">
        <v>-0.99989269999999997</v>
      </c>
      <c r="N1908">
        <v>0</v>
      </c>
      <c r="O1908">
        <v>-8.13497E-3</v>
      </c>
      <c r="P1908">
        <v>-0.99934809999999996</v>
      </c>
      <c r="Q1908">
        <v>-1.792995E-2</v>
      </c>
      <c r="R1908">
        <v>-3.1337209999999997E-2</v>
      </c>
      <c r="S1908">
        <v>-3.0062869999999999</v>
      </c>
      <c r="T1908">
        <v>-0.26534439999999998</v>
      </c>
      <c r="U1908">
        <v>0.27941890000000003</v>
      </c>
      <c r="V1908">
        <v>-2.3214080000000002E-2</v>
      </c>
      <c r="W1908">
        <v>-5.7151349999999997E-3</v>
      </c>
      <c r="X1908">
        <v>0.9997142</v>
      </c>
      <c r="Y1908">
        <v>0.10022589999999899</v>
      </c>
      <c r="Z1908">
        <v>5.1203139999999999E-3</v>
      </c>
      <c r="AA1908">
        <v>0.99495149999999999</v>
      </c>
      <c r="AB1908">
        <v>33</v>
      </c>
      <c r="AC1908">
        <v>-0.63850000000002105</v>
      </c>
      <c r="AD1908">
        <v>-8.6571000000000106E-2</v>
      </c>
      <c r="AE1908">
        <v>9.3700000000012496E-2</v>
      </c>
      <c r="AF1908">
        <v>9.7143297993670399E-2</v>
      </c>
      <c r="AG1908">
        <v>-8.6571000000000106E-2</v>
      </c>
      <c r="AH1908">
        <v>0.62644326011821605</v>
      </c>
      <c r="AI1908">
        <v>97.776338929061296</v>
      </c>
      <c r="AJ1908">
        <v>81.185284207758897</v>
      </c>
      <c r="AK1908">
        <v>0.63981443914124503</v>
      </c>
    </row>
    <row r="1909" spans="1:37" x14ac:dyDescent="0.2">
      <c r="A1909" t="str">
        <f>"20200111155831823"</f>
        <v>20200111155831823</v>
      </c>
      <c r="B1909" t="str">
        <f>"1578729511813119"</f>
        <v>1578729511813119</v>
      </c>
      <c r="C1909" t="s">
        <v>37</v>
      </c>
      <c r="D1909">
        <v>6.1912310000000002</v>
      </c>
      <c r="E1909">
        <v>0.5462188</v>
      </c>
      <c r="F1909" t="s">
        <v>38</v>
      </c>
      <c r="G1909">
        <v>-287.78710000000001</v>
      </c>
      <c r="H1909">
        <v>1.0201849999999999</v>
      </c>
      <c r="I1909">
        <v>284.7842</v>
      </c>
      <c r="J1909">
        <v>-287.06130000000002</v>
      </c>
      <c r="K1909">
        <v>1.103362</v>
      </c>
      <c r="L1909">
        <v>284.69929999999999</v>
      </c>
      <c r="M1909">
        <v>-0.99989570000000005</v>
      </c>
      <c r="N1909">
        <v>0</v>
      </c>
      <c r="O1909">
        <v>-7.4623419999999899E-3</v>
      </c>
      <c r="P1909">
        <v>-0.99936480000000005</v>
      </c>
      <c r="Q1909">
        <v>-1.7623949999999999E-2</v>
      </c>
      <c r="R1909">
        <v>-3.097312E-2</v>
      </c>
      <c r="S1909">
        <v>-3.0055540000000001</v>
      </c>
      <c r="T1909">
        <v>-0.26852880000000001</v>
      </c>
      <c r="U1909">
        <v>0.2694397</v>
      </c>
      <c r="V1909">
        <v>-2.3523530000000001E-2</v>
      </c>
      <c r="W1909">
        <v>-5.221453E-3</v>
      </c>
      <c r="X1909">
        <v>0.99970969999999904</v>
      </c>
      <c r="Y1909">
        <v>9.6309679999999995E-2</v>
      </c>
      <c r="Z1909">
        <v>4.9494309999999998E-3</v>
      </c>
      <c r="AA1909">
        <v>0.99533909999999903</v>
      </c>
      <c r="AB1909">
        <v>33</v>
      </c>
      <c r="AC1909">
        <v>-0.72579999999999201</v>
      </c>
      <c r="AD1909">
        <v>-8.3177000000000001E-2</v>
      </c>
      <c r="AE1909">
        <v>8.4900000000004597E-2</v>
      </c>
      <c r="AF1909">
        <v>8.9159074094324997E-2</v>
      </c>
      <c r="AG1909">
        <v>-8.3177000000000001E-2</v>
      </c>
      <c r="AH1909">
        <v>0.71587136851363997</v>
      </c>
      <c r="AI1909">
        <v>96.577107258909507</v>
      </c>
      <c r="AJ1909">
        <v>82.900584673155095</v>
      </c>
      <c r="AK1909">
        <v>0.72618149940627696</v>
      </c>
    </row>
    <row r="1910" spans="1:37" x14ac:dyDescent="0.2">
      <c r="A1910" t="str">
        <f>"20200111155831842"</f>
        <v>20200111155831842</v>
      </c>
      <c r="B1910" t="str">
        <f>"1578729511832639"</f>
        <v>1578729511832639</v>
      </c>
      <c r="C1910" t="s">
        <v>37</v>
      </c>
      <c r="D1910">
        <v>6.2030789999999998</v>
      </c>
      <c r="E1910">
        <v>0.5449309</v>
      </c>
      <c r="F1910" t="s">
        <v>38</v>
      </c>
      <c r="G1910">
        <v>-287.7955</v>
      </c>
      <c r="H1910">
        <v>1.0376780000000001</v>
      </c>
      <c r="I1910">
        <v>284.76429999999999</v>
      </c>
      <c r="J1910">
        <v>-287.32589999999999</v>
      </c>
      <c r="K1910">
        <v>1.10324</v>
      </c>
      <c r="L1910">
        <v>284.69819999999999</v>
      </c>
      <c r="M1910">
        <v>-0.99989989999999995</v>
      </c>
      <c r="N1910">
        <v>0</v>
      </c>
      <c r="O1910">
        <v>-6.4724659999999996E-3</v>
      </c>
      <c r="P1910">
        <v>-0.99940680000000004</v>
      </c>
      <c r="Q1910">
        <v>-1.683045E-2</v>
      </c>
      <c r="R1910">
        <v>-3.0051390000000001E-2</v>
      </c>
      <c r="S1910">
        <v>-3.0053709999999998</v>
      </c>
      <c r="T1910">
        <v>-0.26898280000000002</v>
      </c>
      <c r="U1910">
        <v>0.2649841</v>
      </c>
      <c r="V1910">
        <v>-2.3590369999999999E-2</v>
      </c>
      <c r="W1910">
        <v>-4.206273E-3</v>
      </c>
      <c r="X1910">
        <v>0.99971290000000002</v>
      </c>
      <c r="Y1910">
        <v>9.3877489999999994E-2</v>
      </c>
      <c r="Z1910">
        <v>4.7617079999999999E-3</v>
      </c>
      <c r="AA1910">
        <v>0.99557240000000002</v>
      </c>
      <c r="AB1910">
        <v>33</v>
      </c>
      <c r="AC1910">
        <v>-0.46960000000001401</v>
      </c>
      <c r="AD1910">
        <v>-6.5561999999999898E-2</v>
      </c>
      <c r="AE1910">
        <v>6.6100000000005807E-2</v>
      </c>
      <c r="AF1910">
        <v>6.7841671335932302E-2</v>
      </c>
      <c r="AG1910">
        <v>-6.5561999999999898E-2</v>
      </c>
      <c r="AH1910">
        <v>0.46036339526139902</v>
      </c>
      <c r="AI1910">
        <v>98.019726953583302</v>
      </c>
      <c r="AJ1910">
        <v>81.616916615472505</v>
      </c>
      <c r="AK1910">
        <v>0.46993119061226002</v>
      </c>
    </row>
    <row r="1911" spans="1:37" x14ac:dyDescent="0.2">
      <c r="A1911" t="str">
        <f>"20200111155831857"</f>
        <v>20200111155831857</v>
      </c>
      <c r="B1911" t="str">
        <f>"1578729511853136"</f>
        <v>1578729511853136</v>
      </c>
      <c r="C1911" t="s">
        <v>37</v>
      </c>
      <c r="D1911">
        <v>6.1743949999999996</v>
      </c>
      <c r="E1911">
        <v>0.54382589999999997</v>
      </c>
      <c r="F1911" t="s">
        <v>38</v>
      </c>
      <c r="G1911">
        <v>-288.08629999999999</v>
      </c>
      <c r="H1911">
        <v>1.035253</v>
      </c>
      <c r="I1911">
        <v>284.76339999999999</v>
      </c>
      <c r="J1911">
        <v>-287.5367</v>
      </c>
      <c r="K1911">
        <v>1.103145</v>
      </c>
      <c r="L1911">
        <v>284.6977</v>
      </c>
      <c r="M1911">
        <v>-0.99990330000000005</v>
      </c>
      <c r="N1911">
        <v>0</v>
      </c>
      <c r="O1911">
        <v>-5.5901809999999996E-3</v>
      </c>
      <c r="P1911">
        <v>-0.99942569999999997</v>
      </c>
      <c r="Q1911">
        <v>-1.691312E-2</v>
      </c>
      <c r="R1911">
        <v>-2.9360939999999999E-2</v>
      </c>
      <c r="S1911">
        <v>-3.0050050000000001</v>
      </c>
      <c r="T1911">
        <v>-0.26868059999999899</v>
      </c>
      <c r="U1911">
        <v>0.25741579999999997</v>
      </c>
      <c r="V1911">
        <v>-2.378297E-2</v>
      </c>
      <c r="W1911">
        <v>-4.1258370000000003E-3</v>
      </c>
      <c r="X1911">
        <v>0.99970870000000001</v>
      </c>
      <c r="Y1911">
        <v>9.0537939999999997E-2</v>
      </c>
      <c r="Z1911">
        <v>4.5301409999999997E-3</v>
      </c>
      <c r="AA1911">
        <v>0.99588269999999901</v>
      </c>
      <c r="AB1911">
        <v>33</v>
      </c>
      <c r="AC1911">
        <v>-0.54959999999999798</v>
      </c>
      <c r="AD1911">
        <v>-6.7891999999999994E-2</v>
      </c>
      <c r="AE1911">
        <v>6.5699999999992501E-2</v>
      </c>
      <c r="AF1911">
        <v>6.7752277820993606E-2</v>
      </c>
      <c r="AG1911">
        <v>-6.7891999999999994E-2</v>
      </c>
      <c r="AH1911">
        <v>0.54108370167280895</v>
      </c>
      <c r="AI1911">
        <v>97.096913533562997</v>
      </c>
      <c r="AJ1911">
        <v>82.862804632869995</v>
      </c>
      <c r="AK1911">
        <v>0.54951912344329001</v>
      </c>
    </row>
    <row r="1912" spans="1:37" x14ac:dyDescent="0.2">
      <c r="A1912" t="str">
        <f>"20200111155831870"</f>
        <v>20200111155831870</v>
      </c>
      <c r="B1912" t="str">
        <f>"1578729511862895"</f>
        <v>1578729511862895</v>
      </c>
      <c r="C1912" t="s">
        <v>37</v>
      </c>
      <c r="D1912">
        <v>6.1367029999999998</v>
      </c>
      <c r="E1912">
        <v>0.54335900000000004</v>
      </c>
      <c r="F1912" t="s">
        <v>38</v>
      </c>
      <c r="G1912">
        <v>-288.37430000000001</v>
      </c>
      <c r="H1912">
        <v>1.0273729999999901</v>
      </c>
      <c r="I1912">
        <v>284.7679</v>
      </c>
      <c r="J1912">
        <v>-287.74400000000003</v>
      </c>
      <c r="K1912">
        <v>1.103051</v>
      </c>
      <c r="L1912">
        <v>284.69740000000002</v>
      </c>
      <c r="M1912">
        <v>-0.99990619999999997</v>
      </c>
      <c r="N1912">
        <v>0</v>
      </c>
      <c r="O1912">
        <v>-4.6631140000000003E-3</v>
      </c>
      <c r="P1912">
        <v>-0.99945930000000005</v>
      </c>
      <c r="Q1912">
        <v>-1.658834E-2</v>
      </c>
      <c r="R1912">
        <v>-2.8398050000000001E-2</v>
      </c>
      <c r="S1912">
        <v>-3.004486</v>
      </c>
      <c r="T1912">
        <v>-0.27191589999999999</v>
      </c>
      <c r="U1912">
        <v>0.25061039999999901</v>
      </c>
      <c r="V1912">
        <v>-2.374631E-2</v>
      </c>
      <c r="W1912">
        <v>-3.6503289999999999E-3</v>
      </c>
      <c r="X1912">
        <v>0.99971129999999997</v>
      </c>
      <c r="Y1912">
        <v>8.7396139999999997E-2</v>
      </c>
      <c r="Z1912">
        <v>4.3604500000000001E-3</v>
      </c>
      <c r="AA1912">
        <v>0.9961641</v>
      </c>
      <c r="AB1912">
        <v>33</v>
      </c>
      <c r="AC1912">
        <v>-0.63029999999997699</v>
      </c>
      <c r="AD1912">
        <v>-7.5678000000000106E-2</v>
      </c>
      <c r="AE1912">
        <v>7.04999999999813E-2</v>
      </c>
      <c r="AF1912">
        <v>7.2407706349718506E-2</v>
      </c>
      <c r="AG1912">
        <v>-7.5678000000000106E-2</v>
      </c>
      <c r="AH1912">
        <v>0.621120929976546</v>
      </c>
      <c r="AI1912">
        <v>96.9004601873133</v>
      </c>
      <c r="AJ1912">
        <v>83.350708001506305</v>
      </c>
      <c r="AK1912">
        <v>0.62988986757825904</v>
      </c>
    </row>
    <row r="1913" spans="1:37" x14ac:dyDescent="0.2">
      <c r="A1913" t="str">
        <f>"20200111155831888"</f>
        <v>20200111155831888</v>
      </c>
      <c r="B1913" t="str">
        <f>"1578729511883391"</f>
        <v>1578729511883391</v>
      </c>
      <c r="C1913" t="s">
        <v>37</v>
      </c>
      <c r="D1913">
        <v>6.14215</v>
      </c>
      <c r="E1913">
        <v>0.542404199999999</v>
      </c>
      <c r="F1913" t="s">
        <v>38</v>
      </c>
      <c r="G1913">
        <v>-288.66210000000001</v>
      </c>
      <c r="H1913">
        <v>1.019852</v>
      </c>
      <c r="I1913">
        <v>284.77379999999999</v>
      </c>
      <c r="J1913">
        <v>-287.98939999999999</v>
      </c>
      <c r="K1913">
        <v>1.1029500000000001</v>
      </c>
      <c r="L1913">
        <v>284.69729999999998</v>
      </c>
      <c r="M1913">
        <v>-0.99990889999999999</v>
      </c>
      <c r="N1913">
        <v>0</v>
      </c>
      <c r="O1913">
        <v>-3.4886559999999902E-3</v>
      </c>
      <c r="P1913">
        <v>-0.99948029999999999</v>
      </c>
      <c r="Q1913">
        <v>-1.7283929999999999E-2</v>
      </c>
      <c r="R1913">
        <v>-2.7212690000000001E-2</v>
      </c>
      <c r="S1913">
        <v>-3.0042110000000002</v>
      </c>
      <c r="T1913">
        <v>-0.27233979999999902</v>
      </c>
      <c r="U1913">
        <v>0.24972529999999901</v>
      </c>
      <c r="V1913">
        <v>-2.3737680000000001E-2</v>
      </c>
      <c r="W1913">
        <v>-4.1811030000000002E-3</v>
      </c>
      <c r="X1913">
        <v>0.99970949999999903</v>
      </c>
      <c r="Y1913">
        <v>8.595158E-2</v>
      </c>
      <c r="Z1913">
        <v>4.1963540000000002E-3</v>
      </c>
      <c r="AA1913">
        <v>0.99629049999999997</v>
      </c>
      <c r="AB1913">
        <v>33</v>
      </c>
      <c r="AC1913">
        <v>-0.67270000000001995</v>
      </c>
      <c r="AD1913">
        <v>-8.3098000000000102E-2</v>
      </c>
      <c r="AE1913">
        <v>7.6500000000009893E-2</v>
      </c>
      <c r="AF1913">
        <v>7.76763885259001E-2</v>
      </c>
      <c r="AG1913">
        <v>-8.3098000000000102E-2</v>
      </c>
      <c r="AH1913">
        <v>0.66244945987095405</v>
      </c>
      <c r="AI1913">
        <v>97.101713848167293</v>
      </c>
      <c r="AJ1913">
        <v>83.3122460157186</v>
      </c>
      <c r="AK1913">
        <v>0.67214446796930905</v>
      </c>
    </row>
    <row r="1914" spans="1:37" x14ac:dyDescent="0.2">
      <c r="A1914" t="str">
        <f>"20200111155831910"</f>
        <v>20200111155831910</v>
      </c>
      <c r="B1914" t="str">
        <f>"1578729511902911"</f>
        <v>1578729511902911</v>
      </c>
      <c r="C1914" t="s">
        <v>37</v>
      </c>
      <c r="D1914">
        <v>6.1319980000000003</v>
      </c>
      <c r="E1914">
        <v>0.54153180000000001</v>
      </c>
      <c r="F1914" t="s">
        <v>38</v>
      </c>
      <c r="G1914">
        <v>-288.95060000000001</v>
      </c>
      <c r="H1914">
        <v>1.014534</v>
      </c>
      <c r="I1914">
        <v>284.77620000000002</v>
      </c>
      <c r="J1914">
        <v>-288.32130000000001</v>
      </c>
      <c r="K1914">
        <v>1.1028279999999999</v>
      </c>
      <c r="L1914">
        <v>284.6979</v>
      </c>
      <c r="M1914">
        <v>-0.99991099999999999</v>
      </c>
      <c r="N1914">
        <v>0</v>
      </c>
      <c r="O1914">
        <v>-1.7846679999999899E-3</v>
      </c>
      <c r="P1914">
        <v>-0.99948009999999998</v>
      </c>
      <c r="Q1914">
        <v>-1.8890489999999999E-2</v>
      </c>
      <c r="R1914">
        <v>-2.6139860000000001E-2</v>
      </c>
      <c r="S1914">
        <v>-3.0035400000000001</v>
      </c>
      <c r="T1914">
        <v>-0.2763486</v>
      </c>
      <c r="U1914">
        <v>0.24560549999999901</v>
      </c>
      <c r="V1914">
        <v>-2.43739E-2</v>
      </c>
      <c r="W1914">
        <v>-5.5882029999999999E-3</v>
      </c>
      <c r="X1914">
        <v>0.99968729999999995</v>
      </c>
      <c r="Y1914">
        <v>8.2923319999999995E-2</v>
      </c>
      <c r="Z1914">
        <v>3.9640500000000002E-3</v>
      </c>
      <c r="AA1914">
        <v>0.99654809999999905</v>
      </c>
      <c r="AB1914">
        <v>33</v>
      </c>
      <c r="AC1914">
        <v>-0.62929999999999997</v>
      </c>
      <c r="AD1914">
        <v>-8.8294000000000095E-2</v>
      </c>
      <c r="AE1914">
        <v>7.8300000000012901E-2</v>
      </c>
      <c r="AF1914">
        <v>7.7912695518599903E-2</v>
      </c>
      <c r="AG1914">
        <v>-8.8294000000000095E-2</v>
      </c>
      <c r="AH1914">
        <v>0.617194674389557</v>
      </c>
      <c r="AI1914">
        <v>98.078067885537806</v>
      </c>
      <c r="AJ1914">
        <v>82.805219734672406</v>
      </c>
      <c r="AK1914">
        <v>0.62832752975960404</v>
      </c>
    </row>
    <row r="1915" spans="1:37" x14ac:dyDescent="0.2">
      <c r="A1915" t="str">
        <f>"20200111155831934"</f>
        <v>20200111155831934</v>
      </c>
      <c r="B1915" t="str">
        <f>"1578729511923406"</f>
        <v>1578729511923406</v>
      </c>
      <c r="C1915" t="s">
        <v>37</v>
      </c>
      <c r="D1915">
        <v>6.1160129999999997</v>
      </c>
      <c r="E1915">
        <v>0.541157</v>
      </c>
      <c r="F1915" t="s">
        <v>38</v>
      </c>
      <c r="G1915">
        <v>-289.24220000000003</v>
      </c>
      <c r="H1915">
        <v>1.015935</v>
      </c>
      <c r="I1915">
        <v>284.77199999999999</v>
      </c>
      <c r="J1915">
        <v>-288.65800000000002</v>
      </c>
      <c r="K1915">
        <v>1.102722</v>
      </c>
      <c r="L1915">
        <v>284.69920000000002</v>
      </c>
      <c r="M1915">
        <v>-0.99991030000000003</v>
      </c>
      <c r="N1915">
        <v>0</v>
      </c>
      <c r="O1915" s="1">
        <v>2.84834799999999E-5</v>
      </c>
      <c r="P1915">
        <v>-0.99948919999999997</v>
      </c>
      <c r="Q1915">
        <v>-2.0023949999999999E-2</v>
      </c>
      <c r="R1915">
        <v>-2.491237E-2</v>
      </c>
      <c r="S1915">
        <v>-3.0025019999999998</v>
      </c>
      <c r="T1915">
        <v>-0.28332759999999901</v>
      </c>
      <c r="U1915">
        <v>0.24176030000000001</v>
      </c>
      <c r="V1915">
        <v>-2.4962939999999999E-2</v>
      </c>
      <c r="W1915">
        <v>-6.544841E-3</v>
      </c>
      <c r="X1915">
        <v>0.99966690000000002</v>
      </c>
      <c r="Y1915">
        <v>7.9878989999999997E-2</v>
      </c>
      <c r="Z1915">
        <v>3.7517759999999901E-3</v>
      </c>
      <c r="AA1915">
        <v>0.9967975</v>
      </c>
      <c r="AB1915">
        <v>32</v>
      </c>
      <c r="AC1915">
        <v>-0.58420000000000905</v>
      </c>
      <c r="AD1915">
        <v>-8.6786999999999906E-2</v>
      </c>
      <c r="AE1915">
        <v>7.2799999999972401E-2</v>
      </c>
      <c r="AF1915">
        <v>7.1235293422934901E-2</v>
      </c>
      <c r="AG1915">
        <v>-8.6786999999999906E-2</v>
      </c>
      <c r="AH1915">
        <v>0.57177639265080105</v>
      </c>
      <c r="AI1915">
        <v>98.565527816052096</v>
      </c>
      <c r="AJ1915">
        <v>82.898344332474693</v>
      </c>
      <c r="AK1915">
        <v>0.582696055925227</v>
      </c>
    </row>
    <row r="1916" spans="1:37" x14ac:dyDescent="0.2">
      <c r="A1916" t="str">
        <f>"20200111155831954"</f>
        <v>20200111155831954</v>
      </c>
      <c r="B1916" t="str">
        <f>"1578729511942927"</f>
        <v>1578729511942927</v>
      </c>
      <c r="C1916" t="s">
        <v>37</v>
      </c>
      <c r="D1916">
        <v>6.109915</v>
      </c>
      <c r="E1916">
        <v>0.54036719999999905</v>
      </c>
      <c r="F1916" t="s">
        <v>38</v>
      </c>
      <c r="G1916">
        <v>-289.53390000000002</v>
      </c>
      <c r="H1916">
        <v>1.0185930000000001</v>
      </c>
      <c r="I1916">
        <v>284.77010000000001</v>
      </c>
      <c r="J1916">
        <v>-288.96039999999999</v>
      </c>
      <c r="K1916">
        <v>1.102652</v>
      </c>
      <c r="L1916">
        <v>284.70089999999999</v>
      </c>
      <c r="M1916">
        <v>-0.99990709999999905</v>
      </c>
      <c r="N1916">
        <v>0</v>
      </c>
      <c r="O1916">
        <v>1.7072400000000001E-3</v>
      </c>
      <c r="P1916">
        <v>-0.99951309999999904</v>
      </c>
      <c r="Q1916">
        <v>-2.099264E-2</v>
      </c>
      <c r="R1916">
        <v>-2.309342E-2</v>
      </c>
      <c r="S1916">
        <v>-3.0018310000000001</v>
      </c>
      <c r="T1916">
        <v>-0.28837479999999999</v>
      </c>
      <c r="U1916">
        <v>0.2422791</v>
      </c>
      <c r="V1916">
        <v>-2.482647E-2</v>
      </c>
      <c r="W1916">
        <v>-7.3770090000000003E-3</v>
      </c>
      <c r="X1916">
        <v>0.99966449999999996</v>
      </c>
      <c r="Y1916">
        <v>7.8396090000000002E-2</v>
      </c>
      <c r="Z1916">
        <v>3.5875270000000001E-3</v>
      </c>
      <c r="AA1916">
        <v>0.99691580000000002</v>
      </c>
      <c r="AB1916">
        <v>32</v>
      </c>
      <c r="AC1916">
        <v>-0.57350000000002399</v>
      </c>
      <c r="AD1916">
        <v>-8.4058999999999801E-2</v>
      </c>
      <c r="AE1916">
        <v>6.9200000000023396E-2</v>
      </c>
      <c r="AF1916">
        <v>6.6806086395520395E-2</v>
      </c>
      <c r="AG1916">
        <v>-8.4058999999999801E-2</v>
      </c>
      <c r="AH1916">
        <v>0.56172281690567305</v>
      </c>
      <c r="AI1916">
        <v>98.452174392878604</v>
      </c>
      <c r="AJ1916">
        <v>83.217631014185201</v>
      </c>
      <c r="AK1916">
        <v>0.57189290229284195</v>
      </c>
    </row>
    <row r="1917" spans="1:37" x14ac:dyDescent="0.2">
      <c r="A1917" t="str">
        <f>"20200111155831977"</f>
        <v>20200111155831977</v>
      </c>
      <c r="B1917" t="str">
        <f>"1578729511973184"</f>
        <v>1578729511973184</v>
      </c>
      <c r="C1917" t="s">
        <v>37</v>
      </c>
      <c r="D1917">
        <v>9.2411510000000003</v>
      </c>
      <c r="E1917">
        <v>0.53949419999999904</v>
      </c>
      <c r="F1917" t="s">
        <v>38</v>
      </c>
      <c r="G1917">
        <v>-289.82440000000003</v>
      </c>
      <c r="H1917">
        <v>1.019226</v>
      </c>
      <c r="I1917">
        <v>284.7704</v>
      </c>
      <c r="J1917">
        <v>-289.2833</v>
      </c>
      <c r="K1917">
        <v>1.102609</v>
      </c>
      <c r="L1917">
        <v>284.70330000000001</v>
      </c>
      <c r="M1917">
        <v>-0.99990069999999998</v>
      </c>
      <c r="N1917">
        <v>0</v>
      </c>
      <c r="O1917">
        <v>3.5332419999999998E-3</v>
      </c>
      <c r="P1917">
        <v>-0.99954030000000005</v>
      </c>
      <c r="Q1917">
        <v>-2.1943509999999999E-2</v>
      </c>
      <c r="R1917">
        <v>-2.092919E-2</v>
      </c>
      <c r="S1917">
        <v>-3.0009769999999998</v>
      </c>
      <c r="T1917">
        <v>-0.2897382</v>
      </c>
      <c r="U1917">
        <v>0.24148559999999999</v>
      </c>
      <c r="V1917">
        <v>-2.4491679999999998E-2</v>
      </c>
      <c r="W1917">
        <v>-8.2055400000000007E-3</v>
      </c>
      <c r="X1917">
        <v>0.99966630000000001</v>
      </c>
      <c r="Y1917">
        <v>7.6350639999999997E-2</v>
      </c>
      <c r="Z1917">
        <v>3.331498E-3</v>
      </c>
      <c r="AA1917">
        <v>0.99707539999999995</v>
      </c>
      <c r="AB1917">
        <v>32</v>
      </c>
      <c r="AC1917">
        <v>-0.541100000000028</v>
      </c>
      <c r="AD1917">
        <v>-8.3382999999999902E-2</v>
      </c>
      <c r="AE1917">
        <v>6.7099999999982105E-2</v>
      </c>
      <c r="AF1917">
        <v>6.3697871178990104E-2</v>
      </c>
      <c r="AG1917">
        <v>-8.3382999999999902E-2</v>
      </c>
      <c r="AH1917">
        <v>0.52896292969135195</v>
      </c>
      <c r="AI1917">
        <v>98.894876732343306</v>
      </c>
      <c r="AJ1917">
        <v>83.133488576672903</v>
      </c>
      <c r="AK1917">
        <v>0.53926980674741398</v>
      </c>
    </row>
    <row r="1918" spans="1:37" x14ac:dyDescent="0.2">
      <c r="A1918" t="str">
        <f>"20200111155832000"</f>
        <v>20200111155832000</v>
      </c>
      <c r="B1918" t="str">
        <f>"1578729511992704"</f>
        <v>1578729511992704</v>
      </c>
      <c r="C1918" t="s">
        <v>37</v>
      </c>
      <c r="D1918">
        <v>6.1167870000000004</v>
      </c>
      <c r="E1918">
        <v>0.53883040000000004</v>
      </c>
      <c r="F1918" t="s">
        <v>38</v>
      </c>
      <c r="G1918">
        <v>-290.1155</v>
      </c>
      <c r="H1918">
        <v>1.0219719999999901</v>
      </c>
      <c r="I1918">
        <v>284.77019999999999</v>
      </c>
      <c r="J1918">
        <v>-289.61700000000002</v>
      </c>
      <c r="K1918">
        <v>1.1025689999999999</v>
      </c>
      <c r="L1918">
        <v>284.70639999999997</v>
      </c>
      <c r="M1918">
        <v>-0.99989099999999997</v>
      </c>
      <c r="N1918">
        <v>0</v>
      </c>
      <c r="O1918">
        <v>5.4447339999999997E-3</v>
      </c>
      <c r="P1918">
        <v>-0.99957119999999999</v>
      </c>
      <c r="Q1918">
        <v>-2.2508489999999999E-2</v>
      </c>
      <c r="R1918">
        <v>-1.873267E-2</v>
      </c>
      <c r="S1918">
        <v>-3.0000610000000001</v>
      </c>
      <c r="T1918">
        <v>-0.29071989999999998</v>
      </c>
      <c r="U1918">
        <v>0.24096679999999901</v>
      </c>
      <c r="V1918">
        <v>-2.4207949999999999E-2</v>
      </c>
      <c r="W1918">
        <v>-8.6993859999999999E-3</v>
      </c>
      <c r="X1918">
        <v>0.99966909999999898</v>
      </c>
      <c r="Y1918">
        <v>7.4313340000000006E-2</v>
      </c>
      <c r="Z1918">
        <v>3.0609399999999998E-3</v>
      </c>
      <c r="AA1918">
        <v>0.99723019999999996</v>
      </c>
      <c r="AB1918">
        <v>32</v>
      </c>
      <c r="AC1918">
        <v>-0.49849999999997802</v>
      </c>
      <c r="AD1918">
        <v>-8.0597000000000196E-2</v>
      </c>
      <c r="AE1918">
        <v>6.3800000000014706E-2</v>
      </c>
      <c r="AF1918">
        <v>5.9552965455435397E-2</v>
      </c>
      <c r="AG1918">
        <v>-8.0597000000000196E-2</v>
      </c>
      <c r="AH1918">
        <v>0.48633211867700499</v>
      </c>
      <c r="AI1918">
        <v>99.341243036940796</v>
      </c>
      <c r="AJ1918">
        <v>83.018699564630396</v>
      </c>
      <c r="AK1918">
        <v>0.496549455503076</v>
      </c>
    </row>
    <row r="1919" spans="1:37" x14ac:dyDescent="0.2">
      <c r="A1919" t="str">
        <f>"20200111155832021"</f>
        <v>20200111155832021</v>
      </c>
      <c r="B1919" t="str">
        <f>"1578729512013199"</f>
        <v>1578729512013199</v>
      </c>
      <c r="C1919" t="s">
        <v>37</v>
      </c>
      <c r="D1919">
        <v>6.0754299999999999</v>
      </c>
      <c r="E1919">
        <v>0.53849040000000004</v>
      </c>
      <c r="F1919" t="s">
        <v>38</v>
      </c>
      <c r="G1919">
        <v>-290.40679999999998</v>
      </c>
      <c r="H1919">
        <v>1.0252950000000001</v>
      </c>
      <c r="I1919">
        <v>284.7704</v>
      </c>
      <c r="J1919">
        <v>-289.93849999999998</v>
      </c>
      <c r="K1919">
        <v>1.1025229999999999</v>
      </c>
      <c r="L1919">
        <v>284.71010000000001</v>
      </c>
      <c r="M1919">
        <v>-0.99987969999999904</v>
      </c>
      <c r="N1919">
        <v>0</v>
      </c>
      <c r="O1919">
        <v>7.2969459999999899E-3</v>
      </c>
      <c r="P1919">
        <v>-0.99962499999999999</v>
      </c>
      <c r="Q1919">
        <v>-2.1827409999999998E-2</v>
      </c>
      <c r="R1919">
        <v>-1.654359E-2</v>
      </c>
      <c r="S1919">
        <v>-2.9992679999999998</v>
      </c>
      <c r="T1919">
        <v>-0.29353420000000002</v>
      </c>
      <c r="U1919">
        <v>0.242675799999999</v>
      </c>
      <c r="V1919">
        <v>-2.386916E-2</v>
      </c>
      <c r="W1919">
        <v>-8.0450060000000004E-3</v>
      </c>
      <c r="X1919">
        <v>0.99968269999999904</v>
      </c>
      <c r="Y1919">
        <v>7.3060009999999995E-2</v>
      </c>
      <c r="Z1919">
        <v>2.8495489999999998E-3</v>
      </c>
      <c r="AA1919">
        <v>0.99732350000000003</v>
      </c>
      <c r="AB1919">
        <v>32</v>
      </c>
      <c r="AC1919">
        <v>-0.46829999999999899</v>
      </c>
      <c r="AD1919">
        <v>-7.7227999999999797E-2</v>
      </c>
      <c r="AE1919">
        <v>6.0299999999983797E-2</v>
      </c>
      <c r="AF1919">
        <v>5.5398872108378898E-2</v>
      </c>
      <c r="AG1919">
        <v>-7.7227999999999797E-2</v>
      </c>
      <c r="AH1919">
        <v>0.456514797280409</v>
      </c>
      <c r="AI1919">
        <v>99.533105575895405</v>
      </c>
      <c r="AJ1919">
        <v>83.080888395094405</v>
      </c>
      <c r="AK1919">
        <v>0.46630350540270799</v>
      </c>
    </row>
    <row r="1920" spans="1:37" x14ac:dyDescent="0.2">
      <c r="A1920" t="str">
        <f>"20200111155832035"</f>
        <v>20200111155832035</v>
      </c>
      <c r="B1920" t="str">
        <f>"1578729512032719"</f>
        <v>1578729512032719</v>
      </c>
      <c r="C1920" t="s">
        <v>37</v>
      </c>
      <c r="D1920">
        <v>6.2544379999999897</v>
      </c>
      <c r="E1920">
        <v>0.50968740000000001</v>
      </c>
      <c r="F1920" t="s">
        <v>38</v>
      </c>
      <c r="G1920">
        <v>-290.69810000000001</v>
      </c>
      <c r="H1920">
        <v>1.0286709999999999</v>
      </c>
      <c r="I1920">
        <v>284.77269999999999</v>
      </c>
      <c r="J1920">
        <v>-290.1336</v>
      </c>
      <c r="K1920">
        <v>1.1024890000000001</v>
      </c>
      <c r="L1920">
        <v>284.71260000000001</v>
      </c>
      <c r="M1920">
        <v>-0.99987179999999998</v>
      </c>
      <c r="N1920">
        <v>0</v>
      </c>
      <c r="O1920">
        <v>8.4182119999999996E-3</v>
      </c>
      <c r="P1920">
        <v>-0.999660199999999</v>
      </c>
      <c r="Q1920">
        <v>-2.1042999999999999E-2</v>
      </c>
      <c r="R1920">
        <v>-1.539283E-2</v>
      </c>
      <c r="S1920">
        <v>-2.9988709999999998</v>
      </c>
      <c r="T1920">
        <v>-0.29164220000000002</v>
      </c>
      <c r="U1920">
        <v>0.24652099999999999</v>
      </c>
      <c r="V1920">
        <v>-2.3836880000000001E-2</v>
      </c>
      <c r="W1920">
        <v>-7.323123E-3</v>
      </c>
      <c r="X1920">
        <v>0.99968899999999905</v>
      </c>
      <c r="Y1920">
        <v>7.3230980000000001E-2</v>
      </c>
      <c r="Z1920">
        <v>2.7311800000000002E-3</v>
      </c>
      <c r="AA1920">
        <v>0.99731130000000001</v>
      </c>
      <c r="AB1920">
        <v>32</v>
      </c>
      <c r="AC1920">
        <v>-0.56450000000000899</v>
      </c>
      <c r="AD1920">
        <v>-7.3818000000000106E-2</v>
      </c>
      <c r="AE1920">
        <v>6.0099999999977102E-2</v>
      </c>
      <c r="AF1920">
        <v>5.4425108876379302E-2</v>
      </c>
      <c r="AG1920">
        <v>-7.3818000000000106E-2</v>
      </c>
      <c r="AH1920">
        <v>0.55559182580731004</v>
      </c>
      <c r="AI1920">
        <v>97.532567448191799</v>
      </c>
      <c r="AJ1920">
        <v>84.405224280732696</v>
      </c>
      <c r="AK1920">
        <v>0.56311052778660198</v>
      </c>
    </row>
    <row r="1921" spans="1:37" x14ac:dyDescent="0.2">
      <c r="A1921" t="str">
        <f>"20200111155832055"</f>
        <v>20200111155832055</v>
      </c>
      <c r="B1921" t="str">
        <f>"1578729512043455"</f>
        <v>1578729512043455</v>
      </c>
      <c r="C1921" t="s">
        <v>37</v>
      </c>
      <c r="D1921">
        <v>6.0955620000000001</v>
      </c>
      <c r="E1921">
        <v>0.50945819999999997</v>
      </c>
      <c r="F1921" t="s">
        <v>50</v>
      </c>
      <c r="G1921">
        <v>-320.25990000000002</v>
      </c>
      <c r="H1921" s="1">
        <v>-1.4153719999999999E-6</v>
      </c>
      <c r="I1921">
        <v>285.00259999999997</v>
      </c>
      <c r="J1921">
        <v>-290.41559999999998</v>
      </c>
      <c r="K1921">
        <v>1.10244599999999</v>
      </c>
      <c r="L1921">
        <v>284.71660000000003</v>
      </c>
      <c r="M1921">
        <v>-0.99985849999999898</v>
      </c>
      <c r="N1921">
        <v>0</v>
      </c>
      <c r="O1921">
        <v>1.0035530000000001E-2</v>
      </c>
      <c r="P1921">
        <v>-0.99969730000000001</v>
      </c>
      <c r="Q1921">
        <v>-1.9801579999999999E-2</v>
      </c>
      <c r="R1921">
        <v>-1.461637E-2</v>
      </c>
      <c r="S1921">
        <v>-2.9990839999999999</v>
      </c>
      <c r="T1921">
        <v>-0.1097535</v>
      </c>
      <c r="U1921">
        <v>2.886963E-2</v>
      </c>
      <c r="V1921">
        <v>-2.4673170000000001E-2</v>
      </c>
      <c r="W1921">
        <v>-6.1997279999999998E-3</v>
      </c>
      <c r="X1921">
        <v>0.99967629999999996</v>
      </c>
      <c r="Y1921">
        <v>-4.0377309999999999E-4</v>
      </c>
      <c r="Z1921">
        <v>-3.7453539999999998E-4</v>
      </c>
      <c r="AA1921">
        <v>0.99999979999999999</v>
      </c>
      <c r="AB1921">
        <v>32</v>
      </c>
      <c r="AC1921">
        <v>-29.8443</v>
      </c>
      <c r="AD1921">
        <v>-1.1024474153720001</v>
      </c>
      <c r="AE1921">
        <v>0.28599999999994402</v>
      </c>
      <c r="AF1921">
        <v>-1.35266152551302E-2</v>
      </c>
      <c r="AG1921">
        <v>-1.1024474153720001</v>
      </c>
      <c r="AH1921">
        <v>29.805000265794899</v>
      </c>
      <c r="AI1921">
        <v>92.118328927529006</v>
      </c>
      <c r="AJ1921">
        <v>90.026002949340494</v>
      </c>
      <c r="AK1921">
        <v>29.825385397627599</v>
      </c>
    </row>
    <row r="1922" spans="1:37" x14ac:dyDescent="0.2">
      <c r="A1922" t="str">
        <f>"20200111155832079"</f>
        <v>20200111155832079</v>
      </c>
      <c r="B1922" t="str">
        <f>"1578729512072736"</f>
        <v>1578729512072736</v>
      </c>
      <c r="C1922" t="s">
        <v>37</v>
      </c>
      <c r="D1922">
        <v>6.0319209999999996</v>
      </c>
      <c r="E1922">
        <v>0.50911679999999904</v>
      </c>
      <c r="F1922" t="s">
        <v>52</v>
      </c>
      <c r="G1922">
        <v>-315.12139999999999</v>
      </c>
      <c r="H1922" s="1">
        <v>4.4591789999999996E-6</v>
      </c>
      <c r="I1922">
        <v>284.94720000000001</v>
      </c>
      <c r="J1922">
        <v>-290.76209999999998</v>
      </c>
      <c r="K1922">
        <v>1.102403</v>
      </c>
      <c r="L1922">
        <v>284.72219999999999</v>
      </c>
      <c r="M1922">
        <v>-0.99983899999999903</v>
      </c>
      <c r="N1922">
        <v>0</v>
      </c>
      <c r="O1922">
        <v>1.201937E-2</v>
      </c>
      <c r="P1922">
        <v>-0.99972519999999998</v>
      </c>
      <c r="Q1922">
        <v>-1.8875590000000001E-2</v>
      </c>
      <c r="R1922">
        <v>-1.390475E-2</v>
      </c>
      <c r="S1922">
        <v>-2.9986570000000001</v>
      </c>
      <c r="T1922">
        <v>-0.13380889999999901</v>
      </c>
      <c r="U1922">
        <v>2.7984620000000002E-2</v>
      </c>
      <c r="V1922">
        <v>-2.594219E-2</v>
      </c>
      <c r="W1922">
        <v>-5.4510039999999997E-3</v>
      </c>
      <c r="X1922">
        <v>0.999648599999999</v>
      </c>
      <c r="Y1922">
        <v>-2.6739870000000001E-3</v>
      </c>
      <c r="Z1922">
        <v>-5.9572100000000001E-4</v>
      </c>
      <c r="AA1922">
        <v>0.9999962</v>
      </c>
      <c r="AB1922">
        <v>32</v>
      </c>
      <c r="AC1922">
        <v>-24.359300000000001</v>
      </c>
      <c r="AD1922">
        <v>-1.102398540821</v>
      </c>
      <c r="AE1922">
        <v>0.22500000000002199</v>
      </c>
      <c r="AF1922">
        <v>-6.7687067798939599E-2</v>
      </c>
      <c r="AG1922">
        <v>-1.102398540821</v>
      </c>
      <c r="AH1922">
        <v>24.310459084379701</v>
      </c>
      <c r="AI1922">
        <v>92.596384469967205</v>
      </c>
      <c r="AJ1922">
        <v>90.159526945895706</v>
      </c>
      <c r="AK1922">
        <v>24.335535436378802</v>
      </c>
    </row>
    <row r="1923" spans="1:37" x14ac:dyDescent="0.2">
      <c r="A1923" t="str">
        <f>"20200111155832100"</f>
        <v>20200111155832100</v>
      </c>
      <c r="B1923" t="str">
        <f>"1578729512093231"</f>
        <v>1578729512093231</v>
      </c>
      <c r="C1923" t="s">
        <v>37</v>
      </c>
      <c r="D1923">
        <v>6.3432250000000003</v>
      </c>
      <c r="E1923">
        <v>0.50942559999999903</v>
      </c>
      <c r="F1923" t="s">
        <v>52</v>
      </c>
      <c r="G1923">
        <v>-310.55149999999998</v>
      </c>
      <c r="H1923" s="1">
        <v>2.4373890000000001E-6</v>
      </c>
      <c r="I1923">
        <v>284.89260000000002</v>
      </c>
      <c r="J1923">
        <v>-291.06400000000002</v>
      </c>
      <c r="K1923">
        <v>1.1023750000000001</v>
      </c>
      <c r="L1923">
        <v>284.72750000000002</v>
      </c>
      <c r="M1923">
        <v>-0.99981900000000001</v>
      </c>
      <c r="N1923">
        <v>0</v>
      </c>
      <c r="O1923">
        <v>1.3749549999999999E-2</v>
      </c>
      <c r="P1923">
        <v>-0.99974010000000002</v>
      </c>
      <c r="Q1923">
        <v>-1.8308709999999999E-2</v>
      </c>
      <c r="R1923">
        <v>-1.359257E-2</v>
      </c>
      <c r="S1923">
        <v>-2.9980159999999998</v>
      </c>
      <c r="T1923">
        <v>-0.16700950000000001</v>
      </c>
      <c r="U1923">
        <v>2.581787E-2</v>
      </c>
      <c r="V1923">
        <v>-2.7357929999999999E-2</v>
      </c>
      <c r="W1923">
        <v>-5.0535529999999997E-3</v>
      </c>
      <c r="X1923">
        <v>0.99961290000000003</v>
      </c>
      <c r="Y1923">
        <v>-5.1104760000000001E-3</v>
      </c>
      <c r="Z1923">
        <v>-9.0760220000000004E-4</v>
      </c>
      <c r="AA1923">
        <v>0.9999865</v>
      </c>
      <c r="AB1923">
        <v>32</v>
      </c>
      <c r="AC1923">
        <v>-19.487499999999901</v>
      </c>
      <c r="AD1923">
        <v>-1.1023725626109999</v>
      </c>
      <c r="AE1923">
        <v>0.165099999999995</v>
      </c>
      <c r="AF1923">
        <v>-0.10255498594889</v>
      </c>
      <c r="AG1923">
        <v>-1.1023725626109999</v>
      </c>
      <c r="AH1923">
        <v>19.425770559011401</v>
      </c>
      <c r="AI1923">
        <v>93.247889106567698</v>
      </c>
      <c r="AJ1923">
        <v>90.302480318898603</v>
      </c>
      <c r="AK1923">
        <v>19.457294380342098</v>
      </c>
    </row>
    <row r="1924" spans="1:37" x14ac:dyDescent="0.2">
      <c r="A1924" t="str">
        <f>"20200111155832123"</f>
        <v>20200111155832123</v>
      </c>
      <c r="B1924" t="str">
        <f>"1578729512112752"</f>
        <v>1578729512112752</v>
      </c>
      <c r="C1924" t="s">
        <v>37</v>
      </c>
      <c r="D1924">
        <v>6.035177</v>
      </c>
      <c r="E1924">
        <v>0.50930149999999996</v>
      </c>
      <c r="F1924" t="s">
        <v>52</v>
      </c>
      <c r="G1924">
        <v>-309.80900000000003</v>
      </c>
      <c r="H1924" s="1">
        <v>2.1992189999999999E-6</v>
      </c>
      <c r="I1924">
        <v>284.90730000000002</v>
      </c>
      <c r="J1924">
        <v>-291.41070000000002</v>
      </c>
      <c r="K1924">
        <v>1.1023430000000001</v>
      </c>
      <c r="L1924">
        <v>284.73430000000002</v>
      </c>
      <c r="M1924">
        <v>-0.99979249999999997</v>
      </c>
      <c r="N1924">
        <v>0</v>
      </c>
      <c r="O1924">
        <v>1.5735909999999999E-2</v>
      </c>
      <c r="P1924">
        <v>-0.99977039999999995</v>
      </c>
      <c r="Q1924">
        <v>-1.7747820000000001E-2</v>
      </c>
      <c r="R1924">
        <v>-1.2003969999999999E-2</v>
      </c>
      <c r="S1924">
        <v>-2.997925</v>
      </c>
      <c r="T1924">
        <v>-0.17630499999999999</v>
      </c>
      <c r="U1924">
        <v>2.8747559999999998E-2</v>
      </c>
      <c r="V1924">
        <v>-2.775503E-2</v>
      </c>
      <c r="W1924">
        <v>-4.7075340000000002E-3</v>
      </c>
      <c r="X1924">
        <v>0.99960369999999998</v>
      </c>
      <c r="Y1924">
        <v>-6.1112340000000001E-3</v>
      </c>
      <c r="Z1924">
        <v>-1.104163E-3</v>
      </c>
      <c r="AA1924">
        <v>0.99998069999999895</v>
      </c>
      <c r="AB1924">
        <v>32</v>
      </c>
      <c r="AC1924">
        <v>-18.398299999999999</v>
      </c>
      <c r="AD1924">
        <v>-1.1023408007810001</v>
      </c>
      <c r="AE1924">
        <v>0.17300000000000099</v>
      </c>
      <c r="AF1924">
        <v>-0.11614274505498499</v>
      </c>
      <c r="AG1924">
        <v>-1.1023408007810001</v>
      </c>
      <c r="AH1924">
        <v>18.332937447196201</v>
      </c>
      <c r="AI1924">
        <v>93.4409248348246</v>
      </c>
      <c r="AJ1924">
        <v>90.362975115619506</v>
      </c>
      <c r="AK1924">
        <v>18.3664160853745</v>
      </c>
    </row>
    <row r="1925" spans="1:37" x14ac:dyDescent="0.2">
      <c r="A1925" t="str">
        <f>"20200111155832143"</f>
        <v>20200111155832143</v>
      </c>
      <c r="B1925" t="str">
        <f>"1578729512133247"</f>
        <v>1578729512133247</v>
      </c>
      <c r="C1925" t="s">
        <v>37</v>
      </c>
      <c r="D1925">
        <v>6.3093949999999897</v>
      </c>
      <c r="E1925">
        <v>0.50887839999999995</v>
      </c>
      <c r="F1925" t="s">
        <v>52</v>
      </c>
      <c r="G1925">
        <v>-309.38979999999998</v>
      </c>
      <c r="H1925" s="1">
        <v>2.2719170000000001E-6</v>
      </c>
      <c r="I1925">
        <v>284.92610000000002</v>
      </c>
      <c r="J1925">
        <v>-291.6961</v>
      </c>
      <c r="K1925">
        <v>1.102312</v>
      </c>
      <c r="L1925">
        <v>284.74040000000002</v>
      </c>
      <c r="M1925">
        <v>-0.99976810000000005</v>
      </c>
      <c r="N1925">
        <v>0</v>
      </c>
      <c r="O1925">
        <v>1.7367319999999999E-2</v>
      </c>
      <c r="P1925">
        <v>-0.99980049999999898</v>
      </c>
      <c r="Q1925">
        <v>-1.6935370000000002E-2</v>
      </c>
      <c r="R1925">
        <v>-1.060115E-2</v>
      </c>
      <c r="S1925">
        <v>-2.99780299999999</v>
      </c>
      <c r="T1925">
        <v>-0.18380239999999901</v>
      </c>
      <c r="U1925">
        <v>3.1982419999999998E-2</v>
      </c>
      <c r="V1925">
        <v>-2.7981039999999999E-2</v>
      </c>
      <c r="W1925">
        <v>-4.0932679999999997E-3</v>
      </c>
      <c r="X1925">
        <v>0.99960009999999999</v>
      </c>
      <c r="Y1925">
        <v>-6.6562280000000001E-3</v>
      </c>
      <c r="Z1925">
        <v>-1.2676810000000001E-3</v>
      </c>
      <c r="AA1925">
        <v>0.99997709999999995</v>
      </c>
      <c r="AB1925">
        <v>32</v>
      </c>
      <c r="AC1925">
        <v>-17.6936999999999</v>
      </c>
      <c r="AD1925">
        <v>-1.1023097280830001</v>
      </c>
      <c r="AE1925">
        <v>0.18569999999999701</v>
      </c>
      <c r="AF1925">
        <v>-0.121174818638114</v>
      </c>
      <c r="AG1925">
        <v>-1.1023097280830001</v>
      </c>
      <c r="AH1925">
        <v>17.625853768752101</v>
      </c>
      <c r="AI1925">
        <v>93.578496780226203</v>
      </c>
      <c r="AJ1925">
        <v>90.393892767144607</v>
      </c>
      <c r="AK1925">
        <v>17.660704718406102</v>
      </c>
    </row>
    <row r="1926" spans="1:37" x14ac:dyDescent="0.2">
      <c r="A1926" t="str">
        <f>"20200111155832158"</f>
        <v>20200111155832158</v>
      </c>
      <c r="B1926" t="str">
        <f>"1578729512152767"</f>
        <v>1578729512152767</v>
      </c>
      <c r="C1926" t="s">
        <v>37</v>
      </c>
      <c r="D1926">
        <v>6.0673219999999999</v>
      </c>
      <c r="E1926">
        <v>0.50901030000000003</v>
      </c>
      <c r="F1926" t="s">
        <v>52</v>
      </c>
      <c r="G1926">
        <v>-309.2559</v>
      </c>
      <c r="H1926" s="1">
        <v>2.2953159999999999E-6</v>
      </c>
      <c r="I1926">
        <v>284.93029999999999</v>
      </c>
      <c r="J1926">
        <v>-291.91070000000002</v>
      </c>
      <c r="K1926">
        <v>1.1022860000000001</v>
      </c>
      <c r="L1926">
        <v>284.74540000000002</v>
      </c>
      <c r="M1926">
        <v>-0.99974830000000003</v>
      </c>
      <c r="N1926">
        <v>0</v>
      </c>
      <c r="O1926">
        <v>1.859303E-2</v>
      </c>
      <c r="P1926">
        <v>-0.99981559999999903</v>
      </c>
      <c r="Q1926">
        <v>-1.6880099999999999E-2</v>
      </c>
      <c r="R1926">
        <v>-9.1716179999999994E-3</v>
      </c>
      <c r="S1926">
        <v>-2.9977419999999899</v>
      </c>
      <c r="T1926">
        <v>-0.1881825</v>
      </c>
      <c r="U1926">
        <v>3.2409670000000002E-2</v>
      </c>
      <c r="V1926">
        <v>-2.7777969999999999E-2</v>
      </c>
      <c r="W1926">
        <v>-4.21524799999999E-3</v>
      </c>
      <c r="X1926">
        <v>0.99960519999999997</v>
      </c>
      <c r="Y1926">
        <v>-7.7327350000000001E-3</v>
      </c>
      <c r="Z1926">
        <v>-1.408468E-3</v>
      </c>
      <c r="AA1926">
        <v>0.99996909999999894</v>
      </c>
      <c r="AB1926">
        <v>32</v>
      </c>
      <c r="AC1926">
        <v>-17.345199999999899</v>
      </c>
      <c r="AD1926">
        <v>-1.1022837046839999</v>
      </c>
      <c r="AE1926">
        <v>0.18489999999997001</v>
      </c>
      <c r="AF1926">
        <v>-0.13710357342354901</v>
      </c>
      <c r="AG1926">
        <v>-1.1022837046839999</v>
      </c>
      <c r="AH1926">
        <v>17.275877267596499</v>
      </c>
      <c r="AI1926">
        <v>93.650681648193</v>
      </c>
      <c r="AJ1926">
        <v>90.454697094689195</v>
      </c>
      <c r="AK1926">
        <v>17.3115499629731</v>
      </c>
    </row>
    <row r="1927" spans="1:37" x14ac:dyDescent="0.2">
      <c r="A1927" t="str">
        <f>"20200111155832173"</f>
        <v>20200111155832173</v>
      </c>
      <c r="B1927" t="str">
        <f>"1578729512163504"</f>
        <v>1578729512163504</v>
      </c>
      <c r="C1927" t="s">
        <v>37</v>
      </c>
      <c r="D1927">
        <v>6.0518660000000004</v>
      </c>
      <c r="E1927">
        <v>0.50899819999999996</v>
      </c>
      <c r="F1927" t="s">
        <v>52</v>
      </c>
      <c r="G1927">
        <v>-308.95299999999997</v>
      </c>
      <c r="H1927" s="1">
        <v>2.3465439999999998E-6</v>
      </c>
      <c r="I1927">
        <v>284.9588</v>
      </c>
      <c r="J1927">
        <v>-292.12549999999999</v>
      </c>
      <c r="K1927">
        <v>1.102257</v>
      </c>
      <c r="L1927">
        <v>284.75049999999999</v>
      </c>
      <c r="M1927">
        <v>-0.99972719999999904</v>
      </c>
      <c r="N1927">
        <v>0</v>
      </c>
      <c r="O1927">
        <v>1.9819509999999999E-2</v>
      </c>
      <c r="P1927">
        <v>-0.99983379999999999</v>
      </c>
      <c r="Q1927">
        <v>-1.6294329999999999E-2</v>
      </c>
      <c r="R1927">
        <v>-8.1772379999999999E-3</v>
      </c>
      <c r="S1927">
        <v>-2.9976500000000001</v>
      </c>
      <c r="T1927">
        <v>-0.1938858</v>
      </c>
      <c r="U1927">
        <v>3.753662E-2</v>
      </c>
      <c r="V1927">
        <v>-2.8008229999999999E-2</v>
      </c>
      <c r="W1927">
        <v>-3.82159599999999E-3</v>
      </c>
      <c r="X1927">
        <v>0.99960039999999994</v>
      </c>
      <c r="Y1927">
        <v>-7.2443530000000003E-3</v>
      </c>
      <c r="Z1927">
        <v>-1.514544E-3</v>
      </c>
      <c r="AA1927">
        <v>0.99997259999999999</v>
      </c>
      <c r="AB1927">
        <v>32</v>
      </c>
      <c r="AC1927">
        <v>-16.827499999999901</v>
      </c>
      <c r="AD1927">
        <v>-1.102254653456</v>
      </c>
      <c r="AE1927">
        <v>0.20830000000000801</v>
      </c>
      <c r="AF1927">
        <v>-0.124744041998454</v>
      </c>
      <c r="AG1927">
        <v>-1.102254653456</v>
      </c>
      <c r="AH1927">
        <v>16.7564376014593</v>
      </c>
      <c r="AI1927">
        <v>93.763445529190193</v>
      </c>
      <c r="AJ1927">
        <v>90.426533089117996</v>
      </c>
      <c r="AK1927">
        <v>16.793115478930002</v>
      </c>
    </row>
    <row r="1928" spans="1:37" x14ac:dyDescent="0.2">
      <c r="A1928" t="str">
        <f>"20200111155832189"</f>
        <v>20200111155832189</v>
      </c>
      <c r="B1928" t="str">
        <f>"1578729512183023"</f>
        <v>1578729512183023</v>
      </c>
      <c r="C1928" t="s">
        <v>37</v>
      </c>
      <c r="D1928">
        <v>7.10283</v>
      </c>
      <c r="E1928">
        <v>0.50869489999999995</v>
      </c>
      <c r="F1928" t="s">
        <v>52</v>
      </c>
      <c r="G1928">
        <v>-309.18639999999999</v>
      </c>
      <c r="H1928" s="1">
        <v>2.303397E-6</v>
      </c>
      <c r="I1928">
        <v>284.97879999999998</v>
      </c>
      <c r="J1928">
        <v>-292.36579999999998</v>
      </c>
      <c r="K1928">
        <v>1.1022239999999901</v>
      </c>
      <c r="L1928">
        <v>284.75659999999999</v>
      </c>
      <c r="M1928">
        <v>-0.99970199999999998</v>
      </c>
      <c r="N1928">
        <v>0</v>
      </c>
      <c r="O1928">
        <v>2.1190790000000001E-2</v>
      </c>
      <c r="P1928">
        <v>-0.99985460000000004</v>
      </c>
      <c r="Q1928">
        <v>-1.5785049999999998E-2</v>
      </c>
      <c r="R1928">
        <v>-6.4866389999999998E-3</v>
      </c>
      <c r="S1928">
        <v>-2.997681</v>
      </c>
      <c r="T1928">
        <v>-0.1936717</v>
      </c>
      <c r="U1928">
        <v>4.01001E-2</v>
      </c>
      <c r="V1928">
        <v>-2.768843E-2</v>
      </c>
      <c r="W1928">
        <v>-3.5447859999999999E-3</v>
      </c>
      <c r="X1928">
        <v>0.99961029999999995</v>
      </c>
      <c r="Y1928">
        <v>-7.757272E-3</v>
      </c>
      <c r="Z1928">
        <v>-1.617881E-3</v>
      </c>
      <c r="AA1928">
        <v>0.99996859999999999</v>
      </c>
      <c r="AB1928">
        <v>32</v>
      </c>
      <c r="AC1928">
        <v>-16.820599999999999</v>
      </c>
      <c r="AD1928">
        <v>-1.1022216966029901</v>
      </c>
      <c r="AE1928">
        <v>0.22219999999998599</v>
      </c>
      <c r="AF1928">
        <v>-0.133743695458656</v>
      </c>
      <c r="AG1928">
        <v>-1.1022216966029901</v>
      </c>
      <c r="AH1928">
        <v>16.749622164624199</v>
      </c>
      <c r="AI1928">
        <v>93.764844580367793</v>
      </c>
      <c r="AJ1928">
        <v>90.457490106842499</v>
      </c>
      <c r="AK1928">
        <v>16.786382061129402</v>
      </c>
    </row>
    <row r="1929" spans="1:37" x14ac:dyDescent="0.2">
      <c r="A1929" t="str">
        <f>"20200111155832203"</f>
        <v>20200111155832203</v>
      </c>
      <c r="B1929" t="str">
        <f>"1578729512192784"</f>
        <v>1578729512192784</v>
      </c>
      <c r="C1929" t="s">
        <v>37</v>
      </c>
      <c r="D1929">
        <v>5.9817450000000001</v>
      </c>
      <c r="E1929">
        <v>0.50892559999999998</v>
      </c>
      <c r="F1929" t="s">
        <v>52</v>
      </c>
      <c r="G1929">
        <v>-309.66379999999998</v>
      </c>
      <c r="H1929" s="1">
        <v>2.2164239999999999E-6</v>
      </c>
      <c r="I1929">
        <v>285.00510000000003</v>
      </c>
      <c r="J1929">
        <v>-292.57049999999998</v>
      </c>
      <c r="K1929">
        <v>1.1021860000000001</v>
      </c>
      <c r="L1929">
        <v>284.762</v>
      </c>
      <c r="M1929">
        <v>-0.99967890000000004</v>
      </c>
      <c r="N1929">
        <v>0</v>
      </c>
      <c r="O1929">
        <v>2.2359159999999999E-2</v>
      </c>
      <c r="P1929">
        <v>-0.99986839999999999</v>
      </c>
      <c r="Q1929">
        <v>-1.5424179999999999E-2</v>
      </c>
      <c r="R1929">
        <v>-5.049123E-3</v>
      </c>
      <c r="S1929">
        <v>-2.9977109999999998</v>
      </c>
      <c r="T1929">
        <v>-0.19101319999999999</v>
      </c>
      <c r="U1929">
        <v>4.3060300000000003E-2</v>
      </c>
      <c r="V1929">
        <v>-2.7419140000000002E-2</v>
      </c>
      <c r="W1929">
        <v>-3.3886490000000001E-3</v>
      </c>
      <c r="X1929">
        <v>0.99961829999999996</v>
      </c>
      <c r="Y1929">
        <v>-7.9377019999999996E-3</v>
      </c>
      <c r="Z1929">
        <v>-1.675782E-3</v>
      </c>
      <c r="AA1929">
        <v>0.9999671</v>
      </c>
      <c r="AB1929">
        <v>33</v>
      </c>
      <c r="AC1929">
        <v>-17.093299999999999</v>
      </c>
      <c r="AD1929">
        <v>-1.102183783576</v>
      </c>
      <c r="AE1929">
        <v>0.24310000000002599</v>
      </c>
      <c r="AF1929">
        <v>-0.138603622827002</v>
      </c>
      <c r="AG1929">
        <v>-1.102183783576</v>
      </c>
      <c r="AH1929">
        <v>17.0236964051802</v>
      </c>
      <c r="AI1929">
        <v>93.704270597300194</v>
      </c>
      <c r="AJ1929">
        <v>90.4664807780469</v>
      </c>
      <c r="AK1929">
        <v>17.0599020909495</v>
      </c>
    </row>
    <row r="1930" spans="1:37" x14ac:dyDescent="0.2">
      <c r="A1930" t="str">
        <f>"20200111155832223"</f>
        <v>20200111155832223</v>
      </c>
      <c r="B1930" t="str">
        <f>"1578729512213279"</f>
        <v>1578729512213279</v>
      </c>
      <c r="C1930" t="s">
        <v>37</v>
      </c>
      <c r="D1930">
        <v>6.5720789999999996</v>
      </c>
      <c r="E1930">
        <v>0.50907729999999995</v>
      </c>
      <c r="F1930" t="s">
        <v>52</v>
      </c>
      <c r="G1930">
        <v>-309.911</v>
      </c>
      <c r="H1930" s="1">
        <v>2.1689309999999999E-6</v>
      </c>
      <c r="I1930">
        <v>285.04669999999999</v>
      </c>
      <c r="J1930">
        <v>-292.85379999999998</v>
      </c>
      <c r="K1930">
        <v>1.1021540000000001</v>
      </c>
      <c r="L1930">
        <v>284.76990000000001</v>
      </c>
      <c r="M1930">
        <v>-0.99964459999999999</v>
      </c>
      <c r="N1930">
        <v>0</v>
      </c>
      <c r="O1930">
        <v>2.3975980000000001E-2</v>
      </c>
      <c r="P1930">
        <v>-0.99987440000000005</v>
      </c>
      <c r="Q1930">
        <v>-1.548763E-2</v>
      </c>
      <c r="R1930">
        <v>-3.3649829999999898E-3</v>
      </c>
      <c r="S1930">
        <v>-2.9977109999999998</v>
      </c>
      <c r="T1930">
        <v>-0.19053870000000001</v>
      </c>
      <c r="U1930">
        <v>4.9224850000000001E-2</v>
      </c>
      <c r="V1930">
        <v>-2.735332E-2</v>
      </c>
      <c r="W1930">
        <v>-3.7310500000000001E-3</v>
      </c>
      <c r="X1930">
        <v>0.99961889999999998</v>
      </c>
      <c r="Y1930">
        <v>-7.4970159999999996E-3</v>
      </c>
      <c r="Z1930">
        <v>-1.760232E-3</v>
      </c>
      <c r="AA1930">
        <v>0.99997039999999904</v>
      </c>
      <c r="AB1930">
        <v>33</v>
      </c>
      <c r="AC1930">
        <v>-17.057200000000002</v>
      </c>
      <c r="AD1930">
        <v>-1.1021518310689999</v>
      </c>
      <c r="AE1930">
        <v>0.27679999999998001</v>
      </c>
      <c r="AF1930">
        <v>-0.13172064128665301</v>
      </c>
      <c r="AG1930">
        <v>-1.1021518310689999</v>
      </c>
      <c r="AH1930">
        <v>16.988024876305101</v>
      </c>
      <c r="AI1930">
        <v>93.711931220870696</v>
      </c>
      <c r="AJ1930">
        <v>90.444247382332605</v>
      </c>
      <c r="AK1930">
        <v>17.024249709870599</v>
      </c>
    </row>
    <row r="1931" spans="1:37" x14ac:dyDescent="0.2">
      <c r="A1931" t="str">
        <f>"20200111155832243"</f>
        <v>20200111155832243</v>
      </c>
      <c r="B1931" t="str">
        <f>"1578729512232800"</f>
        <v>1578729512232800</v>
      </c>
      <c r="C1931" t="s">
        <v>37</v>
      </c>
      <c r="D1931">
        <v>6.0261959999999997</v>
      </c>
      <c r="E1931">
        <v>0.5126925</v>
      </c>
      <c r="F1931" t="s">
        <v>52</v>
      </c>
      <c r="G1931">
        <v>-310.13819999999998</v>
      </c>
      <c r="H1931" s="1">
        <v>2.236825E-6</v>
      </c>
      <c r="I1931">
        <v>285.09050000000002</v>
      </c>
      <c r="J1931">
        <v>-293.16129999999998</v>
      </c>
      <c r="K1931">
        <v>1.102114</v>
      </c>
      <c r="L1931">
        <v>284.779</v>
      </c>
      <c r="M1931">
        <v>-0.99960439999999995</v>
      </c>
      <c r="N1931">
        <v>0</v>
      </c>
      <c r="O1931">
        <v>2.5731159999999999E-2</v>
      </c>
      <c r="P1931">
        <v>-0.99988549999999998</v>
      </c>
      <c r="Q1931">
        <v>-1.5040319999999999E-2</v>
      </c>
      <c r="R1931">
        <v>-1.72701E-3</v>
      </c>
      <c r="S1931">
        <v>-2.9975589999999999</v>
      </c>
      <c r="T1931">
        <v>-0.19114110000000001</v>
      </c>
      <c r="U1931">
        <v>5.5603029999999998E-2</v>
      </c>
      <c r="V1931">
        <v>-2.7470600000000001E-2</v>
      </c>
      <c r="W1931">
        <v>-3.5721519999999999E-3</v>
      </c>
      <c r="X1931">
        <v>0.99961619999999995</v>
      </c>
      <c r="Y1931">
        <v>-7.121596E-3</v>
      </c>
      <c r="Z1931">
        <v>-1.8656370000000001E-3</v>
      </c>
      <c r="AA1931">
        <v>0.99997289999999905</v>
      </c>
      <c r="AB1931">
        <v>33</v>
      </c>
      <c r="AC1931">
        <v>-16.976900000000001</v>
      </c>
      <c r="AD1931">
        <v>-1.1021117631749999</v>
      </c>
      <c r="AE1931">
        <v>0.31150000000002298</v>
      </c>
      <c r="AF1931">
        <v>-0.12494027980552</v>
      </c>
      <c r="AG1931">
        <v>-1.1021117631749999</v>
      </c>
      <c r="AH1931">
        <v>16.908060834395499</v>
      </c>
      <c r="AI1931">
        <v>93.729311854815506</v>
      </c>
      <c r="AJ1931">
        <v>90.4233732363153</v>
      </c>
      <c r="AK1931">
        <v>16.944402662580501</v>
      </c>
    </row>
    <row r="1932" spans="1:37" x14ac:dyDescent="0.2">
      <c r="A1932" t="str">
        <f>"20200111155832266"</f>
        <v>20200111155832266</v>
      </c>
      <c r="B1932" t="str">
        <f>"1578729512263056"</f>
        <v>1578729512263056</v>
      </c>
      <c r="C1932" t="s">
        <v>37</v>
      </c>
      <c r="D1932">
        <v>6.1362879999999898</v>
      </c>
      <c r="E1932">
        <v>0.51117570000000001</v>
      </c>
      <c r="F1932" t="s">
        <v>50</v>
      </c>
      <c r="G1932">
        <v>-365.05689999999998</v>
      </c>
      <c r="H1932" s="1">
        <v>1.154234E-6</v>
      </c>
      <c r="I1932">
        <v>287.08139999999997</v>
      </c>
      <c r="J1932">
        <v>-293.49509999999998</v>
      </c>
      <c r="K1932">
        <v>1.1020799999999999</v>
      </c>
      <c r="L1932">
        <v>284.7894</v>
      </c>
      <c r="M1932">
        <v>-0.99955680000000002</v>
      </c>
      <c r="N1932">
        <v>0</v>
      </c>
      <c r="O1932">
        <v>2.7635799999999999E-2</v>
      </c>
      <c r="P1932">
        <v>-0.99988290000000002</v>
      </c>
      <c r="Q1932">
        <v>-1.53077E-2</v>
      </c>
      <c r="R1932">
        <v>-1.3800060000000001E-4</v>
      </c>
      <c r="S1932">
        <v>-2.99981699999999</v>
      </c>
      <c r="T1932">
        <v>-4.598522E-2</v>
      </c>
      <c r="U1932">
        <v>9.6069340000000003E-2</v>
      </c>
      <c r="V1932">
        <v>-2.7788460000000001E-2</v>
      </c>
      <c r="W1932">
        <v>-4.12824E-3</v>
      </c>
      <c r="X1932">
        <v>0.99960530000000003</v>
      </c>
      <c r="Y1932">
        <v>4.3758290000000004E-3</v>
      </c>
      <c r="Z1932">
        <v>-3.8991519999999899E-4</v>
      </c>
      <c r="AA1932">
        <v>0.9999903</v>
      </c>
      <c r="AB1932">
        <v>33</v>
      </c>
      <c r="AC1932">
        <v>-71.561800000000005</v>
      </c>
      <c r="AD1932">
        <v>-1.102078845766</v>
      </c>
      <c r="AE1932">
        <v>2.2919999999999701</v>
      </c>
      <c r="AF1932">
        <v>0.31326155962538499</v>
      </c>
      <c r="AG1932">
        <v>-1.102078845766</v>
      </c>
      <c r="AH1932">
        <v>71.580849798691204</v>
      </c>
      <c r="AI1932">
        <v>90.882063757865495</v>
      </c>
      <c r="AJ1932">
        <v>89.749256250565693</v>
      </c>
      <c r="AK1932">
        <v>71.590018637306002</v>
      </c>
    </row>
    <row r="1933" spans="1:37" x14ac:dyDescent="0.2">
      <c r="A1933" t="str">
        <f>"20200111155832289"</f>
        <v>20200111155832289</v>
      </c>
      <c r="B1933" t="str">
        <f>"1578729512283551"</f>
        <v>1578729512283551</v>
      </c>
      <c r="C1933" t="s">
        <v>37</v>
      </c>
      <c r="D1933">
        <v>5.9983040000000001</v>
      </c>
      <c r="E1933">
        <v>0.51091189999999997</v>
      </c>
      <c r="F1933" t="s">
        <v>50</v>
      </c>
      <c r="G1933">
        <v>-320.31270000000001</v>
      </c>
      <c r="H1933" s="1">
        <v>-1.4113210000000001E-6</v>
      </c>
      <c r="I1933">
        <v>285.55309999999997</v>
      </c>
      <c r="J1933">
        <v>-293.83440000000002</v>
      </c>
      <c r="K1933">
        <v>1.1020570000000001</v>
      </c>
      <c r="L1933">
        <v>284.80070000000001</v>
      </c>
      <c r="M1933">
        <v>-0.99950439999999996</v>
      </c>
      <c r="N1933">
        <v>0</v>
      </c>
      <c r="O1933">
        <v>2.95687E-2</v>
      </c>
      <c r="P1933">
        <v>-0.99988459999999901</v>
      </c>
      <c r="Q1933">
        <v>-1.513917E-2</v>
      </c>
      <c r="R1933">
        <v>1.424022E-3</v>
      </c>
      <c r="S1933">
        <v>-2.99850499999999</v>
      </c>
      <c r="T1933">
        <v>-0.1232249</v>
      </c>
      <c r="U1933">
        <v>8.5388179999999994E-2</v>
      </c>
      <c r="V1933">
        <v>-2.816072E-2</v>
      </c>
      <c r="W1933">
        <v>-4.2238019999999996E-3</v>
      </c>
      <c r="X1933">
        <v>0.99959449999999905</v>
      </c>
      <c r="Y1933">
        <v>-1.0796689999999999E-3</v>
      </c>
      <c r="Z1933">
        <v>-1.2363610000000001E-3</v>
      </c>
      <c r="AA1933">
        <v>0.99999859999999896</v>
      </c>
      <c r="AB1933">
        <v>33</v>
      </c>
      <c r="AC1933">
        <v>-26.478299999999901</v>
      </c>
      <c r="AD1933">
        <v>-1.1020584113209999</v>
      </c>
      <c r="AE1933">
        <v>0.75239999999996499</v>
      </c>
      <c r="AF1933">
        <v>-3.08502016829586E-2</v>
      </c>
      <c r="AG1933">
        <v>-1.1020584113209999</v>
      </c>
      <c r="AH1933">
        <v>26.443198590676499</v>
      </c>
      <c r="AI1933">
        <v>92.386501477067199</v>
      </c>
      <c r="AJ1933">
        <v>90.066844619630601</v>
      </c>
      <c r="AK1933">
        <v>26.466171543743599</v>
      </c>
    </row>
    <row r="1934" spans="1:37" x14ac:dyDescent="0.2">
      <c r="A1934" t="str">
        <f>"20200111155832311"</f>
        <v>20200111155832311</v>
      </c>
      <c r="B1934" t="str">
        <f>"1578729512303071"</f>
        <v>1578729512303071</v>
      </c>
      <c r="C1934" t="s">
        <v>37</v>
      </c>
      <c r="D1934">
        <v>5.9932359999999996</v>
      </c>
      <c r="E1934">
        <v>0.51101399999999997</v>
      </c>
      <c r="F1934" t="s">
        <v>52</v>
      </c>
      <c r="G1934">
        <v>-316.54419999999999</v>
      </c>
      <c r="H1934" s="1">
        <v>5.0453800000000003E-6</v>
      </c>
      <c r="I1934">
        <v>285.45909999999998</v>
      </c>
      <c r="J1934">
        <v>-294.15320000000003</v>
      </c>
      <c r="K1934">
        <v>1.102039</v>
      </c>
      <c r="L1934">
        <v>284.81189999999998</v>
      </c>
      <c r="M1934">
        <v>-0.99945149999999905</v>
      </c>
      <c r="N1934">
        <v>0</v>
      </c>
      <c r="O1934">
        <v>3.138138E-2</v>
      </c>
      <c r="P1934">
        <v>-0.99989229999999996</v>
      </c>
      <c r="Q1934">
        <v>-1.4473659999999999E-2</v>
      </c>
      <c r="R1934">
        <v>2.478325E-3</v>
      </c>
      <c r="S1934">
        <v>-2.9980470000000001</v>
      </c>
      <c r="T1934">
        <v>-0.14548810000000001</v>
      </c>
      <c r="U1934">
        <v>8.6914060000000001E-2</v>
      </c>
      <c r="V1934">
        <v>-2.8917669999999999E-2</v>
      </c>
      <c r="W1934">
        <v>-3.7797690000000001E-3</v>
      </c>
      <c r="X1934">
        <v>0.99957469999999904</v>
      </c>
      <c r="Y1934">
        <v>-2.3665159999999999E-3</v>
      </c>
      <c r="Z1934">
        <v>-1.578749E-3</v>
      </c>
      <c r="AA1934">
        <v>0.99999590000000005</v>
      </c>
      <c r="AB1934">
        <v>33</v>
      </c>
      <c r="AC1934">
        <v>-22.390999999999899</v>
      </c>
      <c r="AD1934">
        <v>-1.10203395462</v>
      </c>
      <c r="AE1934">
        <v>0.647199999999997</v>
      </c>
      <c r="AF1934">
        <v>-5.5683817162721402E-2</v>
      </c>
      <c r="AG1934">
        <v>-1.10203395462</v>
      </c>
      <c r="AH1934">
        <v>22.3461961089602</v>
      </c>
      <c r="AI1934">
        <v>92.823325450661002</v>
      </c>
      <c r="AJ1934">
        <v>90.142773342338103</v>
      </c>
      <c r="AK1934">
        <v>22.373423074369601</v>
      </c>
    </row>
    <row r="1935" spans="1:37" x14ac:dyDescent="0.2">
      <c r="A1935" t="str">
        <f>"20200111155832333"</f>
        <v>20200111155832333</v>
      </c>
      <c r="B1935" t="str">
        <f>"1578729512322591"</f>
        <v>1578729512322591</v>
      </c>
      <c r="C1935" t="s">
        <v>37</v>
      </c>
      <c r="D1935">
        <v>6.0303009999999997</v>
      </c>
      <c r="E1935">
        <v>0.51075289999999995</v>
      </c>
      <c r="F1935" t="s">
        <v>52</v>
      </c>
      <c r="G1935">
        <v>-316.95269999999999</v>
      </c>
      <c r="H1935" s="1">
        <v>5.2228490000000001E-6</v>
      </c>
      <c r="I1935">
        <v>285.50119999999998</v>
      </c>
      <c r="J1935">
        <v>-294.47710000000001</v>
      </c>
      <c r="K1935">
        <v>1.1020179999999999</v>
      </c>
      <c r="L1935">
        <v>284.82380000000001</v>
      </c>
      <c r="M1935">
        <v>-0.99939429999999996</v>
      </c>
      <c r="N1935">
        <v>0</v>
      </c>
      <c r="O1935">
        <v>3.3217980000000001E-2</v>
      </c>
      <c r="P1935">
        <v>-0.99988529999999998</v>
      </c>
      <c r="Q1935">
        <v>-1.4623300000000001E-2</v>
      </c>
      <c r="R1935">
        <v>4.006557E-3</v>
      </c>
      <c r="S1935">
        <v>-2.9980769999999999</v>
      </c>
      <c r="T1935">
        <v>-0.14491479999999901</v>
      </c>
      <c r="U1935">
        <v>9.0637209999999996E-2</v>
      </c>
      <c r="V1935">
        <v>-2.9227909999999999E-2</v>
      </c>
      <c r="W1935">
        <v>-4.1297520000000004E-3</v>
      </c>
      <c r="X1935">
        <v>0.99956420000000001</v>
      </c>
      <c r="Y1935">
        <v>-2.9611189999999999E-3</v>
      </c>
      <c r="Z1935">
        <v>-1.6754889999999901E-3</v>
      </c>
      <c r="AA1935">
        <v>0.99999419999999895</v>
      </c>
      <c r="AB1935">
        <v>33</v>
      </c>
      <c r="AC1935">
        <v>-22.475599999999901</v>
      </c>
      <c r="AD1935">
        <v>-1.102012777151</v>
      </c>
      <c r="AE1935">
        <v>0.67739999999997702</v>
      </c>
      <c r="AF1935">
        <v>-6.9441285874933797E-2</v>
      </c>
      <c r="AG1935">
        <v>-1.102012777151</v>
      </c>
      <c r="AH1935">
        <v>22.431818977229401</v>
      </c>
      <c r="AI1935">
        <v>92.812507378911505</v>
      </c>
      <c r="AJ1935">
        <v>90.177367689142301</v>
      </c>
      <c r="AK1935">
        <v>22.458979426509501</v>
      </c>
    </row>
    <row r="1936" spans="1:37" x14ac:dyDescent="0.2">
      <c r="A1936" t="str">
        <f>"20200111155832355"</f>
        <v>20200111155832355</v>
      </c>
      <c r="B1936" t="str">
        <f>"1578729512343087"</f>
        <v>1578729512343087</v>
      </c>
      <c r="C1936" t="s">
        <v>37</v>
      </c>
      <c r="D1936">
        <v>6.0094059999999896</v>
      </c>
      <c r="E1936">
        <v>0.51037999999999994</v>
      </c>
      <c r="F1936" t="s">
        <v>52</v>
      </c>
      <c r="G1936">
        <v>-316.084</v>
      </c>
      <c r="H1936" s="1">
        <v>4.8382940000000002E-6</v>
      </c>
      <c r="I1936">
        <v>285.49340000000001</v>
      </c>
      <c r="J1936">
        <v>-294.8021</v>
      </c>
      <c r="K1936">
        <v>1.1020019999999999</v>
      </c>
      <c r="L1936">
        <v>284.83640000000003</v>
      </c>
      <c r="M1936">
        <v>-0.99933329999999998</v>
      </c>
      <c r="N1936">
        <v>0</v>
      </c>
      <c r="O1936">
        <v>3.5053309999999997E-2</v>
      </c>
      <c r="P1936">
        <v>-0.99987190000000004</v>
      </c>
      <c r="Q1936">
        <v>-1.4957389999999999E-2</v>
      </c>
      <c r="R1936">
        <v>5.6983939999999999E-3</v>
      </c>
      <c r="S1936">
        <v>-2.9977109999999998</v>
      </c>
      <c r="T1936">
        <v>-0.1528921</v>
      </c>
      <c r="U1936">
        <v>9.2895510000000001E-2</v>
      </c>
      <c r="V1936">
        <v>-2.9374649999999999E-2</v>
      </c>
      <c r="W1936">
        <v>-4.6374490000000001E-3</v>
      </c>
      <c r="X1936">
        <v>0.99955769999999899</v>
      </c>
      <c r="Y1936">
        <v>-4.0326809999999998E-3</v>
      </c>
      <c r="Z1936">
        <v>-1.8885569999999999E-3</v>
      </c>
      <c r="AA1936">
        <v>0.99999009999999999</v>
      </c>
      <c r="AB1936">
        <v>33</v>
      </c>
      <c r="AC1936">
        <v>-21.2819</v>
      </c>
      <c r="AD1936">
        <v>-1.101997161706</v>
      </c>
      <c r="AE1936">
        <v>0.65699999999998204</v>
      </c>
      <c r="AF1936">
        <v>-8.9204766949545405E-2</v>
      </c>
      <c r="AG1936">
        <v>-1.101997161706</v>
      </c>
      <c r="AH1936">
        <v>21.234968518141802</v>
      </c>
      <c r="AI1936">
        <v>92.970696230608993</v>
      </c>
      <c r="AJ1936">
        <v>90.240689153342998</v>
      </c>
      <c r="AK1936">
        <v>21.263730698100201</v>
      </c>
    </row>
    <row r="1937" spans="1:37" x14ac:dyDescent="0.2">
      <c r="A1937" t="str">
        <f>"20200111155832400"</f>
        <v>20200111155832400</v>
      </c>
      <c r="B1937" t="str">
        <f>"1578729512392863"</f>
        <v>1578729512392863</v>
      </c>
      <c r="C1937" t="s">
        <v>37</v>
      </c>
      <c r="D1937">
        <v>6.0019450000000001</v>
      </c>
      <c r="E1937">
        <v>0.51024929999999902</v>
      </c>
      <c r="F1937" t="s">
        <v>52</v>
      </c>
      <c r="G1937">
        <v>-315.80889999999999</v>
      </c>
      <c r="H1937" s="1">
        <v>4.7155559999999999E-6</v>
      </c>
      <c r="I1937">
        <v>285.50220000000002</v>
      </c>
      <c r="J1937">
        <v>-295.47660000000002</v>
      </c>
      <c r="K1937">
        <v>1.101996</v>
      </c>
      <c r="L1937">
        <v>284.86430000000001</v>
      </c>
      <c r="M1937">
        <v>-0.99919669999999905</v>
      </c>
      <c r="N1937">
        <v>0</v>
      </c>
      <c r="O1937">
        <v>3.8828719999999997E-2</v>
      </c>
      <c r="P1937">
        <v>-0.99985210000000002</v>
      </c>
      <c r="Q1937">
        <v>-1.502553E-2</v>
      </c>
      <c r="R1937">
        <v>8.3848310000000006E-3</v>
      </c>
      <c r="S1937">
        <v>-2.99749799999999</v>
      </c>
      <c r="T1937">
        <v>-0.15724549999999901</v>
      </c>
      <c r="U1937">
        <v>9.5001219999999997E-2</v>
      </c>
      <c r="V1937">
        <v>-3.0466529999999999E-2</v>
      </c>
      <c r="W1937">
        <v>-4.980946E-3</v>
      </c>
      <c r="X1937">
        <v>0.99952339999999995</v>
      </c>
      <c r="Y1937">
        <v>-7.09438E-3</v>
      </c>
      <c r="Z1937">
        <v>-2.2203140000000001E-3</v>
      </c>
      <c r="AA1937">
        <v>0.99997230000000004</v>
      </c>
      <c r="AB1937">
        <v>33</v>
      </c>
      <c r="AC1937">
        <v>-20.332299999999901</v>
      </c>
      <c r="AD1937">
        <v>-1.1019912844440001</v>
      </c>
      <c r="AE1937">
        <v>0.63790000000000102</v>
      </c>
      <c r="AF1937">
        <v>-0.15165203799212801</v>
      </c>
      <c r="AG1937">
        <v>-1.1019912844440001</v>
      </c>
      <c r="AH1937">
        <v>20.2822144124465</v>
      </c>
      <c r="AI1937">
        <v>93.109900524460201</v>
      </c>
      <c r="AJ1937">
        <v>90.428397986269701</v>
      </c>
      <c r="AK1937">
        <v>20.312695650850301</v>
      </c>
    </row>
    <row r="1938" spans="1:37" x14ac:dyDescent="0.2">
      <c r="A1938" t="str">
        <f>"20200111155832423"</f>
        <v>20200111155832423</v>
      </c>
      <c r="B1938" t="str">
        <f>"1578729512413359"</f>
        <v>1578729512413359</v>
      </c>
      <c r="C1938" t="s">
        <v>37</v>
      </c>
      <c r="D1938">
        <v>6.1296900000000001</v>
      </c>
      <c r="E1938">
        <v>0.51065320000000003</v>
      </c>
      <c r="F1938" t="s">
        <v>52</v>
      </c>
      <c r="G1938">
        <v>-314.87580000000003</v>
      </c>
      <c r="H1938" s="1">
        <v>4.3001069999999997E-6</v>
      </c>
      <c r="I1938">
        <v>285.52109999999999</v>
      </c>
      <c r="J1938">
        <v>-295.80340000000001</v>
      </c>
      <c r="K1938">
        <v>1.1020049999999999</v>
      </c>
      <c r="L1938">
        <v>284.87880000000001</v>
      </c>
      <c r="M1938">
        <v>-0.99912610000000002</v>
      </c>
      <c r="N1938">
        <v>0</v>
      </c>
      <c r="O1938">
        <v>4.0628520000000001E-2</v>
      </c>
      <c r="P1938">
        <v>-0.99985380000000001</v>
      </c>
      <c r="Q1938">
        <v>-1.470547E-2</v>
      </c>
      <c r="R1938">
        <v>8.7395719999999993E-3</v>
      </c>
      <c r="S1938">
        <v>-2.9970400000000001</v>
      </c>
      <c r="T1938">
        <v>-0.17024979999999901</v>
      </c>
      <c r="U1938">
        <v>0.101470899999999</v>
      </c>
      <c r="V1938">
        <v>-3.1911139999999998E-2</v>
      </c>
      <c r="W1938">
        <v>-4.7551249999999998E-3</v>
      </c>
      <c r="X1938">
        <v>0.99947940000000002</v>
      </c>
      <c r="Y1938">
        <v>-6.7212859999999999E-3</v>
      </c>
      <c r="Z1938">
        <v>-2.4953599999999999E-3</v>
      </c>
      <c r="AA1938">
        <v>0.99997429999999998</v>
      </c>
      <c r="AB1938">
        <v>33</v>
      </c>
      <c r="AC1938">
        <v>-19.072399999999998</v>
      </c>
      <c r="AD1938">
        <v>-1.1020006998929901</v>
      </c>
      <c r="AE1938">
        <v>0.642299999999977</v>
      </c>
      <c r="AF1938">
        <v>-0.132708558854711</v>
      </c>
      <c r="AG1938">
        <v>-1.1020006998929901</v>
      </c>
      <c r="AH1938">
        <v>19.0193234305357</v>
      </c>
      <c r="AI1938">
        <v>93.315992928832699</v>
      </c>
      <c r="AJ1938">
        <v>90.399778517938998</v>
      </c>
      <c r="AK1938">
        <v>19.0516844625215</v>
      </c>
    </row>
    <row r="1939" spans="1:37" x14ac:dyDescent="0.2">
      <c r="A1939" t="str">
        <f>"20200111155832446"</f>
        <v>20200111155832446</v>
      </c>
      <c r="B1939" t="str">
        <f>"1578729512432879"</f>
        <v>1578729512432879</v>
      </c>
      <c r="C1939" t="s">
        <v>37</v>
      </c>
      <c r="D1939">
        <v>6.0926939999999998</v>
      </c>
      <c r="E1939">
        <v>0.50984969999999996</v>
      </c>
      <c r="F1939" t="s">
        <v>52</v>
      </c>
      <c r="G1939">
        <v>-315.86529999999999</v>
      </c>
      <c r="H1939" s="1">
        <v>4.7330729999999999E-6</v>
      </c>
      <c r="I1939">
        <v>285.587999999999</v>
      </c>
      <c r="J1939">
        <v>-296.1343</v>
      </c>
      <c r="K1939">
        <v>1.1020209999999999</v>
      </c>
      <c r="L1939">
        <v>284.89400000000001</v>
      </c>
      <c r="M1939">
        <v>-0.99905239999999995</v>
      </c>
      <c r="N1939">
        <v>0</v>
      </c>
      <c r="O1939">
        <v>4.241607E-2</v>
      </c>
      <c r="P1939">
        <v>-0.99984930000000005</v>
      </c>
      <c r="Q1939">
        <v>-1.450973E-2</v>
      </c>
      <c r="R1939">
        <v>9.5284840000000003E-3</v>
      </c>
      <c r="S1939">
        <v>-2.9970699999999999</v>
      </c>
      <c r="T1939">
        <v>-0.16462869999999999</v>
      </c>
      <c r="U1939">
        <v>0.105957</v>
      </c>
      <c r="V1939">
        <v>-3.2910549999999997E-2</v>
      </c>
      <c r="W1939">
        <v>-4.6290649999999999E-3</v>
      </c>
      <c r="X1939">
        <v>0.99944759999999999</v>
      </c>
      <c r="Y1939">
        <v>-7.0175639999999996E-3</v>
      </c>
      <c r="Z1939">
        <v>-2.519112E-3</v>
      </c>
      <c r="AA1939">
        <v>0.99997219999999998</v>
      </c>
      <c r="AB1939">
        <v>33</v>
      </c>
      <c r="AC1939">
        <v>-19.730999999999899</v>
      </c>
      <c r="AD1939">
        <v>-1.1020162669269999</v>
      </c>
      <c r="AE1939">
        <v>0.69399999999995898</v>
      </c>
      <c r="AF1939">
        <v>-0.143130009440468</v>
      </c>
      <c r="AG1939">
        <v>-1.1020162669269999</v>
      </c>
      <c r="AH1939">
        <v>19.681360096014298</v>
      </c>
      <c r="AI1939">
        <v>93.204725369090596</v>
      </c>
      <c r="AJ1939">
        <v>90.416668403783802</v>
      </c>
      <c r="AK1939">
        <v>19.712708116368901</v>
      </c>
    </row>
    <row r="1940" spans="1:37" x14ac:dyDescent="0.2">
      <c r="A1940" t="str">
        <f>"20200111155832468"</f>
        <v>20200111155832468</v>
      </c>
      <c r="B1940" t="str">
        <f>"1578729512463135"</f>
        <v>1578729512463135</v>
      </c>
      <c r="C1940" t="s">
        <v>37</v>
      </c>
      <c r="D1940">
        <v>5.9998800000000001</v>
      </c>
      <c r="E1940">
        <v>0.50971279999999997</v>
      </c>
      <c r="F1940" t="s">
        <v>52</v>
      </c>
      <c r="G1940">
        <v>-316.25790000000001</v>
      </c>
      <c r="H1940" s="1">
        <v>4.9079860000000003E-6</v>
      </c>
      <c r="I1940">
        <v>285.5788</v>
      </c>
      <c r="J1940">
        <v>-296.46679999999998</v>
      </c>
      <c r="K1940">
        <v>1.10205</v>
      </c>
      <c r="L1940">
        <v>284.90989999999999</v>
      </c>
      <c r="M1940">
        <v>-0.99897739999999902</v>
      </c>
      <c r="N1940">
        <v>0</v>
      </c>
      <c r="O1940">
        <v>4.4157130000000003E-2</v>
      </c>
      <c r="P1940">
        <v>-0.99983060000000001</v>
      </c>
      <c r="Q1940">
        <v>-1.512986E-2</v>
      </c>
      <c r="R1940">
        <v>1.049577E-2</v>
      </c>
      <c r="S1940">
        <v>-2.9971009999999998</v>
      </c>
      <c r="T1940">
        <v>-0.16412779999999999</v>
      </c>
      <c r="U1940">
        <v>0.101989699999999</v>
      </c>
      <c r="V1940">
        <v>-3.3686760000000003E-2</v>
      </c>
      <c r="W1940">
        <v>-5.291848E-3</v>
      </c>
      <c r="X1940">
        <v>0.99941840000000004</v>
      </c>
      <c r="Y1940">
        <v>-1.007596E-2</v>
      </c>
      <c r="Z1940">
        <v>-2.69031E-3</v>
      </c>
      <c r="AA1940">
        <v>0.99994559999999999</v>
      </c>
      <c r="AB1940">
        <v>33</v>
      </c>
      <c r="AC1940">
        <v>-19.7911</v>
      </c>
      <c r="AD1940">
        <v>-1.1020450920139999</v>
      </c>
      <c r="AE1940">
        <v>0.66890000000000704</v>
      </c>
      <c r="AF1940">
        <v>-0.205076737846943</v>
      </c>
      <c r="AG1940">
        <v>-1.1020450920139999</v>
      </c>
      <c r="AH1940">
        <v>19.740193547184301</v>
      </c>
      <c r="AI1940">
        <v>93.195189520736207</v>
      </c>
      <c r="AJ1940">
        <v>90.595212445061506</v>
      </c>
      <c r="AK1940">
        <v>19.771995375619898</v>
      </c>
    </row>
    <row r="1941" spans="1:37" x14ac:dyDescent="0.2">
      <c r="A1941" t="str">
        <f>"20200111155832491"</f>
        <v>20200111155832491</v>
      </c>
      <c r="B1941" t="str">
        <f>"1578729512482655"</f>
        <v>1578729512482655</v>
      </c>
      <c r="C1941" t="s">
        <v>37</v>
      </c>
      <c r="D1941">
        <v>6.1013970000000004</v>
      </c>
      <c r="E1941">
        <v>0.50977980000000001</v>
      </c>
      <c r="F1941" t="s">
        <v>52</v>
      </c>
      <c r="G1941">
        <v>-315.90699999999998</v>
      </c>
      <c r="H1941" s="1">
        <v>4.7520779999999996E-6</v>
      </c>
      <c r="I1941">
        <v>285.58190000000002</v>
      </c>
      <c r="J1941">
        <v>-296.82139999999998</v>
      </c>
      <c r="K1941">
        <v>1.1020829999999999</v>
      </c>
      <c r="L1941">
        <v>284.92739999999998</v>
      </c>
      <c r="M1941">
        <v>-0.99889649999999996</v>
      </c>
      <c r="N1941">
        <v>0</v>
      </c>
      <c r="O1941">
        <v>4.5958699999999998E-2</v>
      </c>
      <c r="P1941">
        <v>-0.99980349999999996</v>
      </c>
      <c r="Q1941">
        <v>-1.545789E-2</v>
      </c>
      <c r="R1941">
        <v>1.242908E-2</v>
      </c>
      <c r="S1941">
        <v>-2.9967959999999998</v>
      </c>
      <c r="T1941">
        <v>-0.16988499999999901</v>
      </c>
      <c r="U1941">
        <v>0.103607199999999</v>
      </c>
      <c r="V1941">
        <v>-3.355756E-2</v>
      </c>
      <c r="W1941">
        <v>-5.6517750000000004E-3</v>
      </c>
      <c r="X1941">
        <v>0.9994208</v>
      </c>
      <c r="Y1941">
        <v>-1.132612E-2</v>
      </c>
      <c r="Z1941">
        <v>-2.9220800000000001E-3</v>
      </c>
      <c r="AA1941">
        <v>0.99993159999999903</v>
      </c>
      <c r="AB1941">
        <v>33</v>
      </c>
      <c r="AC1941">
        <v>-19.085599999999999</v>
      </c>
      <c r="AD1941">
        <v>-1.1020782479219999</v>
      </c>
      <c r="AE1941">
        <v>0.65450000000004105</v>
      </c>
      <c r="AF1941">
        <v>-0.22264056472152399</v>
      </c>
      <c r="AG1941">
        <v>-1.1020782479219999</v>
      </c>
      <c r="AH1941">
        <v>19.032126981781101</v>
      </c>
      <c r="AI1941">
        <v>93.3138540536916</v>
      </c>
      <c r="AJ1941">
        <v>90.670223715859905</v>
      </c>
      <c r="AK1941">
        <v>19.065308881217799</v>
      </c>
    </row>
    <row r="1942" spans="1:37" x14ac:dyDescent="0.2">
      <c r="A1942" t="str">
        <f>"20200111155832512"</f>
        <v>20200111155832512</v>
      </c>
      <c r="B1942" t="str">
        <f>"1578729512503151"</f>
        <v>1578729512503151</v>
      </c>
      <c r="C1942" t="s">
        <v>37</v>
      </c>
      <c r="D1942">
        <v>5.9962019999999896</v>
      </c>
      <c r="E1942">
        <v>0.50977119999999998</v>
      </c>
      <c r="F1942" t="s">
        <v>52</v>
      </c>
      <c r="G1942">
        <v>-316.15350000000001</v>
      </c>
      <c r="H1942" s="1">
        <v>4.8567149999999998E-6</v>
      </c>
      <c r="I1942">
        <v>285.63529999999997</v>
      </c>
      <c r="J1942">
        <v>-297.13979999999998</v>
      </c>
      <c r="K1942">
        <v>1.1021259999999999</v>
      </c>
      <c r="L1942">
        <v>284.94349999999997</v>
      </c>
      <c r="M1942">
        <v>-0.99882389999999999</v>
      </c>
      <c r="N1942">
        <v>0</v>
      </c>
      <c r="O1942">
        <v>4.751027E-2</v>
      </c>
      <c r="P1942">
        <v>-0.99977890000000003</v>
      </c>
      <c r="Q1942">
        <v>-1.543898E-2</v>
      </c>
      <c r="R1942">
        <v>1.4280910000000001E-2</v>
      </c>
      <c r="S1942">
        <v>-2.996613</v>
      </c>
      <c r="T1942">
        <v>-0.17083029999999999</v>
      </c>
      <c r="U1942">
        <v>0.1097412</v>
      </c>
      <c r="V1942">
        <v>-3.3258269999999999E-2</v>
      </c>
      <c r="W1942">
        <v>-5.6526099999999998E-3</v>
      </c>
      <c r="X1942">
        <v>0.99943079999999995</v>
      </c>
      <c r="Y1942">
        <v>-1.083026E-2</v>
      </c>
      <c r="Z1942">
        <v>-3.0124800000000001E-3</v>
      </c>
      <c r="AA1942">
        <v>0.99993679999999996</v>
      </c>
      <c r="AB1942">
        <v>33</v>
      </c>
      <c r="AC1942">
        <v>-19.0137</v>
      </c>
      <c r="AD1942">
        <v>-1.102121143285</v>
      </c>
      <c r="AE1942">
        <v>0.69179999999999997</v>
      </c>
      <c r="AF1942">
        <v>-0.21165937229135001</v>
      </c>
      <c r="AG1942">
        <v>-1.102121143285</v>
      </c>
      <c r="AH1942">
        <v>18.961471621191102</v>
      </c>
      <c r="AI1942">
        <v>93.326324144797397</v>
      </c>
      <c r="AJ1942">
        <v>90.639543454700402</v>
      </c>
      <c r="AK1942">
        <v>18.994653899073501</v>
      </c>
    </row>
    <row r="1943" spans="1:37" x14ac:dyDescent="0.2">
      <c r="A1943" t="str">
        <f>"20200111155832534"</f>
        <v>20200111155832534</v>
      </c>
      <c r="B1943" t="str">
        <f>"1578729512523180"</f>
        <v>1578729512523180</v>
      </c>
      <c r="C1943" t="s">
        <v>37</v>
      </c>
      <c r="D1943">
        <v>5.9744929999999998</v>
      </c>
      <c r="E1943">
        <v>0.50982470000000002</v>
      </c>
      <c r="F1943" t="s">
        <v>52</v>
      </c>
      <c r="G1943">
        <v>-315.66320000000002</v>
      </c>
      <c r="H1943" s="1">
        <v>4.6377469999999999E-6</v>
      </c>
      <c r="I1943">
        <v>285.65309999999999</v>
      </c>
      <c r="J1943">
        <v>-297.46140000000003</v>
      </c>
      <c r="K1943">
        <v>1.1021860000000001</v>
      </c>
      <c r="L1943">
        <v>284.96030000000002</v>
      </c>
      <c r="M1943">
        <v>-0.99875270000000005</v>
      </c>
      <c r="N1943">
        <v>0</v>
      </c>
      <c r="O1943">
        <v>4.898901E-2</v>
      </c>
      <c r="P1943">
        <v>-0.99974459999999998</v>
      </c>
      <c r="Q1943">
        <v>-1.5964909999999999E-2</v>
      </c>
      <c r="R1943">
        <v>1.6014239999999999E-2</v>
      </c>
      <c r="S1943">
        <v>-2.9963069999999998</v>
      </c>
      <c r="T1943">
        <v>-0.17827689999999999</v>
      </c>
      <c r="U1943">
        <v>0.11477660000000001</v>
      </c>
      <c r="V1943">
        <v>-3.3006069999999998E-2</v>
      </c>
      <c r="W1943">
        <v>-6.1873859999999996E-3</v>
      </c>
      <c r="X1943">
        <v>0.99943599999999999</v>
      </c>
      <c r="Y1943">
        <v>-1.0618239999999999E-2</v>
      </c>
      <c r="Z1943">
        <v>-3.2252219999999998E-3</v>
      </c>
      <c r="AA1943">
        <v>0.99993840000000001</v>
      </c>
      <c r="AB1943">
        <v>33</v>
      </c>
      <c r="AC1943">
        <v>-18.201799999999899</v>
      </c>
      <c r="AD1943">
        <v>-1.1021813622529999</v>
      </c>
      <c r="AE1943">
        <v>0.69279999999997699</v>
      </c>
      <c r="AF1943">
        <v>-0.19903285140060201</v>
      </c>
      <c r="AG1943">
        <v>-1.1021813622529999</v>
      </c>
      <c r="AH1943">
        <v>18.147439277844398</v>
      </c>
      <c r="AI1943">
        <v>93.475370769381101</v>
      </c>
      <c r="AJ1943">
        <v>90.628368828644298</v>
      </c>
      <c r="AK1943">
        <v>18.1819682700824</v>
      </c>
    </row>
    <row r="1944" spans="1:37" x14ac:dyDescent="0.2">
      <c r="A1944" t="str">
        <f>"20200111155832557"</f>
        <v>20200111155832557</v>
      </c>
      <c r="B1944" t="str">
        <f>"1578729512553435"</f>
        <v>1578729512553435</v>
      </c>
      <c r="C1944" t="s">
        <v>37</v>
      </c>
      <c r="D1944">
        <v>6.0417160000000001</v>
      </c>
      <c r="E1944">
        <v>0.50946639999999999</v>
      </c>
      <c r="F1944" t="s">
        <v>52</v>
      </c>
      <c r="G1944">
        <v>-315.23259999999999</v>
      </c>
      <c r="H1944" s="1">
        <v>4.4451419999999999E-6</v>
      </c>
      <c r="I1944">
        <v>285.67189999999999</v>
      </c>
      <c r="J1944">
        <v>-297.80279999999999</v>
      </c>
      <c r="K1944">
        <v>1.102271</v>
      </c>
      <c r="L1944">
        <v>284.9785</v>
      </c>
      <c r="M1944">
        <v>-0.99868020000000002</v>
      </c>
      <c r="N1944">
        <v>0</v>
      </c>
      <c r="O1944">
        <v>5.0439320000000003E-2</v>
      </c>
      <c r="P1944">
        <v>-0.99969279999999905</v>
      </c>
      <c r="Q1944">
        <v>-1.6894510000000001E-2</v>
      </c>
      <c r="R1944">
        <v>1.813706E-2</v>
      </c>
      <c r="S1944">
        <v>-2.9958800000000001</v>
      </c>
      <c r="T1944">
        <v>-0.1858069</v>
      </c>
      <c r="U1944">
        <v>0.11996459999999901</v>
      </c>
      <c r="V1944">
        <v>-3.2336280000000002E-2</v>
      </c>
      <c r="W1944">
        <v>-7.1144939999999999E-3</v>
      </c>
      <c r="X1944">
        <v>0.99945169999999905</v>
      </c>
      <c r="Y1944">
        <v>-1.0324649999999999E-2</v>
      </c>
      <c r="Z1944">
        <v>-3.4421359999999902E-3</v>
      </c>
      <c r="AA1944">
        <v>0.99994079999999996</v>
      </c>
      <c r="AB1944">
        <v>33</v>
      </c>
      <c r="AC1944">
        <v>-17.4298</v>
      </c>
      <c r="AD1944">
        <v>-1.102266554858</v>
      </c>
      <c r="AE1944">
        <v>0.69339999999999602</v>
      </c>
      <c r="AF1944">
        <v>-0.18592874041379201</v>
      </c>
      <c r="AG1944">
        <v>-1.102266554858</v>
      </c>
      <c r="AH1944">
        <v>17.373216637883701</v>
      </c>
      <c r="AI1944">
        <v>93.630132669237497</v>
      </c>
      <c r="AJ1944">
        <v>90.613157923484096</v>
      </c>
      <c r="AK1944">
        <v>17.409141776701901</v>
      </c>
    </row>
    <row r="1945" spans="1:37" x14ac:dyDescent="0.2">
      <c r="A1945" t="str">
        <f>"20200111155832580"</f>
        <v>20200111155832580</v>
      </c>
      <c r="B1945" t="str">
        <f>"1578729512572957"</f>
        <v>1578729512572957</v>
      </c>
      <c r="C1945" t="s">
        <v>37</v>
      </c>
      <c r="D1945">
        <v>5.9941259999999996</v>
      </c>
      <c r="E1945">
        <v>0.45808090000000001</v>
      </c>
      <c r="F1945" t="s">
        <v>52</v>
      </c>
      <c r="G1945">
        <v>-314.87220000000002</v>
      </c>
      <c r="H1945" s="1">
        <v>4.2845939999999999E-6</v>
      </c>
      <c r="I1945">
        <v>285.68009999999998</v>
      </c>
      <c r="J1945">
        <v>-298.15350000000001</v>
      </c>
      <c r="K1945">
        <v>1.1023810000000001</v>
      </c>
      <c r="L1945">
        <v>284.99759999999998</v>
      </c>
      <c r="M1945">
        <v>-0.99861139999999904</v>
      </c>
      <c r="N1945">
        <v>0</v>
      </c>
      <c r="O1945">
        <v>5.1781830000000001E-2</v>
      </c>
      <c r="P1945">
        <v>-0.99963869999999899</v>
      </c>
      <c r="Q1945">
        <v>-1.7733140000000001E-2</v>
      </c>
      <c r="R1945">
        <v>2.020508E-2</v>
      </c>
      <c r="S1945">
        <v>-2.995422</v>
      </c>
      <c r="T1945">
        <v>-0.19343170000000001</v>
      </c>
      <c r="U1945">
        <v>0.12310789999999899</v>
      </c>
      <c r="V1945">
        <v>-3.1612630000000003E-2</v>
      </c>
      <c r="W1945">
        <v>-7.9376329999999995E-3</v>
      </c>
      <c r="X1945">
        <v>0.99946869999999999</v>
      </c>
      <c r="Y1945">
        <v>-1.060208E-2</v>
      </c>
      <c r="Z1945">
        <v>-3.678934E-3</v>
      </c>
      <c r="AA1945">
        <v>0.99993709999999902</v>
      </c>
      <c r="AB1945">
        <v>33</v>
      </c>
      <c r="AC1945">
        <v>-16.718699999999998</v>
      </c>
      <c r="AD1945">
        <v>-1.102376715406</v>
      </c>
      <c r="AE1945">
        <v>0.68250000000000399</v>
      </c>
      <c r="AF1945">
        <v>-0.18338528008770999</v>
      </c>
      <c r="AG1945">
        <v>-1.102376715406</v>
      </c>
      <c r="AH1945">
        <v>16.6593027987543</v>
      </c>
      <c r="AI1945">
        <v>93.785619177109695</v>
      </c>
      <c r="AJ1945">
        <v>90.630685348959702</v>
      </c>
      <c r="AK1945">
        <v>16.6967432250785</v>
      </c>
    </row>
    <row r="1946" spans="1:37" x14ac:dyDescent="0.2">
      <c r="A1946" t="str">
        <f>"20200111155832601"</f>
        <v>20200111155832601</v>
      </c>
      <c r="B1946" t="str">
        <f>"1578729512593451"</f>
        <v>1578729512593451</v>
      </c>
      <c r="C1946" t="s">
        <v>37</v>
      </c>
      <c r="D1946">
        <v>5.9395559999999996</v>
      </c>
      <c r="E1946">
        <v>0.44986569999999998</v>
      </c>
      <c r="F1946" t="s">
        <v>50</v>
      </c>
      <c r="G1946">
        <v>-330.48489999999998</v>
      </c>
      <c r="H1946" s="1">
        <v>-1.165456E-6</v>
      </c>
      <c r="I1946">
        <v>282.024</v>
      </c>
      <c r="J1946">
        <v>-298.46170000000001</v>
      </c>
      <c r="K1946">
        <v>1.1024940000000001</v>
      </c>
      <c r="L1946">
        <v>285.01459999999997</v>
      </c>
      <c r="M1946">
        <v>-0.99855689999999997</v>
      </c>
      <c r="N1946">
        <v>0</v>
      </c>
      <c r="O1946">
        <v>5.2815180000000003E-2</v>
      </c>
      <c r="P1946">
        <v>-0.99955949999999905</v>
      </c>
      <c r="Q1946">
        <v>-1.9319619999999999E-2</v>
      </c>
      <c r="R1946">
        <v>2.2538320000000001E-2</v>
      </c>
      <c r="S1946">
        <v>-3.004883</v>
      </c>
      <c r="T1946">
        <v>-0.1024557</v>
      </c>
      <c r="U1946">
        <v>-0.27636719999999998</v>
      </c>
      <c r="V1946">
        <v>-3.0314460000000001E-2</v>
      </c>
      <c r="W1946">
        <v>-9.5018999999999902E-3</v>
      </c>
      <c r="X1946">
        <v>0.99949529999999998</v>
      </c>
      <c r="Y1946">
        <v>-0.1439405</v>
      </c>
      <c r="Z1946">
        <v>-4.2450980000000001E-3</v>
      </c>
      <c r="AA1946">
        <v>0.98957719999999905</v>
      </c>
      <c r="AB1946">
        <v>33</v>
      </c>
      <c r="AC1946">
        <v>-32.023199999999903</v>
      </c>
      <c r="AD1946">
        <v>-1.102495165456</v>
      </c>
      <c r="AE1946">
        <v>-2.9905999999999699</v>
      </c>
      <c r="AF1946">
        <v>-4.67232660575824</v>
      </c>
      <c r="AG1946">
        <v>-1.102495165456</v>
      </c>
      <c r="AH1946">
        <v>31.783198038813101</v>
      </c>
      <c r="AI1946">
        <v>91.965570263358899</v>
      </c>
      <c r="AJ1946">
        <v>98.3629338295259</v>
      </c>
      <c r="AK1946">
        <v>32.143705590288498</v>
      </c>
    </row>
    <row r="1947" spans="1:37" x14ac:dyDescent="0.2">
      <c r="A1947" t="str">
        <f>"20200111155832623"</f>
        <v>20200111155832623</v>
      </c>
      <c r="B1947" t="str">
        <f>"1578729512612972"</f>
        <v>1578729512612972</v>
      </c>
      <c r="C1947" t="s">
        <v>37</v>
      </c>
      <c r="D1947">
        <v>6.0543879999999897</v>
      </c>
      <c r="E1947">
        <v>0.44741170000000002</v>
      </c>
      <c r="F1947" t="s">
        <v>50</v>
      </c>
      <c r="G1947">
        <v>-333.45960000000002</v>
      </c>
      <c r="H1947" s="1">
        <v>4.5693149999999999E-7</v>
      </c>
      <c r="I1947">
        <v>281.12360000000001</v>
      </c>
      <c r="J1947">
        <v>-298.79090000000002</v>
      </c>
      <c r="K1947">
        <v>1.10263</v>
      </c>
      <c r="L1947">
        <v>285.03300000000002</v>
      </c>
      <c r="M1947">
        <v>-0.99850640000000002</v>
      </c>
      <c r="N1947">
        <v>0</v>
      </c>
      <c r="O1947">
        <v>5.3753240000000001E-2</v>
      </c>
      <c r="P1947">
        <v>-0.99950239999999901</v>
      </c>
      <c r="Q1947">
        <v>-1.9898490000000001E-2</v>
      </c>
      <c r="R1947">
        <v>2.4479330000000001E-2</v>
      </c>
      <c r="S1947">
        <v>-3.0070189999999899</v>
      </c>
      <c r="T1947">
        <v>-9.4726089999999999E-2</v>
      </c>
      <c r="U1947">
        <v>-0.33432009999999901</v>
      </c>
      <c r="V1947">
        <v>-2.9310570000000001E-2</v>
      </c>
      <c r="W1947">
        <v>-1.005022E-2</v>
      </c>
      <c r="X1947">
        <v>0.99951979999999996</v>
      </c>
      <c r="Y1947">
        <v>-0.1636592</v>
      </c>
      <c r="Z1947">
        <v>-4.25765E-3</v>
      </c>
      <c r="AA1947">
        <v>0.98650769999999899</v>
      </c>
      <c r="AB1947">
        <v>33</v>
      </c>
      <c r="AC1947">
        <v>-34.668700000000001</v>
      </c>
      <c r="AD1947">
        <v>-1.1026295430685</v>
      </c>
      <c r="AE1947">
        <v>-3.9094000000000002</v>
      </c>
      <c r="AF1947">
        <v>-5.7616364785251601</v>
      </c>
      <c r="AG1947">
        <v>-1.1026295430685</v>
      </c>
      <c r="AH1947">
        <v>34.3740856987474</v>
      </c>
      <c r="AI1947">
        <v>91.812006076612803</v>
      </c>
      <c r="AJ1947">
        <v>99.515220114371999</v>
      </c>
      <c r="AK1947">
        <v>34.871048370313602</v>
      </c>
    </row>
    <row r="1948" spans="1:37" x14ac:dyDescent="0.2">
      <c r="A1948" t="str">
        <f>"20200111155832647"</f>
        <v>20200111155832647</v>
      </c>
      <c r="B1948" t="str">
        <f>"1578729512643227"</f>
        <v>1578729512643227</v>
      </c>
      <c r="C1948" t="s">
        <v>37</v>
      </c>
      <c r="D1948">
        <v>5.9008859999999999</v>
      </c>
      <c r="E1948">
        <v>0.44390410000000002</v>
      </c>
      <c r="F1948" t="s">
        <v>50</v>
      </c>
      <c r="G1948">
        <v>-334.72320000000002</v>
      </c>
      <c r="H1948" s="1">
        <v>1.140189E-6</v>
      </c>
      <c r="I1948">
        <v>280.87560000000002</v>
      </c>
      <c r="J1948">
        <v>-299.1361</v>
      </c>
      <c r="K1948">
        <v>1.102787</v>
      </c>
      <c r="L1948">
        <v>285.05239999999998</v>
      </c>
      <c r="M1948">
        <v>-0.99846360000000001</v>
      </c>
      <c r="N1948">
        <v>0</v>
      </c>
      <c r="O1948">
        <v>5.4534520000000003E-2</v>
      </c>
      <c r="P1948">
        <v>-0.99948269999999995</v>
      </c>
      <c r="Q1948">
        <v>-1.9726049999999998E-2</v>
      </c>
      <c r="R1948">
        <v>2.5406499999999999E-2</v>
      </c>
      <c r="S1948">
        <v>-3.0082089999999999</v>
      </c>
      <c r="T1948">
        <v>-9.2310669999999997E-2</v>
      </c>
      <c r="U1948">
        <v>-0.348053</v>
      </c>
      <c r="V1948">
        <v>-2.916098E-2</v>
      </c>
      <c r="W1948">
        <v>-9.8425760000000004E-3</v>
      </c>
      <c r="X1948">
        <v>0.99952629999999998</v>
      </c>
      <c r="Y1948">
        <v>-0.16883509999999999</v>
      </c>
      <c r="Z1948">
        <v>-4.2495249999999997E-3</v>
      </c>
      <c r="AA1948">
        <v>0.98563519999999905</v>
      </c>
      <c r="AB1948">
        <v>33</v>
      </c>
      <c r="AC1948">
        <v>-35.5871</v>
      </c>
      <c r="AD1948">
        <v>-1.1027858598110001</v>
      </c>
      <c r="AE1948">
        <v>-4.1767999999999503</v>
      </c>
      <c r="AF1948">
        <v>-6.1056194100493997</v>
      </c>
      <c r="AG1948">
        <v>-1.1027858598110001</v>
      </c>
      <c r="AH1948">
        <v>35.272934872057199</v>
      </c>
      <c r="AI1948">
        <v>91.764510370950703</v>
      </c>
      <c r="AJ1948">
        <v>99.820386278852098</v>
      </c>
      <c r="AK1948">
        <v>35.814447636692101</v>
      </c>
    </row>
    <row r="1949" spans="1:37" x14ac:dyDescent="0.2">
      <c r="A1949" t="str">
        <f>"20200111155832669"</f>
        <v>20200111155832669</v>
      </c>
      <c r="B1949" t="str">
        <f>"1578729512662748"</f>
        <v>1578729512662748</v>
      </c>
      <c r="C1949" t="s">
        <v>37</v>
      </c>
      <c r="D1949">
        <v>6.0941809999999998</v>
      </c>
      <c r="E1949">
        <v>0.4278344</v>
      </c>
      <c r="F1949" t="s">
        <v>50</v>
      </c>
      <c r="G1949">
        <v>-347.43360000000001</v>
      </c>
      <c r="H1949">
        <v>8.0000740000000001E-2</v>
      </c>
      <c r="I1949">
        <v>279.08620000000002</v>
      </c>
      <c r="J1949">
        <v>-299.48320000000001</v>
      </c>
      <c r="K1949">
        <v>1.1029519999999999</v>
      </c>
      <c r="L1949">
        <v>285.072</v>
      </c>
      <c r="M1949">
        <v>-0.99843169999999903</v>
      </c>
      <c r="N1949">
        <v>0</v>
      </c>
      <c r="O1949">
        <v>5.5106839999999997E-2</v>
      </c>
      <c r="P1949">
        <v>-0.99949370000000004</v>
      </c>
      <c r="Q1949">
        <v>-1.9561209999999999E-2</v>
      </c>
      <c r="R1949">
        <v>2.5099929999999999E-2</v>
      </c>
      <c r="S1949">
        <v>-3.009735</v>
      </c>
      <c r="T1949">
        <v>-6.3736559999999998E-2</v>
      </c>
      <c r="U1949">
        <v>-0.37179570000000001</v>
      </c>
      <c r="V1949">
        <v>-3.003656E-2</v>
      </c>
      <c r="W1949">
        <v>-9.6378780000000008E-3</v>
      </c>
      <c r="X1949">
        <v>0.99950239999999901</v>
      </c>
      <c r="Y1949">
        <v>-0.1770553</v>
      </c>
      <c r="Z1949">
        <v>-3.0304679999999902E-3</v>
      </c>
      <c r="AA1949">
        <v>0.98419619999999997</v>
      </c>
      <c r="AB1949">
        <v>34</v>
      </c>
      <c r="AC1949">
        <v>-47.950400000000002</v>
      </c>
      <c r="AD1949">
        <v>-1.0229512599999999</v>
      </c>
      <c r="AE1949">
        <v>-5.9857999999999798</v>
      </c>
      <c r="AF1949">
        <v>-8.6153663004252596</v>
      </c>
      <c r="AG1949">
        <v>-1.0229512599999999</v>
      </c>
      <c r="AH1949">
        <v>47.526357663265799</v>
      </c>
      <c r="AI1949">
        <v>91.213269331671199</v>
      </c>
      <c r="AJ1949">
        <v>100.274747601703</v>
      </c>
      <c r="AK1949">
        <v>48.3117546618574</v>
      </c>
    </row>
    <row r="1950" spans="1:37" x14ac:dyDescent="0.2">
      <c r="A1950" t="str">
        <f>"20200111155832691"</f>
        <v>20200111155832691</v>
      </c>
      <c r="B1950" t="str">
        <f>"1578729512683244"</f>
        <v>1578729512683244</v>
      </c>
      <c r="C1950" t="s">
        <v>37</v>
      </c>
      <c r="D1950">
        <v>5.8979179999999998</v>
      </c>
      <c r="E1950">
        <v>0.43023469999999903</v>
      </c>
      <c r="F1950" t="s">
        <v>56</v>
      </c>
      <c r="G1950">
        <v>-440.6841</v>
      </c>
      <c r="H1950">
        <v>7.682347</v>
      </c>
      <c r="I1950">
        <v>262.10090000000002</v>
      </c>
      <c r="J1950">
        <v>-299.80900000000003</v>
      </c>
      <c r="K1950">
        <v>1.103091</v>
      </c>
      <c r="L1950">
        <v>285.09050000000002</v>
      </c>
      <c r="M1950">
        <v>-0.99840969999999996</v>
      </c>
      <c r="N1950">
        <v>0</v>
      </c>
      <c r="O1950">
        <v>5.5495389999999999E-2</v>
      </c>
      <c r="P1950">
        <v>-0.99953879999999995</v>
      </c>
      <c r="Q1950">
        <v>-1.892021E-2</v>
      </c>
      <c r="R1950">
        <v>2.3760489999999999E-2</v>
      </c>
      <c r="S1950">
        <v>-3.0166019999999998</v>
      </c>
      <c r="T1950">
        <v>0.14056170000000001</v>
      </c>
      <c r="U1950">
        <v>-0.4907532</v>
      </c>
      <c r="V1950">
        <v>-3.1761049999999999E-2</v>
      </c>
      <c r="W1950">
        <v>-8.9570989999999996E-3</v>
      </c>
      <c r="X1950">
        <v>0.99945529999999905</v>
      </c>
      <c r="Y1950">
        <v>-0.21481729999999999</v>
      </c>
      <c r="Z1950">
        <v>7.5391249999999998E-3</v>
      </c>
      <c r="AA1950">
        <v>0.97662510000000002</v>
      </c>
      <c r="AB1950">
        <v>34</v>
      </c>
      <c r="AC1950">
        <v>-140.87509999999901</v>
      </c>
      <c r="AD1950">
        <v>6.579256</v>
      </c>
      <c r="AE1950">
        <v>-22.989599999999999</v>
      </c>
      <c r="AF1950">
        <v>-30.707231673331201</v>
      </c>
      <c r="AG1950">
        <v>6.579256</v>
      </c>
      <c r="AH1950">
        <v>139.08660369929399</v>
      </c>
      <c r="AI1950">
        <v>87.355332809184105</v>
      </c>
      <c r="AJ1950">
        <v>102.44991782575801</v>
      </c>
      <c r="AK1950">
        <v>142.587881726175</v>
      </c>
    </row>
    <row r="1951" spans="1:37" x14ac:dyDescent="0.2">
      <c r="A1951" t="str">
        <f>"20200111155832713"</f>
        <v>20200111155832713</v>
      </c>
      <c r="B1951" t="str">
        <f>"1578729512702763"</f>
        <v>1578729512702763</v>
      </c>
      <c r="C1951" t="s">
        <v>37</v>
      </c>
      <c r="D1951">
        <v>5.874072</v>
      </c>
      <c r="E1951">
        <v>0.43067509999999998</v>
      </c>
      <c r="F1951" t="s">
        <v>56</v>
      </c>
      <c r="G1951">
        <v>-440.6841</v>
      </c>
      <c r="H1951">
        <v>3.8866529999999999</v>
      </c>
      <c r="I1951">
        <v>262.66109999999998</v>
      </c>
      <c r="J1951">
        <v>-300.137</v>
      </c>
      <c r="K1951">
        <v>1.1032200000000001</v>
      </c>
      <c r="L1951">
        <v>285.10899999999998</v>
      </c>
      <c r="M1951">
        <v>-0.99839509999999898</v>
      </c>
      <c r="N1951">
        <v>0</v>
      </c>
      <c r="O1951">
        <v>5.5747459999999999E-2</v>
      </c>
      <c r="P1951">
        <v>-0.99957129999999905</v>
      </c>
      <c r="Q1951">
        <v>-1.829685E-2</v>
      </c>
      <c r="R1951">
        <v>2.2856709999999999E-2</v>
      </c>
      <c r="S1951">
        <v>-3.013916</v>
      </c>
      <c r="T1951">
        <v>5.9552430000000003E-2</v>
      </c>
      <c r="U1951">
        <v>-0.47985839999999902</v>
      </c>
      <c r="V1951">
        <v>-3.2914539999999999E-2</v>
      </c>
      <c r="W1951">
        <v>-8.2964289999999993E-3</v>
      </c>
      <c r="X1951">
        <v>0.99942369999999903</v>
      </c>
      <c r="Y1951">
        <v>-0.21199499999999999</v>
      </c>
      <c r="Z1951">
        <v>3.176477E-3</v>
      </c>
      <c r="AA1951">
        <v>0.97726559999999996</v>
      </c>
      <c r="AB1951">
        <v>34</v>
      </c>
      <c r="AC1951">
        <v>-140.5471</v>
      </c>
      <c r="AD1951">
        <v>2.783433</v>
      </c>
      <c r="AE1951">
        <v>-22.447900000000001</v>
      </c>
      <c r="AF1951">
        <v>-30.236957058828299</v>
      </c>
      <c r="AG1951">
        <v>2.783433</v>
      </c>
      <c r="AH1951">
        <v>139.023867903108</v>
      </c>
      <c r="AI1951">
        <v>88.8792151112509</v>
      </c>
      <c r="AJ1951">
        <v>102.27043143595699</v>
      </c>
      <c r="AK1951">
        <v>142.30128923584601</v>
      </c>
    </row>
    <row r="1952" spans="1:37" x14ac:dyDescent="0.2">
      <c r="A1952" t="str">
        <f>"20200111155832726"</f>
        <v>20200111155832726</v>
      </c>
      <c r="B1952" t="str">
        <f>"1578729512723371"</f>
        <v>1578729512723371</v>
      </c>
      <c r="C1952" t="s">
        <v>37</v>
      </c>
      <c r="D1952">
        <v>5.8707589999999996</v>
      </c>
      <c r="E1952">
        <v>0.4307974</v>
      </c>
      <c r="F1952" t="s">
        <v>56</v>
      </c>
      <c r="G1952">
        <v>-440.6841</v>
      </c>
      <c r="H1952">
        <v>2.7009810000000001</v>
      </c>
      <c r="I1952">
        <v>262.69310000000002</v>
      </c>
      <c r="J1952">
        <v>-300.33940000000001</v>
      </c>
      <c r="K1952">
        <v>1.1032919999999999</v>
      </c>
      <c r="L1952">
        <v>285.12040000000002</v>
      </c>
      <c r="M1952">
        <v>-0.99838909999999903</v>
      </c>
      <c r="N1952">
        <v>0</v>
      </c>
      <c r="O1952">
        <v>5.585217E-2</v>
      </c>
      <c r="P1952">
        <v>-0.99959339999999997</v>
      </c>
      <c r="Q1952">
        <v>-1.7783230000000001E-2</v>
      </c>
      <c r="R1952">
        <v>2.22943E-2</v>
      </c>
      <c r="S1952">
        <v>-3.0129090000000001</v>
      </c>
      <c r="T1952">
        <v>3.4251450000000003E-2</v>
      </c>
      <c r="U1952">
        <v>-0.48052979999999901</v>
      </c>
      <c r="V1952">
        <v>-3.3579949999999997E-2</v>
      </c>
      <c r="W1952">
        <v>-7.7609760000000002E-3</v>
      </c>
      <c r="X1952">
        <v>0.99940589999999996</v>
      </c>
      <c r="Y1952">
        <v>-0.21239469999999999</v>
      </c>
      <c r="Z1952">
        <v>1.8310749999999999E-3</v>
      </c>
      <c r="AA1952">
        <v>0.9771822</v>
      </c>
      <c r="AB1952">
        <v>34</v>
      </c>
      <c r="AC1952">
        <v>-140.34469999999999</v>
      </c>
      <c r="AD1952">
        <v>1.5976889999999999</v>
      </c>
      <c r="AE1952">
        <v>-22.427299999999999</v>
      </c>
      <c r="AF1952">
        <v>-30.227415761274202</v>
      </c>
      <c r="AG1952">
        <v>1.5976889999999999</v>
      </c>
      <c r="AH1952">
        <v>138.855384076544</v>
      </c>
      <c r="AI1952">
        <v>89.355860586745194</v>
      </c>
      <c r="AJ1952">
        <v>102.281109380031</v>
      </c>
      <c r="AK1952">
        <v>142.11638526500101</v>
      </c>
    </row>
    <row r="1953" spans="1:37" x14ac:dyDescent="0.2">
      <c r="A1953" t="str">
        <f>"20200111155832738"</f>
        <v>20200111155832738</v>
      </c>
      <c r="B1953" t="str">
        <f>"1578729512733130"</f>
        <v>1578729512733130</v>
      </c>
      <c r="C1953" t="s">
        <v>37</v>
      </c>
      <c r="D1953">
        <v>5.9116010000000001</v>
      </c>
      <c r="E1953">
        <v>0.43116739999999998</v>
      </c>
      <c r="F1953" t="s">
        <v>56</v>
      </c>
      <c r="G1953">
        <v>-440.6841</v>
      </c>
      <c r="H1953">
        <v>2.9293629999999999</v>
      </c>
      <c r="I1953">
        <v>262.7106</v>
      </c>
      <c r="J1953">
        <v>-300.54590000000002</v>
      </c>
      <c r="K1953">
        <v>1.1033539999999999</v>
      </c>
      <c r="L1953">
        <v>285.13200000000001</v>
      </c>
      <c r="M1953">
        <v>-0.99838579999999999</v>
      </c>
      <c r="N1953">
        <v>0</v>
      </c>
      <c r="O1953">
        <v>5.5907199999999997E-2</v>
      </c>
      <c r="P1953">
        <v>-0.99960590000000005</v>
      </c>
      <c r="Q1953">
        <v>-1.7564960000000001E-2</v>
      </c>
      <c r="R1953">
        <v>2.1914349999999999E-2</v>
      </c>
      <c r="S1953">
        <v>-3.0126339999999998</v>
      </c>
      <c r="T1953">
        <v>3.919864E-2</v>
      </c>
      <c r="U1953">
        <v>-0.48104859999999999</v>
      </c>
      <c r="V1953">
        <v>-3.4013199999999903E-2</v>
      </c>
      <c r="W1953">
        <v>-7.5219359999999999E-3</v>
      </c>
      <c r="X1953">
        <v>0.99939310000000003</v>
      </c>
      <c r="Y1953">
        <v>-0.21262129999999901</v>
      </c>
      <c r="Z1953">
        <v>2.0978679999999902E-3</v>
      </c>
      <c r="AA1953">
        <v>0.97713240000000001</v>
      </c>
      <c r="AB1953">
        <v>34</v>
      </c>
      <c r="AC1953">
        <v>-140.13819999999899</v>
      </c>
      <c r="AD1953">
        <v>1.826009</v>
      </c>
      <c r="AE1953">
        <v>-22.421399999999998</v>
      </c>
      <c r="AF1953">
        <v>-30.216453396436901</v>
      </c>
      <c r="AG1953">
        <v>1.826009</v>
      </c>
      <c r="AH1953">
        <v>138.642465569433</v>
      </c>
      <c r="AI1953">
        <v>89.262727105886697</v>
      </c>
      <c r="AJ1953">
        <v>102.295071438976</v>
      </c>
      <c r="AK1953">
        <v>141.908779234755</v>
      </c>
    </row>
    <row r="1954" spans="1:37" x14ac:dyDescent="0.2">
      <c r="A1954" t="str">
        <f>"20200111155832758"</f>
        <v>20200111155832758</v>
      </c>
      <c r="B1954" t="str">
        <f>"1578729512752650"</f>
        <v>1578729512752650</v>
      </c>
      <c r="C1954" t="s">
        <v>37</v>
      </c>
      <c r="D1954">
        <v>6.2138419999999996</v>
      </c>
      <c r="E1954">
        <v>0.43228440000000001</v>
      </c>
      <c r="F1954" t="s">
        <v>56</v>
      </c>
      <c r="G1954">
        <v>-440.6841</v>
      </c>
      <c r="H1954">
        <v>2.776888</v>
      </c>
      <c r="I1954">
        <v>262.82389999999998</v>
      </c>
      <c r="J1954">
        <v>-300.82440000000003</v>
      </c>
      <c r="K1954">
        <v>1.103432</v>
      </c>
      <c r="L1954">
        <v>285.14769999999999</v>
      </c>
      <c r="M1954">
        <v>-0.99838369999999999</v>
      </c>
      <c r="N1954">
        <v>0</v>
      </c>
      <c r="O1954">
        <v>5.5939320000000001E-2</v>
      </c>
      <c r="P1954">
        <v>-0.99961559999999905</v>
      </c>
      <c r="Q1954">
        <v>-1.7369289999999999E-2</v>
      </c>
      <c r="R1954">
        <v>2.1622490000000001E-2</v>
      </c>
      <c r="S1954">
        <v>-3.0123289999999998</v>
      </c>
      <c r="T1954">
        <v>3.597355E-2</v>
      </c>
      <c r="U1954">
        <v>-0.47952269999999902</v>
      </c>
      <c r="V1954">
        <v>-3.4335879999999999E-2</v>
      </c>
      <c r="W1954">
        <v>-7.2998179999999996E-3</v>
      </c>
      <c r="X1954">
        <v>0.99938369999999999</v>
      </c>
      <c r="Y1954">
        <v>-0.21218899999999999</v>
      </c>
      <c r="Z1954">
        <v>1.923361E-3</v>
      </c>
      <c r="AA1954">
        <v>0.9772267</v>
      </c>
      <c r="AB1954">
        <v>34</v>
      </c>
      <c r="AC1954">
        <v>-139.85969999999901</v>
      </c>
      <c r="AD1954">
        <v>1.6734560000000001</v>
      </c>
      <c r="AE1954">
        <v>-22.323799999999999</v>
      </c>
      <c r="AF1954">
        <v>-30.108688500484099</v>
      </c>
      <c r="AG1954">
        <v>1.6734560000000001</v>
      </c>
      <c r="AH1954">
        <v>138.37252209178499</v>
      </c>
      <c r="AI1954">
        <v>89.322948422744204</v>
      </c>
      <c r="AJ1954">
        <v>102.275727548725</v>
      </c>
      <c r="AK1954">
        <v>141.62022612693599</v>
      </c>
    </row>
    <row r="1955" spans="1:37" x14ac:dyDescent="0.2">
      <c r="A1955" t="str">
        <f>"20200111155832780"</f>
        <v>20200111155832780</v>
      </c>
      <c r="B1955" t="str">
        <f>"1578729512773146"</f>
        <v>1578729512773146</v>
      </c>
      <c r="C1955" t="s">
        <v>37</v>
      </c>
      <c r="D1955">
        <v>5.9287769999999904</v>
      </c>
      <c r="E1955">
        <v>0.43241930000000001</v>
      </c>
      <c r="F1955" t="s">
        <v>56</v>
      </c>
      <c r="G1955">
        <v>-440.40789999999998</v>
      </c>
      <c r="H1955">
        <v>2.8695759999999999</v>
      </c>
      <c r="I1955">
        <v>263.29450000000003</v>
      </c>
      <c r="J1955">
        <v>-301.15199999999999</v>
      </c>
      <c r="K1955">
        <v>1.1035059999999901</v>
      </c>
      <c r="L1955">
        <v>285.16609999999997</v>
      </c>
      <c r="M1955">
        <v>-0.99838400000000005</v>
      </c>
      <c r="N1955">
        <v>0</v>
      </c>
      <c r="O1955">
        <v>5.5923489999999999E-2</v>
      </c>
      <c r="P1955">
        <v>-0.99961599999999995</v>
      </c>
      <c r="Q1955">
        <v>-1.7769179999999999E-2</v>
      </c>
      <c r="R1955">
        <v>2.126747E-2</v>
      </c>
      <c r="S1955">
        <v>-3.0119929999999999</v>
      </c>
      <c r="T1955">
        <v>3.8110850000000002E-2</v>
      </c>
      <c r="U1955">
        <v>-0.47155760000000002</v>
      </c>
      <c r="V1955">
        <v>-3.4674129999999997E-2</v>
      </c>
      <c r="W1955">
        <v>-7.6707809999999998E-3</v>
      </c>
      <c r="X1955">
        <v>0.99936919999999996</v>
      </c>
      <c r="Y1955">
        <v>-0.2096662</v>
      </c>
      <c r="Z1955">
        <v>2.0221929999999998E-3</v>
      </c>
      <c r="AA1955">
        <v>0.9777709</v>
      </c>
      <c r="AB1955">
        <v>34</v>
      </c>
      <c r="AC1955">
        <v>-139.2559</v>
      </c>
      <c r="AD1955">
        <v>1.76607</v>
      </c>
      <c r="AE1955">
        <v>-21.871599999999901</v>
      </c>
      <c r="AF1955">
        <v>-29.6207921919836</v>
      </c>
      <c r="AG1955">
        <v>1.76607</v>
      </c>
      <c r="AH1955">
        <v>137.79312284444401</v>
      </c>
      <c r="AI1955">
        <v>89.282088698215503</v>
      </c>
      <c r="AJ1955">
        <v>102.13200058318</v>
      </c>
      <c r="AK1955">
        <v>140.95196003089001</v>
      </c>
    </row>
    <row r="1956" spans="1:37" x14ac:dyDescent="0.2">
      <c r="A1956" t="str">
        <f>"20200111155832794"</f>
        <v>20200111155832794</v>
      </c>
      <c r="B1956" t="str">
        <f>"1578729512782907"</f>
        <v>1578729512782907</v>
      </c>
      <c r="C1956" t="s">
        <v>37</v>
      </c>
      <c r="D1956">
        <v>6.322184</v>
      </c>
      <c r="E1956">
        <v>0.432449799999999</v>
      </c>
      <c r="F1956" t="s">
        <v>56</v>
      </c>
      <c r="G1956">
        <v>-440.40789999999998</v>
      </c>
      <c r="H1956">
        <v>2.3126449999999998</v>
      </c>
      <c r="I1956">
        <v>263.3451</v>
      </c>
      <c r="J1956">
        <v>-301.35969999999998</v>
      </c>
      <c r="K1956">
        <v>1.1035429999999999</v>
      </c>
      <c r="L1956">
        <v>285.17770000000002</v>
      </c>
      <c r="M1956">
        <v>-0.99838579999999999</v>
      </c>
      <c r="N1956">
        <v>0</v>
      </c>
      <c r="O1956">
        <v>5.5890969999999998E-2</v>
      </c>
      <c r="P1956">
        <v>-0.99961749999999905</v>
      </c>
      <c r="Q1956">
        <v>-1.8155500000000001E-2</v>
      </c>
      <c r="R1956">
        <v>2.0867469999999999E-2</v>
      </c>
      <c r="S1956">
        <v>-3.0116879999999999</v>
      </c>
      <c r="T1956">
        <v>2.6150469999999999E-2</v>
      </c>
      <c r="U1956">
        <v>-0.4719238</v>
      </c>
      <c r="V1956">
        <v>-3.5040010000000003E-2</v>
      </c>
      <c r="W1956">
        <v>-8.0400149999999993E-3</v>
      </c>
      <c r="X1956">
        <v>0.99935359999999995</v>
      </c>
      <c r="Y1956">
        <v>-0.20977660000000001</v>
      </c>
      <c r="Z1956">
        <v>1.387915E-3</v>
      </c>
      <c r="AA1956">
        <v>0.97774830000000001</v>
      </c>
      <c r="AB1956">
        <v>34</v>
      </c>
      <c r="AC1956">
        <v>-139.04820000000001</v>
      </c>
      <c r="AD1956">
        <v>1.2091019999999999</v>
      </c>
      <c r="AE1956">
        <v>-21.832599999999999</v>
      </c>
      <c r="AF1956">
        <v>-29.5682226872649</v>
      </c>
      <c r="AG1956">
        <v>1.2091019999999999</v>
      </c>
      <c r="AH1956">
        <v>137.60036708320899</v>
      </c>
      <c r="AI1956">
        <v>89.507787055707894</v>
      </c>
      <c r="AJ1956">
        <v>102.127569313915</v>
      </c>
      <c r="AK1956">
        <v>140.746590516303</v>
      </c>
    </row>
    <row r="1957" spans="1:37" x14ac:dyDescent="0.2">
      <c r="A1957" t="str">
        <f>"20200111155832807"</f>
        <v>20200111155832807</v>
      </c>
      <c r="B1957" t="str">
        <f>"1578729512803404"</f>
        <v>1578729512803404</v>
      </c>
      <c r="C1957" t="s">
        <v>37</v>
      </c>
      <c r="D1957">
        <v>5.9064319999999997</v>
      </c>
      <c r="E1957">
        <v>0.4326332</v>
      </c>
      <c r="F1957" t="s">
        <v>56</v>
      </c>
      <c r="G1957">
        <v>-440.40789999999998</v>
      </c>
      <c r="H1957">
        <v>2.4626649999999999</v>
      </c>
      <c r="I1957">
        <v>263.34629999999999</v>
      </c>
      <c r="J1957">
        <v>-301.56240000000003</v>
      </c>
      <c r="K1957">
        <v>1.1035740000000001</v>
      </c>
      <c r="L1957">
        <v>285.1891</v>
      </c>
      <c r="M1957">
        <v>-0.99838769999999999</v>
      </c>
      <c r="N1957">
        <v>0</v>
      </c>
      <c r="O1957">
        <v>5.5850650000000002E-2</v>
      </c>
      <c r="P1957">
        <v>-0.99961219999999995</v>
      </c>
      <c r="Q1957">
        <v>-1.8739059999999998E-2</v>
      </c>
      <c r="R1957">
        <v>2.0601080000000001E-2</v>
      </c>
      <c r="S1957">
        <v>-3.0115970000000001</v>
      </c>
      <c r="T1957">
        <v>2.9437069999999999E-2</v>
      </c>
      <c r="U1957">
        <v>-0.47283940000000002</v>
      </c>
      <c r="V1957">
        <v>-3.5265240000000003E-2</v>
      </c>
      <c r="W1957">
        <v>-8.6075849999999992E-3</v>
      </c>
      <c r="X1957">
        <v>0.99934089999999998</v>
      </c>
      <c r="Y1957">
        <v>-0.2100291</v>
      </c>
      <c r="Z1957">
        <v>1.563187E-3</v>
      </c>
      <c r="AA1957">
        <v>0.9776939</v>
      </c>
      <c r="AB1957">
        <v>34</v>
      </c>
      <c r="AC1957">
        <v>-138.84549999999899</v>
      </c>
      <c r="AD1957">
        <v>1.359091</v>
      </c>
      <c r="AE1957">
        <v>-21.8428</v>
      </c>
      <c r="AF1957">
        <v>-29.5609485162976</v>
      </c>
      <c r="AG1957">
        <v>1.359091</v>
      </c>
      <c r="AH1957">
        <v>137.39591466369899</v>
      </c>
      <c r="AI1957">
        <v>89.445938807744696</v>
      </c>
      <c r="AJ1957">
        <v>102.142181240341</v>
      </c>
      <c r="AK1957">
        <v>140.54655517587</v>
      </c>
    </row>
    <row r="1958" spans="1:37" x14ac:dyDescent="0.2">
      <c r="A1958" t="str">
        <f>"20200111155832823"</f>
        <v>20200111155832823</v>
      </c>
      <c r="B1958" t="str">
        <f>"1578729512813163"</f>
        <v>1578729512813163</v>
      </c>
      <c r="C1958" t="s">
        <v>37</v>
      </c>
      <c r="D1958">
        <v>5.9104760000000001</v>
      </c>
      <c r="E1958">
        <v>0.43250169999999999</v>
      </c>
      <c r="F1958" t="s">
        <v>56</v>
      </c>
      <c r="G1958">
        <v>-440.40789999999998</v>
      </c>
      <c r="H1958">
        <v>2.0787800000000001</v>
      </c>
      <c r="I1958">
        <v>263.40269999999998</v>
      </c>
      <c r="J1958">
        <v>-301.8125</v>
      </c>
      <c r="K1958">
        <v>1.103604</v>
      </c>
      <c r="L1958">
        <v>285.20310000000001</v>
      </c>
      <c r="M1958">
        <v>-0.99839100000000003</v>
      </c>
      <c r="N1958">
        <v>0</v>
      </c>
      <c r="O1958">
        <v>5.578922E-2</v>
      </c>
      <c r="P1958">
        <v>-0.99960959999999999</v>
      </c>
      <c r="Q1958">
        <v>-1.9562940000000001E-2</v>
      </c>
      <c r="R1958">
        <v>1.9952170000000002E-2</v>
      </c>
      <c r="S1958">
        <v>-3.0112919999999899</v>
      </c>
      <c r="T1958">
        <v>2.115059E-2</v>
      </c>
      <c r="U1958">
        <v>-0.47250370000000003</v>
      </c>
      <c r="V1958">
        <v>-3.5850609999999998E-2</v>
      </c>
      <c r="W1958">
        <v>-9.4129820000000003E-3</v>
      </c>
      <c r="X1958">
        <v>0.9993128</v>
      </c>
      <c r="Y1958">
        <v>-0.20988379999999901</v>
      </c>
      <c r="Z1958">
        <v>1.1223520000000001E-3</v>
      </c>
      <c r="AA1958">
        <v>0.97772569999999903</v>
      </c>
      <c r="AB1958">
        <v>34</v>
      </c>
      <c r="AC1958">
        <v>-138.59539999999899</v>
      </c>
      <c r="AD1958">
        <v>0.97517600000000004</v>
      </c>
      <c r="AE1958">
        <v>-21.8004</v>
      </c>
      <c r="AF1958">
        <v>-29.497546189504799</v>
      </c>
      <c r="AG1958">
        <v>0.97517600000000004</v>
      </c>
      <c r="AH1958">
        <v>137.15660870507199</v>
      </c>
      <c r="AI1958">
        <v>89.601742850181907</v>
      </c>
      <c r="AJ1958">
        <v>102.13742388691</v>
      </c>
      <c r="AK1958">
        <v>140.29608515888501</v>
      </c>
    </row>
    <row r="1959" spans="1:37" x14ac:dyDescent="0.2">
      <c r="A1959" t="str">
        <f>"20200111155832848"</f>
        <v>20200111155832848</v>
      </c>
      <c r="B1959" t="str">
        <f>"1578729512843419"</f>
        <v>1578729512843419</v>
      </c>
      <c r="C1959" t="s">
        <v>37</v>
      </c>
      <c r="D1959">
        <v>6.0965889999999998</v>
      </c>
      <c r="E1959">
        <v>0.43358669999999999</v>
      </c>
      <c r="F1959" t="s">
        <v>56</v>
      </c>
      <c r="G1959">
        <v>-440.40789999999998</v>
      </c>
      <c r="H1959">
        <v>2.2379859999999998</v>
      </c>
      <c r="I1959">
        <v>263.32260000000002</v>
      </c>
      <c r="J1959">
        <v>-302.16800000000001</v>
      </c>
      <c r="K1959">
        <v>1.1036349999999999</v>
      </c>
      <c r="L1959">
        <v>285.22289999999998</v>
      </c>
      <c r="M1959">
        <v>-0.99839609999999901</v>
      </c>
      <c r="N1959">
        <v>0</v>
      </c>
      <c r="O1959">
        <v>5.5692810000000002E-2</v>
      </c>
      <c r="P1959">
        <v>-0.99963869999999899</v>
      </c>
      <c r="Q1959">
        <v>-1.9372489999999999E-2</v>
      </c>
      <c r="R1959">
        <v>1.8641600000000001E-2</v>
      </c>
      <c r="S1959">
        <v>-3.0111080000000001</v>
      </c>
      <c r="T1959">
        <v>2.4645810000000001E-2</v>
      </c>
      <c r="U1959">
        <v>-0.47537229999999903</v>
      </c>
      <c r="V1959">
        <v>-3.706338E-2</v>
      </c>
      <c r="W1959">
        <v>-9.1987969999999999E-3</v>
      </c>
      <c r="X1959">
        <v>0.99927060000000001</v>
      </c>
      <c r="Y1959">
        <v>-0.21070510000000001</v>
      </c>
      <c r="Z1959">
        <v>1.3103589999999899E-3</v>
      </c>
      <c r="AA1959">
        <v>0.9775488</v>
      </c>
      <c r="AB1959">
        <v>34</v>
      </c>
      <c r="AC1959">
        <v>-138.23989999999901</v>
      </c>
      <c r="AD1959">
        <v>1.1343510000000001</v>
      </c>
      <c r="AE1959">
        <v>-21.900299999999898</v>
      </c>
      <c r="AF1959">
        <v>-29.563731346404399</v>
      </c>
      <c r="AG1959">
        <v>1.1343510000000001</v>
      </c>
      <c r="AH1959">
        <v>136.79658486282401</v>
      </c>
      <c r="AI1959">
        <v>89.535620463870998</v>
      </c>
      <c r="AJ1959">
        <v>102.194903307703</v>
      </c>
      <c r="AK1959">
        <v>139.95930334724201</v>
      </c>
    </row>
    <row r="1960" spans="1:37" x14ac:dyDescent="0.2">
      <c r="A1960" t="str">
        <f>"20200111155832861"</f>
        <v>20200111155832861</v>
      </c>
      <c r="B1960" t="str">
        <f>"1578729512853180"</f>
        <v>1578729512853180</v>
      </c>
      <c r="C1960" t="s">
        <v>37</v>
      </c>
      <c r="D1960">
        <v>6.202998</v>
      </c>
      <c r="E1960">
        <v>0.43358669999999999</v>
      </c>
      <c r="F1960" t="s">
        <v>57</v>
      </c>
      <c r="G1960">
        <v>-355.4316</v>
      </c>
      <c r="H1960">
        <v>1.3490389999999901</v>
      </c>
      <c r="I1960">
        <v>276.8895</v>
      </c>
      <c r="J1960">
        <v>-302.38889999999998</v>
      </c>
      <c r="K1960">
        <v>1.1036509999999999</v>
      </c>
      <c r="L1960">
        <v>285.23509999999999</v>
      </c>
      <c r="M1960">
        <v>-0.99839920000000004</v>
      </c>
      <c r="N1960">
        <v>0</v>
      </c>
      <c r="O1960">
        <v>5.5634570000000001E-2</v>
      </c>
      <c r="P1960">
        <v>-0.99965210000000004</v>
      </c>
      <c r="Q1960">
        <v>-1.882872E-2</v>
      </c>
      <c r="R1960">
        <v>1.8475979999999999E-2</v>
      </c>
      <c r="S1960">
        <v>-3.010132</v>
      </c>
      <c r="T1960">
        <v>1.387239E-2</v>
      </c>
      <c r="U1960">
        <v>-0.47094730000000001</v>
      </c>
      <c r="V1960">
        <v>-3.7171240000000001E-2</v>
      </c>
      <c r="W1960">
        <v>-8.64371699999999E-3</v>
      </c>
      <c r="X1960">
        <v>0.99927149999999998</v>
      </c>
      <c r="Y1960">
        <v>-0.209300299999999</v>
      </c>
      <c r="Z1960">
        <v>7.344033E-4</v>
      </c>
      <c r="AA1960">
        <v>0.97785119999999903</v>
      </c>
      <c r="AB1960">
        <v>34</v>
      </c>
      <c r="AC1960">
        <v>-53.042700000000004</v>
      </c>
      <c r="AD1960">
        <v>0.245387999999999</v>
      </c>
      <c r="AE1960">
        <v>-8.3455999999999904</v>
      </c>
      <c r="AF1960">
        <v>-11.2835983383206</v>
      </c>
      <c r="AG1960">
        <v>0.245387999999999</v>
      </c>
      <c r="AH1960">
        <v>52.495114481454799</v>
      </c>
      <c r="AI1960">
        <v>89.738153759452004</v>
      </c>
      <c r="AJ1960">
        <v>102.130905611312</v>
      </c>
      <c r="AK1960">
        <v>53.6946631533539</v>
      </c>
    </row>
    <row r="1961" spans="1:37" x14ac:dyDescent="0.2">
      <c r="A1961" t="str">
        <f>"20200111155832881"</f>
        <v>20200111155832881</v>
      </c>
      <c r="B1961" t="str">
        <f>"1578729512872698"</f>
        <v>1578729512872698</v>
      </c>
      <c r="C1961" t="s">
        <v>37</v>
      </c>
      <c r="D1961">
        <v>6.0235430000000001</v>
      </c>
      <c r="E1961">
        <v>0.4951895</v>
      </c>
      <c r="F1961" t="s">
        <v>57</v>
      </c>
      <c r="G1961">
        <v>-355.3929</v>
      </c>
      <c r="H1961">
        <v>1.3801379999999901</v>
      </c>
      <c r="I1961">
        <v>276.93630000000002</v>
      </c>
      <c r="J1961">
        <v>-302.67750000000001</v>
      </c>
      <c r="K1961">
        <v>1.1036600000000001</v>
      </c>
      <c r="L1961">
        <v>285.25119999999998</v>
      </c>
      <c r="M1961">
        <v>-0.99840300000000004</v>
      </c>
      <c r="N1961">
        <v>0</v>
      </c>
      <c r="O1961">
        <v>5.556407E-2</v>
      </c>
      <c r="P1961">
        <v>-0.99966880000000002</v>
      </c>
      <c r="Q1961">
        <v>-1.8294230000000002E-2</v>
      </c>
      <c r="R1961">
        <v>1.8108920000000001E-2</v>
      </c>
      <c r="S1961">
        <v>-3.01004</v>
      </c>
      <c r="T1961">
        <v>1.5705110000000001E-2</v>
      </c>
      <c r="U1961">
        <v>-0.47128300000000001</v>
      </c>
      <c r="V1961">
        <v>-3.7467790000000001E-2</v>
      </c>
      <c r="W1961">
        <v>-8.0982509999999903E-3</v>
      </c>
      <c r="X1961">
        <v>0.99926499999999996</v>
      </c>
      <c r="Y1961">
        <v>-0.20934139999999901</v>
      </c>
      <c r="Z1961">
        <v>8.3118530000000001E-4</v>
      </c>
      <c r="AA1961">
        <v>0.97784230000000005</v>
      </c>
      <c r="AB1961">
        <v>34</v>
      </c>
      <c r="AC1961">
        <v>-52.715399999999903</v>
      </c>
      <c r="AD1961">
        <v>0.276477999999999</v>
      </c>
      <c r="AE1961">
        <v>-8.3148999999999607</v>
      </c>
      <c r="AF1961">
        <v>-11.2309863593209</v>
      </c>
      <c r="AG1961">
        <v>0.276477999999999</v>
      </c>
      <c r="AH1961">
        <v>52.1705187874568</v>
      </c>
      <c r="AI1961">
        <v>89.703163635292796</v>
      </c>
      <c r="AJ1961">
        <v>102.148916334251</v>
      </c>
      <c r="AK1961">
        <v>53.366417579224098</v>
      </c>
    </row>
    <row r="1962" spans="1:37" x14ac:dyDescent="0.2">
      <c r="A1962" t="str">
        <f>"20200111155832895"</f>
        <v>20200111155832895</v>
      </c>
      <c r="B1962" t="str">
        <f>"1578729512883434"</f>
        <v>1578729512883434</v>
      </c>
      <c r="C1962" t="s">
        <v>37</v>
      </c>
      <c r="D1962">
        <v>6.0045500000000001</v>
      </c>
      <c r="E1962">
        <v>0.50044270000000002</v>
      </c>
      <c r="F1962" t="s">
        <v>52</v>
      </c>
      <c r="G1962">
        <v>-316.99880000000002</v>
      </c>
      <c r="H1962" s="1">
        <v>5.26176799999999E-6</v>
      </c>
      <c r="I1962">
        <v>285.2901</v>
      </c>
      <c r="J1962">
        <v>-302.88639999999998</v>
      </c>
      <c r="K1962">
        <v>1.103658</v>
      </c>
      <c r="L1962">
        <v>285.26280000000003</v>
      </c>
      <c r="M1962">
        <v>-0.99840529999999905</v>
      </c>
      <c r="N1962">
        <v>0</v>
      </c>
      <c r="O1962">
        <v>5.5521090000000002E-2</v>
      </c>
      <c r="P1962">
        <v>-0.99966010000000005</v>
      </c>
      <c r="Q1962">
        <v>-1.855913E-2</v>
      </c>
      <c r="R1962">
        <v>1.8306309999999999E-2</v>
      </c>
      <c r="S1962">
        <v>-2.996613</v>
      </c>
      <c r="T1962">
        <v>-0.23093029999999901</v>
      </c>
      <c r="U1962">
        <v>8.1481929999999998E-3</v>
      </c>
      <c r="V1962">
        <v>-3.7227089999999997E-2</v>
      </c>
      <c r="W1962">
        <v>-8.3606369999999902E-3</v>
      </c>
      <c r="X1962">
        <v>0.99927189999999999</v>
      </c>
      <c r="Y1962">
        <v>-5.2488729999999997E-2</v>
      </c>
      <c r="Z1962">
        <v>-6.2903059999999998E-3</v>
      </c>
      <c r="AA1962">
        <v>0.99860170000000004</v>
      </c>
      <c r="AB1962">
        <v>34</v>
      </c>
      <c r="AC1962">
        <v>-14.112399999999999</v>
      </c>
      <c r="AD1962">
        <v>-1.1036527382320001</v>
      </c>
      <c r="AE1962">
        <v>2.7299999999968301E-2</v>
      </c>
      <c r="AF1962">
        <v>-0.75172133133390995</v>
      </c>
      <c r="AG1962">
        <v>-1.1036527382320001</v>
      </c>
      <c r="AH1962">
        <v>14.0064828904633</v>
      </c>
      <c r="AI1962">
        <v>94.498912738428601</v>
      </c>
      <c r="AJ1962">
        <v>93.072090093439598</v>
      </c>
      <c r="AK1962">
        <v>14.069992796282101</v>
      </c>
    </row>
    <row r="1963" spans="1:37" x14ac:dyDescent="0.2">
      <c r="A1963" t="str">
        <f>"20200111155832916"</f>
        <v>20200111155832916</v>
      </c>
      <c r="B1963" t="str">
        <f>"1578729512902953"</f>
        <v>1578729512902953</v>
      </c>
      <c r="C1963" t="s">
        <v>37</v>
      </c>
      <c r="D1963">
        <v>6.2936589999999999</v>
      </c>
      <c r="E1963">
        <v>0.50642969999999998</v>
      </c>
      <c r="F1963" t="s">
        <v>52</v>
      </c>
      <c r="G1963">
        <v>-316.60789999999997</v>
      </c>
      <c r="H1963" s="1">
        <v>5.0707840000000002E-6</v>
      </c>
      <c r="I1963">
        <v>285.49169999999998</v>
      </c>
      <c r="J1963">
        <v>-303.1857</v>
      </c>
      <c r="K1963">
        <v>1.1036489999999901</v>
      </c>
      <c r="L1963">
        <v>285.27940000000001</v>
      </c>
      <c r="M1963">
        <v>-0.99840830000000003</v>
      </c>
      <c r="N1963">
        <v>0</v>
      </c>
      <c r="O1963">
        <v>5.5470810000000002E-2</v>
      </c>
      <c r="P1963">
        <v>-0.99960879999999996</v>
      </c>
      <c r="Q1963">
        <v>-1.9874909999999999E-2</v>
      </c>
      <c r="R1963">
        <v>1.9689769999999999E-2</v>
      </c>
      <c r="S1963">
        <v>-2.9956360000000002</v>
      </c>
      <c r="T1963">
        <v>-0.2409461</v>
      </c>
      <c r="U1963">
        <v>4.9987789999999997E-2</v>
      </c>
      <c r="V1963">
        <v>-3.5791919999999998E-2</v>
      </c>
      <c r="W1963">
        <v>-9.6809310000000003E-3</v>
      </c>
      <c r="X1963">
        <v>0.99931239999999999</v>
      </c>
      <c r="Y1963">
        <v>-3.8503910000000002E-2</v>
      </c>
      <c r="Z1963">
        <v>-5.9980210000000001E-3</v>
      </c>
      <c r="AA1963">
        <v>0.99924049999999998</v>
      </c>
      <c r="AB1963">
        <v>34</v>
      </c>
      <c r="AC1963">
        <v>-13.422199999999901</v>
      </c>
      <c r="AD1963">
        <v>-1.1036439292160001</v>
      </c>
      <c r="AE1963">
        <v>0.21229999999997001</v>
      </c>
      <c r="AF1963">
        <v>-0.52903000763972796</v>
      </c>
      <c r="AG1963">
        <v>-1.1036439292160001</v>
      </c>
      <c r="AH1963">
        <v>13.3232529775162</v>
      </c>
      <c r="AI1963">
        <v>94.731625760145207</v>
      </c>
      <c r="AJ1963">
        <v>92.273864465275494</v>
      </c>
      <c r="AK1963">
        <v>13.3793487350608</v>
      </c>
    </row>
    <row r="1964" spans="1:37" x14ac:dyDescent="0.2">
      <c r="A1964" t="str">
        <f>"20200111155832930"</f>
        <v>20200111155832930</v>
      </c>
      <c r="B1964" t="str">
        <f>"1578729512923450"</f>
        <v>1578729512923450</v>
      </c>
      <c r="C1964" t="s">
        <v>37</v>
      </c>
      <c r="D1964">
        <v>6.0587679999999997</v>
      </c>
      <c r="E1964">
        <v>0.50758389999999998</v>
      </c>
      <c r="F1964" t="s">
        <v>38</v>
      </c>
      <c r="G1964">
        <v>-304.06369999999998</v>
      </c>
      <c r="H1964">
        <v>1.029914</v>
      </c>
      <c r="I1964">
        <v>285.30919999999998</v>
      </c>
      <c r="J1964">
        <v>-303.42559999999997</v>
      </c>
      <c r="K1964">
        <v>1.1036379999999999</v>
      </c>
      <c r="L1964">
        <v>285.29270000000002</v>
      </c>
      <c r="M1964">
        <v>-0.99841000000000002</v>
      </c>
      <c r="N1964">
        <v>0</v>
      </c>
      <c r="O1964">
        <v>5.5441280000000003E-2</v>
      </c>
      <c r="P1964">
        <v>-0.9995773</v>
      </c>
      <c r="Q1964">
        <v>-2.0374799999999998E-2</v>
      </c>
      <c r="R1964">
        <v>2.0741869999999999E-2</v>
      </c>
      <c r="S1964">
        <v>-2.9941709999999899</v>
      </c>
      <c r="T1964">
        <v>-0.25149679999999902</v>
      </c>
      <c r="U1964">
        <v>0.10162350000000001</v>
      </c>
      <c r="V1964">
        <v>-3.4710989999999997E-2</v>
      </c>
      <c r="W1964">
        <v>-1.0191810000000001E-2</v>
      </c>
      <c r="X1964">
        <v>0.99934539999999905</v>
      </c>
      <c r="Y1964">
        <v>-2.1273940000000002E-2</v>
      </c>
      <c r="Z1964">
        <v>-5.5362909999999996E-3</v>
      </c>
      <c r="AA1964">
        <v>0.99975840000000005</v>
      </c>
      <c r="AB1964">
        <v>34</v>
      </c>
      <c r="AC1964">
        <v>-0.63810000000000799</v>
      </c>
      <c r="AD1964">
        <v>-7.3723999999999901E-2</v>
      </c>
      <c r="AE1964">
        <v>1.6499999999950801E-2</v>
      </c>
      <c r="AF1964">
        <v>-1.86554361454455E-2</v>
      </c>
      <c r="AG1964">
        <v>-7.3723999999999901E-2</v>
      </c>
      <c r="AH1964">
        <v>0.62963409052015296</v>
      </c>
      <c r="AI1964">
        <v>96.675463318178799</v>
      </c>
      <c r="AJ1964">
        <v>91.697120844143797</v>
      </c>
      <c r="AK1964">
        <v>0.63421001365392904</v>
      </c>
    </row>
    <row r="1965" spans="1:37" x14ac:dyDescent="0.2">
      <c r="A1965" t="str">
        <f>"20200111155832948"</f>
        <v>20200111155832948</v>
      </c>
      <c r="B1965" t="str">
        <f>"1578729512942970"</f>
        <v>1578729512942970</v>
      </c>
      <c r="C1965" t="s">
        <v>37</v>
      </c>
      <c r="D1965">
        <v>6.1345049999999999</v>
      </c>
      <c r="E1965">
        <v>0.50879700000000005</v>
      </c>
      <c r="F1965" t="s">
        <v>38</v>
      </c>
      <c r="G1965">
        <v>-304.36810000000003</v>
      </c>
      <c r="H1965">
        <v>1.03152</v>
      </c>
      <c r="I1965">
        <v>285.32909999999998</v>
      </c>
      <c r="J1965">
        <v>-303.70310000000001</v>
      </c>
      <c r="K1965">
        <v>1.103626</v>
      </c>
      <c r="L1965">
        <v>285.30810000000002</v>
      </c>
      <c r="M1965">
        <v>-0.99841159999999995</v>
      </c>
      <c r="N1965">
        <v>0</v>
      </c>
      <c r="O1965">
        <v>5.5417189999999998E-2</v>
      </c>
      <c r="P1965">
        <v>-0.99954120000000002</v>
      </c>
      <c r="Q1965">
        <v>-2.0514270000000001E-2</v>
      </c>
      <c r="R1965">
        <v>2.2293899999999998E-2</v>
      </c>
      <c r="S1965">
        <v>-2.9941709999999899</v>
      </c>
      <c r="T1965">
        <v>-0.22924069999999999</v>
      </c>
      <c r="U1965">
        <v>0.1151123</v>
      </c>
      <c r="V1965">
        <v>-3.3134549999999999E-2</v>
      </c>
      <c r="W1965">
        <v>-1.035147E-2</v>
      </c>
      <c r="X1965">
        <v>0.99939730000000004</v>
      </c>
      <c r="Y1965">
        <v>-1.681026E-2</v>
      </c>
      <c r="Z1965">
        <v>-4.8749129999999998E-3</v>
      </c>
      <c r="AA1965">
        <v>0.99984680000000004</v>
      </c>
      <c r="AB1965">
        <v>34</v>
      </c>
      <c r="AC1965">
        <v>-0.66500000000002002</v>
      </c>
      <c r="AD1965">
        <v>-7.2105999999999906E-2</v>
      </c>
      <c r="AE1965">
        <v>2.0999999999958101E-2</v>
      </c>
      <c r="AF1965">
        <v>-1.5702179730584801E-2</v>
      </c>
      <c r="AG1965">
        <v>-7.2105999999999906E-2</v>
      </c>
      <c r="AH1965">
        <v>0.657420159250242</v>
      </c>
      <c r="AI1965">
        <v>96.257425498171401</v>
      </c>
      <c r="AJ1965">
        <v>91.368223342708703</v>
      </c>
      <c r="AK1965">
        <v>0.661549015170384</v>
      </c>
    </row>
    <row r="1966" spans="1:37" x14ac:dyDescent="0.2">
      <c r="A1966" t="str">
        <f>"20200111155832971"</f>
        <v>20200111155832971</v>
      </c>
      <c r="B1966" t="str">
        <f>"1578729512963466"</f>
        <v>1578729512963466</v>
      </c>
      <c r="C1966" t="s">
        <v>37</v>
      </c>
      <c r="D1966">
        <v>6.0055839999999998</v>
      </c>
      <c r="E1966">
        <v>0.51015459999999901</v>
      </c>
      <c r="F1966" t="s">
        <v>38</v>
      </c>
      <c r="G1966">
        <v>-304.66730000000001</v>
      </c>
      <c r="H1966">
        <v>1.0264040000000001</v>
      </c>
      <c r="I1966">
        <v>285.34980000000002</v>
      </c>
      <c r="J1966">
        <v>-304.04149999999998</v>
      </c>
      <c r="K1966">
        <v>1.1036059999999901</v>
      </c>
      <c r="L1966">
        <v>285.32679999999999</v>
      </c>
      <c r="M1966">
        <v>-0.99841290000000005</v>
      </c>
      <c r="N1966">
        <v>0</v>
      </c>
      <c r="O1966">
        <v>5.5399940000000002E-2</v>
      </c>
      <c r="P1966">
        <v>-0.99951659999999998</v>
      </c>
      <c r="Q1966">
        <v>-2.0386830000000002E-2</v>
      </c>
      <c r="R1966">
        <v>2.3477000000000001E-2</v>
      </c>
      <c r="S1966">
        <v>-2.9935610000000001</v>
      </c>
      <c r="T1966">
        <v>-0.23978189999999999</v>
      </c>
      <c r="U1966">
        <v>0.1290588</v>
      </c>
      <c r="V1966">
        <v>-3.1935079999999998E-2</v>
      </c>
      <c r="W1966">
        <v>-1.0260210000000001E-2</v>
      </c>
      <c r="X1966">
        <v>0.99943729999999997</v>
      </c>
      <c r="Y1966">
        <v>-1.212974E-2</v>
      </c>
      <c r="Z1966">
        <v>-4.910345E-3</v>
      </c>
      <c r="AA1966">
        <v>0.99991430000000003</v>
      </c>
      <c r="AB1966">
        <v>34</v>
      </c>
      <c r="AC1966">
        <v>-0.625800000000026</v>
      </c>
      <c r="AD1966">
        <v>-7.7201999999999701E-2</v>
      </c>
      <c r="AE1966">
        <v>2.3000000000024501E-2</v>
      </c>
      <c r="AF1966">
        <v>-1.15311303935709E-2</v>
      </c>
      <c r="AG1966">
        <v>-7.7201999999999701E-2</v>
      </c>
      <c r="AH1966">
        <v>0.61673959375276</v>
      </c>
      <c r="AI1966">
        <v>97.133803000302805</v>
      </c>
      <c r="AJ1966">
        <v>91.071129762246599</v>
      </c>
      <c r="AK1966">
        <v>0.62165974799280099</v>
      </c>
    </row>
    <row r="1967" spans="1:37" x14ac:dyDescent="0.2">
      <c r="A1967" t="str">
        <f>"20200111155832991"</f>
        <v>20200111155832991</v>
      </c>
      <c r="B1967" t="str">
        <f>"1578729512982985"</f>
        <v>1578729512982985</v>
      </c>
      <c r="C1967" t="s">
        <v>37</v>
      </c>
      <c r="D1967">
        <v>5.9944639999999998</v>
      </c>
      <c r="E1967">
        <v>0.51120940000000004</v>
      </c>
      <c r="F1967" t="s">
        <v>38</v>
      </c>
      <c r="G1967">
        <v>-304.97179999999997</v>
      </c>
      <c r="H1967">
        <v>1.026985</v>
      </c>
      <c r="I1967">
        <v>285.37150000000003</v>
      </c>
      <c r="J1967">
        <v>-304.36239999999998</v>
      </c>
      <c r="K1967">
        <v>1.1035950000000001</v>
      </c>
      <c r="L1967">
        <v>285.34469999999999</v>
      </c>
      <c r="M1967">
        <v>-0.99841369999999896</v>
      </c>
      <c r="N1967">
        <v>0</v>
      </c>
      <c r="O1967">
        <v>5.5392839999999999E-2</v>
      </c>
      <c r="P1967">
        <v>-0.99951139999999905</v>
      </c>
      <c r="Q1967">
        <v>-2.0006980000000001E-2</v>
      </c>
      <c r="R1967">
        <v>2.4014879999999999E-2</v>
      </c>
      <c r="S1967">
        <v>-2.993042</v>
      </c>
      <c r="T1967">
        <v>-0.24656320000000001</v>
      </c>
      <c r="U1967">
        <v>0.14331050000000001</v>
      </c>
      <c r="V1967">
        <v>-3.1390939999999999E-2</v>
      </c>
      <c r="W1967">
        <v>-9.9278990000000004E-3</v>
      </c>
      <c r="X1967">
        <v>0.99945790000000001</v>
      </c>
      <c r="Y1967">
        <v>-7.3674300000000003E-3</v>
      </c>
      <c r="Z1967">
        <v>-4.8526339999999998E-3</v>
      </c>
      <c r="AA1967">
        <v>0.99996109999999905</v>
      </c>
      <c r="AB1967">
        <v>34</v>
      </c>
      <c r="AC1967">
        <v>-0.60939999999999295</v>
      </c>
      <c r="AD1967">
        <v>-7.6609999999999998E-2</v>
      </c>
      <c r="AE1967">
        <v>2.6800000000036999E-2</v>
      </c>
      <c r="AF1967">
        <v>-6.8905772901974296E-3</v>
      </c>
      <c r="AG1967">
        <v>-7.6609999999999998E-2</v>
      </c>
      <c r="AH1967">
        <v>0.60047725637537397</v>
      </c>
      <c r="AI1967">
        <v>97.270149585335204</v>
      </c>
      <c r="AJ1967">
        <v>90.657449828867996</v>
      </c>
      <c r="AK1967">
        <v>0.60538376884377099</v>
      </c>
    </row>
    <row r="1968" spans="1:37" x14ac:dyDescent="0.2">
      <c r="A1968" t="str">
        <f>"20200111155833006"</f>
        <v>20200111155833006</v>
      </c>
      <c r="B1968" t="str">
        <f>"1578729513003482"</f>
        <v>1578729513003482</v>
      </c>
      <c r="C1968" t="s">
        <v>37</v>
      </c>
      <c r="D1968">
        <v>6.0366999999999997</v>
      </c>
      <c r="E1968">
        <v>0.51156099999999904</v>
      </c>
      <c r="F1968" t="s">
        <v>38</v>
      </c>
      <c r="G1968">
        <v>-305.27690000000001</v>
      </c>
      <c r="H1968">
        <v>1.027423</v>
      </c>
      <c r="I1968">
        <v>285.39159999999998</v>
      </c>
      <c r="J1968">
        <v>-304.58499999999998</v>
      </c>
      <c r="K1968">
        <v>1.103585</v>
      </c>
      <c r="L1968">
        <v>285.35700000000003</v>
      </c>
      <c r="M1968">
        <v>-0.99841429999999998</v>
      </c>
      <c r="N1968">
        <v>0</v>
      </c>
      <c r="O1968">
        <v>5.5391269999999999E-2</v>
      </c>
      <c r="P1968">
        <v>-0.99951659999999998</v>
      </c>
      <c r="Q1968">
        <v>-1.9829670000000001E-2</v>
      </c>
      <c r="R1968">
        <v>2.3954340000000001E-2</v>
      </c>
      <c r="S1968">
        <v>-2.9928279999999998</v>
      </c>
      <c r="T1968">
        <v>-0.249365</v>
      </c>
      <c r="U1968">
        <v>0.15319820000000001</v>
      </c>
      <c r="V1968">
        <v>-3.1450079999999998E-2</v>
      </c>
      <c r="W1968">
        <v>-9.7895020000000003E-3</v>
      </c>
      <c r="X1968">
        <v>0.99945740000000005</v>
      </c>
      <c r="Y1968">
        <v>-4.0733760000000001E-3</v>
      </c>
      <c r="Z1968">
        <v>-4.7703939999999998E-3</v>
      </c>
      <c r="AA1968">
        <v>0.99998029999999904</v>
      </c>
      <c r="AB1968">
        <v>34</v>
      </c>
      <c r="AC1968">
        <v>-0.69190000000003204</v>
      </c>
      <c r="AD1968">
        <v>-7.6161999999999994E-2</v>
      </c>
      <c r="AE1968">
        <v>3.4599999999954799E-2</v>
      </c>
      <c r="AF1968">
        <v>-3.7351301152400802E-3</v>
      </c>
      <c r="AG1968">
        <v>-7.6161999999999994E-2</v>
      </c>
      <c r="AH1968">
        <v>0.68448119783460804</v>
      </c>
      <c r="AI1968">
        <v>96.349072045676394</v>
      </c>
      <c r="AJ1968">
        <v>90.3126529524109</v>
      </c>
      <c r="AK1968">
        <v>0.68871555204603696</v>
      </c>
    </row>
    <row r="1969" spans="1:37" x14ac:dyDescent="0.2">
      <c r="A1969" t="str">
        <f>"20200111155833026"</f>
        <v>20200111155833026</v>
      </c>
      <c r="B1969" t="str">
        <f>"1578729513022611"</f>
        <v>1578729513022611</v>
      </c>
      <c r="C1969" t="s">
        <v>37</v>
      </c>
      <c r="D1969">
        <v>6.301736</v>
      </c>
      <c r="E1969">
        <v>0.51210449999999996</v>
      </c>
      <c r="F1969" t="s">
        <v>38</v>
      </c>
      <c r="G1969">
        <v>-305.57940000000002</v>
      </c>
      <c r="H1969">
        <v>1.02137099999999</v>
      </c>
      <c r="I1969">
        <v>285.4092</v>
      </c>
      <c r="J1969">
        <v>-304.8784</v>
      </c>
      <c r="K1969">
        <v>1.1035729999999999</v>
      </c>
      <c r="L1969">
        <v>285.37329999999997</v>
      </c>
      <c r="M1969">
        <v>-0.99841480000000005</v>
      </c>
      <c r="N1969">
        <v>0</v>
      </c>
      <c r="O1969">
        <v>5.5392719999999999E-2</v>
      </c>
      <c r="P1969">
        <v>-0.99955090000000002</v>
      </c>
      <c r="Q1969">
        <v>-1.95640999999999E-2</v>
      </c>
      <c r="R1969">
        <v>2.2705759999999998E-2</v>
      </c>
      <c r="S1969">
        <v>-2.9927980000000001</v>
      </c>
      <c r="T1969">
        <v>-0.24766050000000001</v>
      </c>
      <c r="U1969">
        <v>0.1560059</v>
      </c>
      <c r="V1969">
        <v>-3.2700180000000002E-2</v>
      </c>
      <c r="W1969">
        <v>-9.5823980000000007E-3</v>
      </c>
      <c r="X1969">
        <v>0.99941930000000001</v>
      </c>
      <c r="Y1969">
        <v>-3.1446239999999999E-3</v>
      </c>
      <c r="Z1969">
        <v>-4.6995839999999997E-3</v>
      </c>
      <c r="AA1969">
        <v>0.99998399999999998</v>
      </c>
      <c r="AB1969">
        <v>34</v>
      </c>
      <c r="AC1969">
        <v>-0.70100000000002105</v>
      </c>
      <c r="AD1969">
        <v>-8.2202000000000094E-2</v>
      </c>
      <c r="AE1969">
        <v>3.5900000000026397E-2</v>
      </c>
      <c r="AF1969">
        <v>-2.9469372606617701E-3</v>
      </c>
      <c r="AG1969">
        <v>-8.2202000000000094E-2</v>
      </c>
      <c r="AH1969">
        <v>0.69241592300511401</v>
      </c>
      <c r="AI1969">
        <v>96.770272184737905</v>
      </c>
      <c r="AJ1969">
        <v>90.243850614123801</v>
      </c>
      <c r="AK1969">
        <v>0.69728449263857994</v>
      </c>
    </row>
    <row r="1970" spans="1:37" x14ac:dyDescent="0.2">
      <c r="A1970" t="str">
        <f>"20200111155833039"</f>
        <v>20200111155833039</v>
      </c>
      <c r="B1970" t="str">
        <f>"1578729513033348"</f>
        <v>1578729513033348</v>
      </c>
      <c r="C1970" t="s">
        <v>37</v>
      </c>
      <c r="D1970">
        <v>5.8936449999999896</v>
      </c>
      <c r="E1970">
        <v>0.51235070000000005</v>
      </c>
      <c r="F1970" t="s">
        <v>38</v>
      </c>
      <c r="G1970">
        <v>-305.88639999999998</v>
      </c>
      <c r="H1970">
        <v>1.0237339999999999</v>
      </c>
      <c r="I1970">
        <v>285.42619999999999</v>
      </c>
      <c r="J1970">
        <v>-305.09800000000001</v>
      </c>
      <c r="K1970">
        <v>1.1035629999999901</v>
      </c>
      <c r="L1970">
        <v>285.38549999999998</v>
      </c>
      <c r="M1970">
        <v>-0.99841519999999995</v>
      </c>
      <c r="N1970">
        <v>0</v>
      </c>
      <c r="O1970">
        <v>5.5394600000000002E-2</v>
      </c>
      <c r="P1970">
        <v>-0.99956769999999995</v>
      </c>
      <c r="Q1970">
        <v>-1.9363160000000001E-2</v>
      </c>
      <c r="R1970">
        <v>2.2128829999999999E-2</v>
      </c>
      <c r="S1970">
        <v>-2.993134</v>
      </c>
      <c r="T1970">
        <v>-0.23710729999999999</v>
      </c>
      <c r="U1970">
        <v>0.15710450000000001</v>
      </c>
      <c r="V1970">
        <v>-3.3278769999999999E-2</v>
      </c>
      <c r="W1970">
        <v>-9.4318370000000002E-3</v>
      </c>
      <c r="X1970">
        <v>0.9994016</v>
      </c>
      <c r="Y1970">
        <v>-2.8039570000000002E-3</v>
      </c>
      <c r="Z1970">
        <v>-4.4860909999999898E-3</v>
      </c>
      <c r="AA1970">
        <v>0.99998600000000004</v>
      </c>
      <c r="AB1970">
        <v>34</v>
      </c>
      <c r="AC1970">
        <v>-0.78839999999996702</v>
      </c>
      <c r="AD1970">
        <v>-7.98289999999999E-2</v>
      </c>
      <c r="AE1970">
        <v>4.0700000000015203E-2</v>
      </c>
      <c r="AF1970">
        <v>-3.0070063776795799E-3</v>
      </c>
      <c r="AG1970">
        <v>-7.98289999999999E-2</v>
      </c>
      <c r="AH1970">
        <v>0.78145346859345599</v>
      </c>
      <c r="AI1970">
        <v>95.832746387846797</v>
      </c>
      <c r="AJ1970">
        <v>90.220471123349995</v>
      </c>
      <c r="AK1970">
        <v>0.78552608798505097</v>
      </c>
    </row>
    <row r="1971" spans="1:37" x14ac:dyDescent="0.2">
      <c r="A1971" t="str">
        <f>"20200111155833053"</f>
        <v>20200111155833053</v>
      </c>
      <c r="B1971" t="str">
        <f>"1578729513043107"</f>
        <v>1578729513043107</v>
      </c>
      <c r="C1971" t="s">
        <v>37</v>
      </c>
      <c r="D1971">
        <v>5.8419540000000003</v>
      </c>
      <c r="E1971">
        <v>0.51252339999999996</v>
      </c>
      <c r="F1971" t="s">
        <v>38</v>
      </c>
      <c r="G1971">
        <v>-305.89729999999997</v>
      </c>
      <c r="H1971">
        <v>1.0403639999999901</v>
      </c>
      <c r="I1971">
        <v>285.42750000000001</v>
      </c>
      <c r="J1971">
        <v>-305.30160000000001</v>
      </c>
      <c r="K1971">
        <v>1.1035549999999901</v>
      </c>
      <c r="L1971">
        <v>285.39679999999998</v>
      </c>
      <c r="M1971">
        <v>-0.99841550000000001</v>
      </c>
      <c r="N1971">
        <v>0</v>
      </c>
      <c r="O1971">
        <v>5.5396819999999999E-2</v>
      </c>
      <c r="P1971">
        <v>-0.99958380000000002</v>
      </c>
      <c r="Q1971">
        <v>-1.931225E-2</v>
      </c>
      <c r="R1971">
        <v>2.143625E-2</v>
      </c>
      <c r="S1971">
        <v>-2.9932560000000001</v>
      </c>
      <c r="T1971">
        <v>-0.2366936</v>
      </c>
      <c r="U1971">
        <v>0.1575317</v>
      </c>
      <c r="V1971">
        <v>-3.3973570000000002E-2</v>
      </c>
      <c r="W1971">
        <v>-9.4292609999999995E-3</v>
      </c>
      <c r="X1971">
        <v>0.99937830000000005</v>
      </c>
      <c r="Y1971">
        <v>-2.6670190000000001E-3</v>
      </c>
      <c r="Z1971">
        <v>-4.4728579999999997E-3</v>
      </c>
      <c r="AA1971">
        <v>0.9999865</v>
      </c>
      <c r="AB1971">
        <v>34</v>
      </c>
      <c r="AC1971">
        <v>-0.59569999999996504</v>
      </c>
      <c r="AD1971">
        <v>-6.3190999999999997E-2</v>
      </c>
      <c r="AE1971">
        <v>3.0700000000024302E-2</v>
      </c>
      <c r="AF1971">
        <v>-2.3225785761080398E-3</v>
      </c>
      <c r="AG1971">
        <v>-6.3190999999999997E-2</v>
      </c>
      <c r="AH1971">
        <v>0.58986594983008001</v>
      </c>
      <c r="AI1971">
        <v>96.114599619959293</v>
      </c>
      <c r="AJ1971">
        <v>90.225599159151699</v>
      </c>
      <c r="AK1971">
        <v>0.59324559469176397</v>
      </c>
    </row>
    <row r="1972" spans="1:37" x14ac:dyDescent="0.2">
      <c r="A1972" t="str">
        <f>"20200111155833071"</f>
        <v>20200111155833071</v>
      </c>
      <c r="B1972" t="str">
        <f>"1578729513062627"</f>
        <v>1578729513062627</v>
      </c>
      <c r="C1972" t="s">
        <v>37</v>
      </c>
      <c r="D1972">
        <v>5.8670609999999996</v>
      </c>
      <c r="E1972">
        <v>0.51295979999999997</v>
      </c>
      <c r="F1972" t="s">
        <v>38</v>
      </c>
      <c r="G1972">
        <v>-306.19740000000002</v>
      </c>
      <c r="H1972">
        <v>1.0327040000000001</v>
      </c>
      <c r="I1972">
        <v>285.44380000000001</v>
      </c>
      <c r="J1972">
        <v>-305.56900000000002</v>
      </c>
      <c r="K1972">
        <v>1.1035429999999999</v>
      </c>
      <c r="L1972">
        <v>285.41160000000002</v>
      </c>
      <c r="M1972">
        <v>-0.99841610000000003</v>
      </c>
      <c r="N1972">
        <v>0</v>
      </c>
      <c r="O1972">
        <v>5.5399139999999999E-2</v>
      </c>
      <c r="P1972">
        <v>-0.99961959999999905</v>
      </c>
      <c r="Q1972">
        <v>-1.893334E-2</v>
      </c>
      <c r="R1972">
        <v>2.0058960000000001E-2</v>
      </c>
      <c r="S1972">
        <v>-2.9933169999999998</v>
      </c>
      <c r="T1972">
        <v>-0.2368161</v>
      </c>
      <c r="U1972">
        <v>0.15670780000000001</v>
      </c>
      <c r="V1972">
        <v>-3.5352759999999997E-2</v>
      </c>
      <c r="W1972">
        <v>-9.1167490000000004E-3</v>
      </c>
      <c r="X1972">
        <v>0.99933329999999998</v>
      </c>
      <c r="Y1972">
        <v>-2.943827E-3</v>
      </c>
      <c r="Z1972">
        <v>-4.4862189999999996E-3</v>
      </c>
      <c r="AA1972">
        <v>0.99998560000000003</v>
      </c>
      <c r="AB1972">
        <v>34</v>
      </c>
      <c r="AC1972">
        <v>-0.62839999999999896</v>
      </c>
      <c r="AD1972">
        <v>-7.0838999999999805E-2</v>
      </c>
      <c r="AE1972">
        <v>3.2199999999988897E-2</v>
      </c>
      <c r="AF1972">
        <v>-2.6306074780884999E-3</v>
      </c>
      <c r="AG1972">
        <v>-7.0838999999999805E-2</v>
      </c>
      <c r="AH1972">
        <v>0.62134353397620601</v>
      </c>
      <c r="AI1972">
        <v>96.504115626366499</v>
      </c>
      <c r="AJ1972">
        <v>90.242574030744393</v>
      </c>
      <c r="AK1972">
        <v>0.62537418497307995</v>
      </c>
    </row>
    <row r="1973" spans="1:37" x14ac:dyDescent="0.2">
      <c r="A1973" t="str">
        <f>"20200111155833099"</f>
        <v>20200111155833099</v>
      </c>
      <c r="B1973" t="str">
        <f>"1578729513092883"</f>
        <v>1578729513092883</v>
      </c>
      <c r="C1973" t="s">
        <v>37</v>
      </c>
      <c r="D1973">
        <v>5.9017869999999997</v>
      </c>
      <c r="E1973">
        <v>0.51295829999999998</v>
      </c>
      <c r="F1973" t="s">
        <v>38</v>
      </c>
      <c r="G1973">
        <v>-306.5027</v>
      </c>
      <c r="H1973">
        <v>1.029798</v>
      </c>
      <c r="I1973">
        <v>285.46050000000002</v>
      </c>
      <c r="J1973">
        <v>-306.02199999999999</v>
      </c>
      <c r="K1973">
        <v>1.103523</v>
      </c>
      <c r="L1973">
        <v>285.43669999999997</v>
      </c>
      <c r="M1973">
        <v>-0.99841709999999995</v>
      </c>
      <c r="N1973">
        <v>0</v>
      </c>
      <c r="O1973">
        <v>5.5401430000000002E-2</v>
      </c>
      <c r="P1973">
        <v>-0.99965740000000003</v>
      </c>
      <c r="Q1973">
        <v>-1.8238310000000001E-2</v>
      </c>
      <c r="R1973">
        <v>1.8783310000000001E-2</v>
      </c>
      <c r="S1973">
        <v>-2.9935610000000001</v>
      </c>
      <c r="T1973">
        <v>-0.2365767</v>
      </c>
      <c r="U1973">
        <v>0.1563416</v>
      </c>
      <c r="V1973">
        <v>-3.6630929999999999E-2</v>
      </c>
      <c r="W1973">
        <v>-8.5406019999999996E-3</v>
      </c>
      <c r="X1973">
        <v>0.99929239999999997</v>
      </c>
      <c r="Y1973">
        <v>-3.0723079999999902E-3</v>
      </c>
      <c r="Z1973">
        <v>-4.4865929999999997E-3</v>
      </c>
      <c r="AA1973">
        <v>0.99998519999999902</v>
      </c>
      <c r="AB1973">
        <v>34</v>
      </c>
      <c r="AC1973">
        <v>-0.48070000000001301</v>
      </c>
      <c r="AD1973">
        <v>-7.3724999999999999E-2</v>
      </c>
      <c r="AE1973">
        <v>2.38000000000511E-2</v>
      </c>
      <c r="AF1973">
        <v>-2.8034916985760399E-3</v>
      </c>
      <c r="AG1973">
        <v>-7.3724999999999999E-2</v>
      </c>
      <c r="AH1973">
        <v>0.47024601097420399</v>
      </c>
      <c r="AI1973">
        <v>98.910123836604598</v>
      </c>
      <c r="AJ1973">
        <v>90.341579376487601</v>
      </c>
      <c r="AK1973">
        <v>0.47599847271588502</v>
      </c>
    </row>
    <row r="1974" spans="1:37" x14ac:dyDescent="0.2">
      <c r="A1974" t="str">
        <f>"20200111155833116"</f>
        <v>20200111155833116</v>
      </c>
      <c r="B1974" t="str">
        <f>"1578729513102644"</f>
        <v>1578729513102644</v>
      </c>
      <c r="C1974" t="s">
        <v>37</v>
      </c>
      <c r="D1974">
        <v>5.9109049999999996</v>
      </c>
      <c r="E1974">
        <v>0.46907309999999902</v>
      </c>
      <c r="F1974" t="s">
        <v>38</v>
      </c>
      <c r="G1974">
        <v>-306.81869999999998</v>
      </c>
      <c r="H1974">
        <v>1.040994</v>
      </c>
      <c r="I1974">
        <v>285.47750000000002</v>
      </c>
      <c r="J1974">
        <v>-306.25389999999999</v>
      </c>
      <c r="K1974">
        <v>1.1035139999999899</v>
      </c>
      <c r="L1974">
        <v>285.44959999999998</v>
      </c>
      <c r="M1974">
        <v>-0.99841759999999902</v>
      </c>
      <c r="N1974">
        <v>0</v>
      </c>
      <c r="O1974">
        <v>5.5401560000000002E-2</v>
      </c>
      <c r="P1974">
        <v>-0.99968259999999898</v>
      </c>
      <c r="Q1974">
        <v>-1.7415880000000002E-2</v>
      </c>
      <c r="R1974">
        <v>1.8205949999999999E-2</v>
      </c>
      <c r="S1974">
        <v>-2.9938959999999999</v>
      </c>
      <c r="T1974">
        <v>-0.23502960000000001</v>
      </c>
      <c r="U1974">
        <v>0.15246579999999901</v>
      </c>
      <c r="V1974">
        <v>-3.7209159999999998E-2</v>
      </c>
      <c r="W1974">
        <v>-7.7777829999999999E-3</v>
      </c>
      <c r="X1974">
        <v>0.99927719999999898</v>
      </c>
      <c r="Y1974">
        <v>-4.3677489999999998E-3</v>
      </c>
      <c r="Z1974">
        <v>-4.5077759999999998E-3</v>
      </c>
      <c r="AA1974">
        <v>0.99998029999999904</v>
      </c>
      <c r="AB1974">
        <v>34</v>
      </c>
      <c r="AC1974">
        <v>-0.56479999999999098</v>
      </c>
      <c r="AD1974">
        <v>-6.2519999999999895E-2</v>
      </c>
      <c r="AE1974">
        <v>2.7900000000045101E-2</v>
      </c>
      <c r="AF1974">
        <v>-3.3936282291049898E-3</v>
      </c>
      <c r="AG1974">
        <v>-6.2519999999999895E-2</v>
      </c>
      <c r="AH1974">
        <v>0.55864968062331899</v>
      </c>
      <c r="AI1974">
        <v>96.385439065180194</v>
      </c>
      <c r="AJ1974">
        <v>90.348050289501899</v>
      </c>
      <c r="AK1974">
        <v>0.56214742974872101</v>
      </c>
    </row>
    <row r="1975" spans="1:37" x14ac:dyDescent="0.2">
      <c r="A1975" t="str">
        <f>"20200111155833138"</f>
        <v>20200111155833138</v>
      </c>
      <c r="B1975" t="str">
        <f>"1578729513133383"</f>
        <v>1578729513133383</v>
      </c>
      <c r="C1975" t="s">
        <v>37</v>
      </c>
      <c r="D1975">
        <v>5.8537989999999898</v>
      </c>
      <c r="E1975">
        <v>0.4664276</v>
      </c>
      <c r="F1975" t="s">
        <v>50</v>
      </c>
      <c r="G1975">
        <v>-321.60079999999999</v>
      </c>
      <c r="H1975" s="1">
        <v>-6.7689980000000005E-7</v>
      </c>
      <c r="I1975">
        <v>284.43239999999997</v>
      </c>
      <c r="J1975">
        <v>-306.60700000000003</v>
      </c>
      <c r="K1975">
        <v>1.103507</v>
      </c>
      <c r="L1975">
        <v>285.4692</v>
      </c>
      <c r="M1975">
        <v>-0.99841849999999999</v>
      </c>
      <c r="N1975">
        <v>0</v>
      </c>
      <c r="O1975">
        <v>5.5401350000000002E-2</v>
      </c>
      <c r="P1975">
        <v>-0.99970049999999899</v>
      </c>
      <c r="Q1975">
        <v>-1.7169529999999999E-2</v>
      </c>
      <c r="R1975">
        <v>1.74382999999999E-2</v>
      </c>
      <c r="S1975">
        <v>-3.0008539999999999</v>
      </c>
      <c r="T1975">
        <v>-0.2157762</v>
      </c>
      <c r="U1975">
        <v>-0.19888310000000001</v>
      </c>
      <c r="V1975">
        <v>-3.7975870000000002E-2</v>
      </c>
      <c r="W1975">
        <v>-7.6169790000000003E-3</v>
      </c>
      <c r="X1975">
        <v>0.99924959999999996</v>
      </c>
      <c r="Y1975">
        <v>-0.12085799999999999</v>
      </c>
      <c r="Z1975">
        <v>-8.3094299999999996E-3</v>
      </c>
      <c r="AA1975">
        <v>0.99263500000000005</v>
      </c>
      <c r="AB1975">
        <v>34</v>
      </c>
      <c r="AC1975">
        <v>-14.993799999999901</v>
      </c>
      <c r="AD1975">
        <v>-1.1035076768998</v>
      </c>
      <c r="AE1975">
        <v>-1.0368000000000199</v>
      </c>
      <c r="AF1975">
        <v>-1.85591720597856</v>
      </c>
      <c r="AG1975">
        <v>-1.1035076768998</v>
      </c>
      <c r="AH1975">
        <v>14.833363028191901</v>
      </c>
      <c r="AI1975">
        <v>94.221807177104296</v>
      </c>
      <c r="AJ1975">
        <v>97.131659793789396</v>
      </c>
      <c r="AK1975">
        <v>14.989690343517999</v>
      </c>
    </row>
    <row r="1976" spans="1:37" x14ac:dyDescent="0.2">
      <c r="A1976" t="str">
        <f>"20200111155833160"</f>
        <v>20200111155833160</v>
      </c>
      <c r="B1976" t="str">
        <f>"1578729513152902"</f>
        <v>1578729513152902</v>
      </c>
      <c r="C1976" t="s">
        <v>37</v>
      </c>
      <c r="D1976">
        <v>5.8750540000000004</v>
      </c>
      <c r="E1976">
        <v>0.4640666</v>
      </c>
      <c r="F1976" t="s">
        <v>50</v>
      </c>
      <c r="G1976">
        <v>-322.00909999999999</v>
      </c>
      <c r="H1976" s="1">
        <v>-4.551121E-7</v>
      </c>
      <c r="I1976">
        <v>284.32940000000002</v>
      </c>
      <c r="J1976">
        <v>-306.94670000000002</v>
      </c>
      <c r="K1976">
        <v>1.103499</v>
      </c>
      <c r="L1976">
        <v>285.488</v>
      </c>
      <c r="M1976">
        <v>-0.99841919999999995</v>
      </c>
      <c r="N1976">
        <v>0</v>
      </c>
      <c r="O1976">
        <v>5.540076E-2</v>
      </c>
      <c r="P1976">
        <v>-0.99970389999999998</v>
      </c>
      <c r="Q1976">
        <v>-1.725869E-2</v>
      </c>
      <c r="R1976">
        <v>1.7162420000000001E-2</v>
      </c>
      <c r="S1976">
        <v>-3.0010680000000001</v>
      </c>
      <c r="T1976">
        <v>-0.21501670000000001</v>
      </c>
      <c r="U1976">
        <v>-0.22207640000000001</v>
      </c>
      <c r="V1976">
        <v>-3.8251220000000002E-2</v>
      </c>
      <c r="W1976">
        <v>-7.7777230000000003E-3</v>
      </c>
      <c r="X1976">
        <v>0.99923790000000001</v>
      </c>
      <c r="Y1976">
        <v>-0.1284671</v>
      </c>
      <c r="Z1976">
        <v>-8.5494709999999995E-3</v>
      </c>
      <c r="AA1976">
        <v>0.99167689999999997</v>
      </c>
      <c r="AB1976">
        <v>34</v>
      </c>
      <c r="AC1976">
        <v>-15.062399999999901</v>
      </c>
      <c r="AD1976">
        <v>-1.1034994551121</v>
      </c>
      <c r="AE1976">
        <v>-1.1585999999999701</v>
      </c>
      <c r="AF1976">
        <v>-1.98075757327945</v>
      </c>
      <c r="AG1976">
        <v>-1.1034994551121</v>
      </c>
      <c r="AH1976">
        <v>14.895595974672</v>
      </c>
      <c r="AI1976">
        <v>94.200024440204999</v>
      </c>
      <c r="AJ1976">
        <v>97.574529389769694</v>
      </c>
      <c r="AK1976">
        <v>15.0671792666113</v>
      </c>
    </row>
    <row r="1977" spans="1:37" x14ac:dyDescent="0.2">
      <c r="A1977" t="str">
        <f>"20200111155833182"</f>
        <v>20200111155833182</v>
      </c>
      <c r="B1977" t="str">
        <f>"1578729513173398"</f>
        <v>1578729513173398</v>
      </c>
      <c r="C1977" t="s">
        <v>37</v>
      </c>
      <c r="D1977">
        <v>5.8370739999999897</v>
      </c>
      <c r="E1977">
        <v>0.46346739999999997</v>
      </c>
      <c r="F1977" t="s">
        <v>50</v>
      </c>
      <c r="G1977">
        <v>-322.15620000000001</v>
      </c>
      <c r="H1977" s="1">
        <v>-3.7389059999999997E-7</v>
      </c>
      <c r="I1977">
        <v>284.26249999999999</v>
      </c>
      <c r="J1977">
        <v>-307.27940000000001</v>
      </c>
      <c r="K1977">
        <v>1.1034979999999901</v>
      </c>
      <c r="L1977">
        <v>285.50650000000002</v>
      </c>
      <c r="M1977">
        <v>-0.99841970000000002</v>
      </c>
      <c r="N1977">
        <v>0</v>
      </c>
      <c r="O1977">
        <v>5.5400209999999998E-2</v>
      </c>
      <c r="P1977">
        <v>-0.99969540000000001</v>
      </c>
      <c r="Q1977">
        <v>-1.746582E-2</v>
      </c>
      <c r="R1977">
        <v>1.743654E-2</v>
      </c>
      <c r="S1977">
        <v>-3.0012509999999999</v>
      </c>
      <c r="T1977">
        <v>-0.21775069999999999</v>
      </c>
      <c r="U1977">
        <v>-0.24182129999999899</v>
      </c>
      <c r="V1977">
        <v>-3.797669E-2</v>
      </c>
      <c r="W1977">
        <v>-8.0401220000000002E-3</v>
      </c>
      <c r="X1977">
        <v>0.99924629999999903</v>
      </c>
      <c r="Y1977">
        <v>-0.13491610000000001</v>
      </c>
      <c r="Z1977">
        <v>-8.8885960000000003E-3</v>
      </c>
      <c r="AA1977">
        <v>0.99081710000000001</v>
      </c>
      <c r="AB1977">
        <v>35</v>
      </c>
      <c r="AC1977">
        <v>-14.876799999999999</v>
      </c>
      <c r="AD1977">
        <v>-1.1034983738905999</v>
      </c>
      <c r="AE1977">
        <v>-1.24400000000002</v>
      </c>
      <c r="AF1977">
        <v>-2.0550752125816998</v>
      </c>
      <c r="AG1977">
        <v>-1.1034983738905999</v>
      </c>
      <c r="AH1977">
        <v>14.7046855957106</v>
      </c>
      <c r="AI1977">
        <v>94.250504209767499</v>
      </c>
      <c r="AJ1977">
        <v>97.955925920562393</v>
      </c>
      <c r="AK1977">
        <v>14.888546646978201</v>
      </c>
    </row>
    <row r="1978" spans="1:37" x14ac:dyDescent="0.2">
      <c r="A1978" t="str">
        <f>"20200111155833203"</f>
        <v>20200111155833203</v>
      </c>
      <c r="B1978" t="str">
        <f>"1578729513192918"</f>
        <v>1578729513192918</v>
      </c>
      <c r="C1978" t="s">
        <v>37</v>
      </c>
      <c r="D1978">
        <v>5.8466230000000001</v>
      </c>
      <c r="E1978">
        <v>0.463231</v>
      </c>
      <c r="F1978" t="s">
        <v>50</v>
      </c>
      <c r="G1978">
        <v>-322.6626</v>
      </c>
      <c r="H1978" s="1">
        <v>-1.03760399999999E-7</v>
      </c>
      <c r="I1978">
        <v>284.24740000000003</v>
      </c>
      <c r="J1978">
        <v>-307.6191</v>
      </c>
      <c r="K1978">
        <v>1.1034979999999901</v>
      </c>
      <c r="L1978">
        <v>285.52530000000002</v>
      </c>
      <c r="M1978">
        <v>-0.99842009999999903</v>
      </c>
      <c r="N1978">
        <v>0</v>
      </c>
      <c r="O1978">
        <v>5.5399770000000001E-2</v>
      </c>
      <c r="P1978">
        <v>-0.99970110000000001</v>
      </c>
      <c r="Q1978">
        <v>-1.7059669999999999E-2</v>
      </c>
      <c r="R1978">
        <v>1.7514729999999999E-2</v>
      </c>
      <c r="S1978">
        <v>-3.001465</v>
      </c>
      <c r="T1978">
        <v>-0.21530769999999999</v>
      </c>
      <c r="U1978">
        <v>-0.24566650000000001</v>
      </c>
      <c r="V1978">
        <v>-3.7898189999999998E-2</v>
      </c>
      <c r="W1978">
        <v>-7.6771840000000001E-3</v>
      </c>
      <c r="X1978">
        <v>0.99925209999999998</v>
      </c>
      <c r="Y1978">
        <v>-0.13617889999999999</v>
      </c>
      <c r="Z1978">
        <v>-8.8332129999999995E-3</v>
      </c>
      <c r="AA1978">
        <v>0.99064490000000005</v>
      </c>
      <c r="AB1978">
        <v>35</v>
      </c>
      <c r="AC1978">
        <v>-15.0434999999999</v>
      </c>
      <c r="AD1978">
        <v>-1.1034981037603999</v>
      </c>
      <c r="AE1978">
        <v>-1.2778999999999801</v>
      </c>
      <c r="AF1978">
        <v>-2.09817155883034</v>
      </c>
      <c r="AG1978">
        <v>-1.1034981037603999</v>
      </c>
      <c r="AH1978">
        <v>14.8701566363713</v>
      </c>
      <c r="AI1978">
        <v>94.202600660806098</v>
      </c>
      <c r="AJ1978">
        <v>98.031386347550594</v>
      </c>
      <c r="AK1978">
        <v>15.057941105792199</v>
      </c>
    </row>
    <row r="1979" spans="1:37" x14ac:dyDescent="0.2">
      <c r="A1979" t="str">
        <f>"20200111155833227"</f>
        <v>20200111155833227</v>
      </c>
      <c r="B1979" t="str">
        <f>"1578729513223175"</f>
        <v>1578729513223175</v>
      </c>
      <c r="C1979" t="s">
        <v>37</v>
      </c>
      <c r="D1979">
        <v>6.06874</v>
      </c>
      <c r="E1979">
        <v>0.46344629999999998</v>
      </c>
      <c r="F1979" t="s">
        <v>50</v>
      </c>
      <c r="G1979">
        <v>-323.0127</v>
      </c>
      <c r="H1979" s="1">
        <v>8.2157669999999994E-8</v>
      </c>
      <c r="I1979">
        <v>284.2559</v>
      </c>
      <c r="J1979">
        <v>-307.96960000000001</v>
      </c>
      <c r="K1979">
        <v>1.1034949999999999</v>
      </c>
      <c r="L1979">
        <v>285.54480000000001</v>
      </c>
      <c r="M1979">
        <v>-0.99842039999999999</v>
      </c>
      <c r="N1979">
        <v>0</v>
      </c>
      <c r="O1979">
        <v>5.5399440000000001E-2</v>
      </c>
      <c r="P1979">
        <v>-0.99972569999999905</v>
      </c>
      <c r="Q1979">
        <v>-1.6470249999999999E-2</v>
      </c>
      <c r="R1979">
        <v>1.665904E-2</v>
      </c>
      <c r="S1979">
        <v>-3.0015559999999999</v>
      </c>
      <c r="T1979">
        <v>-0.215169</v>
      </c>
      <c r="U1979">
        <v>-0.2475281</v>
      </c>
      <c r="V1979">
        <v>-3.8753139999999998E-2</v>
      </c>
      <c r="W1979">
        <v>-7.1185969999999999E-3</v>
      </c>
      <c r="X1979">
        <v>0.99922350000000004</v>
      </c>
      <c r="Y1979">
        <v>-0.1367855</v>
      </c>
      <c r="Z1979">
        <v>-8.8487189999999997E-3</v>
      </c>
      <c r="AA1979">
        <v>0.99056119999999903</v>
      </c>
      <c r="AB1979">
        <v>35</v>
      </c>
      <c r="AC1979">
        <v>-15.0430999999999</v>
      </c>
      <c r="AD1979">
        <v>-1.1034949178423299</v>
      </c>
      <c r="AE1979">
        <v>-1.2889000000000099</v>
      </c>
      <c r="AF1979">
        <v>-2.1090699730165898</v>
      </c>
      <c r="AG1979">
        <v>-1.1034949178423299</v>
      </c>
      <c r="AH1979">
        <v>14.869159988434999</v>
      </c>
      <c r="AI1979">
        <v>94.202438060787003</v>
      </c>
      <c r="AJ1979">
        <v>98.073088781170696</v>
      </c>
      <c r="AK1979">
        <v>15.058479204304099</v>
      </c>
    </row>
    <row r="1980" spans="1:37" x14ac:dyDescent="0.2">
      <c r="A1980" t="str">
        <f>"20200111155833249"</f>
        <v>20200111155833249</v>
      </c>
      <c r="B1980" t="str">
        <f>"1578729513242694"</f>
        <v>1578729513242694</v>
      </c>
      <c r="C1980" t="s">
        <v>37</v>
      </c>
      <c r="D1980">
        <v>5.8663220000000003</v>
      </c>
      <c r="E1980">
        <v>0.46323310000000001</v>
      </c>
      <c r="F1980" t="s">
        <v>50</v>
      </c>
      <c r="G1980">
        <v>-323.42559999999997</v>
      </c>
      <c r="H1980" s="1">
        <v>3.0141040000000002E-7</v>
      </c>
      <c r="I1980">
        <v>284.26690000000002</v>
      </c>
      <c r="J1980">
        <v>-308.33010000000002</v>
      </c>
      <c r="K1980">
        <v>1.103497</v>
      </c>
      <c r="L1980">
        <v>285.56479999999999</v>
      </c>
      <c r="M1980">
        <v>-0.99842070000000005</v>
      </c>
      <c r="N1980">
        <v>0</v>
      </c>
      <c r="O1980">
        <v>5.539898E-2</v>
      </c>
      <c r="P1980">
        <v>-0.99976039999999899</v>
      </c>
      <c r="Q1980">
        <v>-1.545157E-2</v>
      </c>
      <c r="R1980">
        <v>1.551226E-2</v>
      </c>
      <c r="S1980">
        <v>-3.001465</v>
      </c>
      <c r="T1980">
        <v>-0.21429299999999901</v>
      </c>
      <c r="U1980">
        <v>-0.2481689</v>
      </c>
      <c r="V1980">
        <v>-3.9899759999999999E-2</v>
      </c>
      <c r="W1980">
        <v>-6.11554E-3</v>
      </c>
      <c r="X1980">
        <v>0.99918499999999999</v>
      </c>
      <c r="Y1980">
        <v>-0.13700100000000001</v>
      </c>
      <c r="Z1980">
        <v>-8.820619E-3</v>
      </c>
      <c r="AA1980">
        <v>0.99053159999999896</v>
      </c>
      <c r="AB1980">
        <v>35</v>
      </c>
      <c r="AC1980">
        <v>-15.0954999999999</v>
      </c>
      <c r="AD1980">
        <v>-1.1034966985896</v>
      </c>
      <c r="AE1980">
        <v>-1.2978999999999701</v>
      </c>
      <c r="AF1980">
        <v>-2.1209675709901998</v>
      </c>
      <c r="AG1980">
        <v>-1.1034966985896</v>
      </c>
      <c r="AH1980">
        <v>14.9212597747446</v>
      </c>
      <c r="AI1980">
        <v>94.187648196895594</v>
      </c>
      <c r="AJ1980">
        <v>98.090055569193098</v>
      </c>
      <c r="AK1980">
        <v>15.111591632465499</v>
      </c>
    </row>
    <row r="1981" spans="1:37" x14ac:dyDescent="0.2">
      <c r="A1981" t="str">
        <f>"20200111155833271"</f>
        <v>20200111155833271</v>
      </c>
      <c r="B1981" t="str">
        <f>"1578729513263190"</f>
        <v>1578729513263190</v>
      </c>
      <c r="C1981" t="s">
        <v>37</v>
      </c>
      <c r="D1981">
        <v>6.0761430000000001</v>
      </c>
      <c r="E1981">
        <v>0.46343570000000001</v>
      </c>
      <c r="F1981" t="s">
        <v>50</v>
      </c>
      <c r="G1981">
        <v>-323.93860000000001</v>
      </c>
      <c r="H1981" s="1">
        <v>5.7518869999999905E-7</v>
      </c>
      <c r="I1981">
        <v>284.24900000000002</v>
      </c>
      <c r="J1981">
        <v>-308.67590000000001</v>
      </c>
      <c r="K1981">
        <v>1.1035029999999999</v>
      </c>
      <c r="L1981">
        <v>285.584</v>
      </c>
      <c r="M1981">
        <v>-0.9984208</v>
      </c>
      <c r="N1981">
        <v>0</v>
      </c>
      <c r="O1981">
        <v>5.5398530000000001E-2</v>
      </c>
      <c r="P1981">
        <v>-0.99978020000000001</v>
      </c>
      <c r="Q1981">
        <v>-1.55648E-2</v>
      </c>
      <c r="R1981">
        <v>1.4062689999999999E-2</v>
      </c>
      <c r="S1981">
        <v>-3.0013429999999999</v>
      </c>
      <c r="T1981">
        <v>-0.2121902</v>
      </c>
      <c r="U1981">
        <v>-0.2530212</v>
      </c>
      <c r="V1981">
        <v>-4.1348089999999997E-2</v>
      </c>
      <c r="W1981">
        <v>-6.2345789999999996E-3</v>
      </c>
      <c r="X1981">
        <v>0.99912540000000005</v>
      </c>
      <c r="Y1981">
        <v>-0.13859949999999999</v>
      </c>
      <c r="Z1981">
        <v>-8.7903930000000005E-3</v>
      </c>
      <c r="AA1981">
        <v>0.99030949999999995</v>
      </c>
      <c r="AB1981">
        <v>35</v>
      </c>
      <c r="AC1981">
        <v>-15.262699999999899</v>
      </c>
      <c r="AD1981">
        <v>-1.1035024248112999</v>
      </c>
      <c r="AE1981">
        <v>-1.33499999999997</v>
      </c>
      <c r="AF1981">
        <v>-2.1672744367288299</v>
      </c>
      <c r="AG1981">
        <v>-1.1035024248112999</v>
      </c>
      <c r="AH1981">
        <v>15.087032305230601</v>
      </c>
      <c r="AI1981">
        <v>94.140946578340106</v>
      </c>
      <c r="AJ1981">
        <v>98.174699000313595</v>
      </c>
      <c r="AK1981">
        <v>15.281797664696899</v>
      </c>
    </row>
    <row r="1982" spans="1:37" x14ac:dyDescent="0.2">
      <c r="A1982" t="str">
        <f>"20200111155833294"</f>
        <v>20200111155833294</v>
      </c>
      <c r="B1982" t="str">
        <f>"1578729513282710"</f>
        <v>1578729513282710</v>
      </c>
      <c r="C1982" t="s">
        <v>37</v>
      </c>
      <c r="D1982">
        <v>5.8780510000000001</v>
      </c>
      <c r="E1982">
        <v>0.46342429999999901</v>
      </c>
      <c r="F1982" t="s">
        <v>50</v>
      </c>
      <c r="G1982">
        <v>-324.17059999999998</v>
      </c>
      <c r="H1982" s="1">
        <v>6.9789819999999995E-7</v>
      </c>
      <c r="I1982">
        <v>284.26670000000001</v>
      </c>
      <c r="J1982">
        <v>-309.01859999999999</v>
      </c>
      <c r="K1982">
        <v>1.103504</v>
      </c>
      <c r="L1982">
        <v>285.60309999999998</v>
      </c>
      <c r="M1982">
        <v>-0.99842070000000005</v>
      </c>
      <c r="N1982">
        <v>0</v>
      </c>
      <c r="O1982">
        <v>5.5398339999999997E-2</v>
      </c>
      <c r="P1982">
        <v>-0.99974159999999901</v>
      </c>
      <c r="Q1982">
        <v>-1.6595699999999901E-2</v>
      </c>
      <c r="R1982">
        <v>1.5530560000000001E-2</v>
      </c>
      <c r="S1982">
        <v>-3.0009160000000001</v>
      </c>
      <c r="T1982">
        <v>-0.21371850000000001</v>
      </c>
      <c r="U1982">
        <v>-0.25512699999999999</v>
      </c>
      <c r="V1982">
        <v>-3.9879909999999998E-2</v>
      </c>
      <c r="W1982">
        <v>-7.2637179999999997E-3</v>
      </c>
      <c r="X1982">
        <v>0.99917809999999996</v>
      </c>
      <c r="Y1982">
        <v>-0.13929229999999901</v>
      </c>
      <c r="Z1982">
        <v>-8.8791459999999992E-3</v>
      </c>
      <c r="AA1982">
        <v>0.99021150000000002</v>
      </c>
      <c r="AB1982">
        <v>35</v>
      </c>
      <c r="AC1982">
        <v>-15.1519999999999</v>
      </c>
      <c r="AD1982">
        <v>-1.1035033021017999</v>
      </c>
      <c r="AE1982">
        <v>-1.3363999999999601</v>
      </c>
      <c r="AF1982">
        <v>-2.16239884304066</v>
      </c>
      <c r="AG1982">
        <v>-1.1035033021017999</v>
      </c>
      <c r="AH1982">
        <v>14.975872396635699</v>
      </c>
      <c r="AI1982">
        <v>94.1711439536424</v>
      </c>
      <c r="AJ1982">
        <v>98.216275822838</v>
      </c>
      <c r="AK1982">
        <v>15.1713691647936</v>
      </c>
    </row>
    <row r="1983" spans="1:37" x14ac:dyDescent="0.2">
      <c r="A1983" t="str">
        <f>"20200111155833316"</f>
        <v>20200111155833316</v>
      </c>
      <c r="B1983" t="str">
        <f>"1578729513312968"</f>
        <v>1578729513312968</v>
      </c>
      <c r="C1983" t="s">
        <v>37</v>
      </c>
      <c r="D1983">
        <v>5.8732290000000003</v>
      </c>
      <c r="E1983">
        <v>0.46335500000000002</v>
      </c>
      <c r="F1983" t="s">
        <v>50</v>
      </c>
      <c r="G1983">
        <v>-324.23899999999998</v>
      </c>
      <c r="H1983" s="1">
        <v>7.3126669999999905E-7</v>
      </c>
      <c r="I1983">
        <v>284.33530000000002</v>
      </c>
      <c r="J1983">
        <v>-309.37349999999998</v>
      </c>
      <c r="K1983">
        <v>1.103512</v>
      </c>
      <c r="L1983">
        <v>285.62279999999998</v>
      </c>
      <c r="M1983">
        <v>-0.99842109999999995</v>
      </c>
      <c r="N1983">
        <v>0</v>
      </c>
      <c r="O1983">
        <v>5.5390920000000003E-2</v>
      </c>
      <c r="P1983">
        <v>-0.99963539999999995</v>
      </c>
      <c r="Q1983">
        <v>-1.8726679999999999E-2</v>
      </c>
      <c r="R1983">
        <v>1.945852E-2</v>
      </c>
      <c r="S1983">
        <v>-3.0010680000000001</v>
      </c>
      <c r="T1983">
        <v>-0.21758279999999999</v>
      </c>
      <c r="U1983">
        <v>-0.24996950000000001</v>
      </c>
      <c r="V1983">
        <v>-3.5944499999999997E-2</v>
      </c>
      <c r="W1983">
        <v>-9.3826929999999992E-3</v>
      </c>
      <c r="X1983">
        <v>0.99930969999999997</v>
      </c>
      <c r="Y1983">
        <v>-0.13757729999999899</v>
      </c>
      <c r="Z1983">
        <v>-8.9769009999999903E-3</v>
      </c>
      <c r="AA1983">
        <v>0.99045030000000001</v>
      </c>
      <c r="AB1983">
        <v>35</v>
      </c>
      <c r="AC1983">
        <v>-14.865500000000001</v>
      </c>
      <c r="AD1983">
        <v>-1.1035112687333</v>
      </c>
      <c r="AE1983">
        <v>-1.2874999999999599</v>
      </c>
      <c r="AF1983">
        <v>-2.0975004788428602</v>
      </c>
      <c r="AG1983">
        <v>-1.1035112687333</v>
      </c>
      <c r="AH1983">
        <v>14.6910040695353</v>
      </c>
      <c r="AI1983">
        <v>94.252726183389896</v>
      </c>
      <c r="AJ1983">
        <v>98.125460838659805</v>
      </c>
      <c r="AK1983">
        <v>14.880955814398201</v>
      </c>
    </row>
    <row r="1984" spans="1:37" x14ac:dyDescent="0.2">
      <c r="A1984" t="str">
        <f>"20200111155833339"</f>
        <v>20200111155833339</v>
      </c>
      <c r="B1984" t="str">
        <f>"1578729513333463"</f>
        <v>1578729513333463</v>
      </c>
      <c r="C1984" t="s">
        <v>37</v>
      </c>
      <c r="D1984">
        <v>6.0101899999999997</v>
      </c>
      <c r="E1984">
        <v>0.46356359999999902</v>
      </c>
      <c r="F1984" t="s">
        <v>50</v>
      </c>
      <c r="G1984">
        <v>-324.16329999999999</v>
      </c>
      <c r="H1984" s="1">
        <v>6.8612599999999996E-7</v>
      </c>
      <c r="I1984">
        <v>284.44650000000001</v>
      </c>
      <c r="J1984">
        <v>-309.72919999999999</v>
      </c>
      <c r="K1984">
        <v>1.1035200000000001</v>
      </c>
      <c r="L1984">
        <v>285.64249999999998</v>
      </c>
      <c r="M1984">
        <v>-0.998422899999999</v>
      </c>
      <c r="N1984">
        <v>0</v>
      </c>
      <c r="O1984">
        <v>5.5352779999999997E-2</v>
      </c>
      <c r="P1984">
        <v>-0.9994828</v>
      </c>
      <c r="Q1984">
        <v>-2.0497169999999999E-2</v>
      </c>
      <c r="R1984">
        <v>2.478027E-2</v>
      </c>
      <c r="S1984">
        <v>-3.0015869999999998</v>
      </c>
      <c r="T1984">
        <v>-0.22395779999999901</v>
      </c>
      <c r="U1984">
        <v>-0.23873899999999901</v>
      </c>
      <c r="V1984">
        <v>-3.0584650000000001E-2</v>
      </c>
      <c r="W1984">
        <v>-1.112954E-2</v>
      </c>
      <c r="X1984">
        <v>0.99947019999999998</v>
      </c>
      <c r="Y1984">
        <v>-0.13382349999999901</v>
      </c>
      <c r="Z1984">
        <v>-9.0964359999999994E-3</v>
      </c>
      <c r="AA1984">
        <v>0.99096340000000005</v>
      </c>
      <c r="AB1984">
        <v>35</v>
      </c>
      <c r="AC1984">
        <v>-14.434100000000001</v>
      </c>
      <c r="AD1984">
        <v>-1.103519313874</v>
      </c>
      <c r="AE1984">
        <v>-1.19599999999996</v>
      </c>
      <c r="AF1984">
        <v>-1.9816650914634499</v>
      </c>
      <c r="AG1984">
        <v>-1.103519313874</v>
      </c>
      <c r="AH1984">
        <v>14.262965928779</v>
      </c>
      <c r="AI1984">
        <v>94.382207331879002</v>
      </c>
      <c r="AJ1984">
        <v>97.909911985615807</v>
      </c>
      <c r="AK1984">
        <v>14.442193340913599</v>
      </c>
    </row>
    <row r="1985" spans="1:37" x14ac:dyDescent="0.2">
      <c r="A1985" t="str">
        <f>"20200111155833360"</f>
        <v>20200111155833360</v>
      </c>
      <c r="B1985" t="str">
        <f>"1578729513352982"</f>
        <v>1578729513352982</v>
      </c>
      <c r="C1985" t="s">
        <v>37</v>
      </c>
      <c r="D1985">
        <v>5.9233120000000001</v>
      </c>
      <c r="E1985">
        <v>0.463329299999999</v>
      </c>
      <c r="F1985" t="s">
        <v>50</v>
      </c>
      <c r="G1985">
        <v>-324.28539999999998</v>
      </c>
      <c r="H1985" s="1">
        <v>7.4578279999999999E-7</v>
      </c>
      <c r="I1985">
        <v>284.56819999999999</v>
      </c>
      <c r="J1985">
        <v>-310.06290000000001</v>
      </c>
      <c r="K1985">
        <v>1.103553</v>
      </c>
      <c r="L1985">
        <v>285.661</v>
      </c>
      <c r="M1985">
        <v>-0.99842770000000003</v>
      </c>
      <c r="N1985">
        <v>0</v>
      </c>
      <c r="O1985">
        <v>5.5259580000000003E-2</v>
      </c>
      <c r="P1985">
        <v>-0.9992974</v>
      </c>
      <c r="Q1985">
        <v>-2.1082839999999999E-2</v>
      </c>
      <c r="R1985">
        <v>3.0988620000000001E-2</v>
      </c>
      <c r="S1985">
        <v>-3.00238</v>
      </c>
      <c r="T1985">
        <v>-0.2276137</v>
      </c>
      <c r="U1985">
        <v>-0.22158809999999901</v>
      </c>
      <c r="V1985">
        <v>-2.4280630000000001E-2</v>
      </c>
      <c r="W1985">
        <v>-1.1682690000000001E-2</v>
      </c>
      <c r="X1985">
        <v>0.99963690000000005</v>
      </c>
      <c r="Y1985">
        <v>-0.12808</v>
      </c>
      <c r="Z1985">
        <v>-9.0197719999999901E-3</v>
      </c>
      <c r="AA1985">
        <v>0.99172280000000002</v>
      </c>
      <c r="AB1985">
        <v>35</v>
      </c>
      <c r="AC1985">
        <v>-14.222499999999901</v>
      </c>
      <c r="AD1985">
        <v>-1.1035522542172</v>
      </c>
      <c r="AE1985">
        <v>-1.09280000000001</v>
      </c>
      <c r="AF1985">
        <v>-1.86592632485138</v>
      </c>
      <c r="AG1985">
        <v>-1.1035522542172</v>
      </c>
      <c r="AH1985">
        <v>14.0562468477178</v>
      </c>
      <c r="AI1985">
        <v>94.450188475422493</v>
      </c>
      <c r="AJ1985">
        <v>97.561640121338002</v>
      </c>
      <c r="AK1985">
        <v>14.2224324245728</v>
      </c>
    </row>
    <row r="1986" spans="1:37" x14ac:dyDescent="0.2">
      <c r="A1986" t="str">
        <f>"20200111155833383"</f>
        <v>20200111155833383</v>
      </c>
      <c r="B1986" t="str">
        <f>"1578729513372556"</f>
        <v>1578729513372556</v>
      </c>
      <c r="C1986" t="s">
        <v>37</v>
      </c>
      <c r="D1986">
        <v>5.877618</v>
      </c>
      <c r="E1986">
        <v>0.462958799999999</v>
      </c>
      <c r="F1986" t="s">
        <v>50</v>
      </c>
      <c r="G1986">
        <v>-324.6694</v>
      </c>
      <c r="H1986" s="1">
        <v>9.4608299999999999E-7</v>
      </c>
      <c r="I1986">
        <v>284.66059999999999</v>
      </c>
      <c r="J1986">
        <v>-310.4058</v>
      </c>
      <c r="K1986">
        <v>1.103612</v>
      </c>
      <c r="L1986">
        <v>285.67989999999998</v>
      </c>
      <c r="M1986">
        <v>-0.99843729999999997</v>
      </c>
      <c r="N1986">
        <v>0</v>
      </c>
      <c r="O1986">
        <v>5.5079900000000001E-2</v>
      </c>
      <c r="P1986">
        <v>-0.99913200000000002</v>
      </c>
      <c r="Q1986">
        <v>-2.1422730000000001E-2</v>
      </c>
      <c r="R1986">
        <v>3.5729909999999997E-2</v>
      </c>
      <c r="S1986">
        <v>-3.0037229999999999</v>
      </c>
      <c r="T1986">
        <v>-0.22693749999999999</v>
      </c>
      <c r="U1986">
        <v>-0.20571900000000001</v>
      </c>
      <c r="V1986">
        <v>-1.9355859999999999E-2</v>
      </c>
      <c r="W1986">
        <v>-1.198347E-2</v>
      </c>
      <c r="X1986">
        <v>0.99974079999999999</v>
      </c>
      <c r="Y1986">
        <v>-0.1226732</v>
      </c>
      <c r="Z1986">
        <v>-8.7733250000000002E-3</v>
      </c>
      <c r="AA1986">
        <v>0.99240830000000002</v>
      </c>
      <c r="AB1986">
        <v>35</v>
      </c>
      <c r="AC1986">
        <v>-14.263599999999901</v>
      </c>
      <c r="AD1986">
        <v>-1.1036110539170001</v>
      </c>
      <c r="AE1986">
        <v>-1.0192999999999801</v>
      </c>
      <c r="AF1986">
        <v>-1.7927474290994501</v>
      </c>
      <c r="AG1986">
        <v>-1.1036110539170001</v>
      </c>
      <c r="AH1986">
        <v>14.101808062997099</v>
      </c>
      <c r="AI1986">
        <v>94.4392764116823</v>
      </c>
      <c r="AJ1986">
        <v>97.245085456888006</v>
      </c>
      <c r="AK1986">
        <v>14.2580816152973</v>
      </c>
    </row>
    <row r="1987" spans="1:37" x14ac:dyDescent="0.2">
      <c r="A1987" t="str">
        <f>"20200111155833405"</f>
        <v>20200111155833405</v>
      </c>
      <c r="B1987" t="str">
        <f>"1578729513393052"</f>
        <v>1578729513393052</v>
      </c>
      <c r="C1987" t="s">
        <v>37</v>
      </c>
      <c r="D1987">
        <v>5.9189569999999998</v>
      </c>
      <c r="E1987">
        <v>0.46264060000000001</v>
      </c>
      <c r="F1987" t="s">
        <v>50</v>
      </c>
      <c r="G1987">
        <v>-325.11829999999998</v>
      </c>
      <c r="H1987" s="1">
        <v>1.182189E-6</v>
      </c>
      <c r="I1987">
        <v>284.72469999999998</v>
      </c>
      <c r="J1987">
        <v>-310.75599999999997</v>
      </c>
      <c r="K1987">
        <v>1.1036979999999901</v>
      </c>
      <c r="L1987">
        <v>285.69900000000001</v>
      </c>
      <c r="M1987">
        <v>-0.99845300000000003</v>
      </c>
      <c r="N1987">
        <v>0</v>
      </c>
      <c r="O1987">
        <v>5.4789230000000001E-2</v>
      </c>
      <c r="P1987">
        <v>-0.99900900000000004</v>
      </c>
      <c r="Q1987">
        <v>-2.2093089999999999E-2</v>
      </c>
      <c r="R1987">
        <v>3.8643450000000003E-2</v>
      </c>
      <c r="S1987">
        <v>-3.0047609999999998</v>
      </c>
      <c r="T1987">
        <v>-0.2253925</v>
      </c>
      <c r="U1987">
        <v>-0.1950684</v>
      </c>
      <c r="V1987">
        <v>-1.614641E-2</v>
      </c>
      <c r="W1987">
        <v>-1.2613030000000001E-2</v>
      </c>
      <c r="X1987">
        <v>0.99979010000000001</v>
      </c>
      <c r="Y1987">
        <v>-0.1188765</v>
      </c>
      <c r="Z1987">
        <v>-8.5478919999999996E-3</v>
      </c>
      <c r="AA1987">
        <v>0.99287219999999998</v>
      </c>
      <c r="AB1987">
        <v>35</v>
      </c>
      <c r="AC1987">
        <v>-14.362299999999999</v>
      </c>
      <c r="AD1987">
        <v>-1.10369681781099</v>
      </c>
      <c r="AE1987">
        <v>-0.97430000000002803</v>
      </c>
      <c r="AF1987">
        <v>-1.7494869372609601</v>
      </c>
      <c r="AG1987">
        <v>-1.10369681781099</v>
      </c>
      <c r="AH1987">
        <v>14.2038459208657</v>
      </c>
      <c r="AI1987">
        <v>94.409995012014903</v>
      </c>
      <c r="AJ1987">
        <v>97.021751984091793</v>
      </c>
      <c r="AK1987">
        <v>14.353678627898301</v>
      </c>
    </row>
    <row r="1988" spans="1:37" x14ac:dyDescent="0.2">
      <c r="A1988" t="str">
        <f>"20200111155833429"</f>
        <v>20200111155833429</v>
      </c>
      <c r="B1988" t="str">
        <f>"1578729513423308"</f>
        <v>1578729513423308</v>
      </c>
      <c r="C1988" t="s">
        <v>37</v>
      </c>
      <c r="D1988">
        <v>5.9964309999999896</v>
      </c>
      <c r="E1988">
        <v>0.46244759999999902</v>
      </c>
      <c r="F1988" t="s">
        <v>50</v>
      </c>
      <c r="G1988">
        <v>-325.46679999999998</v>
      </c>
      <c r="H1988" s="1">
        <v>1.365627E-6</v>
      </c>
      <c r="I1988">
        <v>284.77099999999899</v>
      </c>
      <c r="J1988">
        <v>-311.11970000000002</v>
      </c>
      <c r="K1988">
        <v>1.103799</v>
      </c>
      <c r="L1988">
        <v>285.71850000000001</v>
      </c>
      <c r="M1988">
        <v>-0.99847659999999905</v>
      </c>
      <c r="N1988">
        <v>0</v>
      </c>
      <c r="O1988">
        <v>5.4347310000000003E-2</v>
      </c>
      <c r="P1988">
        <v>-0.99892230000000004</v>
      </c>
      <c r="Q1988">
        <v>-2.3184610000000001E-2</v>
      </c>
      <c r="R1988">
        <v>4.0208250000000001E-2</v>
      </c>
      <c r="S1988">
        <v>-3.0053099999999899</v>
      </c>
      <c r="T1988">
        <v>-0.22547739999999999</v>
      </c>
      <c r="U1988">
        <v>-0.1895752</v>
      </c>
      <c r="V1988">
        <v>-1.413292E-2</v>
      </c>
      <c r="W1988">
        <v>-1.3663170000000001E-2</v>
      </c>
      <c r="X1988">
        <v>0.9998068</v>
      </c>
      <c r="Y1988">
        <v>-0.1166249</v>
      </c>
      <c r="Z1988">
        <v>-8.4326639999999994E-3</v>
      </c>
      <c r="AA1988">
        <v>0.99314020000000003</v>
      </c>
      <c r="AB1988">
        <v>35</v>
      </c>
      <c r="AC1988">
        <v>-14.3470999999999</v>
      </c>
      <c r="AD1988">
        <v>-1.103797634373</v>
      </c>
      <c r="AE1988">
        <v>-0.94750000000004697</v>
      </c>
      <c r="AF1988">
        <v>-1.71574979128882</v>
      </c>
      <c r="AG1988">
        <v>-1.103797634373</v>
      </c>
      <c r="AH1988">
        <v>14.190767125269801</v>
      </c>
      <c r="AI1988">
        <v>94.415642127703904</v>
      </c>
      <c r="AJ1988">
        <v>96.893944585257003</v>
      </c>
      <c r="AK1988">
        <v>14.336667610278001</v>
      </c>
    </row>
    <row r="1989" spans="1:37" x14ac:dyDescent="0.2">
      <c r="A1989" t="str">
        <f>"20200111155833629"</f>
        <v>20200111155833629</v>
      </c>
      <c r="B1989" t="str">
        <f>"1578729513623389"</f>
        <v>1578729513623389</v>
      </c>
      <c r="C1989" t="s">
        <v>37</v>
      </c>
      <c r="D1989">
        <v>5.962129</v>
      </c>
      <c r="E1989">
        <v>0.46244759999999902</v>
      </c>
      <c r="F1989" t="s">
        <v>50</v>
      </c>
      <c r="G1989">
        <v>-325.72840000000002</v>
      </c>
      <c r="H1989" s="1">
        <v>1.503106E-6</v>
      </c>
      <c r="I1989">
        <v>284.81020000000001</v>
      </c>
      <c r="J1989">
        <v>-314.28609999999998</v>
      </c>
      <c r="K1989">
        <v>1.1043000000000001</v>
      </c>
      <c r="L1989">
        <v>285.875</v>
      </c>
      <c r="M1989">
        <v>-0.99883949999999999</v>
      </c>
      <c r="N1989">
        <v>0</v>
      </c>
      <c r="O1989">
        <v>4.7142139999999999E-2</v>
      </c>
      <c r="P1989">
        <v>-0.99946729999999995</v>
      </c>
      <c r="Q1989">
        <v>-2.5877870000000001E-2</v>
      </c>
      <c r="R1989">
        <v>1.988987E-2</v>
      </c>
      <c r="S1989">
        <v>-3.0055239999999999</v>
      </c>
      <c r="T1989">
        <v>-0.22708929999999999</v>
      </c>
      <c r="U1989">
        <v>-0.18688959999999999</v>
      </c>
      <c r="V1989">
        <v>-2.722082E-2</v>
      </c>
      <c r="W1989">
        <v>-1.607109E-2</v>
      </c>
      <c r="X1989">
        <v>0.99950030000000001</v>
      </c>
      <c r="Y1989">
        <v>-0.1086043</v>
      </c>
      <c r="Z1989">
        <v>-7.6470790000000002E-3</v>
      </c>
      <c r="AA1989">
        <v>0.99405560000000004</v>
      </c>
      <c r="AB1989">
        <v>35</v>
      </c>
      <c r="AC1989">
        <v>-11.442299999999999</v>
      </c>
      <c r="AD1989">
        <v>-1.1042984968939999</v>
      </c>
      <c r="AE1989">
        <v>-1.06479999999999</v>
      </c>
      <c r="AF1989">
        <v>-1.5883891950242901</v>
      </c>
      <c r="AG1989">
        <v>-1.1042984968939999</v>
      </c>
      <c r="AH1989">
        <v>11.275259170844601</v>
      </c>
      <c r="AI1989">
        <v>95.539356563768195</v>
      </c>
      <c r="AJ1989">
        <v>98.018710070036207</v>
      </c>
      <c r="AK1989">
        <v>11.4400141946952</v>
      </c>
    </row>
    <row r="1990" spans="1:37" x14ac:dyDescent="0.2">
      <c r="A1990" t="str">
        <f>"20200111155833650"</f>
        <v>20200111155833650</v>
      </c>
      <c r="B1990" t="str">
        <f>"1578729513642908"</f>
        <v>1578729513642908</v>
      </c>
      <c r="C1990" t="s">
        <v>37</v>
      </c>
      <c r="D1990">
        <v>6.3657769999999996</v>
      </c>
      <c r="E1990">
        <v>0.4510036</v>
      </c>
      <c r="F1990" t="s">
        <v>50</v>
      </c>
      <c r="G1990">
        <v>-328.3963</v>
      </c>
      <c r="H1990" s="1">
        <v>2.9272670000000001E-6</v>
      </c>
      <c r="I1990">
        <v>284.70890000000003</v>
      </c>
      <c r="J1990">
        <v>-314.63889999999998</v>
      </c>
      <c r="K1990">
        <v>1.104317</v>
      </c>
      <c r="L1990">
        <v>285.89080000000001</v>
      </c>
      <c r="M1990">
        <v>-0.99888120000000002</v>
      </c>
      <c r="N1990">
        <v>0</v>
      </c>
      <c r="O1990">
        <v>4.6244519999999997E-2</v>
      </c>
      <c r="P1990">
        <v>-0.99947569999999997</v>
      </c>
      <c r="Q1990">
        <v>-2.5966300000000001E-2</v>
      </c>
      <c r="R1990">
        <v>1.9346579999999999E-2</v>
      </c>
      <c r="S1990">
        <v>-3.000397</v>
      </c>
      <c r="T1990">
        <v>-0.2348182</v>
      </c>
      <c r="U1990">
        <v>-0.24795529999999999</v>
      </c>
      <c r="V1990">
        <v>-2.6865259999999998E-2</v>
      </c>
      <c r="W1990">
        <v>-1.6129499999999901E-2</v>
      </c>
      <c r="X1990">
        <v>0.99950890000000003</v>
      </c>
      <c r="Y1990">
        <v>-0.12783249999999999</v>
      </c>
      <c r="Z1990">
        <v>-8.5946340000000003E-3</v>
      </c>
      <c r="AA1990">
        <v>0.99175849999999899</v>
      </c>
      <c r="AB1990">
        <v>36</v>
      </c>
      <c r="AC1990">
        <v>-13.757400000000001</v>
      </c>
      <c r="AD1990">
        <v>-1.1043140727330001</v>
      </c>
      <c r="AE1990">
        <v>-1.18189999999998</v>
      </c>
      <c r="AF1990">
        <v>-1.8053237611377499</v>
      </c>
      <c r="AG1990">
        <v>-1.1043140727330001</v>
      </c>
      <c r="AH1990">
        <v>13.601026868499501</v>
      </c>
      <c r="AI1990">
        <v>94.601674159417797</v>
      </c>
      <c r="AJ1990">
        <v>97.5609222152341</v>
      </c>
      <c r="AK1990">
        <v>13.764687985254501</v>
      </c>
    </row>
    <row r="1991" spans="1:37" x14ac:dyDescent="0.2">
      <c r="A1991" t="str">
        <f>"20200111155833666"</f>
        <v>20200111155833666</v>
      </c>
      <c r="B1991" t="str">
        <f>"1578729513663405"</f>
        <v>1578729513663405</v>
      </c>
      <c r="C1991" t="s">
        <v>37</v>
      </c>
      <c r="D1991">
        <v>7.0823390000000002</v>
      </c>
      <c r="E1991">
        <v>0.48869089999999998</v>
      </c>
      <c r="F1991" t="s">
        <v>52</v>
      </c>
      <c r="G1991">
        <v>-400.21010000000001</v>
      </c>
      <c r="H1991">
        <v>8.0001989999999995E-2</v>
      </c>
      <c r="I1991">
        <v>276.47190000000001</v>
      </c>
      <c r="J1991">
        <v>-314.8768</v>
      </c>
      <c r="K1991">
        <v>1.104331</v>
      </c>
      <c r="L1991">
        <v>285.90129999999999</v>
      </c>
      <c r="M1991">
        <v>-0.99890889999999999</v>
      </c>
      <c r="N1991">
        <v>0</v>
      </c>
      <c r="O1991">
        <v>4.5639770000000003E-2</v>
      </c>
      <c r="P1991">
        <v>-0.99947199999999903</v>
      </c>
      <c r="Q1991">
        <v>-2.5951080000000001E-2</v>
      </c>
      <c r="R1991">
        <v>1.955608E-2</v>
      </c>
      <c r="S1991">
        <v>-3.00707999999999</v>
      </c>
      <c r="T1991">
        <v>-3.5995720000000002E-2</v>
      </c>
      <c r="U1991">
        <v>-0.3309937</v>
      </c>
      <c r="V1991">
        <v>-2.6050750000000001E-2</v>
      </c>
      <c r="W1991">
        <v>-1.6093070000000001E-2</v>
      </c>
      <c r="X1991">
        <v>0.99953110000000001</v>
      </c>
      <c r="Y1991">
        <v>-0.1546505</v>
      </c>
      <c r="Z1991">
        <v>-1.467674E-3</v>
      </c>
      <c r="AA1991">
        <v>0.98796810000000002</v>
      </c>
      <c r="AB1991">
        <v>36</v>
      </c>
      <c r="AC1991">
        <v>-85.333299999999994</v>
      </c>
      <c r="AD1991">
        <v>-1.02432901</v>
      </c>
      <c r="AE1991">
        <v>-9.4293999999999798</v>
      </c>
      <c r="AF1991">
        <v>-13.3124612374293</v>
      </c>
      <c r="AG1991">
        <v>-1.02432901</v>
      </c>
      <c r="AH1991">
        <v>84.801922131645298</v>
      </c>
      <c r="AI1991">
        <v>90.683674475842807</v>
      </c>
      <c r="AJ1991">
        <v>98.921652188210203</v>
      </c>
      <c r="AK1991">
        <v>85.846589165443405</v>
      </c>
    </row>
    <row r="1992" spans="1:37" x14ac:dyDescent="0.2">
      <c r="A1992" t="str">
        <f>"20200111155833683"</f>
        <v>20200111155833683</v>
      </c>
      <c r="B1992" t="str">
        <f>"1578729513673164"</f>
        <v>1578729513673164</v>
      </c>
      <c r="C1992" t="s">
        <v>37</v>
      </c>
      <c r="D1992">
        <v>6.0879149999999997</v>
      </c>
      <c r="E1992">
        <v>0.4934133</v>
      </c>
      <c r="F1992" t="s">
        <v>50</v>
      </c>
      <c r="G1992">
        <v>-334.73439999999999</v>
      </c>
      <c r="H1992" s="1">
        <v>9.3688739999999895E-7</v>
      </c>
      <c r="I1992">
        <v>285.66239999999999</v>
      </c>
      <c r="J1992">
        <v>-315.16039999999998</v>
      </c>
      <c r="K1992">
        <v>1.104349</v>
      </c>
      <c r="L1992">
        <v>285.91359999999997</v>
      </c>
      <c r="M1992">
        <v>-0.99894119999999997</v>
      </c>
      <c r="N1992">
        <v>0</v>
      </c>
      <c r="O1992">
        <v>4.4920330000000001E-2</v>
      </c>
      <c r="P1992">
        <v>-0.99947169999999896</v>
      </c>
      <c r="Q1992">
        <v>-2.578041E-2</v>
      </c>
      <c r="R1992">
        <v>1.9796339999999999E-2</v>
      </c>
      <c r="S1992">
        <v>-2.997925</v>
      </c>
      <c r="T1992">
        <v>-0.16672190000000001</v>
      </c>
      <c r="U1992">
        <v>-3.6071779999999998E-2</v>
      </c>
      <c r="V1992">
        <v>-2.5090919999999999E-2</v>
      </c>
      <c r="W1992">
        <v>-1.5898329999999999E-2</v>
      </c>
      <c r="X1992">
        <v>0.99955869999999902</v>
      </c>
      <c r="Y1992">
        <v>-5.6781409999999997E-2</v>
      </c>
      <c r="Z1992">
        <v>-4.0733719999999996E-3</v>
      </c>
      <c r="AA1992">
        <v>0.99837830000000005</v>
      </c>
      <c r="AB1992">
        <v>36</v>
      </c>
      <c r="AC1992">
        <v>-19.574000000000002</v>
      </c>
      <c r="AD1992">
        <v>-1.1043480631125999</v>
      </c>
      <c r="AE1992">
        <v>-0.25119999999998299</v>
      </c>
      <c r="AF1992">
        <v>-1.1266745684249799</v>
      </c>
      <c r="AG1992">
        <v>-1.1043480631125999</v>
      </c>
      <c r="AH1992">
        <v>19.480954999185801</v>
      </c>
      <c r="AI1992">
        <v>93.239143792561094</v>
      </c>
      <c r="AJ1992">
        <v>93.309995205016804</v>
      </c>
      <c r="AK1992">
        <v>19.5447329965886</v>
      </c>
    </row>
    <row r="1993" spans="1:37" x14ac:dyDescent="0.2">
      <c r="A1993" t="str">
        <f>"20200111155833707"</f>
        <v>20200111155833707</v>
      </c>
      <c r="B1993" t="str">
        <f>"1578729513703420"</f>
        <v>1578729513703420</v>
      </c>
      <c r="C1993" t="s">
        <v>37</v>
      </c>
      <c r="D1993">
        <v>6.047085</v>
      </c>
      <c r="E1993">
        <v>0.49545679999999998</v>
      </c>
      <c r="F1993" t="s">
        <v>50</v>
      </c>
      <c r="G1993">
        <v>-340.71690000000001</v>
      </c>
      <c r="H1993" s="1">
        <v>-1.1552819999999999E-6</v>
      </c>
      <c r="I1993">
        <v>285.95</v>
      </c>
      <c r="J1993">
        <v>-315.51679999999999</v>
      </c>
      <c r="K1993">
        <v>1.1043609999999999</v>
      </c>
      <c r="L1993">
        <v>285.92880000000002</v>
      </c>
      <c r="M1993">
        <v>-0.99898120000000001</v>
      </c>
      <c r="N1993">
        <v>0</v>
      </c>
      <c r="O1993">
        <v>4.4017349999999997E-2</v>
      </c>
      <c r="P1993">
        <v>-0.99947600000000003</v>
      </c>
      <c r="Q1993">
        <v>-2.5727899999999901E-2</v>
      </c>
      <c r="R1993">
        <v>1.9647479999999998E-2</v>
      </c>
      <c r="S1993">
        <v>-2.9981689999999999</v>
      </c>
      <c r="T1993">
        <v>-0.12955700000000001</v>
      </c>
      <c r="U1993">
        <v>4.272461E-3</v>
      </c>
      <c r="V1993">
        <v>-2.4336440000000001E-2</v>
      </c>
      <c r="W1993">
        <v>-1.5818639999999998E-2</v>
      </c>
      <c r="X1993">
        <v>0.99957870000000004</v>
      </c>
      <c r="Y1993">
        <v>-4.2515120000000003E-2</v>
      </c>
      <c r="Z1993">
        <v>-2.8189629999999999E-3</v>
      </c>
      <c r="AA1993">
        <v>0.99909190000000003</v>
      </c>
      <c r="AB1993">
        <v>36</v>
      </c>
      <c r="AC1993">
        <v>-25.200099999999999</v>
      </c>
      <c r="AD1993">
        <v>-1.104362155282</v>
      </c>
      <c r="AE1993">
        <v>2.1199999999964799E-2</v>
      </c>
      <c r="AF1993">
        <v>-1.0860313605565</v>
      </c>
      <c r="AG1993">
        <v>-1.104362155282</v>
      </c>
      <c r="AH1993">
        <v>25.128346597466201</v>
      </c>
      <c r="AI1993">
        <v>92.514120799125095</v>
      </c>
      <c r="AJ1993">
        <v>92.474747506415</v>
      </c>
      <c r="AK1993">
        <v>25.176037865568201</v>
      </c>
    </row>
    <row r="1994" spans="1:37" x14ac:dyDescent="0.2">
      <c r="A1994" t="str">
        <f>"20200111155833884"</f>
        <v>20200111155833884</v>
      </c>
      <c r="B1994" t="str">
        <f>"1578729513873245"</f>
        <v>1578729513873245</v>
      </c>
      <c r="C1994" t="s">
        <v>37</v>
      </c>
      <c r="D1994">
        <v>6.1137800000000002</v>
      </c>
      <c r="E1994">
        <v>0.4965579</v>
      </c>
      <c r="F1994" t="s">
        <v>50</v>
      </c>
      <c r="G1994">
        <v>-357.19130000000001</v>
      </c>
      <c r="H1994" s="1">
        <v>2.2900850000000001E-6</v>
      </c>
      <c r="I1994">
        <v>286.24259999999998</v>
      </c>
      <c r="J1994">
        <v>-318.37889999999999</v>
      </c>
      <c r="K1994">
        <v>1.10439</v>
      </c>
      <c r="L1994">
        <v>286.03890000000001</v>
      </c>
      <c r="M1994">
        <v>-0.99927279999999996</v>
      </c>
      <c r="N1994">
        <v>0</v>
      </c>
      <c r="O1994">
        <v>3.6767859999999999E-2</v>
      </c>
      <c r="P1994">
        <v>-0.99966469999999896</v>
      </c>
      <c r="Q1994">
        <v>-2.3394189999999999E-2</v>
      </c>
      <c r="R1994">
        <v>1.1115669999999999E-2</v>
      </c>
      <c r="S1994">
        <v>-2.9990839999999999</v>
      </c>
      <c r="T1994">
        <v>-7.9474569999999994E-2</v>
      </c>
      <c r="U1994">
        <v>2.2583010000000001E-2</v>
      </c>
      <c r="V1994">
        <v>-2.5621399999999999E-2</v>
      </c>
      <c r="W1994">
        <v>-1.33479999999999E-2</v>
      </c>
      <c r="X1994">
        <v>0.99958259999999899</v>
      </c>
      <c r="Y1994">
        <v>-2.9220869999999999E-2</v>
      </c>
      <c r="Z1994">
        <v>-1.3610979999999901E-3</v>
      </c>
      <c r="AA1994">
        <v>0.99957199999999902</v>
      </c>
      <c r="AB1994">
        <v>36</v>
      </c>
      <c r="AC1994">
        <v>-38.812399999999997</v>
      </c>
      <c r="AD1994">
        <v>-1.1043877099149999</v>
      </c>
      <c r="AE1994">
        <v>0.20369999999996899</v>
      </c>
      <c r="AF1994">
        <v>-1.2225695833977901</v>
      </c>
      <c r="AG1994">
        <v>-1.1043877099149999</v>
      </c>
      <c r="AH1994">
        <v>38.762260330318398</v>
      </c>
      <c r="AI1994">
        <v>91.631179822161698</v>
      </c>
      <c r="AJ1994">
        <v>91.806521677730899</v>
      </c>
      <c r="AK1994">
        <v>38.797257306611698</v>
      </c>
    </row>
    <row r="1995" spans="1:37" x14ac:dyDescent="0.2">
      <c r="A1995" t="str">
        <f>"20200111155834020"</f>
        <v>20200111155834020</v>
      </c>
      <c r="B1995" t="str">
        <f>"1578729514012815"</f>
        <v>1578729514012815</v>
      </c>
      <c r="C1995" t="s">
        <v>37</v>
      </c>
      <c r="D1995">
        <v>6.0243580000000003</v>
      </c>
      <c r="E1995">
        <v>0.50054609999999899</v>
      </c>
      <c r="F1995" t="s">
        <v>50</v>
      </c>
      <c r="G1995">
        <v>-366.82650000000001</v>
      </c>
      <c r="H1995" s="1">
        <v>2.0959219999999999E-6</v>
      </c>
      <c r="I1995">
        <v>286.13350000000003</v>
      </c>
      <c r="J1995">
        <v>-320.57760000000002</v>
      </c>
      <c r="K1995">
        <v>1.104411</v>
      </c>
      <c r="L1995">
        <v>286.10950000000003</v>
      </c>
      <c r="M1995">
        <v>-0.99946119999999905</v>
      </c>
      <c r="N1995">
        <v>0</v>
      </c>
      <c r="O1995">
        <v>3.1206390000000001E-2</v>
      </c>
      <c r="P1995">
        <v>-0.9997374</v>
      </c>
      <c r="Q1995">
        <v>-2.1819990000000001E-2</v>
      </c>
      <c r="R1995">
        <v>7.000203E-3</v>
      </c>
      <c r="S1995">
        <v>-2.99939</v>
      </c>
      <c r="T1995">
        <v>-6.837261E-2</v>
      </c>
      <c r="U1995">
        <v>5.859375E-3</v>
      </c>
      <c r="V1995">
        <v>-2.4178129999999999E-2</v>
      </c>
      <c r="W1995">
        <v>-1.171087E-2</v>
      </c>
      <c r="X1995">
        <v>0.9996391</v>
      </c>
      <c r="Y1995">
        <v>-2.9239680000000001E-2</v>
      </c>
      <c r="Z1995">
        <v>-1.04444E-3</v>
      </c>
      <c r="AA1995">
        <v>0.99957189999999996</v>
      </c>
      <c r="AB1995">
        <v>36</v>
      </c>
      <c r="AC1995">
        <v>-46.2488999999999</v>
      </c>
      <c r="AD1995">
        <v>-1.1044089040780001</v>
      </c>
      <c r="AE1995">
        <v>2.4000000000000899E-2</v>
      </c>
      <c r="AF1995">
        <v>-1.41853866819042</v>
      </c>
      <c r="AG1995">
        <v>-1.1044089040780001</v>
      </c>
      <c r="AH1995">
        <v>46.200776207879002</v>
      </c>
      <c r="AI1995">
        <v>91.368724440627403</v>
      </c>
      <c r="AJ1995">
        <v>91.758644757665493</v>
      </c>
      <c r="AK1995">
        <v>46.235740430873101</v>
      </c>
    </row>
    <row r="1996" spans="1:37" x14ac:dyDescent="0.2">
      <c r="A1996" t="str">
        <f>"20200111155834036"</f>
        <v>20200111155834036</v>
      </c>
      <c r="B1996" t="str">
        <f>"1578729514033310"</f>
        <v>1578729514033310</v>
      </c>
      <c r="C1996" t="s">
        <v>37</v>
      </c>
      <c r="D1996">
        <v>5.9503740000000001</v>
      </c>
      <c r="E1996">
        <v>0.50319079999999905</v>
      </c>
      <c r="F1996" t="s">
        <v>50</v>
      </c>
      <c r="G1996">
        <v>-346.44549999999998</v>
      </c>
      <c r="H1996" s="1">
        <v>1.8931809999999901E-6</v>
      </c>
      <c r="I1996">
        <v>286.30489999999998</v>
      </c>
      <c r="J1996">
        <v>-320.80579999999998</v>
      </c>
      <c r="K1996">
        <v>1.104417</v>
      </c>
      <c r="L1996">
        <v>286.11610000000002</v>
      </c>
      <c r="M1996">
        <v>-0.99947909999999995</v>
      </c>
      <c r="N1996">
        <v>0</v>
      </c>
      <c r="O1996">
        <v>3.0629690000000001E-2</v>
      </c>
      <c r="P1996">
        <v>-0.99976189999999998</v>
      </c>
      <c r="Q1996">
        <v>-2.0910330000000001E-2</v>
      </c>
      <c r="R1996">
        <v>6.2446169999999896E-3</v>
      </c>
      <c r="S1996">
        <v>-2.997833</v>
      </c>
      <c r="T1996">
        <v>-0.1279904</v>
      </c>
      <c r="U1996">
        <v>2.2644040000000001E-2</v>
      </c>
      <c r="V1996">
        <v>-2.4359519999999999E-2</v>
      </c>
      <c r="W1996">
        <v>-1.0796429999999999E-2</v>
      </c>
      <c r="X1996">
        <v>0.99964489999999995</v>
      </c>
      <c r="Y1996">
        <v>-2.303181E-2</v>
      </c>
      <c r="Z1996">
        <v>-1.7984079999999901E-3</v>
      </c>
      <c r="AA1996">
        <v>0.99973310000000004</v>
      </c>
      <c r="AB1996">
        <v>36</v>
      </c>
      <c r="AC1996">
        <v>-25.639700000000001</v>
      </c>
      <c r="AD1996">
        <v>-1.104415106819</v>
      </c>
      <c r="AE1996">
        <v>0.188799999999957</v>
      </c>
      <c r="AF1996">
        <v>-0.59556029647915798</v>
      </c>
      <c r="AG1996">
        <v>-1.104415106819</v>
      </c>
      <c r="AH1996">
        <v>25.585982024917801</v>
      </c>
      <c r="AI1996">
        <v>92.470961032945297</v>
      </c>
      <c r="AJ1996">
        <v>91.333422756853395</v>
      </c>
      <c r="AK1996">
        <v>25.616730879921601</v>
      </c>
    </row>
    <row r="1997" spans="1:37" x14ac:dyDescent="0.2">
      <c r="A1997" t="str">
        <f>"20200111155834048"</f>
        <v>20200111155834048</v>
      </c>
      <c r="B1997" t="str">
        <f>"1578729514043069"</f>
        <v>1578729514043069</v>
      </c>
      <c r="C1997" t="s">
        <v>37</v>
      </c>
      <c r="D1997">
        <v>5.9693659999999999</v>
      </c>
      <c r="E1997">
        <v>0.50419009999999997</v>
      </c>
      <c r="F1997" t="s">
        <v>50</v>
      </c>
      <c r="G1997">
        <v>-341.09449999999998</v>
      </c>
      <c r="H1997" s="1">
        <v>-9.5436719999999994E-7</v>
      </c>
      <c r="I1997">
        <v>286.38690000000003</v>
      </c>
      <c r="J1997">
        <v>-321.02719999999999</v>
      </c>
      <c r="K1997">
        <v>1.104422</v>
      </c>
      <c r="L1997">
        <v>286.12240000000003</v>
      </c>
      <c r="M1997">
        <v>-0.99949599999999905</v>
      </c>
      <c r="N1997">
        <v>0</v>
      </c>
      <c r="O1997">
        <v>3.0070019999999999E-2</v>
      </c>
      <c r="P1997">
        <v>-0.99977499999999997</v>
      </c>
      <c r="Q1997">
        <v>-2.0489460000000001E-2</v>
      </c>
      <c r="R1997">
        <v>5.5128159999999898E-3</v>
      </c>
      <c r="S1997">
        <v>-2.9970400000000001</v>
      </c>
      <c r="T1997">
        <v>-0.16314439999999999</v>
      </c>
      <c r="U1997">
        <v>4.0008540000000002E-2</v>
      </c>
      <c r="V1997">
        <v>-2.4532660000000001E-2</v>
      </c>
      <c r="W1997">
        <v>-1.0371109999999999E-2</v>
      </c>
      <c r="X1997">
        <v>0.99964519999999901</v>
      </c>
      <c r="Y1997">
        <v>-1.6657620000000001E-2</v>
      </c>
      <c r="Z1997">
        <v>-2.088426E-3</v>
      </c>
      <c r="AA1997">
        <v>0.9998591</v>
      </c>
      <c r="AB1997">
        <v>36</v>
      </c>
      <c r="AC1997">
        <v>-20.0672999999999</v>
      </c>
      <c r="AD1997">
        <v>-1.1044229543671999</v>
      </c>
      <c r="AE1997">
        <v>0.26449999999999801</v>
      </c>
      <c r="AF1997">
        <v>-0.338051210313356</v>
      </c>
      <c r="AG1997">
        <v>-1.1044229543671999</v>
      </c>
      <c r="AH1997">
        <v>20.0055929179575</v>
      </c>
      <c r="AI1997">
        <v>93.159396600683806</v>
      </c>
      <c r="AJ1997">
        <v>90.9680825003922</v>
      </c>
      <c r="AK1997">
        <v>20.038906574011399</v>
      </c>
    </row>
    <row r="1998" spans="1:37" x14ac:dyDescent="0.2">
      <c r="A1998" t="str">
        <f>"20200111155834086"</f>
        <v>20200111155834086</v>
      </c>
      <c r="B1998" t="str">
        <f>"1578729514083084"</f>
        <v>1578729514083084</v>
      </c>
      <c r="C1998" t="s">
        <v>37</v>
      </c>
      <c r="D1998">
        <v>6.0637699999999999</v>
      </c>
      <c r="E1998">
        <v>0.50506340000000005</v>
      </c>
      <c r="F1998" t="s">
        <v>50</v>
      </c>
      <c r="G1998">
        <v>-339.94</v>
      </c>
      <c r="H1998" s="1">
        <v>3.67454E-6</v>
      </c>
      <c r="I1998">
        <v>286.40649999999999</v>
      </c>
      <c r="J1998">
        <v>-321.63290000000001</v>
      </c>
      <c r="K1998">
        <v>1.104433</v>
      </c>
      <c r="L1998">
        <v>286.13900000000001</v>
      </c>
      <c r="M1998">
        <v>-0.99954069999999995</v>
      </c>
      <c r="N1998">
        <v>0</v>
      </c>
      <c r="O1998">
        <v>2.853936E-2</v>
      </c>
      <c r="P1998">
        <v>-0.99979869999999904</v>
      </c>
      <c r="Q1998">
        <v>-1.9733480000000001E-2</v>
      </c>
      <c r="R1998">
        <v>3.638779E-3</v>
      </c>
      <c r="S1998">
        <v>-2.9968569999999999</v>
      </c>
      <c r="T1998">
        <v>-0.17500209999999999</v>
      </c>
      <c r="U1998">
        <v>4.501343E-2</v>
      </c>
      <c r="V1998">
        <v>-2.4877E-2</v>
      </c>
      <c r="W1998">
        <v>-9.6037320000000002E-3</v>
      </c>
      <c r="X1998">
        <v>0.99964439999999999</v>
      </c>
      <c r="Y1998">
        <v>-1.3453710000000001E-2</v>
      </c>
      <c r="Z1998">
        <v>-2.0573369999999998E-3</v>
      </c>
      <c r="AA1998">
        <v>0.9999074</v>
      </c>
      <c r="AB1998">
        <v>36</v>
      </c>
      <c r="AC1998">
        <v>-18.307099999999899</v>
      </c>
      <c r="AD1998">
        <v>-1.1044293254599999</v>
      </c>
      <c r="AE1998">
        <v>0.26749999999998397</v>
      </c>
      <c r="AF1998">
        <v>-0.25418413758761699</v>
      </c>
      <c r="AG1998">
        <v>-1.1044293254599999</v>
      </c>
      <c r="AH1998">
        <v>18.240904021115998</v>
      </c>
      <c r="AI1998">
        <v>93.464513754192396</v>
      </c>
      <c r="AJ1998">
        <v>90.798356032039194</v>
      </c>
      <c r="AK1998">
        <v>18.276075979769299</v>
      </c>
    </row>
    <row r="1999" spans="1:37" x14ac:dyDescent="0.2">
      <c r="A1999" t="str">
        <f>"20200111155834109"</f>
        <v>20200111155834109</v>
      </c>
      <c r="B1999" t="str">
        <f>"1578729514103580"</f>
        <v>1578729514103580</v>
      </c>
      <c r="C1999" t="s">
        <v>37</v>
      </c>
      <c r="D1999">
        <v>6.0994950000000001</v>
      </c>
      <c r="E1999">
        <v>0.50587529999999903</v>
      </c>
      <c r="F1999" t="s">
        <v>50</v>
      </c>
      <c r="G1999">
        <v>-340.40809999999999</v>
      </c>
      <c r="H1999" s="1">
        <v>-1.3196499999999999E-6</v>
      </c>
      <c r="I1999">
        <v>286.42750000000001</v>
      </c>
      <c r="J1999">
        <v>-322</v>
      </c>
      <c r="K1999">
        <v>1.1044320000000001</v>
      </c>
      <c r="L1999">
        <v>286.14859999999999</v>
      </c>
      <c r="M1999">
        <v>-0.99956679999999998</v>
      </c>
      <c r="N1999">
        <v>0</v>
      </c>
      <c r="O1999">
        <v>2.7611739999999999E-2</v>
      </c>
      <c r="P1999">
        <v>-0.99979959999999901</v>
      </c>
      <c r="Q1999">
        <v>-1.9899679999999999E-2</v>
      </c>
      <c r="R1999">
        <v>2.2255980000000001E-3</v>
      </c>
      <c r="S1999">
        <v>-2.9969790000000001</v>
      </c>
      <c r="T1999">
        <v>-0.17629510000000001</v>
      </c>
      <c r="U1999">
        <v>4.605103E-2</v>
      </c>
      <c r="V1999">
        <v>-2.5362200000000001E-2</v>
      </c>
      <c r="W1999">
        <v>-9.7644169999999992E-3</v>
      </c>
      <c r="X1999">
        <v>0.99963060000000004</v>
      </c>
      <c r="Y1999">
        <v>-1.2183019999999999E-2</v>
      </c>
      <c r="Z1999">
        <v>-1.9805840000000001E-3</v>
      </c>
      <c r="AA1999">
        <v>0.99992380000000003</v>
      </c>
      <c r="AB1999">
        <v>36</v>
      </c>
      <c r="AC1999">
        <v>-18.408099999999902</v>
      </c>
      <c r="AD1999">
        <v>-1.10443331965</v>
      </c>
      <c r="AE1999">
        <v>0.27890000000002102</v>
      </c>
      <c r="AF1999">
        <v>-0.22868938871146599</v>
      </c>
      <c r="AG1999">
        <v>-1.10443331965</v>
      </c>
      <c r="AH1999">
        <v>18.3427694863061</v>
      </c>
      <c r="AI1999">
        <v>93.4453992552762</v>
      </c>
      <c r="AJ1999">
        <v>90.714300965279804</v>
      </c>
      <c r="AK1999">
        <v>18.377411793335501</v>
      </c>
    </row>
    <row r="2000" spans="1:37" x14ac:dyDescent="0.2">
      <c r="A2000" t="str">
        <f>"20200111155834131"</f>
        <v>20200111155834131</v>
      </c>
      <c r="B2000" t="str">
        <f>"1578729514123100"</f>
        <v>1578729514123100</v>
      </c>
      <c r="C2000" t="s">
        <v>37</v>
      </c>
      <c r="D2000">
        <v>5.9898210000000001</v>
      </c>
      <c r="E2000">
        <v>0.50680340000000001</v>
      </c>
      <c r="F2000" t="s">
        <v>50</v>
      </c>
      <c r="G2000">
        <v>-341.96179999999998</v>
      </c>
      <c r="H2000" s="1">
        <v>-4.9280889999999996E-7</v>
      </c>
      <c r="I2000">
        <v>286.47539999999998</v>
      </c>
      <c r="J2000">
        <v>-322.35969999999998</v>
      </c>
      <c r="K2000">
        <v>1.10443</v>
      </c>
      <c r="L2000">
        <v>286.15769999999998</v>
      </c>
      <c r="M2000">
        <v>-0.99959149999999997</v>
      </c>
      <c r="N2000">
        <v>0</v>
      </c>
      <c r="O2000">
        <v>2.6703330000000001E-2</v>
      </c>
      <c r="P2000">
        <v>-0.99981430000000004</v>
      </c>
      <c r="Q2000">
        <v>-1.9270289999999999E-2</v>
      </c>
      <c r="R2000">
        <v>5.0334900000000005E-4</v>
      </c>
      <c r="S2000">
        <v>-2.9971919999999899</v>
      </c>
      <c r="T2000">
        <v>-0.16582639999999901</v>
      </c>
      <c r="U2000">
        <v>4.9072270000000001E-2</v>
      </c>
      <c r="V2000">
        <v>-2.6176959999999999E-2</v>
      </c>
      <c r="W2000">
        <v>-9.1305650000000002E-3</v>
      </c>
      <c r="X2000">
        <v>0.99961559999999905</v>
      </c>
      <c r="Y2000">
        <v>-1.027989E-2</v>
      </c>
      <c r="Z2000">
        <v>-1.7602E-3</v>
      </c>
      <c r="AA2000">
        <v>0.99994559999999999</v>
      </c>
      <c r="AB2000">
        <v>36</v>
      </c>
      <c r="AC2000">
        <v>-19.6021</v>
      </c>
      <c r="AD2000">
        <v>-1.1044304928088999</v>
      </c>
      <c r="AE2000">
        <v>0.31770000000000198</v>
      </c>
      <c r="AF2000">
        <v>-0.205230479978666</v>
      </c>
      <c r="AG2000">
        <v>-1.1044304928088999</v>
      </c>
      <c r="AH2000">
        <v>19.541575398948499</v>
      </c>
      <c r="AI2000">
        <v>93.234564276174297</v>
      </c>
      <c r="AJ2000">
        <v>90.6017123899328</v>
      </c>
      <c r="AK2000">
        <v>19.573835989303401</v>
      </c>
    </row>
    <row r="2001" spans="1:37" x14ac:dyDescent="0.2">
      <c r="A2001" t="str">
        <f>"20200111155834152"</f>
        <v>20200111155834152</v>
      </c>
      <c r="B2001" t="str">
        <f>"1578729514143596"</f>
        <v>1578729514143596</v>
      </c>
      <c r="C2001" t="s">
        <v>37</v>
      </c>
      <c r="D2001">
        <v>5.9726610000000004</v>
      </c>
      <c r="E2001">
        <v>0.50748450000000001</v>
      </c>
      <c r="F2001" t="s">
        <v>50</v>
      </c>
      <c r="G2001">
        <v>-341.52780000000001</v>
      </c>
      <c r="H2001" s="1">
        <v>-7.2376949999999996E-7</v>
      </c>
      <c r="I2001">
        <v>286.48379999999997</v>
      </c>
      <c r="J2001">
        <v>-322.70569999999998</v>
      </c>
      <c r="K2001">
        <v>1.10443</v>
      </c>
      <c r="L2001">
        <v>286.16609999999997</v>
      </c>
      <c r="M2001">
        <v>-0.99961420000000001</v>
      </c>
      <c r="N2001">
        <v>0</v>
      </c>
      <c r="O2001">
        <v>2.5829599999999901E-2</v>
      </c>
      <c r="P2001">
        <v>-0.99980449999999998</v>
      </c>
      <c r="Q2001">
        <v>-1.9747859999999999E-2</v>
      </c>
      <c r="R2001">
        <v>-9.018117E-4</v>
      </c>
      <c r="S2001">
        <v>-2.9971919999999899</v>
      </c>
      <c r="T2001">
        <v>-0.17269279999999901</v>
      </c>
      <c r="U2001">
        <v>5.0994869999999998E-2</v>
      </c>
      <c r="V2001">
        <v>-2.6707359999999999E-2</v>
      </c>
      <c r="W2001">
        <v>-9.6034169999999995E-3</v>
      </c>
      <c r="X2001">
        <v>0.99959719999999996</v>
      </c>
      <c r="Y2001">
        <v>-8.7637849999999996E-3</v>
      </c>
      <c r="Z2001">
        <v>-1.739036E-3</v>
      </c>
      <c r="AA2001">
        <v>0.99996010000000002</v>
      </c>
      <c r="AB2001">
        <v>36</v>
      </c>
      <c r="AC2001">
        <v>-18.822099999999999</v>
      </c>
      <c r="AD2001">
        <v>-1.1044307237694999</v>
      </c>
      <c r="AE2001">
        <v>0.31770000000000198</v>
      </c>
      <c r="AF2001">
        <v>-0.16802033973042199</v>
      </c>
      <c r="AG2001">
        <v>-1.1044307237694999</v>
      </c>
      <c r="AH2001">
        <v>18.759455065568002</v>
      </c>
      <c r="AI2001">
        <v>93.369166723457894</v>
      </c>
      <c r="AJ2001">
        <v>90.513159838339803</v>
      </c>
      <c r="AK2001">
        <v>18.792688802170701</v>
      </c>
    </row>
    <row r="2002" spans="1:37" x14ac:dyDescent="0.2">
      <c r="A2002" t="str">
        <f>"20200111155834175"</f>
        <v>20200111155834175</v>
      </c>
      <c r="B2002" t="str">
        <f>"1578729514163117"</f>
        <v>1578729514163117</v>
      </c>
      <c r="C2002" t="s">
        <v>37</v>
      </c>
      <c r="D2002">
        <v>5.984286</v>
      </c>
      <c r="E2002">
        <v>0.50826199999999999</v>
      </c>
      <c r="F2002" t="s">
        <v>50</v>
      </c>
      <c r="G2002">
        <v>-341.10640000000001</v>
      </c>
      <c r="H2002" s="1">
        <v>-9.4798630000000003E-7</v>
      </c>
      <c r="I2002">
        <v>286.48630000000003</v>
      </c>
      <c r="J2002">
        <v>-323.07569999999998</v>
      </c>
      <c r="K2002">
        <v>1.1044290000000001</v>
      </c>
      <c r="L2002">
        <v>286.1748</v>
      </c>
      <c r="M2002">
        <v>-0.99963799999999903</v>
      </c>
      <c r="N2002">
        <v>0</v>
      </c>
      <c r="O2002">
        <v>2.4895850000000001E-2</v>
      </c>
      <c r="P2002">
        <v>-0.999791599999999</v>
      </c>
      <c r="Q2002">
        <v>-2.022127E-2</v>
      </c>
      <c r="R2002">
        <v>-2.8441129999999901E-3</v>
      </c>
      <c r="S2002">
        <v>-2.9970699999999999</v>
      </c>
      <c r="T2002">
        <v>-0.1798874</v>
      </c>
      <c r="U2002">
        <v>5.2154539999999999E-2</v>
      </c>
      <c r="V2002">
        <v>-2.7713890000000001E-2</v>
      </c>
      <c r="W2002">
        <v>-1.007305E-2</v>
      </c>
      <c r="X2002">
        <v>0.99956509999999998</v>
      </c>
      <c r="Y2002">
        <v>-7.4413959999999899E-3</v>
      </c>
      <c r="Z2002">
        <v>-1.715804E-3</v>
      </c>
      <c r="AA2002">
        <v>0.9999709</v>
      </c>
      <c r="AB2002">
        <v>36</v>
      </c>
      <c r="AC2002">
        <v>-18.0307</v>
      </c>
      <c r="AD2002">
        <v>-1.1044299479863</v>
      </c>
      <c r="AE2002">
        <v>0.31150000000002298</v>
      </c>
      <c r="AF2002">
        <v>-0.136995680152567</v>
      </c>
      <c r="AG2002">
        <v>-1.1044299479863</v>
      </c>
      <c r="AH2002">
        <v>17.965481702399799</v>
      </c>
      <c r="AI2002">
        <v>93.517735214104903</v>
      </c>
      <c r="AJ2002">
        <v>90.436900177757394</v>
      </c>
      <c r="AK2002">
        <v>17.9999185033058</v>
      </c>
    </row>
    <row r="2003" spans="1:37" x14ac:dyDescent="0.2">
      <c r="A2003" t="str">
        <f>"20200111155834198"</f>
        <v>20200111155834198</v>
      </c>
      <c r="B2003" t="str">
        <f>"1578729514193373"</f>
        <v>1578729514193373</v>
      </c>
      <c r="C2003" t="s">
        <v>37</v>
      </c>
      <c r="D2003">
        <v>5.9735670000000001</v>
      </c>
      <c r="E2003">
        <v>0.50915390000000005</v>
      </c>
      <c r="F2003" t="s">
        <v>50</v>
      </c>
      <c r="G2003">
        <v>-340.92619999999999</v>
      </c>
      <c r="H2003" s="1">
        <v>-1.0438869999999999E-6</v>
      </c>
      <c r="I2003">
        <v>286.48610000000002</v>
      </c>
      <c r="J2003">
        <v>-323.445999999999</v>
      </c>
      <c r="K2003">
        <v>1.1044350000000001</v>
      </c>
      <c r="L2003">
        <v>286.18310000000002</v>
      </c>
      <c r="M2003">
        <v>-0.99966069999999996</v>
      </c>
      <c r="N2003">
        <v>0</v>
      </c>
      <c r="O2003">
        <v>2.3961389999999999E-2</v>
      </c>
      <c r="P2003">
        <v>-0.99978829999999996</v>
      </c>
      <c r="Q2003">
        <v>-2.0221820000000001E-2</v>
      </c>
      <c r="R2003">
        <v>-3.8406959999999898E-3</v>
      </c>
      <c r="S2003">
        <v>-2.9970089999999998</v>
      </c>
      <c r="T2003">
        <v>-0.1854277</v>
      </c>
      <c r="U2003">
        <v>5.2276610000000001E-2</v>
      </c>
      <c r="V2003">
        <v>-2.7775379999999999E-2</v>
      </c>
      <c r="W2003">
        <v>-1.0067680000000001E-2</v>
      </c>
      <c r="X2003">
        <v>0.99956350000000005</v>
      </c>
      <c r="Y2003">
        <v>-6.465574E-3</v>
      </c>
      <c r="Z2003">
        <v>-1.6806869999999999E-3</v>
      </c>
      <c r="AA2003">
        <v>0.99997769999999997</v>
      </c>
      <c r="AB2003">
        <v>36</v>
      </c>
      <c r="AC2003">
        <v>-17.4802</v>
      </c>
      <c r="AD2003">
        <v>-1.104436043887</v>
      </c>
      <c r="AE2003">
        <v>0.30299999999999699</v>
      </c>
      <c r="AF2003">
        <v>-0.11549782042154499</v>
      </c>
      <c r="AG2003">
        <v>-1.104436043887</v>
      </c>
      <c r="AH2003">
        <v>17.412950055474798</v>
      </c>
      <c r="AI2003">
        <v>93.629108596424501</v>
      </c>
      <c r="AJ2003">
        <v>90.380029839200404</v>
      </c>
      <c r="AK2003">
        <v>17.448322221807398</v>
      </c>
    </row>
    <row r="2004" spans="1:37" x14ac:dyDescent="0.2">
      <c r="A2004" t="str">
        <f>"20200111155834220"</f>
        <v>20200111155834220</v>
      </c>
      <c r="B2004" t="str">
        <f>"1578729514212891"</f>
        <v>1578729514212891</v>
      </c>
      <c r="C2004" t="s">
        <v>37</v>
      </c>
      <c r="D2004">
        <v>6.0161189999999998</v>
      </c>
      <c r="E2004">
        <v>0.50973310000000005</v>
      </c>
      <c r="F2004" t="s">
        <v>50</v>
      </c>
      <c r="G2004">
        <v>-340.71019999999999</v>
      </c>
      <c r="H2004" s="1">
        <v>-1.1588569999999999E-6</v>
      </c>
      <c r="I2004">
        <v>286.50569999999999</v>
      </c>
      <c r="J2004">
        <v>-323.80709999999999</v>
      </c>
      <c r="K2004">
        <v>1.1044389999999999</v>
      </c>
      <c r="L2004">
        <v>286.1909</v>
      </c>
      <c r="M2004">
        <v>-0.99968210000000002</v>
      </c>
      <c r="N2004">
        <v>0</v>
      </c>
      <c r="O2004">
        <v>2.3050049999999999E-2</v>
      </c>
      <c r="P2004">
        <v>-0.99979549999999995</v>
      </c>
      <c r="Q2004">
        <v>-1.9645840000000001E-2</v>
      </c>
      <c r="R2004">
        <v>-4.8194659999999997E-3</v>
      </c>
      <c r="S2004">
        <v>-2.9970089999999998</v>
      </c>
      <c r="T2004">
        <v>-0.19172639999999999</v>
      </c>
      <c r="U2004">
        <v>5.5999760000000003E-2</v>
      </c>
      <c r="V2004">
        <v>-2.7844170000000001E-2</v>
      </c>
      <c r="W2004">
        <v>-9.486085E-3</v>
      </c>
      <c r="X2004">
        <v>0.99956730000000005</v>
      </c>
      <c r="Y2004">
        <v>-4.3143419999999997E-3</v>
      </c>
      <c r="Z2004">
        <v>-1.6106849999999999E-3</v>
      </c>
      <c r="AA2004">
        <v>0.99998940000000003</v>
      </c>
      <c r="AB2004">
        <v>36</v>
      </c>
      <c r="AC2004">
        <v>-16.903099999999899</v>
      </c>
      <c r="AD2004">
        <v>-1.1044401588570001</v>
      </c>
      <c r="AE2004">
        <v>0.31479999999999098</v>
      </c>
      <c r="AF2004">
        <v>-7.4602897806693796E-2</v>
      </c>
      <c r="AG2004">
        <v>-1.1044401588570001</v>
      </c>
      <c r="AH2004">
        <v>16.834021381072901</v>
      </c>
      <c r="AI2004">
        <v>93.753623716542094</v>
      </c>
      <c r="AJ2004">
        <v>90.253914564110303</v>
      </c>
      <c r="AK2004">
        <v>16.8703772783918</v>
      </c>
    </row>
    <row r="2005" spans="1:37" x14ac:dyDescent="0.2">
      <c r="A2005" t="str">
        <f>"20200111155834243"</f>
        <v>20200111155834243</v>
      </c>
      <c r="B2005" t="str">
        <f>"1578729514233387"</f>
        <v>1578729514233387</v>
      </c>
      <c r="C2005" t="s">
        <v>37</v>
      </c>
      <c r="D2005">
        <v>5.9492469999999997</v>
      </c>
      <c r="E2005">
        <v>0.51025600000000004</v>
      </c>
      <c r="F2005" t="s">
        <v>50</v>
      </c>
      <c r="G2005">
        <v>-340.89159999999998</v>
      </c>
      <c r="H2005" s="1">
        <v>-1.062308E-6</v>
      </c>
      <c r="I2005">
        <v>286.51870000000002</v>
      </c>
      <c r="J2005">
        <v>-324.17559999999997</v>
      </c>
      <c r="K2005">
        <v>1.104449</v>
      </c>
      <c r="L2005">
        <v>286.19850000000002</v>
      </c>
      <c r="M2005">
        <v>-0.99970309999999996</v>
      </c>
      <c r="N2005">
        <v>0</v>
      </c>
      <c r="O2005">
        <v>2.2120359999999999E-2</v>
      </c>
      <c r="P2005">
        <v>-0.99981559999999903</v>
      </c>
      <c r="Q2005">
        <v>-1.8324569999999998E-2</v>
      </c>
      <c r="R2005">
        <v>-5.773256E-3</v>
      </c>
      <c r="S2005">
        <v>-2.9970699999999999</v>
      </c>
      <c r="T2005">
        <v>-0.19374720000000001</v>
      </c>
      <c r="U2005">
        <v>5.7495119999999997E-2</v>
      </c>
      <c r="V2005">
        <v>-2.7871670000000001E-2</v>
      </c>
      <c r="W2005">
        <v>-8.1590669999999903E-3</v>
      </c>
      <c r="X2005">
        <v>0.99957819999999997</v>
      </c>
      <c r="Y2005">
        <v>-2.8897179999999999E-3</v>
      </c>
      <c r="Z2005">
        <v>-1.5215700000000001E-3</v>
      </c>
      <c r="AA2005">
        <v>0.99999470000000001</v>
      </c>
      <c r="AB2005">
        <v>37</v>
      </c>
      <c r="AC2005">
        <v>-16.716000000000001</v>
      </c>
      <c r="AD2005">
        <v>-1.104450062308</v>
      </c>
      <c r="AE2005">
        <v>0.32019999999999899</v>
      </c>
      <c r="AF2005">
        <v>-4.9445824263031998E-2</v>
      </c>
      <c r="AG2005">
        <v>-1.104450062308</v>
      </c>
      <c r="AH2005">
        <v>16.646350831318099</v>
      </c>
      <c r="AI2005">
        <v>93.795873356081799</v>
      </c>
      <c r="AJ2005">
        <v>90.170189174883603</v>
      </c>
      <c r="AK2005">
        <v>16.683022832478301</v>
      </c>
    </row>
    <row r="2006" spans="1:37" x14ac:dyDescent="0.2">
      <c r="A2006" t="str">
        <f>"20200111155834264"</f>
        <v>20200111155834264</v>
      </c>
      <c r="B2006" t="str">
        <f>"1578729514252909"</f>
        <v>1578729514252909</v>
      </c>
      <c r="C2006" t="s">
        <v>37</v>
      </c>
      <c r="D2006">
        <v>5.7645220000000004</v>
      </c>
      <c r="E2006">
        <v>0.51185849999999999</v>
      </c>
      <c r="F2006" t="s">
        <v>50</v>
      </c>
      <c r="G2006">
        <v>-341.32859999999999</v>
      </c>
      <c r="H2006" s="1">
        <v>-8.2980080000000002E-7</v>
      </c>
      <c r="I2006">
        <v>286.53590000000003</v>
      </c>
      <c r="J2006">
        <v>-324.5283</v>
      </c>
      <c r="K2006">
        <v>1.1044579999999999</v>
      </c>
      <c r="L2006">
        <v>286.2056</v>
      </c>
      <c r="M2006">
        <v>-0.99972220000000001</v>
      </c>
      <c r="N2006">
        <v>0</v>
      </c>
      <c r="O2006">
        <v>2.1230369999999998E-2</v>
      </c>
      <c r="P2006">
        <v>-0.99983109999999997</v>
      </c>
      <c r="Q2006">
        <v>-1.7048890000000001E-2</v>
      </c>
      <c r="R2006">
        <v>-6.8823019999999999E-3</v>
      </c>
      <c r="S2006">
        <v>-2.9973450000000001</v>
      </c>
      <c r="T2006">
        <v>-0.192994</v>
      </c>
      <c r="U2006">
        <v>5.8959959999999999E-2</v>
      </c>
      <c r="V2006">
        <v>-2.8093569999999998E-2</v>
      </c>
      <c r="W2006">
        <v>-6.8784869999999904E-3</v>
      </c>
      <c r="X2006">
        <v>0.99958159999999896</v>
      </c>
      <c r="Y2006">
        <v>-1.5178079999999901E-3</v>
      </c>
      <c r="Z2006">
        <v>-1.4141749999999999E-3</v>
      </c>
      <c r="AA2006">
        <v>0.999997899999999</v>
      </c>
      <c r="AB2006">
        <v>37</v>
      </c>
      <c r="AC2006">
        <v>-16.800299999999901</v>
      </c>
      <c r="AD2006">
        <v>-1.1044588298008</v>
      </c>
      <c r="AE2006">
        <v>0.33030000000002202</v>
      </c>
      <c r="AF2006">
        <v>-2.6355868557464E-2</v>
      </c>
      <c r="AG2006">
        <v>-1.1044588298008</v>
      </c>
      <c r="AH2006">
        <v>16.731244539317601</v>
      </c>
      <c r="AI2006">
        <v>93.776710952143503</v>
      </c>
      <c r="AJ2006">
        <v>90.090255018456901</v>
      </c>
      <c r="AK2006">
        <v>16.767679260201099</v>
      </c>
    </row>
    <row r="2007" spans="1:37" x14ac:dyDescent="0.2">
      <c r="A2007" t="str">
        <f>"20200111155834533"</f>
        <v>20200111155834533</v>
      </c>
      <c r="B2007" t="str">
        <f>"1578729514523572"</f>
        <v>1578729514523572</v>
      </c>
      <c r="C2007" t="s">
        <v>37</v>
      </c>
      <c r="D2007">
        <v>5.9189030000000002</v>
      </c>
      <c r="E2007">
        <v>0.51230520000000002</v>
      </c>
      <c r="F2007" t="s">
        <v>50</v>
      </c>
      <c r="G2007">
        <v>-342.3229</v>
      </c>
      <c r="H2007" s="1">
        <v>-3.0065749999999998E-7</v>
      </c>
      <c r="I2007">
        <v>286.61110000000002</v>
      </c>
      <c r="J2007">
        <v>-328.93959999999998</v>
      </c>
      <c r="K2007">
        <v>1.104479</v>
      </c>
      <c r="L2007">
        <v>286.26650000000001</v>
      </c>
      <c r="M2007">
        <v>-0.99989439999999996</v>
      </c>
      <c r="N2007">
        <v>0</v>
      </c>
      <c r="O2007">
        <v>1.027116E-2</v>
      </c>
      <c r="P2007">
        <v>-0.99919249999999904</v>
      </c>
      <c r="Q2007">
        <v>-7.566288E-3</v>
      </c>
      <c r="R2007">
        <v>-3.9466349999999997E-2</v>
      </c>
      <c r="S2007">
        <v>-2.99780299999999</v>
      </c>
      <c r="T2007">
        <v>-0.18606500000000001</v>
      </c>
      <c r="U2007">
        <v>6.8328860000000005E-2</v>
      </c>
      <c r="V2007">
        <v>-4.9733279999999998E-2</v>
      </c>
      <c r="W2007">
        <v>2.6114599999999999E-3</v>
      </c>
      <c r="X2007">
        <v>0.99875919999999896</v>
      </c>
      <c r="Y2007">
        <v>1.2512509999999999E-2</v>
      </c>
      <c r="Z2007">
        <v>-2.4892879999999999E-4</v>
      </c>
      <c r="AA2007">
        <v>0.99992169999999903</v>
      </c>
      <c r="AB2007">
        <v>37</v>
      </c>
      <c r="AC2007">
        <v>-13.3833</v>
      </c>
      <c r="AD2007">
        <v>-1.1044793006575</v>
      </c>
      <c r="AE2007">
        <v>0.34460000000001401</v>
      </c>
      <c r="AF2007">
        <v>0.20571243229834299</v>
      </c>
      <c r="AG2007">
        <v>-1.1044793006575</v>
      </c>
      <c r="AH2007">
        <v>13.2956415857793</v>
      </c>
      <c r="AI2007">
        <v>94.748136153425904</v>
      </c>
      <c r="AJ2007">
        <v>89.113580663936105</v>
      </c>
      <c r="AK2007">
        <v>13.3430235444552</v>
      </c>
    </row>
    <row r="2008" spans="1:37" x14ac:dyDescent="0.2">
      <c r="A2008" t="str">
        <f>"20200111155834579"</f>
        <v>20200111155834579</v>
      </c>
      <c r="B2008" t="str">
        <f>"1578729514573351"</f>
        <v>1578729514573351</v>
      </c>
      <c r="C2008" t="s">
        <v>37</v>
      </c>
      <c r="D2008">
        <v>6.537604</v>
      </c>
      <c r="E2008">
        <v>0.51225619999999905</v>
      </c>
      <c r="F2008" t="s">
        <v>50</v>
      </c>
      <c r="G2008">
        <v>-349.9649</v>
      </c>
      <c r="H2008" s="1">
        <v>-1.555487E-6</v>
      </c>
      <c r="I2008">
        <v>286.08620000000002</v>
      </c>
      <c r="J2008">
        <v>-329.70179999999999</v>
      </c>
      <c r="K2008">
        <v>1.104455</v>
      </c>
      <c r="L2008">
        <v>286.2724</v>
      </c>
      <c r="M2008">
        <v>-0.99991090000000005</v>
      </c>
      <c r="N2008">
        <v>0</v>
      </c>
      <c r="O2008">
        <v>8.4942509999999995E-3</v>
      </c>
      <c r="P2008">
        <v>-0.9990116</v>
      </c>
      <c r="Q2008">
        <v>-8.2840159999999999E-3</v>
      </c>
      <c r="R2008">
        <v>-4.3674570000000003E-2</v>
      </c>
      <c r="S2008">
        <v>-3.0002140000000002</v>
      </c>
      <c r="T2008">
        <v>-0.15760450000000001</v>
      </c>
      <c r="U2008">
        <v>-2.572632E-2</v>
      </c>
      <c r="V2008">
        <v>-5.216349E-2</v>
      </c>
      <c r="W2008">
        <v>1.899066E-3</v>
      </c>
      <c r="X2008">
        <v>0.99863679999999999</v>
      </c>
      <c r="Y2008">
        <v>-1.7033400000000001E-2</v>
      </c>
      <c r="Z2008">
        <v>-8.9299520000000001E-4</v>
      </c>
      <c r="AA2008">
        <v>0.99985449999999998</v>
      </c>
      <c r="AB2008">
        <v>37</v>
      </c>
      <c r="AC2008">
        <v>-20.263100000000001</v>
      </c>
      <c r="AD2008">
        <v>-1.1044565554870001</v>
      </c>
      <c r="AE2008">
        <v>-0.18619999999998499</v>
      </c>
      <c r="AF2008">
        <v>-0.357260974904821</v>
      </c>
      <c r="AG2008">
        <v>-1.1044565554870001</v>
      </c>
      <c r="AH2008">
        <v>20.200778106983901</v>
      </c>
      <c r="AI2008">
        <v>93.128983123859797</v>
      </c>
      <c r="AJ2008">
        <v>91.013199204686401</v>
      </c>
      <c r="AK2008">
        <v>20.234102298217898</v>
      </c>
    </row>
    <row r="2009" spans="1:37" x14ac:dyDescent="0.2">
      <c r="A2009" t="str">
        <f>"20200111155834600"</f>
        <v>20200111155834600</v>
      </c>
      <c r="B2009" t="str">
        <f>"1578729514592869"</f>
        <v>1578729514592869</v>
      </c>
      <c r="C2009" t="s">
        <v>37</v>
      </c>
      <c r="D2009">
        <v>5.6459539999999997</v>
      </c>
      <c r="E2009">
        <v>0.51149709999999904</v>
      </c>
      <c r="F2009" t="s">
        <v>50</v>
      </c>
      <c r="G2009">
        <v>-350.6902</v>
      </c>
      <c r="H2009" s="1">
        <v>-1.1694979999999999E-6</v>
      </c>
      <c r="I2009">
        <v>286.00659999999999</v>
      </c>
      <c r="J2009">
        <v>-330.07139999999998</v>
      </c>
      <c r="K2009">
        <v>1.104444</v>
      </c>
      <c r="L2009">
        <v>286.2747</v>
      </c>
      <c r="M2009">
        <v>-0.99991759999999996</v>
      </c>
      <c r="N2009">
        <v>0</v>
      </c>
      <c r="O2009">
        <v>7.6446049999999996E-3</v>
      </c>
      <c r="P2009">
        <v>-0.9989365</v>
      </c>
      <c r="Q2009">
        <v>-8.2690660000000003E-3</v>
      </c>
      <c r="R2009">
        <v>-4.5359719999999999E-2</v>
      </c>
      <c r="S2009">
        <v>-3.0000309999999999</v>
      </c>
      <c r="T2009">
        <v>-0.15786829999999999</v>
      </c>
      <c r="U2009">
        <v>-3.7994380000000001E-2</v>
      </c>
      <c r="V2009">
        <v>-5.299918E-2</v>
      </c>
      <c r="W2009">
        <v>1.91766299999999E-3</v>
      </c>
      <c r="X2009">
        <v>0.9985927</v>
      </c>
      <c r="Y2009">
        <v>-2.0269059999999998E-2</v>
      </c>
      <c r="Z2009">
        <v>-9.3491699999999995E-4</v>
      </c>
      <c r="AA2009">
        <v>0.99979409999999902</v>
      </c>
      <c r="AB2009">
        <v>37</v>
      </c>
      <c r="AC2009">
        <v>-20.6188</v>
      </c>
      <c r="AD2009">
        <v>-1.104445169498</v>
      </c>
      <c r="AE2009">
        <v>-0.268100000000004</v>
      </c>
      <c r="AF2009">
        <v>-0.42450534237700999</v>
      </c>
      <c r="AG2009">
        <v>-1.104445169498</v>
      </c>
      <c r="AH2009">
        <v>20.557175043644101</v>
      </c>
      <c r="AI2009">
        <v>93.074635430242793</v>
      </c>
      <c r="AJ2009">
        <v>91.182988817076406</v>
      </c>
      <c r="AK2009">
        <v>20.591198354956301</v>
      </c>
    </row>
    <row r="2010" spans="1:37" x14ac:dyDescent="0.2">
      <c r="A2010" t="str">
        <f>"20200111155834615"</f>
        <v>20200111155834615</v>
      </c>
      <c r="B2010" t="str">
        <f>"1578729514603605"</f>
        <v>1578729514603605</v>
      </c>
      <c r="C2010" t="s">
        <v>37</v>
      </c>
      <c r="D2010">
        <v>5.6729669999999999</v>
      </c>
      <c r="E2010">
        <v>0.51100059999999903</v>
      </c>
      <c r="F2010" t="s">
        <v>50</v>
      </c>
      <c r="G2010">
        <v>-352.06810000000002</v>
      </c>
      <c r="H2010" s="1">
        <v>-4.362737E-7</v>
      </c>
      <c r="I2010">
        <v>285.9178</v>
      </c>
      <c r="J2010">
        <v>-330.2946</v>
      </c>
      <c r="K2010">
        <v>1.104441</v>
      </c>
      <c r="L2010">
        <v>286.27589999999998</v>
      </c>
      <c r="M2010">
        <v>-0.99992139999999996</v>
      </c>
      <c r="N2010">
        <v>0</v>
      </c>
      <c r="O2010">
        <v>7.13400699999999E-3</v>
      </c>
      <c r="P2010">
        <v>-0.99888869999999896</v>
      </c>
      <c r="Q2010">
        <v>-8.2353670000000004E-3</v>
      </c>
      <c r="R2010">
        <v>-4.6406820000000001E-2</v>
      </c>
      <c r="S2010">
        <v>-2.9997250000000002</v>
      </c>
      <c r="T2010">
        <v>-0.150615</v>
      </c>
      <c r="U2010">
        <v>-4.8675540000000003E-2</v>
      </c>
      <c r="V2010">
        <v>-5.3536279999999999E-2</v>
      </c>
      <c r="W2010">
        <v>1.9534259999999999E-3</v>
      </c>
      <c r="X2010">
        <v>0.99856399999999901</v>
      </c>
      <c r="Y2010">
        <v>-2.331921E-2</v>
      </c>
      <c r="Z2010">
        <v>-9.4298560000000001E-4</v>
      </c>
      <c r="AA2010">
        <v>0.99972759999999905</v>
      </c>
      <c r="AB2010">
        <v>37</v>
      </c>
      <c r="AC2010">
        <v>-21.773499999999999</v>
      </c>
      <c r="AD2010">
        <v>-1.1044414362737001</v>
      </c>
      <c r="AE2010">
        <v>-0.35809999999997899</v>
      </c>
      <c r="AF2010">
        <v>-0.51211416391996301</v>
      </c>
      <c r="AG2010">
        <v>-1.1044414362737001</v>
      </c>
      <c r="AH2010">
        <v>21.714536047894399</v>
      </c>
      <c r="AI2010">
        <v>92.910852212939304</v>
      </c>
      <c r="AJ2010">
        <v>91.3510093860545</v>
      </c>
      <c r="AK2010">
        <v>21.748635073915601</v>
      </c>
    </row>
    <row r="2011" spans="1:37" x14ac:dyDescent="0.2">
      <c r="A2011" t="str">
        <f>"20200111155834629"</f>
        <v>20200111155834629</v>
      </c>
      <c r="B2011" t="str">
        <f>"1578729514623125"</f>
        <v>1578729514623125</v>
      </c>
      <c r="C2011" t="s">
        <v>37</v>
      </c>
      <c r="D2011">
        <v>5.9172909999999996</v>
      </c>
      <c r="E2011">
        <v>0.5110382</v>
      </c>
      <c r="F2011" t="s">
        <v>50</v>
      </c>
      <c r="G2011">
        <v>-352.85610000000003</v>
      </c>
      <c r="H2011" s="1">
        <v>-1.6902179999999999E-8</v>
      </c>
      <c r="I2011">
        <v>285.85770000000002</v>
      </c>
      <c r="J2011">
        <v>-330.55349999999999</v>
      </c>
      <c r="K2011">
        <v>1.104444</v>
      </c>
      <c r="L2011">
        <v>286.27730000000003</v>
      </c>
      <c r="M2011">
        <v>-0.99992539999999996</v>
      </c>
      <c r="N2011">
        <v>0</v>
      </c>
      <c r="O2011">
        <v>6.543358E-3</v>
      </c>
      <c r="P2011">
        <v>-0.99885089999999999</v>
      </c>
      <c r="Q2011">
        <v>-7.81103099999999E-3</v>
      </c>
      <c r="R2011">
        <v>-4.728773E-2</v>
      </c>
      <c r="S2011">
        <v>-2.9995419999999999</v>
      </c>
      <c r="T2011">
        <v>-0.1468351</v>
      </c>
      <c r="U2011">
        <v>-5.5603029999999998E-2</v>
      </c>
      <c r="V2011">
        <v>-5.3827640000000003E-2</v>
      </c>
      <c r="W2011">
        <v>2.381148E-3</v>
      </c>
      <c r="X2011">
        <v>0.99854739999999997</v>
      </c>
      <c r="Y2011">
        <v>-2.5038370000000001E-2</v>
      </c>
      <c r="Z2011">
        <v>-9.3254089999999905E-4</v>
      </c>
      <c r="AA2011">
        <v>0.99968609999999902</v>
      </c>
      <c r="AB2011">
        <v>37</v>
      </c>
      <c r="AC2011">
        <v>-22.302600000000002</v>
      </c>
      <c r="AD2011">
        <v>-1.1044440169021801</v>
      </c>
      <c r="AE2011">
        <v>-0.41960000000000203</v>
      </c>
      <c r="AF2011">
        <v>-0.56414969138347903</v>
      </c>
      <c r="AG2011">
        <v>-1.1044440169021801</v>
      </c>
      <c r="AH2011">
        <v>22.244844671180299</v>
      </c>
      <c r="AI2011">
        <v>92.841457058874397</v>
      </c>
      <c r="AJ2011">
        <v>91.452762183825499</v>
      </c>
      <c r="AK2011">
        <v>22.2793890379807</v>
      </c>
    </row>
    <row r="2012" spans="1:37" x14ac:dyDescent="0.2">
      <c r="A2012" t="str">
        <f>"20200111155834644"</f>
        <v>20200111155834644</v>
      </c>
      <c r="B2012" t="str">
        <f>"1578729514632884"</f>
        <v>1578729514632884</v>
      </c>
      <c r="C2012" t="s">
        <v>37</v>
      </c>
      <c r="D2012">
        <v>5.7146679999999996</v>
      </c>
      <c r="E2012">
        <v>0.51106470000000004</v>
      </c>
      <c r="F2012" t="s">
        <v>50</v>
      </c>
      <c r="G2012">
        <v>-354.06420000000003</v>
      </c>
      <c r="H2012" s="1">
        <v>6.2595719999999903E-7</v>
      </c>
      <c r="I2012">
        <v>285.8245</v>
      </c>
      <c r="J2012">
        <v>-330.798</v>
      </c>
      <c r="K2012">
        <v>1.1044430000000001</v>
      </c>
      <c r="L2012">
        <v>286.27839999999998</v>
      </c>
      <c r="M2012">
        <v>-0.99992890000000001</v>
      </c>
      <c r="N2012">
        <v>0</v>
      </c>
      <c r="O2012">
        <v>5.9862580000000004E-3</v>
      </c>
      <c r="P2012">
        <v>-0.99881350000000002</v>
      </c>
      <c r="Q2012">
        <v>-7.1940919999999896E-3</v>
      </c>
      <c r="R2012">
        <v>-4.8167660000000001E-2</v>
      </c>
      <c r="S2012">
        <v>-2.999603</v>
      </c>
      <c r="T2012">
        <v>-0.1409099</v>
      </c>
      <c r="U2012">
        <v>-5.776978E-2</v>
      </c>
      <c r="V2012">
        <v>-5.4152760000000001E-2</v>
      </c>
      <c r="W2012">
        <v>3.0005570000000001E-3</v>
      </c>
      <c r="X2012">
        <v>0.99852819999999998</v>
      </c>
      <c r="Y2012">
        <v>-2.5206309999999999E-2</v>
      </c>
      <c r="Z2012">
        <v>-8.7271539999999996E-4</v>
      </c>
      <c r="AA2012">
        <v>0.99968189999999901</v>
      </c>
      <c r="AB2012">
        <v>37</v>
      </c>
      <c r="AC2012">
        <v>-23.266200000000001</v>
      </c>
      <c r="AD2012">
        <v>-1.1044423740428</v>
      </c>
      <c r="AE2012">
        <v>-0.45389999999997599</v>
      </c>
      <c r="AF2012">
        <v>-0.59184360594627705</v>
      </c>
      <c r="AG2012">
        <v>-1.1044423740428</v>
      </c>
      <c r="AH2012">
        <v>23.2107828614791</v>
      </c>
      <c r="AI2012">
        <v>92.723375516205707</v>
      </c>
      <c r="AJ2012">
        <v>91.460648465684898</v>
      </c>
      <c r="AK2012">
        <v>23.244580289912999</v>
      </c>
    </row>
    <row r="2013" spans="1:37" x14ac:dyDescent="0.2">
      <c r="A2013" t="str">
        <f>"20200111155834658"</f>
        <v>20200111155834658</v>
      </c>
      <c r="B2013" t="str">
        <f>"1578729514653381"</f>
        <v>1578729514653381</v>
      </c>
      <c r="C2013" t="s">
        <v>37</v>
      </c>
      <c r="D2013">
        <v>5.7660169999999997</v>
      </c>
      <c r="E2013">
        <v>0.51110459999999902</v>
      </c>
      <c r="F2013" t="s">
        <v>50</v>
      </c>
      <c r="G2013">
        <v>-355.07260000000002</v>
      </c>
      <c r="H2013" s="1">
        <v>1.16261E-6</v>
      </c>
      <c r="I2013">
        <v>285.79219999999998</v>
      </c>
      <c r="J2013">
        <v>-331.01900000000001</v>
      </c>
      <c r="K2013">
        <v>1.1044479999999901</v>
      </c>
      <c r="L2013">
        <v>286.27929999999998</v>
      </c>
      <c r="M2013">
        <v>-0.99993169999999898</v>
      </c>
      <c r="N2013">
        <v>0</v>
      </c>
      <c r="O2013">
        <v>5.4846950000000004E-3</v>
      </c>
      <c r="P2013">
        <v>-0.99877579999999999</v>
      </c>
      <c r="Q2013">
        <v>-7.1714040000000001E-3</v>
      </c>
      <c r="R2013">
        <v>-4.894312E-2</v>
      </c>
      <c r="S2013">
        <v>-2.9996640000000001</v>
      </c>
      <c r="T2013">
        <v>-0.1364783</v>
      </c>
      <c r="U2013">
        <v>-6.0089110000000001E-2</v>
      </c>
      <c r="V2013">
        <v>-5.4426999999999899E-2</v>
      </c>
      <c r="W2013">
        <v>3.0253519999999998E-3</v>
      </c>
      <c r="X2013">
        <v>0.99851319999999999</v>
      </c>
      <c r="Y2013">
        <v>-2.547949E-2</v>
      </c>
      <c r="Z2013">
        <v>-8.2867710000000003E-4</v>
      </c>
      <c r="AA2013">
        <v>0.99967499999999998</v>
      </c>
      <c r="AB2013">
        <v>37</v>
      </c>
      <c r="AC2013">
        <v>-24.053599999999999</v>
      </c>
      <c r="AD2013">
        <v>-1.1044468373899901</v>
      </c>
      <c r="AE2013">
        <v>-0.48709999999999798</v>
      </c>
      <c r="AF2013">
        <v>-0.617724552931745</v>
      </c>
      <c r="AG2013">
        <v>-1.1044468373899901</v>
      </c>
      <c r="AH2013">
        <v>23.9999883420111</v>
      </c>
      <c r="AI2013">
        <v>92.633943920107896</v>
      </c>
      <c r="AJ2013">
        <v>91.474383935398606</v>
      </c>
      <c r="AK2013">
        <v>24.0333274195768</v>
      </c>
    </row>
    <row r="2014" spans="1:37" x14ac:dyDescent="0.2">
      <c r="A2014" t="str">
        <f>"20200111155834671"</f>
        <v>20200111155834671</v>
      </c>
      <c r="B2014" t="str">
        <f>"1578729514663141"</f>
        <v>1578729514663141</v>
      </c>
      <c r="C2014" t="s">
        <v>37</v>
      </c>
      <c r="D2014">
        <v>5.8412759999999997</v>
      </c>
      <c r="E2014">
        <v>0.51110929999999999</v>
      </c>
      <c r="F2014" t="s">
        <v>50</v>
      </c>
      <c r="G2014">
        <v>-354.96600000000001</v>
      </c>
      <c r="H2014" s="1">
        <v>1.105853E-6</v>
      </c>
      <c r="I2014">
        <v>285.78449999999998</v>
      </c>
      <c r="J2014">
        <v>-331.24829999999997</v>
      </c>
      <c r="K2014">
        <v>1.10444599999999</v>
      </c>
      <c r="L2014">
        <v>286.2801</v>
      </c>
      <c r="M2014">
        <v>-0.9999344</v>
      </c>
      <c r="N2014">
        <v>0</v>
      </c>
      <c r="O2014">
        <v>4.9641160000000002E-3</v>
      </c>
      <c r="P2014">
        <v>-0.99875190000000003</v>
      </c>
      <c r="Q2014">
        <v>-7.143277E-3</v>
      </c>
      <c r="R2014">
        <v>-4.9434560000000002E-2</v>
      </c>
      <c r="S2014">
        <v>-2.9996640000000001</v>
      </c>
      <c r="T2014">
        <v>-0.13834579999999999</v>
      </c>
      <c r="U2014">
        <v>-6.19812E-2</v>
      </c>
      <c r="V2014">
        <v>-5.4398420000000003E-2</v>
      </c>
      <c r="W2014">
        <v>3.0568229999999902E-3</v>
      </c>
      <c r="X2014">
        <v>0.99851469999999898</v>
      </c>
      <c r="Y2014">
        <v>-2.5588909999999999E-2</v>
      </c>
      <c r="Z2014">
        <v>-8.1852520000000003E-4</v>
      </c>
      <c r="AA2014">
        <v>0.99967220000000001</v>
      </c>
      <c r="AB2014">
        <v>37</v>
      </c>
      <c r="AC2014">
        <v>-23.717700000000001</v>
      </c>
      <c r="AD2014">
        <v>-1.10444489414699</v>
      </c>
      <c r="AE2014">
        <v>-0.49560000000002402</v>
      </c>
      <c r="AF2014">
        <v>-0.61201106364663604</v>
      </c>
      <c r="AG2014">
        <v>-1.10444489414699</v>
      </c>
      <c r="AH2014">
        <v>23.663657089186401</v>
      </c>
      <c r="AI2014">
        <v>92.671313035129799</v>
      </c>
      <c r="AJ2014">
        <v>91.481505399181799</v>
      </c>
      <c r="AK2014">
        <v>23.6973210068318</v>
      </c>
    </row>
    <row r="2015" spans="1:37" x14ac:dyDescent="0.2">
      <c r="A2015" t="str">
        <f>"20200111155834685"</f>
        <v>20200111155834685</v>
      </c>
      <c r="B2015" t="str">
        <f>"1578729514683637"</f>
        <v>1578729514683637</v>
      </c>
      <c r="C2015" t="s">
        <v>37</v>
      </c>
      <c r="D2015">
        <v>5.6967889999999999</v>
      </c>
      <c r="E2015">
        <v>0.51123989999999997</v>
      </c>
      <c r="F2015" t="s">
        <v>50</v>
      </c>
      <c r="G2015">
        <v>-355.74450000000002</v>
      </c>
      <c r="H2015" s="1">
        <v>1.5201559999999999E-6</v>
      </c>
      <c r="I2015">
        <v>285.76400000000001</v>
      </c>
      <c r="J2015">
        <v>-331.47410000000002</v>
      </c>
      <c r="K2015">
        <v>1.1044449999999999</v>
      </c>
      <c r="L2015">
        <v>286.2808</v>
      </c>
      <c r="M2015">
        <v>-0.99993690000000002</v>
      </c>
      <c r="N2015">
        <v>0</v>
      </c>
      <c r="O2015">
        <v>4.4518200000000004E-3</v>
      </c>
      <c r="P2015">
        <v>-0.99871719999999897</v>
      </c>
      <c r="Q2015">
        <v>-7.6182309999999996E-3</v>
      </c>
      <c r="R2015">
        <v>-5.0063219999999999E-2</v>
      </c>
      <c r="S2015">
        <v>-2.999695</v>
      </c>
      <c r="T2015">
        <v>-0.135245</v>
      </c>
      <c r="U2015">
        <v>-6.3201900000000005E-2</v>
      </c>
      <c r="V2015">
        <v>-5.4514199999999902E-2</v>
      </c>
      <c r="W2015">
        <v>2.58428E-3</v>
      </c>
      <c r="X2015">
        <v>0.9985096</v>
      </c>
      <c r="Y2015">
        <v>-2.5485230000000001E-2</v>
      </c>
      <c r="Z2015">
        <v>-7.7476559999999995E-4</v>
      </c>
      <c r="AA2015">
        <v>0.99967490000000003</v>
      </c>
      <c r="AB2015">
        <v>37</v>
      </c>
      <c r="AC2015">
        <v>-24.270399999999899</v>
      </c>
      <c r="AD2015">
        <v>-1.1044434798439999</v>
      </c>
      <c r="AE2015">
        <v>-0.51679999999998905</v>
      </c>
      <c r="AF2015">
        <v>-0.62355741523103403</v>
      </c>
      <c r="AG2015">
        <v>-1.1044434798439999</v>
      </c>
      <c r="AH2015">
        <v>24.217731876351301</v>
      </c>
      <c r="AI2015">
        <v>92.610286269388496</v>
      </c>
      <c r="AJ2015">
        <v>91.474924088116794</v>
      </c>
      <c r="AK2015">
        <v>24.2509207347907</v>
      </c>
    </row>
    <row r="2016" spans="1:37" x14ac:dyDescent="0.2">
      <c r="A2016" t="str">
        <f>"20200111155834701"</f>
        <v>20200111155834701</v>
      </c>
      <c r="B2016" t="str">
        <f>"1578729514693396"</f>
        <v>1578729514693396</v>
      </c>
      <c r="C2016" t="s">
        <v>37</v>
      </c>
      <c r="D2016">
        <v>5.7436030000000002</v>
      </c>
      <c r="E2016">
        <v>0.5113453</v>
      </c>
      <c r="F2016" t="s">
        <v>50</v>
      </c>
      <c r="G2016">
        <v>-356.00199999999899</v>
      </c>
      <c r="H2016" s="1">
        <v>1.6571649999999899E-6</v>
      </c>
      <c r="I2016">
        <v>285.75549999999998</v>
      </c>
      <c r="J2016">
        <v>-331.74029999999999</v>
      </c>
      <c r="K2016">
        <v>1.1044389999999999</v>
      </c>
      <c r="L2016">
        <v>286.28140000000002</v>
      </c>
      <c r="M2016">
        <v>-0.99993909999999997</v>
      </c>
      <c r="N2016">
        <v>0</v>
      </c>
      <c r="O2016">
        <v>3.8485629999999902E-3</v>
      </c>
      <c r="P2016">
        <v>-0.99867490000000003</v>
      </c>
      <c r="Q2016">
        <v>-8.8144460000000001E-3</v>
      </c>
      <c r="R2016">
        <v>-5.0705680000000003E-2</v>
      </c>
      <c r="S2016">
        <v>-2.999603</v>
      </c>
      <c r="T2016">
        <v>-0.1350664</v>
      </c>
      <c r="U2016">
        <v>-6.4239500000000005E-2</v>
      </c>
      <c r="V2016">
        <v>-5.455194E-2</v>
      </c>
      <c r="W2016">
        <v>1.391712E-3</v>
      </c>
      <c r="X2016">
        <v>0.99850989999999995</v>
      </c>
      <c r="Y2016">
        <v>-2.5229359999999999E-2</v>
      </c>
      <c r="Z2016">
        <v>-7.4085929999999996E-4</v>
      </c>
      <c r="AA2016">
        <v>0.99968140000000005</v>
      </c>
      <c r="AB2016">
        <v>37</v>
      </c>
      <c r="AC2016">
        <v>-24.261699999999902</v>
      </c>
      <c r="AD2016">
        <v>-1.1044373428350001</v>
      </c>
      <c r="AE2016">
        <v>-0.52590000000003501</v>
      </c>
      <c r="AF2016">
        <v>-0.61799375204127305</v>
      </c>
      <c r="AG2016">
        <v>-1.1044373428350001</v>
      </c>
      <c r="AH2016">
        <v>24.209352249302</v>
      </c>
      <c r="AI2016">
        <v>92.611188790799105</v>
      </c>
      <c r="AJ2016">
        <v>91.462275624691401</v>
      </c>
      <c r="AK2016">
        <v>24.2424098317925</v>
      </c>
    </row>
    <row r="2017" spans="1:37" x14ac:dyDescent="0.2">
      <c r="A2017" t="str">
        <f>"20200111155834722"</f>
        <v>20200111155834722</v>
      </c>
      <c r="B2017" t="str">
        <f>"1578729514712916"</f>
        <v>1578729514712916</v>
      </c>
      <c r="C2017" t="s">
        <v>37</v>
      </c>
      <c r="D2017">
        <v>5.7033839999999998</v>
      </c>
      <c r="E2017">
        <v>0.51151780000000002</v>
      </c>
      <c r="F2017" t="s">
        <v>50</v>
      </c>
      <c r="G2017">
        <v>-355.43900000000002</v>
      </c>
      <c r="H2017" s="1">
        <v>1.357595E-6</v>
      </c>
      <c r="I2017">
        <v>285.76690000000002</v>
      </c>
      <c r="J2017">
        <v>-332.10039999999998</v>
      </c>
      <c r="K2017">
        <v>1.1044320000000001</v>
      </c>
      <c r="L2017">
        <v>286.28210000000001</v>
      </c>
      <c r="M2017">
        <v>-0.999942</v>
      </c>
      <c r="N2017">
        <v>0</v>
      </c>
      <c r="O2017">
        <v>3.0318039999999999E-3</v>
      </c>
      <c r="P2017">
        <v>-0.9986197</v>
      </c>
      <c r="Q2017">
        <v>-1.01033999999999E-2</v>
      </c>
      <c r="R2017">
        <v>-5.1546689999999999E-2</v>
      </c>
      <c r="S2017">
        <v>-2.9994509999999899</v>
      </c>
      <c r="T2017">
        <v>-0.139784299999999</v>
      </c>
      <c r="U2017">
        <v>-6.5124509999999997E-2</v>
      </c>
      <c r="V2017">
        <v>-5.4574839999999999E-2</v>
      </c>
      <c r="W2017">
        <v>1.075903E-4</v>
      </c>
      <c r="X2017">
        <v>0.99850969999999994</v>
      </c>
      <c r="Y2017">
        <v>-2.4708089999999999E-2</v>
      </c>
      <c r="Z2017">
        <v>-7.1656649999999895E-4</v>
      </c>
      <c r="AA2017">
        <v>0.99969449999999904</v>
      </c>
      <c r="AB2017">
        <v>37</v>
      </c>
      <c r="AC2017">
        <v>-23.3386</v>
      </c>
      <c r="AD2017">
        <v>-1.1044306424050001</v>
      </c>
      <c r="AE2017">
        <v>-0.515199999999993</v>
      </c>
      <c r="AF2017">
        <v>-0.584650855487863</v>
      </c>
      <c r="AG2017">
        <v>-1.1044306424050001</v>
      </c>
      <c r="AH2017">
        <v>23.284812571262702</v>
      </c>
      <c r="AI2017">
        <v>92.714727963572301</v>
      </c>
      <c r="AJ2017">
        <v>91.438319054751403</v>
      </c>
      <c r="AK2017">
        <v>23.3183206973731</v>
      </c>
    </row>
    <row r="2018" spans="1:37" x14ac:dyDescent="0.2">
      <c r="A2018" t="str">
        <f>"20200111155834736"</f>
        <v>20200111155834736</v>
      </c>
      <c r="B2018" t="str">
        <f>"1578729514733413"</f>
        <v>1578729514733413</v>
      </c>
      <c r="C2018" t="s">
        <v>37</v>
      </c>
      <c r="D2018">
        <v>5.7174480000000001</v>
      </c>
      <c r="E2018">
        <v>0.51167299999999905</v>
      </c>
      <c r="F2018" t="s">
        <v>50</v>
      </c>
      <c r="G2018">
        <v>-354.7799</v>
      </c>
      <c r="H2018" s="1">
        <v>1.006836E-6</v>
      </c>
      <c r="I2018">
        <v>285.78089999999997</v>
      </c>
      <c r="J2018">
        <v>-332.32839999999999</v>
      </c>
      <c r="K2018">
        <v>1.104427</v>
      </c>
      <c r="L2018">
        <v>286.28230000000002</v>
      </c>
      <c r="M2018">
        <v>-0.99994340000000004</v>
      </c>
      <c r="N2018">
        <v>0</v>
      </c>
      <c r="O2018">
        <v>2.5147889999999999E-3</v>
      </c>
      <c r="P2018">
        <v>-0.99860260000000001</v>
      </c>
      <c r="Q2018">
        <v>-1.0816340000000001E-2</v>
      </c>
      <c r="R2018">
        <v>-5.1728759999999999E-2</v>
      </c>
      <c r="S2018">
        <v>-2.9992369999999999</v>
      </c>
      <c r="T2018">
        <v>-0.14605460000000001</v>
      </c>
      <c r="U2018">
        <v>-6.6284179999999998E-2</v>
      </c>
      <c r="V2018">
        <v>-5.4239160000000002E-2</v>
      </c>
      <c r="W2018">
        <v>-6.0170999999999998E-4</v>
      </c>
      <c r="X2018">
        <v>0.99852779999999997</v>
      </c>
      <c r="Y2018">
        <v>-2.4577109999999999E-2</v>
      </c>
      <c r="Z2018">
        <v>-7.2037489999999995E-4</v>
      </c>
      <c r="AA2018">
        <v>0.99969769999999902</v>
      </c>
      <c r="AB2018">
        <v>37</v>
      </c>
      <c r="AC2018">
        <v>-22.451499999999999</v>
      </c>
      <c r="AD2018">
        <v>-1.1044259931639999</v>
      </c>
      <c r="AE2018">
        <v>-0.50140000000004603</v>
      </c>
      <c r="AF2018">
        <v>-0.55651622081363294</v>
      </c>
      <c r="AG2018">
        <v>-1.1044259931639999</v>
      </c>
      <c r="AH2018">
        <v>22.3960008093593</v>
      </c>
      <c r="AI2018">
        <v>92.822300688019197</v>
      </c>
      <c r="AJ2018">
        <v>91.423444770933003</v>
      </c>
      <c r="AK2018">
        <v>22.4301208050966</v>
      </c>
    </row>
    <row r="2019" spans="1:37" x14ac:dyDescent="0.2">
      <c r="A2019" t="str">
        <f>"20200111155834750"</f>
        <v>20200111155834750</v>
      </c>
      <c r="B2019" t="str">
        <f>"1578729514743173"</f>
        <v>1578729514743173</v>
      </c>
      <c r="C2019" t="s">
        <v>37</v>
      </c>
      <c r="D2019">
        <v>5.7146589999999904</v>
      </c>
      <c r="E2019">
        <v>0.51175300000000001</v>
      </c>
      <c r="F2019" t="s">
        <v>50</v>
      </c>
      <c r="G2019">
        <v>-354.37150000000003</v>
      </c>
      <c r="H2019" s="1">
        <v>7.8948099999999897E-7</v>
      </c>
      <c r="I2019">
        <v>285.79919999999998</v>
      </c>
      <c r="J2019">
        <v>-332.5643</v>
      </c>
      <c r="K2019">
        <v>1.1044229999999999</v>
      </c>
      <c r="L2019">
        <v>286.28250000000003</v>
      </c>
      <c r="M2019">
        <v>-0.99994459999999996</v>
      </c>
      <c r="N2019">
        <v>0</v>
      </c>
      <c r="O2019">
        <v>1.980309E-3</v>
      </c>
      <c r="P2019">
        <v>-0.9985714</v>
      </c>
      <c r="Q2019">
        <v>-1.148748E-2</v>
      </c>
      <c r="R2019">
        <v>-5.2187199999999899E-2</v>
      </c>
      <c r="S2019">
        <v>-2.9991460000000001</v>
      </c>
      <c r="T2019">
        <v>-0.1502666</v>
      </c>
      <c r="U2019">
        <v>-6.5734860000000006E-2</v>
      </c>
      <c r="V2019">
        <v>-5.4162000000000002E-2</v>
      </c>
      <c r="W2019">
        <v>-1.2695600000000001E-3</v>
      </c>
      <c r="X2019">
        <v>0.99853130000000001</v>
      </c>
      <c r="Y2019">
        <v>-2.3860099999999999E-2</v>
      </c>
      <c r="Z2019">
        <v>-6.9643839999999999E-4</v>
      </c>
      <c r="AA2019">
        <v>0.99971509999999997</v>
      </c>
      <c r="AB2019">
        <v>37</v>
      </c>
      <c r="AC2019">
        <v>-21.807200000000002</v>
      </c>
      <c r="AD2019">
        <v>-1.104422210519</v>
      </c>
      <c r="AE2019">
        <v>-0.48330000000004197</v>
      </c>
      <c r="AF2019">
        <v>-0.52514008396080103</v>
      </c>
      <c r="AG2019">
        <v>-1.104422210519</v>
      </c>
      <c r="AH2019">
        <v>21.750439784318299</v>
      </c>
      <c r="AI2019">
        <v>92.905966230353698</v>
      </c>
      <c r="AJ2019">
        <v>91.383073922907201</v>
      </c>
      <c r="AK2019">
        <v>21.784791744199101</v>
      </c>
    </row>
    <row r="2020" spans="1:37" x14ac:dyDescent="0.2">
      <c r="A2020" t="str">
        <f>"20200111155834767"</f>
        <v>20200111155834767</v>
      </c>
      <c r="B2020" t="str">
        <f>"1578729514763669"</f>
        <v>1578729514763669</v>
      </c>
      <c r="C2020" t="s">
        <v>37</v>
      </c>
      <c r="D2020">
        <v>5.7304940000000002</v>
      </c>
      <c r="E2020">
        <v>0.51195930000000001</v>
      </c>
      <c r="F2020" t="s">
        <v>50</v>
      </c>
      <c r="G2020">
        <v>-354.23</v>
      </c>
      <c r="H2020" s="1">
        <v>7.1419609999999896E-7</v>
      </c>
      <c r="I2020">
        <v>285.80250000000001</v>
      </c>
      <c r="J2020">
        <v>-332.84980000000002</v>
      </c>
      <c r="K2020">
        <v>1.1044179999999999</v>
      </c>
      <c r="L2020">
        <v>286.28250000000003</v>
      </c>
      <c r="M2020">
        <v>-0.99994570000000005</v>
      </c>
      <c r="N2020">
        <v>0</v>
      </c>
      <c r="O2020">
        <v>1.332459E-3</v>
      </c>
      <c r="P2020">
        <v>-0.99857189999999996</v>
      </c>
      <c r="Q2020">
        <v>-1.258015E-2</v>
      </c>
      <c r="R2020">
        <v>-5.1922370000000002E-2</v>
      </c>
      <c r="S2020">
        <v>-2.9990540000000001</v>
      </c>
      <c r="T2020">
        <v>-0.1528785</v>
      </c>
      <c r="U2020">
        <v>-6.6436770000000006E-2</v>
      </c>
      <c r="V2020">
        <v>-5.324864E-2</v>
      </c>
      <c r="W2020">
        <v>-2.356187E-3</v>
      </c>
      <c r="X2020">
        <v>0.99857850000000004</v>
      </c>
      <c r="Y2020">
        <v>-2.344717E-2</v>
      </c>
      <c r="Z2020">
        <v>-6.6502960000000002E-4</v>
      </c>
      <c r="AA2020">
        <v>0.99972490000000003</v>
      </c>
      <c r="AB2020">
        <v>37</v>
      </c>
      <c r="AC2020">
        <v>-21.380199999999999</v>
      </c>
      <c r="AD2020">
        <v>-1.1044172858039001</v>
      </c>
      <c r="AE2020">
        <v>-0.48000000000001802</v>
      </c>
      <c r="AF2020">
        <v>-0.50713679849045701</v>
      </c>
      <c r="AG2020">
        <v>-1.1044172858039001</v>
      </c>
      <c r="AH2020">
        <v>21.322673701476099</v>
      </c>
      <c r="AI2020">
        <v>92.964173813010802</v>
      </c>
      <c r="AJ2020">
        <v>91.362461460233206</v>
      </c>
      <c r="AK2020">
        <v>21.357278362497102</v>
      </c>
    </row>
    <row r="2021" spans="1:37" x14ac:dyDescent="0.2">
      <c r="A2021" t="str">
        <f>"20200111155834780"</f>
        <v>20200111155834780</v>
      </c>
      <c r="B2021" t="str">
        <f>"1578729514773430"</f>
        <v>1578729514773430</v>
      </c>
      <c r="C2021" t="s">
        <v>37</v>
      </c>
      <c r="D2021">
        <v>5.8929119999999999</v>
      </c>
      <c r="E2021">
        <v>0.51195900000000005</v>
      </c>
      <c r="F2021" t="s">
        <v>50</v>
      </c>
      <c r="G2021">
        <v>-353.9083</v>
      </c>
      <c r="H2021" s="1">
        <v>5.4301640000000002E-7</v>
      </c>
      <c r="I2021">
        <v>285.83269999999999</v>
      </c>
      <c r="J2021">
        <v>-333.06799999999998</v>
      </c>
      <c r="K2021">
        <v>1.1044129999999901</v>
      </c>
      <c r="L2021">
        <v>286.28230000000002</v>
      </c>
      <c r="M2021">
        <v>-0.99994609999999995</v>
      </c>
      <c r="N2021">
        <v>0</v>
      </c>
      <c r="O2021">
        <v>8.3779220000000003E-4</v>
      </c>
      <c r="P2021">
        <v>-0.99855699999999903</v>
      </c>
      <c r="Q2021">
        <v>-1.2925600000000001E-2</v>
      </c>
      <c r="R2021">
        <v>-5.2126939999999997E-2</v>
      </c>
      <c r="S2021">
        <v>-2.9989619999999899</v>
      </c>
      <c r="T2021">
        <v>-0.15728139999999999</v>
      </c>
      <c r="U2021">
        <v>-6.4056399999999999E-2</v>
      </c>
      <c r="V2021">
        <v>-5.2958140000000001E-2</v>
      </c>
      <c r="W2021">
        <v>-2.6980809999999902E-3</v>
      </c>
      <c r="X2021">
        <v>0.99859310000000001</v>
      </c>
      <c r="Y2021">
        <v>-2.2160699999999998E-2</v>
      </c>
      <c r="Z2021">
        <v>-6.245523E-4</v>
      </c>
      <c r="AA2021">
        <v>0.99975429999999998</v>
      </c>
      <c r="AB2021">
        <v>37</v>
      </c>
      <c r="AC2021">
        <v>-20.8402999999999</v>
      </c>
      <c r="AD2021">
        <v>-1.10441245698359</v>
      </c>
      <c r="AE2021">
        <v>-0.44960000000003197</v>
      </c>
      <c r="AF2021">
        <v>-0.465753218105388</v>
      </c>
      <c r="AG2021">
        <v>-1.10441245698359</v>
      </c>
      <c r="AH2021">
        <v>20.781580731274801</v>
      </c>
      <c r="AI2021">
        <v>93.041292260755895</v>
      </c>
      <c r="AJ2021">
        <v>91.283888237234706</v>
      </c>
      <c r="AK2021">
        <v>20.816117568504598</v>
      </c>
    </row>
    <row r="2022" spans="1:37" x14ac:dyDescent="0.2">
      <c r="A2022" t="str">
        <f>"20200111155834793"</f>
        <v>20200111155834793</v>
      </c>
      <c r="B2022" t="str">
        <f>"1578729514783189"</f>
        <v>1578729514783189</v>
      </c>
      <c r="C2022" t="s">
        <v>37</v>
      </c>
      <c r="D2022">
        <v>5.7516730000000003</v>
      </c>
      <c r="E2022">
        <v>0.5120557</v>
      </c>
      <c r="F2022" t="s">
        <v>50</v>
      </c>
      <c r="G2022">
        <v>-353.92910000000001</v>
      </c>
      <c r="H2022" s="1">
        <v>5.5409859999999896E-7</v>
      </c>
      <c r="I2022">
        <v>285.83269999999999</v>
      </c>
      <c r="J2022">
        <v>-333.2783</v>
      </c>
      <c r="K2022">
        <v>1.1044119999999999</v>
      </c>
      <c r="L2022">
        <v>286.28210000000001</v>
      </c>
      <c r="M2022">
        <v>-0.99994640000000001</v>
      </c>
      <c r="N2022">
        <v>0</v>
      </c>
      <c r="O2022">
        <v>3.6082919999999899E-4</v>
      </c>
      <c r="P2022">
        <v>-0.99854529999999997</v>
      </c>
      <c r="Q2022">
        <v>-1.3381830000000001E-2</v>
      </c>
      <c r="R2022">
        <v>-5.2234210000000003E-2</v>
      </c>
      <c r="S2022">
        <v>-2.998901</v>
      </c>
      <c r="T2022">
        <v>-0.15876560000000001</v>
      </c>
      <c r="U2022">
        <v>-6.4636230000000003E-2</v>
      </c>
      <c r="V2022">
        <v>-5.2588559999999999E-2</v>
      </c>
      <c r="W2022">
        <v>-3.1506759999999998E-3</v>
      </c>
      <c r="X2022">
        <v>0.99861129999999998</v>
      </c>
      <c r="Y2022">
        <v>-2.187793E-2</v>
      </c>
      <c r="Z2022">
        <v>-5.977383E-4</v>
      </c>
      <c r="AA2022">
        <v>0.99976039999999899</v>
      </c>
      <c r="AB2022">
        <v>37</v>
      </c>
      <c r="AC2022">
        <v>-20.6508</v>
      </c>
      <c r="AD2022">
        <v>-1.1044114459014001</v>
      </c>
      <c r="AE2022">
        <v>-0.449400000000025</v>
      </c>
      <c r="AF2022">
        <v>-0.45554946059961698</v>
      </c>
      <c r="AG2022">
        <v>-1.1044114459014001</v>
      </c>
      <c r="AH2022">
        <v>20.5917689256461</v>
      </c>
      <c r="AI2022">
        <v>93.069289970284501</v>
      </c>
      <c r="AJ2022">
        <v>91.267341560056394</v>
      </c>
      <c r="AK2022">
        <v>20.626395648297201</v>
      </c>
    </row>
    <row r="2023" spans="1:37" x14ac:dyDescent="0.2">
      <c r="A2023" t="str">
        <f>"20200111155834806"</f>
        <v>20200111155834806</v>
      </c>
      <c r="B2023" t="str">
        <f>"1578729514802709"</f>
        <v>1578729514802709</v>
      </c>
      <c r="C2023" t="s">
        <v>37</v>
      </c>
      <c r="D2023">
        <v>5.9036939999999998</v>
      </c>
      <c r="E2023">
        <v>0.51216320000000004</v>
      </c>
      <c r="F2023" t="s">
        <v>50</v>
      </c>
      <c r="G2023">
        <v>-353.86360000000002</v>
      </c>
      <c r="H2023" s="1">
        <v>5.1923289999999996E-7</v>
      </c>
      <c r="I2023">
        <v>285.84160000000003</v>
      </c>
      <c r="J2023">
        <v>-333.5086</v>
      </c>
      <c r="K2023">
        <v>1.1044099999999999</v>
      </c>
      <c r="L2023">
        <v>286.28179999999998</v>
      </c>
      <c r="M2023">
        <v>-0.99994649999999996</v>
      </c>
      <c r="N2023">
        <v>0</v>
      </c>
      <c r="O2023">
        <v>-1.6179200000000001E-4</v>
      </c>
      <c r="P2023">
        <v>-0.99851270000000003</v>
      </c>
      <c r="Q2023">
        <v>-1.378473E-2</v>
      </c>
      <c r="R2023">
        <v>-5.2751300000000001E-2</v>
      </c>
      <c r="S2023">
        <v>-2.9988709999999998</v>
      </c>
      <c r="T2023">
        <v>-0.1608907</v>
      </c>
      <c r="U2023">
        <v>-6.4178470000000001E-2</v>
      </c>
      <c r="V2023">
        <v>-5.2582289999999997E-2</v>
      </c>
      <c r="W2023">
        <v>-3.5506299999999999E-3</v>
      </c>
      <c r="X2023">
        <v>0.99861029999999995</v>
      </c>
      <c r="Y2023">
        <v>-2.1203960000000001E-2</v>
      </c>
      <c r="Z2023">
        <v>-5.5965370000000004E-4</v>
      </c>
      <c r="AA2023">
        <v>0.99977499999999997</v>
      </c>
      <c r="AB2023">
        <v>37</v>
      </c>
      <c r="AC2023">
        <v>-20.355</v>
      </c>
      <c r="AD2023">
        <v>-1.1044094807671001</v>
      </c>
      <c r="AE2023">
        <v>-0.44019999999994702</v>
      </c>
      <c r="AF2023">
        <v>-0.43562472060873902</v>
      </c>
      <c r="AG2023">
        <v>-1.1044094807671001</v>
      </c>
      <c r="AH2023">
        <v>20.295352090969299</v>
      </c>
      <c r="AI2023">
        <v>93.114068903466006</v>
      </c>
      <c r="AJ2023">
        <v>91.229622715026196</v>
      </c>
      <c r="AK2023">
        <v>20.3300468689776</v>
      </c>
    </row>
    <row r="2024" spans="1:37" x14ac:dyDescent="0.2">
      <c r="A2024" t="str">
        <f>"20200111155834836"</f>
        <v>20200111155834836</v>
      </c>
      <c r="B2024" t="str">
        <f>"1578729514832964"</f>
        <v>1578729514832964</v>
      </c>
      <c r="C2024" t="s">
        <v>37</v>
      </c>
      <c r="D2024">
        <v>5.9706400000000004</v>
      </c>
      <c r="E2024">
        <v>0.54088590000000003</v>
      </c>
      <c r="F2024" t="s">
        <v>50</v>
      </c>
      <c r="G2024">
        <v>-353.8845</v>
      </c>
      <c r="H2024" s="1">
        <v>5.3033569999999898E-7</v>
      </c>
      <c r="I2024">
        <v>285.84050000000002</v>
      </c>
      <c r="J2024">
        <v>-333.9975</v>
      </c>
      <c r="K2024">
        <v>1.1044069999999999</v>
      </c>
      <c r="L2024">
        <v>286.28059999999999</v>
      </c>
      <c r="M2024">
        <v>-0.99994550000000004</v>
      </c>
      <c r="N2024">
        <v>0</v>
      </c>
      <c r="O2024">
        <v>-1.269633E-3</v>
      </c>
      <c r="P2024">
        <v>-0.99849370000000004</v>
      </c>
      <c r="Q2024">
        <v>-1.3851810000000001E-2</v>
      </c>
      <c r="R2024">
        <v>-5.3089879999999999E-2</v>
      </c>
      <c r="S2024">
        <v>-2.9987789999999999</v>
      </c>
      <c r="T2024">
        <v>-0.1625394</v>
      </c>
      <c r="U2024">
        <v>-6.4941410000000005E-2</v>
      </c>
      <c r="V2024">
        <v>-5.1815159999999999E-2</v>
      </c>
      <c r="W2024">
        <v>-3.6095419999999999E-3</v>
      </c>
      <c r="X2024">
        <v>0.99865020000000004</v>
      </c>
      <c r="Y2024">
        <v>-2.0353449999999999E-2</v>
      </c>
      <c r="Z2024">
        <v>-4.823669E-4</v>
      </c>
      <c r="AA2024">
        <v>0.99979280000000004</v>
      </c>
      <c r="AB2024">
        <v>37</v>
      </c>
      <c r="AC2024">
        <v>-19.887</v>
      </c>
      <c r="AD2024">
        <v>-1.1044064696642999</v>
      </c>
      <c r="AE2024">
        <v>-0.44009999999997201</v>
      </c>
      <c r="AF2024">
        <v>-0.413574244760327</v>
      </c>
      <c r="AG2024">
        <v>-1.1044064696642999</v>
      </c>
      <c r="AH2024">
        <v>19.826427294615499</v>
      </c>
      <c r="AI2024">
        <v>93.187603183624205</v>
      </c>
      <c r="AJ2024">
        <v>91.195002122038801</v>
      </c>
      <c r="AK2024">
        <v>19.861469647909701</v>
      </c>
    </row>
    <row r="2025" spans="1:37" x14ac:dyDescent="0.2">
      <c r="A2025" t="str">
        <f>"20200111155834849"</f>
        <v>20200111155834849</v>
      </c>
      <c r="B2025" t="str">
        <f>"1578729514843701"</f>
        <v>1578729514843701</v>
      </c>
      <c r="C2025" t="s">
        <v>37</v>
      </c>
      <c r="D2025">
        <v>6.0712529999999996</v>
      </c>
      <c r="E2025">
        <v>0.54090360000000004</v>
      </c>
      <c r="F2025" t="s">
        <v>38</v>
      </c>
      <c r="G2025">
        <v>-334.87729999999999</v>
      </c>
      <c r="H2025">
        <v>1.0519579999999999</v>
      </c>
      <c r="I2025">
        <v>286.32830000000001</v>
      </c>
      <c r="J2025">
        <v>-334.2165</v>
      </c>
      <c r="K2025">
        <v>1.1044080000000001</v>
      </c>
      <c r="L2025">
        <v>286.2799</v>
      </c>
      <c r="M2025">
        <v>-0.99994490000000003</v>
      </c>
      <c r="N2025">
        <v>0</v>
      </c>
      <c r="O2025">
        <v>-1.765796E-3</v>
      </c>
      <c r="P2025">
        <v>-0.99847980000000003</v>
      </c>
      <c r="Q2025">
        <v>-1.3496060000000001E-2</v>
      </c>
      <c r="R2025">
        <v>-5.3447479999999999E-2</v>
      </c>
      <c r="S2025">
        <v>-3.0106809999999999</v>
      </c>
      <c r="T2025">
        <v>-0.17968000000000001</v>
      </c>
      <c r="U2025">
        <v>0.16250609999999999</v>
      </c>
      <c r="V2025">
        <v>-5.167712E-2</v>
      </c>
      <c r="W2025">
        <v>-3.250644E-3</v>
      </c>
      <c r="X2025">
        <v>0.99865849999999901</v>
      </c>
      <c r="Y2025">
        <v>5.5559600000000001E-2</v>
      </c>
      <c r="Z2025">
        <v>1.7604679999999901E-3</v>
      </c>
      <c r="AA2025">
        <v>0.99845379999999995</v>
      </c>
      <c r="AB2025">
        <v>38</v>
      </c>
      <c r="AC2025">
        <v>-0.66079999999999395</v>
      </c>
      <c r="AD2025">
        <v>-5.2450000000000101E-2</v>
      </c>
      <c r="AE2025">
        <v>4.8400000000015098E-2</v>
      </c>
      <c r="AF2025">
        <v>4.9258147256970197E-2</v>
      </c>
      <c r="AG2025">
        <v>-5.2450000000000101E-2</v>
      </c>
      <c r="AH2025">
        <v>0.656598902605112</v>
      </c>
      <c r="AI2025">
        <v>94.554421555364897</v>
      </c>
      <c r="AJ2025">
        <v>85.7096986993851</v>
      </c>
      <c r="AK2025">
        <v>0.66052970143168099</v>
      </c>
    </row>
    <row r="2026" spans="1:37" x14ac:dyDescent="0.2">
      <c r="A2026" t="str">
        <f>"20200111155835203"</f>
        <v>20200111155835203</v>
      </c>
      <c r="B2026" t="str">
        <f>"1578729515192684"</f>
        <v>1578729515192684</v>
      </c>
      <c r="C2026" t="s">
        <v>37</v>
      </c>
      <c r="D2026">
        <v>5.8448589999999996</v>
      </c>
      <c r="E2026">
        <v>0.54475450000000003</v>
      </c>
      <c r="F2026" t="s">
        <v>38</v>
      </c>
      <c r="G2026">
        <v>-340.61439999999999</v>
      </c>
      <c r="H2026">
        <v>1.048753</v>
      </c>
      <c r="I2026">
        <v>286.27749999999997</v>
      </c>
      <c r="J2026">
        <v>-340.19349999999997</v>
      </c>
      <c r="K2026">
        <v>1.104684</v>
      </c>
      <c r="L2026">
        <v>286.2192</v>
      </c>
      <c r="M2026">
        <v>-0.99981880000000001</v>
      </c>
      <c r="N2026">
        <v>0</v>
      </c>
      <c r="O2026">
        <v>-1.524052E-2</v>
      </c>
      <c r="P2026">
        <v>-0.99795859999999903</v>
      </c>
      <c r="Q2026">
        <v>-9.0326880000000005E-3</v>
      </c>
      <c r="R2026">
        <v>-6.322324E-2</v>
      </c>
      <c r="S2026">
        <v>-3.01342799999999</v>
      </c>
      <c r="T2026">
        <v>-0.171770799999999</v>
      </c>
      <c r="U2026">
        <v>0.14999389999999899</v>
      </c>
      <c r="V2026">
        <v>-4.8010659999999997E-2</v>
      </c>
      <c r="W2026">
        <v>2.2705220000000001E-3</v>
      </c>
      <c r="X2026">
        <v>0.99884430000000002</v>
      </c>
      <c r="Y2026">
        <v>6.4800899999999995E-2</v>
      </c>
      <c r="Z2026">
        <v>2.7118579999999902E-3</v>
      </c>
      <c r="AA2026">
        <v>0.99789450000000002</v>
      </c>
      <c r="AB2026">
        <v>38</v>
      </c>
      <c r="AC2026">
        <v>-0.42090000000001698</v>
      </c>
      <c r="AD2026">
        <v>-5.5930999999999897E-2</v>
      </c>
      <c r="AE2026">
        <v>5.8299999999974199E-2</v>
      </c>
      <c r="AF2026">
        <v>6.3606347569139396E-2</v>
      </c>
      <c r="AG2026">
        <v>-5.5930999999999897E-2</v>
      </c>
      <c r="AH2026">
        <v>0.41281024990163301</v>
      </c>
      <c r="AI2026">
        <v>97.627000957891994</v>
      </c>
      <c r="AJ2026">
        <v>81.240675800460593</v>
      </c>
      <c r="AK2026">
        <v>0.421409950803175</v>
      </c>
    </row>
    <row r="2027" spans="1:37" x14ac:dyDescent="0.2">
      <c r="A2027" t="str">
        <f>"20200111155835217"</f>
        <v>20200111155835217</v>
      </c>
      <c r="B2027" t="str">
        <f>"1578729515213181"</f>
        <v>1578729515213181</v>
      </c>
      <c r="C2027" t="s">
        <v>37</v>
      </c>
      <c r="D2027">
        <v>5.8594999999999997</v>
      </c>
      <c r="E2027">
        <v>0.54605740000000003</v>
      </c>
      <c r="F2027" t="s">
        <v>38</v>
      </c>
      <c r="G2027">
        <v>-340.96170000000001</v>
      </c>
      <c r="H2027">
        <v>1.0548280000000001</v>
      </c>
      <c r="I2027">
        <v>286.26049999999998</v>
      </c>
      <c r="J2027">
        <v>-340.41609999999997</v>
      </c>
      <c r="K2027">
        <v>1.1047180000000001</v>
      </c>
      <c r="L2027">
        <v>286.21530000000001</v>
      </c>
      <c r="M2027">
        <v>-0.99980849999999899</v>
      </c>
      <c r="N2027">
        <v>0</v>
      </c>
      <c r="O2027">
        <v>-1.5736239999999999E-2</v>
      </c>
      <c r="P2027">
        <v>-0.99795089999999997</v>
      </c>
      <c r="Q2027">
        <v>-9.1673959999999995E-3</v>
      </c>
      <c r="R2027">
        <v>-6.3325450000000005E-2</v>
      </c>
      <c r="S2027">
        <v>-3.014618</v>
      </c>
      <c r="T2027">
        <v>-0.19595399999999999</v>
      </c>
      <c r="U2027">
        <v>0.1612854</v>
      </c>
      <c r="V2027">
        <v>-4.7617710000000001E-2</v>
      </c>
      <c r="W2027">
        <v>2.3539679999999901E-3</v>
      </c>
      <c r="X2027">
        <v>0.9988629</v>
      </c>
      <c r="Y2027">
        <v>6.8954680000000004E-2</v>
      </c>
      <c r="Z2027">
        <v>3.258328E-3</v>
      </c>
      <c r="AA2027">
        <v>0.99761440000000001</v>
      </c>
      <c r="AB2027">
        <v>38</v>
      </c>
      <c r="AC2027">
        <v>-0.54560000000003495</v>
      </c>
      <c r="AD2027">
        <v>-4.98899999999999E-2</v>
      </c>
      <c r="AE2027">
        <v>4.5199999999965698E-2</v>
      </c>
      <c r="AF2027">
        <v>5.3337738592281997E-2</v>
      </c>
      <c r="AG2027">
        <v>-4.98899999999999E-2</v>
      </c>
      <c r="AH2027">
        <v>0.54033396255664601</v>
      </c>
      <c r="AI2027">
        <v>95.249892484770101</v>
      </c>
      <c r="AJ2027">
        <v>84.3624517281647</v>
      </c>
      <c r="AK2027">
        <v>0.54524739114488696</v>
      </c>
    </row>
    <row r="2028" spans="1:37" x14ac:dyDescent="0.2">
      <c r="A2028" t="str">
        <f>"20200111155835229"</f>
        <v>20200111155835229</v>
      </c>
      <c r="B2028" t="str">
        <f>"1578729515222940"</f>
        <v>1578729515222940</v>
      </c>
      <c r="C2028" t="s">
        <v>37</v>
      </c>
      <c r="D2028">
        <v>5.8148799999999996</v>
      </c>
      <c r="E2028">
        <v>0.546566199999999</v>
      </c>
      <c r="F2028" t="s">
        <v>38</v>
      </c>
      <c r="G2028">
        <v>-341.2867</v>
      </c>
      <c r="H2028">
        <v>1.0440160000000001</v>
      </c>
      <c r="I2028">
        <v>286.26499999999999</v>
      </c>
      <c r="J2028">
        <v>-340.63099999999997</v>
      </c>
      <c r="K2028">
        <v>1.1047469999999999</v>
      </c>
      <c r="L2028">
        <v>286.2115</v>
      </c>
      <c r="M2028">
        <v>-0.99979850000000003</v>
      </c>
      <c r="N2028">
        <v>0</v>
      </c>
      <c r="O2028">
        <v>-1.6216189999999998E-2</v>
      </c>
      <c r="P2028">
        <v>-0.99793469999999995</v>
      </c>
      <c r="Q2028">
        <v>-9.2691579999999996E-3</v>
      </c>
      <c r="R2028">
        <v>-6.356705E-2</v>
      </c>
      <c r="S2028">
        <v>-3.0150759999999899</v>
      </c>
      <c r="T2028">
        <v>-0.21052889999999899</v>
      </c>
      <c r="U2028">
        <v>0.1708374</v>
      </c>
      <c r="V2028">
        <v>-4.7380029999999997E-2</v>
      </c>
      <c r="W2028">
        <v>2.459826E-3</v>
      </c>
      <c r="X2028">
        <v>0.99887389999999998</v>
      </c>
      <c r="Y2028">
        <v>7.2538790000000006E-2</v>
      </c>
      <c r="Z2028">
        <v>3.657619E-3</v>
      </c>
      <c r="AA2028">
        <v>0.99735890000000005</v>
      </c>
      <c r="AB2028">
        <v>38</v>
      </c>
      <c r="AC2028">
        <v>-0.65570000000002404</v>
      </c>
      <c r="AD2028">
        <v>-6.0730999999999799E-2</v>
      </c>
      <c r="AE2028">
        <v>5.34999999999854E-2</v>
      </c>
      <c r="AF2028">
        <v>6.3584810440998396E-2</v>
      </c>
      <c r="AG2028">
        <v>-6.0730999999999799E-2</v>
      </c>
      <c r="AH2028">
        <v>0.64921370460553496</v>
      </c>
      <c r="AI2028">
        <v>95.318905233499706</v>
      </c>
      <c r="AJ2028">
        <v>84.406219539670701</v>
      </c>
      <c r="AK2028">
        <v>0.655140989961291</v>
      </c>
    </row>
    <row r="2029" spans="1:37" x14ac:dyDescent="0.2">
      <c r="A2029" t="str">
        <f>"20200111155835242"</f>
        <v>20200111155835242</v>
      </c>
      <c r="B2029" t="str">
        <f>"1578729515232701"</f>
        <v>1578729515232701</v>
      </c>
      <c r="C2029" t="s">
        <v>37</v>
      </c>
      <c r="D2029">
        <v>5.9171329999999998</v>
      </c>
      <c r="E2029">
        <v>0.54675450000000003</v>
      </c>
      <c r="F2029" t="s">
        <v>38</v>
      </c>
      <c r="G2029">
        <v>-341.61919999999998</v>
      </c>
      <c r="H2029">
        <v>1.034125</v>
      </c>
      <c r="I2029">
        <v>286.26870000000002</v>
      </c>
      <c r="J2029">
        <v>-340.86669999999998</v>
      </c>
      <c r="K2029">
        <v>1.1047750000000001</v>
      </c>
      <c r="L2029">
        <v>286.2072</v>
      </c>
      <c r="M2029">
        <v>-0.99978719999999999</v>
      </c>
      <c r="N2029">
        <v>0</v>
      </c>
      <c r="O2029">
        <v>-1.6742989999999999E-2</v>
      </c>
      <c r="P2029">
        <v>-0.99791030000000003</v>
      </c>
      <c r="Q2029">
        <v>-9.6864199999999994E-3</v>
      </c>
      <c r="R2029">
        <v>-6.3883759999999998E-2</v>
      </c>
      <c r="S2029">
        <v>-3.01532</v>
      </c>
      <c r="T2029">
        <v>-0.21571279999999901</v>
      </c>
      <c r="U2029">
        <v>0.1737976</v>
      </c>
      <c r="V2029">
        <v>-4.7170480000000001E-2</v>
      </c>
      <c r="W2029">
        <v>2.2633689999999999E-3</v>
      </c>
      <c r="X2029">
        <v>0.99888429999999995</v>
      </c>
      <c r="Y2029">
        <v>7.4019860000000007E-2</v>
      </c>
      <c r="Z2029">
        <v>3.8375359999999999E-3</v>
      </c>
      <c r="AA2029">
        <v>0.99724939999999995</v>
      </c>
      <c r="AB2029">
        <v>38</v>
      </c>
      <c r="AC2029">
        <v>-0.75249999999999695</v>
      </c>
      <c r="AD2029">
        <v>-7.0650000000000102E-2</v>
      </c>
      <c r="AE2029">
        <v>6.1500000000023598E-2</v>
      </c>
      <c r="AF2029">
        <v>7.3448258741600603E-2</v>
      </c>
      <c r="AG2029">
        <v>-7.0650000000000102E-2</v>
      </c>
      <c r="AH2029">
        <v>0.744842676729916</v>
      </c>
      <c r="AI2029">
        <v>95.3924237712543</v>
      </c>
      <c r="AJ2029">
        <v>84.368321895741104</v>
      </c>
      <c r="AK2029">
        <v>0.75178233704334896</v>
      </c>
    </row>
    <row r="2030" spans="1:37" x14ac:dyDescent="0.2">
      <c r="A2030" t="str">
        <f>"20200111155835260"</f>
        <v>20200111155835260</v>
      </c>
      <c r="B2030" t="str">
        <f>"1578729515253196"</f>
        <v>1578729515253196</v>
      </c>
      <c r="C2030" t="s">
        <v>37</v>
      </c>
      <c r="D2030">
        <v>5.8932269999999898</v>
      </c>
      <c r="E2030">
        <v>0.54715719999999901</v>
      </c>
      <c r="F2030" t="s">
        <v>38</v>
      </c>
      <c r="G2030">
        <v>-341.6284</v>
      </c>
      <c r="H2030">
        <v>1.0498780000000001</v>
      </c>
      <c r="I2030">
        <v>286.25150000000002</v>
      </c>
      <c r="J2030">
        <v>-341.14109999999999</v>
      </c>
      <c r="K2030">
        <v>1.1048039999999999</v>
      </c>
      <c r="L2030">
        <v>286.20209999999997</v>
      </c>
      <c r="M2030">
        <v>-0.99977369999999899</v>
      </c>
      <c r="N2030">
        <v>0</v>
      </c>
      <c r="O2030">
        <v>-1.73557999999999E-2</v>
      </c>
      <c r="P2030">
        <v>-0.99791359999999996</v>
      </c>
      <c r="Q2030">
        <v>-9.9462390000000008E-3</v>
      </c>
      <c r="R2030">
        <v>-6.3796329999999998E-2</v>
      </c>
      <c r="S2030">
        <v>-3.0153500000000002</v>
      </c>
      <c r="T2030">
        <v>-0.21762219999999999</v>
      </c>
      <c r="U2030">
        <v>0.17428589999999999</v>
      </c>
      <c r="V2030">
        <v>-4.6470299999999999E-2</v>
      </c>
      <c r="W2030">
        <v>2.24668E-3</v>
      </c>
      <c r="X2030">
        <v>0.99891719999999895</v>
      </c>
      <c r="Y2030">
        <v>7.4783829999999996E-2</v>
      </c>
      <c r="Z2030">
        <v>3.943017E-3</v>
      </c>
      <c r="AA2030">
        <v>0.99719199999999997</v>
      </c>
      <c r="AB2030">
        <v>38</v>
      </c>
      <c r="AC2030">
        <v>-0.48730000000000401</v>
      </c>
      <c r="AD2030">
        <v>-5.4926000000000003E-2</v>
      </c>
      <c r="AE2030">
        <v>4.9400000000048197E-2</v>
      </c>
      <c r="AF2030">
        <v>5.7132217433043399E-2</v>
      </c>
      <c r="AG2030">
        <v>-5.4926000000000003E-2</v>
      </c>
      <c r="AH2030">
        <v>0.48032880933095201</v>
      </c>
      <c r="AI2030">
        <v>96.478212120078197</v>
      </c>
      <c r="AJ2030">
        <v>83.216880932450806</v>
      </c>
      <c r="AK2030">
        <v>0.48682308985719502</v>
      </c>
    </row>
    <row r="2031" spans="1:37" x14ac:dyDescent="0.2">
      <c r="A2031" t="str">
        <f>"20200111155835273"</f>
        <v>20200111155835273</v>
      </c>
      <c r="B2031" t="str">
        <f>"1578729515262957"</f>
        <v>1578729515262957</v>
      </c>
      <c r="C2031" t="s">
        <v>37</v>
      </c>
      <c r="D2031">
        <v>5.802632</v>
      </c>
      <c r="E2031">
        <v>0.54751740000000004</v>
      </c>
      <c r="F2031" t="s">
        <v>38</v>
      </c>
      <c r="G2031">
        <v>-341.96100000000001</v>
      </c>
      <c r="H2031">
        <v>1.044748</v>
      </c>
      <c r="I2031">
        <v>286.25060000000002</v>
      </c>
      <c r="J2031">
        <v>-341.37009999999998</v>
      </c>
      <c r="K2031">
        <v>1.1048260000000001</v>
      </c>
      <c r="L2031">
        <v>286.1977</v>
      </c>
      <c r="M2031">
        <v>-0.99976239999999905</v>
      </c>
      <c r="N2031">
        <v>0</v>
      </c>
      <c r="O2031">
        <v>-1.786519E-2</v>
      </c>
      <c r="P2031">
        <v>-0.99788869999999896</v>
      </c>
      <c r="Q2031">
        <v>-1.01876E-2</v>
      </c>
      <c r="R2031">
        <v>-6.414723E-2</v>
      </c>
      <c r="S2031">
        <v>-3.0154109999999998</v>
      </c>
      <c r="T2031">
        <v>-0.2210799</v>
      </c>
      <c r="U2031">
        <v>0.177612299999999</v>
      </c>
      <c r="V2031">
        <v>-4.6312649999999997E-2</v>
      </c>
      <c r="W2031">
        <v>2.1966120000000001E-3</v>
      </c>
      <c r="X2031">
        <v>0.99892459999999905</v>
      </c>
      <c r="Y2031">
        <v>7.6373739999999996E-2</v>
      </c>
      <c r="Z2031">
        <v>4.1007250000000004E-3</v>
      </c>
      <c r="AA2031">
        <v>0.99707080000000003</v>
      </c>
      <c r="AB2031">
        <v>38</v>
      </c>
      <c r="AC2031">
        <v>-0.59090000000003295</v>
      </c>
      <c r="AD2031">
        <v>-6.0077999999999999E-2</v>
      </c>
      <c r="AE2031">
        <v>5.2900000000022297E-2</v>
      </c>
      <c r="AF2031">
        <v>6.2804855789366204E-2</v>
      </c>
      <c r="AG2031">
        <v>-6.0077999999999999E-2</v>
      </c>
      <c r="AH2031">
        <v>0.58387291518942097</v>
      </c>
      <c r="AI2031">
        <v>95.841351812446106</v>
      </c>
      <c r="AJ2031">
        <v>83.860530131677294</v>
      </c>
      <c r="AK2031">
        <v>0.59030618926665102</v>
      </c>
    </row>
    <row r="2032" spans="1:37" x14ac:dyDescent="0.2">
      <c r="A2032" t="str">
        <f>"20200111155835302"</f>
        <v>20200111155835302</v>
      </c>
      <c r="B2032" t="str">
        <f>"1578729515293212"</f>
        <v>1578729515293212</v>
      </c>
      <c r="C2032" t="s">
        <v>37</v>
      </c>
      <c r="D2032">
        <v>6.4667789999999998</v>
      </c>
      <c r="E2032">
        <v>0.54762679999999997</v>
      </c>
      <c r="F2032" t="s">
        <v>38</v>
      </c>
      <c r="G2032">
        <v>-342.29340000000002</v>
      </c>
      <c r="H2032">
        <v>1.036211</v>
      </c>
      <c r="I2032">
        <v>286.25279999999998</v>
      </c>
      <c r="J2032">
        <v>-341.87849999999997</v>
      </c>
      <c r="K2032">
        <v>1.1048659999999999</v>
      </c>
      <c r="L2032">
        <v>286.18740000000003</v>
      </c>
      <c r="M2032">
        <v>-0.99973679999999998</v>
      </c>
      <c r="N2032">
        <v>0</v>
      </c>
      <c r="O2032">
        <v>-1.898971E-2</v>
      </c>
      <c r="P2032">
        <v>-0.99783509999999997</v>
      </c>
      <c r="Q2032">
        <v>-8.8956980000000005E-3</v>
      </c>
      <c r="R2032">
        <v>-6.5162209999999998E-2</v>
      </c>
      <c r="S2032">
        <v>-3.0155939999999899</v>
      </c>
      <c r="T2032">
        <v>-0.22425500000000001</v>
      </c>
      <c r="U2032">
        <v>0.17935179999999901</v>
      </c>
      <c r="V2032">
        <v>-4.620809E-2</v>
      </c>
      <c r="W2032">
        <v>3.8779320000000002E-3</v>
      </c>
      <c r="X2032">
        <v>0.99892429999999999</v>
      </c>
      <c r="Y2032">
        <v>7.8049859999999999E-2</v>
      </c>
      <c r="Z2032">
        <v>4.3047800000000002E-3</v>
      </c>
      <c r="AA2032">
        <v>0.9969401</v>
      </c>
      <c r="AB2032">
        <v>38</v>
      </c>
      <c r="AC2032">
        <v>-0.41490000000004501</v>
      </c>
      <c r="AD2032">
        <v>-6.8654999999999897E-2</v>
      </c>
      <c r="AE2032">
        <v>6.5399999999954106E-2</v>
      </c>
      <c r="AF2032">
        <v>7.13610867612572E-2</v>
      </c>
      <c r="AG2032">
        <v>-6.8654999999999897E-2</v>
      </c>
      <c r="AH2032">
        <v>0.40282071201289699</v>
      </c>
      <c r="AI2032">
        <v>99.526747513490307</v>
      </c>
      <c r="AJ2032">
        <v>79.954080082189094</v>
      </c>
      <c r="AK2032">
        <v>0.414813741039669</v>
      </c>
    </row>
    <row r="2033" spans="1:37" x14ac:dyDescent="0.2">
      <c r="A2033" t="str">
        <f>"20200111155835318"</f>
        <v>20200111155835318</v>
      </c>
      <c r="B2033" t="str">
        <f>"1578729515312733"</f>
        <v>1578729515312733</v>
      </c>
      <c r="C2033" t="s">
        <v>37</v>
      </c>
      <c r="D2033">
        <v>5.8022450000000001</v>
      </c>
      <c r="E2033">
        <v>0.54463680000000003</v>
      </c>
      <c r="F2033" t="s">
        <v>38</v>
      </c>
      <c r="G2033">
        <v>-342.63729999999998</v>
      </c>
      <c r="H2033">
        <v>1.049542</v>
      </c>
      <c r="I2033">
        <v>286.23219999999998</v>
      </c>
      <c r="J2033">
        <v>-342.12049999999999</v>
      </c>
      <c r="K2033">
        <v>1.1048739999999999</v>
      </c>
      <c r="L2033">
        <v>286.1823</v>
      </c>
      <c r="M2033">
        <v>-0.99972430000000001</v>
      </c>
      <c r="N2033">
        <v>0</v>
      </c>
      <c r="O2033">
        <v>-1.952315E-2</v>
      </c>
      <c r="P2033">
        <v>-0.99780480000000005</v>
      </c>
      <c r="Q2033">
        <v>-8.6489840000000002E-3</v>
      </c>
      <c r="R2033">
        <v>-6.5658259999999996E-2</v>
      </c>
      <c r="S2033">
        <v>-3.0161129999999998</v>
      </c>
      <c r="T2033">
        <v>-0.22004889999999999</v>
      </c>
      <c r="U2033">
        <v>0.17727660000000001</v>
      </c>
      <c r="V2033">
        <v>-4.617276E-2</v>
      </c>
      <c r="W2033">
        <v>4.2894389999999999E-3</v>
      </c>
      <c r="X2033">
        <v>0.99892429999999999</v>
      </c>
      <c r="Y2033">
        <v>7.7897140000000004E-2</v>
      </c>
      <c r="Z2033">
        <v>4.2569030000000002E-3</v>
      </c>
      <c r="AA2033">
        <v>0.99695230000000001</v>
      </c>
      <c r="AB2033">
        <v>38</v>
      </c>
      <c r="AC2033">
        <v>-0.51679999999998905</v>
      </c>
      <c r="AD2033">
        <v>-5.5331999999999902E-2</v>
      </c>
      <c r="AE2033">
        <v>4.98999999999796E-2</v>
      </c>
      <c r="AF2033">
        <v>5.9307335194862698E-2</v>
      </c>
      <c r="AG2033">
        <v>-5.5331999999999902E-2</v>
      </c>
      <c r="AH2033">
        <v>0.50993567059176503</v>
      </c>
      <c r="AI2033">
        <v>96.151666040221002</v>
      </c>
      <c r="AJ2033">
        <v>83.366100773037701</v>
      </c>
      <c r="AK2033">
        <v>0.51634618074871896</v>
      </c>
    </row>
    <row r="2034" spans="1:37" x14ac:dyDescent="0.2">
      <c r="A2034" t="str">
        <f>"20200111155835332"</f>
        <v>20200111155835332</v>
      </c>
      <c r="B2034" t="str">
        <f>"1578729515323469"</f>
        <v>1578729515323469</v>
      </c>
      <c r="C2034" t="s">
        <v>37</v>
      </c>
      <c r="D2034">
        <v>5.8152089999999896</v>
      </c>
      <c r="E2034">
        <v>0.47855789999999998</v>
      </c>
      <c r="F2034" t="s">
        <v>38</v>
      </c>
      <c r="G2034">
        <v>-342.97210000000001</v>
      </c>
      <c r="H2034">
        <v>1.048665</v>
      </c>
      <c r="I2034">
        <v>286.2253</v>
      </c>
      <c r="J2034">
        <v>-342.3646</v>
      </c>
      <c r="K2034">
        <v>1.1048849999999999</v>
      </c>
      <c r="L2034">
        <v>286.1771</v>
      </c>
      <c r="M2034">
        <v>-0.99971160000000003</v>
      </c>
      <c r="N2034">
        <v>0</v>
      </c>
      <c r="O2034">
        <v>-2.0061900000000001E-2</v>
      </c>
      <c r="P2034">
        <v>-0.99775939999999996</v>
      </c>
      <c r="Q2034">
        <v>-9.0438849999999998E-3</v>
      </c>
      <c r="R2034">
        <v>-6.6291470000000005E-2</v>
      </c>
      <c r="S2034">
        <v>-3.014923</v>
      </c>
      <c r="T2034">
        <v>-0.1989196</v>
      </c>
      <c r="U2034">
        <v>0.15270999999999901</v>
      </c>
      <c r="V2034">
        <v>-4.6267599999999999E-2</v>
      </c>
      <c r="W2034">
        <v>4.0500689999999999E-3</v>
      </c>
      <c r="X2034">
        <v>0.9989209</v>
      </c>
      <c r="Y2034">
        <v>7.0418019999999998E-2</v>
      </c>
      <c r="Z2034">
        <v>3.640613E-3</v>
      </c>
      <c r="AA2034">
        <v>0.99751089999999998</v>
      </c>
      <c r="AB2034">
        <v>38</v>
      </c>
      <c r="AC2034">
        <v>-0.60750000000001503</v>
      </c>
      <c r="AD2034">
        <v>-5.6220000000000103E-2</v>
      </c>
      <c r="AE2034">
        <v>4.8200000000008403E-2</v>
      </c>
      <c r="AF2034">
        <v>5.9869434703200601E-2</v>
      </c>
      <c r="AG2034">
        <v>-5.6220000000000103E-2</v>
      </c>
      <c r="AH2034">
        <v>0.60129323680612001</v>
      </c>
      <c r="AI2034">
        <v>95.315407722629004</v>
      </c>
      <c r="AJ2034">
        <v>84.313926912918902</v>
      </c>
      <c r="AK2034">
        <v>0.60687609463585002</v>
      </c>
    </row>
    <row r="2035" spans="1:37" x14ac:dyDescent="0.2">
      <c r="A2035" t="str">
        <f>"20200111155835345"</f>
        <v>20200111155835345</v>
      </c>
      <c r="B2035" t="str">
        <f>"1578729515343496"</f>
        <v>1578729515343496</v>
      </c>
      <c r="C2035" t="s">
        <v>37</v>
      </c>
      <c r="D2035">
        <v>5.9244279999999998</v>
      </c>
      <c r="E2035">
        <v>0.47684769999999999</v>
      </c>
      <c r="F2035" t="s">
        <v>50</v>
      </c>
      <c r="G2035">
        <v>-357.02409999999998</v>
      </c>
      <c r="H2035" s="1">
        <v>2.2010709999999998E-6</v>
      </c>
      <c r="I2035">
        <v>284.32639999999998</v>
      </c>
      <c r="J2035">
        <v>-342.5849</v>
      </c>
      <c r="K2035">
        <v>1.104889</v>
      </c>
      <c r="L2035">
        <v>286.17219999999998</v>
      </c>
      <c r="M2035">
        <v>-0.99970000000000003</v>
      </c>
      <c r="N2035">
        <v>0</v>
      </c>
      <c r="O2035">
        <v>-2.0548980000000001E-2</v>
      </c>
      <c r="P2035">
        <v>-0.99770919999999896</v>
      </c>
      <c r="Q2035">
        <v>-9.3857890000000003E-3</v>
      </c>
      <c r="R2035">
        <v>-6.6996239999999999E-2</v>
      </c>
      <c r="S2035">
        <v>-2.9797359999999999</v>
      </c>
      <c r="T2035">
        <v>-0.224581799999999</v>
      </c>
      <c r="U2035">
        <v>-0.37615969999999999</v>
      </c>
      <c r="V2035">
        <v>-4.6486739999999999E-2</v>
      </c>
      <c r="W2035">
        <v>3.8407390000000001E-3</v>
      </c>
      <c r="X2035">
        <v>0.99891149999999995</v>
      </c>
      <c r="Y2035">
        <v>-0.1045953</v>
      </c>
      <c r="Z2035">
        <v>-2.380535E-3</v>
      </c>
      <c r="AA2035">
        <v>0.99451199999999995</v>
      </c>
      <c r="AB2035">
        <v>38</v>
      </c>
      <c r="AC2035">
        <v>-14.4391999999999</v>
      </c>
      <c r="AD2035">
        <v>-1.1048867989290001</v>
      </c>
      <c r="AE2035">
        <v>-1.8457999999999899</v>
      </c>
      <c r="AF2035">
        <v>-1.5398019521216799</v>
      </c>
      <c r="AG2035">
        <v>-1.1048867989290001</v>
      </c>
      <c r="AH2035">
        <v>14.391173436039701</v>
      </c>
      <c r="AI2035">
        <v>94.365468500444507</v>
      </c>
      <c r="AJ2035">
        <v>96.107200223107498</v>
      </c>
      <c r="AK2035">
        <v>14.5154275774564</v>
      </c>
    </row>
    <row r="2036" spans="1:37" x14ac:dyDescent="0.2">
      <c r="A2036" t="str">
        <f>"20200111155835360"</f>
        <v>20200111155835360</v>
      </c>
      <c r="B2036" t="str">
        <f>"1578729515353255"</f>
        <v>1578729515353255</v>
      </c>
      <c r="C2036" t="s">
        <v>37</v>
      </c>
      <c r="D2036">
        <v>5.734464</v>
      </c>
      <c r="E2036">
        <v>0.47785129999999998</v>
      </c>
      <c r="F2036" t="s">
        <v>50</v>
      </c>
      <c r="G2036">
        <v>-360.91410000000002</v>
      </c>
      <c r="H2036" s="1">
        <v>-1.0503590000000001E-6</v>
      </c>
      <c r="I2036">
        <v>283.7704</v>
      </c>
      <c r="J2036">
        <v>-342.83069999999998</v>
      </c>
      <c r="K2036">
        <v>1.1048849999999999</v>
      </c>
      <c r="L2036">
        <v>286.16660000000002</v>
      </c>
      <c r="M2036">
        <v>-0.99968679999999999</v>
      </c>
      <c r="N2036">
        <v>0</v>
      </c>
      <c r="O2036">
        <v>-2.1093279999999999E-2</v>
      </c>
      <c r="P2036">
        <v>-0.99765569999999903</v>
      </c>
      <c r="Q2036">
        <v>-9.9917919999999993E-3</v>
      </c>
      <c r="R2036">
        <v>-6.7700590000000005E-2</v>
      </c>
      <c r="S2036">
        <v>-2.9789729999999999</v>
      </c>
      <c r="T2036">
        <v>-0.17957329999999999</v>
      </c>
      <c r="U2036">
        <v>-0.39035029999999998</v>
      </c>
      <c r="V2036">
        <v>-4.664687E-2</v>
      </c>
      <c r="W2036">
        <v>3.3672429999999998E-3</v>
      </c>
      <c r="X2036">
        <v>0.99890579999999995</v>
      </c>
      <c r="Y2036">
        <v>-0.1088228</v>
      </c>
      <c r="Z2036">
        <v>-1.9984759999999999E-3</v>
      </c>
      <c r="AA2036">
        <v>0.99405909999999997</v>
      </c>
      <c r="AB2036">
        <v>38</v>
      </c>
      <c r="AC2036">
        <v>-18.083400000000001</v>
      </c>
      <c r="AD2036">
        <v>-1.1048860503589999</v>
      </c>
      <c r="AE2036">
        <v>-2.3962000000000199</v>
      </c>
      <c r="AF2036">
        <v>-2.0068314440705199</v>
      </c>
      <c r="AG2036">
        <v>-1.1048860503589999</v>
      </c>
      <c r="AH2036">
        <v>18.063653612001801</v>
      </c>
      <c r="AI2036">
        <v>93.478857133806301</v>
      </c>
      <c r="AJ2036">
        <v>96.3394360810926</v>
      </c>
      <c r="AK2036">
        <v>18.208342248638999</v>
      </c>
    </row>
    <row r="2037" spans="1:37" x14ac:dyDescent="0.2">
      <c r="A2037" t="str">
        <f>"20200111155835372"</f>
        <v>20200111155835372</v>
      </c>
      <c r="B2037" t="str">
        <f>"1578729515363015"</f>
        <v>1578729515363015</v>
      </c>
      <c r="C2037" t="s">
        <v>37</v>
      </c>
      <c r="D2037">
        <v>5.8257050000000001</v>
      </c>
      <c r="E2037">
        <v>0.47952259999999902</v>
      </c>
      <c r="F2037" t="s">
        <v>50</v>
      </c>
      <c r="G2037">
        <v>-360.04410000000001</v>
      </c>
      <c r="H2037" s="1">
        <v>-1.513332E-6</v>
      </c>
      <c r="I2037">
        <v>283.94299999999998</v>
      </c>
      <c r="J2037">
        <v>-343.03899999999999</v>
      </c>
      <c r="K2037">
        <v>1.104886</v>
      </c>
      <c r="L2037">
        <v>286.16180000000003</v>
      </c>
      <c r="M2037">
        <v>-0.999675599999999</v>
      </c>
      <c r="N2037">
        <v>0</v>
      </c>
      <c r="O2037">
        <v>-2.155524E-2</v>
      </c>
      <c r="P2037">
        <v>-0.99762989999999996</v>
      </c>
      <c r="Q2037">
        <v>-1.0435760000000001E-2</v>
      </c>
      <c r="R2037">
        <v>-6.8015610000000004E-2</v>
      </c>
      <c r="S2037">
        <v>-2.979034</v>
      </c>
      <c r="T2037">
        <v>-0.19121779999999999</v>
      </c>
      <c r="U2037">
        <v>-0.38482670000000002</v>
      </c>
      <c r="V2037">
        <v>-4.6499730000000003E-2</v>
      </c>
      <c r="W2037">
        <v>3.0296440000000002E-3</v>
      </c>
      <c r="X2037">
        <v>0.99891369999999902</v>
      </c>
      <c r="Y2037">
        <v>-0.10653260000000001</v>
      </c>
      <c r="Z2037">
        <v>-2.0254140000000001E-3</v>
      </c>
      <c r="AA2037">
        <v>0.99430719999999995</v>
      </c>
      <c r="AB2037">
        <v>38</v>
      </c>
      <c r="AC2037">
        <v>-17.005099999999999</v>
      </c>
      <c r="AD2037">
        <v>-1.104887513332</v>
      </c>
      <c r="AE2037">
        <v>-2.2188000000000399</v>
      </c>
      <c r="AF2037">
        <v>-1.84404710968465</v>
      </c>
      <c r="AG2037">
        <v>-1.104887513332</v>
      </c>
      <c r="AH2037">
        <v>16.978502739428599</v>
      </c>
      <c r="AI2037">
        <v>93.701604001109999</v>
      </c>
      <c r="AJ2037">
        <v>96.198637433137506</v>
      </c>
      <c r="AK2037">
        <v>17.114053915792098</v>
      </c>
    </row>
    <row r="2038" spans="1:37" x14ac:dyDescent="0.2">
      <c r="A2038" t="str">
        <f>"20200111155835392"</f>
        <v>20200111155835392</v>
      </c>
      <c r="B2038" t="str">
        <f>"1578729515383511"</f>
        <v>1578729515383511</v>
      </c>
      <c r="C2038" t="s">
        <v>37</v>
      </c>
      <c r="D2038">
        <v>5.6716769999999999</v>
      </c>
      <c r="E2038">
        <v>0.48094959999999998</v>
      </c>
      <c r="F2038" t="s">
        <v>50</v>
      </c>
      <c r="G2038">
        <v>-359.56909999999999</v>
      </c>
      <c r="H2038" s="1">
        <v>3.5553819999999998E-6</v>
      </c>
      <c r="I2038">
        <v>284.09429999999998</v>
      </c>
      <c r="J2038">
        <v>-343.36070000000001</v>
      </c>
      <c r="K2038">
        <v>1.104889</v>
      </c>
      <c r="L2038">
        <v>286.1542</v>
      </c>
      <c r="M2038">
        <v>-0.99965789999999999</v>
      </c>
      <c r="N2038">
        <v>0</v>
      </c>
      <c r="O2038">
        <v>-2.2269980000000002E-2</v>
      </c>
      <c r="P2038">
        <v>-0.99758449999999999</v>
      </c>
      <c r="Q2038">
        <v>-1.1169460000000001E-2</v>
      </c>
      <c r="R2038">
        <v>-6.8564040000000007E-2</v>
      </c>
      <c r="S2038">
        <v>-2.9796450000000001</v>
      </c>
      <c r="T2038">
        <v>-0.19916199999999901</v>
      </c>
      <c r="U2038">
        <v>-0.37268069999999998</v>
      </c>
      <c r="V2038">
        <v>-4.6334050000000002E-2</v>
      </c>
      <c r="W2038">
        <v>2.445998E-3</v>
      </c>
      <c r="X2038">
        <v>0.99892300000000001</v>
      </c>
      <c r="Y2038">
        <v>-0.1018033</v>
      </c>
      <c r="Z2038">
        <v>-1.90470299999999E-3</v>
      </c>
      <c r="AA2038">
        <v>0.99480270000000004</v>
      </c>
      <c r="AB2038">
        <v>37</v>
      </c>
      <c r="AC2038">
        <v>-16.208399999999902</v>
      </c>
      <c r="AD2038">
        <v>-1.1048854446180001</v>
      </c>
      <c r="AE2038">
        <v>-2.0599000000000198</v>
      </c>
      <c r="AF2038">
        <v>-1.69066302693891</v>
      </c>
      <c r="AG2038">
        <v>-1.1048854446180001</v>
      </c>
      <c r="AH2038">
        <v>16.176284475537202</v>
      </c>
      <c r="AI2038">
        <v>93.886290435275399</v>
      </c>
      <c r="AJ2038">
        <v>95.966601427936794</v>
      </c>
      <c r="AK2038">
        <v>16.301880037280799</v>
      </c>
    </row>
    <row r="2039" spans="1:37" x14ac:dyDescent="0.2">
      <c r="A2039" t="str">
        <f>"20200111155835416"</f>
        <v>20200111155835416</v>
      </c>
      <c r="B2039" t="str">
        <f>"1578729515403030"</f>
        <v>1578729515403030</v>
      </c>
      <c r="C2039" t="s">
        <v>37</v>
      </c>
      <c r="D2039">
        <v>5.8202379999999998</v>
      </c>
      <c r="E2039">
        <v>0.48102429999999902</v>
      </c>
      <c r="F2039" t="s">
        <v>50</v>
      </c>
      <c r="G2039">
        <v>-359.0609</v>
      </c>
      <c r="H2039" s="1">
        <v>3.2849999999999999E-6</v>
      </c>
      <c r="I2039">
        <v>284.24029999999999</v>
      </c>
      <c r="J2039">
        <v>-343.7466</v>
      </c>
      <c r="K2039">
        <v>1.104892</v>
      </c>
      <c r="L2039">
        <v>286.1447</v>
      </c>
      <c r="M2039">
        <v>-0.99963619999999898</v>
      </c>
      <c r="N2039">
        <v>0</v>
      </c>
      <c r="O2039">
        <v>-2.3128180000000002E-2</v>
      </c>
      <c r="P2039">
        <v>-0.99754069999999995</v>
      </c>
      <c r="Q2039">
        <v>-1.05858999999999E-2</v>
      </c>
      <c r="R2039">
        <v>-6.9288950000000002E-2</v>
      </c>
      <c r="S2039">
        <v>-2.9799500000000001</v>
      </c>
      <c r="T2039">
        <v>-0.2097096</v>
      </c>
      <c r="U2039">
        <v>-0.36325069999999998</v>
      </c>
      <c r="V2039">
        <v>-4.6203429999999997E-2</v>
      </c>
      <c r="W2039">
        <v>3.1874759999999999E-3</v>
      </c>
      <c r="X2039">
        <v>0.99892689999999995</v>
      </c>
      <c r="Y2039">
        <v>-9.7827839999999999E-2</v>
      </c>
      <c r="Z2039">
        <v>-1.806254E-3</v>
      </c>
      <c r="AA2039">
        <v>0.99520169999999997</v>
      </c>
      <c r="AB2039">
        <v>37</v>
      </c>
      <c r="AC2039">
        <v>-15.314299999999999</v>
      </c>
      <c r="AD2039">
        <v>-1.104888715</v>
      </c>
      <c r="AE2039">
        <v>-1.9044000000000001</v>
      </c>
      <c r="AF2039">
        <v>-1.5417614347332</v>
      </c>
      <c r="AG2039">
        <v>-1.104888715</v>
      </c>
      <c r="AH2039">
        <v>15.2759478598679</v>
      </c>
      <c r="AI2039">
        <v>94.116084139603004</v>
      </c>
      <c r="AJ2039">
        <v>95.763197313251496</v>
      </c>
      <c r="AK2039">
        <v>15.393257953129</v>
      </c>
    </row>
    <row r="2040" spans="1:37" x14ac:dyDescent="0.2">
      <c r="A2040" t="str">
        <f>"20200111155835430"</f>
        <v>20200111155835430</v>
      </c>
      <c r="B2040" t="str">
        <f>"1578729515423527"</f>
        <v>1578729515423527</v>
      </c>
      <c r="C2040" t="s">
        <v>37</v>
      </c>
      <c r="D2040">
        <v>5.709238</v>
      </c>
      <c r="E2040">
        <v>0.48185410000000001</v>
      </c>
      <c r="F2040" t="s">
        <v>50</v>
      </c>
      <c r="G2040">
        <v>-359.5684</v>
      </c>
      <c r="H2040" s="1">
        <v>3.555027E-6</v>
      </c>
      <c r="I2040">
        <v>284.2079</v>
      </c>
      <c r="J2040">
        <v>-343.99869999999999</v>
      </c>
      <c r="K2040">
        <v>1.104894</v>
      </c>
      <c r="L2040">
        <v>286.13839999999999</v>
      </c>
      <c r="M2040">
        <v>-0.99962189999999995</v>
      </c>
      <c r="N2040">
        <v>0</v>
      </c>
      <c r="O2040">
        <v>-2.3688750000000001E-2</v>
      </c>
      <c r="P2040">
        <v>-0.99752589999999997</v>
      </c>
      <c r="Q2040">
        <v>-1.024367E-2</v>
      </c>
      <c r="R2040">
        <v>-6.9552059999999999E-2</v>
      </c>
      <c r="S2040">
        <v>-2.979797</v>
      </c>
      <c r="T2040">
        <v>-0.20808989999999999</v>
      </c>
      <c r="U2040">
        <v>-0.36477659999999901</v>
      </c>
      <c r="V2040">
        <v>-4.5907580000000003E-2</v>
      </c>
      <c r="W2040">
        <v>3.6218729999999998E-3</v>
      </c>
      <c r="X2040">
        <v>0.99893909999999997</v>
      </c>
      <c r="Y2040">
        <v>-9.7782250000000001E-2</v>
      </c>
      <c r="Z2040">
        <v>-1.7518670000000001E-3</v>
      </c>
      <c r="AA2040">
        <v>0.99520629999999999</v>
      </c>
      <c r="AB2040">
        <v>37</v>
      </c>
      <c r="AC2040">
        <v>-15.569699999999999</v>
      </c>
      <c r="AD2040">
        <v>-1.1048904449729999</v>
      </c>
      <c r="AE2040">
        <v>-1.9304999999999899</v>
      </c>
      <c r="AF2040">
        <v>-1.5533911890951999</v>
      </c>
      <c r="AG2040">
        <v>-1.1048904449729999</v>
      </c>
      <c r="AH2040">
        <v>15.5340221126398</v>
      </c>
      <c r="AI2040">
        <v>94.048309613706394</v>
      </c>
      <c r="AJ2040">
        <v>95.710552885781098</v>
      </c>
      <c r="AK2040">
        <v>15.6505479162147</v>
      </c>
    </row>
    <row r="2041" spans="1:37" x14ac:dyDescent="0.2">
      <c r="A2041" t="str">
        <f>"20200111155835449"</f>
        <v>20200111155835449</v>
      </c>
      <c r="B2041" t="str">
        <f>"1578729515443047"</f>
        <v>1578729515443047</v>
      </c>
      <c r="C2041" t="s">
        <v>37</v>
      </c>
      <c r="D2041">
        <v>5.7828839999999904</v>
      </c>
      <c r="E2041">
        <v>0.48229629999999901</v>
      </c>
      <c r="F2041" t="s">
        <v>50</v>
      </c>
      <c r="G2041">
        <v>-359.34449999999998</v>
      </c>
      <c r="H2041" s="1">
        <v>3.4358589999999999E-6</v>
      </c>
      <c r="I2041">
        <v>284.28879999999998</v>
      </c>
      <c r="J2041">
        <v>-344.32440000000003</v>
      </c>
      <c r="K2041">
        <v>1.1049</v>
      </c>
      <c r="L2041">
        <v>286.12990000000002</v>
      </c>
      <c r="M2041">
        <v>-0.99960289999999996</v>
      </c>
      <c r="N2041">
        <v>0</v>
      </c>
      <c r="O2041">
        <v>-2.4411169999999999E-2</v>
      </c>
      <c r="P2041">
        <v>-0.99750689999999997</v>
      </c>
      <c r="Q2041">
        <v>-9.4581140000000001E-3</v>
      </c>
      <c r="R2041">
        <v>-6.9933560000000006E-2</v>
      </c>
      <c r="S2041">
        <v>-2.9801639999999998</v>
      </c>
      <c r="T2041">
        <v>-0.21457109999999999</v>
      </c>
      <c r="U2041">
        <v>-0.35919190000000001</v>
      </c>
      <c r="V2041">
        <v>-4.5569209999999999E-2</v>
      </c>
      <c r="W2041">
        <v>4.5145039999999999E-3</v>
      </c>
      <c r="X2041">
        <v>0.99895100000000003</v>
      </c>
      <c r="Y2041">
        <v>-9.520721E-2</v>
      </c>
      <c r="Z2041">
        <v>-1.662298E-3</v>
      </c>
      <c r="AA2041">
        <v>0.99545609999999995</v>
      </c>
      <c r="AB2041">
        <v>37</v>
      </c>
      <c r="AC2041">
        <v>-15.0200999999999</v>
      </c>
      <c r="AD2041">
        <v>-1.104896564141</v>
      </c>
      <c r="AE2041">
        <v>-1.8411000000000399</v>
      </c>
      <c r="AF2041">
        <v>-1.4660410195135101</v>
      </c>
      <c r="AG2041">
        <v>-1.104896564141</v>
      </c>
      <c r="AH2041">
        <v>14.980706625371299</v>
      </c>
      <c r="AI2041">
        <v>94.198208876732295</v>
      </c>
      <c r="AJ2041">
        <v>95.589278737654894</v>
      </c>
      <c r="AK2041">
        <v>15.092767926520001</v>
      </c>
    </row>
    <row r="2042" spans="1:37" x14ac:dyDescent="0.2">
      <c r="A2042" t="str">
        <f>"20200111155835462"</f>
        <v>20200111155835462</v>
      </c>
      <c r="B2042" t="str">
        <f>"1578729515452809"</f>
        <v>1578729515452809</v>
      </c>
      <c r="C2042" t="s">
        <v>37</v>
      </c>
      <c r="D2042">
        <v>5.7073049999999999</v>
      </c>
      <c r="E2042">
        <v>0.48257990000000001</v>
      </c>
      <c r="F2042" t="s">
        <v>50</v>
      </c>
      <c r="G2042">
        <v>-359.62430000000001</v>
      </c>
      <c r="H2042" s="1">
        <v>3.5847909999999999E-6</v>
      </c>
      <c r="I2042">
        <v>284.29759999999999</v>
      </c>
      <c r="J2042">
        <v>-344.54669999999999</v>
      </c>
      <c r="K2042">
        <v>1.104905</v>
      </c>
      <c r="L2042">
        <v>286.1241</v>
      </c>
      <c r="M2042">
        <v>-0.99958989999999903</v>
      </c>
      <c r="N2042">
        <v>0</v>
      </c>
      <c r="O2042">
        <v>-2.490359E-2</v>
      </c>
      <c r="P2042">
        <v>-0.99748060000000005</v>
      </c>
      <c r="Q2042">
        <v>-9.5831849999999993E-3</v>
      </c>
      <c r="R2042">
        <v>-7.0290900000000003E-2</v>
      </c>
      <c r="S2042">
        <v>-2.9804080000000002</v>
      </c>
      <c r="T2042">
        <v>-0.21523229999999999</v>
      </c>
      <c r="U2042">
        <v>-0.35693359999999902</v>
      </c>
      <c r="V2042">
        <v>-4.5434420000000003E-2</v>
      </c>
      <c r="W2042">
        <v>4.4549009999999998E-3</v>
      </c>
      <c r="X2042">
        <v>0.9989574</v>
      </c>
      <c r="Y2042">
        <v>-9.3966859999999999E-2</v>
      </c>
      <c r="Z2042">
        <v>-1.5874139999999899E-3</v>
      </c>
      <c r="AA2042">
        <v>0.99557410000000002</v>
      </c>
      <c r="AB2042">
        <v>37</v>
      </c>
      <c r="AC2042">
        <v>-15.0776</v>
      </c>
      <c r="AD2042">
        <v>-1.104901415209</v>
      </c>
      <c r="AE2042">
        <v>-1.82650000000001</v>
      </c>
      <c r="AF2042">
        <v>-1.44277372881472</v>
      </c>
      <c r="AG2042">
        <v>-1.104901415209</v>
      </c>
      <c r="AH2042">
        <v>15.0388217942241</v>
      </c>
      <c r="AI2042">
        <v>94.182831807699102</v>
      </c>
      <c r="AJ2042">
        <v>95.479992166728096</v>
      </c>
      <c r="AK2042">
        <v>15.1482198336412</v>
      </c>
    </row>
    <row r="2043" spans="1:37" x14ac:dyDescent="0.2">
      <c r="A2043" t="str">
        <f>"20200111155835477"</f>
        <v>20200111155835477</v>
      </c>
      <c r="B2043" t="str">
        <f>"1578729515473304"</f>
        <v>1578729515473304</v>
      </c>
      <c r="C2043" t="s">
        <v>37</v>
      </c>
      <c r="D2043">
        <v>5.7188080000000001</v>
      </c>
      <c r="E2043">
        <v>0.48280070000000003</v>
      </c>
      <c r="F2043" t="s">
        <v>50</v>
      </c>
      <c r="G2043">
        <v>-359.7294</v>
      </c>
      <c r="H2043" s="1">
        <v>3.6407049999999899E-6</v>
      </c>
      <c r="I2043">
        <v>284.31169999999997</v>
      </c>
      <c r="J2043">
        <v>-344.77859999999998</v>
      </c>
      <c r="K2043">
        <v>1.104905</v>
      </c>
      <c r="L2043">
        <v>286.11779999999999</v>
      </c>
      <c r="M2043">
        <v>-0.99957619999999903</v>
      </c>
      <c r="N2043">
        <v>0</v>
      </c>
      <c r="O2043">
        <v>-2.5415159999999999E-2</v>
      </c>
      <c r="P2043">
        <v>-0.99745779999999995</v>
      </c>
      <c r="Q2043">
        <v>-9.0379910000000004E-3</v>
      </c>
      <c r="R2043">
        <v>-7.0685960000000006E-2</v>
      </c>
      <c r="S2043">
        <v>-2.9804080000000002</v>
      </c>
      <c r="T2043">
        <v>-0.2168958</v>
      </c>
      <c r="U2043">
        <v>-0.35577389999999998</v>
      </c>
      <c r="V2043">
        <v>-4.5319959999999999E-2</v>
      </c>
      <c r="W2043">
        <v>5.0614299999999996E-3</v>
      </c>
      <c r="X2043">
        <v>0.99895970000000001</v>
      </c>
      <c r="Y2043">
        <v>-9.3076270000000003E-2</v>
      </c>
      <c r="Z2043">
        <v>-1.53042E-3</v>
      </c>
      <c r="AA2043">
        <v>0.99565780000000004</v>
      </c>
      <c r="AB2043">
        <v>37</v>
      </c>
      <c r="AC2043">
        <v>-14.950799999999999</v>
      </c>
      <c r="AD2043">
        <v>-1.1049013592950001</v>
      </c>
      <c r="AE2043">
        <v>-1.80610000000001</v>
      </c>
      <c r="AF2043">
        <v>-1.4178688013026299</v>
      </c>
      <c r="AG2043">
        <v>-1.1049013592950001</v>
      </c>
      <c r="AH2043">
        <v>14.911607097238299</v>
      </c>
      <c r="AI2043">
        <v>94.218726957994207</v>
      </c>
      <c r="AJ2043">
        <v>95.4316338642668</v>
      </c>
      <c r="AK2043">
        <v>15.019560085897499</v>
      </c>
    </row>
    <row r="2044" spans="1:37" x14ac:dyDescent="0.2">
      <c r="A2044" t="str">
        <f>"20200111155835490"</f>
        <v>20200111155835490</v>
      </c>
      <c r="B2044" t="str">
        <f>"1578729515483063"</f>
        <v>1578729515483063</v>
      </c>
      <c r="C2044" t="s">
        <v>37</v>
      </c>
      <c r="D2044">
        <v>5.7252279999999898</v>
      </c>
      <c r="E2044">
        <v>0.4829541</v>
      </c>
      <c r="F2044" t="s">
        <v>50</v>
      </c>
      <c r="G2044">
        <v>-359.9203</v>
      </c>
      <c r="H2044" s="1">
        <v>3.7422989999999999E-6</v>
      </c>
      <c r="I2044">
        <v>284.31299999999999</v>
      </c>
      <c r="J2044">
        <v>-345.00529999999998</v>
      </c>
      <c r="K2044">
        <v>1.1049059999999999</v>
      </c>
      <c r="L2044">
        <v>286.11160000000001</v>
      </c>
      <c r="M2044">
        <v>-0.99956259999999997</v>
      </c>
      <c r="N2044">
        <v>0</v>
      </c>
      <c r="O2044">
        <v>-2.5914039999999999E-2</v>
      </c>
      <c r="P2044">
        <v>-0.99742679999999995</v>
      </c>
      <c r="Q2044">
        <v>-8.8238819999999999E-3</v>
      </c>
      <c r="R2044">
        <v>-7.1148600000000006E-2</v>
      </c>
      <c r="S2044">
        <v>-2.980499</v>
      </c>
      <c r="T2044">
        <v>-0.21748919999999999</v>
      </c>
      <c r="U2044">
        <v>-0.35525509999999999</v>
      </c>
      <c r="V2044">
        <v>-4.5285119999999998E-2</v>
      </c>
      <c r="W2044">
        <v>5.3317939999999999E-3</v>
      </c>
      <c r="X2044">
        <v>0.99895990000000001</v>
      </c>
      <c r="Y2044">
        <v>-9.2406929999999998E-2</v>
      </c>
      <c r="Z2044">
        <v>-1.474064E-3</v>
      </c>
      <c r="AA2044">
        <v>0.99572019999999895</v>
      </c>
      <c r="AB2044">
        <v>37</v>
      </c>
      <c r="AC2044">
        <v>-14.914999999999999</v>
      </c>
      <c r="AD2044">
        <v>-1.1049022577009999</v>
      </c>
      <c r="AE2044">
        <v>-1.79860000000002</v>
      </c>
      <c r="AF2044">
        <v>-1.403855005055</v>
      </c>
      <c r="AG2044">
        <v>-1.1049022577009999</v>
      </c>
      <c r="AH2044">
        <v>14.876136221579699</v>
      </c>
      <c r="AI2044">
        <v>94.229036099245803</v>
      </c>
      <c r="AJ2044">
        <v>95.391014104519499</v>
      </c>
      <c r="AK2044">
        <v>14.983025287213801</v>
      </c>
    </row>
    <row r="2045" spans="1:37" x14ac:dyDescent="0.2">
      <c r="A2045" t="str">
        <f>"20200111155835504"</f>
        <v>20200111155835504</v>
      </c>
      <c r="B2045" t="str">
        <f>"1578729515492824"</f>
        <v>1578729515492824</v>
      </c>
      <c r="C2045" t="s">
        <v>37</v>
      </c>
      <c r="D2045">
        <v>5.7673220000000001</v>
      </c>
      <c r="E2045">
        <v>0.48304079999999899</v>
      </c>
      <c r="F2045" t="s">
        <v>50</v>
      </c>
      <c r="G2045">
        <v>-360.09649999999999</v>
      </c>
      <c r="H2045" s="1">
        <v>-1.485452E-6</v>
      </c>
      <c r="I2045">
        <v>284.31169999999997</v>
      </c>
      <c r="J2045">
        <v>-345.2321</v>
      </c>
      <c r="K2045">
        <v>1.1049040000000001</v>
      </c>
      <c r="L2045">
        <v>286.1053</v>
      </c>
      <c r="M2045">
        <v>-0.99954869999999996</v>
      </c>
      <c r="N2045">
        <v>0</v>
      </c>
      <c r="O2045">
        <v>-2.641133E-2</v>
      </c>
      <c r="P2045">
        <v>-0.9973978</v>
      </c>
      <c r="Q2045">
        <v>-8.3412509999999992E-3</v>
      </c>
      <c r="R2045">
        <v>-7.1612369999999995E-2</v>
      </c>
      <c r="S2045">
        <v>-2.9804080000000002</v>
      </c>
      <c r="T2045">
        <v>-0.2182125</v>
      </c>
      <c r="U2045">
        <v>-0.35546879999999997</v>
      </c>
      <c r="V2045">
        <v>-4.5254030000000001E-2</v>
      </c>
      <c r="W2045">
        <v>5.8658419999999996E-3</v>
      </c>
      <c r="X2045">
        <v>0.99895829999999997</v>
      </c>
      <c r="Y2045">
        <v>-9.1986750000000006E-2</v>
      </c>
      <c r="Z2045">
        <v>-1.4274839999999999E-3</v>
      </c>
      <c r="AA2045">
        <v>0.99575919999999896</v>
      </c>
      <c r="AB2045">
        <v>37</v>
      </c>
      <c r="AC2045">
        <v>-14.8643999999999</v>
      </c>
      <c r="AD2045">
        <v>-1.104905485452</v>
      </c>
      <c r="AE2045">
        <v>-1.7936000000000201</v>
      </c>
      <c r="AF2045">
        <v>-1.3927604273610901</v>
      </c>
      <c r="AG2045">
        <v>-1.104905485452</v>
      </c>
      <c r="AH2045">
        <v>14.825848248859099</v>
      </c>
      <c r="AI2045">
        <v>94.243509635902896</v>
      </c>
      <c r="AJ2045">
        <v>95.366693750396195</v>
      </c>
      <c r="AK2045">
        <v>14.9320586001396</v>
      </c>
    </row>
    <row r="2046" spans="1:37" x14ac:dyDescent="0.2">
      <c r="A2046" t="str">
        <f>"20200111155835519"</f>
        <v>20200111155835519</v>
      </c>
      <c r="B2046" t="str">
        <f>"1578729515513319"</f>
        <v>1578729515513319</v>
      </c>
      <c r="C2046" t="s">
        <v>37</v>
      </c>
      <c r="D2046">
        <v>5.7440639999999998</v>
      </c>
      <c r="E2046">
        <v>0.48325569999999901</v>
      </c>
      <c r="F2046" t="s">
        <v>50</v>
      </c>
      <c r="G2046">
        <v>-360.36329999999998</v>
      </c>
      <c r="H2046" s="1">
        <v>-1.3434809999999901E-6</v>
      </c>
      <c r="I2046">
        <v>284.29689999999999</v>
      </c>
      <c r="J2046">
        <v>-345.47320000000002</v>
      </c>
      <c r="K2046">
        <v>1.1049020000000001</v>
      </c>
      <c r="L2046">
        <v>286.09840000000003</v>
      </c>
      <c r="M2046">
        <v>-0.99953409999999998</v>
      </c>
      <c r="N2046">
        <v>0</v>
      </c>
      <c r="O2046">
        <v>-2.693562E-2</v>
      </c>
      <c r="P2046">
        <v>-0.99736159999999996</v>
      </c>
      <c r="Q2046">
        <v>-7.8092689999999998E-3</v>
      </c>
      <c r="R2046">
        <v>-7.2173420000000002E-2</v>
      </c>
      <c r="S2046">
        <v>-2.9804379999999999</v>
      </c>
      <c r="T2046">
        <v>-0.21763779999999899</v>
      </c>
      <c r="U2046">
        <v>-0.3562012</v>
      </c>
      <c r="V2046">
        <v>-4.5292449999999998E-2</v>
      </c>
      <c r="W2046">
        <v>6.4461419999999898E-3</v>
      </c>
      <c r="X2046">
        <v>0.99895299999999998</v>
      </c>
      <c r="Y2046">
        <v>-9.1707520000000001E-2</v>
      </c>
      <c r="Z2046">
        <v>-1.375493E-3</v>
      </c>
      <c r="AA2046">
        <v>0.99578509999999998</v>
      </c>
      <c r="AB2046">
        <v>37</v>
      </c>
      <c r="AC2046">
        <v>-14.890099999999901</v>
      </c>
      <c r="AD2046">
        <v>-1.1049033434810001</v>
      </c>
      <c r="AE2046">
        <v>-1.8015000000000301</v>
      </c>
      <c r="AF2046">
        <v>-1.3921757902202101</v>
      </c>
      <c r="AG2046">
        <v>-1.1049033434810001</v>
      </c>
      <c r="AH2046">
        <v>14.852623890096201</v>
      </c>
      <c r="AI2046">
        <v>94.235961253756798</v>
      </c>
      <c r="AJ2046">
        <v>95.354839595745304</v>
      </c>
      <c r="AK2046">
        <v>14.958589547479701</v>
      </c>
    </row>
    <row r="2047" spans="1:37" x14ac:dyDescent="0.2">
      <c r="A2047" t="str">
        <f>"20200111155835533"</f>
        <v>20200111155835533</v>
      </c>
      <c r="B2047" t="str">
        <f>"1578729515523080"</f>
        <v>1578729515523080</v>
      </c>
      <c r="C2047" t="s">
        <v>37</v>
      </c>
      <c r="D2047">
        <v>5.7839589999999896</v>
      </c>
      <c r="E2047">
        <v>0.4833305</v>
      </c>
      <c r="F2047" t="s">
        <v>50</v>
      </c>
      <c r="G2047">
        <v>-360.61680000000001</v>
      </c>
      <c r="H2047" s="1">
        <v>-1.208548E-6</v>
      </c>
      <c r="I2047">
        <v>284.28710000000001</v>
      </c>
      <c r="J2047">
        <v>-345.7165</v>
      </c>
      <c r="K2047">
        <v>1.104903</v>
      </c>
      <c r="L2047">
        <v>286.09129999999999</v>
      </c>
      <c r="M2047">
        <v>-0.99951919999999905</v>
      </c>
      <c r="N2047">
        <v>0</v>
      </c>
      <c r="O2047">
        <v>-2.7459859999999999E-2</v>
      </c>
      <c r="P2047">
        <v>-0.99731369999999897</v>
      </c>
      <c r="Q2047">
        <v>-7.6952030000000003E-3</v>
      </c>
      <c r="R2047">
        <v>-7.2843110000000003E-2</v>
      </c>
      <c r="S2047">
        <v>-2.9804379999999999</v>
      </c>
      <c r="T2047">
        <v>-0.21745819999999999</v>
      </c>
      <c r="U2047">
        <v>-0.35647579999999901</v>
      </c>
      <c r="V2047">
        <v>-4.5440069999999999E-2</v>
      </c>
      <c r="W2047">
        <v>6.6044490000000001E-3</v>
      </c>
      <c r="X2047">
        <v>0.99894519999999998</v>
      </c>
      <c r="Y2047">
        <v>-9.1278490000000004E-2</v>
      </c>
      <c r="Z2047">
        <v>-1.3207500000000001E-3</v>
      </c>
      <c r="AA2047">
        <v>0.9958245</v>
      </c>
      <c r="AB2047">
        <v>37</v>
      </c>
      <c r="AC2047">
        <v>-14.9003</v>
      </c>
      <c r="AD2047">
        <v>-1.1049042085480001</v>
      </c>
      <c r="AE2047">
        <v>-1.80419999999998</v>
      </c>
      <c r="AF2047">
        <v>-1.38680153022423</v>
      </c>
      <c r="AG2047">
        <v>-1.1049042085480001</v>
      </c>
      <c r="AH2047">
        <v>14.8636784748554</v>
      </c>
      <c r="AI2047">
        <v>94.232994220085402</v>
      </c>
      <c r="AJ2047">
        <v>95.330343194958303</v>
      </c>
      <c r="AK2047">
        <v>14.9690670917789</v>
      </c>
    </row>
    <row r="2048" spans="1:37" x14ac:dyDescent="0.2">
      <c r="A2048" t="str">
        <f>"20200111155835552"</f>
        <v>20200111155835552</v>
      </c>
      <c r="B2048" t="str">
        <f>"1578729515543575"</f>
        <v>1578729515543575</v>
      </c>
      <c r="C2048" t="s">
        <v>37</v>
      </c>
      <c r="D2048">
        <v>5.802136</v>
      </c>
      <c r="E2048">
        <v>0.48347370000000001</v>
      </c>
      <c r="F2048" t="s">
        <v>50</v>
      </c>
      <c r="G2048">
        <v>-360.84750000000003</v>
      </c>
      <c r="H2048" s="1">
        <v>-1.085812E-6</v>
      </c>
      <c r="I2048">
        <v>284.27409999999998</v>
      </c>
      <c r="J2048">
        <v>-346.01299999999998</v>
      </c>
      <c r="K2048">
        <v>1.1048929999999999</v>
      </c>
      <c r="L2048">
        <v>286.08260000000001</v>
      </c>
      <c r="M2048">
        <v>-0.99950099999999997</v>
      </c>
      <c r="N2048">
        <v>0</v>
      </c>
      <c r="O2048">
        <v>-2.8090270000000001E-2</v>
      </c>
      <c r="P2048">
        <v>-0.99728879999999998</v>
      </c>
      <c r="Q2048">
        <v>-7.3708940000000002E-3</v>
      </c>
      <c r="R2048">
        <v>-7.3217459999999998E-2</v>
      </c>
      <c r="S2048">
        <v>-2.9803160000000002</v>
      </c>
      <c r="T2048">
        <v>-0.21763060000000001</v>
      </c>
      <c r="U2048">
        <v>-0.3579407</v>
      </c>
      <c r="V2048">
        <v>-4.5184639999999998E-2</v>
      </c>
      <c r="W2048">
        <v>6.9792350000000003E-3</v>
      </c>
      <c r="X2048">
        <v>0.99895429999999996</v>
      </c>
      <c r="Y2048">
        <v>-9.1139449999999997E-2</v>
      </c>
      <c r="Z2048">
        <v>-1.270998E-3</v>
      </c>
      <c r="AA2048">
        <v>0.99583729999999904</v>
      </c>
      <c r="AB2048">
        <v>37</v>
      </c>
      <c r="AC2048">
        <v>-14.834499999999901</v>
      </c>
      <c r="AD2048">
        <v>-1.104894085812</v>
      </c>
      <c r="AE2048">
        <v>-1.80850000000003</v>
      </c>
      <c r="AF2048">
        <v>-1.38347520181285</v>
      </c>
      <c r="AG2048">
        <v>-1.104894085812</v>
      </c>
      <c r="AH2048">
        <v>14.798559100689999</v>
      </c>
      <c r="AI2048">
        <v>94.251441206069501</v>
      </c>
      <c r="AJ2048">
        <v>95.3408960300236</v>
      </c>
      <c r="AK2048">
        <v>14.9040982964924</v>
      </c>
    </row>
    <row r="2049" spans="1:37" x14ac:dyDescent="0.2">
      <c r="A2049" t="str">
        <f>"20200111155835572"</f>
        <v>20200111155835572</v>
      </c>
      <c r="B2049" t="str">
        <f>"1578729515563095"</f>
        <v>1578729515563095</v>
      </c>
      <c r="C2049" t="s">
        <v>37</v>
      </c>
      <c r="D2049">
        <v>5.7949989999999998</v>
      </c>
      <c r="E2049">
        <v>0.48351509999999998</v>
      </c>
      <c r="F2049" t="s">
        <v>50</v>
      </c>
      <c r="G2049">
        <v>-361.16149999999999</v>
      </c>
      <c r="H2049" s="1">
        <v>-9.1870030000000002E-7</v>
      </c>
      <c r="I2049">
        <v>284.26420000000002</v>
      </c>
      <c r="J2049">
        <v>-346.358</v>
      </c>
      <c r="K2049">
        <v>1.104878</v>
      </c>
      <c r="L2049">
        <v>286.07220000000001</v>
      </c>
      <c r="M2049">
        <v>-0.99947980000000003</v>
      </c>
      <c r="N2049">
        <v>0</v>
      </c>
      <c r="O2049">
        <v>-2.8807369999999999E-2</v>
      </c>
      <c r="P2049">
        <v>-0.99724669999999904</v>
      </c>
      <c r="Q2049">
        <v>-7.8003600000000001E-3</v>
      </c>
      <c r="R2049">
        <v>-7.3742669999999996E-2</v>
      </c>
      <c r="S2049">
        <v>-2.980286</v>
      </c>
      <c r="T2049">
        <v>-0.21737519999999999</v>
      </c>
      <c r="U2049">
        <v>-0.35775759999999901</v>
      </c>
      <c r="V2049">
        <v>-4.499326E-2</v>
      </c>
      <c r="W2049">
        <v>6.6011119999999897E-3</v>
      </c>
      <c r="X2049">
        <v>0.99896549999999995</v>
      </c>
      <c r="Y2049">
        <v>-9.0370110000000003E-2</v>
      </c>
      <c r="Z2049">
        <v>-1.189612E-3</v>
      </c>
      <c r="AA2049">
        <v>0.99590749999999995</v>
      </c>
      <c r="AB2049">
        <v>37</v>
      </c>
      <c r="AC2049">
        <v>-14.8034999999999</v>
      </c>
      <c r="AD2049">
        <v>-1.1048789187003001</v>
      </c>
      <c r="AE2049">
        <v>-1.8079999999999901</v>
      </c>
      <c r="AF2049">
        <v>-1.37321755436421</v>
      </c>
      <c r="AG2049">
        <v>-1.1048789187003001</v>
      </c>
      <c r="AH2049">
        <v>14.7683848132805</v>
      </c>
      <c r="AI2049">
        <v>94.260234960508996</v>
      </c>
      <c r="AJ2049">
        <v>95.312292921413601</v>
      </c>
      <c r="AK2049">
        <v>14.873186406071</v>
      </c>
    </row>
    <row r="2050" spans="1:37" x14ac:dyDescent="0.2">
      <c r="A2050" t="str">
        <f>"20200111155835589"</f>
        <v>20200111155835589</v>
      </c>
      <c r="B2050" t="str">
        <f>"1578729515583592"</f>
        <v>1578729515583592</v>
      </c>
      <c r="C2050" t="s">
        <v>37</v>
      </c>
      <c r="D2050">
        <v>7.6810270000000003</v>
      </c>
      <c r="E2050">
        <v>0.483349799999999</v>
      </c>
      <c r="F2050" t="s">
        <v>50</v>
      </c>
      <c r="G2050">
        <v>-361.3569</v>
      </c>
      <c r="H2050" s="1">
        <v>-8.1472849999999995E-7</v>
      </c>
      <c r="I2050">
        <v>284.2638</v>
      </c>
      <c r="J2050">
        <v>-346.64569999999998</v>
      </c>
      <c r="K2050">
        <v>1.1048629999999999</v>
      </c>
      <c r="L2050">
        <v>286.0634</v>
      </c>
      <c r="M2050">
        <v>-0.99946239999999997</v>
      </c>
      <c r="N2050">
        <v>0</v>
      </c>
      <c r="O2050">
        <v>-2.9391319999999999E-2</v>
      </c>
      <c r="P2050">
        <v>-0.99719009999999997</v>
      </c>
      <c r="Q2050">
        <v>-8.1233999999999994E-3</v>
      </c>
      <c r="R2050">
        <v>-7.4474189999999996E-2</v>
      </c>
      <c r="S2050">
        <v>-2.9799500000000001</v>
      </c>
      <c r="T2050">
        <v>-0.219515299999999</v>
      </c>
      <c r="U2050">
        <v>-0.35928339999999998</v>
      </c>
      <c r="V2050">
        <v>-4.5141960000000002E-2</v>
      </c>
      <c r="W2050">
        <v>6.3150150000000002E-3</v>
      </c>
      <c r="X2050">
        <v>0.99896059999999998</v>
      </c>
      <c r="Y2050">
        <v>-9.0302729999999998E-2</v>
      </c>
      <c r="Z2050">
        <v>-1.156167E-3</v>
      </c>
      <c r="AA2050">
        <v>0.99591369999999901</v>
      </c>
      <c r="AB2050">
        <v>37</v>
      </c>
      <c r="AC2050">
        <v>-14.7112</v>
      </c>
      <c r="AD2050">
        <v>-1.1048638147284999</v>
      </c>
      <c r="AE2050">
        <v>-1.7995999999999901</v>
      </c>
      <c r="AF2050">
        <v>-1.35884353472671</v>
      </c>
      <c r="AG2050">
        <v>-1.1048638147284999</v>
      </c>
      <c r="AH2050">
        <v>14.676180159971601</v>
      </c>
      <c r="AI2050">
        <v>94.286997770479999</v>
      </c>
      <c r="AJ2050">
        <v>95.289841076966297</v>
      </c>
      <c r="AK2050">
        <v>14.7803059470672</v>
      </c>
    </row>
    <row r="2051" spans="1:37" x14ac:dyDescent="0.2">
      <c r="A2051" t="str">
        <f>"20200111155835606"</f>
        <v>20200111155835606</v>
      </c>
      <c r="B2051" t="str">
        <f>"1578729515603111"</f>
        <v>1578729515603111</v>
      </c>
      <c r="C2051" t="s">
        <v>37</v>
      </c>
      <c r="D2051">
        <v>5.748818</v>
      </c>
      <c r="E2051">
        <v>0.48344619999999999</v>
      </c>
      <c r="F2051" t="s">
        <v>50</v>
      </c>
      <c r="G2051">
        <v>-361.72629999999998</v>
      </c>
      <c r="H2051" s="1">
        <v>-6.1814619999999899E-7</v>
      </c>
      <c r="I2051">
        <v>284.22730000000001</v>
      </c>
      <c r="J2051">
        <v>-346.90949999999998</v>
      </c>
      <c r="K2051">
        <v>1.1048439999999999</v>
      </c>
      <c r="L2051">
        <v>286.05509999999998</v>
      </c>
      <c r="M2051">
        <v>-0.99944639999999996</v>
      </c>
      <c r="N2051">
        <v>0</v>
      </c>
      <c r="O2051">
        <v>-2.991311E-2</v>
      </c>
      <c r="P2051">
        <v>-0.99716749999999899</v>
      </c>
      <c r="Q2051">
        <v>-8.7668859999999998E-3</v>
      </c>
      <c r="R2051">
        <v>-7.4699280000000007E-2</v>
      </c>
      <c r="S2051">
        <v>-2.979584</v>
      </c>
      <c r="T2051">
        <v>-0.2182964</v>
      </c>
      <c r="U2051">
        <v>-0.36276249999999999</v>
      </c>
      <c r="V2051">
        <v>-4.4844889999999998E-2</v>
      </c>
      <c r="W2051">
        <v>5.7032439999999997E-3</v>
      </c>
      <c r="X2051">
        <v>0.99897769999999997</v>
      </c>
      <c r="Y2051">
        <v>-9.0944799999999895E-2</v>
      </c>
      <c r="Z2051">
        <v>-1.13524E-3</v>
      </c>
      <c r="AA2051">
        <v>0.9958553</v>
      </c>
      <c r="AB2051">
        <v>37</v>
      </c>
      <c r="AC2051">
        <v>-14.816800000000001</v>
      </c>
      <c r="AD2051">
        <v>-1.1048446181461999</v>
      </c>
      <c r="AE2051">
        <v>-1.8277999999999599</v>
      </c>
      <c r="AF2051">
        <v>-1.3761811131817101</v>
      </c>
      <c r="AG2051">
        <v>-1.1048446181461999</v>
      </c>
      <c r="AH2051">
        <v>14.7838793464323</v>
      </c>
      <c r="AI2051">
        <v>94.255614433667503</v>
      </c>
      <c r="AJ2051">
        <v>95.318144059042993</v>
      </c>
      <c r="AK2051">
        <v>14.888842957610599</v>
      </c>
    </row>
    <row r="2052" spans="1:37" x14ac:dyDescent="0.2">
      <c r="A2052" t="str">
        <f>"20200111155835628"</f>
        <v>20200111155835628</v>
      </c>
      <c r="B2052" t="str">
        <f>"1578729515623608"</f>
        <v>1578729515623608</v>
      </c>
      <c r="C2052" t="s">
        <v>37</v>
      </c>
      <c r="D2052">
        <v>5.7405109999999997</v>
      </c>
      <c r="E2052">
        <v>0.4835044</v>
      </c>
      <c r="F2052" t="s">
        <v>50</v>
      </c>
      <c r="G2052">
        <v>-361.85570000000001</v>
      </c>
      <c r="H2052" s="1">
        <v>-5.4927950000000004E-7</v>
      </c>
      <c r="I2052">
        <v>284.23559999999998</v>
      </c>
      <c r="J2052">
        <v>-347.2867</v>
      </c>
      <c r="K2052">
        <v>1.1048249999999999</v>
      </c>
      <c r="L2052">
        <v>286.04300000000001</v>
      </c>
      <c r="M2052">
        <v>-0.99942439999999999</v>
      </c>
      <c r="N2052">
        <v>0</v>
      </c>
      <c r="O2052">
        <v>-3.0626029999999999E-2</v>
      </c>
      <c r="P2052">
        <v>-0.99708699999999995</v>
      </c>
      <c r="Q2052">
        <v>-9.1831589999999998E-3</v>
      </c>
      <c r="R2052">
        <v>-7.5721640000000007E-2</v>
      </c>
      <c r="S2052">
        <v>-2.9793400000000001</v>
      </c>
      <c r="T2052">
        <v>-0.22023679999999901</v>
      </c>
      <c r="U2052">
        <v>-0.36270140000000001</v>
      </c>
      <c r="V2052">
        <v>-4.5155559999999997E-2</v>
      </c>
      <c r="W2052">
        <v>5.3246409999999997E-3</v>
      </c>
      <c r="X2052">
        <v>0.99896580000000001</v>
      </c>
      <c r="Y2052">
        <v>-9.0225070000000004E-2</v>
      </c>
      <c r="Z2052">
        <v>-1.0665550000000001E-3</v>
      </c>
      <c r="AA2052">
        <v>0.99592080000000005</v>
      </c>
      <c r="AB2052">
        <v>37</v>
      </c>
      <c r="AC2052">
        <v>-14.569000000000001</v>
      </c>
      <c r="AD2052">
        <v>-1.1048255492795001</v>
      </c>
      <c r="AE2052">
        <v>-1.8074000000000201</v>
      </c>
      <c r="AF2052">
        <v>-1.35265292679307</v>
      </c>
      <c r="AG2052">
        <v>-1.1048255492795001</v>
      </c>
      <c r="AH2052">
        <v>14.5352017897261</v>
      </c>
      <c r="AI2052">
        <v>94.328083840451797</v>
      </c>
      <c r="AJ2052">
        <v>95.316660432872396</v>
      </c>
      <c r="AK2052">
        <v>14.6397541134665</v>
      </c>
    </row>
    <row r="2053" spans="1:37" x14ac:dyDescent="0.2">
      <c r="A2053" t="str">
        <f>"20200111155835641"</f>
        <v>20200111155835641</v>
      </c>
      <c r="B2053" t="str">
        <f>"1578729515633368"</f>
        <v>1578729515633368</v>
      </c>
      <c r="C2053" t="s">
        <v>37</v>
      </c>
      <c r="D2053">
        <v>5.8372390000000003</v>
      </c>
      <c r="E2053">
        <v>0.48351819999999901</v>
      </c>
      <c r="F2053" t="s">
        <v>50</v>
      </c>
      <c r="G2053">
        <v>-362.363</v>
      </c>
      <c r="H2053" s="1">
        <v>-2.7932570000000002E-7</v>
      </c>
      <c r="I2053">
        <v>284.1943</v>
      </c>
      <c r="J2053">
        <v>-347.50510000000003</v>
      </c>
      <c r="K2053">
        <v>1.1048089999999999</v>
      </c>
      <c r="L2053">
        <v>286.036</v>
      </c>
      <c r="M2053">
        <v>-0.99941190000000002</v>
      </c>
      <c r="N2053">
        <v>0</v>
      </c>
      <c r="O2053">
        <v>-3.1020120000000002E-2</v>
      </c>
      <c r="P2053">
        <v>-0.99702969999999902</v>
      </c>
      <c r="Q2053">
        <v>-9.6259220000000003E-3</v>
      </c>
      <c r="R2053">
        <v>-7.6412599999999997E-2</v>
      </c>
      <c r="S2053">
        <v>-2.9789430000000001</v>
      </c>
      <c r="T2053">
        <v>-0.218304</v>
      </c>
      <c r="U2053">
        <v>-0.36529539999999999</v>
      </c>
      <c r="V2053">
        <v>-4.5452899999999997E-2</v>
      </c>
      <c r="W2053">
        <v>4.9012150000000004E-3</v>
      </c>
      <c r="X2053">
        <v>0.99895449999999997</v>
      </c>
      <c r="Y2053">
        <v>-9.0705240000000006E-2</v>
      </c>
      <c r="Z2053">
        <v>-1.046115E-3</v>
      </c>
      <c r="AA2053">
        <v>0.99587719999999902</v>
      </c>
      <c r="AB2053">
        <v>37</v>
      </c>
      <c r="AC2053">
        <v>-14.857900000000001</v>
      </c>
      <c r="AD2053">
        <v>-1.1048092793256901</v>
      </c>
      <c r="AE2053">
        <v>-1.8416999999999999</v>
      </c>
      <c r="AF2053">
        <v>-1.37239705022592</v>
      </c>
      <c r="AG2053">
        <v>-1.1048092793256901</v>
      </c>
      <c r="AH2053">
        <v>14.827142918839099</v>
      </c>
      <c r="AI2053">
        <v>94.243312303126601</v>
      </c>
      <c r="AJ2053">
        <v>95.288217018490798</v>
      </c>
      <c r="AK2053">
        <v>14.931451514934301</v>
      </c>
    </row>
    <row r="2054" spans="1:37" x14ac:dyDescent="0.2">
      <c r="A2054" t="str">
        <f>"20200111155835661"</f>
        <v>20200111155835661</v>
      </c>
      <c r="B2054" t="str">
        <f>"1578729515652887"</f>
        <v>1578729515652887</v>
      </c>
      <c r="C2054" t="s">
        <v>37</v>
      </c>
      <c r="D2054">
        <v>5.8273289999999998</v>
      </c>
      <c r="E2054">
        <v>0.48354399999999997</v>
      </c>
      <c r="F2054" t="s">
        <v>50</v>
      </c>
      <c r="G2054">
        <v>-362.44749999999999</v>
      </c>
      <c r="H2054" s="1">
        <v>-2.3436059999999999E-7</v>
      </c>
      <c r="I2054">
        <v>284.19479999999999</v>
      </c>
      <c r="J2054">
        <v>-347.82369999999997</v>
      </c>
      <c r="K2054">
        <v>1.1047799999999901</v>
      </c>
      <c r="L2054">
        <v>286.0256</v>
      </c>
      <c r="M2054">
        <v>-0.99939460000000002</v>
      </c>
      <c r="N2054">
        <v>0</v>
      </c>
      <c r="O2054">
        <v>-3.1563939999999999E-2</v>
      </c>
      <c r="P2054">
        <v>-0.99693729999999903</v>
      </c>
      <c r="Q2054">
        <v>-1.0403280000000001E-2</v>
      </c>
      <c r="R2054">
        <v>-7.7512949999999997E-2</v>
      </c>
      <c r="S2054">
        <v>-2.9786679999999999</v>
      </c>
      <c r="T2054">
        <v>-0.22023609999999999</v>
      </c>
      <c r="U2054">
        <v>-0.3670349</v>
      </c>
      <c r="V2054">
        <v>-4.6010839999999997E-2</v>
      </c>
      <c r="W2054">
        <v>4.1497269999999998E-3</v>
      </c>
      <c r="X2054">
        <v>0.9989323</v>
      </c>
      <c r="Y2054">
        <v>-9.0745899999999893E-2</v>
      </c>
      <c r="Z2054">
        <v>-1.0169529999999999E-3</v>
      </c>
      <c r="AA2054">
        <v>0.99587359999999903</v>
      </c>
      <c r="AB2054">
        <v>37</v>
      </c>
      <c r="AC2054">
        <v>-14.623799999999999</v>
      </c>
      <c r="AD2054">
        <v>-1.1047802343605999</v>
      </c>
      <c r="AE2054">
        <v>-1.83080000000001</v>
      </c>
      <c r="AF2054">
        <v>-1.36060782596043</v>
      </c>
      <c r="AG2054">
        <v>-1.1047802343605999</v>
      </c>
      <c r="AH2054">
        <v>14.592307737462001</v>
      </c>
      <c r="AI2054">
        <v>94.310962248425994</v>
      </c>
      <c r="AJ2054">
        <v>95.326939360048897</v>
      </c>
      <c r="AK2054">
        <v>14.697184700720401</v>
      </c>
    </row>
    <row r="2055" spans="1:37" x14ac:dyDescent="0.2">
      <c r="A2055" t="str">
        <f>"20200111155835684"</f>
        <v>20200111155835684</v>
      </c>
      <c r="B2055" t="str">
        <f>"1578729515673384"</f>
        <v>1578729515673384</v>
      </c>
      <c r="C2055" t="s">
        <v>37</v>
      </c>
      <c r="D2055">
        <v>5.8111980000000001</v>
      </c>
      <c r="E2055">
        <v>0.48355109999999901</v>
      </c>
      <c r="F2055" t="s">
        <v>50</v>
      </c>
      <c r="G2055">
        <v>-362.54840000000002</v>
      </c>
      <c r="H2055" s="1">
        <v>-1.80653E-7</v>
      </c>
      <c r="I2055">
        <v>284.19560000000001</v>
      </c>
      <c r="J2055">
        <v>-348.19130000000001</v>
      </c>
      <c r="K2055">
        <v>1.1047309999999999</v>
      </c>
      <c r="L2055">
        <v>286.01339999999999</v>
      </c>
      <c r="M2055">
        <v>-0.99937619999999905</v>
      </c>
      <c r="N2055">
        <v>0</v>
      </c>
      <c r="O2055">
        <v>-3.2128139999999999E-2</v>
      </c>
      <c r="P2055">
        <v>-0.99684640000000002</v>
      </c>
      <c r="Q2055">
        <v>-1.108336E-2</v>
      </c>
      <c r="R2055">
        <v>-7.8578960000000003E-2</v>
      </c>
      <c r="S2055">
        <v>-2.9780880000000001</v>
      </c>
      <c r="T2055">
        <v>-0.22344339999999999</v>
      </c>
      <c r="U2055">
        <v>-0.37011719999999998</v>
      </c>
      <c r="V2055">
        <v>-4.6512989999999997E-2</v>
      </c>
      <c r="W2055">
        <v>3.497418E-3</v>
      </c>
      <c r="X2055">
        <v>0.99891160000000001</v>
      </c>
      <c r="Y2055">
        <v>-9.1217939999999997E-2</v>
      </c>
      <c r="Z2055">
        <v>-1.0074229999999999E-3</v>
      </c>
      <c r="AA2055">
        <v>0.9958304</v>
      </c>
      <c r="AB2055">
        <v>37</v>
      </c>
      <c r="AC2055">
        <v>-14.357100000000001</v>
      </c>
      <c r="AD2055">
        <v>-1.10473118065299</v>
      </c>
      <c r="AE2055">
        <v>-1.8177999999999701</v>
      </c>
      <c r="AF2055">
        <v>-1.3476913613313899</v>
      </c>
      <c r="AG2055">
        <v>-1.10473118065299</v>
      </c>
      <c r="AH2055">
        <v>14.3246205683339</v>
      </c>
      <c r="AI2055">
        <v>94.390674258484296</v>
      </c>
      <c r="AJ2055">
        <v>95.374690479609896</v>
      </c>
      <c r="AK2055">
        <v>14.4302272128213</v>
      </c>
    </row>
    <row r="2056" spans="1:37" x14ac:dyDescent="0.2">
      <c r="A2056" t="str">
        <f>"20200111155835697"</f>
        <v>20200111155835697</v>
      </c>
      <c r="B2056" t="str">
        <f>"1578729515692904"</f>
        <v>1578729515692904</v>
      </c>
      <c r="C2056" t="s">
        <v>37</v>
      </c>
      <c r="D2056">
        <v>5.8199339999999999</v>
      </c>
      <c r="E2056">
        <v>0.48362070000000001</v>
      </c>
      <c r="F2056" t="s">
        <v>50</v>
      </c>
      <c r="G2056">
        <v>-362.71109999999999</v>
      </c>
      <c r="H2056" s="1">
        <v>-9.4091320000000001E-8</v>
      </c>
      <c r="I2056">
        <v>284.19319999999999</v>
      </c>
      <c r="J2056">
        <v>-348.41449999999998</v>
      </c>
      <c r="K2056">
        <v>1.104689</v>
      </c>
      <c r="L2056">
        <v>286.0059</v>
      </c>
      <c r="M2056">
        <v>-0.99936650000000005</v>
      </c>
      <c r="N2056">
        <v>0</v>
      </c>
      <c r="O2056">
        <v>-3.2420200000000003E-2</v>
      </c>
      <c r="P2056">
        <v>-0.9967954</v>
      </c>
      <c r="Q2056">
        <v>-1.131796E-2</v>
      </c>
      <c r="R2056">
        <v>-7.9190410000000003E-2</v>
      </c>
      <c r="S2056">
        <v>-2.9775390000000002</v>
      </c>
      <c r="T2056">
        <v>-0.226544299999999</v>
      </c>
      <c r="U2056">
        <v>-0.3732605</v>
      </c>
      <c r="V2056">
        <v>-4.6833600000000003E-2</v>
      </c>
      <c r="W2056">
        <v>3.2785520000000001E-3</v>
      </c>
      <c r="X2056">
        <v>0.99889729999999999</v>
      </c>
      <c r="Y2056">
        <v>-9.1978580000000004E-2</v>
      </c>
      <c r="Z2056">
        <v>-1.0282030000000001E-3</v>
      </c>
      <c r="AA2056">
        <v>0.99576039999999999</v>
      </c>
      <c r="AB2056">
        <v>37</v>
      </c>
      <c r="AC2056">
        <v>-14.2966</v>
      </c>
      <c r="AD2056">
        <v>-1.1046890940913201</v>
      </c>
      <c r="AE2056">
        <v>-1.8127</v>
      </c>
      <c r="AF2056">
        <v>-1.3403224667151801</v>
      </c>
      <c r="AG2056">
        <v>-1.1046890940913201</v>
      </c>
      <c r="AH2056">
        <v>14.264040720271099</v>
      </c>
      <c r="AI2056">
        <v>94.409128803776895</v>
      </c>
      <c r="AJ2056">
        <v>95.368043552913093</v>
      </c>
      <c r="AK2056">
        <v>14.3694001259252</v>
      </c>
    </row>
    <row r="2057" spans="1:37" x14ac:dyDescent="0.2">
      <c r="A2057" t="str">
        <f>"20200111155835717"</f>
        <v>20200111155835717</v>
      </c>
      <c r="B2057" t="str">
        <f>"1578729515713400"</f>
        <v>1578729515713400</v>
      </c>
      <c r="C2057" t="s">
        <v>37</v>
      </c>
      <c r="D2057">
        <v>5.7947300000000004</v>
      </c>
      <c r="E2057">
        <v>0.48380439999999902</v>
      </c>
      <c r="F2057" t="s">
        <v>50</v>
      </c>
      <c r="G2057">
        <v>-362.86619999999999</v>
      </c>
      <c r="H2057" s="1">
        <v>-1.154518E-8</v>
      </c>
      <c r="I2057">
        <v>284.1891</v>
      </c>
      <c r="J2057">
        <v>-348.73930000000001</v>
      </c>
      <c r="K2057">
        <v>1.104627</v>
      </c>
      <c r="L2057">
        <v>285.99489999999997</v>
      </c>
      <c r="M2057">
        <v>-0.99935439999999998</v>
      </c>
      <c r="N2057">
        <v>0</v>
      </c>
      <c r="O2057">
        <v>-3.2790420000000001E-2</v>
      </c>
      <c r="P2057">
        <v>-0.996731699999999</v>
      </c>
      <c r="Q2057">
        <v>-1.0906239999999999E-2</v>
      </c>
      <c r="R2057">
        <v>-8.004812E-2</v>
      </c>
      <c r="S2057">
        <v>-2.977325</v>
      </c>
      <c r="T2057">
        <v>-0.22758699999999901</v>
      </c>
      <c r="U2057">
        <v>-0.37429809999999902</v>
      </c>
      <c r="V2057">
        <v>-4.7322690000000001E-2</v>
      </c>
      <c r="W2057">
        <v>3.7119940000000001E-3</v>
      </c>
      <c r="X2057">
        <v>0.99887280000000001</v>
      </c>
      <c r="Y2057">
        <v>-9.195971E-2</v>
      </c>
      <c r="Z2057">
        <v>-1.0041469999999999E-3</v>
      </c>
      <c r="AA2057">
        <v>0.99576219999999904</v>
      </c>
      <c r="AB2057">
        <v>37</v>
      </c>
      <c r="AC2057">
        <v>-14.1268999999999</v>
      </c>
      <c r="AD2057">
        <v>-1.1046270115451799</v>
      </c>
      <c r="AE2057">
        <v>-1.8057999999999701</v>
      </c>
      <c r="AF2057">
        <v>-1.33352945532904</v>
      </c>
      <c r="AG2057">
        <v>-1.1046270115451799</v>
      </c>
      <c r="AH2057">
        <v>14.093734819817801</v>
      </c>
      <c r="AI2057">
        <v>94.461672787839206</v>
      </c>
      <c r="AJ2057">
        <v>95.4051545589695</v>
      </c>
      <c r="AK2057">
        <v>14.1997134764829</v>
      </c>
    </row>
    <row r="2058" spans="1:37" x14ac:dyDescent="0.2">
      <c r="A2058" t="str">
        <f>"20200111155835740"</f>
        <v>20200111155835740</v>
      </c>
      <c r="B2058" t="str">
        <f>"1578729515732919"</f>
        <v>1578729515732919</v>
      </c>
      <c r="C2058" t="s">
        <v>37</v>
      </c>
      <c r="D2058">
        <v>5.7445699999999897</v>
      </c>
      <c r="E2058">
        <v>0.48379849999999902</v>
      </c>
      <c r="F2058" t="s">
        <v>50</v>
      </c>
      <c r="G2058">
        <v>-363.25220000000002</v>
      </c>
      <c r="H2058" s="1">
        <v>1.938853E-7</v>
      </c>
      <c r="I2058">
        <v>284.16460000000001</v>
      </c>
      <c r="J2058">
        <v>-349.1207</v>
      </c>
      <c r="K2058">
        <v>1.10454599999999</v>
      </c>
      <c r="L2058">
        <v>285.98200000000003</v>
      </c>
      <c r="M2058">
        <v>-0.99934299999999998</v>
      </c>
      <c r="N2058">
        <v>0</v>
      </c>
      <c r="O2058">
        <v>-3.312913E-2</v>
      </c>
      <c r="P2058">
        <v>-0.9966893</v>
      </c>
      <c r="Q2058">
        <v>-9.584225E-3</v>
      </c>
      <c r="R2058">
        <v>-8.0740510000000001E-2</v>
      </c>
      <c r="S2058">
        <v>-2.9772029999999998</v>
      </c>
      <c r="T2058">
        <v>-0.22660559999999999</v>
      </c>
      <c r="U2058">
        <v>-0.3754883</v>
      </c>
      <c r="V2058">
        <v>-4.7678680000000001E-2</v>
      </c>
      <c r="W2058">
        <v>5.0585689999999997E-3</v>
      </c>
      <c r="X2058">
        <v>0.99884989999999996</v>
      </c>
      <c r="Y2058">
        <v>-9.2021359999999996E-2</v>
      </c>
      <c r="Z2058">
        <v>-9.7657439999999994E-4</v>
      </c>
      <c r="AA2058">
        <v>0.99575659999999899</v>
      </c>
      <c r="AB2058">
        <v>37</v>
      </c>
      <c r="AC2058">
        <v>-14.131500000000001</v>
      </c>
      <c r="AD2058">
        <v>-1.10454580611469</v>
      </c>
      <c r="AE2058">
        <v>-1.8174000000000201</v>
      </c>
      <c r="AF2058">
        <v>-1.3401332437168201</v>
      </c>
      <c r="AG2058">
        <v>-1.10454580611469</v>
      </c>
      <c r="AH2058">
        <v>14.0992218460906</v>
      </c>
      <c r="AI2058">
        <v>94.459436734176407</v>
      </c>
      <c r="AJ2058">
        <v>95.429660540106696</v>
      </c>
      <c r="AK2058">
        <v>14.2057747136156</v>
      </c>
    </row>
    <row r="2059" spans="1:37" x14ac:dyDescent="0.2">
      <c r="A2059" t="str">
        <f>"20200111155835754"</f>
        <v>20200111155835754</v>
      </c>
      <c r="B2059" t="str">
        <f>"1578729515742679"</f>
        <v>1578729515742679</v>
      </c>
      <c r="C2059" t="s">
        <v>37</v>
      </c>
      <c r="D2059">
        <v>5.7705419999999998</v>
      </c>
      <c r="E2059">
        <v>0.48377249999999999</v>
      </c>
      <c r="F2059" t="s">
        <v>50</v>
      </c>
      <c r="G2059">
        <v>-363.84160000000003</v>
      </c>
      <c r="H2059" s="1">
        <v>5.0754110000000002E-7</v>
      </c>
      <c r="I2059">
        <v>284.11470000000003</v>
      </c>
      <c r="J2059">
        <v>-349.34739999999999</v>
      </c>
      <c r="K2059">
        <v>1.1044989999999999</v>
      </c>
      <c r="L2059">
        <v>285.97430000000003</v>
      </c>
      <c r="M2059">
        <v>-0.9993379</v>
      </c>
      <c r="N2059">
        <v>0</v>
      </c>
      <c r="O2059">
        <v>-3.3276550000000002E-2</v>
      </c>
      <c r="P2059">
        <v>-0.99671580000000004</v>
      </c>
      <c r="Q2059">
        <v>-9.0059790000000008E-3</v>
      </c>
      <c r="R2059">
        <v>-8.0476080000000005E-2</v>
      </c>
      <c r="S2059">
        <v>-2.9772639999999999</v>
      </c>
      <c r="T2059">
        <v>-0.22339139999999899</v>
      </c>
      <c r="U2059">
        <v>-0.37765500000000002</v>
      </c>
      <c r="V2059">
        <v>-4.7265580000000001E-2</v>
      </c>
      <c r="W2059">
        <v>5.6512680000000001E-3</v>
      </c>
      <c r="X2059">
        <v>0.99886640000000004</v>
      </c>
      <c r="Y2059">
        <v>-9.2588770000000001E-2</v>
      </c>
      <c r="Z2059">
        <v>-9.7289030000000001E-4</v>
      </c>
      <c r="AA2059">
        <v>0.99570389999999998</v>
      </c>
      <c r="AB2059">
        <v>37</v>
      </c>
      <c r="AC2059">
        <v>-14.494199999999999</v>
      </c>
      <c r="AD2059">
        <v>-1.1044984924588901</v>
      </c>
      <c r="AE2059">
        <v>-1.8595999999999999</v>
      </c>
      <c r="AF2059">
        <v>-1.3683833848861799</v>
      </c>
      <c r="AG2059">
        <v>-1.1044984924588901</v>
      </c>
      <c r="AH2059">
        <v>14.4654204319316</v>
      </c>
      <c r="AI2059">
        <v>94.346981377771797</v>
      </c>
      <c r="AJ2059">
        <v>95.403920138538794</v>
      </c>
      <c r="AK2059">
        <v>14.571917453802101</v>
      </c>
    </row>
    <row r="2060" spans="1:37" x14ac:dyDescent="0.2">
      <c r="A2060" t="str">
        <f>"20200111155835772"</f>
        <v>20200111155835772</v>
      </c>
      <c r="B2060" t="str">
        <f>"1578729515763175"</f>
        <v>1578729515763175</v>
      </c>
      <c r="C2060" t="s">
        <v>37</v>
      </c>
      <c r="D2060">
        <v>5.8314490000000001</v>
      </c>
      <c r="E2060">
        <v>0.48370790000000002</v>
      </c>
      <c r="F2060" t="s">
        <v>50</v>
      </c>
      <c r="G2060">
        <v>-364.18959999999998</v>
      </c>
      <c r="H2060" s="1">
        <v>6.9270960000000004E-7</v>
      </c>
      <c r="I2060">
        <v>284.09570000000002</v>
      </c>
      <c r="J2060">
        <v>-349.64550000000003</v>
      </c>
      <c r="K2060">
        <v>1.1044430000000001</v>
      </c>
      <c r="L2060">
        <v>285.96429999999998</v>
      </c>
      <c r="M2060">
        <v>-0.99933300000000003</v>
      </c>
      <c r="N2060">
        <v>0</v>
      </c>
      <c r="O2060">
        <v>-3.3421810000000003E-2</v>
      </c>
      <c r="P2060">
        <v>-0.99674470000000004</v>
      </c>
      <c r="Q2060">
        <v>-7.46786699999999E-3</v>
      </c>
      <c r="R2060">
        <v>-8.0278169999999996E-2</v>
      </c>
      <c r="S2060">
        <v>-2.9774479999999999</v>
      </c>
      <c r="T2060">
        <v>-0.2215695</v>
      </c>
      <c r="U2060">
        <v>-0.37686160000000002</v>
      </c>
      <c r="V2060">
        <v>-4.6922169999999999E-2</v>
      </c>
      <c r="W2060">
        <v>7.2071560000000002E-3</v>
      </c>
      <c r="X2060">
        <v>0.99887250000000005</v>
      </c>
      <c r="Y2060">
        <v>-9.2179419999999998E-2</v>
      </c>
      <c r="Z2060">
        <v>-9.390453E-4</v>
      </c>
      <c r="AA2060">
        <v>0.99574200000000002</v>
      </c>
      <c r="AB2060">
        <v>37</v>
      </c>
      <c r="AC2060">
        <v>-14.544099999999901</v>
      </c>
      <c r="AD2060">
        <v>-1.1044423072903999</v>
      </c>
      <c r="AE2060">
        <v>-1.8685999999999501</v>
      </c>
      <c r="AF2060">
        <v>-1.3736207097804201</v>
      </c>
      <c r="AG2060">
        <v>-1.1044423072903999</v>
      </c>
      <c r="AH2060">
        <v>14.5160839942479</v>
      </c>
      <c r="AI2060">
        <v>94.331635618424201</v>
      </c>
      <c r="AJ2060">
        <v>95.4056598636232</v>
      </c>
      <c r="AK2060">
        <v>14.6226988340911</v>
      </c>
    </row>
    <row r="2061" spans="1:37" x14ac:dyDescent="0.2">
      <c r="A2061" t="str">
        <f>"20200111155835795"</f>
        <v>20200111155835795</v>
      </c>
      <c r="B2061" t="str">
        <f>"1578729515783671"</f>
        <v>1578729515783671</v>
      </c>
      <c r="C2061" t="s">
        <v>37</v>
      </c>
      <c r="D2061">
        <v>5.7018940000000002</v>
      </c>
      <c r="E2061">
        <v>0.48370400000000002</v>
      </c>
      <c r="F2061" t="s">
        <v>50</v>
      </c>
      <c r="G2061">
        <v>-364.7559</v>
      </c>
      <c r="H2061" s="1">
        <v>9.9403929999999997E-7</v>
      </c>
      <c r="I2061">
        <v>284.05239999999998</v>
      </c>
      <c r="J2061">
        <v>-350.0204</v>
      </c>
      <c r="K2061">
        <v>1.104384</v>
      </c>
      <c r="L2061">
        <v>285.95150000000001</v>
      </c>
      <c r="M2061">
        <v>-0.99932919999999903</v>
      </c>
      <c r="N2061">
        <v>0</v>
      </c>
      <c r="O2061">
        <v>-3.3527340000000003E-2</v>
      </c>
      <c r="P2061">
        <v>-0.99680539999999995</v>
      </c>
      <c r="Q2061">
        <v>-6.1181359999999997E-3</v>
      </c>
      <c r="R2061">
        <v>-7.9633129999999996E-2</v>
      </c>
      <c r="S2061">
        <v>-2.977814</v>
      </c>
      <c r="T2061">
        <v>-0.21765409999999999</v>
      </c>
      <c r="U2061">
        <v>-0.37676999999999999</v>
      </c>
      <c r="V2061">
        <v>-4.6169109999999999E-2</v>
      </c>
      <c r="W2061">
        <v>8.5756359999999993E-3</v>
      </c>
      <c r="X2061">
        <v>0.99889680000000003</v>
      </c>
      <c r="Y2061">
        <v>-9.2035140000000001E-2</v>
      </c>
      <c r="Z2061">
        <v>-9.0947679999999896E-4</v>
      </c>
      <c r="AA2061">
        <v>0.99575530000000001</v>
      </c>
      <c r="AB2061">
        <v>37</v>
      </c>
      <c r="AC2061">
        <v>-14.7355</v>
      </c>
      <c r="AD2061">
        <v>-1.1043830059606901</v>
      </c>
      <c r="AE2061">
        <v>-1.89910000000003</v>
      </c>
      <c r="AF2061">
        <v>-1.39622181245318</v>
      </c>
      <c r="AG2061">
        <v>-1.1043830059606901</v>
      </c>
      <c r="AH2061">
        <v>14.709617639967099</v>
      </c>
      <c r="AI2061">
        <v>94.274511911117898</v>
      </c>
      <c r="AJ2061">
        <v>95.422211531797601</v>
      </c>
      <c r="AK2061">
        <v>14.816948008529099</v>
      </c>
    </row>
    <row r="2062" spans="1:37" x14ac:dyDescent="0.2">
      <c r="A2062" t="str">
        <f>"20200111155835818"</f>
        <v>20200111155835818</v>
      </c>
      <c r="B2062" t="str">
        <f>"1578729515813927"</f>
        <v>1578729515813927</v>
      </c>
      <c r="C2062" t="s">
        <v>37</v>
      </c>
      <c r="D2062">
        <v>5.7108140000000001</v>
      </c>
      <c r="E2062">
        <v>0.48368899999999998</v>
      </c>
      <c r="F2062" t="s">
        <v>50</v>
      </c>
      <c r="G2062">
        <v>-365.40050000000002</v>
      </c>
      <c r="H2062" s="1">
        <v>1.3370639999999999E-6</v>
      </c>
      <c r="I2062">
        <v>284.01549999999997</v>
      </c>
      <c r="J2062">
        <v>-350.39339999999999</v>
      </c>
      <c r="K2062">
        <v>1.1043160000000001</v>
      </c>
      <c r="L2062">
        <v>285.93900000000002</v>
      </c>
      <c r="M2062">
        <v>-0.99932829999999995</v>
      </c>
      <c r="N2062">
        <v>0</v>
      </c>
      <c r="O2062">
        <v>-3.3553859999999998E-2</v>
      </c>
      <c r="P2062">
        <v>-0.99689660000000002</v>
      </c>
      <c r="Q2062">
        <v>-5.8220549999999996E-3</v>
      </c>
      <c r="R2062">
        <v>-7.8507389999999996E-2</v>
      </c>
      <c r="S2062">
        <v>-2.9783629999999999</v>
      </c>
      <c r="T2062">
        <v>-0.21386459999999999</v>
      </c>
      <c r="U2062">
        <v>-0.37490839999999998</v>
      </c>
      <c r="V2062">
        <v>-4.5012940000000001E-2</v>
      </c>
      <c r="W2062">
        <v>8.8879519999999993E-3</v>
      </c>
      <c r="X2062">
        <v>0.99894680000000002</v>
      </c>
      <c r="Y2062">
        <v>-9.1380249999999996E-2</v>
      </c>
      <c r="Z2062">
        <v>-8.6826459999999998E-4</v>
      </c>
      <c r="AA2062">
        <v>0.99581569999999997</v>
      </c>
      <c r="AB2062">
        <v>37</v>
      </c>
      <c r="AC2062">
        <v>-15.007099999999999</v>
      </c>
      <c r="AD2062">
        <v>-1.1043146629359999</v>
      </c>
      <c r="AE2062">
        <v>-1.92350000000004</v>
      </c>
      <c r="AF2062">
        <v>-1.4112973174168699</v>
      </c>
      <c r="AG2062">
        <v>-1.1043146629359999</v>
      </c>
      <c r="AH2062">
        <v>14.9833732428572</v>
      </c>
      <c r="AI2062">
        <v>94.196722062756905</v>
      </c>
      <c r="AJ2062">
        <v>95.380865278213705</v>
      </c>
      <c r="AK2062">
        <v>15.0901539000665</v>
      </c>
    </row>
    <row r="2063" spans="1:37" x14ac:dyDescent="0.2">
      <c r="A2063" t="str">
        <f>"20200111155835841"</f>
        <v>20200111155835841</v>
      </c>
      <c r="B2063" t="str">
        <f>"1578729515833447"</f>
        <v>1578729515833447</v>
      </c>
      <c r="C2063" t="s">
        <v>37</v>
      </c>
      <c r="D2063">
        <v>5.7966100000000003</v>
      </c>
      <c r="E2063">
        <v>0.48364560000000001</v>
      </c>
      <c r="F2063" t="s">
        <v>50</v>
      </c>
      <c r="G2063">
        <v>-365.78550000000001</v>
      </c>
      <c r="H2063" s="1">
        <v>1.54196E-6</v>
      </c>
      <c r="I2063">
        <v>284.01549999999997</v>
      </c>
      <c r="J2063">
        <v>-350.76179999999999</v>
      </c>
      <c r="K2063">
        <v>1.10425</v>
      </c>
      <c r="L2063">
        <v>285.92660000000001</v>
      </c>
      <c r="M2063">
        <v>-0.99932999999999905</v>
      </c>
      <c r="N2063">
        <v>0</v>
      </c>
      <c r="O2063">
        <v>-3.3500910000000002E-2</v>
      </c>
      <c r="P2063">
        <v>-0.99698659999999995</v>
      </c>
      <c r="Q2063">
        <v>-7.2740599999999997E-3</v>
      </c>
      <c r="R2063">
        <v>-7.7231880000000003E-2</v>
      </c>
      <c r="S2063">
        <v>-2.97879</v>
      </c>
      <c r="T2063">
        <v>-0.2137155</v>
      </c>
      <c r="U2063">
        <v>-0.37225340000000001</v>
      </c>
      <c r="V2063">
        <v>-4.378638E-2</v>
      </c>
      <c r="W2063">
        <v>7.4503360000000001E-3</v>
      </c>
      <c r="X2063">
        <v>0.99901309999999999</v>
      </c>
      <c r="Y2063">
        <v>-9.0543670000000007E-2</v>
      </c>
      <c r="Z2063">
        <v>-8.4149490000000001E-4</v>
      </c>
      <c r="AA2063">
        <v>0.99589209999999995</v>
      </c>
      <c r="AB2063">
        <v>37</v>
      </c>
      <c r="AC2063">
        <v>-15.0237</v>
      </c>
      <c r="AD2063">
        <v>-1.1042484580399901</v>
      </c>
      <c r="AE2063">
        <v>-1.91110000000003</v>
      </c>
      <c r="AF2063">
        <v>-1.3992260512849599</v>
      </c>
      <c r="AG2063">
        <v>-1.1042484580399901</v>
      </c>
      <c r="AH2063">
        <v>14.9995537462952</v>
      </c>
      <c r="AI2063">
        <v>94.192312451877797</v>
      </c>
      <c r="AJ2063">
        <v>95.329385768972301</v>
      </c>
      <c r="AK2063">
        <v>15.105092213809099</v>
      </c>
    </row>
    <row r="2064" spans="1:37" x14ac:dyDescent="0.2">
      <c r="A2064" t="str">
        <f>"20200111155835861"</f>
        <v>20200111155835861</v>
      </c>
      <c r="B2064" t="str">
        <f>"1578729515852967"</f>
        <v>1578729515852967</v>
      </c>
      <c r="C2064" t="s">
        <v>37</v>
      </c>
      <c r="D2064">
        <v>5.6793089999999999</v>
      </c>
      <c r="E2064">
        <v>0.48369820000000002</v>
      </c>
      <c r="F2064" t="s">
        <v>50</v>
      </c>
      <c r="G2064">
        <v>-365.81079999999997</v>
      </c>
      <c r="H2064" s="1">
        <v>1.5554139999999999E-6</v>
      </c>
      <c r="I2064">
        <v>284.065</v>
      </c>
      <c r="J2064">
        <v>-351.1062</v>
      </c>
      <c r="K2064">
        <v>1.104182</v>
      </c>
      <c r="L2064">
        <v>285.9151</v>
      </c>
      <c r="M2064">
        <v>-0.99933379999999905</v>
      </c>
      <c r="N2064">
        <v>0</v>
      </c>
      <c r="O2064">
        <v>-3.3380720000000003E-2</v>
      </c>
      <c r="P2064">
        <v>-0.99703120000000001</v>
      </c>
      <c r="Q2064">
        <v>-8.3619579999999992E-3</v>
      </c>
      <c r="R2064">
        <v>-7.6540789999999997E-2</v>
      </c>
      <c r="S2064">
        <v>-2.9788509999999899</v>
      </c>
      <c r="T2064">
        <v>-0.21857939999999901</v>
      </c>
      <c r="U2064">
        <v>-0.36849979999999999</v>
      </c>
      <c r="V2064">
        <v>-4.321316E-2</v>
      </c>
      <c r="W2064">
        <v>6.3746180000000003E-3</v>
      </c>
      <c r="X2064">
        <v>0.99904559999999998</v>
      </c>
      <c r="Y2064">
        <v>-8.9421029999999999E-2</v>
      </c>
      <c r="Z2064">
        <v>-8.2841659999999999E-4</v>
      </c>
      <c r="AA2064">
        <v>0.99599359999999904</v>
      </c>
      <c r="AB2064">
        <v>36</v>
      </c>
      <c r="AC2064">
        <v>-14.7045999999999</v>
      </c>
      <c r="AD2064">
        <v>-1.104180444586</v>
      </c>
      <c r="AE2064">
        <v>-1.8500999999999901</v>
      </c>
      <c r="AF2064">
        <v>-1.3506679254148899</v>
      </c>
      <c r="AG2064">
        <v>-1.104180444586</v>
      </c>
      <c r="AH2064">
        <v>14.676700988263301</v>
      </c>
      <c r="AI2064">
        <v>94.284423528960005</v>
      </c>
      <c r="AJ2064">
        <v>95.258007639229803</v>
      </c>
      <c r="AK2064">
        <v>14.780022672439999</v>
      </c>
    </row>
    <row r="2065" spans="1:37" x14ac:dyDescent="0.2">
      <c r="A2065" t="str">
        <f>"20200111155835884"</f>
        <v>20200111155835884</v>
      </c>
      <c r="B2065" t="str">
        <f>"1578729515873463"</f>
        <v>1578729515873463</v>
      </c>
      <c r="C2065" t="s">
        <v>37</v>
      </c>
      <c r="D2065">
        <v>5.67286</v>
      </c>
      <c r="E2065">
        <v>0.48370340000000001</v>
      </c>
      <c r="F2065" t="s">
        <v>50</v>
      </c>
      <c r="G2065">
        <v>-365.87650000000002</v>
      </c>
      <c r="H2065" s="1">
        <v>1.590383E-6</v>
      </c>
      <c r="I2065">
        <v>284.10140000000001</v>
      </c>
      <c r="J2065">
        <v>-351.4633</v>
      </c>
      <c r="K2065">
        <v>1.1041110000000001</v>
      </c>
      <c r="L2065">
        <v>285.90339999999998</v>
      </c>
      <c r="M2065">
        <v>-0.99934020000000001</v>
      </c>
      <c r="N2065">
        <v>0</v>
      </c>
      <c r="O2065">
        <v>-3.318952E-2</v>
      </c>
      <c r="P2065">
        <v>-0.99705270000000001</v>
      </c>
      <c r="Q2065">
        <v>-8.4123059999999996E-3</v>
      </c>
      <c r="R2065">
        <v>-7.625999E-2</v>
      </c>
      <c r="S2065">
        <v>-2.9790040000000002</v>
      </c>
      <c r="T2065">
        <v>-0.22270109999999901</v>
      </c>
      <c r="U2065">
        <v>-0.36581419999999998</v>
      </c>
      <c r="V2065">
        <v>-4.3121699999999999E-2</v>
      </c>
      <c r="W2065">
        <v>6.3350419999999999E-3</v>
      </c>
      <c r="X2065">
        <v>0.99904969999999904</v>
      </c>
      <c r="Y2065">
        <v>-8.8716660000000003E-2</v>
      </c>
      <c r="Z2065">
        <v>-8.3199749999999996E-4</v>
      </c>
      <c r="AA2065">
        <v>0.99605659999999896</v>
      </c>
      <c r="AB2065">
        <v>36</v>
      </c>
      <c r="AC2065">
        <v>-14.4132</v>
      </c>
      <c r="AD2065">
        <v>-1.1041094096170001</v>
      </c>
      <c r="AE2065">
        <v>-1.8019999999999601</v>
      </c>
      <c r="AF2065">
        <v>-1.3149899348312499</v>
      </c>
      <c r="AG2065">
        <v>-1.1041094096170001</v>
      </c>
      <c r="AH2065">
        <v>14.381974605984</v>
      </c>
      <c r="AI2065">
        <v>94.371841667123903</v>
      </c>
      <c r="AJ2065">
        <v>95.224210493721699</v>
      </c>
      <c r="AK2065">
        <v>14.4841102482783</v>
      </c>
    </row>
    <row r="2066" spans="1:37" x14ac:dyDescent="0.2">
      <c r="A2066" t="str">
        <f>"20200111155835907"</f>
        <v>20200111155835907</v>
      </c>
      <c r="B2066" t="str">
        <f>"1578729515903718"</f>
        <v>1578729515903718</v>
      </c>
      <c r="C2066" t="s">
        <v>37</v>
      </c>
      <c r="D2066">
        <v>5.6603009999999996</v>
      </c>
      <c r="E2066">
        <v>0.48366789999999998</v>
      </c>
      <c r="F2066" t="s">
        <v>50</v>
      </c>
      <c r="G2066">
        <v>-366.1979</v>
      </c>
      <c r="H2066" s="1">
        <v>1.7614119999999899E-6</v>
      </c>
      <c r="I2066">
        <v>284.09930000000003</v>
      </c>
      <c r="J2066">
        <v>-351.83629999999999</v>
      </c>
      <c r="K2066">
        <v>1.104028</v>
      </c>
      <c r="L2066">
        <v>285.89120000000003</v>
      </c>
      <c r="M2066">
        <v>-0.99934899999999904</v>
      </c>
      <c r="N2066">
        <v>0</v>
      </c>
      <c r="O2066">
        <v>-3.2922260000000002E-2</v>
      </c>
      <c r="P2066">
        <v>-0.99704429999999999</v>
      </c>
      <c r="Q2066">
        <v>-8.6747219999999993E-3</v>
      </c>
      <c r="R2066">
        <v>-7.6339160000000003E-2</v>
      </c>
      <c r="S2066">
        <v>-2.979095</v>
      </c>
      <c r="T2066">
        <v>-0.223232499999999</v>
      </c>
      <c r="U2066">
        <v>-0.36474609999999902</v>
      </c>
      <c r="V2066">
        <v>-4.3467150000000003E-2</v>
      </c>
      <c r="W2066">
        <v>6.0827989999999998E-3</v>
      </c>
      <c r="X2066">
        <v>0.99903629999999999</v>
      </c>
      <c r="Y2066">
        <v>-8.8626330000000003E-2</v>
      </c>
      <c r="Z2066">
        <v>-8.5049769999999999E-4</v>
      </c>
      <c r="AA2066">
        <v>0.99606459999999997</v>
      </c>
      <c r="AB2066">
        <v>36</v>
      </c>
      <c r="AC2066">
        <v>-14.361599999999999</v>
      </c>
      <c r="AD2066">
        <v>-1.104026238588</v>
      </c>
      <c r="AE2066">
        <v>-1.7918999999999901</v>
      </c>
      <c r="AF2066">
        <v>-1.3104352716977901</v>
      </c>
      <c r="AG2066">
        <v>-1.104026238588</v>
      </c>
      <c r="AH2066">
        <v>14.3294307454482</v>
      </c>
      <c r="AI2066">
        <v>94.387473919743897</v>
      </c>
      <c r="AJ2066">
        <v>95.2252001963178</v>
      </c>
      <c r="AK2066">
        <v>14.431517592595601</v>
      </c>
    </row>
    <row r="2067" spans="1:37" x14ac:dyDescent="0.2">
      <c r="A2067" t="str">
        <f>"20200111155835929"</f>
        <v>20200111155835929</v>
      </c>
      <c r="B2067" t="str">
        <f>"1578729515923239"</f>
        <v>1578729515923239</v>
      </c>
      <c r="C2067" t="s">
        <v>37</v>
      </c>
      <c r="D2067">
        <v>5.8363230000000001</v>
      </c>
      <c r="E2067">
        <v>0.48373469999999902</v>
      </c>
      <c r="F2067" t="s">
        <v>50</v>
      </c>
      <c r="G2067">
        <v>-366.50400000000002</v>
      </c>
      <c r="H2067" s="1">
        <v>1.924325E-6</v>
      </c>
      <c r="I2067">
        <v>284.09179999999998</v>
      </c>
      <c r="J2067">
        <v>-352.19959999999998</v>
      </c>
      <c r="K2067">
        <v>1.1039649999999901</v>
      </c>
      <c r="L2067">
        <v>285.87950000000001</v>
      </c>
      <c r="M2067">
        <v>-0.99935940000000001</v>
      </c>
      <c r="N2067">
        <v>0</v>
      </c>
      <c r="O2067">
        <v>-3.260764E-2</v>
      </c>
      <c r="P2067">
        <v>-0.99701119999999899</v>
      </c>
      <c r="Q2067">
        <v>-8.6463900000000003E-3</v>
      </c>
      <c r="R2067">
        <v>-7.677341E-2</v>
      </c>
      <c r="S2067">
        <v>-2.9790040000000002</v>
      </c>
      <c r="T2067">
        <v>-0.2242265</v>
      </c>
      <c r="U2067">
        <v>-0.365448</v>
      </c>
      <c r="V2067">
        <v>-4.4215520000000001E-2</v>
      </c>
      <c r="W2067">
        <v>6.1195149999999999E-3</v>
      </c>
      <c r="X2067">
        <v>0.99900330000000004</v>
      </c>
      <c r="Y2067">
        <v>-8.9171009999999995E-2</v>
      </c>
      <c r="Z2067">
        <v>-8.9821360000000002E-4</v>
      </c>
      <c r="AA2067">
        <v>0.99601589999999995</v>
      </c>
      <c r="AB2067">
        <v>36</v>
      </c>
      <c r="AC2067">
        <v>-14.304399999999999</v>
      </c>
      <c r="AD2067">
        <v>-1.1039630756749901</v>
      </c>
      <c r="AE2067">
        <v>-1.7877000000000201</v>
      </c>
      <c r="AF2067">
        <v>-1.3125679836786699</v>
      </c>
      <c r="AG2067">
        <v>-1.1039630756749901</v>
      </c>
      <c r="AH2067">
        <v>14.271394562172</v>
      </c>
      <c r="AI2067">
        <v>94.404786902993706</v>
      </c>
      <c r="AJ2067">
        <v>95.254821265842693</v>
      </c>
      <c r="AK2067">
        <v>14.3740833423709</v>
      </c>
    </row>
    <row r="2068" spans="1:37" x14ac:dyDescent="0.2">
      <c r="A2068" t="str">
        <f>"20200111155835951"</f>
        <v>20200111155835951</v>
      </c>
      <c r="B2068" t="str">
        <f>"1578729515943735"</f>
        <v>1578729515943735</v>
      </c>
      <c r="C2068" t="s">
        <v>37</v>
      </c>
      <c r="D2068">
        <v>5.6370100000000001</v>
      </c>
      <c r="E2068">
        <v>0.48372599999999999</v>
      </c>
      <c r="F2068" t="s">
        <v>50</v>
      </c>
      <c r="G2068">
        <v>-366.85289999999998</v>
      </c>
      <c r="H2068" s="1">
        <v>2.1100079999999999E-6</v>
      </c>
      <c r="I2068">
        <v>284.07850000000002</v>
      </c>
      <c r="J2068">
        <v>-352.56099999999998</v>
      </c>
      <c r="K2068">
        <v>1.1039129999999999</v>
      </c>
      <c r="L2068">
        <v>285.86799999999999</v>
      </c>
      <c r="M2068">
        <v>-0.99937089999999995</v>
      </c>
      <c r="N2068">
        <v>0</v>
      </c>
      <c r="O2068">
        <v>-3.2255119999999998E-2</v>
      </c>
      <c r="P2068">
        <v>-0.99699450000000001</v>
      </c>
      <c r="Q2068">
        <v>-8.7812749999999998E-3</v>
      </c>
      <c r="R2068">
        <v>-7.6977539999999997E-2</v>
      </c>
      <c r="S2068">
        <v>-2.9788509999999899</v>
      </c>
      <c r="T2068">
        <v>-0.22442280000000001</v>
      </c>
      <c r="U2068">
        <v>-0.36611939999999998</v>
      </c>
      <c r="V2068">
        <v>-4.4771930000000001E-2</v>
      </c>
      <c r="W2068">
        <v>5.9902940000000002E-3</v>
      </c>
      <c r="X2068">
        <v>0.99897930000000001</v>
      </c>
      <c r="Y2068">
        <v>-8.9746759999999995E-2</v>
      </c>
      <c r="Z2068">
        <v>-9.4699839999999895E-4</v>
      </c>
      <c r="AA2068">
        <v>0.99596419999999997</v>
      </c>
      <c r="AB2068">
        <v>36</v>
      </c>
      <c r="AC2068">
        <v>-14.291899999999901</v>
      </c>
      <c r="AD2068">
        <v>-1.1039108899919901</v>
      </c>
      <c r="AE2068">
        <v>-1.7894999999999699</v>
      </c>
      <c r="AF2068">
        <v>-1.31977924264738</v>
      </c>
      <c r="AG2068">
        <v>-1.1039108899919901</v>
      </c>
      <c r="AH2068">
        <v>14.2584349619581</v>
      </c>
      <c r="AI2068">
        <v>94.408330325220504</v>
      </c>
      <c r="AJ2068">
        <v>95.288303374566894</v>
      </c>
      <c r="AK2068">
        <v>14.361873278467399</v>
      </c>
    </row>
    <row r="2069" spans="1:37" x14ac:dyDescent="0.2">
      <c r="A2069" t="str">
        <f>"20200111155835973"</f>
        <v>20200111155835973</v>
      </c>
      <c r="B2069" t="str">
        <f>"1578729515963255"</f>
        <v>1578729515963255</v>
      </c>
      <c r="C2069" t="s">
        <v>37</v>
      </c>
      <c r="D2069">
        <v>5.6581149999999996</v>
      </c>
      <c r="E2069">
        <v>0.48367759999999999</v>
      </c>
      <c r="F2069" t="s">
        <v>50</v>
      </c>
      <c r="G2069">
        <v>-367.19069999999999</v>
      </c>
      <c r="H2069" s="1">
        <v>2.289727E-6</v>
      </c>
      <c r="I2069">
        <v>284.0652</v>
      </c>
      <c r="J2069">
        <v>-352.91019999999997</v>
      </c>
      <c r="K2069">
        <v>1.1038790000000001</v>
      </c>
      <c r="L2069">
        <v>285.8571</v>
      </c>
      <c r="M2069">
        <v>-0.99938259999999901</v>
      </c>
      <c r="N2069">
        <v>0</v>
      </c>
      <c r="O2069">
        <v>-3.1886520000000002E-2</v>
      </c>
      <c r="P2069">
        <v>-0.996992199999999</v>
      </c>
      <c r="Q2069">
        <v>-9.732681E-3</v>
      </c>
      <c r="R2069">
        <v>-7.6888949999999998E-2</v>
      </c>
      <c r="S2069">
        <v>-2.978729</v>
      </c>
      <c r="T2069">
        <v>-0.22476550000000001</v>
      </c>
      <c r="U2069">
        <v>-0.36706539999999999</v>
      </c>
      <c r="V2069">
        <v>-4.5052259999999997E-2</v>
      </c>
      <c r="W2069">
        <v>5.0428340000000004E-3</v>
      </c>
      <c r="X2069">
        <v>0.99897190000000002</v>
      </c>
      <c r="Y2069">
        <v>-9.0427160000000006E-2</v>
      </c>
      <c r="Z2069">
        <v>-1.001636E-3</v>
      </c>
      <c r="AA2069">
        <v>0.99590249999999902</v>
      </c>
      <c r="AB2069">
        <v>36</v>
      </c>
      <c r="AC2069">
        <v>-14.2805</v>
      </c>
      <c r="AD2069">
        <v>-1.1038767102730001</v>
      </c>
      <c r="AE2069">
        <v>-1.7918999999999901</v>
      </c>
      <c r="AF2069">
        <v>-1.3277728348756199</v>
      </c>
      <c r="AG2069">
        <v>-1.1038767102730001</v>
      </c>
      <c r="AH2069">
        <v>14.246573439609</v>
      </c>
      <c r="AI2069">
        <v>94.411591863491907</v>
      </c>
      <c r="AJ2069">
        <v>95.324554186319105</v>
      </c>
      <c r="AK2069">
        <v>14.3508320059392</v>
      </c>
    </row>
    <row r="2070" spans="1:37" x14ac:dyDescent="0.2">
      <c r="A2070" t="str">
        <f>"20200111155835995"</f>
        <v>20200111155835995</v>
      </c>
      <c r="B2070" t="str">
        <f>"1578729515993511"</f>
        <v>1578729515993511</v>
      </c>
      <c r="C2070" t="s">
        <v>37</v>
      </c>
      <c r="D2070">
        <v>5.6802339999999996</v>
      </c>
      <c r="E2070">
        <v>0.52019599999999999</v>
      </c>
      <c r="F2070" t="s">
        <v>50</v>
      </c>
      <c r="G2070">
        <v>-367.45620000000002</v>
      </c>
      <c r="H2070" s="1">
        <v>2.4310519999999998E-6</v>
      </c>
      <c r="I2070">
        <v>284.06360000000001</v>
      </c>
      <c r="J2070">
        <v>-353.27120000000002</v>
      </c>
      <c r="K2070">
        <v>1.103855</v>
      </c>
      <c r="L2070">
        <v>285.846</v>
      </c>
      <c r="M2070">
        <v>-0.99939529999999999</v>
      </c>
      <c r="N2070">
        <v>0</v>
      </c>
      <c r="O2070">
        <v>-3.1487799999999899E-2</v>
      </c>
      <c r="P2070">
        <v>-0.99701049999999902</v>
      </c>
      <c r="Q2070">
        <v>-9.8451930000000003E-3</v>
      </c>
      <c r="R2070">
        <v>-7.6637350000000007E-2</v>
      </c>
      <c r="S2070">
        <v>-2.9785159999999999</v>
      </c>
      <c r="T2070">
        <v>-0.22603519999999999</v>
      </c>
      <c r="U2070">
        <v>-0.36724849999999998</v>
      </c>
      <c r="V2070">
        <v>-4.5198530000000001E-2</v>
      </c>
      <c r="W2070">
        <v>4.93268599999999E-3</v>
      </c>
      <c r="X2070">
        <v>0.99896589999999996</v>
      </c>
      <c r="Y2070">
        <v>-9.0889159999999997E-2</v>
      </c>
      <c r="Z2070">
        <v>-1.05485E-3</v>
      </c>
      <c r="AA2070">
        <v>0.99586049999999904</v>
      </c>
      <c r="AB2070">
        <v>36</v>
      </c>
      <c r="AC2070">
        <v>-14.185</v>
      </c>
      <c r="AD2070">
        <v>-1.1038525689480001</v>
      </c>
      <c r="AE2070">
        <v>-1.78239999999999</v>
      </c>
      <c r="AF2070">
        <v>-1.32690253311969</v>
      </c>
      <c r="AG2070">
        <v>-1.1038525689480001</v>
      </c>
      <c r="AH2070">
        <v>14.1497400618025</v>
      </c>
      <c r="AI2070">
        <v>94.441329056910405</v>
      </c>
      <c r="AJ2070">
        <v>95.357287738291504</v>
      </c>
      <c r="AK2070">
        <v>14.2546239740988</v>
      </c>
    </row>
    <row r="2071" spans="1:37" x14ac:dyDescent="0.2">
      <c r="A2071" t="str">
        <f>"20200111155836018"</f>
        <v>20200111155836018</v>
      </c>
      <c r="B2071" t="str">
        <f>"1578729516013031"</f>
        <v>1578729516013031</v>
      </c>
      <c r="C2071" t="s">
        <v>37</v>
      </c>
      <c r="D2071">
        <v>5.8332420000000003</v>
      </c>
      <c r="E2071">
        <v>0.52217860000000005</v>
      </c>
      <c r="F2071" t="s">
        <v>50</v>
      </c>
      <c r="G2071">
        <v>-369.7758</v>
      </c>
      <c r="H2071" s="1">
        <v>3.665375E-6</v>
      </c>
      <c r="I2071">
        <v>285.43299999999999</v>
      </c>
      <c r="J2071">
        <v>-353.6463</v>
      </c>
      <c r="K2071">
        <v>1.1038379999999901</v>
      </c>
      <c r="L2071">
        <v>285.83460000000002</v>
      </c>
      <c r="M2071">
        <v>-0.99940849999999903</v>
      </c>
      <c r="N2071">
        <v>0</v>
      </c>
      <c r="O2071">
        <v>-3.106391E-2</v>
      </c>
      <c r="P2071">
        <v>-0.99701329999999999</v>
      </c>
      <c r="Q2071">
        <v>-9.9320899999999993E-3</v>
      </c>
      <c r="R2071">
        <v>-7.6590870000000005E-2</v>
      </c>
      <c r="S2071">
        <v>-3.0012509999999999</v>
      </c>
      <c r="T2071">
        <v>-0.2007293</v>
      </c>
      <c r="U2071">
        <v>-7.5103760000000006E-2</v>
      </c>
      <c r="V2071">
        <v>-4.5575329999999997E-2</v>
      </c>
      <c r="W2071">
        <v>4.8468560000000001E-3</v>
      </c>
      <c r="X2071">
        <v>0.99894919999999998</v>
      </c>
      <c r="Y2071">
        <v>5.97066099999999E-3</v>
      </c>
      <c r="Z2071">
        <v>2.274154E-3</v>
      </c>
      <c r="AA2071">
        <v>0.99997959999999997</v>
      </c>
      <c r="AB2071">
        <v>36</v>
      </c>
      <c r="AC2071">
        <v>-16.1295</v>
      </c>
      <c r="AD2071">
        <v>-1.1038343346249999</v>
      </c>
      <c r="AE2071">
        <v>-0.40160000000002999</v>
      </c>
      <c r="AF2071">
        <v>9.9229286600431593E-2</v>
      </c>
      <c r="AG2071">
        <v>-1.1038343346249999</v>
      </c>
      <c r="AH2071">
        <v>16.059025773066899</v>
      </c>
      <c r="AI2071">
        <v>93.932027121883394</v>
      </c>
      <c r="AJ2071">
        <v>89.645971863364693</v>
      </c>
      <c r="AK2071">
        <v>16.097223532946401</v>
      </c>
    </row>
    <row r="2072" spans="1:37" x14ac:dyDescent="0.2">
      <c r="A2072" t="str">
        <f>"20200111155836040"</f>
        <v>20200111155836040</v>
      </c>
      <c r="B2072" t="str">
        <f>"1578729516033527"</f>
        <v>1578729516033527</v>
      </c>
      <c r="C2072" t="s">
        <v>37</v>
      </c>
      <c r="D2072">
        <v>5.7401679999999997</v>
      </c>
      <c r="E2072">
        <v>0.52209559999999999</v>
      </c>
      <c r="F2072" t="s">
        <v>50</v>
      </c>
      <c r="G2072">
        <v>-369.55619999999999</v>
      </c>
      <c r="H2072" s="1">
        <v>3.5485410000000001E-6</v>
      </c>
      <c r="I2072">
        <v>285.52089999999998</v>
      </c>
      <c r="J2072">
        <v>-353.9982</v>
      </c>
      <c r="K2072">
        <v>1.103826</v>
      </c>
      <c r="L2072">
        <v>285.82400000000001</v>
      </c>
      <c r="M2072">
        <v>-0.99942089999999995</v>
      </c>
      <c r="N2072">
        <v>0</v>
      </c>
      <c r="O2072">
        <v>-3.0664199999999999E-2</v>
      </c>
      <c r="P2072">
        <v>-0.9970059</v>
      </c>
      <c r="Q2072">
        <v>-9.5378979999999995E-3</v>
      </c>
      <c r="R2072">
        <v>-7.6736310000000002E-2</v>
      </c>
      <c r="S2072">
        <v>-3.00238</v>
      </c>
      <c r="T2072">
        <v>-0.20830599999999999</v>
      </c>
      <c r="U2072">
        <v>-5.9204099999999898E-2</v>
      </c>
      <c r="V2072">
        <v>-4.612016E-2</v>
      </c>
      <c r="W2072">
        <v>5.2416720000000002E-3</v>
      </c>
      <c r="X2072">
        <v>0.99892219999999998</v>
      </c>
      <c r="Y2072">
        <v>1.085588E-2</v>
      </c>
      <c r="Z2072">
        <v>2.5006550000000001E-3</v>
      </c>
      <c r="AA2072">
        <v>0.99993799999999899</v>
      </c>
      <c r="AB2072">
        <v>36</v>
      </c>
      <c r="AC2072">
        <v>-15.5579999999999</v>
      </c>
      <c r="AD2072">
        <v>-1.103822451459</v>
      </c>
      <c r="AE2072">
        <v>-0.30310000000002801</v>
      </c>
      <c r="AF2072">
        <v>0.173296100032515</v>
      </c>
      <c r="AG2072">
        <v>-1.103822451459</v>
      </c>
      <c r="AH2072">
        <v>15.482074284457701</v>
      </c>
      <c r="AI2072">
        <v>94.077850858181407</v>
      </c>
      <c r="AJ2072">
        <v>89.358695720601702</v>
      </c>
      <c r="AK2072">
        <v>15.522341308323799</v>
      </c>
    </row>
    <row r="2073" spans="1:37" x14ac:dyDescent="0.2">
      <c r="A2073" t="str">
        <f>"20200111155836062"</f>
        <v>20200111155836062</v>
      </c>
      <c r="B2073" t="str">
        <f>"1578729516053047"</f>
        <v>1578729516053047</v>
      </c>
      <c r="C2073" t="s">
        <v>37</v>
      </c>
      <c r="D2073">
        <v>5.8944539999999996</v>
      </c>
      <c r="E2073">
        <v>0.5223932</v>
      </c>
      <c r="F2073" t="s">
        <v>50</v>
      </c>
      <c r="G2073">
        <v>-369.37</v>
      </c>
      <c r="H2073" s="1">
        <v>3.4494619999999898E-6</v>
      </c>
      <c r="I2073">
        <v>285.51429999999999</v>
      </c>
      <c r="J2073">
        <v>-354.3526</v>
      </c>
      <c r="K2073">
        <v>1.1038190000000001</v>
      </c>
      <c r="L2073">
        <v>285.81349999999998</v>
      </c>
      <c r="M2073">
        <v>-0.99943309999999996</v>
      </c>
      <c r="N2073">
        <v>0</v>
      </c>
      <c r="O2073">
        <v>-3.026299E-2</v>
      </c>
      <c r="P2073">
        <v>-0.99702669999999904</v>
      </c>
      <c r="Q2073">
        <v>-9.1197740000000006E-3</v>
      </c>
      <c r="R2073">
        <v>-7.6514670000000007E-2</v>
      </c>
      <c r="S2073">
        <v>-3.0022579999999999</v>
      </c>
      <c r="T2073">
        <v>-0.21558730000000001</v>
      </c>
      <c r="U2073">
        <v>-6.0485839999999999E-2</v>
      </c>
      <c r="V2073">
        <v>-4.6298199999999998E-2</v>
      </c>
      <c r="W2073">
        <v>5.6593759999999998E-3</v>
      </c>
      <c r="X2073">
        <v>0.99891160000000001</v>
      </c>
      <c r="Y2073">
        <v>1.0023020000000001E-2</v>
      </c>
      <c r="Z2073">
        <v>2.529314E-3</v>
      </c>
      <c r="AA2073">
        <v>0.99994660000000002</v>
      </c>
      <c r="AB2073">
        <v>36</v>
      </c>
      <c r="AC2073">
        <v>-15.0174</v>
      </c>
      <c r="AD2073">
        <v>-1.1038155505380001</v>
      </c>
      <c r="AE2073">
        <v>-0.29919999999998398</v>
      </c>
      <c r="AF2073">
        <v>0.15462292389097301</v>
      </c>
      <c r="AG2073">
        <v>-1.1038155505380001</v>
      </c>
      <c r="AH2073">
        <v>14.938898766235299</v>
      </c>
      <c r="AI2073">
        <v>94.225604957513795</v>
      </c>
      <c r="AJ2073">
        <v>89.406989447431002</v>
      </c>
      <c r="AK2073">
        <v>14.980421000960799</v>
      </c>
    </row>
    <row r="2074" spans="1:37" x14ac:dyDescent="0.2">
      <c r="A2074" t="str">
        <f>"20200111155836086"</f>
        <v>20200111155836086</v>
      </c>
      <c r="B2074" t="str">
        <f>"1578729516073542"</f>
        <v>1578729516073542</v>
      </c>
      <c r="C2074" t="s">
        <v>37</v>
      </c>
      <c r="D2074">
        <v>5.8080920000000003</v>
      </c>
      <c r="E2074">
        <v>0.5215649</v>
      </c>
      <c r="F2074" t="s">
        <v>50</v>
      </c>
      <c r="G2074">
        <v>-369.49400000000003</v>
      </c>
      <c r="H2074" s="1">
        <v>3.5154379999999899E-6</v>
      </c>
      <c r="I2074">
        <v>285.52260000000001</v>
      </c>
      <c r="J2074">
        <v>-354.71769999999998</v>
      </c>
      <c r="K2074">
        <v>1.1038139999999901</v>
      </c>
      <c r="L2074">
        <v>285.80290000000002</v>
      </c>
      <c r="M2074">
        <v>-0.99944560000000005</v>
      </c>
      <c r="N2074">
        <v>0</v>
      </c>
      <c r="O2074">
        <v>-2.9850970000000001E-2</v>
      </c>
      <c r="P2074">
        <v>-0.99705789999999905</v>
      </c>
      <c r="Q2074">
        <v>-8.0400569999999998E-3</v>
      </c>
      <c r="R2074">
        <v>-7.6231140000000003E-2</v>
      </c>
      <c r="S2074">
        <v>-3.0025330000000001</v>
      </c>
      <c r="T2074">
        <v>-0.21888629999999901</v>
      </c>
      <c r="U2074">
        <v>-5.7678220000000002E-2</v>
      </c>
      <c r="V2074">
        <v>-4.6424590000000002E-2</v>
      </c>
      <c r="W2074">
        <v>6.7384369999999999E-3</v>
      </c>
      <c r="X2074">
        <v>0.99889899999999998</v>
      </c>
      <c r="Y2074">
        <v>1.0543820000000001E-2</v>
      </c>
      <c r="Z2074">
        <v>2.5566879999999901E-3</v>
      </c>
      <c r="AA2074">
        <v>0.99994119999999997</v>
      </c>
      <c r="AB2074">
        <v>36</v>
      </c>
      <c r="AC2074">
        <v>-14.776300000000001</v>
      </c>
      <c r="AD2074">
        <v>-1.10381048456199</v>
      </c>
      <c r="AE2074">
        <v>-0.28030000000001098</v>
      </c>
      <c r="AF2074">
        <v>0.16006688449491999</v>
      </c>
      <c r="AG2074">
        <v>-1.10381048456199</v>
      </c>
      <c r="AH2074">
        <v>14.6961026240589</v>
      </c>
      <c r="AI2074">
        <v>94.295113317132405</v>
      </c>
      <c r="AJ2074">
        <v>89.375970995832205</v>
      </c>
      <c r="AK2074">
        <v>14.738366643906399</v>
      </c>
    </row>
    <row r="2075" spans="1:37" x14ac:dyDescent="0.2">
      <c r="A2075" t="str">
        <f>"20200111155836108"</f>
        <v>20200111155836108</v>
      </c>
      <c r="B2075" t="str">
        <f>"1578729516102823"</f>
        <v>1578729516102823</v>
      </c>
      <c r="C2075" t="s">
        <v>37</v>
      </c>
      <c r="D2075">
        <v>5.7631370000000004</v>
      </c>
      <c r="E2075">
        <v>0.52123699999999995</v>
      </c>
      <c r="F2075" t="s">
        <v>38</v>
      </c>
      <c r="G2075">
        <v>-355.75380000000001</v>
      </c>
      <c r="H2075">
        <v>1.030921</v>
      </c>
      <c r="I2075">
        <v>285.78129999999999</v>
      </c>
      <c r="J2075">
        <v>-355.0881</v>
      </c>
      <c r="K2075">
        <v>1.1038159999999999</v>
      </c>
      <c r="L2075">
        <v>285.7921</v>
      </c>
      <c r="M2075">
        <v>-0.99945799999999996</v>
      </c>
      <c r="N2075">
        <v>0</v>
      </c>
      <c r="O2075">
        <v>-2.9431570000000001E-2</v>
      </c>
      <c r="P2075">
        <v>-0.99716939999999998</v>
      </c>
      <c r="Q2075">
        <v>-7.618919E-3</v>
      </c>
      <c r="R2075">
        <v>-7.4800500000000006E-2</v>
      </c>
      <c r="S2075">
        <v>-3.0022579999999999</v>
      </c>
      <c r="T2075">
        <v>-0.21136750000000001</v>
      </c>
      <c r="U2075">
        <v>-6.3507079999999994E-2</v>
      </c>
      <c r="V2075">
        <v>-4.5409890000000001E-2</v>
      </c>
      <c r="W2075">
        <v>7.1575679999999996E-3</v>
      </c>
      <c r="X2075">
        <v>0.99894280000000002</v>
      </c>
      <c r="Y2075">
        <v>8.1959089999999995E-3</v>
      </c>
      <c r="Z2075">
        <v>2.3572329999999998E-3</v>
      </c>
      <c r="AA2075">
        <v>0.99996359999999995</v>
      </c>
      <c r="AB2075">
        <v>36</v>
      </c>
      <c r="AC2075">
        <v>-0.66570000000001495</v>
      </c>
      <c r="AD2075">
        <v>-7.2894999999999904E-2</v>
      </c>
      <c r="AE2075">
        <v>-1.08000000000174E-2</v>
      </c>
      <c r="AF2075">
        <v>8.6951743759780802E-3</v>
      </c>
      <c r="AG2075">
        <v>-7.2894999999999904E-2</v>
      </c>
      <c r="AH2075">
        <v>0.65784363189072204</v>
      </c>
      <c r="AI2075">
        <v>96.322545210782394</v>
      </c>
      <c r="AJ2075">
        <v>89.242726143600393</v>
      </c>
      <c r="AK2075">
        <v>0.66192713428413297</v>
      </c>
    </row>
    <row r="2076" spans="1:37" x14ac:dyDescent="0.2">
      <c r="A2076" t="str">
        <f>"20200111155836131"</f>
        <v>20200111155836131</v>
      </c>
      <c r="B2076" t="str">
        <f>"1578729516123320"</f>
        <v>1578729516123320</v>
      </c>
      <c r="C2076" t="s">
        <v>37</v>
      </c>
      <c r="D2076">
        <v>6.7753619999999897</v>
      </c>
      <c r="E2076">
        <v>0.52105939999999995</v>
      </c>
      <c r="F2076" t="s">
        <v>38</v>
      </c>
      <c r="G2076">
        <v>-356.07709999999997</v>
      </c>
      <c r="H2076">
        <v>1.034691</v>
      </c>
      <c r="I2076">
        <v>285.77179999999998</v>
      </c>
      <c r="J2076">
        <v>-355.44799999999998</v>
      </c>
      <c r="K2076">
        <v>1.103801</v>
      </c>
      <c r="L2076">
        <v>285.78199999999998</v>
      </c>
      <c r="M2076">
        <v>-0.99946999999999997</v>
      </c>
      <c r="N2076">
        <v>0</v>
      </c>
      <c r="O2076">
        <v>-2.9020890000000001E-2</v>
      </c>
      <c r="P2076">
        <v>-0.99724139999999994</v>
      </c>
      <c r="Q2076">
        <v>-7.7846429999999999E-3</v>
      </c>
      <c r="R2076">
        <v>-7.3817599999999997E-2</v>
      </c>
      <c r="S2076">
        <v>-3.0022279999999899</v>
      </c>
      <c r="T2076">
        <v>-0.2098477</v>
      </c>
      <c r="U2076">
        <v>-6.2042239999999999E-2</v>
      </c>
      <c r="V2076">
        <v>-4.4835949999999999E-2</v>
      </c>
      <c r="W2076">
        <v>6.9897249999999996E-3</v>
      </c>
      <c r="X2076">
        <v>0.99896989999999997</v>
      </c>
      <c r="Y2076">
        <v>8.2746380000000008E-3</v>
      </c>
      <c r="Z2076">
        <v>2.3144559999999999E-3</v>
      </c>
      <c r="AA2076">
        <v>0.99996309999999999</v>
      </c>
      <c r="AB2076">
        <v>36</v>
      </c>
      <c r="AC2076">
        <v>-0.62909999999993704</v>
      </c>
      <c r="AD2076">
        <v>-6.9110000000000005E-2</v>
      </c>
      <c r="AE2076">
        <v>-1.0199999999997499E-2</v>
      </c>
      <c r="AF2076">
        <v>7.9672003818688705E-3</v>
      </c>
      <c r="AG2076">
        <v>-6.9110000000000005E-2</v>
      </c>
      <c r="AH2076">
        <v>0.62163101959512801</v>
      </c>
      <c r="AI2076">
        <v>96.343306523588893</v>
      </c>
      <c r="AJ2076">
        <v>89.265702724792007</v>
      </c>
      <c r="AK2076">
        <v>0.62551162491579904</v>
      </c>
    </row>
    <row r="2077" spans="1:37" x14ac:dyDescent="0.2">
      <c r="A2077" t="str">
        <f>"20200111155836152"</f>
        <v>20200111155836152</v>
      </c>
      <c r="B2077" t="str">
        <f>"1578729516142839"</f>
        <v>1578729516142839</v>
      </c>
      <c r="C2077" t="s">
        <v>37</v>
      </c>
      <c r="D2077">
        <v>5.7483059999999897</v>
      </c>
      <c r="E2077">
        <v>0.52105400000000002</v>
      </c>
      <c r="F2077" t="s">
        <v>38</v>
      </c>
      <c r="G2077">
        <v>-356.40089999999998</v>
      </c>
      <c r="H2077">
        <v>1.0384530000000001</v>
      </c>
      <c r="I2077">
        <v>285.76319999999998</v>
      </c>
      <c r="J2077">
        <v>-355.79489999999998</v>
      </c>
      <c r="K2077">
        <v>1.1037920000000001</v>
      </c>
      <c r="L2077">
        <v>285.77229999999997</v>
      </c>
      <c r="M2077">
        <v>-0.99948169999999903</v>
      </c>
      <c r="N2077">
        <v>0</v>
      </c>
      <c r="O2077">
        <v>-2.8615809999999998E-2</v>
      </c>
      <c r="P2077">
        <v>-0.99729679999999998</v>
      </c>
      <c r="Q2077">
        <v>-8.2847359999999991E-3</v>
      </c>
      <c r="R2077">
        <v>-7.3008879999999998E-2</v>
      </c>
      <c r="S2077">
        <v>-3.0022579999999999</v>
      </c>
      <c r="T2077">
        <v>-0.2059811</v>
      </c>
      <c r="U2077">
        <v>-6.0150149999999999E-2</v>
      </c>
      <c r="V2077">
        <v>-4.4431199999999997E-2</v>
      </c>
      <c r="W2077">
        <v>6.4881030000000003E-3</v>
      </c>
      <c r="X2077">
        <v>0.99899139999999997</v>
      </c>
      <c r="Y2077">
        <v>8.5032259999999991E-3</v>
      </c>
      <c r="Z2077">
        <v>2.2519910000000001E-3</v>
      </c>
      <c r="AA2077">
        <v>0.99996130000000005</v>
      </c>
      <c r="AB2077">
        <v>36</v>
      </c>
      <c r="AC2077">
        <v>-0.60599999999999399</v>
      </c>
      <c r="AD2077">
        <v>-6.5338999999999994E-2</v>
      </c>
      <c r="AE2077">
        <v>-9.0999999999894499E-3</v>
      </c>
      <c r="AF2077">
        <v>8.1520464909187896E-3</v>
      </c>
      <c r="AG2077">
        <v>-6.5338999999999994E-2</v>
      </c>
      <c r="AH2077">
        <v>0.59904972008163704</v>
      </c>
      <c r="AI2077">
        <v>96.224134545845999</v>
      </c>
      <c r="AJ2077">
        <v>89.220350141538106</v>
      </c>
      <c r="AK2077">
        <v>0.60265762080378404</v>
      </c>
    </row>
    <row r="2078" spans="1:37" x14ac:dyDescent="0.2">
      <c r="A2078" t="str">
        <f>"20200111155836175"</f>
        <v>20200111155836175</v>
      </c>
      <c r="B2078" t="str">
        <f>"1578729516163335"</f>
        <v>1578729516163335</v>
      </c>
      <c r="C2078" t="s">
        <v>37</v>
      </c>
      <c r="D2078">
        <v>6.3949220000000002</v>
      </c>
      <c r="E2078">
        <v>0.52016430000000002</v>
      </c>
      <c r="F2078" t="s">
        <v>38</v>
      </c>
      <c r="G2078">
        <v>-356.72210000000001</v>
      </c>
      <c r="H2078">
        <v>1.039693</v>
      </c>
      <c r="I2078">
        <v>285.75439999999998</v>
      </c>
      <c r="J2078">
        <v>-356.14609999999999</v>
      </c>
      <c r="K2078">
        <v>1.1037779999999999</v>
      </c>
      <c r="L2078">
        <v>285.76260000000002</v>
      </c>
      <c r="M2078">
        <v>-0.99949409999999905</v>
      </c>
      <c r="N2078">
        <v>0</v>
      </c>
      <c r="O2078">
        <v>-2.8187630000000002E-2</v>
      </c>
      <c r="P2078">
        <v>-0.99729449999999997</v>
      </c>
      <c r="Q2078">
        <v>-8.6318190000000006E-3</v>
      </c>
      <c r="R2078">
        <v>-7.3004059999999996E-2</v>
      </c>
      <c r="S2078">
        <v>-3.0021360000000001</v>
      </c>
      <c r="T2078">
        <v>-0.20751509999999901</v>
      </c>
      <c r="U2078">
        <v>-5.7830810000000003E-2</v>
      </c>
      <c r="V2078">
        <v>-4.48543E-2</v>
      </c>
      <c r="W2078">
        <v>6.1395419999999996E-3</v>
      </c>
      <c r="X2078">
        <v>0.99897469999999999</v>
      </c>
      <c r="Y2078">
        <v>8.845159E-3</v>
      </c>
      <c r="Z2078">
        <v>2.2510910000000002E-3</v>
      </c>
      <c r="AA2078">
        <v>0.99995829999999997</v>
      </c>
      <c r="AB2078">
        <v>36</v>
      </c>
      <c r="AC2078">
        <v>-0.57600000000002105</v>
      </c>
      <c r="AD2078">
        <v>-6.40850000000001E-2</v>
      </c>
      <c r="AE2078">
        <v>-8.2000000000448294E-3</v>
      </c>
      <c r="AF2078">
        <v>7.9427958439850597E-3</v>
      </c>
      <c r="AG2078">
        <v>-6.40850000000001E-2</v>
      </c>
      <c r="AH2078">
        <v>0.56896078960395302</v>
      </c>
      <c r="AI2078">
        <v>96.425814079304004</v>
      </c>
      <c r="AJ2078">
        <v>89.200192477945805</v>
      </c>
      <c r="AK2078">
        <v>0.57261361784153597</v>
      </c>
    </row>
    <row r="2079" spans="1:37" x14ac:dyDescent="0.2">
      <c r="A2079" t="str">
        <f>"20200111155836197"</f>
        <v>20200111155836197</v>
      </c>
      <c r="B2079" t="str">
        <f>"1578729516193591"</f>
        <v>1578729516193591</v>
      </c>
      <c r="C2079" t="s">
        <v>37</v>
      </c>
      <c r="D2079">
        <v>5.822451</v>
      </c>
      <c r="E2079">
        <v>0.52016110000000004</v>
      </c>
      <c r="F2079" t="s">
        <v>50</v>
      </c>
      <c r="G2079">
        <v>-373.0367</v>
      </c>
      <c r="H2079" s="1">
        <v>7.9187559999999999E-8</v>
      </c>
      <c r="I2079">
        <v>285.40030000000002</v>
      </c>
      <c r="J2079">
        <v>-356.51780000000002</v>
      </c>
      <c r="K2079">
        <v>1.1037629999999901</v>
      </c>
      <c r="L2079">
        <v>285.7527</v>
      </c>
      <c r="M2079">
        <v>-0.999507699999999</v>
      </c>
      <c r="N2079">
        <v>0</v>
      </c>
      <c r="O2079">
        <v>-2.7701480000000001E-2</v>
      </c>
      <c r="P2079">
        <v>-0.99729109999999999</v>
      </c>
      <c r="Q2079">
        <v>-8.3344999999999999E-3</v>
      </c>
      <c r="R2079">
        <v>-7.3083590000000004E-2</v>
      </c>
      <c r="S2079">
        <v>-3.0017399999999999</v>
      </c>
      <c r="T2079">
        <v>-0.19615920000000001</v>
      </c>
      <c r="U2079">
        <v>-6.4392089999999999E-2</v>
      </c>
      <c r="V2079">
        <v>-4.541916E-2</v>
      </c>
      <c r="W2079">
        <v>6.4361289999999996E-3</v>
      </c>
      <c r="X2079">
        <v>0.99894729999999998</v>
      </c>
      <c r="Y2079">
        <v>6.1874579999999998E-3</v>
      </c>
      <c r="Z2079">
        <v>2.009935E-3</v>
      </c>
      <c r="AA2079">
        <v>0.99997879999999995</v>
      </c>
      <c r="AB2079">
        <v>36</v>
      </c>
      <c r="AC2079">
        <v>-16.518899999999899</v>
      </c>
      <c r="AD2079">
        <v>-1.10376292081243</v>
      </c>
      <c r="AE2079">
        <v>-0.352399999999988</v>
      </c>
      <c r="AF2079">
        <v>0.104914701967724</v>
      </c>
      <c r="AG2079">
        <v>-1.10376292081243</v>
      </c>
      <c r="AH2079">
        <v>16.448916821265598</v>
      </c>
      <c r="AI2079">
        <v>93.838855376258707</v>
      </c>
      <c r="AJ2079">
        <v>89.634560245865899</v>
      </c>
      <c r="AK2079">
        <v>16.486241666097399</v>
      </c>
    </row>
    <row r="2080" spans="1:37" x14ac:dyDescent="0.2">
      <c r="A2080" t="str">
        <f>"20200111155836219"</f>
        <v>20200111155836219</v>
      </c>
      <c r="B2080" t="str">
        <f>"1578729516213111"</f>
        <v>1578729516213111</v>
      </c>
      <c r="C2080" t="s">
        <v>37</v>
      </c>
      <c r="D2080">
        <v>5.8047570000000004</v>
      </c>
      <c r="E2080">
        <v>0.52024409999999999</v>
      </c>
      <c r="F2080" t="s">
        <v>50</v>
      </c>
      <c r="G2080">
        <v>-373.10419999999999</v>
      </c>
      <c r="H2080" s="1">
        <v>1.151065E-7</v>
      </c>
      <c r="I2080">
        <v>285.39670000000001</v>
      </c>
      <c r="J2080">
        <v>-356.8734</v>
      </c>
      <c r="K2080">
        <v>1.103734</v>
      </c>
      <c r="L2080">
        <v>285.74329999999998</v>
      </c>
      <c r="M2080">
        <v>-0.99952169999999896</v>
      </c>
      <c r="N2080">
        <v>0</v>
      </c>
      <c r="O2080">
        <v>-2.7189890000000001E-2</v>
      </c>
      <c r="P2080">
        <v>-0.99731000000000003</v>
      </c>
      <c r="Q2080">
        <v>-7.9808169999999994E-3</v>
      </c>
      <c r="R2080">
        <v>-7.2866219999999995E-2</v>
      </c>
      <c r="S2080">
        <v>-3.00177</v>
      </c>
      <c r="T2080">
        <v>-0.19975689999999999</v>
      </c>
      <c r="U2080">
        <v>-6.4422610000000005E-2</v>
      </c>
      <c r="V2080">
        <v>-4.5711519999999999E-2</v>
      </c>
      <c r="W2080">
        <v>6.7908880000000001E-3</v>
      </c>
      <c r="X2080">
        <v>0.99893159999999903</v>
      </c>
      <c r="Y2080">
        <v>5.6653010000000002E-3</v>
      </c>
      <c r="Z2080">
        <v>1.9953530000000001E-3</v>
      </c>
      <c r="AA2080">
        <v>0.99998189999999998</v>
      </c>
      <c r="AB2080">
        <v>36</v>
      </c>
      <c r="AC2080">
        <v>-16.230799999999899</v>
      </c>
      <c r="AD2080">
        <v>-1.1037338848935001</v>
      </c>
      <c r="AE2080">
        <v>-0.34659999999996599</v>
      </c>
      <c r="AF2080">
        <v>9.4453161754263298E-2</v>
      </c>
      <c r="AG2080">
        <v>-1.1037338848935001</v>
      </c>
      <c r="AH2080">
        <v>16.159530039051599</v>
      </c>
      <c r="AI2080">
        <v>93.907301186128805</v>
      </c>
      <c r="AJ2080">
        <v>89.665107469821606</v>
      </c>
      <c r="AK2080">
        <v>16.197455385690599</v>
      </c>
    </row>
    <row r="2081" spans="1:37" x14ac:dyDescent="0.2">
      <c r="A2081" t="str">
        <f>"20200111155836241"</f>
        <v>20200111155836241</v>
      </c>
      <c r="B2081" t="str">
        <f>"1578729516233607"</f>
        <v>1578729516233607</v>
      </c>
      <c r="C2081" t="s">
        <v>37</v>
      </c>
      <c r="D2081">
        <v>8.2501130000000007</v>
      </c>
      <c r="E2081">
        <v>0.52006140000000001</v>
      </c>
      <c r="F2081" t="s">
        <v>50</v>
      </c>
      <c r="G2081">
        <v>-373.1925</v>
      </c>
      <c r="H2081" s="1">
        <v>1.6212279999999999E-7</v>
      </c>
      <c r="I2081">
        <v>285.399</v>
      </c>
      <c r="J2081">
        <v>-357.2165</v>
      </c>
      <c r="K2081">
        <v>1.1036950000000001</v>
      </c>
      <c r="L2081">
        <v>285.73450000000003</v>
      </c>
      <c r="M2081">
        <v>-0.9995366</v>
      </c>
      <c r="N2081">
        <v>0</v>
      </c>
      <c r="O2081">
        <v>-2.6639030000000001E-2</v>
      </c>
      <c r="P2081">
        <v>-0.99734750000000005</v>
      </c>
      <c r="Q2081">
        <v>-7.4808380000000001E-3</v>
      </c>
      <c r="R2081">
        <v>-7.240423E-2</v>
      </c>
      <c r="S2081">
        <v>-3.0018310000000001</v>
      </c>
      <c r="T2081">
        <v>-0.20302609999999999</v>
      </c>
      <c r="U2081">
        <v>-6.3323969999999993E-2</v>
      </c>
      <c r="V2081">
        <v>-4.579805E-2</v>
      </c>
      <c r="W2081">
        <v>7.29298599999999E-3</v>
      </c>
      <c r="X2081">
        <v>0.99892409999999998</v>
      </c>
      <c r="Y2081">
        <v>5.4797250000000004E-3</v>
      </c>
      <c r="Z2081">
        <v>1.984436E-3</v>
      </c>
      <c r="AA2081">
        <v>0.99998299999999996</v>
      </c>
      <c r="AB2081">
        <v>36</v>
      </c>
      <c r="AC2081">
        <v>-15.9759999999999</v>
      </c>
      <c r="AD2081">
        <v>-1.1036948378772</v>
      </c>
      <c r="AE2081">
        <v>-0.335500000000024</v>
      </c>
      <c r="AF2081">
        <v>8.9821902472572004E-2</v>
      </c>
      <c r="AG2081">
        <v>-1.1036948378772</v>
      </c>
      <c r="AH2081">
        <v>15.903399232775801</v>
      </c>
      <c r="AI2081">
        <v>93.969894727023899</v>
      </c>
      <c r="AJ2081">
        <v>89.676398666571302</v>
      </c>
      <c r="AK2081">
        <v>15.9419044479126</v>
      </c>
    </row>
    <row r="2082" spans="1:37" x14ac:dyDescent="0.2">
      <c r="A2082" t="str">
        <f>"20200111155836264"</f>
        <v>20200111155836264</v>
      </c>
      <c r="B2082" t="str">
        <f>"1578729516253128"</f>
        <v>1578729516253128</v>
      </c>
      <c r="C2082" t="s">
        <v>37</v>
      </c>
      <c r="D2082">
        <v>5.9561349999999997</v>
      </c>
      <c r="E2082">
        <v>0.51967759999999996</v>
      </c>
      <c r="F2082" t="s">
        <v>50</v>
      </c>
      <c r="G2082">
        <v>-373.87599999999998</v>
      </c>
      <c r="H2082" s="1">
        <v>5.25838E-7</v>
      </c>
      <c r="I2082">
        <v>285.38319999999999</v>
      </c>
      <c r="J2082">
        <v>-357.5736</v>
      </c>
      <c r="K2082">
        <v>1.103639</v>
      </c>
      <c r="L2082">
        <v>285.72559999999999</v>
      </c>
      <c r="M2082">
        <v>-0.99955369999999999</v>
      </c>
      <c r="N2082">
        <v>0</v>
      </c>
      <c r="O2082">
        <v>-2.5994739999999999E-2</v>
      </c>
      <c r="P2082">
        <v>-0.997417</v>
      </c>
      <c r="Q2082">
        <v>-7.0078299999999996E-3</v>
      </c>
      <c r="R2082">
        <v>-7.1490280000000003E-2</v>
      </c>
      <c r="S2082">
        <v>-3.001862</v>
      </c>
      <c r="T2082">
        <v>-0.1988731</v>
      </c>
      <c r="U2082">
        <v>-6.3293459999999996E-2</v>
      </c>
      <c r="V2082">
        <v>-4.5524469999999997E-2</v>
      </c>
      <c r="W2082">
        <v>7.7688549999999999E-3</v>
      </c>
      <c r="X2082">
        <v>0.99893299999999996</v>
      </c>
      <c r="Y2082">
        <v>4.8512800000000003E-3</v>
      </c>
      <c r="Z2082">
        <v>1.880502E-3</v>
      </c>
      <c r="AA2082">
        <v>0.9999865</v>
      </c>
      <c r="AB2082">
        <v>36</v>
      </c>
      <c r="AC2082">
        <v>-16.302399999999899</v>
      </c>
      <c r="AD2082">
        <v>-1.103638474162</v>
      </c>
      <c r="AE2082">
        <v>-0.34239999999999698</v>
      </c>
      <c r="AF2082">
        <v>8.1166474057963595E-2</v>
      </c>
      <c r="AG2082">
        <v>-1.103638474162</v>
      </c>
      <c r="AH2082">
        <v>16.2314354655181</v>
      </c>
      <c r="AI2082">
        <v>93.889727583393594</v>
      </c>
      <c r="AJ2082">
        <v>89.713490673765406</v>
      </c>
      <c r="AK2082">
        <v>16.2691150081817</v>
      </c>
    </row>
    <row r="2083" spans="1:37" x14ac:dyDescent="0.2">
      <c r="A2083" t="str">
        <f>"20200111155836287"</f>
        <v>20200111155836287</v>
      </c>
      <c r="B2083" t="str">
        <f>"1578729516283385"</f>
        <v>1578729516283385</v>
      </c>
      <c r="C2083" t="s">
        <v>37</v>
      </c>
      <c r="D2083">
        <v>6.0328939999999998</v>
      </c>
      <c r="E2083">
        <v>0.51891030000000005</v>
      </c>
      <c r="F2083" t="s">
        <v>50</v>
      </c>
      <c r="G2083">
        <v>-374.68790000000001</v>
      </c>
      <c r="H2083" s="1">
        <v>9.5785919999999999E-7</v>
      </c>
      <c r="I2083">
        <v>285.36439999999999</v>
      </c>
      <c r="J2083">
        <v>-357.93639999999999</v>
      </c>
      <c r="K2083">
        <v>1.1035699999999999</v>
      </c>
      <c r="L2083">
        <v>285.71690000000001</v>
      </c>
      <c r="M2083">
        <v>-0.99957280000000004</v>
      </c>
      <c r="N2083">
        <v>0</v>
      </c>
      <c r="O2083">
        <v>-2.5250169999999999E-2</v>
      </c>
      <c r="P2083">
        <v>-0.99754900000000002</v>
      </c>
      <c r="Q2083">
        <v>-6.5489390000000001E-3</v>
      </c>
      <c r="R2083">
        <v>-6.9665599999999994E-2</v>
      </c>
      <c r="S2083">
        <v>-3.001862</v>
      </c>
      <c r="T2083">
        <v>-0.19357969999999999</v>
      </c>
      <c r="U2083">
        <v>-6.3354489999999999E-2</v>
      </c>
      <c r="V2083">
        <v>-4.4439680000000002E-2</v>
      </c>
      <c r="W2083">
        <v>8.2318489999999994E-3</v>
      </c>
      <c r="X2083">
        <v>0.99897809999999898</v>
      </c>
      <c r="Y2083">
        <v>4.092732E-3</v>
      </c>
      <c r="Z2083">
        <v>1.7581770000000001E-3</v>
      </c>
      <c r="AA2083">
        <v>0.99999009999999999</v>
      </c>
      <c r="AB2083">
        <v>36</v>
      </c>
      <c r="AC2083">
        <v>-16.7515</v>
      </c>
      <c r="AD2083">
        <v>-1.1035690421408</v>
      </c>
      <c r="AE2083">
        <v>-0.35250000000002002</v>
      </c>
      <c r="AF2083">
        <v>7.0331358418463205E-2</v>
      </c>
      <c r="AG2083">
        <v>-1.1035690421408</v>
      </c>
      <c r="AH2083">
        <v>16.6826883686245</v>
      </c>
      <c r="AI2083">
        <v>93.784599940014004</v>
      </c>
      <c r="AJ2083">
        <v>89.758452232487798</v>
      </c>
      <c r="AK2083">
        <v>16.719297303875699</v>
      </c>
    </row>
    <row r="2084" spans="1:37" x14ac:dyDescent="0.2">
      <c r="A2084" t="str">
        <f>"20200111155836299"</f>
        <v>20200111155836299</v>
      </c>
      <c r="B2084" t="str">
        <f>"1578729516293144"</f>
        <v>1578729516293144</v>
      </c>
      <c r="C2084" t="s">
        <v>37</v>
      </c>
      <c r="D2084">
        <v>6.06426</v>
      </c>
      <c r="E2084">
        <v>0.51863179999999998</v>
      </c>
      <c r="F2084" t="s">
        <v>38</v>
      </c>
      <c r="G2084">
        <v>-358.95760000000001</v>
      </c>
      <c r="H2084">
        <v>1.0411349999999999</v>
      </c>
      <c r="I2084">
        <v>285.69540000000001</v>
      </c>
      <c r="J2084">
        <v>-358.1601</v>
      </c>
      <c r="K2084">
        <v>1.1035280000000001</v>
      </c>
      <c r="L2084">
        <v>285.71170000000001</v>
      </c>
      <c r="M2084">
        <v>-0.99958539999999996</v>
      </c>
      <c r="N2084">
        <v>0</v>
      </c>
      <c r="O2084">
        <v>-2.4743919999999999E-2</v>
      </c>
      <c r="P2084">
        <v>-0.99764319999999895</v>
      </c>
      <c r="Q2084">
        <v>-6.4301949999999997E-3</v>
      </c>
      <c r="R2084">
        <v>-6.8313609999999997E-2</v>
      </c>
      <c r="S2084">
        <v>-3.001709</v>
      </c>
      <c r="T2084">
        <v>-0.1836025</v>
      </c>
      <c r="U2084">
        <v>-6.3903810000000005E-2</v>
      </c>
      <c r="V2084">
        <v>-4.3590289999999997E-2</v>
      </c>
      <c r="W2084">
        <v>8.3524849999999998E-3</v>
      </c>
      <c r="X2084">
        <v>0.99901459999999997</v>
      </c>
      <c r="Y2084">
        <v>3.410607E-3</v>
      </c>
      <c r="Z2084">
        <v>1.6160479999999999E-3</v>
      </c>
      <c r="AA2084">
        <v>0.99999289999999996</v>
      </c>
      <c r="AB2084">
        <v>36</v>
      </c>
      <c r="AC2084">
        <v>-0.79750000000001298</v>
      </c>
      <c r="AD2084">
        <v>-6.23929999999999E-2</v>
      </c>
      <c r="AE2084">
        <v>-1.6300000000001001E-2</v>
      </c>
      <c r="AF2084">
        <v>3.4194857300745602E-3</v>
      </c>
      <c r="AG2084">
        <v>-6.23929999999999E-2</v>
      </c>
      <c r="AH2084">
        <v>0.79280851975460798</v>
      </c>
      <c r="AI2084">
        <v>94.499787109757804</v>
      </c>
      <c r="AJ2084">
        <v>89.752877421657601</v>
      </c>
      <c r="AK2084">
        <v>0.79526720561528896</v>
      </c>
    </row>
    <row r="2085" spans="1:37" x14ac:dyDescent="0.2">
      <c r="A2085" t="str">
        <f>"20200111155836321"</f>
        <v>20200111155836321</v>
      </c>
      <c r="B2085" t="str">
        <f>"1578729516313638"</f>
        <v>1578729516313638</v>
      </c>
      <c r="C2085" t="s">
        <v>37</v>
      </c>
      <c r="D2085">
        <v>5.907375</v>
      </c>
      <c r="E2085">
        <v>0.51851199999999997</v>
      </c>
      <c r="F2085" t="s">
        <v>50</v>
      </c>
      <c r="G2085">
        <v>-376.60300000000001</v>
      </c>
      <c r="H2085" s="1">
        <v>1.9769960000000002E-6</v>
      </c>
      <c r="I2085">
        <v>285.33170000000001</v>
      </c>
      <c r="J2085">
        <v>-358.48070000000001</v>
      </c>
      <c r="K2085">
        <v>1.1034679999999999</v>
      </c>
      <c r="L2085">
        <v>285.70460000000003</v>
      </c>
      <c r="M2085">
        <v>-0.99960450000000001</v>
      </c>
      <c r="N2085">
        <v>0</v>
      </c>
      <c r="O2085">
        <v>-2.3972199999999999E-2</v>
      </c>
      <c r="P2085">
        <v>-0.99779490000000004</v>
      </c>
      <c r="Q2085">
        <v>-6.6646800000000001E-3</v>
      </c>
      <c r="R2085">
        <v>-6.6039790000000001E-2</v>
      </c>
      <c r="S2085">
        <v>-3.00177</v>
      </c>
      <c r="T2085">
        <v>-0.1796104</v>
      </c>
      <c r="U2085">
        <v>-6.1859129999999998E-2</v>
      </c>
      <c r="V2085">
        <v>-4.2084530000000002E-2</v>
      </c>
      <c r="W2085">
        <v>8.1202710000000001E-3</v>
      </c>
      <c r="X2085">
        <v>0.99908109999999895</v>
      </c>
      <c r="Y2085">
        <v>3.3236579999999902E-3</v>
      </c>
      <c r="Z2085">
        <v>1.5322389999999999E-3</v>
      </c>
      <c r="AA2085">
        <v>0.99999329999999997</v>
      </c>
      <c r="AB2085">
        <v>36</v>
      </c>
      <c r="AC2085">
        <v>-18.122299999999999</v>
      </c>
      <c r="AD2085">
        <v>-1.1034660230040001</v>
      </c>
      <c r="AE2085">
        <v>-0.372900000000015</v>
      </c>
      <c r="AF2085">
        <v>6.14577862495592E-2</v>
      </c>
      <c r="AG2085">
        <v>-1.1034660230040001</v>
      </c>
      <c r="AH2085">
        <v>18.059103833828502</v>
      </c>
      <c r="AI2085">
        <v>93.496578439489397</v>
      </c>
      <c r="AJ2085">
        <v>89.805014788715496</v>
      </c>
      <c r="AK2085">
        <v>18.0928893658369</v>
      </c>
    </row>
    <row r="2086" spans="1:37" x14ac:dyDescent="0.2">
      <c r="A2086" t="str">
        <f>"20200111155836341"</f>
        <v>20200111155836341</v>
      </c>
      <c r="B2086" t="str">
        <f>"1578729516333159"</f>
        <v>1578729516333159</v>
      </c>
      <c r="C2086" t="s">
        <v>37</v>
      </c>
      <c r="D2086">
        <v>5.9703140000000001</v>
      </c>
      <c r="E2086">
        <v>0.51857969999999998</v>
      </c>
      <c r="F2086" t="s">
        <v>50</v>
      </c>
      <c r="G2086">
        <v>-376.74520000000001</v>
      </c>
      <c r="H2086" s="1">
        <v>2.052676E-6</v>
      </c>
      <c r="I2086">
        <v>285.36329999999998</v>
      </c>
      <c r="J2086">
        <v>-358.81380000000001</v>
      </c>
      <c r="K2086">
        <v>1.1034079999999999</v>
      </c>
      <c r="L2086">
        <v>285.69740000000002</v>
      </c>
      <c r="M2086">
        <v>-0.99962459999999898</v>
      </c>
      <c r="N2086">
        <v>0</v>
      </c>
      <c r="O2086">
        <v>-2.3107409999999998E-2</v>
      </c>
      <c r="P2086">
        <v>-0.99790970000000001</v>
      </c>
      <c r="Q2086">
        <v>-6.548936E-3</v>
      </c>
      <c r="R2086">
        <v>-6.4291429999999997E-2</v>
      </c>
      <c r="S2086">
        <v>-3.001709</v>
      </c>
      <c r="T2086">
        <v>-0.18135119999999999</v>
      </c>
      <c r="U2086">
        <v>-5.6091309999999998E-2</v>
      </c>
      <c r="V2086">
        <v>-4.119693E-2</v>
      </c>
      <c r="W2086">
        <v>8.2375709999999904E-3</v>
      </c>
      <c r="X2086">
        <v>0.99911709999999998</v>
      </c>
      <c r="Y2086">
        <v>4.3775840000000003E-3</v>
      </c>
      <c r="Z2086">
        <v>1.5267529999999901E-3</v>
      </c>
      <c r="AA2086">
        <v>0.99998929999999997</v>
      </c>
      <c r="AB2086">
        <v>36</v>
      </c>
      <c r="AC2086">
        <v>-17.931399999999901</v>
      </c>
      <c r="AD2086">
        <v>-1.1034059473240001</v>
      </c>
      <c r="AE2086">
        <v>-0.33410000000003398</v>
      </c>
      <c r="AF2086">
        <v>8.0079225233805396E-2</v>
      </c>
      <c r="AG2086">
        <v>-1.1034059473240001</v>
      </c>
      <c r="AH2086">
        <v>17.866702629505099</v>
      </c>
      <c r="AI2086">
        <v>93.5339302098171</v>
      </c>
      <c r="AJ2086">
        <v>89.743199906301399</v>
      </c>
      <c r="AK2086">
        <v>17.900921211436799</v>
      </c>
    </row>
    <row r="2087" spans="1:37" x14ac:dyDescent="0.2">
      <c r="A2087" t="str">
        <f>"20200111155836364"</f>
        <v>20200111155836364</v>
      </c>
      <c r="B2087" t="str">
        <f>"1578729516353655"</f>
        <v>1578729516353655</v>
      </c>
      <c r="C2087" t="s">
        <v>37</v>
      </c>
      <c r="D2087">
        <v>5.9118500000000003</v>
      </c>
      <c r="E2087">
        <v>0.51873000000000002</v>
      </c>
      <c r="F2087" t="s">
        <v>50</v>
      </c>
      <c r="G2087">
        <v>-376.66489999999999</v>
      </c>
      <c r="H2087" s="1">
        <v>2.0099340000000001E-6</v>
      </c>
      <c r="I2087">
        <v>285.3981</v>
      </c>
      <c r="J2087">
        <v>-359.16829999999999</v>
      </c>
      <c r="K2087">
        <v>1.1033580000000001</v>
      </c>
      <c r="L2087">
        <v>285.6902</v>
      </c>
      <c r="M2087">
        <v>-0.99964699999999995</v>
      </c>
      <c r="N2087">
        <v>0</v>
      </c>
      <c r="O2087">
        <v>-2.2121419999999999E-2</v>
      </c>
      <c r="P2087">
        <v>-0.99798799999999899</v>
      </c>
      <c r="Q2087">
        <v>-7.0400549999999999E-3</v>
      </c>
      <c r="R2087">
        <v>-6.3011869999999998E-2</v>
      </c>
      <c r="S2087">
        <v>-3.0018310000000001</v>
      </c>
      <c r="T2087">
        <v>-0.18554779999999901</v>
      </c>
      <c r="U2087">
        <v>-5.0323489999999999E-2</v>
      </c>
      <c r="V2087">
        <v>-4.090125E-2</v>
      </c>
      <c r="W2087">
        <v>7.7488289999999996E-3</v>
      </c>
      <c r="X2087">
        <v>0.99913320000000005</v>
      </c>
      <c r="Y2087">
        <v>5.3105640000000003E-3</v>
      </c>
      <c r="Z2087">
        <v>1.529919E-3</v>
      </c>
      <c r="AA2087">
        <v>0.99998469999999995</v>
      </c>
      <c r="AB2087">
        <v>35</v>
      </c>
      <c r="AC2087">
        <v>-17.496600000000001</v>
      </c>
      <c r="AD2087">
        <v>-1.1033559900659999</v>
      </c>
      <c r="AE2087">
        <v>-0.29210000000000402</v>
      </c>
      <c r="AF2087">
        <v>9.4686604161050805E-2</v>
      </c>
      <c r="AG2087">
        <v>-1.1033559900659999</v>
      </c>
      <c r="AH2087">
        <v>17.4294871576787</v>
      </c>
      <c r="AI2087">
        <v>93.622164456184507</v>
      </c>
      <c r="AJ2087">
        <v>89.688740731345106</v>
      </c>
      <c r="AK2087">
        <v>17.464632334335299</v>
      </c>
    </row>
    <row r="2088" spans="1:37" x14ac:dyDescent="0.2">
      <c r="A2088" t="str">
        <f>"20200111155836387"</f>
        <v>20200111155836387</v>
      </c>
      <c r="B2088" t="str">
        <f>"1578729516382935"</f>
        <v>1578729516382935</v>
      </c>
      <c r="C2088" t="s">
        <v>37</v>
      </c>
      <c r="D2088">
        <v>5.9783589999999904</v>
      </c>
      <c r="E2088">
        <v>0.51876809999999995</v>
      </c>
      <c r="F2088" t="s">
        <v>50</v>
      </c>
      <c r="G2088">
        <v>-376.57199999999898</v>
      </c>
      <c r="H2088" s="1">
        <v>1.96048E-6</v>
      </c>
      <c r="I2088">
        <v>285.42779999999999</v>
      </c>
      <c r="J2088">
        <v>-359.53120000000001</v>
      </c>
      <c r="K2088">
        <v>1.1033109999999999</v>
      </c>
      <c r="L2088">
        <v>285.6832</v>
      </c>
      <c r="M2088">
        <v>-0.99967030000000001</v>
      </c>
      <c r="N2088">
        <v>0</v>
      </c>
      <c r="O2088">
        <v>-2.1046559999999999E-2</v>
      </c>
      <c r="P2088">
        <v>-0.99800739999999999</v>
      </c>
      <c r="Q2088">
        <v>-6.79467599999999E-3</v>
      </c>
      <c r="R2088">
        <v>-6.2732720000000006E-2</v>
      </c>
      <c r="S2088">
        <v>-3.0018919999999998</v>
      </c>
      <c r="T2088">
        <v>-0.19031410000000001</v>
      </c>
      <c r="U2088">
        <v>-4.5257569999999997E-2</v>
      </c>
      <c r="V2088">
        <v>-4.1693929999999997E-2</v>
      </c>
      <c r="W2088">
        <v>7.9982070000000002E-3</v>
      </c>
      <c r="X2088">
        <v>0.99909840000000005</v>
      </c>
      <c r="Y2088">
        <v>5.921033E-3</v>
      </c>
      <c r="Z2088">
        <v>1.52040799999999E-3</v>
      </c>
      <c r="AA2088">
        <v>0.99998129999999996</v>
      </c>
      <c r="AB2088">
        <v>35</v>
      </c>
      <c r="AC2088">
        <v>-17.040799999999901</v>
      </c>
      <c r="AD2088">
        <v>-1.10330903952</v>
      </c>
      <c r="AE2088">
        <v>-0.25540000000000801</v>
      </c>
      <c r="AF2088">
        <v>0.102914291206467</v>
      </c>
      <c r="AG2088">
        <v>-1.10330903952</v>
      </c>
      <c r="AH2088">
        <v>16.971273984772601</v>
      </c>
      <c r="AI2088">
        <v>93.719518236421607</v>
      </c>
      <c r="AJ2088">
        <v>89.652561011760696</v>
      </c>
      <c r="AK2088">
        <v>17.0074108215872</v>
      </c>
    </row>
    <row r="2089" spans="1:37" x14ac:dyDescent="0.2">
      <c r="A2089" t="str">
        <f>"20200111155836401"</f>
        <v>20200111155836401</v>
      </c>
      <c r="B2089" t="str">
        <f>"1578729516393672"</f>
        <v>1578729516393672</v>
      </c>
      <c r="C2089" t="s">
        <v>37</v>
      </c>
      <c r="D2089">
        <v>5.9736070000000003</v>
      </c>
      <c r="E2089">
        <v>0.51878599999999997</v>
      </c>
      <c r="F2089" t="s">
        <v>38</v>
      </c>
      <c r="G2089">
        <v>-360.53640000000001</v>
      </c>
      <c r="H2089">
        <v>1.0383169999999999</v>
      </c>
      <c r="I2089">
        <v>285.66840000000002</v>
      </c>
      <c r="J2089">
        <v>-359.76639999999998</v>
      </c>
      <c r="K2089">
        <v>1.103283</v>
      </c>
      <c r="L2089">
        <v>285.6789</v>
      </c>
      <c r="M2089">
        <v>-0.99968519999999905</v>
      </c>
      <c r="N2089">
        <v>0</v>
      </c>
      <c r="O2089">
        <v>-2.03231E-2</v>
      </c>
      <c r="P2089">
        <v>-0.99800650000000002</v>
      </c>
      <c r="Q2089">
        <v>-6.9598350000000002E-3</v>
      </c>
      <c r="R2089">
        <v>-6.2729430000000003E-2</v>
      </c>
      <c r="S2089">
        <v>-3.0018919999999998</v>
      </c>
      <c r="T2089">
        <v>-0.19409560000000001</v>
      </c>
      <c r="U2089">
        <v>-4.4189449999999998E-2</v>
      </c>
      <c r="V2089">
        <v>-4.2413340000000001E-2</v>
      </c>
      <c r="W2089">
        <v>7.8356119999999901E-3</v>
      </c>
      <c r="X2089">
        <v>0.99906949999999894</v>
      </c>
      <c r="Y2089">
        <v>5.5531779999999998E-3</v>
      </c>
      <c r="Z2089">
        <v>1.4919600000000001E-3</v>
      </c>
      <c r="AA2089">
        <v>0.99998349999999903</v>
      </c>
      <c r="AB2089">
        <v>35</v>
      </c>
      <c r="AC2089">
        <v>-0.77000000000003799</v>
      </c>
      <c r="AD2089">
        <v>-6.4965999999999996E-2</v>
      </c>
      <c r="AE2089">
        <v>-1.0499999999979E-2</v>
      </c>
      <c r="AF2089">
        <v>5.1162367791118702E-3</v>
      </c>
      <c r="AG2089">
        <v>-6.4965999999999996E-2</v>
      </c>
      <c r="AH2089">
        <v>0.76461243811973101</v>
      </c>
      <c r="AI2089">
        <v>94.856416138291394</v>
      </c>
      <c r="AJ2089">
        <v>89.616623553304194</v>
      </c>
      <c r="AK2089">
        <v>0.76738447831721202</v>
      </c>
    </row>
    <row r="2090" spans="1:37" x14ac:dyDescent="0.2">
      <c r="A2090" t="str">
        <f>"20200111155836421"</f>
        <v>20200111155836421</v>
      </c>
      <c r="B2090" t="str">
        <f>"1578729516413190"</f>
        <v>1578729516413190</v>
      </c>
      <c r="C2090" t="s">
        <v>37</v>
      </c>
      <c r="D2090">
        <v>5.8617119999999998</v>
      </c>
      <c r="E2090">
        <v>0.51902139999999997</v>
      </c>
      <c r="F2090" t="s">
        <v>50</v>
      </c>
      <c r="G2090">
        <v>-376.6798</v>
      </c>
      <c r="H2090" s="1">
        <v>2.017862E-6</v>
      </c>
      <c r="I2090">
        <v>285.43029999999999</v>
      </c>
      <c r="J2090">
        <v>-360.05610000000001</v>
      </c>
      <c r="K2090">
        <v>1.1032469999999901</v>
      </c>
      <c r="L2090">
        <v>285.6739</v>
      </c>
      <c r="M2090">
        <v>-0.99970340000000002</v>
      </c>
      <c r="N2090">
        <v>0</v>
      </c>
      <c r="O2090">
        <v>-1.9410779999999999E-2</v>
      </c>
      <c r="P2090">
        <v>-0.99799470000000001</v>
      </c>
      <c r="Q2090">
        <v>-7.3891999999999899E-3</v>
      </c>
      <c r="R2090">
        <v>-6.2863820000000001E-2</v>
      </c>
      <c r="S2090">
        <v>-3.0018919999999998</v>
      </c>
      <c r="T2090">
        <v>-0.19581760000000001</v>
      </c>
      <c r="U2090">
        <v>-4.4128420000000002E-2</v>
      </c>
      <c r="V2090">
        <v>-4.346009E-2</v>
      </c>
      <c r="W2090">
        <v>7.4093300000000004E-3</v>
      </c>
      <c r="X2090">
        <v>0.99902769999999996</v>
      </c>
      <c r="Y2090">
        <v>4.6637880000000003E-3</v>
      </c>
      <c r="Z2090">
        <v>1.416755E-3</v>
      </c>
      <c r="AA2090">
        <v>0.99998809999999905</v>
      </c>
      <c r="AB2090">
        <v>35</v>
      </c>
      <c r="AC2090">
        <v>-16.6236999999999</v>
      </c>
      <c r="AD2090">
        <v>-1.1032449821379999</v>
      </c>
      <c r="AE2090">
        <v>-0.243600000000014</v>
      </c>
      <c r="AF2090">
        <v>7.8812748402693797E-2</v>
      </c>
      <c r="AG2090">
        <v>-1.1032449821379999</v>
      </c>
      <c r="AH2090">
        <v>16.552408204983799</v>
      </c>
      <c r="AI2090">
        <v>93.813173993806799</v>
      </c>
      <c r="AJ2090">
        <v>89.727193549411197</v>
      </c>
      <c r="AK2090">
        <v>16.589321213489701</v>
      </c>
    </row>
    <row r="2091" spans="1:37" x14ac:dyDescent="0.2">
      <c r="A2091" t="str">
        <f>"20200111155836443"</f>
        <v>20200111155836443</v>
      </c>
      <c r="B2091" t="str">
        <f>"1578729516433687"</f>
        <v>1578729516433687</v>
      </c>
      <c r="C2091" t="s">
        <v>37</v>
      </c>
      <c r="D2091">
        <v>6.28674</v>
      </c>
      <c r="E2091">
        <v>0.51916799999999996</v>
      </c>
      <c r="F2091" t="s">
        <v>50</v>
      </c>
      <c r="G2091">
        <v>-376.77640000000002</v>
      </c>
      <c r="H2091" s="1">
        <v>2.0692609999999998E-6</v>
      </c>
      <c r="I2091">
        <v>285.43490000000003</v>
      </c>
      <c r="J2091">
        <v>-360.40480000000002</v>
      </c>
      <c r="K2091">
        <v>1.103205</v>
      </c>
      <c r="L2091">
        <v>285.66820000000001</v>
      </c>
      <c r="M2091">
        <v>-0.99972469999999902</v>
      </c>
      <c r="N2091">
        <v>0</v>
      </c>
      <c r="O2091">
        <v>-1.8289969999999999E-2</v>
      </c>
      <c r="P2091">
        <v>-0.99800429999999996</v>
      </c>
      <c r="Q2091">
        <v>-7.9587859999999903E-3</v>
      </c>
      <c r="R2091">
        <v>-6.2643729999999995E-2</v>
      </c>
      <c r="S2091">
        <v>-3.001862</v>
      </c>
      <c r="T2091">
        <v>-0.19807040000000001</v>
      </c>
      <c r="U2091">
        <v>-4.2907710000000002E-2</v>
      </c>
      <c r="V2091">
        <v>-4.43606E-2</v>
      </c>
      <c r="W2091">
        <v>6.8423850000000003E-3</v>
      </c>
      <c r="X2091">
        <v>0.99899210000000005</v>
      </c>
      <c r="Y2091">
        <v>3.9518729999999998E-3</v>
      </c>
      <c r="Z2091">
        <v>1.335716E-3</v>
      </c>
      <c r="AA2091">
        <v>0.99999130000000003</v>
      </c>
      <c r="AB2091">
        <v>35</v>
      </c>
      <c r="AC2091">
        <v>-16.371600000000001</v>
      </c>
      <c r="AD2091">
        <v>-1.1032029307389899</v>
      </c>
      <c r="AE2091">
        <v>-0.23329999999998499</v>
      </c>
      <c r="AF2091">
        <v>6.5908238430862798E-2</v>
      </c>
      <c r="AG2091">
        <v>-1.1032029307389899</v>
      </c>
      <c r="AH2091">
        <v>16.299132924625098</v>
      </c>
      <c r="AI2091">
        <v>93.8721137797437</v>
      </c>
      <c r="AJ2091">
        <v>89.768316306596802</v>
      </c>
      <c r="AK2091">
        <v>16.3365582267772</v>
      </c>
    </row>
    <row r="2092" spans="1:37" x14ac:dyDescent="0.2">
      <c r="A2092" t="str">
        <f>"20200111155836465"</f>
        <v>20200111155836465</v>
      </c>
      <c r="B2092" t="str">
        <f>"1578729516453207"</f>
        <v>1578729516453207</v>
      </c>
      <c r="C2092" t="s">
        <v>37</v>
      </c>
      <c r="D2092">
        <v>5.9112070000000001</v>
      </c>
      <c r="E2092">
        <v>0.51954199999999995</v>
      </c>
      <c r="F2092" t="s">
        <v>50</v>
      </c>
      <c r="G2092">
        <v>-377.12279999999998</v>
      </c>
      <c r="H2092" s="1">
        <v>2.25362E-6</v>
      </c>
      <c r="I2092">
        <v>285.44</v>
      </c>
      <c r="J2092">
        <v>-360.75599999999997</v>
      </c>
      <c r="K2092">
        <v>1.1031739999999901</v>
      </c>
      <c r="L2092">
        <v>285.66289999999998</v>
      </c>
      <c r="M2092">
        <v>-0.99974499999999999</v>
      </c>
      <c r="N2092">
        <v>0</v>
      </c>
      <c r="O2092">
        <v>-1.714017E-2</v>
      </c>
      <c r="P2092">
        <v>-0.99805630000000001</v>
      </c>
      <c r="Q2092">
        <v>-8.4088329999999992E-3</v>
      </c>
      <c r="R2092">
        <v>-6.175274E-2</v>
      </c>
      <c r="S2092">
        <v>-3.001862</v>
      </c>
      <c r="T2092">
        <v>-0.19808889999999901</v>
      </c>
      <c r="U2092">
        <v>-4.0985109999999998E-2</v>
      </c>
      <c r="V2092">
        <v>-4.4618909999999998E-2</v>
      </c>
      <c r="W2092">
        <v>6.3927369999999999E-3</v>
      </c>
      <c r="X2092">
        <v>0.99898359999999997</v>
      </c>
      <c r="Y2092">
        <v>3.4457149999999998E-3</v>
      </c>
      <c r="Z2092">
        <v>1.2433850000000001E-3</v>
      </c>
      <c r="AA2092">
        <v>0.99999329999999997</v>
      </c>
      <c r="AB2092">
        <v>35</v>
      </c>
      <c r="AC2092">
        <v>-16.366800000000001</v>
      </c>
      <c r="AD2092">
        <v>-1.1031717463799999</v>
      </c>
      <c r="AE2092">
        <v>-0.222899999999981</v>
      </c>
      <c r="AF2092">
        <v>5.7431934840287802E-2</v>
      </c>
      <c r="AG2092">
        <v>-1.1031717463799999</v>
      </c>
      <c r="AH2092">
        <v>16.294202539836299</v>
      </c>
      <c r="AI2092">
        <v>93.873180288418396</v>
      </c>
      <c r="AJ2092">
        <v>89.798051249159002</v>
      </c>
      <c r="AK2092">
        <v>16.331605026400801</v>
      </c>
    </row>
    <row r="2093" spans="1:37" x14ac:dyDescent="0.2">
      <c r="A2093" t="str">
        <f>"20200111155836479"</f>
        <v>20200111155836479</v>
      </c>
      <c r="B2093" t="str">
        <f>"1578729516473703"</f>
        <v>1578729516473703</v>
      </c>
      <c r="C2093" t="s">
        <v>37</v>
      </c>
      <c r="D2093">
        <v>5.9498569999999997</v>
      </c>
      <c r="E2093">
        <v>0.51955770000000001</v>
      </c>
      <c r="F2093" t="s">
        <v>50</v>
      </c>
      <c r="G2093">
        <v>-377.53309999999999</v>
      </c>
      <c r="H2093" s="1">
        <v>2.4719349999999999E-6</v>
      </c>
      <c r="I2093">
        <v>285.46710000000002</v>
      </c>
      <c r="J2093">
        <v>-360.97800000000001</v>
      </c>
      <c r="K2093">
        <v>1.103159</v>
      </c>
      <c r="L2093">
        <v>285.65989999999999</v>
      </c>
      <c r="M2093">
        <v>-0.99975740000000002</v>
      </c>
      <c r="N2093">
        <v>0</v>
      </c>
      <c r="O2093">
        <v>-1.6403999999999998E-2</v>
      </c>
      <c r="P2093">
        <v>-0.99810149999999997</v>
      </c>
      <c r="Q2093">
        <v>-8.6444739999999992E-3</v>
      </c>
      <c r="R2093">
        <v>-6.0983170000000003E-2</v>
      </c>
      <c r="S2093">
        <v>-3.002014</v>
      </c>
      <c r="T2093">
        <v>-0.1973963</v>
      </c>
      <c r="U2093">
        <v>-3.5034179999999998E-2</v>
      </c>
      <c r="V2093">
        <v>-4.4584199999999997E-2</v>
      </c>
      <c r="W2093">
        <v>6.1562309999999999E-3</v>
      </c>
      <c r="X2093">
        <v>0.99898670000000001</v>
      </c>
      <c r="Y2093">
        <v>4.6912489999999998E-3</v>
      </c>
      <c r="Z2093">
        <v>1.2315569999999899E-3</v>
      </c>
      <c r="AA2093">
        <v>0.99998829999999905</v>
      </c>
      <c r="AB2093">
        <v>35</v>
      </c>
      <c r="AC2093">
        <v>-16.5550999999999</v>
      </c>
      <c r="AD2093">
        <v>-1.103156528065</v>
      </c>
      <c r="AE2093">
        <v>-0.19279999999997699</v>
      </c>
      <c r="AF2093">
        <v>7.8476737545852299E-2</v>
      </c>
      <c r="AG2093">
        <v>-1.103156528065</v>
      </c>
      <c r="AH2093">
        <v>16.482856361958302</v>
      </c>
      <c r="AI2093">
        <v>93.828910380754195</v>
      </c>
      <c r="AJ2093">
        <v>89.727210394965894</v>
      </c>
      <c r="AK2093">
        <v>16.519917274995599</v>
      </c>
    </row>
    <row r="2094" spans="1:37" x14ac:dyDescent="0.2">
      <c r="A2094" t="str">
        <f>"20200111155836493"</f>
        <v>20200111155836493</v>
      </c>
      <c r="B2094" t="str">
        <f>"1578729516483464"</f>
        <v>1578729516483464</v>
      </c>
      <c r="C2094" t="s">
        <v>37</v>
      </c>
      <c r="D2094">
        <v>6.5457830000000001</v>
      </c>
      <c r="E2094">
        <v>0.51971590000000001</v>
      </c>
      <c r="F2094" t="s">
        <v>50</v>
      </c>
      <c r="G2094">
        <v>-377.5532</v>
      </c>
      <c r="H2094" s="1">
        <v>2.4826519999999999E-6</v>
      </c>
      <c r="I2094">
        <v>285.4787</v>
      </c>
      <c r="J2094">
        <v>-361.20159999999998</v>
      </c>
      <c r="K2094">
        <v>1.103145</v>
      </c>
      <c r="L2094">
        <v>285.65690000000001</v>
      </c>
      <c r="M2094">
        <v>-0.99976949999999998</v>
      </c>
      <c r="N2094">
        <v>0</v>
      </c>
      <c r="O2094">
        <v>-1.5659510000000001E-2</v>
      </c>
      <c r="P2094">
        <v>-0.99816499999999997</v>
      </c>
      <c r="Q2094">
        <v>-9.0099940000000003E-3</v>
      </c>
      <c r="R2094">
        <v>-5.9882949999999997E-2</v>
      </c>
      <c r="S2094">
        <v>-3.0019230000000001</v>
      </c>
      <c r="T2094">
        <v>-0.1997921</v>
      </c>
      <c r="U2094">
        <v>-3.2806399999999999E-2</v>
      </c>
      <c r="V2094">
        <v>-4.422798E-2</v>
      </c>
      <c r="W2094">
        <v>5.7890729999999996E-3</v>
      </c>
      <c r="X2094">
        <v>0.99900469999999897</v>
      </c>
      <c r="Y2094">
        <v>4.688785E-3</v>
      </c>
      <c r="Z2094">
        <v>1.196943E-3</v>
      </c>
      <c r="AA2094">
        <v>0.99998829999999905</v>
      </c>
      <c r="AB2094">
        <v>35</v>
      </c>
      <c r="AC2094">
        <v>-16.351600000000001</v>
      </c>
      <c r="AD2094">
        <v>-1.1031425173480001</v>
      </c>
      <c r="AE2094">
        <v>-0.17820000000000299</v>
      </c>
      <c r="AF2094">
        <v>7.75545844569831E-2</v>
      </c>
      <c r="AG2094">
        <v>-1.1031425173480001</v>
      </c>
      <c r="AH2094">
        <v>16.278305503795099</v>
      </c>
      <c r="AI2094">
        <v>93.876828957210193</v>
      </c>
      <c r="AJ2094">
        <v>89.727028298485806</v>
      </c>
      <c r="AK2094">
        <v>16.315825697832</v>
      </c>
    </row>
    <row r="2095" spans="1:37" x14ac:dyDescent="0.2">
      <c r="A2095" t="str">
        <f>"20200111155836507"</f>
        <v>20200111155836507</v>
      </c>
      <c r="B2095" t="str">
        <f>"1578729516502983"</f>
        <v>1578729516502983</v>
      </c>
      <c r="C2095" t="s">
        <v>37</v>
      </c>
      <c r="D2095">
        <v>6.0155430000000001</v>
      </c>
      <c r="E2095">
        <v>0.5195284</v>
      </c>
      <c r="F2095" t="s">
        <v>38</v>
      </c>
      <c r="G2095">
        <v>-362.1241</v>
      </c>
      <c r="H2095">
        <v>1.042062</v>
      </c>
      <c r="I2095">
        <v>285.64859999999999</v>
      </c>
      <c r="J2095">
        <v>-361.42169999999999</v>
      </c>
      <c r="K2095">
        <v>1.103132</v>
      </c>
      <c r="L2095">
        <v>285.65410000000003</v>
      </c>
      <c r="M2095">
        <v>-0.99978080000000003</v>
      </c>
      <c r="N2095">
        <v>0</v>
      </c>
      <c r="O2095">
        <v>-1.492423E-2</v>
      </c>
      <c r="P2095">
        <v>-0.99822459999999902</v>
      </c>
      <c r="Q2095">
        <v>-9.1382240000000003E-3</v>
      </c>
      <c r="R2095">
        <v>-5.8862690000000002E-2</v>
      </c>
      <c r="S2095">
        <v>-3.0020449999999999</v>
      </c>
      <c r="T2095">
        <v>-0.1989542</v>
      </c>
      <c r="U2095">
        <v>-2.8228759999999999E-2</v>
      </c>
      <c r="V2095">
        <v>-4.3941729999999998E-2</v>
      </c>
      <c r="W2095">
        <v>5.6598509999999996E-3</v>
      </c>
      <c r="X2095">
        <v>0.99901810000000002</v>
      </c>
      <c r="Y2095">
        <v>5.4787129999999996E-3</v>
      </c>
      <c r="Z2095">
        <v>1.1693700000000001E-3</v>
      </c>
      <c r="AA2095">
        <v>0.99998430000000005</v>
      </c>
      <c r="AB2095">
        <v>35</v>
      </c>
      <c r="AC2095">
        <v>-0.70240000000001102</v>
      </c>
      <c r="AD2095">
        <v>-6.1069999999999902E-2</v>
      </c>
      <c r="AE2095">
        <v>-5.5000000000404699E-3</v>
      </c>
      <c r="AF2095">
        <v>4.9471271825169997E-3</v>
      </c>
      <c r="AG2095">
        <v>-6.1069999999999902E-2</v>
      </c>
      <c r="AH2095">
        <v>0.69713425953114805</v>
      </c>
      <c r="AI2095">
        <v>95.006289911364306</v>
      </c>
      <c r="AJ2095">
        <v>89.593414401164594</v>
      </c>
      <c r="AK2095">
        <v>0.69982154495228399</v>
      </c>
    </row>
    <row r="2096" spans="1:37" x14ac:dyDescent="0.2">
      <c r="A2096" t="str">
        <f>"20200111155836520"</f>
        <v>20200111155836520</v>
      </c>
      <c r="B2096" t="str">
        <f>"1578729516513720"</f>
        <v>1578729516513720</v>
      </c>
      <c r="C2096" t="s">
        <v>37</v>
      </c>
      <c r="D2096">
        <v>5.914479</v>
      </c>
      <c r="E2096">
        <v>0.51948620000000001</v>
      </c>
      <c r="F2096" t="s">
        <v>38</v>
      </c>
      <c r="G2096">
        <v>-362.42450000000002</v>
      </c>
      <c r="H2096">
        <v>1.037039</v>
      </c>
      <c r="I2096">
        <v>285.64530000000002</v>
      </c>
      <c r="J2096">
        <v>-361.63979999999998</v>
      </c>
      <c r="K2096">
        <v>1.1031229999999901</v>
      </c>
      <c r="L2096">
        <v>285.65159999999997</v>
      </c>
      <c r="M2096">
        <v>-0.99979130000000005</v>
      </c>
      <c r="N2096">
        <v>0</v>
      </c>
      <c r="O2096">
        <v>-1.419363E-2</v>
      </c>
      <c r="P2096">
        <v>-0.99829449999999997</v>
      </c>
      <c r="Q2096">
        <v>-9.3579730000000003E-3</v>
      </c>
      <c r="R2096">
        <v>-5.7623309999999997E-2</v>
      </c>
      <c r="S2096">
        <v>-3.0019230000000001</v>
      </c>
      <c r="T2096">
        <v>-0.19791589999999901</v>
      </c>
      <c r="U2096">
        <v>-2.6611329999999999E-2</v>
      </c>
      <c r="V2096">
        <v>-4.3432529999999997E-2</v>
      </c>
      <c r="W2096">
        <v>5.4376490000000001E-3</v>
      </c>
      <c r="X2096">
        <v>0.99904159999999997</v>
      </c>
      <c r="Y2096">
        <v>5.288788E-3</v>
      </c>
      <c r="Z2096">
        <v>1.1089629999999999E-3</v>
      </c>
      <c r="AA2096">
        <v>0.99998539999999903</v>
      </c>
      <c r="AB2096">
        <v>35</v>
      </c>
      <c r="AC2096">
        <v>-0.78470000000004303</v>
      </c>
      <c r="AD2096">
        <v>-6.6083999999999796E-2</v>
      </c>
      <c r="AE2096">
        <v>-6.2999999999533403E-3</v>
      </c>
      <c r="AF2096">
        <v>4.80549901921849E-3</v>
      </c>
      <c r="AG2096">
        <v>-6.6083999999999796E-2</v>
      </c>
      <c r="AH2096">
        <v>0.77918453405966404</v>
      </c>
      <c r="AI2096">
        <v>94.847662149760296</v>
      </c>
      <c r="AJ2096">
        <v>89.646641701150998</v>
      </c>
      <c r="AK2096">
        <v>0.78199662786651403</v>
      </c>
    </row>
    <row r="2097" spans="1:37" x14ac:dyDescent="0.2">
      <c r="A2097" t="str">
        <f>"20200111155836535"</f>
        <v>20200111155836535</v>
      </c>
      <c r="B2097" t="str">
        <f>"1578729516523479"</f>
        <v>1578729516523479</v>
      </c>
      <c r="C2097" t="s">
        <v>37</v>
      </c>
      <c r="D2097">
        <v>8.3294369999999898</v>
      </c>
      <c r="E2097">
        <v>0.51925920000000003</v>
      </c>
      <c r="F2097" t="s">
        <v>50</v>
      </c>
      <c r="G2097">
        <v>-378.2373</v>
      </c>
      <c r="H2097" s="1">
        <v>2.8467159999999998E-6</v>
      </c>
      <c r="I2097">
        <v>285.52330000000001</v>
      </c>
      <c r="J2097">
        <v>-361.8537</v>
      </c>
      <c r="K2097">
        <v>1.103124</v>
      </c>
      <c r="L2097">
        <v>285.64920000000001</v>
      </c>
      <c r="M2097">
        <v>-0.9998013</v>
      </c>
      <c r="N2097">
        <v>0</v>
      </c>
      <c r="O2097">
        <v>-1.3476159999999999E-2</v>
      </c>
      <c r="P2097">
        <v>-0.99835090000000004</v>
      </c>
      <c r="Q2097">
        <v>-9.1304160000000006E-3</v>
      </c>
      <c r="R2097">
        <v>-5.6678560000000003E-2</v>
      </c>
      <c r="S2097">
        <v>-3.0018919999999998</v>
      </c>
      <c r="T2097">
        <v>-0.19951440000000001</v>
      </c>
      <c r="U2097">
        <v>-2.319336E-2</v>
      </c>
      <c r="V2097">
        <v>-4.320334E-2</v>
      </c>
      <c r="W2097">
        <v>5.6631900000000002E-3</v>
      </c>
      <c r="X2097">
        <v>0.99905029999999995</v>
      </c>
      <c r="Y2097">
        <v>5.7095729999999999E-3</v>
      </c>
      <c r="Z2097">
        <v>1.084254E-3</v>
      </c>
      <c r="AA2097">
        <v>0.99998310000000001</v>
      </c>
      <c r="AB2097">
        <v>35</v>
      </c>
      <c r="AC2097">
        <v>-16.383600000000001</v>
      </c>
      <c r="AD2097">
        <v>-1.103121153284</v>
      </c>
      <c r="AE2097">
        <v>-0.12590000000000101</v>
      </c>
      <c r="AF2097">
        <v>9.4494910285921205E-2</v>
      </c>
      <c r="AG2097">
        <v>-1.103121153284</v>
      </c>
      <c r="AH2097">
        <v>16.309873309977799</v>
      </c>
      <c r="AI2097">
        <v>93.869252488448396</v>
      </c>
      <c r="AJ2097">
        <v>89.668047760782301</v>
      </c>
      <c r="AK2097">
        <v>16.3474087535125</v>
      </c>
    </row>
    <row r="2098" spans="1:37" x14ac:dyDescent="0.2">
      <c r="A2098" t="str">
        <f>"20200111155836555"</f>
        <v>20200111155836555</v>
      </c>
      <c r="B2098" t="str">
        <f>"1578729516542999"</f>
        <v>1578729516542999</v>
      </c>
      <c r="C2098" t="s">
        <v>37</v>
      </c>
      <c r="D2098">
        <v>6.1314229999999998</v>
      </c>
      <c r="E2098">
        <v>0.51880870000000001</v>
      </c>
      <c r="F2098" t="s">
        <v>50</v>
      </c>
      <c r="G2098">
        <v>-378.68740000000003</v>
      </c>
      <c r="H2098" s="1">
        <v>3.0862070000000002E-6</v>
      </c>
      <c r="I2098">
        <v>285.52600000000001</v>
      </c>
      <c r="J2098">
        <v>-362.17180000000002</v>
      </c>
      <c r="K2098">
        <v>1.1031169999999999</v>
      </c>
      <c r="L2098">
        <v>285.64599999999899</v>
      </c>
      <c r="M2098">
        <v>-0.99981509999999996</v>
      </c>
      <c r="N2098">
        <v>0</v>
      </c>
      <c r="O2098">
        <v>-1.24081E-2</v>
      </c>
      <c r="P2098">
        <v>-0.99844560000000004</v>
      </c>
      <c r="Q2098">
        <v>-9.0139759999999999E-3</v>
      </c>
      <c r="R2098">
        <v>-5.5002889999999999E-2</v>
      </c>
      <c r="S2098">
        <v>-3.0019230000000001</v>
      </c>
      <c r="T2098">
        <v>-0.19671729999999901</v>
      </c>
      <c r="U2098">
        <v>-2.1972660000000001E-2</v>
      </c>
      <c r="V2098">
        <v>-4.2593539999999999E-2</v>
      </c>
      <c r="W2098">
        <v>5.7757219999999996E-3</v>
      </c>
      <c r="X2098">
        <v>0.99907579999999996</v>
      </c>
      <c r="Y2098">
        <v>5.0528919999999998E-3</v>
      </c>
      <c r="Z2098">
        <v>9.776686000000001E-4</v>
      </c>
      <c r="AA2098">
        <v>0.99998679999999995</v>
      </c>
      <c r="AB2098">
        <v>35</v>
      </c>
      <c r="AC2098">
        <v>-16.515599999999999</v>
      </c>
      <c r="AD2098">
        <v>-1.1031139137929999</v>
      </c>
      <c r="AE2098">
        <v>-0.119999999999947</v>
      </c>
      <c r="AF2098">
        <v>8.4581257825718195E-2</v>
      </c>
      <c r="AG2098">
        <v>-1.1031139137929999</v>
      </c>
      <c r="AH2098">
        <v>16.4424681102048</v>
      </c>
      <c r="AI2098">
        <v>93.838132312851897</v>
      </c>
      <c r="AJ2098">
        <v>89.705268921789497</v>
      </c>
      <c r="AK2098">
        <v>16.479647200443399</v>
      </c>
    </row>
    <row r="2099" spans="1:37" x14ac:dyDescent="0.2">
      <c r="A2099" t="str">
        <f>"20200111155836577"</f>
        <v>20200111155836577</v>
      </c>
      <c r="B2099" t="str">
        <f>"1578729516573255"</f>
        <v>1578729516573255</v>
      </c>
      <c r="C2099" t="s">
        <v>37</v>
      </c>
      <c r="D2099">
        <v>5.9242419999999996</v>
      </c>
      <c r="E2099">
        <v>0.51901059999999999</v>
      </c>
      <c r="F2099" t="s">
        <v>50</v>
      </c>
      <c r="G2099">
        <v>-379.43459999999999</v>
      </c>
      <c r="H2099" s="1">
        <v>3.4838309999999998E-6</v>
      </c>
      <c r="I2099">
        <v>285.52890000000002</v>
      </c>
      <c r="J2099">
        <v>-362.51760000000002</v>
      </c>
      <c r="K2099">
        <v>1.1031120000000001</v>
      </c>
      <c r="L2099">
        <v>285.6429</v>
      </c>
      <c r="M2099">
        <v>-0.99982909999999903</v>
      </c>
      <c r="N2099">
        <v>0</v>
      </c>
      <c r="O2099">
        <v>-1.124697E-2</v>
      </c>
      <c r="P2099">
        <v>-0.998538699999999</v>
      </c>
      <c r="Q2099">
        <v>-8.9224579999999994E-3</v>
      </c>
      <c r="R2099">
        <v>-5.3301800000000003E-2</v>
      </c>
      <c r="S2099">
        <v>-3.00177</v>
      </c>
      <c r="T2099">
        <v>-0.191817299999999</v>
      </c>
      <c r="U2099">
        <v>-2.035522E-2</v>
      </c>
      <c r="V2099">
        <v>-4.2050900000000002E-2</v>
      </c>
      <c r="W2099">
        <v>5.8634580000000002E-3</v>
      </c>
      <c r="X2099">
        <v>0.99909820000000005</v>
      </c>
      <c r="Y2099">
        <v>4.4354529999999998E-3</v>
      </c>
      <c r="Z2099">
        <v>8.5958599999999997E-4</v>
      </c>
      <c r="AA2099">
        <v>0.99998980000000004</v>
      </c>
      <c r="AB2099">
        <v>35</v>
      </c>
      <c r="AC2099">
        <v>-16.916999999999899</v>
      </c>
      <c r="AD2099">
        <v>-1.103108516169</v>
      </c>
      <c r="AE2099">
        <v>-0.113999999999975</v>
      </c>
      <c r="AF2099">
        <v>7.5969680715510302E-2</v>
      </c>
      <c r="AG2099">
        <v>-1.103108516169</v>
      </c>
      <c r="AH2099">
        <v>16.845588460315</v>
      </c>
      <c r="AI2099">
        <v>93.746542513313301</v>
      </c>
      <c r="AJ2099">
        <v>89.7416111299477</v>
      </c>
      <c r="AK2099">
        <v>16.881838477047701</v>
      </c>
    </row>
    <row r="2100" spans="1:37" x14ac:dyDescent="0.2">
      <c r="A2100" t="str">
        <f>"20200111155836600"</f>
        <v>20200111155836600</v>
      </c>
      <c r="B2100" t="str">
        <f>"1578729516593752"</f>
        <v>1578729516593752</v>
      </c>
      <c r="C2100" t="s">
        <v>37</v>
      </c>
      <c r="D2100">
        <v>6.165667</v>
      </c>
      <c r="E2100">
        <v>0.51894689999999999</v>
      </c>
      <c r="F2100" t="s">
        <v>50</v>
      </c>
      <c r="G2100">
        <v>-379.77460000000002</v>
      </c>
      <c r="H2100" s="1">
        <v>3.6647639999999999E-6</v>
      </c>
      <c r="I2100">
        <v>285.56389999999999</v>
      </c>
      <c r="J2100">
        <v>-362.8818</v>
      </c>
      <c r="K2100">
        <v>1.103111</v>
      </c>
      <c r="L2100">
        <v>285.64</v>
      </c>
      <c r="M2100">
        <v>-0.99984200000000001</v>
      </c>
      <c r="N2100">
        <v>0</v>
      </c>
      <c r="O2100">
        <v>-1.002436E-2</v>
      </c>
      <c r="P2100">
        <v>-0.9986178</v>
      </c>
      <c r="Q2100">
        <v>-8.3626499999999993E-3</v>
      </c>
      <c r="R2100">
        <v>-5.1893170000000002E-2</v>
      </c>
      <c r="S2100">
        <v>-3.0019230000000001</v>
      </c>
      <c r="T2100">
        <v>-0.19189039999999999</v>
      </c>
      <c r="U2100">
        <v>-1.3732909999999999E-2</v>
      </c>
      <c r="V2100">
        <v>-4.1862089999999998E-2</v>
      </c>
      <c r="W2100">
        <v>6.4194400000000002E-3</v>
      </c>
      <c r="X2100">
        <v>0.99910279999999996</v>
      </c>
      <c r="Y2100">
        <v>5.4193829999999998E-3</v>
      </c>
      <c r="Z2100">
        <v>8.1321529999999896E-4</v>
      </c>
      <c r="AA2100">
        <v>0.99998500000000001</v>
      </c>
      <c r="AB2100">
        <v>35</v>
      </c>
      <c r="AC2100">
        <v>-16.892800000000001</v>
      </c>
      <c r="AD2100">
        <v>-1.1031073352359999</v>
      </c>
      <c r="AE2100">
        <v>-7.6099999999996698E-2</v>
      </c>
      <c r="AF2100">
        <v>9.28655966825533E-2</v>
      </c>
      <c r="AG2100">
        <v>-1.1031073352359999</v>
      </c>
      <c r="AH2100">
        <v>16.820988244746498</v>
      </c>
      <c r="AI2100">
        <v>93.751983109797806</v>
      </c>
      <c r="AJ2100">
        <v>89.683683704127304</v>
      </c>
      <c r="AK2100">
        <v>16.857375695582</v>
      </c>
    </row>
    <row r="2101" spans="1:37" x14ac:dyDescent="0.2">
      <c r="A2101" t="str">
        <f>"20200111155836622"</f>
        <v>20200111155836622</v>
      </c>
      <c r="B2101" t="str">
        <f>"1578729516613271"</f>
        <v>1578729516613271</v>
      </c>
      <c r="C2101" t="s">
        <v>37</v>
      </c>
      <c r="D2101">
        <v>6.0959820000000002</v>
      </c>
      <c r="E2101">
        <v>0.51888869999999998</v>
      </c>
      <c r="F2101" t="s">
        <v>50</v>
      </c>
      <c r="G2101">
        <v>-380.39690000000002</v>
      </c>
      <c r="H2101" s="1">
        <v>-1.3256000000000001E-6</v>
      </c>
      <c r="I2101">
        <v>285.58199999999999</v>
      </c>
      <c r="J2101">
        <v>-363.20979999999997</v>
      </c>
      <c r="K2101">
        <v>1.1031169999999999</v>
      </c>
      <c r="L2101">
        <v>285.63780000000003</v>
      </c>
      <c r="M2101">
        <v>-0.99985239999999997</v>
      </c>
      <c r="N2101">
        <v>0</v>
      </c>
      <c r="O2101">
        <v>-8.9238230000000009E-3</v>
      </c>
      <c r="P2101">
        <v>-0.99867459999999997</v>
      </c>
      <c r="Q2101">
        <v>-7.7960669999999899E-3</v>
      </c>
      <c r="R2101">
        <v>-5.0877739999999998E-2</v>
      </c>
      <c r="S2101">
        <v>-3.0020449999999999</v>
      </c>
      <c r="T2101">
        <v>-0.18907109999999999</v>
      </c>
      <c r="U2101">
        <v>-9.9487299999999994E-3</v>
      </c>
      <c r="V2101">
        <v>-4.1943880000000003E-2</v>
      </c>
      <c r="W2101">
        <v>6.9825719999999898E-3</v>
      </c>
      <c r="X2101">
        <v>0.99909559999999997</v>
      </c>
      <c r="Y2101">
        <v>5.58216099999999E-3</v>
      </c>
      <c r="Z2101">
        <v>7.3713449999999905E-4</v>
      </c>
      <c r="AA2101">
        <v>0.99998410000000004</v>
      </c>
      <c r="AB2101">
        <v>35</v>
      </c>
      <c r="AC2101">
        <v>-17.187100000000001</v>
      </c>
      <c r="AD2101">
        <v>-1.1031183255999999</v>
      </c>
      <c r="AE2101">
        <v>-5.5800000000033302E-2</v>
      </c>
      <c r="AF2101">
        <v>9.7193015424118498E-2</v>
      </c>
      <c r="AG2101">
        <v>-1.1031183255999999</v>
      </c>
      <c r="AH2101">
        <v>17.1164041098193</v>
      </c>
      <c r="AI2101">
        <v>93.687440405058197</v>
      </c>
      <c r="AJ2101">
        <v>89.674657732138499</v>
      </c>
      <c r="AK2101">
        <v>17.152189544578899</v>
      </c>
    </row>
    <row r="2102" spans="1:37" x14ac:dyDescent="0.2">
      <c r="A2102" t="str">
        <f>"20200111155836644"</f>
        <v>20200111155836644</v>
      </c>
      <c r="B2102" t="str">
        <f>"1578729516632791"</f>
        <v>1578729516632791</v>
      </c>
      <c r="C2102" t="s">
        <v>37</v>
      </c>
      <c r="D2102">
        <v>5.9372239999999996</v>
      </c>
      <c r="E2102">
        <v>0.51881199999999905</v>
      </c>
      <c r="F2102" t="s">
        <v>50</v>
      </c>
      <c r="G2102">
        <v>-380.75069999999999</v>
      </c>
      <c r="H2102" s="1">
        <v>-1.137321E-6</v>
      </c>
      <c r="I2102">
        <v>285.59320000000002</v>
      </c>
      <c r="J2102">
        <v>-363.55840000000001</v>
      </c>
      <c r="K2102">
        <v>1.103118</v>
      </c>
      <c r="L2102">
        <v>285.63589999999999</v>
      </c>
      <c r="M2102">
        <v>-0.99986229999999998</v>
      </c>
      <c r="N2102">
        <v>0</v>
      </c>
      <c r="O2102">
        <v>-7.7544040000000003E-3</v>
      </c>
      <c r="P2102">
        <v>-0.9987492</v>
      </c>
      <c r="Q2102">
        <v>-7.3549899999999996E-3</v>
      </c>
      <c r="R2102">
        <v>-4.9459549999999998E-2</v>
      </c>
      <c r="S2102">
        <v>-3.0021059999999999</v>
      </c>
      <c r="T2102">
        <v>-0.18879779999999999</v>
      </c>
      <c r="U2102">
        <v>-7.6293949999999998E-3</v>
      </c>
      <c r="V2102">
        <v>-4.1692680000000003E-2</v>
      </c>
      <c r="W2102">
        <v>7.4193439999999996E-3</v>
      </c>
      <c r="X2102">
        <v>0.99910299999999996</v>
      </c>
      <c r="Y2102">
        <v>5.1883809999999997E-3</v>
      </c>
      <c r="Z2102">
        <v>6.5021160000000003E-4</v>
      </c>
      <c r="AA2102">
        <v>0.99998639999999905</v>
      </c>
      <c r="AB2102">
        <v>35</v>
      </c>
      <c r="AC2102">
        <v>-17.1922999999999</v>
      </c>
      <c r="AD2102">
        <v>-1.1031191373210001</v>
      </c>
      <c r="AE2102">
        <v>-4.2699999999967903E-2</v>
      </c>
      <c r="AF2102">
        <v>9.0260079409772001E-2</v>
      </c>
      <c r="AG2102">
        <v>-1.1031191373210001</v>
      </c>
      <c r="AH2102">
        <v>17.121625486839498</v>
      </c>
      <c r="AI2102">
        <v>93.686329881258402</v>
      </c>
      <c r="AJ2102">
        <v>89.697956615946296</v>
      </c>
      <c r="AK2102">
        <v>17.157362210568699</v>
      </c>
    </row>
    <row r="2103" spans="1:37" x14ac:dyDescent="0.2">
      <c r="A2103" t="str">
        <f>"20200111155836666"</f>
        <v>20200111155836666</v>
      </c>
      <c r="B2103" t="str">
        <f>"1578729516663047"</f>
        <v>1578729516663047</v>
      </c>
      <c r="C2103" t="s">
        <v>37</v>
      </c>
      <c r="D2103">
        <v>6.2648029999999997</v>
      </c>
      <c r="E2103">
        <v>0.48152240000000002</v>
      </c>
      <c r="F2103" t="s">
        <v>50</v>
      </c>
      <c r="G2103">
        <v>-381.52339999999998</v>
      </c>
      <c r="H2103" s="1">
        <v>-7.2612619999999903E-7</v>
      </c>
      <c r="I2103">
        <v>285.61309999999997</v>
      </c>
      <c r="J2103">
        <v>-363.90199999999999</v>
      </c>
      <c r="K2103">
        <v>1.1031219999999999</v>
      </c>
      <c r="L2103">
        <v>285.63440000000003</v>
      </c>
      <c r="M2103">
        <v>-0.9998707</v>
      </c>
      <c r="N2103">
        <v>0</v>
      </c>
      <c r="O2103">
        <v>-6.6013299999999999E-3</v>
      </c>
      <c r="P2103">
        <v>-0.99878409999999995</v>
      </c>
      <c r="Q2103">
        <v>-7.2453309999999998E-3</v>
      </c>
      <c r="R2103">
        <v>-4.8766009999999999E-2</v>
      </c>
      <c r="S2103">
        <v>-3.0021969999999998</v>
      </c>
      <c r="T2103">
        <v>-0.18434629999999999</v>
      </c>
      <c r="U2103">
        <v>-3.8146970000000001E-3</v>
      </c>
      <c r="V2103">
        <v>-4.2150470000000002E-2</v>
      </c>
      <c r="W2103">
        <v>7.526629E-3</v>
      </c>
      <c r="X2103">
        <v>0.9990829</v>
      </c>
      <c r="Y2103">
        <v>5.3089959999999999E-3</v>
      </c>
      <c r="Z2103">
        <v>5.6784900000000004E-4</v>
      </c>
      <c r="AA2103">
        <v>0.99998580000000004</v>
      </c>
      <c r="AB2103">
        <v>35</v>
      </c>
      <c r="AC2103">
        <v>-17.621399999999898</v>
      </c>
      <c r="AD2103">
        <v>-1.1031227261262</v>
      </c>
      <c r="AE2103">
        <v>-2.1300000000053301E-2</v>
      </c>
      <c r="AF2103">
        <v>9.4666657025441497E-2</v>
      </c>
      <c r="AG2103">
        <v>-1.1031227261262</v>
      </c>
      <c r="AH2103">
        <v>17.5523702827489</v>
      </c>
      <c r="AI2103">
        <v>93.596115029530793</v>
      </c>
      <c r="AJ2103">
        <v>89.690984908046005</v>
      </c>
      <c r="AK2103">
        <v>17.587255160131601</v>
      </c>
    </row>
    <row r="2104" spans="1:37" x14ac:dyDescent="0.2">
      <c r="A2104" t="str">
        <f>"20200111155836689"</f>
        <v>20200111155836689</v>
      </c>
      <c r="B2104" t="str">
        <f>"1578729516683543"</f>
        <v>1578729516683543</v>
      </c>
      <c r="C2104" t="s">
        <v>37</v>
      </c>
      <c r="D2104">
        <v>5.9122000000000003</v>
      </c>
      <c r="E2104">
        <v>0.47869049999999902</v>
      </c>
      <c r="F2104" t="s">
        <v>50</v>
      </c>
      <c r="G2104">
        <v>-380.0668</v>
      </c>
      <c r="H2104" s="1">
        <v>-1.5012389999999999E-6</v>
      </c>
      <c r="I2104">
        <v>284.01389999999998</v>
      </c>
      <c r="J2104">
        <v>-364.25740000000002</v>
      </c>
      <c r="K2104">
        <v>1.103124</v>
      </c>
      <c r="L2104">
        <v>285.63330000000002</v>
      </c>
      <c r="M2104">
        <v>-0.99987789999999999</v>
      </c>
      <c r="N2104">
        <v>0</v>
      </c>
      <c r="O2104">
        <v>-5.4088119999999998E-3</v>
      </c>
      <c r="P2104">
        <v>-0.99880919999999895</v>
      </c>
      <c r="Q2104">
        <v>-6.8373660000000001E-3</v>
      </c>
      <c r="R2104">
        <v>-4.8306439999999999E-2</v>
      </c>
      <c r="S2104">
        <v>-2.987549</v>
      </c>
      <c r="T2104">
        <v>-0.2038777</v>
      </c>
      <c r="U2104">
        <v>-0.29949949999999997</v>
      </c>
      <c r="V2104">
        <v>-4.2881589999999997E-2</v>
      </c>
      <c r="W2104">
        <v>7.932405E-3</v>
      </c>
      <c r="X2104">
        <v>0.99904869999999901</v>
      </c>
      <c r="Y2104">
        <v>-9.4161040000000001E-2</v>
      </c>
      <c r="Z2104">
        <v>-2.8333880000000001E-3</v>
      </c>
      <c r="AA2104">
        <v>0.99555300000000002</v>
      </c>
      <c r="AB2104">
        <v>35</v>
      </c>
      <c r="AC2104">
        <v>-15.809399999999901</v>
      </c>
      <c r="AD2104">
        <v>-1.103125501239</v>
      </c>
      <c r="AE2104">
        <v>-1.6194000000000399</v>
      </c>
      <c r="AF2104">
        <v>-1.5265020315973199</v>
      </c>
      <c r="AG2104">
        <v>-1.103125501239</v>
      </c>
      <c r="AH2104">
        <v>15.7420799720456</v>
      </c>
      <c r="AI2104">
        <v>93.989792985831002</v>
      </c>
      <c r="AJ2104">
        <v>95.538627822627106</v>
      </c>
      <c r="AK2104">
        <v>15.854342501984499</v>
      </c>
    </row>
    <row r="2105" spans="1:37" x14ac:dyDescent="0.2">
      <c r="A2105" t="str">
        <f>"20200111155836721"</f>
        <v>20200111155836721</v>
      </c>
      <c r="B2105" t="str">
        <f>"1578729516712823"</f>
        <v>1578729516712823</v>
      </c>
      <c r="C2105" t="s">
        <v>37</v>
      </c>
      <c r="D2105">
        <v>5.9124889999999999</v>
      </c>
      <c r="E2105">
        <v>0.47600589999999998</v>
      </c>
      <c r="F2105" t="s">
        <v>50</v>
      </c>
      <c r="G2105">
        <v>-378.78550000000001</v>
      </c>
      <c r="H2105" s="1">
        <v>3.1384260000000002E-6</v>
      </c>
      <c r="I2105">
        <v>284.07049999999998</v>
      </c>
      <c r="J2105">
        <v>-364.7681</v>
      </c>
      <c r="K2105">
        <v>1.103129</v>
      </c>
      <c r="L2105">
        <v>285.63240000000002</v>
      </c>
      <c r="M2105">
        <v>-0.99988569999999999</v>
      </c>
      <c r="N2105">
        <v>0</v>
      </c>
      <c r="O2105">
        <v>-3.6935940000000001E-3</v>
      </c>
      <c r="P2105">
        <v>-0.99882499999999996</v>
      </c>
      <c r="Q2105">
        <v>-6.4670400000000003E-3</v>
      </c>
      <c r="R2105">
        <v>-4.8031780000000003E-2</v>
      </c>
      <c r="S2105">
        <v>-2.9864809999999999</v>
      </c>
      <c r="T2105">
        <v>-0.2267634</v>
      </c>
      <c r="U2105">
        <v>-0.3212585</v>
      </c>
      <c r="V2105">
        <v>-4.431914E-2</v>
      </c>
      <c r="W2105">
        <v>8.3000350000000007E-3</v>
      </c>
      <c r="X2105">
        <v>0.99898299999999995</v>
      </c>
      <c r="Y2105">
        <v>-0.1029978</v>
      </c>
      <c r="Z2105">
        <v>-3.614244E-3</v>
      </c>
      <c r="AA2105">
        <v>0.99467499999999998</v>
      </c>
      <c r="AB2105">
        <v>35</v>
      </c>
      <c r="AC2105">
        <v>-14.0174</v>
      </c>
      <c r="AD2105">
        <v>-1.1031258615740001</v>
      </c>
      <c r="AE2105">
        <v>-1.56190000000003</v>
      </c>
      <c r="AF2105">
        <v>-1.5009276420758599</v>
      </c>
      <c r="AG2105">
        <v>-1.1031258615740001</v>
      </c>
      <c r="AH2105">
        <v>13.937812901972601</v>
      </c>
      <c r="AI2105">
        <v>94.4994077932447</v>
      </c>
      <c r="AJ2105">
        <v>96.146350980624504</v>
      </c>
      <c r="AK2105">
        <v>14.061731719230499</v>
      </c>
    </row>
    <row r="2106" spans="1:37" x14ac:dyDescent="0.2">
      <c r="A2106" t="str">
        <f>"20200111155836744"</f>
        <v>20200111155836744</v>
      </c>
      <c r="B2106" t="str">
        <f>"1578729516733319"</f>
        <v>1578729516733319</v>
      </c>
      <c r="C2106" t="s">
        <v>37</v>
      </c>
      <c r="D2106">
        <v>5.8873389999999999</v>
      </c>
      <c r="E2106">
        <v>0.47541020000000001</v>
      </c>
      <c r="F2106" t="s">
        <v>50</v>
      </c>
      <c r="G2106">
        <v>-380.9341</v>
      </c>
      <c r="H2106" s="1">
        <v>-1.039695E-6</v>
      </c>
      <c r="I2106">
        <v>283.78519999999997</v>
      </c>
      <c r="J2106">
        <v>-365.11189999999999</v>
      </c>
      <c r="K2106">
        <v>1.103132</v>
      </c>
      <c r="L2106">
        <v>285.63229999999999</v>
      </c>
      <c r="M2106">
        <v>-0.99988949999999999</v>
      </c>
      <c r="N2106">
        <v>0</v>
      </c>
      <c r="O2106">
        <v>-2.5387560000000001E-3</v>
      </c>
      <c r="P2106">
        <v>-0.998837999999999</v>
      </c>
      <c r="Q2106">
        <v>-6.5772900000000004E-3</v>
      </c>
      <c r="R2106">
        <v>-4.7747709999999999E-2</v>
      </c>
      <c r="S2106">
        <v>-2.98584</v>
      </c>
      <c r="T2106">
        <v>-0.2037467</v>
      </c>
      <c r="U2106">
        <v>-0.3411865</v>
      </c>
      <c r="V2106">
        <v>-4.5189460000000001E-2</v>
      </c>
      <c r="W2106">
        <v>8.1875049999999994E-3</v>
      </c>
      <c r="X2106">
        <v>0.99894490000000002</v>
      </c>
      <c r="Y2106">
        <v>-0.110758</v>
      </c>
      <c r="Z2106">
        <v>-3.5898559999999898E-3</v>
      </c>
      <c r="AA2106">
        <v>0.99384089999999903</v>
      </c>
      <c r="AB2106">
        <v>35</v>
      </c>
      <c r="AC2106">
        <v>-15.8222</v>
      </c>
      <c r="AD2106">
        <v>-1.1031330396950001</v>
      </c>
      <c r="AE2106">
        <v>-1.84710000000001</v>
      </c>
      <c r="AF2106">
        <v>-1.7982971118940501</v>
      </c>
      <c r="AG2106">
        <v>-1.1031330396950001</v>
      </c>
      <c r="AH2106">
        <v>15.7513018448767</v>
      </c>
      <c r="AI2106">
        <v>93.980361692524497</v>
      </c>
      <c r="AJ2106">
        <v>96.513153002900196</v>
      </c>
      <c r="AK2106">
        <v>15.891956607489499</v>
      </c>
    </row>
    <row r="2107" spans="1:37" x14ac:dyDescent="0.2">
      <c r="A2107" t="str">
        <f>"20200111155836768"</f>
        <v>20200111155836768</v>
      </c>
      <c r="B2107" t="str">
        <f>"1578729516763523"</f>
        <v>1578729516763523</v>
      </c>
      <c r="C2107" t="s">
        <v>37</v>
      </c>
      <c r="D2107">
        <v>5.9034329999999997</v>
      </c>
      <c r="E2107">
        <v>0.475101099999999</v>
      </c>
      <c r="F2107" t="s">
        <v>50</v>
      </c>
      <c r="G2107">
        <v>-380.97750000000002</v>
      </c>
      <c r="H2107" s="1">
        <v>-1.01661E-6</v>
      </c>
      <c r="I2107">
        <v>283.79849999999999</v>
      </c>
      <c r="J2107">
        <v>-365.47160000000002</v>
      </c>
      <c r="K2107">
        <v>1.103137</v>
      </c>
      <c r="L2107">
        <v>285.63260000000002</v>
      </c>
      <c r="M2107">
        <v>-0.99989189999999994</v>
      </c>
      <c r="N2107">
        <v>0</v>
      </c>
      <c r="O2107">
        <v>-1.3301610000000001E-3</v>
      </c>
      <c r="P2107">
        <v>-0.99885800000000002</v>
      </c>
      <c r="Q2107">
        <v>-6.6451499999999998E-3</v>
      </c>
      <c r="R2107">
        <v>-4.7315570000000001E-2</v>
      </c>
      <c r="S2107">
        <v>-2.9856569999999998</v>
      </c>
      <c r="T2107">
        <v>-0.20759240000000001</v>
      </c>
      <c r="U2107">
        <v>-0.34509279999999998</v>
      </c>
      <c r="V2107">
        <v>-4.5964949999999997E-2</v>
      </c>
      <c r="W2107">
        <v>8.1174109999999997E-3</v>
      </c>
      <c r="X2107">
        <v>0.99891010000000002</v>
      </c>
      <c r="Y2107">
        <v>-0.1132309</v>
      </c>
      <c r="Z2107">
        <v>-3.826645E-3</v>
      </c>
      <c r="AA2107">
        <v>0.99356129999999998</v>
      </c>
      <c r="AB2107">
        <v>35</v>
      </c>
      <c r="AC2107">
        <v>-15.505899999999899</v>
      </c>
      <c r="AD2107">
        <v>-1.10313801661</v>
      </c>
      <c r="AE2107">
        <v>-1.83410000000003</v>
      </c>
      <c r="AF2107">
        <v>-1.80446382997142</v>
      </c>
      <c r="AG2107">
        <v>-1.10313801661</v>
      </c>
      <c r="AH2107">
        <v>15.431300758712901</v>
      </c>
      <c r="AI2107">
        <v>94.061370282969605</v>
      </c>
      <c r="AJ2107">
        <v>96.669609619208302</v>
      </c>
      <c r="AK2107">
        <v>15.575559261330501</v>
      </c>
    </row>
    <row r="2108" spans="1:37" x14ac:dyDescent="0.2">
      <c r="A2108" t="str">
        <f>"20200111155836789"</f>
        <v>20200111155836789</v>
      </c>
      <c r="B2108" t="str">
        <f>"1578729516783043"</f>
        <v>1578729516783043</v>
      </c>
      <c r="C2108" t="s">
        <v>37</v>
      </c>
      <c r="D2108">
        <v>6.0423749999999998</v>
      </c>
      <c r="E2108">
        <v>0.47491719999999998</v>
      </c>
      <c r="F2108" t="s">
        <v>50</v>
      </c>
      <c r="G2108">
        <v>-380.44589999999999</v>
      </c>
      <c r="H2108" s="1">
        <v>-1.2994870000000001E-6</v>
      </c>
      <c r="I2108">
        <v>283.89409999999998</v>
      </c>
      <c r="J2108">
        <v>-365.8168</v>
      </c>
      <c r="K2108">
        <v>1.103145</v>
      </c>
      <c r="L2108">
        <v>285.63339999999999</v>
      </c>
      <c r="M2108">
        <v>-0.99989269999999997</v>
      </c>
      <c r="N2108">
        <v>0</v>
      </c>
      <c r="O2108">
        <v>-1.692508E-4</v>
      </c>
      <c r="P2108">
        <v>-0.99891669999999999</v>
      </c>
      <c r="Q2108">
        <v>-6.8749049999999997E-3</v>
      </c>
      <c r="R2108">
        <v>-4.6024269999999999E-2</v>
      </c>
      <c r="S2108">
        <v>-2.9855040000000002</v>
      </c>
      <c r="T2108">
        <v>-0.2199373</v>
      </c>
      <c r="U2108">
        <v>-0.3466187</v>
      </c>
      <c r="V2108">
        <v>-4.5834050000000001E-2</v>
      </c>
      <c r="W2108">
        <v>7.8828149999999996E-3</v>
      </c>
      <c r="X2108">
        <v>0.99891790000000003</v>
      </c>
      <c r="Y2108">
        <v>-0.1148511</v>
      </c>
      <c r="Z2108">
        <v>-4.1982290000000004E-3</v>
      </c>
      <c r="AA2108">
        <v>0.99337389999999903</v>
      </c>
      <c r="AB2108">
        <v>35</v>
      </c>
      <c r="AC2108">
        <v>-14.6290999999999</v>
      </c>
      <c r="AD2108">
        <v>-1.103146299487</v>
      </c>
      <c r="AE2108">
        <v>-1.7393000000000101</v>
      </c>
      <c r="AF2108">
        <v>-1.7271395522901301</v>
      </c>
      <c r="AG2108">
        <v>-1.103146299487</v>
      </c>
      <c r="AH2108">
        <v>14.547823720309401</v>
      </c>
      <c r="AI2108">
        <v>94.306253725487693</v>
      </c>
      <c r="AJ2108">
        <v>96.770550120149906</v>
      </c>
      <c r="AK2108">
        <v>14.691464113162899</v>
      </c>
    </row>
    <row r="2109" spans="1:37" x14ac:dyDescent="0.2">
      <c r="A2109" t="str">
        <f>"20200111155836812"</f>
        <v>20200111155836812</v>
      </c>
      <c r="B2109" t="str">
        <f>"1578729516803540"</f>
        <v>1578729516803540</v>
      </c>
      <c r="C2109" t="s">
        <v>37</v>
      </c>
      <c r="D2109">
        <v>5.9024919999999996</v>
      </c>
      <c r="E2109">
        <v>0.47397489999999998</v>
      </c>
      <c r="F2109" t="s">
        <v>50</v>
      </c>
      <c r="G2109">
        <v>-381.1617</v>
      </c>
      <c r="H2109" s="1">
        <v>-9.1857019999999903E-7</v>
      </c>
      <c r="I2109">
        <v>283.86500000000001</v>
      </c>
      <c r="J2109">
        <v>-366.1628</v>
      </c>
      <c r="K2109">
        <v>1.103148</v>
      </c>
      <c r="L2109">
        <v>285.63459999999998</v>
      </c>
      <c r="M2109">
        <v>-0.99989229999999996</v>
      </c>
      <c r="N2109">
        <v>0</v>
      </c>
      <c r="O2109">
        <v>9.9451690000000007E-4</v>
      </c>
      <c r="P2109">
        <v>-0.99897369999999996</v>
      </c>
      <c r="Q2109">
        <v>-6.4436369999999899E-3</v>
      </c>
      <c r="R2109">
        <v>-4.4833610000000003E-2</v>
      </c>
      <c r="S2109">
        <v>-2.9859309999999999</v>
      </c>
      <c r="T2109">
        <v>-0.21465889999999899</v>
      </c>
      <c r="U2109">
        <v>-0.34411619999999998</v>
      </c>
      <c r="V2109">
        <v>-4.5805319999999997E-2</v>
      </c>
      <c r="W2109">
        <v>8.3100489999999999E-3</v>
      </c>
      <c r="X2109">
        <v>0.99891580000000002</v>
      </c>
      <c r="Y2109">
        <v>-0.1151802</v>
      </c>
      <c r="Z2109">
        <v>-4.1924129999999999E-3</v>
      </c>
      <c r="AA2109">
        <v>0.99333579999999999</v>
      </c>
      <c r="AB2109">
        <v>35</v>
      </c>
      <c r="AC2109">
        <v>-14.9988999999999</v>
      </c>
      <c r="AD2109">
        <v>-1.1031489185701999</v>
      </c>
      <c r="AE2109">
        <v>-1.7695999999999601</v>
      </c>
      <c r="AF2109">
        <v>-1.7750472564914399</v>
      </c>
      <c r="AG2109">
        <v>-1.1031489185701999</v>
      </c>
      <c r="AH2109">
        <v>14.9175452906057</v>
      </c>
      <c r="AI2109">
        <v>94.199790750187901</v>
      </c>
      <c r="AJ2109">
        <v>96.7857517096039</v>
      </c>
      <c r="AK2109">
        <v>15.063229660221999</v>
      </c>
    </row>
    <row r="2110" spans="1:37" x14ac:dyDescent="0.2">
      <c r="A2110" t="str">
        <f>"20200111155836833"</f>
        <v>20200111155836833</v>
      </c>
      <c r="B2110" t="str">
        <f>"1578729516823060"</f>
        <v>1578729516823060</v>
      </c>
      <c r="C2110" t="s">
        <v>37</v>
      </c>
      <c r="D2110">
        <v>5.9032939999999998</v>
      </c>
      <c r="E2110">
        <v>0.47342209999999901</v>
      </c>
      <c r="F2110" t="s">
        <v>50</v>
      </c>
      <c r="G2110">
        <v>-382.5804</v>
      </c>
      <c r="H2110" s="1">
        <v>-1.6362000000000001E-7</v>
      </c>
      <c r="I2110">
        <v>283.72250000000003</v>
      </c>
      <c r="J2110">
        <v>-366.49509999999998</v>
      </c>
      <c r="K2110">
        <v>1.1031549999999899</v>
      </c>
      <c r="L2110">
        <v>285.635999999999</v>
      </c>
      <c r="M2110">
        <v>-0.99989059999999896</v>
      </c>
      <c r="N2110">
        <v>0</v>
      </c>
      <c r="O2110">
        <v>2.1125129999999999E-3</v>
      </c>
      <c r="P2110">
        <v>-0.999021099999999</v>
      </c>
      <c r="Q2110">
        <v>-5.7200899999999997E-3</v>
      </c>
      <c r="R2110">
        <v>-4.3865370000000001E-2</v>
      </c>
      <c r="S2110">
        <v>-2.9861759999999999</v>
      </c>
      <c r="T2110">
        <v>-0.2006493</v>
      </c>
      <c r="U2110">
        <v>-0.34777829999999998</v>
      </c>
      <c r="V2110">
        <v>-4.5951730000000003E-2</v>
      </c>
      <c r="W2110">
        <v>9.0300439999999992E-3</v>
      </c>
      <c r="X2110">
        <v>0.99890290000000004</v>
      </c>
      <c r="Y2110">
        <v>-0.1175131</v>
      </c>
      <c r="Z2110">
        <v>-4.0716559999999999E-3</v>
      </c>
      <c r="AA2110">
        <v>0.99306299999999903</v>
      </c>
      <c r="AB2110">
        <v>35</v>
      </c>
      <c r="AC2110">
        <v>-16.0853</v>
      </c>
      <c r="AD2110">
        <v>-1.1031551636200001</v>
      </c>
      <c r="AE2110">
        <v>-1.91349999999994</v>
      </c>
      <c r="AF2110">
        <v>-1.9384894488481801</v>
      </c>
      <c r="AG2110">
        <v>-1.1031551636200001</v>
      </c>
      <c r="AH2110">
        <v>16.006984169450501</v>
      </c>
      <c r="AI2110">
        <v>93.913919877926404</v>
      </c>
      <c r="AJ2110">
        <v>96.905050020028199</v>
      </c>
      <c r="AK2110">
        <v>16.161628471764701</v>
      </c>
    </row>
    <row r="2111" spans="1:37" x14ac:dyDescent="0.2">
      <c r="A2111" t="str">
        <f>"20200111155836856"</f>
        <v>20200111155836856</v>
      </c>
      <c r="B2111" t="str">
        <f>"1578729516853316"</f>
        <v>1578729516853316</v>
      </c>
      <c r="C2111" t="s">
        <v>37</v>
      </c>
      <c r="D2111">
        <v>5.8605039999999997</v>
      </c>
      <c r="E2111">
        <v>0.47310150000000001</v>
      </c>
      <c r="F2111" t="s">
        <v>50</v>
      </c>
      <c r="G2111">
        <v>-383.59930000000003</v>
      </c>
      <c r="H2111" s="1">
        <v>3.7859639999999998E-7</v>
      </c>
      <c r="I2111">
        <v>283.63740000000001</v>
      </c>
      <c r="J2111">
        <v>-366.84230000000002</v>
      </c>
      <c r="K2111">
        <v>1.1031690000000001</v>
      </c>
      <c r="L2111">
        <v>285.63799999999998</v>
      </c>
      <c r="M2111">
        <v>-0.99988750000000004</v>
      </c>
      <c r="N2111">
        <v>0</v>
      </c>
      <c r="O2111">
        <v>3.280813E-3</v>
      </c>
      <c r="P2111">
        <v>-0.99905460000000001</v>
      </c>
      <c r="Q2111">
        <v>-4.656533E-3</v>
      </c>
      <c r="R2111">
        <v>-4.3225439999999997E-2</v>
      </c>
      <c r="S2111">
        <v>-2.9865110000000001</v>
      </c>
      <c r="T2111">
        <v>-0.1926176</v>
      </c>
      <c r="U2111">
        <v>-0.34896850000000001</v>
      </c>
      <c r="V2111">
        <v>-4.6476629999999998E-2</v>
      </c>
      <c r="W2111">
        <v>1.0090480000000001E-2</v>
      </c>
      <c r="X2111">
        <v>0.99886839999999999</v>
      </c>
      <c r="Y2111">
        <v>-0.1190662</v>
      </c>
      <c r="Z2111">
        <v>-4.0333859999999999E-3</v>
      </c>
      <c r="AA2111">
        <v>0.99287809999999899</v>
      </c>
      <c r="AB2111">
        <v>34</v>
      </c>
      <c r="AC2111">
        <v>-16.757000000000001</v>
      </c>
      <c r="AD2111">
        <v>-1.1031686214036001</v>
      </c>
      <c r="AE2111">
        <v>-2.00059999999996</v>
      </c>
      <c r="AF2111">
        <v>-2.04682538199078</v>
      </c>
      <c r="AG2111">
        <v>-1.1031686214036001</v>
      </c>
      <c r="AH2111">
        <v>16.679073885848801</v>
      </c>
      <c r="AI2111">
        <v>93.7559868586726</v>
      </c>
      <c r="AJ2111">
        <v>96.9962524036102</v>
      </c>
      <c r="AK2111">
        <v>16.840367598161698</v>
      </c>
    </row>
    <row r="2112" spans="1:37" x14ac:dyDescent="0.2">
      <c r="A2112" t="str">
        <f>"20200111155836878"</f>
        <v>20200111155836878</v>
      </c>
      <c r="B2112" t="str">
        <f>"1578729516872835"</f>
        <v>1578729516872835</v>
      </c>
      <c r="C2112" t="s">
        <v>37</v>
      </c>
      <c r="D2112">
        <v>5.883921</v>
      </c>
      <c r="E2112">
        <v>0.47290199999999999</v>
      </c>
      <c r="F2112" t="s">
        <v>50</v>
      </c>
      <c r="G2112">
        <v>-383.43540000000002</v>
      </c>
      <c r="H2112" s="1">
        <v>2.913706E-7</v>
      </c>
      <c r="I2112">
        <v>283.69439999999997</v>
      </c>
      <c r="J2112">
        <v>-367.18970000000002</v>
      </c>
      <c r="K2112">
        <v>1.103178</v>
      </c>
      <c r="L2112">
        <v>285.64030000000002</v>
      </c>
      <c r="M2112">
        <v>-0.99988310000000002</v>
      </c>
      <c r="N2112">
        <v>0</v>
      </c>
      <c r="O2112">
        <v>4.4499439999999999E-3</v>
      </c>
      <c r="P2112">
        <v>-0.9991158</v>
      </c>
      <c r="Q2112">
        <v>-3.5259999999999901E-3</v>
      </c>
      <c r="R2112">
        <v>-4.1900819999999998E-2</v>
      </c>
      <c r="S2112">
        <v>-2.9867859999999999</v>
      </c>
      <c r="T2112">
        <v>-0.1985722</v>
      </c>
      <c r="U2112">
        <v>-0.34985349999999998</v>
      </c>
      <c r="V2112">
        <v>-4.6317459999999998E-2</v>
      </c>
      <c r="W2112">
        <v>1.121718E-2</v>
      </c>
      <c r="X2112">
        <v>0.99886379999999997</v>
      </c>
      <c r="Y2112">
        <v>-0.12048540000000001</v>
      </c>
      <c r="Z2112">
        <v>-4.2817159999999996E-3</v>
      </c>
      <c r="AA2112">
        <v>0.99270590000000003</v>
      </c>
      <c r="AB2112">
        <v>34</v>
      </c>
      <c r="AC2112">
        <v>-16.245699999999999</v>
      </c>
      <c r="AD2112">
        <v>-1.1031777086293999</v>
      </c>
      <c r="AE2112">
        <v>-1.9459000000000499</v>
      </c>
      <c r="AF2112">
        <v>-2.00904782972033</v>
      </c>
      <c r="AG2112">
        <v>-1.1031777086293999</v>
      </c>
      <c r="AH2112">
        <v>16.163400550557199</v>
      </c>
      <c r="AI2112">
        <v>93.874747672571104</v>
      </c>
      <c r="AJ2112">
        <v>97.085303508035693</v>
      </c>
      <c r="AK2112">
        <v>16.3250969858275</v>
      </c>
    </row>
    <row r="2113" spans="1:37" x14ac:dyDescent="0.2">
      <c r="A2113" t="str">
        <f>"20200111155836901"</f>
        <v>20200111155836901</v>
      </c>
      <c r="B2113" t="str">
        <f>"1578729516893331"</f>
        <v>1578729516893331</v>
      </c>
      <c r="C2113" t="s">
        <v>37</v>
      </c>
      <c r="D2113">
        <v>5.8984769999999997</v>
      </c>
      <c r="E2113">
        <v>0.47266239999999998</v>
      </c>
      <c r="F2113" t="s">
        <v>50</v>
      </c>
      <c r="G2113">
        <v>-383.69490000000002</v>
      </c>
      <c r="H2113" s="1">
        <v>4.2947949999999999E-7</v>
      </c>
      <c r="I2113">
        <v>283.7183</v>
      </c>
      <c r="J2113">
        <v>-367.53019999999998</v>
      </c>
      <c r="K2113">
        <v>1.1031839999999999</v>
      </c>
      <c r="L2113">
        <v>285.6431</v>
      </c>
      <c r="M2113">
        <v>-0.99987739999999903</v>
      </c>
      <c r="N2113">
        <v>0</v>
      </c>
      <c r="O2113">
        <v>5.5966039999999998E-3</v>
      </c>
      <c r="P2113">
        <v>-0.99916879999999997</v>
      </c>
      <c r="Q2113">
        <v>-3.1228559999999998E-3</v>
      </c>
      <c r="R2113">
        <v>-4.064719E-2</v>
      </c>
      <c r="S2113">
        <v>-2.9873349999999999</v>
      </c>
      <c r="T2113">
        <v>-0.1996675</v>
      </c>
      <c r="U2113">
        <v>-0.34786990000000001</v>
      </c>
      <c r="V2113">
        <v>-4.6208180000000001E-2</v>
      </c>
      <c r="W2113">
        <v>1.1615790000000001E-2</v>
      </c>
      <c r="X2113">
        <v>0.99886430000000004</v>
      </c>
      <c r="Y2113">
        <v>-0.120945899999999</v>
      </c>
      <c r="Z2113">
        <v>-4.3962979999999999E-3</v>
      </c>
      <c r="AA2113">
        <v>0.99264940000000002</v>
      </c>
      <c r="AB2113">
        <v>34</v>
      </c>
      <c r="AC2113">
        <v>-16.1647</v>
      </c>
      <c r="AD2113">
        <v>-1.1031835705205</v>
      </c>
      <c r="AE2113">
        <v>-1.9248000000000001</v>
      </c>
      <c r="AF2113">
        <v>-2.0060343080319001</v>
      </c>
      <c r="AG2113">
        <v>-1.1031835705205</v>
      </c>
      <c r="AH2113">
        <v>16.079827259641199</v>
      </c>
      <c r="AI2113">
        <v>93.894626743728296</v>
      </c>
      <c r="AJ2113">
        <v>97.111178492247802</v>
      </c>
      <c r="AK2113">
        <v>16.241983633016201</v>
      </c>
    </row>
    <row r="2114" spans="1:37" x14ac:dyDescent="0.2">
      <c r="A2114" t="str">
        <f>"20200111155836922"</f>
        <v>20200111155836922</v>
      </c>
      <c r="B2114" t="str">
        <f>"1578729516912852"</f>
        <v>1578729516912852</v>
      </c>
      <c r="C2114" t="s">
        <v>37</v>
      </c>
      <c r="D2114">
        <v>5.8946579999999997</v>
      </c>
      <c r="E2114">
        <v>0.4724988</v>
      </c>
      <c r="F2114" t="s">
        <v>50</v>
      </c>
      <c r="G2114">
        <v>-383.7475</v>
      </c>
      <c r="H2114" s="1">
        <v>4.5745410000000001E-7</v>
      </c>
      <c r="I2114">
        <v>283.76479999999998</v>
      </c>
      <c r="J2114">
        <v>-367.86669999999998</v>
      </c>
      <c r="K2114">
        <v>1.1031839999999999</v>
      </c>
      <c r="L2114">
        <v>285.64609999999999</v>
      </c>
      <c r="M2114">
        <v>-0.99987039999999905</v>
      </c>
      <c r="N2114">
        <v>0</v>
      </c>
      <c r="O2114">
        <v>6.7265559999999999E-3</v>
      </c>
      <c r="P2114">
        <v>-0.99921569999999904</v>
      </c>
      <c r="Q2114">
        <v>-4.21656299999999E-3</v>
      </c>
      <c r="R2114">
        <v>-3.9372780000000003E-2</v>
      </c>
      <c r="S2114">
        <v>-2.9877929999999999</v>
      </c>
      <c r="T2114">
        <v>-0.20324510000000001</v>
      </c>
      <c r="U2114">
        <v>-0.34603879999999998</v>
      </c>
      <c r="V2114">
        <v>-4.6066330000000003E-2</v>
      </c>
      <c r="W2114">
        <v>1.051771E-2</v>
      </c>
      <c r="X2114">
        <v>0.99888299999999997</v>
      </c>
      <c r="Y2114">
        <v>-0.12143619999999999</v>
      </c>
      <c r="Z2114">
        <v>-4.5675159999999998E-3</v>
      </c>
      <c r="AA2114">
        <v>0.99258880000000005</v>
      </c>
      <c r="AB2114">
        <v>34</v>
      </c>
      <c r="AC2114">
        <v>-15.880800000000001</v>
      </c>
      <c r="AD2114">
        <v>-1.10318354254589</v>
      </c>
      <c r="AE2114">
        <v>-1.88130000000001</v>
      </c>
      <c r="AF2114">
        <v>-1.97867580491609</v>
      </c>
      <c r="AG2114">
        <v>-1.10318354254589</v>
      </c>
      <c r="AH2114">
        <v>15.7926304825057</v>
      </c>
      <c r="AI2114">
        <v>93.964967464353705</v>
      </c>
      <c r="AJ2114">
        <v>97.141437106843895</v>
      </c>
      <c r="AK2114">
        <v>15.9542893739105</v>
      </c>
    </row>
    <row r="2115" spans="1:37" x14ac:dyDescent="0.2">
      <c r="A2115" t="str">
        <f>"20200111155836946"</f>
        <v>20200111155836946</v>
      </c>
      <c r="B2115" t="str">
        <f>"1578729516933347"</f>
        <v>1578729516933347</v>
      </c>
      <c r="C2115" t="s">
        <v>37</v>
      </c>
      <c r="D2115">
        <v>5.882835</v>
      </c>
      <c r="E2115">
        <v>0.47249249999999998</v>
      </c>
      <c r="F2115" t="s">
        <v>50</v>
      </c>
      <c r="G2115">
        <v>-383.59100000000001</v>
      </c>
      <c r="H2115" s="1">
        <v>3.7418289999999901E-7</v>
      </c>
      <c r="I2115">
        <v>283.8383</v>
      </c>
      <c r="J2115">
        <v>-368.21069999999997</v>
      </c>
      <c r="K2115">
        <v>1.1031819999999899</v>
      </c>
      <c r="L2115">
        <v>285.64960000000002</v>
      </c>
      <c r="M2115">
        <v>-0.99986209999999898</v>
      </c>
      <c r="N2115">
        <v>0</v>
      </c>
      <c r="O2115">
        <v>7.8723070000000003E-3</v>
      </c>
      <c r="P2115">
        <v>-0.99924519999999994</v>
      </c>
      <c r="Q2115">
        <v>-5.2814269999999896E-3</v>
      </c>
      <c r="R2115">
        <v>-3.8485239999999997E-2</v>
      </c>
      <c r="S2115">
        <v>-2.9879150000000001</v>
      </c>
      <c r="T2115">
        <v>-0.20962519999999901</v>
      </c>
      <c r="U2115">
        <v>-0.34350589999999998</v>
      </c>
      <c r="V2115">
        <v>-4.6326409999999998E-2</v>
      </c>
      <c r="W2115">
        <v>9.4486899999999992E-3</v>
      </c>
      <c r="X2115">
        <v>0.99888169999999898</v>
      </c>
      <c r="Y2115">
        <v>-0.1217164</v>
      </c>
      <c r="Z2115">
        <v>-4.800421E-3</v>
      </c>
      <c r="AA2115">
        <v>0.99255329999999997</v>
      </c>
      <c r="AB2115">
        <v>34</v>
      </c>
      <c r="AC2115">
        <v>-15.3803</v>
      </c>
      <c r="AD2115">
        <v>-1.1031816258171001</v>
      </c>
      <c r="AE2115">
        <v>-1.8113000000000099</v>
      </c>
      <c r="AF2115">
        <v>-1.92257936293873</v>
      </c>
      <c r="AG2115">
        <v>-1.1031816258171001</v>
      </c>
      <c r="AH2115">
        <v>15.2879857111453</v>
      </c>
      <c r="AI2115">
        <v>94.095167412376895</v>
      </c>
      <c r="AJ2115">
        <v>97.167748038250906</v>
      </c>
      <c r="AK2115">
        <v>15.4478421862253</v>
      </c>
    </row>
    <row r="2116" spans="1:37" x14ac:dyDescent="0.2">
      <c r="A2116" t="str">
        <f>"20200111155836968"</f>
        <v>20200111155836968</v>
      </c>
      <c r="B2116" t="str">
        <f>"1578729516963604"</f>
        <v>1578729516963604</v>
      </c>
      <c r="C2116" t="s">
        <v>37</v>
      </c>
      <c r="D2116">
        <v>6.0514289999999997</v>
      </c>
      <c r="E2116">
        <v>0.52568930000000003</v>
      </c>
      <c r="F2116" t="s">
        <v>50</v>
      </c>
      <c r="G2116">
        <v>-383.5009</v>
      </c>
      <c r="H2116" s="1">
        <v>3.2622490000000001E-7</v>
      </c>
      <c r="I2116">
        <v>283.90320000000003</v>
      </c>
      <c r="J2116">
        <v>-368.5693</v>
      </c>
      <c r="K2116">
        <v>1.1031949999999999</v>
      </c>
      <c r="L2116">
        <v>285.65370000000001</v>
      </c>
      <c r="M2116">
        <v>-0.99985219999999897</v>
      </c>
      <c r="N2116">
        <v>0</v>
      </c>
      <c r="O2116">
        <v>9.0471040000000003E-3</v>
      </c>
      <c r="P2116">
        <v>-0.99927279999999996</v>
      </c>
      <c r="Q2116">
        <v>-5.7447150000000001E-3</v>
      </c>
      <c r="R2116">
        <v>-3.7698519999999999E-2</v>
      </c>
      <c r="S2116">
        <v>-2.9880070000000001</v>
      </c>
      <c r="T2116">
        <v>-0.21558339999999901</v>
      </c>
      <c r="U2116">
        <v>-0.34127809999999997</v>
      </c>
      <c r="V2116">
        <v>-4.6715270000000003E-2</v>
      </c>
      <c r="W2116">
        <v>8.9799800000000003E-3</v>
      </c>
      <c r="X2116">
        <v>0.99886790000000003</v>
      </c>
      <c r="Y2116">
        <v>-0.1221265</v>
      </c>
      <c r="Z2116">
        <v>-5.0357079999999999E-3</v>
      </c>
      <c r="AA2116">
        <v>0.99250179999999999</v>
      </c>
      <c r="AB2116">
        <v>34</v>
      </c>
      <c r="AC2116">
        <v>-14.9316</v>
      </c>
      <c r="AD2116">
        <v>-1.1031946737750999</v>
      </c>
      <c r="AE2116">
        <v>-1.75049999999998</v>
      </c>
      <c r="AF2116">
        <v>-1.87543183993812</v>
      </c>
      <c r="AG2116">
        <v>-1.1031946737750999</v>
      </c>
      <c r="AH2116">
        <v>14.8352663367496</v>
      </c>
      <c r="AI2116">
        <v>94.219398090385496</v>
      </c>
      <c r="AJ2116">
        <v>97.204948939116306</v>
      </c>
      <c r="AK2116">
        <v>14.9939791368668</v>
      </c>
    </row>
    <row r="2117" spans="1:37" x14ac:dyDescent="0.2">
      <c r="A2117" t="str">
        <f>"20200111155836990"</f>
        <v>20200111155836990</v>
      </c>
      <c r="B2117" t="str">
        <f>"1578729516983123"</f>
        <v>1578729516983123</v>
      </c>
      <c r="C2117" t="s">
        <v>37</v>
      </c>
      <c r="D2117">
        <v>5.8931100000000001</v>
      </c>
      <c r="E2117">
        <v>0.54102659999999902</v>
      </c>
      <c r="F2117" t="s">
        <v>38</v>
      </c>
      <c r="G2117">
        <v>-369.54489999999998</v>
      </c>
      <c r="H2117">
        <v>1.0375019999999999</v>
      </c>
      <c r="I2117">
        <v>285.68180000000001</v>
      </c>
      <c r="J2117">
        <v>-368.90219999999999</v>
      </c>
      <c r="K2117">
        <v>1.103213</v>
      </c>
      <c r="L2117">
        <v>285.65780000000001</v>
      </c>
      <c r="M2117">
        <v>-0.99984200000000001</v>
      </c>
      <c r="N2117">
        <v>0</v>
      </c>
      <c r="O2117">
        <v>1.0122630000000001E-2</v>
      </c>
      <c r="P2117">
        <v>-0.99929849999999998</v>
      </c>
      <c r="Q2117">
        <v>-5.3360029999999998E-3</v>
      </c>
      <c r="R2117">
        <v>-3.7071029999999998E-2</v>
      </c>
      <c r="S2117">
        <v>-3.0042419999999899</v>
      </c>
      <c r="T2117">
        <v>-0.20235439999999999</v>
      </c>
      <c r="U2117">
        <v>8.575439E-2</v>
      </c>
      <c r="V2117">
        <v>-4.7162320000000001E-2</v>
      </c>
      <c r="W2117">
        <v>9.3838429999999994E-3</v>
      </c>
      <c r="X2117">
        <v>0.99884309999999998</v>
      </c>
      <c r="Y2117">
        <v>1.8393039999999999E-2</v>
      </c>
      <c r="Z2117" s="1">
        <v>-6.2335809999999994E-5</v>
      </c>
      <c r="AA2117">
        <v>0.99983080000000002</v>
      </c>
      <c r="AB2117">
        <v>34</v>
      </c>
      <c r="AC2117">
        <v>-0.64269999999998995</v>
      </c>
      <c r="AD2117">
        <v>-6.5710999999999797E-2</v>
      </c>
      <c r="AE2117">
        <v>2.4000000000000899E-2</v>
      </c>
      <c r="AF2117">
        <v>1.73115477992648E-2</v>
      </c>
      <c r="AG2117">
        <v>-6.5710999999999797E-2</v>
      </c>
      <c r="AH2117">
        <v>0.63626809977625798</v>
      </c>
      <c r="AI2117">
        <v>95.894188908734193</v>
      </c>
      <c r="AJ2117">
        <v>88.441484051589498</v>
      </c>
      <c r="AK2117">
        <v>0.63988648993481401</v>
      </c>
    </row>
    <row r="2118" spans="1:37" x14ac:dyDescent="0.2">
      <c r="A2118" t="str">
        <f>"20200111155837012"</f>
        <v>20200111155837012</v>
      </c>
      <c r="B2118" t="str">
        <f>"1578729517003619"</f>
        <v>1578729517003619</v>
      </c>
      <c r="C2118" t="s">
        <v>37</v>
      </c>
      <c r="D2118">
        <v>6.1687779999999997</v>
      </c>
      <c r="E2118">
        <v>0.54786650000000003</v>
      </c>
      <c r="F2118" t="s">
        <v>38</v>
      </c>
      <c r="G2118">
        <v>-369.84640000000002</v>
      </c>
      <c r="H2118">
        <v>1.03304</v>
      </c>
      <c r="I2118">
        <v>285.7235</v>
      </c>
      <c r="J2118">
        <v>-369.23809999999997</v>
      </c>
      <c r="K2118">
        <v>1.103232</v>
      </c>
      <c r="L2118">
        <v>285.66230000000002</v>
      </c>
      <c r="M2118">
        <v>-0.99983080000000002</v>
      </c>
      <c r="N2118">
        <v>0</v>
      </c>
      <c r="O2118">
        <v>1.11856E-2</v>
      </c>
      <c r="P2118">
        <v>-0.99932500000000002</v>
      </c>
      <c r="Q2118">
        <v>-5.8369809999999998E-3</v>
      </c>
      <c r="R2118">
        <v>-3.6273039999999999E-2</v>
      </c>
      <c r="S2118">
        <v>-3.0086979999999999</v>
      </c>
      <c r="T2118">
        <v>-0.22360859999999999</v>
      </c>
      <c r="U2118">
        <v>0.209259</v>
      </c>
      <c r="V2118">
        <v>-4.7427839999999999E-2</v>
      </c>
      <c r="W2118">
        <v>8.8774619999999992E-3</v>
      </c>
      <c r="X2118">
        <v>0.99883519999999903</v>
      </c>
      <c r="Y2118">
        <v>5.8090870000000003E-2</v>
      </c>
      <c r="Z2118">
        <v>1.32394E-3</v>
      </c>
      <c r="AA2118">
        <v>0.99831039999999904</v>
      </c>
      <c r="AB2118">
        <v>34</v>
      </c>
      <c r="AC2118">
        <v>-0.60830000000004203</v>
      </c>
      <c r="AD2118">
        <v>-7.0192000000000004E-2</v>
      </c>
      <c r="AE2118">
        <v>6.1199999999985197E-2</v>
      </c>
      <c r="AF2118">
        <v>5.368361230845E-2</v>
      </c>
      <c r="AG2118">
        <v>-7.0192000000000004E-2</v>
      </c>
      <c r="AH2118">
        <v>0.60102415109891205</v>
      </c>
      <c r="AI2118">
        <v>96.635066940527594</v>
      </c>
      <c r="AJ2118">
        <v>84.895873083036193</v>
      </c>
      <c r="AK2118">
        <v>0.607485701312099</v>
      </c>
    </row>
    <row r="2119" spans="1:37" x14ac:dyDescent="0.2">
      <c r="A2119" t="str">
        <f>"20200111155837035"</f>
        <v>20200111155837035</v>
      </c>
      <c r="B2119" t="str">
        <f>"1578729517023139"</f>
        <v>1578729517023139</v>
      </c>
      <c r="C2119" t="s">
        <v>37</v>
      </c>
      <c r="D2119">
        <v>8.9600410000000004</v>
      </c>
      <c r="E2119">
        <v>0.55072119999999902</v>
      </c>
      <c r="F2119" t="s">
        <v>38</v>
      </c>
      <c r="G2119">
        <v>-370.15469999999999</v>
      </c>
      <c r="H2119">
        <v>1.0401819999999999</v>
      </c>
      <c r="I2119">
        <v>285.74369999999999</v>
      </c>
      <c r="J2119">
        <v>-369.58229999999998</v>
      </c>
      <c r="K2119">
        <v>1.103253</v>
      </c>
      <c r="L2119">
        <v>285.66730000000001</v>
      </c>
      <c r="M2119">
        <v>-0.99981849999999906</v>
      </c>
      <c r="N2119">
        <v>0</v>
      </c>
      <c r="O2119">
        <v>1.224475E-2</v>
      </c>
      <c r="P2119">
        <v>-0.99936259999999999</v>
      </c>
      <c r="Q2119">
        <v>-6.8443109999999996E-3</v>
      </c>
      <c r="R2119">
        <v>-3.5042730000000001E-2</v>
      </c>
      <c r="S2119">
        <v>-3.0104980000000001</v>
      </c>
      <c r="T2119">
        <v>-0.20714560000000001</v>
      </c>
      <c r="U2119">
        <v>0.26632689999999998</v>
      </c>
      <c r="V2119">
        <v>-4.7259160000000001E-2</v>
      </c>
      <c r="W2119">
        <v>7.8627899999999997E-3</v>
      </c>
      <c r="X2119">
        <v>0.99885170000000001</v>
      </c>
      <c r="Y2119">
        <v>7.5767879999999996E-2</v>
      </c>
      <c r="Z2119">
        <v>1.7587099999999999E-3</v>
      </c>
      <c r="AA2119">
        <v>0.99712400000000001</v>
      </c>
      <c r="AB2119">
        <v>34</v>
      </c>
      <c r="AC2119">
        <v>-0.57240000000001601</v>
      </c>
      <c r="AD2119">
        <v>-6.3071000000000099E-2</v>
      </c>
      <c r="AE2119">
        <v>7.6399999999978194E-2</v>
      </c>
      <c r="AF2119">
        <v>6.8566721067503694E-2</v>
      </c>
      <c r="AG2119">
        <v>-6.3071000000000099E-2</v>
      </c>
      <c r="AH2119">
        <v>0.56653468260193396</v>
      </c>
      <c r="AI2119">
        <v>96.3068017008666</v>
      </c>
      <c r="AJ2119">
        <v>83.099153629407297</v>
      </c>
      <c r="AK2119">
        <v>0.57414361693728</v>
      </c>
    </row>
    <row r="2120" spans="1:37" x14ac:dyDescent="0.2">
      <c r="A2120" t="str">
        <f>"20200111155837058"</f>
        <v>20200111155837058</v>
      </c>
      <c r="B2120" t="str">
        <f>"1578729517053396"</f>
        <v>1578729517053396</v>
      </c>
      <c r="C2120" t="s">
        <v>37</v>
      </c>
      <c r="D2120">
        <v>5.996054</v>
      </c>
      <c r="E2120">
        <v>0.55293210000000004</v>
      </c>
      <c r="F2120" t="s">
        <v>38</v>
      </c>
      <c r="G2120">
        <v>-370.46749999999997</v>
      </c>
      <c r="H2120">
        <v>1.0506690000000001</v>
      </c>
      <c r="I2120">
        <v>285.75389999999999</v>
      </c>
      <c r="J2120">
        <v>-369.92610000000002</v>
      </c>
      <c r="K2120">
        <v>1.1032759999999999</v>
      </c>
      <c r="L2120">
        <v>285.67259999999999</v>
      </c>
      <c r="M2120">
        <v>-0.99980550000000001</v>
      </c>
      <c r="N2120">
        <v>0</v>
      </c>
      <c r="O2120">
        <v>1.326891E-2</v>
      </c>
      <c r="P2120">
        <v>-0.99940509999999905</v>
      </c>
      <c r="Q2120">
        <v>-7.6426439999999997E-3</v>
      </c>
      <c r="R2120">
        <v>-3.3631790000000002E-2</v>
      </c>
      <c r="S2120">
        <v>-3.0109560000000002</v>
      </c>
      <c r="T2120">
        <v>-0.1789116</v>
      </c>
      <c r="U2120">
        <v>0.29397579999999901</v>
      </c>
      <c r="V2120">
        <v>-4.6874599999999898E-2</v>
      </c>
      <c r="W2120">
        <v>7.0569569999999896E-3</v>
      </c>
      <c r="X2120">
        <v>0.99887590000000004</v>
      </c>
      <c r="Y2120">
        <v>8.383401E-2</v>
      </c>
      <c r="Z2120">
        <v>1.696812E-3</v>
      </c>
      <c r="AA2120">
        <v>0.99647830000000004</v>
      </c>
      <c r="AB2120">
        <v>34</v>
      </c>
      <c r="AC2120">
        <v>-0.54139999999995303</v>
      </c>
      <c r="AD2120">
        <v>-5.26069999999998E-2</v>
      </c>
      <c r="AE2120">
        <v>8.1299999999998804E-2</v>
      </c>
      <c r="AF2120">
        <v>7.3430270512584994E-2</v>
      </c>
      <c r="AG2120">
        <v>-5.26069999999998E-2</v>
      </c>
      <c r="AH2120">
        <v>0.53746849250294804</v>
      </c>
      <c r="AI2120">
        <v>95.539127355287405</v>
      </c>
      <c r="AJ2120">
        <v>82.220275402567694</v>
      </c>
      <c r="AK2120">
        <v>0.54500631327530802</v>
      </c>
    </row>
    <row r="2121" spans="1:37" x14ac:dyDescent="0.2">
      <c r="A2121" t="str">
        <f>"20200111155837080"</f>
        <v>20200111155837080</v>
      </c>
      <c r="B2121" t="str">
        <f>"1578729517072916"</f>
        <v>1578729517072916</v>
      </c>
      <c r="C2121" t="s">
        <v>37</v>
      </c>
      <c r="D2121">
        <v>6.0098909999999997</v>
      </c>
      <c r="E2121">
        <v>0.55370640000000004</v>
      </c>
      <c r="F2121" t="s">
        <v>50</v>
      </c>
      <c r="G2121">
        <v>-390.52710000000002</v>
      </c>
      <c r="H2121" s="1">
        <v>-1.256294E-6</v>
      </c>
      <c r="I2121">
        <v>287.83890000000002</v>
      </c>
      <c r="J2121">
        <v>-370.26850000000002</v>
      </c>
      <c r="K2121">
        <v>1.1033040000000001</v>
      </c>
      <c r="L2121">
        <v>285.67809999999997</v>
      </c>
      <c r="M2121">
        <v>-0.99979189999999996</v>
      </c>
      <c r="N2121">
        <v>0</v>
      </c>
      <c r="O2121">
        <v>1.4251349999999999E-2</v>
      </c>
      <c r="P2121">
        <v>-0.99943539999999997</v>
      </c>
      <c r="Q2121">
        <v>-8.4523140000000007E-3</v>
      </c>
      <c r="R2121">
        <v>-3.2517219999999999E-2</v>
      </c>
      <c r="S2121">
        <v>-3.0112000000000001</v>
      </c>
      <c r="T2121">
        <v>-0.161263299999999</v>
      </c>
      <c r="U2121">
        <v>0.3166504</v>
      </c>
      <c r="V2121">
        <v>-4.6744340000000002E-2</v>
      </c>
      <c r="W2121">
        <v>6.2391999999999899E-3</v>
      </c>
      <c r="X2121">
        <v>0.99888739999999998</v>
      </c>
      <c r="Y2121">
        <v>9.0287839999999994E-2</v>
      </c>
      <c r="Z2121">
        <v>1.6487959999999999E-3</v>
      </c>
      <c r="AA2121">
        <v>0.99591430000000003</v>
      </c>
      <c r="AB2121">
        <v>34</v>
      </c>
      <c r="AC2121">
        <v>-20.258600000000001</v>
      </c>
      <c r="AD2121">
        <v>-1.103305256294</v>
      </c>
      <c r="AE2121">
        <v>2.1608000000000498</v>
      </c>
      <c r="AF2121">
        <v>1.8663639670777601</v>
      </c>
      <c r="AG2121">
        <v>-1.103305256294</v>
      </c>
      <c r="AH2121">
        <v>20.2280181683102</v>
      </c>
      <c r="AI2121">
        <v>93.108835389831697</v>
      </c>
      <c r="AJ2121">
        <v>84.728456814526794</v>
      </c>
      <c r="AK2121">
        <v>20.343876620832599</v>
      </c>
    </row>
    <row r="2122" spans="1:37" x14ac:dyDescent="0.2">
      <c r="A2122" t="str">
        <f>"20200111155837102"</f>
        <v>20200111155837102</v>
      </c>
      <c r="B2122" t="str">
        <f>"1578729517093411"</f>
        <v>1578729517093411</v>
      </c>
      <c r="C2122" t="s">
        <v>37</v>
      </c>
      <c r="D2122">
        <v>6.1488800000000001</v>
      </c>
      <c r="E2122">
        <v>0.55448379999999997</v>
      </c>
      <c r="F2122" t="s">
        <v>50</v>
      </c>
      <c r="G2122">
        <v>-388.58210000000003</v>
      </c>
      <c r="H2122" s="1">
        <v>3.0301710000000001E-6</v>
      </c>
      <c r="I2122">
        <v>287.65750000000003</v>
      </c>
      <c r="J2122">
        <v>-370.60750000000002</v>
      </c>
      <c r="K2122">
        <v>1.1033379999999999</v>
      </c>
      <c r="L2122">
        <v>285.68400000000003</v>
      </c>
      <c r="M2122">
        <v>-0.99977819999999995</v>
      </c>
      <c r="N2122">
        <v>0</v>
      </c>
      <c r="O2122">
        <v>1.51843999999999E-2</v>
      </c>
      <c r="P2122">
        <v>-0.99945779999999995</v>
      </c>
      <c r="Q2122">
        <v>-8.757964E-3</v>
      </c>
      <c r="R2122">
        <v>-3.17413E-2</v>
      </c>
      <c r="S2122">
        <v>-3.0107729999999999</v>
      </c>
      <c r="T2122">
        <v>-0.181383399999999</v>
      </c>
      <c r="U2122">
        <v>0.3254089</v>
      </c>
      <c r="V2122">
        <v>-4.690209E-2</v>
      </c>
      <c r="W2122">
        <v>5.9259239999999999E-3</v>
      </c>
      <c r="X2122">
        <v>0.99888189999999999</v>
      </c>
      <c r="Y2122">
        <v>9.2207280000000003E-2</v>
      </c>
      <c r="Z2122">
        <v>1.8557629999999901E-3</v>
      </c>
      <c r="AA2122">
        <v>0.99573809999999996</v>
      </c>
      <c r="AB2122">
        <v>34</v>
      </c>
      <c r="AC2122">
        <v>-17.974599999999999</v>
      </c>
      <c r="AD2122">
        <v>-1.103334969829</v>
      </c>
      <c r="AE2122">
        <v>1.9735</v>
      </c>
      <c r="AF2122">
        <v>1.6940030781406901</v>
      </c>
      <c r="AG2122">
        <v>-1.103334969829</v>
      </c>
      <c r="AH2122">
        <v>17.9357222945583</v>
      </c>
      <c r="AI2122">
        <v>93.504617025293399</v>
      </c>
      <c r="AJ2122">
        <v>84.604501918882207</v>
      </c>
      <c r="AK2122">
        <v>18.049297180552799</v>
      </c>
    </row>
    <row r="2123" spans="1:37" x14ac:dyDescent="0.2">
      <c r="A2123" t="str">
        <f>"20200111155837126"</f>
        <v>20200111155837126</v>
      </c>
      <c r="B2123" t="str">
        <f>"1578729517123669"</f>
        <v>1578729517123669</v>
      </c>
      <c r="C2123" t="s">
        <v>37</v>
      </c>
      <c r="D2123">
        <v>6.0429940000000002</v>
      </c>
      <c r="E2123">
        <v>0.55440840000000002</v>
      </c>
      <c r="F2123" t="s">
        <v>50</v>
      </c>
      <c r="G2123">
        <v>-389.36869999999999</v>
      </c>
      <c r="H2123" s="1">
        <v>3.448795E-6</v>
      </c>
      <c r="I2123">
        <v>287.76650000000001</v>
      </c>
      <c r="J2123">
        <v>-370.95859999999999</v>
      </c>
      <c r="K2123">
        <v>1.103378</v>
      </c>
      <c r="L2123">
        <v>285.69029999999998</v>
      </c>
      <c r="M2123">
        <v>-0.99976379999999998</v>
      </c>
      <c r="N2123">
        <v>0</v>
      </c>
      <c r="O2123">
        <v>1.6105700000000001E-2</v>
      </c>
      <c r="P2123">
        <v>-0.99945830000000002</v>
      </c>
      <c r="Q2123">
        <v>-8.2024839999999995E-3</v>
      </c>
      <c r="R2123">
        <v>-3.1877040000000002E-2</v>
      </c>
      <c r="S2123">
        <v>-3.01065099999999</v>
      </c>
      <c r="T2123">
        <v>-0.1770543</v>
      </c>
      <c r="U2123">
        <v>0.334198</v>
      </c>
      <c r="V2123">
        <v>-4.7957390000000003E-2</v>
      </c>
      <c r="W2123">
        <v>6.4747519999999899E-3</v>
      </c>
      <c r="X2123">
        <v>0.99882839999999995</v>
      </c>
      <c r="Y2123">
        <v>9.4171009999999999E-2</v>
      </c>
      <c r="Z2123">
        <v>1.8149100000000001E-3</v>
      </c>
      <c r="AA2123">
        <v>0.99555439999999995</v>
      </c>
      <c r="AB2123">
        <v>34</v>
      </c>
      <c r="AC2123">
        <v>-18.4101</v>
      </c>
      <c r="AD2123">
        <v>-1.1033745512049999</v>
      </c>
      <c r="AE2123">
        <v>2.07620000000002</v>
      </c>
      <c r="AF2123">
        <v>1.77310256483428</v>
      </c>
      <c r="AG2123">
        <v>-1.1033745512049999</v>
      </c>
      <c r="AH2123">
        <v>18.375976659742399</v>
      </c>
      <c r="AI2123">
        <v>93.420317997665094</v>
      </c>
      <c r="AJ2123">
        <v>84.488578159030695</v>
      </c>
      <c r="AK2123">
        <v>18.494265227498701</v>
      </c>
    </row>
    <row r="2124" spans="1:37" x14ac:dyDescent="0.2">
      <c r="A2124" t="str">
        <f>"20200111155837146"</f>
        <v>20200111155837146</v>
      </c>
      <c r="B2124" t="str">
        <f>"1578729517143055"</f>
        <v>1578729517143055</v>
      </c>
      <c r="C2124" t="s">
        <v>37</v>
      </c>
      <c r="D2124">
        <v>6.2151649999999998</v>
      </c>
      <c r="E2124">
        <v>0.55455559999999904</v>
      </c>
      <c r="F2124" t="s">
        <v>38</v>
      </c>
      <c r="G2124">
        <v>-371.98020000000002</v>
      </c>
      <c r="H2124">
        <v>1.044848</v>
      </c>
      <c r="I2124">
        <v>285.80360000000002</v>
      </c>
      <c r="J2124">
        <v>-371.28320000000002</v>
      </c>
      <c r="K2124">
        <v>1.1034219999999999</v>
      </c>
      <c r="L2124">
        <v>285.69639999999998</v>
      </c>
      <c r="M2124">
        <v>-0.99975059999999905</v>
      </c>
      <c r="N2124">
        <v>0</v>
      </c>
      <c r="O2124">
        <v>1.6910599999999901E-2</v>
      </c>
      <c r="P2124">
        <v>-0.99945409999999901</v>
      </c>
      <c r="Q2124">
        <v>-6.4874469999999899E-3</v>
      </c>
      <c r="R2124">
        <v>-3.2399890000000001E-2</v>
      </c>
      <c r="S2124">
        <v>-3.010834</v>
      </c>
      <c r="T2124">
        <v>-0.1725476</v>
      </c>
      <c r="U2124">
        <v>0.33331300000000003</v>
      </c>
      <c r="V2124">
        <v>-4.9282220000000002E-2</v>
      </c>
      <c r="W2124">
        <v>8.1832139999999994E-3</v>
      </c>
      <c r="X2124">
        <v>0.99875130000000001</v>
      </c>
      <c r="Y2124">
        <v>9.3083520000000003E-2</v>
      </c>
      <c r="Z2124">
        <v>1.69174E-3</v>
      </c>
      <c r="AA2124">
        <v>0.99565680000000001</v>
      </c>
      <c r="AB2124">
        <v>34</v>
      </c>
      <c r="AC2124">
        <v>-0.69700000000000195</v>
      </c>
      <c r="AD2124">
        <v>-5.8573999999999897E-2</v>
      </c>
      <c r="AE2124">
        <v>0.107200000000034</v>
      </c>
      <c r="AF2124">
        <v>9.4743086196259096E-2</v>
      </c>
      <c r="AG2124">
        <v>-5.8573999999999897E-2</v>
      </c>
      <c r="AH2124">
        <v>0.69392587744370504</v>
      </c>
      <c r="AI2124">
        <v>94.780731396307999</v>
      </c>
      <c r="AJ2124">
        <v>82.225363910262999</v>
      </c>
      <c r="AK2124">
        <v>0.70280885683378203</v>
      </c>
    </row>
    <row r="2125" spans="1:37" x14ac:dyDescent="0.2">
      <c r="A2125" t="str">
        <f>"20200111155837169"</f>
        <v>20200111155837169</v>
      </c>
      <c r="B2125" t="str">
        <f>"1578729517163551"</f>
        <v>1578729517163551</v>
      </c>
      <c r="C2125" t="s">
        <v>37</v>
      </c>
      <c r="D2125">
        <v>6.1146019999999996</v>
      </c>
      <c r="E2125">
        <v>0.55451260000000002</v>
      </c>
      <c r="F2125" t="s">
        <v>38</v>
      </c>
      <c r="G2125">
        <v>-372.28609999999998</v>
      </c>
      <c r="H2125">
        <v>1.0490409999999999</v>
      </c>
      <c r="I2125">
        <v>285.80739999999997</v>
      </c>
      <c r="J2125">
        <v>-371.6232</v>
      </c>
      <c r="K2125">
        <v>1.103458</v>
      </c>
      <c r="L2125">
        <v>285.70299999999997</v>
      </c>
      <c r="M2125">
        <v>-0.99973670000000003</v>
      </c>
      <c r="N2125">
        <v>0</v>
      </c>
      <c r="O2125">
        <v>1.771555E-2</v>
      </c>
      <c r="P2125">
        <v>-0.99946369999999896</v>
      </c>
      <c r="Q2125">
        <v>-5.6675859999999996E-3</v>
      </c>
      <c r="R2125">
        <v>-3.2253810000000001E-2</v>
      </c>
      <c r="S2125">
        <v>-3.0113829999999999</v>
      </c>
      <c r="T2125">
        <v>-0.16328899999999999</v>
      </c>
      <c r="U2125">
        <v>0.33297729999999998</v>
      </c>
      <c r="V2125">
        <v>-4.9939070000000002E-2</v>
      </c>
      <c r="W2125">
        <v>8.9952379999999992E-3</v>
      </c>
      <c r="X2125">
        <v>0.99871180000000004</v>
      </c>
      <c r="Y2125">
        <v>9.2167719999999995E-2</v>
      </c>
      <c r="Z2125">
        <v>1.532622E-3</v>
      </c>
      <c r="AA2125">
        <v>0.99574229999999997</v>
      </c>
      <c r="AB2125">
        <v>34</v>
      </c>
      <c r="AC2125">
        <v>-0.66289999999997895</v>
      </c>
      <c r="AD2125">
        <v>-5.4417000000000097E-2</v>
      </c>
      <c r="AE2125">
        <v>0.10439999999999799</v>
      </c>
      <c r="AF2125">
        <v>9.2033553417161296E-2</v>
      </c>
      <c r="AG2125">
        <v>-5.4417000000000097E-2</v>
      </c>
      <c r="AH2125">
        <v>0.660303780192942</v>
      </c>
      <c r="AI2125">
        <v>94.666311112088394</v>
      </c>
      <c r="AJ2125">
        <v>82.065197962805598</v>
      </c>
      <c r="AK2125">
        <v>0.66890392955990197</v>
      </c>
    </row>
    <row r="2126" spans="1:37" x14ac:dyDescent="0.2">
      <c r="A2126" t="str">
        <f>"20200111155837191"</f>
        <v>20200111155837191</v>
      </c>
      <c r="B2126" t="str">
        <f>"1578729517183071"</f>
        <v>1578729517183071</v>
      </c>
      <c r="C2126" t="s">
        <v>37</v>
      </c>
      <c r="D2126">
        <v>6.0059879999999897</v>
      </c>
      <c r="E2126">
        <v>0.55467599999999995</v>
      </c>
      <c r="F2126" t="s">
        <v>50</v>
      </c>
      <c r="G2126">
        <v>-392.26499999999999</v>
      </c>
      <c r="H2126" s="1">
        <v>-3.314618E-7</v>
      </c>
      <c r="I2126">
        <v>287.98540000000003</v>
      </c>
      <c r="J2126">
        <v>-371.95370000000003</v>
      </c>
      <c r="K2126">
        <v>1.103504</v>
      </c>
      <c r="L2126">
        <v>285.7097</v>
      </c>
      <c r="M2126">
        <v>-0.99972340000000004</v>
      </c>
      <c r="N2126">
        <v>0</v>
      </c>
      <c r="O2126">
        <v>1.845596E-2</v>
      </c>
      <c r="P2126">
        <v>-0.99947160000000002</v>
      </c>
      <c r="Q2126">
        <v>-4.7236989999999996E-3</v>
      </c>
      <c r="R2126">
        <v>-3.2162940000000001E-2</v>
      </c>
      <c r="S2126">
        <v>-3.011444</v>
      </c>
      <c r="T2126">
        <v>-0.1609843</v>
      </c>
      <c r="U2126">
        <v>0.33297729999999998</v>
      </c>
      <c r="V2126">
        <v>-5.0587220000000002E-2</v>
      </c>
      <c r="W2126">
        <v>9.9307489999999991E-3</v>
      </c>
      <c r="X2126">
        <v>0.99867030000000001</v>
      </c>
      <c r="Y2126">
        <v>9.1433130000000001E-2</v>
      </c>
      <c r="Z2126">
        <v>1.4520170000000001E-3</v>
      </c>
      <c r="AA2126">
        <v>0.99581019999999898</v>
      </c>
      <c r="AB2126">
        <v>34</v>
      </c>
      <c r="AC2126">
        <v>-20.3112999999999</v>
      </c>
      <c r="AD2126">
        <v>-1.1035043314618</v>
      </c>
      <c r="AE2126">
        <v>2.27570000000002</v>
      </c>
      <c r="AF2126">
        <v>1.8948841373779599</v>
      </c>
      <c r="AG2126">
        <v>-1.1035043314618</v>
      </c>
      <c r="AH2126">
        <v>20.290694832859199</v>
      </c>
      <c r="AI2126">
        <v>93.099490224206306</v>
      </c>
      <c r="AJ2126">
        <v>84.664801158978705</v>
      </c>
      <c r="AK2126">
        <v>20.408836431895399</v>
      </c>
    </row>
    <row r="2127" spans="1:37" x14ac:dyDescent="0.2">
      <c r="A2127" t="str">
        <f>"20200111155837213"</f>
        <v>20200111155837213</v>
      </c>
      <c r="B2127" t="str">
        <f>"1578729517203566"</f>
        <v>1578729517203566</v>
      </c>
      <c r="C2127" t="s">
        <v>37</v>
      </c>
      <c r="D2127">
        <v>6.1010160000000004</v>
      </c>
      <c r="E2127">
        <v>0.55493409999999999</v>
      </c>
      <c r="F2127" t="s">
        <v>38</v>
      </c>
      <c r="G2127">
        <v>-372.89139999999998</v>
      </c>
      <c r="H2127">
        <v>1.0512410000000001</v>
      </c>
      <c r="I2127">
        <v>285.81380000000001</v>
      </c>
      <c r="J2127">
        <v>-372.28530000000001</v>
      </c>
      <c r="K2127">
        <v>1.1035489999999999</v>
      </c>
      <c r="L2127">
        <v>285.7165</v>
      </c>
      <c r="M2127">
        <v>-0.99971049999999995</v>
      </c>
      <c r="N2127">
        <v>0</v>
      </c>
      <c r="O2127">
        <v>1.9148979999999999E-2</v>
      </c>
      <c r="P2127">
        <v>-0.99948590000000004</v>
      </c>
      <c r="Q2127">
        <v>-4.7753629999999899E-3</v>
      </c>
      <c r="R2127">
        <v>-3.1710200000000001E-2</v>
      </c>
      <c r="S2127">
        <v>-3.011536</v>
      </c>
      <c r="T2127">
        <v>-0.1679224</v>
      </c>
      <c r="U2127">
        <v>0.33432009999999901</v>
      </c>
      <c r="V2127">
        <v>-5.0828209999999999E-2</v>
      </c>
      <c r="W2127">
        <v>9.870195E-3</v>
      </c>
      <c r="X2127">
        <v>0.99865869999999901</v>
      </c>
      <c r="Y2127">
        <v>9.1170580000000001E-2</v>
      </c>
      <c r="Z2127">
        <v>1.4686549999999999E-3</v>
      </c>
      <c r="AA2127">
        <v>0.995834199999999</v>
      </c>
      <c r="AB2127">
        <v>34</v>
      </c>
      <c r="AC2127">
        <v>-0.606099999999969</v>
      </c>
      <c r="AD2127">
        <v>-5.2307999999999799E-2</v>
      </c>
      <c r="AE2127">
        <v>9.7300000000018302E-2</v>
      </c>
      <c r="AF2127">
        <v>8.5057126112247999E-2</v>
      </c>
      <c r="AG2127">
        <v>-5.2307999999999799E-2</v>
      </c>
      <c r="AH2127">
        <v>0.60347043082848795</v>
      </c>
      <c r="AI2127">
        <v>94.905690390651301</v>
      </c>
      <c r="AJ2127">
        <v>81.977201017667397</v>
      </c>
      <c r="AK2127">
        <v>0.61167589657497101</v>
      </c>
    </row>
    <row r="2128" spans="1:37" x14ac:dyDescent="0.2">
      <c r="A2128" t="str">
        <f>"20200111155837235"</f>
        <v>20200111155837235</v>
      </c>
      <c r="B2128" t="str">
        <f>"1578729517232847"</f>
        <v>1578729517232847</v>
      </c>
      <c r="C2128" t="s">
        <v>37</v>
      </c>
      <c r="D2128">
        <v>6.0102719999999996</v>
      </c>
      <c r="E2128">
        <v>0.55513449999999998</v>
      </c>
      <c r="F2128" t="s">
        <v>38</v>
      </c>
      <c r="G2128">
        <v>-373.19880000000001</v>
      </c>
      <c r="H2128">
        <v>1.0516829999999999</v>
      </c>
      <c r="I2128">
        <v>285.81920000000002</v>
      </c>
      <c r="J2128">
        <v>-372.62130000000002</v>
      </c>
      <c r="K2128">
        <v>1.1035979999999901</v>
      </c>
      <c r="L2128">
        <v>285.72370000000001</v>
      </c>
      <c r="M2128">
        <v>-0.99969809999999903</v>
      </c>
      <c r="N2128">
        <v>0</v>
      </c>
      <c r="O2128">
        <v>1.9790249999999999E-2</v>
      </c>
      <c r="P2128">
        <v>-0.99951029999999996</v>
      </c>
      <c r="Q2128">
        <v>-5.2757689999999996E-3</v>
      </c>
      <c r="R2128">
        <v>-3.0848710000000001E-2</v>
      </c>
      <c r="S2128">
        <v>-3.0115050000000001</v>
      </c>
      <c r="T2128">
        <v>-0.171152</v>
      </c>
      <c r="U2128">
        <v>0.33758539999999998</v>
      </c>
      <c r="V2128">
        <v>-5.061036E-2</v>
      </c>
      <c r="W2128">
        <v>9.359526E-3</v>
      </c>
      <c r="X2128">
        <v>0.99867459999999997</v>
      </c>
      <c r="Y2128">
        <v>9.1595490000000002E-2</v>
      </c>
      <c r="Z2128">
        <v>1.472531E-3</v>
      </c>
      <c r="AA2128">
        <v>0.99579519999999899</v>
      </c>
      <c r="AB2128">
        <v>34</v>
      </c>
      <c r="AC2128">
        <v>-0.57749999999998602</v>
      </c>
      <c r="AD2128">
        <v>-5.1914999999999899E-2</v>
      </c>
      <c r="AE2128">
        <v>9.5500000000015406E-2</v>
      </c>
      <c r="AF2128">
        <v>8.3395208322211895E-2</v>
      </c>
      <c r="AG2128">
        <v>-5.1914999999999899E-2</v>
      </c>
      <c r="AH2128">
        <v>0.57475590152887102</v>
      </c>
      <c r="AI2128">
        <v>95.1080500799155</v>
      </c>
      <c r="AJ2128">
        <v>81.744184119709004</v>
      </c>
      <c r="AK2128">
        <v>0.58309027974951699</v>
      </c>
    </row>
    <row r="2129" spans="1:37" x14ac:dyDescent="0.2">
      <c r="A2129" t="str">
        <f>"20200111155837250"</f>
        <v>20200111155837250</v>
      </c>
      <c r="B2129" t="str">
        <f>"1578729517243251"</f>
        <v>1578729517243251</v>
      </c>
      <c r="C2129" t="s">
        <v>37</v>
      </c>
      <c r="D2129">
        <v>5.9377879999999896</v>
      </c>
      <c r="E2129">
        <v>0.55521860000000001</v>
      </c>
      <c r="F2129" t="s">
        <v>38</v>
      </c>
      <c r="G2129">
        <v>-373.49270000000001</v>
      </c>
      <c r="H2129">
        <v>1.0506009999999999</v>
      </c>
      <c r="I2129">
        <v>285.82249999999999</v>
      </c>
      <c r="J2129">
        <v>-372.83890000000002</v>
      </c>
      <c r="K2129">
        <v>1.1036349999999999</v>
      </c>
      <c r="L2129">
        <v>285.72840000000002</v>
      </c>
      <c r="M2129">
        <v>-0.99969039999999998</v>
      </c>
      <c r="N2129">
        <v>0</v>
      </c>
      <c r="O2129">
        <v>2.016981E-2</v>
      </c>
      <c r="P2129">
        <v>-0.99952260000000004</v>
      </c>
      <c r="Q2129">
        <v>-5.2547280000000002E-3</v>
      </c>
      <c r="R2129">
        <v>-3.044703E-2</v>
      </c>
      <c r="S2129">
        <v>-3.011047</v>
      </c>
      <c r="T2129">
        <v>-0.18316170000000001</v>
      </c>
      <c r="U2129">
        <v>0.34146120000000002</v>
      </c>
      <c r="V2129">
        <v>-5.058845E-2</v>
      </c>
      <c r="W2129">
        <v>9.3728749999999993E-3</v>
      </c>
      <c r="X2129">
        <v>0.998675599999999</v>
      </c>
      <c r="Y2129">
        <v>9.2482270000000005E-2</v>
      </c>
      <c r="Z2129">
        <v>1.579684E-3</v>
      </c>
      <c r="AA2129">
        <v>0.99571309999999902</v>
      </c>
      <c r="AB2129">
        <v>34</v>
      </c>
      <c r="AC2129">
        <v>-0.65379999999998895</v>
      </c>
      <c r="AD2129">
        <v>-5.3033999999999998E-2</v>
      </c>
      <c r="AE2129">
        <v>9.4099999999969E-2</v>
      </c>
      <c r="AF2129">
        <v>8.0374309868977797E-2</v>
      </c>
      <c r="AG2129">
        <v>-5.3033999999999998E-2</v>
      </c>
      <c r="AH2129">
        <v>0.651366209894638</v>
      </c>
      <c r="AI2129">
        <v>94.619849487152095</v>
      </c>
      <c r="AJ2129">
        <v>82.965635114517497</v>
      </c>
      <c r="AK2129">
        <v>0.658445574239375</v>
      </c>
    </row>
    <row r="2130" spans="1:37" x14ac:dyDescent="0.2">
      <c r="A2130" t="str">
        <f>"20200111155837269"</f>
        <v>20200111155837269</v>
      </c>
      <c r="B2130" t="str">
        <f>"1578729517263747"</f>
        <v>1578729517263747</v>
      </c>
      <c r="C2130" t="s">
        <v>37</v>
      </c>
      <c r="D2130">
        <v>5.9798150000000003</v>
      </c>
      <c r="E2130">
        <v>0.55531980000000003</v>
      </c>
      <c r="F2130" t="s">
        <v>38</v>
      </c>
      <c r="G2130">
        <v>-373.78840000000002</v>
      </c>
      <c r="H2130">
        <v>1.0450250000000001</v>
      </c>
      <c r="I2130">
        <v>285.83679999999998</v>
      </c>
      <c r="J2130">
        <v>-373.12560000000002</v>
      </c>
      <c r="K2130">
        <v>1.1036919999999999</v>
      </c>
      <c r="L2130">
        <v>285.7346</v>
      </c>
      <c r="M2130">
        <v>-0.99968129999999999</v>
      </c>
      <c r="N2130">
        <v>0</v>
      </c>
      <c r="O2130">
        <v>2.0616889999999999E-2</v>
      </c>
      <c r="P2130">
        <v>-0.99954580000000004</v>
      </c>
      <c r="Q2130">
        <v>-5.5162719999999896E-3</v>
      </c>
      <c r="R2130">
        <v>-2.962217E-2</v>
      </c>
      <c r="S2130">
        <v>-3.0109249999999999</v>
      </c>
      <c r="T2130">
        <v>-0.18590100000000001</v>
      </c>
      <c r="U2130">
        <v>0.34320070000000003</v>
      </c>
      <c r="V2130">
        <v>-5.0213319999999999E-2</v>
      </c>
      <c r="W2130">
        <v>9.1006149999999994E-3</v>
      </c>
      <c r="X2130">
        <v>0.99869699999999995</v>
      </c>
      <c r="Y2130">
        <v>9.2606040000000001E-2</v>
      </c>
      <c r="Z2130">
        <v>1.5796129999999999E-3</v>
      </c>
      <c r="AA2130">
        <v>0.99570159999999996</v>
      </c>
      <c r="AB2130">
        <v>34</v>
      </c>
      <c r="AC2130">
        <v>-0.66280000000000405</v>
      </c>
      <c r="AD2130">
        <v>-5.8666999999999997E-2</v>
      </c>
      <c r="AE2130">
        <v>0.102199999999982</v>
      </c>
      <c r="AF2130">
        <v>8.7839731625828796E-2</v>
      </c>
      <c r="AG2130">
        <v>-5.8666999999999997E-2</v>
      </c>
      <c r="AH2130">
        <v>0.65971770272673003</v>
      </c>
      <c r="AI2130">
        <v>95.037573087019098</v>
      </c>
      <c r="AJ2130">
        <v>82.415821032055405</v>
      </c>
      <c r="AK2130">
        <v>0.66812055995316599</v>
      </c>
    </row>
    <row r="2131" spans="1:37" x14ac:dyDescent="0.2">
      <c r="A2131" t="str">
        <f>"20200111155837284"</f>
        <v>20200111155837284</v>
      </c>
      <c r="B2131" t="str">
        <f>"1578729517273507"</f>
        <v>1578729517273507</v>
      </c>
      <c r="C2131" t="s">
        <v>37</v>
      </c>
      <c r="D2131">
        <v>5.978694</v>
      </c>
      <c r="E2131">
        <v>0.55535190000000001</v>
      </c>
      <c r="F2131" t="s">
        <v>38</v>
      </c>
      <c r="G2131">
        <v>-374.08620000000002</v>
      </c>
      <c r="H2131">
        <v>1.0423420000000001</v>
      </c>
      <c r="I2131">
        <v>285.84519999999998</v>
      </c>
      <c r="J2131">
        <v>-373.35469999999998</v>
      </c>
      <c r="K2131">
        <v>1.1037399999999999</v>
      </c>
      <c r="L2131">
        <v>285.73970000000003</v>
      </c>
      <c r="M2131">
        <v>-0.99967490000000003</v>
      </c>
      <c r="N2131">
        <v>0</v>
      </c>
      <c r="O2131">
        <v>2.0931559999999998E-2</v>
      </c>
      <c r="P2131">
        <v>-0.99956309999999904</v>
      </c>
      <c r="Q2131">
        <v>-5.0055719999999998E-3</v>
      </c>
      <c r="R2131">
        <v>-2.9129869999999999E-2</v>
      </c>
      <c r="S2131">
        <v>-3.0105900000000001</v>
      </c>
      <c r="T2131">
        <v>-0.192302</v>
      </c>
      <c r="U2131">
        <v>0.34619139999999998</v>
      </c>
      <c r="V2131">
        <v>-5.0035929999999999E-2</v>
      </c>
      <c r="W2131">
        <v>9.6017480000000002E-3</v>
      </c>
      <c r="X2131">
        <v>0.99870130000000001</v>
      </c>
      <c r="Y2131">
        <v>9.327125E-2</v>
      </c>
      <c r="Z2131">
        <v>1.6351409999999999E-3</v>
      </c>
      <c r="AA2131">
        <v>0.99563939999999995</v>
      </c>
      <c r="AB2131">
        <v>34</v>
      </c>
      <c r="AC2131">
        <v>-0.73150000000003901</v>
      </c>
      <c r="AD2131">
        <v>-6.13979999999998E-2</v>
      </c>
      <c r="AE2131">
        <v>0.105499999999949</v>
      </c>
      <c r="AF2131">
        <v>8.9545828117514104E-2</v>
      </c>
      <c r="AG2131">
        <v>-6.13979999999998E-2</v>
      </c>
      <c r="AH2131">
        <v>0.72852038614055104</v>
      </c>
      <c r="AI2131">
        <v>94.781555012041693</v>
      </c>
      <c r="AJ2131">
        <v>82.992657273210597</v>
      </c>
      <c r="AK2131">
        <v>0.736566441510628</v>
      </c>
    </row>
    <row r="2132" spans="1:37" x14ac:dyDescent="0.2">
      <c r="A2132" t="str">
        <f>"20200111155837349"</f>
        <v>20200111155837349</v>
      </c>
      <c r="B2132" t="str">
        <f>"1578729517343462"</f>
        <v>1578729517343462</v>
      </c>
      <c r="C2132" t="s">
        <v>37</v>
      </c>
      <c r="D2132">
        <v>5.8635999999999999</v>
      </c>
      <c r="E2132">
        <v>0.51270039999999995</v>
      </c>
      <c r="F2132" t="s">
        <v>50</v>
      </c>
      <c r="G2132">
        <v>-390.5736</v>
      </c>
      <c r="H2132" s="1">
        <v>-1.2315599999999999E-6</v>
      </c>
      <c r="I2132">
        <v>287.73079999999999</v>
      </c>
      <c r="J2132">
        <v>-374.3066</v>
      </c>
      <c r="K2132">
        <v>1.1039920000000001</v>
      </c>
      <c r="L2132">
        <v>285.76089999999999</v>
      </c>
      <c r="M2132">
        <v>-0.99965859999999995</v>
      </c>
      <c r="N2132">
        <v>0</v>
      </c>
      <c r="O2132">
        <v>2.1706860000000001E-2</v>
      </c>
      <c r="P2132">
        <v>-0.99960199999999999</v>
      </c>
      <c r="Q2132">
        <v>-4.9323149999999996E-3</v>
      </c>
      <c r="R2132">
        <v>-2.777603E-2</v>
      </c>
      <c r="S2132">
        <v>-3.010529</v>
      </c>
      <c r="T2132">
        <v>-0.19297719999999999</v>
      </c>
      <c r="U2132">
        <v>0.34811399999999998</v>
      </c>
      <c r="V2132">
        <v>-4.9463979999999998E-2</v>
      </c>
      <c r="W2132">
        <v>9.6336960000000006E-3</v>
      </c>
      <c r="X2132">
        <v>0.99872950000000005</v>
      </c>
      <c r="Y2132">
        <v>9.3129719999999999E-2</v>
      </c>
      <c r="Z2132">
        <v>1.586882E-3</v>
      </c>
      <c r="AA2132">
        <v>0.99565269999999995</v>
      </c>
      <c r="AB2132">
        <v>34</v>
      </c>
      <c r="AC2132">
        <v>-16.2669999999999</v>
      </c>
      <c r="AD2132">
        <v>-1.1039932315600001</v>
      </c>
      <c r="AE2132">
        <v>1.96989999999999</v>
      </c>
      <c r="AF2132">
        <v>1.60898912030021</v>
      </c>
      <c r="AG2132">
        <v>-1.1039932315600001</v>
      </c>
      <c r="AH2132">
        <v>16.232247064918301</v>
      </c>
      <c r="AI2132">
        <v>93.871911770604399</v>
      </c>
      <c r="AJ2132">
        <v>84.339161729796601</v>
      </c>
      <c r="AK2132">
        <v>16.3491128756616</v>
      </c>
    </row>
    <row r="2133" spans="1:37" x14ac:dyDescent="0.2">
      <c r="A2133" t="str">
        <f>"20200111155837370"</f>
        <v>20200111155837370</v>
      </c>
      <c r="B2133" t="str">
        <f>"1578729517362981"</f>
        <v>1578729517362981</v>
      </c>
      <c r="C2133" t="s">
        <v>37</v>
      </c>
      <c r="D2133">
        <v>5.7943629999999997</v>
      </c>
      <c r="E2133">
        <v>0.51320869999999996</v>
      </c>
      <c r="F2133" t="s">
        <v>52</v>
      </c>
      <c r="G2133">
        <v>-416.45870000000002</v>
      </c>
      <c r="H2133" s="1">
        <v>3.2320530000000001E-6</v>
      </c>
      <c r="I2133">
        <v>285.98169999999999</v>
      </c>
      <c r="J2133">
        <v>-374.64389999999997</v>
      </c>
      <c r="K2133">
        <v>1.1040859999999999</v>
      </c>
      <c r="L2133">
        <v>285.76839999999999</v>
      </c>
      <c r="M2133">
        <v>-0.99965689999999996</v>
      </c>
      <c r="N2133">
        <v>0</v>
      </c>
      <c r="O2133">
        <v>2.178511E-2</v>
      </c>
      <c r="P2133">
        <v>-0.9996138</v>
      </c>
      <c r="Q2133">
        <v>-5.3915880000000001E-3</v>
      </c>
      <c r="R2133">
        <v>-2.725677E-2</v>
      </c>
      <c r="S2133">
        <v>-3.0012509999999999</v>
      </c>
      <c r="T2133">
        <v>-7.8604579999999993E-2</v>
      </c>
      <c r="U2133">
        <v>1.5716549999999999E-2</v>
      </c>
      <c r="V2133">
        <v>-4.9025099999999898E-2</v>
      </c>
      <c r="W2133">
        <v>9.1597380000000006E-3</v>
      </c>
      <c r="X2133">
        <v>0.99875559999999997</v>
      </c>
      <c r="Y2133">
        <v>-1.6538629999999999E-2</v>
      </c>
      <c r="Z2133">
        <v>-7.8702160000000004E-4</v>
      </c>
      <c r="AA2133">
        <v>0.9998629</v>
      </c>
      <c r="AB2133">
        <v>33</v>
      </c>
      <c r="AC2133">
        <v>-41.814799999999998</v>
      </c>
      <c r="AD2133">
        <v>-1.104082767947</v>
      </c>
      <c r="AE2133">
        <v>0.21330000000000299</v>
      </c>
      <c r="AF2133">
        <v>-0.697300863028393</v>
      </c>
      <c r="AG2133">
        <v>-1.104082767947</v>
      </c>
      <c r="AH2133">
        <v>41.780393931364003</v>
      </c>
      <c r="AI2133">
        <v>91.513527172933806</v>
      </c>
      <c r="AJ2133">
        <v>90.956158711059103</v>
      </c>
      <c r="AK2133">
        <v>41.800795977014801</v>
      </c>
    </row>
    <row r="2134" spans="1:37" x14ac:dyDescent="0.2">
      <c r="A2134" t="str">
        <f>"20200111155837392"</f>
        <v>20200111155837392</v>
      </c>
      <c r="B2134" t="str">
        <f>"1578729517383477"</f>
        <v>1578729517383477</v>
      </c>
      <c r="C2134" t="s">
        <v>37</v>
      </c>
      <c r="D2134">
        <v>5.806762</v>
      </c>
      <c r="E2134">
        <v>0.51486100000000001</v>
      </c>
      <c r="F2134" t="s">
        <v>50</v>
      </c>
      <c r="G2134">
        <v>-390.04360000000003</v>
      </c>
      <c r="H2134" s="1">
        <v>-1.513571E-6</v>
      </c>
      <c r="I2134">
        <v>285.85480000000001</v>
      </c>
      <c r="J2134">
        <v>-374.96100000000001</v>
      </c>
      <c r="K2134">
        <v>1.1041609999999999</v>
      </c>
      <c r="L2134">
        <v>285.77539999999999</v>
      </c>
      <c r="M2134">
        <v>-0.99965700000000002</v>
      </c>
      <c r="N2134">
        <v>0</v>
      </c>
      <c r="O2134">
        <v>2.1783879999999999E-2</v>
      </c>
      <c r="P2134">
        <v>-0.99963670000000004</v>
      </c>
      <c r="Q2134">
        <v>-5.3995659999999997E-3</v>
      </c>
      <c r="R2134">
        <v>-2.6411980000000002E-2</v>
      </c>
      <c r="S2134">
        <v>-3.0004270000000002</v>
      </c>
      <c r="T2134">
        <v>-0.2151158</v>
      </c>
      <c r="U2134">
        <v>1.6845699999999901E-2</v>
      </c>
      <c r="V2134">
        <v>-4.8181189999999999E-2</v>
      </c>
      <c r="W2134">
        <v>9.1392360000000002E-3</v>
      </c>
      <c r="X2134">
        <v>0.99879680000000004</v>
      </c>
      <c r="Y2134">
        <v>-1.607565E-2</v>
      </c>
      <c r="Z2134">
        <v>-2.1353600000000002E-3</v>
      </c>
      <c r="AA2134">
        <v>0.99986849999999905</v>
      </c>
      <c r="AB2134">
        <v>33</v>
      </c>
      <c r="AC2134">
        <v>-15.082599999999999</v>
      </c>
      <c r="AD2134">
        <v>-1.104162513571</v>
      </c>
      <c r="AE2134">
        <v>7.9400000000020995E-2</v>
      </c>
      <c r="AF2134">
        <v>-0.247882661270627</v>
      </c>
      <c r="AG2134">
        <v>-1.104162513571</v>
      </c>
      <c r="AH2134">
        <v>15.000359793602099</v>
      </c>
      <c r="AI2134">
        <v>94.209323800210399</v>
      </c>
      <c r="AJ2134">
        <v>90.946733138217098</v>
      </c>
      <c r="AK2134">
        <v>15.0429855616379</v>
      </c>
    </row>
    <row r="2135" spans="1:37" x14ac:dyDescent="0.2">
      <c r="A2135" t="str">
        <f>"20200111155837414"</f>
        <v>20200111155837414</v>
      </c>
      <c r="B2135" t="str">
        <f>"1578729517402998"</f>
        <v>1578729517402998</v>
      </c>
      <c r="C2135" t="s">
        <v>37</v>
      </c>
      <c r="D2135">
        <v>5.7887129999999898</v>
      </c>
      <c r="E2135">
        <v>0.51533660000000003</v>
      </c>
      <c r="F2135" t="s">
        <v>38</v>
      </c>
      <c r="G2135">
        <v>-375.8775</v>
      </c>
      <c r="H2135">
        <v>1.030046</v>
      </c>
      <c r="I2135">
        <v>285.7851</v>
      </c>
      <c r="J2135">
        <v>-375.29329999999999</v>
      </c>
      <c r="K2135">
        <v>1.1042430000000001</v>
      </c>
      <c r="L2135">
        <v>285.7826</v>
      </c>
      <c r="M2135">
        <v>-0.99965910000000002</v>
      </c>
      <c r="N2135">
        <v>0</v>
      </c>
      <c r="O2135">
        <v>2.1688869999999999E-2</v>
      </c>
      <c r="P2135">
        <v>-0.99966449999999996</v>
      </c>
      <c r="Q2135">
        <v>-4.1763570000000003E-3</v>
      </c>
      <c r="R2135">
        <v>-2.556131E-2</v>
      </c>
      <c r="S2135">
        <v>-3.00061</v>
      </c>
      <c r="T2135">
        <v>-0.2426372</v>
      </c>
      <c r="U2135">
        <v>3.1616209999999999E-2</v>
      </c>
      <c r="V2135">
        <v>-4.7238090000000003E-2</v>
      </c>
      <c r="W2135">
        <v>1.0350349999999999E-2</v>
      </c>
      <c r="X2135">
        <v>0.998829999999999</v>
      </c>
      <c r="Y2135">
        <v>-1.104959E-2</v>
      </c>
      <c r="Z2135">
        <v>-2.1969529999999902E-3</v>
      </c>
      <c r="AA2135">
        <v>0.99993650000000001</v>
      </c>
      <c r="AB2135">
        <v>33</v>
      </c>
      <c r="AC2135">
        <v>-0.58420000000000905</v>
      </c>
      <c r="AD2135">
        <v>-7.4196999999999999E-2</v>
      </c>
      <c r="AE2135">
        <v>2.4999999999977202E-3</v>
      </c>
      <c r="AF2135">
        <v>-1.0011083298522599E-2</v>
      </c>
      <c r="AG2135">
        <v>-7.4196999999999999E-2</v>
      </c>
      <c r="AH2135">
        <v>0.57484438178098896</v>
      </c>
      <c r="AI2135">
        <v>97.353583502268094</v>
      </c>
      <c r="AJ2135">
        <v>90.997721924925301</v>
      </c>
      <c r="AK2135">
        <v>0.57969947374736996</v>
      </c>
    </row>
    <row r="2136" spans="1:37" x14ac:dyDescent="0.2">
      <c r="A2136" t="str">
        <f>"20200111155837437"</f>
        <v>20200111155837437</v>
      </c>
      <c r="B2136" t="str">
        <f>"1578729517433253"</f>
        <v>1578729517433253</v>
      </c>
      <c r="C2136" t="s">
        <v>37</v>
      </c>
      <c r="D2136">
        <v>5.7949619999999999</v>
      </c>
      <c r="E2136">
        <v>0.5158334</v>
      </c>
      <c r="F2136" t="s">
        <v>38</v>
      </c>
      <c r="G2136">
        <v>-376.17590000000001</v>
      </c>
      <c r="H2136">
        <v>1.03194599999999</v>
      </c>
      <c r="I2136">
        <v>285.79410000000001</v>
      </c>
      <c r="J2136">
        <v>-375.6345</v>
      </c>
      <c r="K2136">
        <v>1.1043419999999999</v>
      </c>
      <c r="L2136">
        <v>285.78989999999999</v>
      </c>
      <c r="M2136">
        <v>-0.99966369999999904</v>
      </c>
      <c r="N2136">
        <v>0</v>
      </c>
      <c r="O2136">
        <v>2.147806E-2</v>
      </c>
      <c r="P2136">
        <v>-0.99969569999999996</v>
      </c>
      <c r="Q2136">
        <v>-3.2338759999999901E-3</v>
      </c>
      <c r="R2136">
        <v>-2.445748E-2</v>
      </c>
      <c r="S2136">
        <v>-3.0009459999999999</v>
      </c>
      <c r="T2136">
        <v>-0.24606129999999901</v>
      </c>
      <c r="U2136">
        <v>3.7658690000000002E-2</v>
      </c>
      <c r="V2136">
        <v>-4.592686E-2</v>
      </c>
      <c r="W2136">
        <v>1.127917E-2</v>
      </c>
      <c r="X2136">
        <v>0.99888109999999997</v>
      </c>
      <c r="Y2136">
        <v>-8.8318819999999992E-3</v>
      </c>
      <c r="Z2136">
        <v>-2.1195519999999998E-3</v>
      </c>
      <c r="AA2136">
        <v>0.99995879999999904</v>
      </c>
      <c r="AB2136">
        <v>33</v>
      </c>
      <c r="AC2136">
        <v>-0.54140000000000998</v>
      </c>
      <c r="AD2136">
        <v>-7.2396000000000099E-2</v>
      </c>
      <c r="AE2136">
        <v>4.20000000002573E-3</v>
      </c>
      <c r="AF2136">
        <v>-7.2998969096022097E-3</v>
      </c>
      <c r="AG2136">
        <v>-7.2396000000000099E-2</v>
      </c>
      <c r="AH2136">
        <v>0.53185574221947596</v>
      </c>
      <c r="AI2136">
        <v>97.750718384879704</v>
      </c>
      <c r="AJ2136">
        <v>90.786354248697805</v>
      </c>
      <c r="AK2136">
        <v>0.53681002211464002</v>
      </c>
    </row>
    <row r="2137" spans="1:37" x14ac:dyDescent="0.2">
      <c r="A2137" t="str">
        <f>"20200111155837459"</f>
        <v>20200111155837459</v>
      </c>
      <c r="B2137" t="str">
        <f>"1578729517453749"</f>
        <v>1578729517453749</v>
      </c>
      <c r="C2137" t="s">
        <v>37</v>
      </c>
      <c r="D2137">
        <v>5.7721410000000004</v>
      </c>
      <c r="E2137">
        <v>0.51587470000000002</v>
      </c>
      <c r="F2137" t="s">
        <v>38</v>
      </c>
      <c r="G2137">
        <v>-376.47519999999997</v>
      </c>
      <c r="H2137">
        <v>1.034923</v>
      </c>
      <c r="I2137">
        <v>285.80270000000002</v>
      </c>
      <c r="J2137">
        <v>-375.96730000000002</v>
      </c>
      <c r="K2137">
        <v>1.1044510000000001</v>
      </c>
      <c r="L2137">
        <v>285.79680000000002</v>
      </c>
      <c r="M2137">
        <v>-0.99967079999999997</v>
      </c>
      <c r="N2137">
        <v>0</v>
      </c>
      <c r="O2137">
        <v>2.1152069999999999E-2</v>
      </c>
      <c r="P2137">
        <v>-0.9997144</v>
      </c>
      <c r="Q2137">
        <v>-2.2641290000000001E-3</v>
      </c>
      <c r="R2137">
        <v>-2.380262E-2</v>
      </c>
      <c r="S2137">
        <v>-3.0011899999999998</v>
      </c>
      <c r="T2137">
        <v>-0.24815989999999999</v>
      </c>
      <c r="U2137">
        <v>4.4677729999999999E-2</v>
      </c>
      <c r="V2137">
        <v>-4.4949910000000003E-2</v>
      </c>
      <c r="W2137">
        <v>1.223468E-2</v>
      </c>
      <c r="X2137">
        <v>0.99891430000000003</v>
      </c>
      <c r="Y2137">
        <v>-6.1770250000000001E-3</v>
      </c>
      <c r="Z2137">
        <v>-2.0008779999999898E-3</v>
      </c>
      <c r="AA2137">
        <v>0.9999789</v>
      </c>
      <c r="AB2137">
        <v>33</v>
      </c>
      <c r="AC2137">
        <v>-0.50789999999994895</v>
      </c>
      <c r="AD2137">
        <v>-6.9528000000000006E-2</v>
      </c>
      <c r="AE2137">
        <v>5.8999999999968999E-3</v>
      </c>
      <c r="AF2137">
        <v>-4.7564667639099596E-3</v>
      </c>
      <c r="AG2137">
        <v>-6.9528000000000006E-2</v>
      </c>
      <c r="AH2137">
        <v>0.498569365263625</v>
      </c>
      <c r="AI2137">
        <v>97.938626550405303</v>
      </c>
      <c r="AJ2137">
        <v>90.546598371951902</v>
      </c>
      <c r="AK2137">
        <v>0.50341650622466705</v>
      </c>
    </row>
    <row r="2138" spans="1:37" x14ac:dyDescent="0.2">
      <c r="A2138" t="str">
        <f>"20200111155837482"</f>
        <v>20200111155837482</v>
      </c>
      <c r="B2138" t="str">
        <f>"1578729517473270"</f>
        <v>1578729517473270</v>
      </c>
      <c r="C2138" t="s">
        <v>37</v>
      </c>
      <c r="D2138">
        <v>5.769806</v>
      </c>
      <c r="E2138">
        <v>0.51529040000000004</v>
      </c>
      <c r="F2138" t="s">
        <v>38</v>
      </c>
      <c r="G2138">
        <v>-376.77449999999999</v>
      </c>
      <c r="H2138">
        <v>1.0380479999999901</v>
      </c>
      <c r="I2138">
        <v>285.80970000000002</v>
      </c>
      <c r="J2138">
        <v>-376.2921</v>
      </c>
      <c r="K2138">
        <v>1.1045689999999999</v>
      </c>
      <c r="L2138">
        <v>285.8032</v>
      </c>
      <c r="M2138">
        <v>-0.99967989999999995</v>
      </c>
      <c r="N2138">
        <v>0</v>
      </c>
      <c r="O2138">
        <v>2.0710349999999999E-2</v>
      </c>
      <c r="P2138">
        <v>-0.999720099999999</v>
      </c>
      <c r="Q2138">
        <v>-1.4321379999999999E-3</v>
      </c>
      <c r="R2138">
        <v>-2.3611509999999999E-2</v>
      </c>
      <c r="S2138">
        <v>-3.001404</v>
      </c>
      <c r="T2138">
        <v>-0.24709629999999899</v>
      </c>
      <c r="U2138">
        <v>4.6966550000000003E-2</v>
      </c>
      <c r="V2138">
        <v>-4.4321659999999999E-2</v>
      </c>
      <c r="W2138">
        <v>1.305192E-2</v>
      </c>
      <c r="X2138">
        <v>0.99893209999999999</v>
      </c>
      <c r="Y2138">
        <v>-4.9801910000000001E-3</v>
      </c>
      <c r="Z2138">
        <v>-1.906699E-3</v>
      </c>
      <c r="AA2138">
        <v>0.99998580000000004</v>
      </c>
      <c r="AB2138">
        <v>33</v>
      </c>
      <c r="AC2138">
        <v>-0.48239999999998401</v>
      </c>
      <c r="AD2138">
        <v>-6.6521000000000205E-2</v>
      </c>
      <c r="AE2138">
        <v>6.5000000000168196E-3</v>
      </c>
      <c r="AF2138">
        <v>-3.4279507039288002E-3</v>
      </c>
      <c r="AG2138">
        <v>-6.6521000000000205E-2</v>
      </c>
      <c r="AH2138">
        <v>0.473430362160287</v>
      </c>
      <c r="AI2138">
        <v>97.997977475726799</v>
      </c>
      <c r="AJ2138">
        <v>90.414852301752404</v>
      </c>
      <c r="AK2138">
        <v>0.47809319395097999</v>
      </c>
    </row>
    <row r="2139" spans="1:37" x14ac:dyDescent="0.2">
      <c r="A2139" t="str">
        <f>"20200111155837496"</f>
        <v>20200111155837496</v>
      </c>
      <c r="B2139" t="str">
        <f>"1578729517493767"</f>
        <v>1578729517493767</v>
      </c>
      <c r="C2139" t="s">
        <v>37</v>
      </c>
      <c r="D2139">
        <v>6.6945920000000001</v>
      </c>
      <c r="E2139">
        <v>0.51514389999999999</v>
      </c>
      <c r="F2139" t="s">
        <v>50</v>
      </c>
      <c r="G2139">
        <v>-389.95069999999998</v>
      </c>
      <c r="H2139" s="1">
        <v>3.75850199999999E-6</v>
      </c>
      <c r="I2139">
        <v>285.99849999999998</v>
      </c>
      <c r="J2139">
        <v>-376.50199999999899</v>
      </c>
      <c r="K2139">
        <v>1.104651</v>
      </c>
      <c r="L2139">
        <v>285.80720000000002</v>
      </c>
      <c r="M2139">
        <v>-0.99968760000000001</v>
      </c>
      <c r="N2139">
        <v>0</v>
      </c>
      <c r="O2139">
        <v>2.0346360000000001E-2</v>
      </c>
      <c r="P2139">
        <v>-0.99972079999999997</v>
      </c>
      <c r="Q2139">
        <v>-1.2224320000000001E-3</v>
      </c>
      <c r="R2139">
        <v>-2.360141E-2</v>
      </c>
      <c r="S2139">
        <v>-3.0015259999999899</v>
      </c>
      <c r="T2139">
        <v>-0.24273049999999999</v>
      </c>
      <c r="U2139">
        <v>4.2907710000000002E-2</v>
      </c>
      <c r="V2139">
        <v>-4.395048E-2</v>
      </c>
      <c r="W2139">
        <v>1.3252170000000001E-2</v>
      </c>
      <c r="X2139">
        <v>0.99894579999999999</v>
      </c>
      <c r="Y2139">
        <v>-5.9696630000000001E-3</v>
      </c>
      <c r="Z2139">
        <v>-1.8836289999999999E-3</v>
      </c>
      <c r="AA2139">
        <v>0.99998039999999999</v>
      </c>
      <c r="AB2139">
        <v>33</v>
      </c>
      <c r="AC2139">
        <v>-13.448700000000001</v>
      </c>
      <c r="AD2139">
        <v>-1.104647241498</v>
      </c>
      <c r="AE2139">
        <v>0.19129999999995501</v>
      </c>
      <c r="AF2139">
        <v>-8.1848447234460595E-2</v>
      </c>
      <c r="AG2139">
        <v>-1.104647241498</v>
      </c>
      <c r="AH2139">
        <v>13.359693467980501</v>
      </c>
      <c r="AI2139">
        <v>94.726665038642494</v>
      </c>
      <c r="AJ2139">
        <v>90.351019424629797</v>
      </c>
      <c r="AK2139">
        <v>13.405534463603599</v>
      </c>
    </row>
    <row r="2140" spans="1:37" x14ac:dyDescent="0.2">
      <c r="A2140" t="str">
        <f>"20200111155837515"</f>
        <v>20200111155837515</v>
      </c>
      <c r="B2140" t="str">
        <f>"1578729517503527"</f>
        <v>1578729517503527</v>
      </c>
      <c r="C2140" t="s">
        <v>37</v>
      </c>
      <c r="D2140">
        <v>5.814565</v>
      </c>
      <c r="E2140">
        <v>0.51046550000000002</v>
      </c>
      <c r="F2140" t="s">
        <v>38</v>
      </c>
      <c r="G2140">
        <v>-377.36419999999998</v>
      </c>
      <c r="H2140">
        <v>1.0348549999999901</v>
      </c>
      <c r="I2140">
        <v>285.81970000000001</v>
      </c>
      <c r="J2140">
        <v>-376.78910000000002</v>
      </c>
      <c r="K2140">
        <v>1.1047659999999999</v>
      </c>
      <c r="L2140">
        <v>285.81259999999997</v>
      </c>
      <c r="M2140">
        <v>-0.99969920000000001</v>
      </c>
      <c r="N2140">
        <v>0</v>
      </c>
      <c r="O2140">
        <v>1.976431E-2</v>
      </c>
      <c r="P2140">
        <v>-0.99971919999999903</v>
      </c>
      <c r="Q2140">
        <v>-1.242273E-4</v>
      </c>
      <c r="R2140">
        <v>-2.369489E-2</v>
      </c>
      <c r="S2140">
        <v>-3.0015559999999999</v>
      </c>
      <c r="T2140">
        <v>-0.2433931</v>
      </c>
      <c r="U2140">
        <v>4.1595460000000001E-2</v>
      </c>
      <c r="V2140">
        <v>-4.3466810000000002E-2</v>
      </c>
      <c r="W2140">
        <v>1.433687E-2</v>
      </c>
      <c r="X2140">
        <v>0.99895199999999995</v>
      </c>
      <c r="Y2140">
        <v>-5.8265919999999898E-3</v>
      </c>
      <c r="Z2140">
        <v>-1.83583799999999E-3</v>
      </c>
      <c r="AA2140">
        <v>0.99998129999999996</v>
      </c>
      <c r="AB2140">
        <v>33</v>
      </c>
      <c r="AC2140">
        <v>-0.57509999999996297</v>
      </c>
      <c r="AD2140">
        <v>-6.9911000000000001E-2</v>
      </c>
      <c r="AE2140">
        <v>7.1000000000367401E-3</v>
      </c>
      <c r="AF2140">
        <v>-4.2068823102224496E-3</v>
      </c>
      <c r="AG2140">
        <v>-6.9911000000000001E-2</v>
      </c>
      <c r="AH2140">
        <v>0.56675398682464795</v>
      </c>
      <c r="AI2140">
        <v>97.031910916242794</v>
      </c>
      <c r="AJ2140">
        <v>90.425285362254101</v>
      </c>
      <c r="AK2140">
        <v>0.57106508154623303</v>
      </c>
    </row>
    <row r="2141" spans="1:37" x14ac:dyDescent="0.2">
      <c r="A2141" t="str">
        <f>"20200111155837538"</f>
        <v>20200111155837538</v>
      </c>
      <c r="B2141" t="str">
        <f>"1578729517533782"</f>
        <v>1578729517533782</v>
      </c>
      <c r="C2141" t="s">
        <v>37</v>
      </c>
      <c r="D2141">
        <v>5.8540089999999996</v>
      </c>
      <c r="E2141">
        <v>0.51372019999999996</v>
      </c>
      <c r="F2141" t="s">
        <v>52</v>
      </c>
      <c r="G2141">
        <v>-425.04199999999997</v>
      </c>
      <c r="H2141" s="1">
        <v>2.9513699999999998E-6</v>
      </c>
      <c r="I2141">
        <v>285.976</v>
      </c>
      <c r="J2141">
        <v>-377.12560000000002</v>
      </c>
      <c r="K2141">
        <v>1.104895</v>
      </c>
      <c r="L2141">
        <v>285.8184</v>
      </c>
      <c r="M2141">
        <v>-0.99971509999999997</v>
      </c>
      <c r="N2141">
        <v>0</v>
      </c>
      <c r="O2141">
        <v>1.895088E-2</v>
      </c>
      <c r="P2141">
        <v>-0.99970159999999997</v>
      </c>
      <c r="Q2141">
        <v>1.095019E-3</v>
      </c>
      <c r="R2141">
        <v>-2.4409710000000001E-2</v>
      </c>
      <c r="S2141">
        <v>-3.0010379999999999</v>
      </c>
      <c r="T2141">
        <v>-6.8709489999999998E-2</v>
      </c>
      <c r="U2141">
        <v>1.0162350000000001E-2</v>
      </c>
      <c r="V2141">
        <v>-4.3374099999999999E-2</v>
      </c>
      <c r="W2141">
        <v>1.5540750000000001E-2</v>
      </c>
      <c r="X2141">
        <v>0.99893799999999899</v>
      </c>
      <c r="Y2141">
        <v>-1.555807E-2</v>
      </c>
      <c r="Z2141">
        <v>-6.1192879999999905E-4</v>
      </c>
      <c r="AA2141">
        <v>0.99987879999999996</v>
      </c>
      <c r="AB2141">
        <v>33</v>
      </c>
      <c r="AC2141">
        <v>-47.916399999999904</v>
      </c>
      <c r="AD2141">
        <v>-1.10489204863</v>
      </c>
      <c r="AE2141">
        <v>0.15760000000000199</v>
      </c>
      <c r="AF2141">
        <v>-0.75018300843513097</v>
      </c>
      <c r="AG2141">
        <v>-1.10489204863</v>
      </c>
      <c r="AH2141">
        <v>47.885319516448398</v>
      </c>
      <c r="AI2141">
        <v>91.321629631829794</v>
      </c>
      <c r="AJ2141">
        <v>90.897536130018906</v>
      </c>
      <c r="AK2141">
        <v>47.903939150946997</v>
      </c>
    </row>
    <row r="2142" spans="1:37" x14ac:dyDescent="0.2">
      <c r="A2142" t="str">
        <f>"20200111155837560"</f>
        <v>20200111155837560</v>
      </c>
      <c r="B2142" t="str">
        <f>"1578729517552834"</f>
        <v>1578729517552834</v>
      </c>
      <c r="C2142" t="s">
        <v>37</v>
      </c>
      <c r="D2142">
        <v>5.8444729999999998</v>
      </c>
      <c r="E2142">
        <v>0.51308889999999996</v>
      </c>
      <c r="F2142" t="s">
        <v>38</v>
      </c>
      <c r="G2142">
        <v>-377.95479999999998</v>
      </c>
      <c r="H2142">
        <v>1.034195</v>
      </c>
      <c r="I2142">
        <v>285.8263</v>
      </c>
      <c r="J2142">
        <v>-377.46050000000002</v>
      </c>
      <c r="K2142">
        <v>1.105011</v>
      </c>
      <c r="L2142">
        <v>285.82380000000001</v>
      </c>
      <c r="M2142">
        <v>-0.99973250000000002</v>
      </c>
      <c r="N2142">
        <v>0</v>
      </c>
      <c r="O2142">
        <v>1.801432E-2</v>
      </c>
      <c r="P2142">
        <v>-0.99966029999999995</v>
      </c>
      <c r="Q2142">
        <v>2.0724810000000001E-3</v>
      </c>
      <c r="R2142">
        <v>-2.5988150000000002E-2</v>
      </c>
      <c r="S2142">
        <v>-3.0018310000000001</v>
      </c>
      <c r="T2142">
        <v>-0.2563879</v>
      </c>
      <c r="U2142">
        <v>2.7374269999999999E-2</v>
      </c>
      <c r="V2142">
        <v>-4.4021709999999999E-2</v>
      </c>
      <c r="W2142">
        <v>1.6502409999999999E-2</v>
      </c>
      <c r="X2142">
        <v>0.99889430000000001</v>
      </c>
      <c r="Y2142">
        <v>-8.8005189999999997E-3</v>
      </c>
      <c r="Z2142">
        <v>-1.91099E-3</v>
      </c>
      <c r="AA2142">
        <v>0.999959499999999</v>
      </c>
      <c r="AB2142">
        <v>33</v>
      </c>
      <c r="AC2142">
        <v>-0.494299999999952</v>
      </c>
      <c r="AD2142">
        <v>-7.0815999999999907E-2</v>
      </c>
      <c r="AE2142">
        <v>2.4999999999977202E-3</v>
      </c>
      <c r="AF2142">
        <v>-6.2769896527482801E-3</v>
      </c>
      <c r="AG2142">
        <v>-7.0815999999999907E-2</v>
      </c>
      <c r="AH2142">
        <v>0.48432434681860398</v>
      </c>
      <c r="AI2142">
        <v>98.317927251676906</v>
      </c>
      <c r="AJ2142">
        <v>90.742529016115498</v>
      </c>
      <c r="AK2142">
        <v>0.489514432245229</v>
      </c>
    </row>
    <row r="2143" spans="1:37" x14ac:dyDescent="0.2">
      <c r="A2143" t="str">
        <f>"20200111155837584"</f>
        <v>20200111155837584</v>
      </c>
      <c r="B2143" t="str">
        <f>"1578729517573329"</f>
        <v>1578729517573329</v>
      </c>
      <c r="C2143" t="s">
        <v>37</v>
      </c>
      <c r="D2143">
        <v>5.8229939999999996</v>
      </c>
      <c r="E2143">
        <v>0.51319119999999996</v>
      </c>
      <c r="F2143" t="s">
        <v>50</v>
      </c>
      <c r="G2143">
        <v>-390.93029999999999</v>
      </c>
      <c r="H2143" s="1">
        <v>-1.041733E-6</v>
      </c>
      <c r="I2143">
        <v>285.90390000000002</v>
      </c>
      <c r="J2143">
        <v>-377.79300000000001</v>
      </c>
      <c r="K2143">
        <v>1.105113</v>
      </c>
      <c r="L2143">
        <v>285.82870000000003</v>
      </c>
      <c r="M2143">
        <v>-0.99975059999999905</v>
      </c>
      <c r="N2143">
        <v>0</v>
      </c>
      <c r="O2143">
        <v>1.6970760000000001E-2</v>
      </c>
      <c r="P2143">
        <v>-0.99960949999999904</v>
      </c>
      <c r="Q2143">
        <v>3.2696299999999999E-3</v>
      </c>
      <c r="R2143">
        <v>-2.775594E-2</v>
      </c>
      <c r="S2143">
        <v>-3.0019840000000002</v>
      </c>
      <c r="T2143">
        <v>-0.24627179999999901</v>
      </c>
      <c r="U2143">
        <v>1.7852779999999999E-2</v>
      </c>
      <c r="V2143">
        <v>-4.4750970000000001E-2</v>
      </c>
      <c r="W2143">
        <v>1.768432E-2</v>
      </c>
      <c r="X2143">
        <v>0.998841599999999</v>
      </c>
      <c r="Y2143">
        <v>-1.093249E-2</v>
      </c>
      <c r="Z2143">
        <v>-1.8376270000000001E-3</v>
      </c>
      <c r="AA2143">
        <v>0.99993849999999995</v>
      </c>
      <c r="AB2143">
        <v>33</v>
      </c>
      <c r="AC2143">
        <v>-13.1372999999999</v>
      </c>
      <c r="AD2143">
        <v>-1.1051140417330001</v>
      </c>
      <c r="AE2143">
        <v>7.5199999999995201E-2</v>
      </c>
      <c r="AF2143">
        <v>-0.146745918528985</v>
      </c>
      <c r="AG2143">
        <v>-1.1051140417330001</v>
      </c>
      <c r="AH2143">
        <v>13.0443819588147</v>
      </c>
      <c r="AI2143">
        <v>94.842203705909597</v>
      </c>
      <c r="AJ2143">
        <v>90.644535490687801</v>
      </c>
      <c r="AK2143">
        <v>13.091933092453999</v>
      </c>
    </row>
    <row r="2144" spans="1:37" x14ac:dyDescent="0.2">
      <c r="A2144" t="str">
        <f>"20200111155837605"</f>
        <v>20200111155837605</v>
      </c>
      <c r="B2144" t="str">
        <f>"1578729517592850"</f>
        <v>1578729517592850</v>
      </c>
      <c r="C2144" t="s">
        <v>37</v>
      </c>
      <c r="D2144">
        <v>5.813682</v>
      </c>
      <c r="E2144">
        <v>0.5131481</v>
      </c>
      <c r="F2144" t="s">
        <v>50</v>
      </c>
      <c r="G2144">
        <v>-391.334</v>
      </c>
      <c r="H2144" s="1">
        <v>-8.2690889999999996E-7</v>
      </c>
      <c r="I2144">
        <v>285.89069999999998</v>
      </c>
      <c r="J2144">
        <v>-378.11410000000001</v>
      </c>
      <c r="K2144">
        <v>1.1052029999999999</v>
      </c>
      <c r="L2144">
        <v>285.8331</v>
      </c>
      <c r="M2144">
        <v>-0.99976869999999995</v>
      </c>
      <c r="N2144">
        <v>0</v>
      </c>
      <c r="O2144">
        <v>1.5868859999999999E-2</v>
      </c>
      <c r="P2144">
        <v>-0.99955640000000001</v>
      </c>
      <c r="Q2144">
        <v>4.07186599999999E-3</v>
      </c>
      <c r="R2144">
        <v>-2.9504900000000001E-2</v>
      </c>
      <c r="S2144">
        <v>-3.0023499999999999</v>
      </c>
      <c r="T2144">
        <v>-0.24502989999999999</v>
      </c>
      <c r="U2144">
        <v>1.3732909999999999E-2</v>
      </c>
      <c r="V2144">
        <v>-4.5403310000000002E-2</v>
      </c>
      <c r="W2144">
        <v>1.8472880000000001E-2</v>
      </c>
      <c r="X2144">
        <v>0.99879799999999996</v>
      </c>
      <c r="Y2144">
        <v>-1.120692E-2</v>
      </c>
      <c r="Z2144">
        <v>-1.7495799999999999E-3</v>
      </c>
      <c r="AA2144">
        <v>0.99993569999999998</v>
      </c>
      <c r="AB2144">
        <v>33</v>
      </c>
      <c r="AC2144">
        <v>-13.2198999999999</v>
      </c>
      <c r="AD2144">
        <v>-1.1052038269089</v>
      </c>
      <c r="AE2144">
        <v>5.7599999999979397E-2</v>
      </c>
      <c r="AF2144">
        <v>-0.15115765044684301</v>
      </c>
      <c r="AG2144">
        <v>-1.1052038269089</v>
      </c>
      <c r="AH2144">
        <v>13.127400676485101</v>
      </c>
      <c r="AI2144">
        <v>94.812100112930693</v>
      </c>
      <c r="AJ2144">
        <v>90.659712679513902</v>
      </c>
      <c r="AK2144">
        <v>13.174709585235099</v>
      </c>
    </row>
    <row r="2145" spans="1:37" x14ac:dyDescent="0.2">
      <c r="A2145" t="str">
        <f>"20200111155837627"</f>
        <v>20200111155837627</v>
      </c>
      <c r="B2145" t="str">
        <f>"1578729517623105"</f>
        <v>1578729517623105</v>
      </c>
      <c r="C2145" t="s">
        <v>37</v>
      </c>
      <c r="D2145">
        <v>5.8424509999999996</v>
      </c>
      <c r="E2145">
        <v>0.51344489999999998</v>
      </c>
      <c r="F2145" t="s">
        <v>50</v>
      </c>
      <c r="G2145">
        <v>-391.75020000000001</v>
      </c>
      <c r="H2145" s="1">
        <v>-6.0540419999999899E-7</v>
      </c>
      <c r="I2145">
        <v>285.86799999999999</v>
      </c>
      <c r="J2145">
        <v>-378.43380000000002</v>
      </c>
      <c r="K2145">
        <v>1.105275</v>
      </c>
      <c r="L2145">
        <v>285.83699999999999</v>
      </c>
      <c r="M2145">
        <v>-0.99978690000000003</v>
      </c>
      <c r="N2145">
        <v>0</v>
      </c>
      <c r="O2145">
        <v>1.4694469999999999E-2</v>
      </c>
      <c r="P2145">
        <v>-0.99952890000000005</v>
      </c>
      <c r="Q2145">
        <v>4.0548809999999998E-3</v>
      </c>
      <c r="R2145">
        <v>-3.0430749999999999E-2</v>
      </c>
      <c r="S2145">
        <v>-3.0025629999999999</v>
      </c>
      <c r="T2145">
        <v>-0.2433574</v>
      </c>
      <c r="U2145">
        <v>7.6904299999999998E-3</v>
      </c>
      <c r="V2145">
        <v>-4.5158520000000001E-2</v>
      </c>
      <c r="W2145">
        <v>1.8446649999999998E-2</v>
      </c>
      <c r="X2145">
        <v>0.99880949999999902</v>
      </c>
      <c r="Y2145">
        <v>-1.2047270000000001E-2</v>
      </c>
      <c r="Z2145">
        <v>-1.676536E-3</v>
      </c>
      <c r="AA2145">
        <v>0.99992599999999998</v>
      </c>
      <c r="AB2145">
        <v>33</v>
      </c>
      <c r="AC2145">
        <v>-13.3163999999999</v>
      </c>
      <c r="AD2145">
        <v>-1.1052756054041999</v>
      </c>
      <c r="AE2145">
        <v>3.1000000000005901E-2</v>
      </c>
      <c r="AF2145">
        <v>-0.163574471862097</v>
      </c>
      <c r="AG2145">
        <v>-1.1052756054041999</v>
      </c>
      <c r="AH2145">
        <v>13.224313332769601</v>
      </c>
      <c r="AI2145">
        <v>94.777259350363096</v>
      </c>
      <c r="AJ2145">
        <v>90.708668095701</v>
      </c>
      <c r="AK2145">
        <v>13.2714299868181</v>
      </c>
    </row>
    <row r="2146" spans="1:37" x14ac:dyDescent="0.2">
      <c r="A2146" t="str">
        <f>"20200111155837650"</f>
        <v>20200111155837650</v>
      </c>
      <c r="B2146" t="str">
        <f>"1578729517643601"</f>
        <v>1578729517643601</v>
      </c>
      <c r="C2146" t="s">
        <v>37</v>
      </c>
      <c r="D2146">
        <v>5.898441</v>
      </c>
      <c r="E2146">
        <v>0.51318640000000004</v>
      </c>
      <c r="F2146" t="s">
        <v>38</v>
      </c>
      <c r="G2146">
        <v>-379.41809999999998</v>
      </c>
      <c r="H2146">
        <v>1.0245309999999901</v>
      </c>
      <c r="I2146">
        <v>285.83940000000001</v>
      </c>
      <c r="J2146">
        <v>-378.78050000000002</v>
      </c>
      <c r="K2146">
        <v>1.105343</v>
      </c>
      <c r="L2146">
        <v>285.84070000000003</v>
      </c>
      <c r="M2146">
        <v>-0.99980550000000001</v>
      </c>
      <c r="N2146">
        <v>0</v>
      </c>
      <c r="O2146">
        <v>1.336233E-2</v>
      </c>
      <c r="P2146">
        <v>-0.99950169999999905</v>
      </c>
      <c r="Q2146">
        <v>3.7240089999999999E-3</v>
      </c>
      <c r="R2146">
        <v>-3.1343749999999997E-2</v>
      </c>
      <c r="S2146">
        <v>-3.0026250000000001</v>
      </c>
      <c r="T2146">
        <v>-0.2463707</v>
      </c>
      <c r="U2146">
        <v>7.0495610000000002E-3</v>
      </c>
      <c r="V2146">
        <v>-4.4742539999999997E-2</v>
      </c>
      <c r="W2146">
        <v>1.8106730000000001E-2</v>
      </c>
      <c r="X2146">
        <v>0.99883440000000001</v>
      </c>
      <c r="Y2146">
        <v>-1.093446E-2</v>
      </c>
      <c r="Z2146">
        <v>-1.5424919999999999E-3</v>
      </c>
      <c r="AA2146">
        <v>0.99993899999999902</v>
      </c>
      <c r="AB2146">
        <v>33</v>
      </c>
      <c r="AC2146">
        <v>-0.63759999999996297</v>
      </c>
      <c r="AD2146">
        <v>-8.0812000000000106E-2</v>
      </c>
      <c r="AE2146">
        <v>-1.3000000000147299E-3</v>
      </c>
      <c r="AF2146">
        <v>-9.6653381439778703E-3</v>
      </c>
      <c r="AG2146">
        <v>-8.0812000000000106E-2</v>
      </c>
      <c r="AH2146">
        <v>0.62744640075868097</v>
      </c>
      <c r="AI2146">
        <v>97.338150265114194</v>
      </c>
      <c r="AJ2146">
        <v>90.882528429910394</v>
      </c>
      <c r="AK2146">
        <v>0.63270291917333499</v>
      </c>
    </row>
    <row r="2147" spans="1:37" x14ac:dyDescent="0.2">
      <c r="A2147" t="str">
        <f>"20200111155837670"</f>
        <v>20200111155837670</v>
      </c>
      <c r="B2147" t="str">
        <f>"1578729517663121"</f>
        <v>1578729517663121</v>
      </c>
      <c r="C2147" t="s">
        <v>37</v>
      </c>
      <c r="D2147">
        <v>5.9653359999999997</v>
      </c>
      <c r="E2147">
        <v>0.47642429999999902</v>
      </c>
      <c r="F2147" t="s">
        <v>38</v>
      </c>
      <c r="G2147">
        <v>-379.7133</v>
      </c>
      <c r="H2147">
        <v>1.027914</v>
      </c>
      <c r="I2147">
        <v>285.84160000000003</v>
      </c>
      <c r="J2147">
        <v>-379.08600000000001</v>
      </c>
      <c r="K2147">
        <v>1.105383</v>
      </c>
      <c r="L2147">
        <v>285.84359999999998</v>
      </c>
      <c r="M2147">
        <v>-0.99982090000000001</v>
      </c>
      <c r="N2147">
        <v>0</v>
      </c>
      <c r="O2147">
        <v>1.215481E-2</v>
      </c>
      <c r="P2147">
        <v>-0.99946460000000004</v>
      </c>
      <c r="Q2147">
        <v>4.0501130000000002E-3</v>
      </c>
      <c r="R2147">
        <v>-3.2467629999999997E-2</v>
      </c>
      <c r="S2147">
        <v>-3.0025019999999998</v>
      </c>
      <c r="T2147">
        <v>-0.24946479999999899</v>
      </c>
      <c r="U2147">
        <v>2.2277829999999901E-3</v>
      </c>
      <c r="V2147">
        <v>-4.466179E-2</v>
      </c>
      <c r="W2147">
        <v>1.8426149999999999E-2</v>
      </c>
      <c r="X2147">
        <v>0.99883219999999995</v>
      </c>
      <c r="Y2147">
        <v>-1.133323E-2</v>
      </c>
      <c r="Z2147">
        <v>-1.4782439999999899E-3</v>
      </c>
      <c r="AA2147">
        <v>0.99993469999999995</v>
      </c>
      <c r="AB2147">
        <v>33</v>
      </c>
      <c r="AC2147">
        <v>-0.62729999999999098</v>
      </c>
      <c r="AD2147">
        <v>-7.7468999999999996E-2</v>
      </c>
      <c r="AE2147">
        <v>-1.9999999999527002E-3</v>
      </c>
      <c r="AF2147">
        <v>-9.4807747345739598E-3</v>
      </c>
      <c r="AG2147">
        <v>-7.7468999999999996E-2</v>
      </c>
      <c r="AH2147">
        <v>0.61780710555189</v>
      </c>
      <c r="AI2147">
        <v>97.146382013843706</v>
      </c>
      <c r="AJ2147">
        <v>90.879183387467506</v>
      </c>
      <c r="AK2147">
        <v>0.62271739233858803</v>
      </c>
    </row>
    <row r="2148" spans="1:37" x14ac:dyDescent="0.2">
      <c r="A2148" t="str">
        <f>"20200111155837695"</f>
        <v>20200111155837695</v>
      </c>
      <c r="B2148" t="str">
        <f>"1578729517683617"</f>
        <v>1578729517683617</v>
      </c>
      <c r="C2148" t="s">
        <v>37</v>
      </c>
      <c r="D2148">
        <v>5.8674790000000003</v>
      </c>
      <c r="E2148">
        <v>0.46694150000000001</v>
      </c>
      <c r="F2148" t="s">
        <v>52</v>
      </c>
      <c r="G2148">
        <v>-405.46420000000001</v>
      </c>
      <c r="H2148" s="1">
        <v>6.2534400000000004E-6</v>
      </c>
      <c r="I2148">
        <v>283.28870000000001</v>
      </c>
      <c r="J2148">
        <v>-379.40879999999999</v>
      </c>
      <c r="K2148">
        <v>1.105424</v>
      </c>
      <c r="L2148">
        <v>285.84609999999998</v>
      </c>
      <c r="M2148">
        <v>-0.99983599999999995</v>
      </c>
      <c r="N2148">
        <v>0</v>
      </c>
      <c r="O2148">
        <v>1.0856070000000001E-2</v>
      </c>
      <c r="P2148">
        <v>-0.99938629999999995</v>
      </c>
      <c r="Q2148">
        <v>4.4725140000000004E-3</v>
      </c>
      <c r="R2148">
        <v>-3.4741960000000002E-2</v>
      </c>
      <c r="S2148">
        <v>-2.9927060000000001</v>
      </c>
      <c r="T2148">
        <v>-0.1254091</v>
      </c>
      <c r="U2148">
        <v>-0.289856</v>
      </c>
      <c r="V2148">
        <v>-4.5640170000000001E-2</v>
      </c>
      <c r="W2148">
        <v>1.8838549999999999E-2</v>
      </c>
      <c r="X2148">
        <v>0.99878029999999995</v>
      </c>
      <c r="Y2148">
        <v>-0.107101399999999</v>
      </c>
      <c r="Z2148">
        <v>-2.691588E-3</v>
      </c>
      <c r="AA2148">
        <v>0.99424449999999998</v>
      </c>
      <c r="AB2148">
        <v>33</v>
      </c>
      <c r="AC2148">
        <v>-26.055399999999999</v>
      </c>
      <c r="AD2148">
        <v>-1.1054177465599999</v>
      </c>
      <c r="AE2148">
        <v>-2.5573999999999701</v>
      </c>
      <c r="AF2148">
        <v>-2.8350839507091701</v>
      </c>
      <c r="AG2148">
        <v>-1.1054177465599999</v>
      </c>
      <c r="AH2148">
        <v>25.979782253790098</v>
      </c>
      <c r="AI2148">
        <v>92.422055621255396</v>
      </c>
      <c r="AJ2148">
        <v>96.227846990875506</v>
      </c>
      <c r="AK2148">
        <v>26.157383954752099</v>
      </c>
    </row>
    <row r="2149" spans="1:37" x14ac:dyDescent="0.2">
      <c r="A2149" t="str">
        <f>"20200111155837708"</f>
        <v>20200111155837708</v>
      </c>
      <c r="B2149" t="str">
        <f>"1578729517703138"</f>
        <v>1578729517703138</v>
      </c>
      <c r="C2149" t="s">
        <v>37</v>
      </c>
      <c r="D2149">
        <v>5.8579819999999998</v>
      </c>
      <c r="E2149">
        <v>0.46452850000000001</v>
      </c>
      <c r="F2149" t="s">
        <v>50</v>
      </c>
      <c r="G2149">
        <v>-396.89440000000002</v>
      </c>
      <c r="H2149" s="1">
        <v>2.132074E-6</v>
      </c>
      <c r="I2149">
        <v>283.6585</v>
      </c>
      <c r="J2149">
        <v>-379.64449999999999</v>
      </c>
      <c r="K2149">
        <v>1.1054409999999999</v>
      </c>
      <c r="L2149">
        <v>285.84769999999997</v>
      </c>
      <c r="M2149">
        <v>-0.99984599999999901</v>
      </c>
      <c r="N2149">
        <v>0</v>
      </c>
      <c r="O2149">
        <v>9.8991659999999992E-3</v>
      </c>
      <c r="P2149">
        <v>-0.99932549999999898</v>
      </c>
      <c r="Q2149">
        <v>4.9748930000000002E-3</v>
      </c>
      <c r="R2149">
        <v>-3.6389209999999998E-2</v>
      </c>
      <c r="S2149">
        <v>-2.989655</v>
      </c>
      <c r="T2149">
        <v>-0.189003</v>
      </c>
      <c r="U2149">
        <v>-0.37402340000000001</v>
      </c>
      <c r="V2149">
        <v>-4.6332199999999997E-2</v>
      </c>
      <c r="W2149">
        <v>1.933437E-2</v>
      </c>
      <c r="X2149">
        <v>0.99873889999999999</v>
      </c>
      <c r="Y2149">
        <v>-0.1336735</v>
      </c>
      <c r="Z2149">
        <v>-4.8277229999999999E-3</v>
      </c>
      <c r="AA2149">
        <v>0.99101360000000005</v>
      </c>
      <c r="AB2149">
        <v>33</v>
      </c>
      <c r="AC2149">
        <v>-17.2499</v>
      </c>
      <c r="AD2149">
        <v>-1.1054388679260001</v>
      </c>
      <c r="AE2149">
        <v>-2.1891999999999698</v>
      </c>
      <c r="AF2149">
        <v>-2.3503709237564698</v>
      </c>
      <c r="AG2149">
        <v>-1.1054388679260001</v>
      </c>
      <c r="AH2149">
        <v>17.158034564658099</v>
      </c>
      <c r="AI2149">
        <v>93.652280541347295</v>
      </c>
      <c r="AJ2149">
        <v>97.800041137417793</v>
      </c>
      <c r="AK2149">
        <v>17.353512286910799</v>
      </c>
    </row>
    <row r="2150" spans="1:37" x14ac:dyDescent="0.2">
      <c r="A2150" t="str">
        <f>"20200111155837727"</f>
        <v>20200111155837727</v>
      </c>
      <c r="B2150" t="str">
        <f>"1578729517723633"</f>
        <v>1578729517723633</v>
      </c>
      <c r="C2150" t="s">
        <v>37</v>
      </c>
      <c r="D2150">
        <v>5.8799299999999999</v>
      </c>
      <c r="E2150">
        <v>0.46332709999999999</v>
      </c>
      <c r="F2150" t="s">
        <v>50</v>
      </c>
      <c r="G2150">
        <v>-395.8954</v>
      </c>
      <c r="H2150" s="1">
        <v>1.6004449999999999E-6</v>
      </c>
      <c r="I2150">
        <v>283.6798</v>
      </c>
      <c r="J2150">
        <v>-379.90350000000001</v>
      </c>
      <c r="K2150">
        <v>1.1054619999999999</v>
      </c>
      <c r="L2150">
        <v>285.8492</v>
      </c>
      <c r="M2150">
        <v>-0.99985590000000002</v>
      </c>
      <c r="N2150">
        <v>0</v>
      </c>
      <c r="O2150">
        <v>8.8420310000000002E-3</v>
      </c>
      <c r="P2150">
        <v>-0.99924769999999896</v>
      </c>
      <c r="Q2150">
        <v>4.8137570000000001E-3</v>
      </c>
      <c r="R2150">
        <v>-3.8486230000000003E-2</v>
      </c>
      <c r="S2150">
        <v>-2.988556</v>
      </c>
      <c r="T2150">
        <v>-0.2032911</v>
      </c>
      <c r="U2150">
        <v>-0.39868159999999903</v>
      </c>
      <c r="V2150">
        <v>-4.7372900000000003E-2</v>
      </c>
      <c r="W2150">
        <v>1.9165599999999901E-2</v>
      </c>
      <c r="X2150">
        <v>0.99869339999999995</v>
      </c>
      <c r="Y2150">
        <v>-0.1406519</v>
      </c>
      <c r="Z2150">
        <v>-5.3555490000000002E-3</v>
      </c>
      <c r="AA2150">
        <v>0.99004459999999905</v>
      </c>
      <c r="AB2150">
        <v>33</v>
      </c>
      <c r="AC2150">
        <v>-15.9918999999999</v>
      </c>
      <c r="AD2150">
        <v>-1.1054603995550001</v>
      </c>
      <c r="AE2150">
        <v>-2.1693999999999898</v>
      </c>
      <c r="AF2150">
        <v>-2.29993936900902</v>
      </c>
      <c r="AG2150">
        <v>-1.1054603995550001</v>
      </c>
      <c r="AH2150">
        <v>15.8974982405792</v>
      </c>
      <c r="AI2150">
        <v>93.936903376680505</v>
      </c>
      <c r="AJ2150">
        <v>98.232038603837196</v>
      </c>
      <c r="AK2150">
        <v>16.1010004069723</v>
      </c>
    </row>
    <row r="2151" spans="1:37" x14ac:dyDescent="0.2">
      <c r="A2151" t="str">
        <f>"20200111155837749"</f>
        <v>20200111155837749</v>
      </c>
      <c r="B2151" t="str">
        <f>"1578729517743153"</f>
        <v>1578729517743153</v>
      </c>
      <c r="C2151" t="s">
        <v>37</v>
      </c>
      <c r="D2151">
        <v>5.8388900000000001</v>
      </c>
      <c r="E2151">
        <v>0.46277279999999998</v>
      </c>
      <c r="F2151" t="s">
        <v>50</v>
      </c>
      <c r="G2151">
        <v>-395.34089999999998</v>
      </c>
      <c r="H2151" s="1">
        <v>1.3053780000000001E-6</v>
      </c>
      <c r="I2151">
        <v>283.70510000000002</v>
      </c>
      <c r="J2151">
        <v>-380.22829999999999</v>
      </c>
      <c r="K2151">
        <v>1.1054729999999999</v>
      </c>
      <c r="L2151">
        <v>285.85070000000002</v>
      </c>
      <c r="M2151">
        <v>-0.9998669</v>
      </c>
      <c r="N2151">
        <v>0</v>
      </c>
      <c r="O2151">
        <v>7.5140550000000004E-3</v>
      </c>
      <c r="P2151">
        <v>-0.99915810000000005</v>
      </c>
      <c r="Q2151">
        <v>4.8277850000000002E-3</v>
      </c>
      <c r="R2151">
        <v>-4.0748560000000003E-2</v>
      </c>
      <c r="S2151">
        <v>-2.9873050000000001</v>
      </c>
      <c r="T2151">
        <v>-0.2139189</v>
      </c>
      <c r="U2151">
        <v>-0.41491699999999998</v>
      </c>
      <c r="V2151">
        <v>-4.8308160000000003E-2</v>
      </c>
      <c r="W2151">
        <v>1.9172270000000002E-2</v>
      </c>
      <c r="X2151">
        <v>0.99864850000000005</v>
      </c>
      <c r="Y2151">
        <v>-0.14463000000000001</v>
      </c>
      <c r="Z2151">
        <v>-5.6821490000000001E-3</v>
      </c>
      <c r="AA2151">
        <v>0.9894695</v>
      </c>
      <c r="AB2151">
        <v>33</v>
      </c>
      <c r="AC2151">
        <v>-15.112599999999899</v>
      </c>
      <c r="AD2151">
        <v>-1.105471694622</v>
      </c>
      <c r="AE2151">
        <v>-2.1456</v>
      </c>
      <c r="AF2151">
        <v>-2.24732091169464</v>
      </c>
      <c r="AG2151">
        <v>-1.105471694622</v>
      </c>
      <c r="AH2151">
        <v>15.0172829545103</v>
      </c>
      <c r="AI2151">
        <v>94.163936020314296</v>
      </c>
      <c r="AJ2151">
        <v>98.511094579782693</v>
      </c>
      <c r="AK2151">
        <v>15.2246939635441</v>
      </c>
    </row>
    <row r="2152" spans="1:37" x14ac:dyDescent="0.2">
      <c r="A2152" t="str">
        <f>"20200111155837771"</f>
        <v>20200111155837771</v>
      </c>
      <c r="B2152" t="str">
        <f>"1578729517763648"</f>
        <v>1578729517763648</v>
      </c>
      <c r="C2152" t="s">
        <v>37</v>
      </c>
      <c r="D2152">
        <v>5.8905940000000001</v>
      </c>
      <c r="E2152">
        <v>0.46235900000000002</v>
      </c>
      <c r="F2152" t="s">
        <v>50</v>
      </c>
      <c r="G2152">
        <v>-395.58300000000003</v>
      </c>
      <c r="H2152" s="1">
        <v>1.4341890000000001E-6</v>
      </c>
      <c r="I2152">
        <v>283.66030000000001</v>
      </c>
      <c r="J2152">
        <v>-380.5498</v>
      </c>
      <c r="K2152">
        <v>1.105477</v>
      </c>
      <c r="L2152">
        <v>285.85169999999999</v>
      </c>
      <c r="M2152">
        <v>-0.99987579999999998</v>
      </c>
      <c r="N2152">
        <v>0</v>
      </c>
      <c r="O2152">
        <v>6.201186E-3</v>
      </c>
      <c r="P2152">
        <v>-0.99908330000000001</v>
      </c>
      <c r="Q2152">
        <v>4.9269629999999899E-3</v>
      </c>
      <c r="R2152">
        <v>-4.253088E-2</v>
      </c>
      <c r="S2152">
        <v>-2.9862060000000001</v>
      </c>
      <c r="T2152">
        <v>-0.21499479999999899</v>
      </c>
      <c r="U2152">
        <v>-0.42599490000000001</v>
      </c>
      <c r="V2152">
        <v>-4.8779490000000002E-2</v>
      </c>
      <c r="W2152">
        <v>1.926572E-2</v>
      </c>
      <c r="X2152">
        <v>0.998623699999999</v>
      </c>
      <c r="Y2152">
        <v>-0.14697279999999999</v>
      </c>
      <c r="Z2152">
        <v>-5.7011140000000002E-3</v>
      </c>
      <c r="AA2152">
        <v>0.98912409999999995</v>
      </c>
      <c r="AB2152">
        <v>33</v>
      </c>
      <c r="AC2152">
        <v>-15.033200000000001</v>
      </c>
      <c r="AD2152">
        <v>-1.105475565811</v>
      </c>
      <c r="AE2152">
        <v>-2.1913999999999798</v>
      </c>
      <c r="AF2152">
        <v>-2.2725581781281901</v>
      </c>
      <c r="AG2152">
        <v>-1.105475565811</v>
      </c>
      <c r="AH2152">
        <v>14.9402121639725</v>
      </c>
      <c r="AI2152">
        <v>94.1838406871084</v>
      </c>
      <c r="AJ2152">
        <v>98.648972082243901</v>
      </c>
      <c r="AK2152">
        <v>15.1524432486677</v>
      </c>
    </row>
    <row r="2153" spans="1:37" x14ac:dyDescent="0.2">
      <c r="A2153" t="str">
        <f>"20200111155837793"</f>
        <v>20200111155837793</v>
      </c>
      <c r="B2153" t="str">
        <f>"1578729517783168"</f>
        <v>1578729517783168</v>
      </c>
      <c r="C2153" t="s">
        <v>37</v>
      </c>
      <c r="D2153">
        <v>5.9104190000000001</v>
      </c>
      <c r="E2153">
        <v>0.46205159999999901</v>
      </c>
      <c r="F2153" t="s">
        <v>50</v>
      </c>
      <c r="G2153">
        <v>-395.6078</v>
      </c>
      <c r="H2153" s="1">
        <v>1.44738E-6</v>
      </c>
      <c r="I2153">
        <v>283.6576</v>
      </c>
      <c r="J2153">
        <v>-380.8725</v>
      </c>
      <c r="K2153">
        <v>1.1054839999999999</v>
      </c>
      <c r="L2153">
        <v>285.85239999999999</v>
      </c>
      <c r="M2153">
        <v>-0.99988319999999997</v>
      </c>
      <c r="N2153">
        <v>0</v>
      </c>
      <c r="O2153">
        <v>4.8863450000000003E-3</v>
      </c>
      <c r="P2153">
        <v>-0.99902179999999996</v>
      </c>
      <c r="Q2153">
        <v>4.5414790000000002E-3</v>
      </c>
      <c r="R2153">
        <v>-4.3992059999999999E-2</v>
      </c>
      <c r="S2153">
        <v>-2.9853209999999999</v>
      </c>
      <c r="T2153">
        <v>-0.2191669</v>
      </c>
      <c r="U2153">
        <v>-0.43499759999999998</v>
      </c>
      <c r="V2153">
        <v>-4.8926049999999999E-2</v>
      </c>
      <c r="W2153">
        <v>1.887573E-2</v>
      </c>
      <c r="X2153">
        <v>0.99862399999999996</v>
      </c>
      <c r="Y2153">
        <v>-0.1486189</v>
      </c>
      <c r="Z2153">
        <v>-5.7760279999999999E-3</v>
      </c>
      <c r="AA2153">
        <v>0.98887769999999997</v>
      </c>
      <c r="AB2153">
        <v>33</v>
      </c>
      <c r="AC2153">
        <v>-14.735299999999899</v>
      </c>
      <c r="AD2153">
        <v>-1.1054825526199901</v>
      </c>
      <c r="AE2153">
        <v>-2.1947999999999799</v>
      </c>
      <c r="AF2153">
        <v>-2.2543699747246899</v>
      </c>
      <c r="AG2153">
        <v>-1.1054825526199901</v>
      </c>
      <c r="AH2153">
        <v>14.6437661151478</v>
      </c>
      <c r="AI2153">
        <v>94.267086572447198</v>
      </c>
      <c r="AJ2153">
        <v>98.751830001941599</v>
      </c>
      <c r="AK2153">
        <v>14.857461482105199</v>
      </c>
    </row>
    <row r="2154" spans="1:37" x14ac:dyDescent="0.2">
      <c r="A2154" t="str">
        <f>"20200111155837817"</f>
        <v>20200111155837817</v>
      </c>
      <c r="B2154" t="str">
        <f>"1578729517813425"</f>
        <v>1578729517813425</v>
      </c>
      <c r="C2154" t="s">
        <v>37</v>
      </c>
      <c r="D2154">
        <v>5.9121160000000001</v>
      </c>
      <c r="E2154">
        <v>0.46210889999999999</v>
      </c>
      <c r="F2154" t="s">
        <v>50</v>
      </c>
      <c r="G2154">
        <v>-395.4255</v>
      </c>
      <c r="H2154" s="1">
        <v>1.3504030000000001E-6</v>
      </c>
      <c r="I2154">
        <v>283.69830000000002</v>
      </c>
      <c r="J2154">
        <v>-381.20519999999999</v>
      </c>
      <c r="K2154">
        <v>1.1054899999999901</v>
      </c>
      <c r="L2154">
        <v>285.8526</v>
      </c>
      <c r="M2154">
        <v>-0.99988889999999997</v>
      </c>
      <c r="N2154">
        <v>0</v>
      </c>
      <c r="O2154">
        <v>3.5329879999999999E-3</v>
      </c>
      <c r="P2154">
        <v>-0.99896779999999996</v>
      </c>
      <c r="Q2154">
        <v>5.2771340000000002E-3</v>
      </c>
      <c r="R2154">
        <v>-4.5120430000000003E-2</v>
      </c>
      <c r="S2154">
        <v>-2.9844970000000002</v>
      </c>
      <c r="T2154">
        <v>-0.22670969999999999</v>
      </c>
      <c r="U2154">
        <v>-0.44174189999999902</v>
      </c>
      <c r="V2154">
        <v>-4.8703929999999999E-2</v>
      </c>
      <c r="W2154">
        <v>1.9608500000000001E-2</v>
      </c>
      <c r="X2154">
        <v>0.99862070000000003</v>
      </c>
      <c r="Y2154">
        <v>-0.14948</v>
      </c>
      <c r="Z2154">
        <v>-5.9052690000000003E-3</v>
      </c>
      <c r="AA2154">
        <v>0.98874709999999999</v>
      </c>
      <c r="AB2154">
        <v>33</v>
      </c>
      <c r="AC2154">
        <v>-14.2203</v>
      </c>
      <c r="AD2154">
        <v>-1.10548864959699</v>
      </c>
      <c r="AE2154">
        <v>-2.1542999999999699</v>
      </c>
      <c r="AF2154">
        <v>-2.1915842129822001</v>
      </c>
      <c r="AG2154">
        <v>-1.10548864959699</v>
      </c>
      <c r="AH2154">
        <v>14.129125235563199</v>
      </c>
      <c r="AI2154">
        <v>94.421156573132706</v>
      </c>
      <c r="AJ2154">
        <v>98.816949318321804</v>
      </c>
      <c r="AK2154">
        <v>14.3407575266863</v>
      </c>
    </row>
    <row r="2155" spans="1:37" x14ac:dyDescent="0.2">
      <c r="A2155" t="str">
        <f>"20200111155837839"</f>
        <v>20200111155837839</v>
      </c>
      <c r="B2155" t="str">
        <f>"1578729517832945"</f>
        <v>1578729517832945</v>
      </c>
      <c r="C2155" t="s">
        <v>37</v>
      </c>
      <c r="D2155">
        <v>5.9142400000000004</v>
      </c>
      <c r="E2155">
        <v>0.46216400000000002</v>
      </c>
      <c r="F2155" t="s">
        <v>50</v>
      </c>
      <c r="G2155">
        <v>-395.51850000000002</v>
      </c>
      <c r="H2155" s="1">
        <v>1.3998670000000001E-6</v>
      </c>
      <c r="I2155">
        <v>283.71890000000002</v>
      </c>
      <c r="J2155">
        <v>-381.53629999999998</v>
      </c>
      <c r="K2155">
        <v>1.1054899999999901</v>
      </c>
      <c r="L2155">
        <v>285.85230000000001</v>
      </c>
      <c r="M2155">
        <v>-0.99989269999999997</v>
      </c>
      <c r="N2155">
        <v>0</v>
      </c>
      <c r="O2155">
        <v>2.1870029999999999E-3</v>
      </c>
      <c r="P2155">
        <v>-0.99892119999999995</v>
      </c>
      <c r="Q2155">
        <v>5.348724E-3</v>
      </c>
      <c r="R2155">
        <v>-4.6130009999999999E-2</v>
      </c>
      <c r="S2155">
        <v>-2.9842219999999999</v>
      </c>
      <c r="T2155">
        <v>-0.23048659999999899</v>
      </c>
      <c r="U2155">
        <v>-0.44485469999999999</v>
      </c>
      <c r="V2155">
        <v>-4.8369589999999997E-2</v>
      </c>
      <c r="W2155">
        <v>1.9678580000000001E-2</v>
      </c>
      <c r="X2155">
        <v>0.99863559999999996</v>
      </c>
      <c r="Y2155">
        <v>-0.14916170000000001</v>
      </c>
      <c r="Z2155">
        <v>-5.8879939999999997E-3</v>
      </c>
      <c r="AA2155">
        <v>0.98879530000000004</v>
      </c>
      <c r="AB2155">
        <v>33</v>
      </c>
      <c r="AC2155">
        <v>-13.982200000000001</v>
      </c>
      <c r="AD2155">
        <v>-1.10548860013299</v>
      </c>
      <c r="AE2155">
        <v>-2.1333999999999902</v>
      </c>
      <c r="AF2155">
        <v>-2.1508379713457799</v>
      </c>
      <c r="AG2155">
        <v>-1.10548860013299</v>
      </c>
      <c r="AH2155">
        <v>13.8926316594687</v>
      </c>
      <c r="AI2155">
        <v>94.496309681403204</v>
      </c>
      <c r="AJ2155">
        <v>98.800583852608</v>
      </c>
      <c r="AK2155">
        <v>14.1015397545686</v>
      </c>
    </row>
    <row r="2156" spans="1:37" x14ac:dyDescent="0.2">
      <c r="A2156" t="str">
        <f>"20200111155837861"</f>
        <v>20200111155837861</v>
      </c>
      <c r="B2156" t="str">
        <f>"1578729517853441"</f>
        <v>1578729517853441</v>
      </c>
      <c r="C2156" t="s">
        <v>37</v>
      </c>
      <c r="D2156">
        <v>5.9171100000000001</v>
      </c>
      <c r="E2156">
        <v>0.4622019</v>
      </c>
      <c r="F2156" t="s">
        <v>50</v>
      </c>
      <c r="G2156">
        <v>-395.60039999999998</v>
      </c>
      <c r="H2156" s="1">
        <v>1.4434659999999999E-6</v>
      </c>
      <c r="I2156">
        <v>283.74380000000002</v>
      </c>
      <c r="J2156">
        <v>-381.84820000000002</v>
      </c>
      <c r="K2156">
        <v>1.1054899999999901</v>
      </c>
      <c r="L2156">
        <v>285.85169999999999</v>
      </c>
      <c r="M2156">
        <v>-0.99989479999999997</v>
      </c>
      <c r="N2156">
        <v>0</v>
      </c>
      <c r="O2156">
        <v>9.2018899999999997E-4</v>
      </c>
      <c r="P2156">
        <v>-0.99887890000000001</v>
      </c>
      <c r="Q2156">
        <v>6.0919310000000001E-3</v>
      </c>
      <c r="R2156">
        <v>-4.6946639999999998E-2</v>
      </c>
      <c r="S2156">
        <v>-2.9837950000000002</v>
      </c>
      <c r="T2156">
        <v>-0.23453769999999999</v>
      </c>
      <c r="U2156">
        <v>-0.44732669999999902</v>
      </c>
      <c r="V2156">
        <v>-4.792221E-2</v>
      </c>
      <c r="W2156">
        <v>2.0419920000000001E-2</v>
      </c>
      <c r="X2156">
        <v>0.99864229999999998</v>
      </c>
      <c r="Y2156">
        <v>-0.1487204</v>
      </c>
      <c r="Z2156">
        <v>-5.8755430000000004E-3</v>
      </c>
      <c r="AA2156">
        <v>0.98886180000000001</v>
      </c>
      <c r="AB2156">
        <v>33</v>
      </c>
      <c r="AC2156">
        <v>-13.752199999999901</v>
      </c>
      <c r="AD2156">
        <v>-1.10548855653399</v>
      </c>
      <c r="AE2156">
        <v>-2.1078999999999701</v>
      </c>
      <c r="AF2156">
        <v>-2.10725066339542</v>
      </c>
      <c r="AG2156">
        <v>-1.10548855653399</v>
      </c>
      <c r="AH2156">
        <v>13.663985011733599</v>
      </c>
      <c r="AI2156">
        <v>94.571644039661194</v>
      </c>
      <c r="AJ2156">
        <v>98.767048344619198</v>
      </c>
      <c r="AK2156">
        <v>13.8696465963589</v>
      </c>
    </row>
    <row r="2157" spans="1:37" x14ac:dyDescent="0.2">
      <c r="A2157" t="str">
        <f>"20200111155837882"</f>
        <v>20200111155837882</v>
      </c>
      <c r="B2157" t="str">
        <f>"1578729517872961"</f>
        <v>1578729517872961</v>
      </c>
      <c r="C2157" t="s">
        <v>37</v>
      </c>
      <c r="D2157">
        <v>5.9565409999999996</v>
      </c>
      <c r="E2157">
        <v>0.46213729999999997</v>
      </c>
      <c r="F2157" t="s">
        <v>50</v>
      </c>
      <c r="G2157">
        <v>-395.93880000000001</v>
      </c>
      <c r="H2157" s="1">
        <v>1.6235119999999999E-6</v>
      </c>
      <c r="I2157">
        <v>283.72969999999998</v>
      </c>
      <c r="J2157">
        <v>-382.16660000000002</v>
      </c>
      <c r="K2157">
        <v>1.1054899999999901</v>
      </c>
      <c r="L2157">
        <v>285.85059999999999</v>
      </c>
      <c r="M2157">
        <v>-0.99989509999999904</v>
      </c>
      <c r="N2157">
        <v>0</v>
      </c>
      <c r="O2157">
        <v>-3.7377679999999998E-4</v>
      </c>
      <c r="P2157">
        <v>-0.99882959999999998</v>
      </c>
      <c r="Q2157">
        <v>6.5042479999999998E-3</v>
      </c>
      <c r="R2157">
        <v>-4.792569E-2</v>
      </c>
      <c r="S2157">
        <v>-2.9836429999999998</v>
      </c>
      <c r="T2157">
        <v>-0.23408499999999999</v>
      </c>
      <c r="U2157">
        <v>-0.4493103</v>
      </c>
      <c r="V2157">
        <v>-4.7610380000000001E-2</v>
      </c>
      <c r="W2157">
        <v>2.0829899999999998E-2</v>
      </c>
      <c r="X2157">
        <v>0.9986488</v>
      </c>
      <c r="Y2157">
        <v>-0.1480986</v>
      </c>
      <c r="Z2157">
        <v>-5.7392169999999996E-3</v>
      </c>
      <c r="AA2157">
        <v>0.98895599999999995</v>
      </c>
      <c r="AB2157">
        <v>32</v>
      </c>
      <c r="AC2157">
        <v>-13.7721999999999</v>
      </c>
      <c r="AD2157">
        <v>-1.1054883764879999</v>
      </c>
      <c r="AE2157">
        <v>-2.1208999999999998</v>
      </c>
      <c r="AF2157">
        <v>-2.10251846405786</v>
      </c>
      <c r="AG2157">
        <v>-1.1054883764879999</v>
      </c>
      <c r="AH2157">
        <v>13.6868477038787</v>
      </c>
      <c r="AI2157">
        <v>94.564451365464606</v>
      </c>
      <c r="AJ2157">
        <v>98.733278510146306</v>
      </c>
      <c r="AK2157">
        <v>13.8914537940211</v>
      </c>
    </row>
    <row r="2158" spans="1:37" x14ac:dyDescent="0.2">
      <c r="A2158" t="str">
        <f>"20200111155837906"</f>
        <v>20200111155837906</v>
      </c>
      <c r="B2158" t="str">
        <f>"1578729517903217"</f>
        <v>1578729517903217</v>
      </c>
      <c r="C2158" t="s">
        <v>37</v>
      </c>
      <c r="D2158">
        <v>5.9411309999999897</v>
      </c>
      <c r="E2158">
        <v>0.462221099999999</v>
      </c>
      <c r="F2158" t="s">
        <v>50</v>
      </c>
      <c r="G2158">
        <v>-396.11720000000003</v>
      </c>
      <c r="H2158" s="1">
        <v>1.7184679999999999E-6</v>
      </c>
      <c r="I2158">
        <v>283.73320000000001</v>
      </c>
      <c r="J2158">
        <v>-382.4898</v>
      </c>
      <c r="K2158">
        <v>1.1054930000000001</v>
      </c>
      <c r="L2158">
        <v>285.84910000000002</v>
      </c>
      <c r="M2158">
        <v>-0.99989380000000005</v>
      </c>
      <c r="N2158">
        <v>0</v>
      </c>
      <c r="O2158">
        <v>-1.687341E-3</v>
      </c>
      <c r="P2158">
        <v>-0.99876749999999903</v>
      </c>
      <c r="Q2158">
        <v>6.1014009999999898E-3</v>
      </c>
      <c r="R2158">
        <v>-4.9256370000000001E-2</v>
      </c>
      <c r="S2158">
        <v>-2.9833069999999999</v>
      </c>
      <c r="T2158">
        <v>-0.2364067</v>
      </c>
      <c r="U2158">
        <v>-0.45278930000000001</v>
      </c>
      <c r="V2158">
        <v>-4.7627919999999997E-2</v>
      </c>
      <c r="W2158">
        <v>2.04242E-2</v>
      </c>
      <c r="X2158">
        <v>0.99865630000000005</v>
      </c>
      <c r="Y2158">
        <v>-0.14793909999999999</v>
      </c>
      <c r="Z2158">
        <v>-5.686488E-3</v>
      </c>
      <c r="AA2158">
        <v>0.98898009999999903</v>
      </c>
      <c r="AB2158">
        <v>32</v>
      </c>
      <c r="AC2158">
        <v>-13.6274</v>
      </c>
      <c r="AD2158">
        <v>-1.1054912815319999</v>
      </c>
      <c r="AE2158">
        <v>-2.1159000000000101</v>
      </c>
      <c r="AF2158">
        <v>-2.07953745828884</v>
      </c>
      <c r="AG2158">
        <v>-1.1054912815319999</v>
      </c>
      <c r="AH2158">
        <v>13.543918379989799</v>
      </c>
      <c r="AI2158">
        <v>94.612477585860702</v>
      </c>
      <c r="AJ2158">
        <v>98.729043214305307</v>
      </c>
      <c r="AK2158">
        <v>13.7471565095403</v>
      </c>
    </row>
    <row r="2159" spans="1:37" x14ac:dyDescent="0.2">
      <c r="A2159" t="str">
        <f>"20200111155837928"</f>
        <v>20200111155837928</v>
      </c>
      <c r="B2159" t="str">
        <f>"1578729517923714"</f>
        <v>1578729517923714</v>
      </c>
      <c r="C2159" t="s">
        <v>37</v>
      </c>
      <c r="D2159">
        <v>5.9863059999999999</v>
      </c>
      <c r="E2159">
        <v>0.46218679999999901</v>
      </c>
      <c r="F2159" t="s">
        <v>50</v>
      </c>
      <c r="G2159">
        <v>-396.29559999999998</v>
      </c>
      <c r="H2159" s="1">
        <v>1.8134289999999901E-6</v>
      </c>
      <c r="I2159">
        <v>283.73790000000002</v>
      </c>
      <c r="J2159">
        <v>-382.8236</v>
      </c>
      <c r="K2159">
        <v>1.1054919999999999</v>
      </c>
      <c r="L2159">
        <v>285.84710000000001</v>
      </c>
      <c r="M2159">
        <v>-0.99989069999999902</v>
      </c>
      <c r="N2159">
        <v>0</v>
      </c>
      <c r="O2159">
        <v>-3.0441629999999999E-3</v>
      </c>
      <c r="P2159">
        <v>-0.99868319999999999</v>
      </c>
      <c r="Q2159">
        <v>5.7955430000000002E-3</v>
      </c>
      <c r="R2159">
        <v>-5.09767E-2</v>
      </c>
      <c r="S2159">
        <v>-2.982666</v>
      </c>
      <c r="T2159">
        <v>-0.23883550000000001</v>
      </c>
      <c r="U2159">
        <v>-0.45611570000000001</v>
      </c>
      <c r="V2159">
        <v>-4.7991560000000003E-2</v>
      </c>
      <c r="W2159">
        <v>2.0113369999999998E-2</v>
      </c>
      <c r="X2159">
        <v>0.99864519999999901</v>
      </c>
      <c r="Y2159">
        <v>-0.14770229999999901</v>
      </c>
      <c r="Z2159">
        <v>-5.6282040000000004E-3</v>
      </c>
      <c r="AA2159">
        <v>0.98901589999999995</v>
      </c>
      <c r="AB2159">
        <v>32</v>
      </c>
      <c r="AC2159">
        <v>-13.4719999999999</v>
      </c>
      <c r="AD2159">
        <v>-1.1054901865709901</v>
      </c>
      <c r="AE2159">
        <v>-2.10919999999998</v>
      </c>
      <c r="AF2159">
        <v>-2.0546707019941999</v>
      </c>
      <c r="AG2159">
        <v>-1.1054901865709901</v>
      </c>
      <c r="AH2159">
        <v>13.3903512731564</v>
      </c>
      <c r="AI2159">
        <v>94.665205963476893</v>
      </c>
      <c r="AJ2159">
        <v>98.723658802708698</v>
      </c>
      <c r="AK2159">
        <v>13.5921038645516</v>
      </c>
    </row>
    <row r="2160" spans="1:37" x14ac:dyDescent="0.2">
      <c r="A2160" t="str">
        <f>"20200111155837950"</f>
        <v>20200111155837950</v>
      </c>
      <c r="B2160" t="str">
        <f>"1578729517943233"</f>
        <v>1578729517943233</v>
      </c>
      <c r="C2160" t="s">
        <v>37</v>
      </c>
      <c r="D2160">
        <v>6.0613239999999999</v>
      </c>
      <c r="E2160">
        <v>0.46229170000000003</v>
      </c>
      <c r="F2160" t="s">
        <v>50</v>
      </c>
      <c r="G2160">
        <v>-396.52890000000002</v>
      </c>
      <c r="H2160" s="1">
        <v>1.9375749999999998E-6</v>
      </c>
      <c r="I2160">
        <v>283.72550000000001</v>
      </c>
      <c r="J2160">
        <v>-383.13889999999998</v>
      </c>
      <c r="K2160">
        <v>1.1054889999999999</v>
      </c>
      <c r="L2160">
        <v>285.84480000000002</v>
      </c>
      <c r="M2160">
        <v>-0.99988619999999995</v>
      </c>
      <c r="N2160">
        <v>0</v>
      </c>
      <c r="O2160">
        <v>-4.3264829999999999E-3</v>
      </c>
      <c r="P2160">
        <v>-0.99861580000000005</v>
      </c>
      <c r="Q2160">
        <v>5.1315290000000001E-3</v>
      </c>
      <c r="R2160">
        <v>-5.2350319999999999E-2</v>
      </c>
      <c r="S2160">
        <v>-2.9817809999999998</v>
      </c>
      <c r="T2160">
        <v>-0.24051529999999999</v>
      </c>
      <c r="U2160">
        <v>-0.4615784</v>
      </c>
      <c r="V2160">
        <v>-4.8082189999999997E-2</v>
      </c>
      <c r="W2160">
        <v>1.9446399999999999E-2</v>
      </c>
      <c r="X2160">
        <v>0.99865409999999899</v>
      </c>
      <c r="Y2160">
        <v>-0.14824370000000001</v>
      </c>
      <c r="Z2160">
        <v>-5.5875569999999999E-3</v>
      </c>
      <c r="AA2160">
        <v>0.98893509999999996</v>
      </c>
      <c r="AB2160">
        <v>32</v>
      </c>
      <c r="AC2160">
        <v>-13.39</v>
      </c>
      <c r="AD2160">
        <v>-1.1054870624249999</v>
      </c>
      <c r="AE2160">
        <v>-2.1193</v>
      </c>
      <c r="AF2160">
        <v>-2.0477257816038601</v>
      </c>
      <c r="AG2160">
        <v>-1.1054870624249999</v>
      </c>
      <c r="AH2160">
        <v>13.3105339375483</v>
      </c>
      <c r="AI2160">
        <v>94.692763967335196</v>
      </c>
      <c r="AJ2160">
        <v>98.745957602891295</v>
      </c>
      <c r="AK2160">
        <v>13.512423773123</v>
      </c>
    </row>
    <row r="2161" spans="1:37" x14ac:dyDescent="0.2">
      <c r="A2161" t="str">
        <f>"20200111155837972"</f>
        <v>20200111155837972</v>
      </c>
      <c r="B2161" t="str">
        <f>"1578729517963728"</f>
        <v>1578729517963728</v>
      </c>
      <c r="C2161" t="s">
        <v>37</v>
      </c>
      <c r="D2161">
        <v>5.9805929999999998</v>
      </c>
      <c r="E2161">
        <v>0.46250950000000002</v>
      </c>
      <c r="F2161" t="s">
        <v>50</v>
      </c>
      <c r="G2161">
        <v>-396.66969999999998</v>
      </c>
      <c r="H2161" s="1">
        <v>2.012499E-6</v>
      </c>
      <c r="I2161">
        <v>283.73489999999998</v>
      </c>
      <c r="J2161">
        <v>-383.45769999999999</v>
      </c>
      <c r="K2161">
        <v>1.105494</v>
      </c>
      <c r="L2161">
        <v>285.84199999999998</v>
      </c>
      <c r="M2161">
        <v>-0.99987979999999999</v>
      </c>
      <c r="N2161">
        <v>0</v>
      </c>
      <c r="O2161">
        <v>-5.6225110000000002E-3</v>
      </c>
      <c r="P2161">
        <v>-0.99857379999999996</v>
      </c>
      <c r="Q2161">
        <v>5.2278569999999998E-3</v>
      </c>
      <c r="R2161">
        <v>-5.3132520000000003E-2</v>
      </c>
      <c r="S2161">
        <v>-2.9810789999999998</v>
      </c>
      <c r="T2161">
        <v>-0.24355879999999899</v>
      </c>
      <c r="U2161">
        <v>-0.46484379999999997</v>
      </c>
      <c r="V2161">
        <v>-4.7570660000000001E-2</v>
      </c>
      <c r="W2161">
        <v>1.9541759999999998E-2</v>
      </c>
      <c r="X2161">
        <v>0.99867669999999997</v>
      </c>
      <c r="Y2161">
        <v>-0.14804800000000001</v>
      </c>
      <c r="Z2161">
        <v>-5.5458719999999899E-3</v>
      </c>
      <c r="AA2161">
        <v>0.98896459999999997</v>
      </c>
      <c r="AB2161">
        <v>32</v>
      </c>
      <c r="AC2161">
        <v>-13.2119999999999</v>
      </c>
      <c r="AD2161">
        <v>-1.1054919875010001</v>
      </c>
      <c r="AE2161">
        <v>-2.1071</v>
      </c>
      <c r="AF2161">
        <v>-2.01898953249029</v>
      </c>
      <c r="AG2161">
        <v>-1.1054919875010001</v>
      </c>
      <c r="AH2161">
        <v>13.1339665303706</v>
      </c>
      <c r="AI2161">
        <v>94.755670278590301</v>
      </c>
      <c r="AJ2161">
        <v>98.739255431966001</v>
      </c>
      <c r="AK2161">
        <v>13.3341481950527</v>
      </c>
    </row>
    <row r="2162" spans="1:37" x14ac:dyDescent="0.2">
      <c r="A2162" t="str">
        <f>"20200111155837994"</f>
        <v>20200111155837994</v>
      </c>
      <c r="B2162" t="str">
        <f>"1578729517983249"</f>
        <v>1578729517983249</v>
      </c>
      <c r="C2162" t="s">
        <v>37</v>
      </c>
      <c r="D2162">
        <v>6.0434729999999997</v>
      </c>
      <c r="E2162">
        <v>0.4743523</v>
      </c>
      <c r="F2162" t="s">
        <v>50</v>
      </c>
      <c r="G2162">
        <v>-397.02069999999998</v>
      </c>
      <c r="H2162" s="1">
        <v>2.1992820000000002E-6</v>
      </c>
      <c r="I2162">
        <v>283.72430000000003</v>
      </c>
      <c r="J2162">
        <v>-383.78089999999997</v>
      </c>
      <c r="K2162">
        <v>1.105497</v>
      </c>
      <c r="L2162">
        <v>285.83879999999999</v>
      </c>
      <c r="M2162">
        <v>-0.99987139999999997</v>
      </c>
      <c r="N2162">
        <v>0</v>
      </c>
      <c r="O2162">
        <v>-6.9376019999999898E-3</v>
      </c>
      <c r="P2162">
        <v>-0.99855919999999898</v>
      </c>
      <c r="Q2162">
        <v>5.4304840000000002E-3</v>
      </c>
      <c r="R2162">
        <v>-5.3384630000000002E-2</v>
      </c>
      <c r="S2162">
        <v>-2.9808349999999999</v>
      </c>
      <c r="T2162">
        <v>-0.24296100000000001</v>
      </c>
      <c r="U2162">
        <v>-0.46542359999999999</v>
      </c>
      <c r="V2162">
        <v>-4.650994E-2</v>
      </c>
      <c r="W2162">
        <v>1.9744370000000001E-2</v>
      </c>
      <c r="X2162">
        <v>0.99872269999999896</v>
      </c>
      <c r="Y2162">
        <v>-0.14695729999999901</v>
      </c>
      <c r="Z2162">
        <v>-5.382207E-3</v>
      </c>
      <c r="AA2162">
        <v>0.98912819999999901</v>
      </c>
      <c r="AB2162">
        <v>32</v>
      </c>
      <c r="AC2162">
        <v>-13.239800000000001</v>
      </c>
      <c r="AD2162">
        <v>-1.1054948007179899</v>
      </c>
      <c r="AE2162">
        <v>-2.1144999999999601</v>
      </c>
      <c r="AF2162">
        <v>-2.00892936269276</v>
      </c>
      <c r="AG2162">
        <v>-1.1054948007179899</v>
      </c>
      <c r="AH2162">
        <v>13.1646527194864</v>
      </c>
      <c r="AI2162">
        <v>94.745441167767794</v>
      </c>
      <c r="AJ2162">
        <v>98.676415008976903</v>
      </c>
      <c r="AK2162">
        <v>13.3628588693956</v>
      </c>
    </row>
    <row r="2163" spans="1:37" x14ac:dyDescent="0.2">
      <c r="A2163" t="str">
        <f>"20200111155838018"</f>
        <v>20200111155838018</v>
      </c>
      <c r="B2163" t="str">
        <f>"1578729518013506"</f>
        <v>1578729518013506</v>
      </c>
      <c r="C2163" t="s">
        <v>37</v>
      </c>
      <c r="D2163">
        <v>6.0521729999999998</v>
      </c>
      <c r="E2163">
        <v>0.51451840000000004</v>
      </c>
      <c r="F2163" t="s">
        <v>52</v>
      </c>
      <c r="G2163">
        <v>-408.31630000000001</v>
      </c>
      <c r="H2163" s="1">
        <v>5.0883400000000003E-6</v>
      </c>
      <c r="I2163">
        <v>282.80619999999999</v>
      </c>
      <c r="J2163">
        <v>-384.10719999999998</v>
      </c>
      <c r="K2163">
        <v>1.10549599999999</v>
      </c>
      <c r="L2163">
        <v>285.83510000000001</v>
      </c>
      <c r="M2163">
        <v>-0.99986140000000001</v>
      </c>
      <c r="N2163">
        <v>0</v>
      </c>
      <c r="O2163">
        <v>-8.2654419999999996E-3</v>
      </c>
      <c r="P2163">
        <v>-0.99856789999999995</v>
      </c>
      <c r="Q2163">
        <v>5.4064480000000003E-3</v>
      </c>
      <c r="R2163">
        <v>-5.3227910000000003E-2</v>
      </c>
      <c r="S2163">
        <v>-2.9852910000000001</v>
      </c>
      <c r="T2163">
        <v>-0.13450789999999899</v>
      </c>
      <c r="U2163">
        <v>-0.36898799999999998</v>
      </c>
      <c r="V2163">
        <v>-4.5025499999999899E-2</v>
      </c>
      <c r="W2163">
        <v>1.972196E-2</v>
      </c>
      <c r="X2163">
        <v>0.99879119999999999</v>
      </c>
      <c r="Y2163">
        <v>-0.1143545</v>
      </c>
      <c r="Z2163">
        <v>-2.194372E-3</v>
      </c>
      <c r="AA2163">
        <v>0.99343760000000003</v>
      </c>
      <c r="AB2163">
        <v>32</v>
      </c>
      <c r="AC2163">
        <v>-24.209099999999999</v>
      </c>
      <c r="AD2163">
        <v>-1.10549091165999</v>
      </c>
      <c r="AE2163">
        <v>-3.0289000000000201</v>
      </c>
      <c r="AF2163">
        <v>-2.8228810791729799</v>
      </c>
      <c r="AG2163">
        <v>-1.10549091165999</v>
      </c>
      <c r="AH2163">
        <v>24.183659501118701</v>
      </c>
      <c r="AI2163">
        <v>92.599674244061802</v>
      </c>
      <c r="AJ2163">
        <v>96.657823893525503</v>
      </c>
      <c r="AK2163">
        <v>24.3729389817676</v>
      </c>
    </row>
    <row r="2164" spans="1:37" x14ac:dyDescent="0.2">
      <c r="A2164" t="str">
        <f>"20200111155838061"</f>
        <v>20200111155838061</v>
      </c>
      <c r="B2164" t="str">
        <f>"1578729518053520"</f>
        <v>1578729518053520</v>
      </c>
      <c r="C2164" t="s">
        <v>37</v>
      </c>
      <c r="D2164">
        <v>8.9451699999999992</v>
      </c>
      <c r="E2164">
        <v>0.55203829999999998</v>
      </c>
      <c r="F2164" t="s">
        <v>52</v>
      </c>
      <c r="G2164">
        <v>-408.47680000000003</v>
      </c>
      <c r="H2164" s="1">
        <v>4.4727390000000004E-6</v>
      </c>
      <c r="I2164">
        <v>285.44099999999997</v>
      </c>
      <c r="J2164">
        <v>-384.73540000000003</v>
      </c>
      <c r="K2164">
        <v>1.1054870000000001</v>
      </c>
      <c r="L2164">
        <v>285.82679999999999</v>
      </c>
      <c r="M2164">
        <v>-0.99983699999999998</v>
      </c>
      <c r="N2164">
        <v>0</v>
      </c>
      <c r="O2164">
        <v>-1.0823269999999999E-2</v>
      </c>
      <c r="P2164">
        <v>-0.99851630000000002</v>
      </c>
      <c r="Q2164">
        <v>4.6924200000000001E-3</v>
      </c>
      <c r="R2164">
        <v>-5.425087E-2</v>
      </c>
      <c r="S2164">
        <v>-3.002472</v>
      </c>
      <c r="T2164">
        <v>-0.13620279999999901</v>
      </c>
      <c r="U2164">
        <v>-4.8553470000000001E-2</v>
      </c>
      <c r="V2164">
        <v>-4.3491540000000002E-2</v>
      </c>
      <c r="W2164">
        <v>1.9006840000000001E-2</v>
      </c>
      <c r="X2164">
        <v>0.99887300000000001</v>
      </c>
      <c r="Y2164">
        <v>-5.3507499999999996E-3</v>
      </c>
      <c r="Z2164">
        <v>3.6943650000000001E-4</v>
      </c>
      <c r="AA2164">
        <v>0.99998560000000003</v>
      </c>
      <c r="AB2164">
        <v>32</v>
      </c>
      <c r="AC2164">
        <v>-23.741399999999999</v>
      </c>
      <c r="AD2164">
        <v>-1.105482527261</v>
      </c>
      <c r="AE2164">
        <v>-0.38580000000001702</v>
      </c>
      <c r="AF2164">
        <v>-0.12851241886004799</v>
      </c>
      <c r="AG2164">
        <v>-1.105482527261</v>
      </c>
      <c r="AH2164">
        <v>23.692828893665801</v>
      </c>
      <c r="AI2164">
        <v>92.671384202009605</v>
      </c>
      <c r="AJ2164">
        <v>90.310775342155395</v>
      </c>
      <c r="AK2164">
        <v>23.718953350525499</v>
      </c>
    </row>
    <row r="2165" spans="1:37" x14ac:dyDescent="0.2">
      <c r="A2165" t="str">
        <f>"20200111155838085"</f>
        <v>20200111155838085</v>
      </c>
      <c r="B2165" t="str">
        <f>"1578729518073352"</f>
        <v>1578729518073352</v>
      </c>
      <c r="C2165" t="s">
        <v>37</v>
      </c>
      <c r="D2165">
        <v>6.070659</v>
      </c>
      <c r="E2165">
        <v>0.55150559999999904</v>
      </c>
      <c r="F2165" t="s">
        <v>38</v>
      </c>
      <c r="G2165">
        <v>-385.52510000000001</v>
      </c>
      <c r="H2165">
        <v>1.0535019999999999</v>
      </c>
      <c r="I2165">
        <v>285.89139999999998</v>
      </c>
      <c r="J2165">
        <v>-385.06349999999998</v>
      </c>
      <c r="K2165">
        <v>1.1054899999999901</v>
      </c>
      <c r="L2165">
        <v>285.8218</v>
      </c>
      <c r="M2165">
        <v>-0.99982169999999904</v>
      </c>
      <c r="N2165">
        <v>0</v>
      </c>
      <c r="O2165">
        <v>-1.215981E-2</v>
      </c>
      <c r="P2165">
        <v>-0.998472899999999</v>
      </c>
      <c r="Q2165">
        <v>4.6239109999999996E-3</v>
      </c>
      <c r="R2165">
        <v>-5.5049679999999997E-2</v>
      </c>
      <c r="S2165">
        <v>-3.018707</v>
      </c>
      <c r="T2165">
        <v>-0.1990027</v>
      </c>
      <c r="U2165">
        <v>0.24551390000000001</v>
      </c>
      <c r="V2165">
        <v>-4.2955269999999997E-2</v>
      </c>
      <c r="W2165">
        <v>1.8937240000000001E-2</v>
      </c>
      <c r="X2165">
        <v>0.99889749999999999</v>
      </c>
      <c r="Y2165">
        <v>9.2951499999999895E-2</v>
      </c>
      <c r="Z2165">
        <v>3.8550749999999999E-3</v>
      </c>
      <c r="AA2165">
        <v>0.99566319999999997</v>
      </c>
      <c r="AB2165">
        <v>32</v>
      </c>
      <c r="AC2165">
        <v>-0.46160000000003198</v>
      </c>
      <c r="AD2165">
        <v>-5.1987999999999902E-2</v>
      </c>
      <c r="AE2165">
        <v>6.95999999999799E-2</v>
      </c>
      <c r="AF2165">
        <v>7.4287056883571997E-2</v>
      </c>
      <c r="AG2165">
        <v>-5.1987999999999902E-2</v>
      </c>
      <c r="AH2165">
        <v>0.45507535037833402</v>
      </c>
      <c r="AI2165">
        <v>96.432821524859804</v>
      </c>
      <c r="AJ2165">
        <v>80.7287422471844</v>
      </c>
      <c r="AK2165">
        <v>0.46402035891368598</v>
      </c>
    </row>
    <row r="2166" spans="1:37" x14ac:dyDescent="0.2">
      <c r="A2166" t="str">
        <f>"20200111155838107"</f>
        <v>20200111155838107</v>
      </c>
      <c r="B2166" t="str">
        <f>"1578729518103608"</f>
        <v>1578729518103608</v>
      </c>
      <c r="C2166" t="s">
        <v>37</v>
      </c>
      <c r="D2166">
        <v>8.4548199999999998</v>
      </c>
      <c r="E2166">
        <v>0.5507706</v>
      </c>
      <c r="F2166" t="s">
        <v>38</v>
      </c>
      <c r="G2166">
        <v>-385.80610000000001</v>
      </c>
      <c r="H2166">
        <v>1.053393</v>
      </c>
      <c r="I2166">
        <v>285.88029999999998</v>
      </c>
      <c r="J2166">
        <v>-385.38069999999999</v>
      </c>
      <c r="K2166">
        <v>1.1054930000000001</v>
      </c>
      <c r="L2166">
        <v>285.81659999999999</v>
      </c>
      <c r="M2166">
        <v>-0.99980530000000001</v>
      </c>
      <c r="N2166">
        <v>0</v>
      </c>
      <c r="O2166">
        <v>-1.34526E-2</v>
      </c>
      <c r="P2166">
        <v>-0.99840680000000004</v>
      </c>
      <c r="Q2166">
        <v>5.0734880000000001E-3</v>
      </c>
      <c r="R2166">
        <v>-5.6198600000000001E-2</v>
      </c>
      <c r="S2166">
        <v>-3.0187379999999999</v>
      </c>
      <c r="T2166">
        <v>-0.2116895</v>
      </c>
      <c r="U2166">
        <v>0.23834229999999901</v>
      </c>
      <c r="V2166">
        <v>-4.2813919999999998E-2</v>
      </c>
      <c r="W2166">
        <v>1.938395E-2</v>
      </c>
      <c r="X2166">
        <v>0.99889499999999998</v>
      </c>
      <c r="Y2166">
        <v>9.1857380000000002E-2</v>
      </c>
      <c r="Z2166">
        <v>4.1527789999999997E-3</v>
      </c>
      <c r="AA2166">
        <v>0.99576350000000002</v>
      </c>
      <c r="AB2166">
        <v>32</v>
      </c>
      <c r="AC2166">
        <v>-0.42540000000002398</v>
      </c>
      <c r="AD2166">
        <v>-5.21E-2</v>
      </c>
      <c r="AE2166">
        <v>6.3699999999982895E-2</v>
      </c>
      <c r="AF2166">
        <v>6.8413889082645701E-2</v>
      </c>
      <c r="AG2166">
        <v>-5.21E-2</v>
      </c>
      <c r="AH2166">
        <v>0.41836675500575699</v>
      </c>
      <c r="AI2166">
        <v>97.0064881512005</v>
      </c>
      <c r="AJ2166">
        <v>80.712843692214406</v>
      </c>
      <c r="AK2166">
        <v>0.42711311372218402</v>
      </c>
    </row>
    <row r="2167" spans="1:37" x14ac:dyDescent="0.2">
      <c r="A2167" t="str">
        <f>"20200111155838129"</f>
        <v>20200111155838129</v>
      </c>
      <c r="B2167" t="str">
        <f>"1578729518123128"</f>
        <v>1578729518123128</v>
      </c>
      <c r="C2167" t="s">
        <v>37</v>
      </c>
      <c r="D2167">
        <v>6.7197300000000002</v>
      </c>
      <c r="E2167">
        <v>0.5501393</v>
      </c>
      <c r="F2167" t="s">
        <v>38</v>
      </c>
      <c r="G2167">
        <v>-386.36180000000002</v>
      </c>
      <c r="H2167">
        <v>1.0326580000000001</v>
      </c>
      <c r="I2167">
        <v>285.89109999999999</v>
      </c>
      <c r="J2167">
        <v>-385.7106</v>
      </c>
      <c r="K2167">
        <v>1.105491</v>
      </c>
      <c r="L2167">
        <v>285.8107</v>
      </c>
      <c r="M2167">
        <v>-0.99978639999999996</v>
      </c>
      <c r="N2167">
        <v>0</v>
      </c>
      <c r="O2167">
        <v>-1.479749E-2</v>
      </c>
      <c r="P2167">
        <v>-0.99834780000000001</v>
      </c>
      <c r="Q2167">
        <v>5.9820180000000004E-3</v>
      </c>
      <c r="R2167">
        <v>-5.7152830000000002E-2</v>
      </c>
      <c r="S2167">
        <v>-3.018799</v>
      </c>
      <c r="T2167">
        <v>-0.2242681</v>
      </c>
      <c r="U2167">
        <v>0.22860720000000001</v>
      </c>
      <c r="V2167">
        <v>-4.2427350000000003E-2</v>
      </c>
      <c r="W2167">
        <v>2.0290240000000001E-2</v>
      </c>
      <c r="X2167">
        <v>0.99889349999999999</v>
      </c>
      <c r="Y2167">
        <v>8.9972999999999997E-2</v>
      </c>
      <c r="Z2167">
        <v>4.4291959999999998E-3</v>
      </c>
      <c r="AA2167">
        <v>0.9959344</v>
      </c>
      <c r="AB2167">
        <v>32</v>
      </c>
      <c r="AC2167">
        <v>-0.65120000000001699</v>
      </c>
      <c r="AD2167">
        <v>-7.2832999999999898E-2</v>
      </c>
      <c r="AE2167">
        <v>8.0399999999997293E-2</v>
      </c>
      <c r="AF2167">
        <v>8.8932557025444003E-2</v>
      </c>
      <c r="AG2167">
        <v>-7.2832999999999898E-2</v>
      </c>
      <c r="AH2167">
        <v>0.64202820569866703</v>
      </c>
      <c r="AI2167">
        <v>96.411383148125793</v>
      </c>
      <c r="AJ2167">
        <v>82.113678320070804</v>
      </c>
      <c r="AK2167">
        <v>0.65223758133116905</v>
      </c>
    </row>
    <row r="2168" spans="1:37" x14ac:dyDescent="0.2">
      <c r="A2168" t="str">
        <f>"20200111155838152"</f>
        <v>20200111155838152</v>
      </c>
      <c r="B2168" t="str">
        <f>"1578729518143623"</f>
        <v>1578729518143623</v>
      </c>
      <c r="C2168" t="s">
        <v>37</v>
      </c>
      <c r="D2168">
        <v>8.7776069999999997</v>
      </c>
      <c r="E2168">
        <v>0.55078450000000001</v>
      </c>
      <c r="F2168" t="s">
        <v>38</v>
      </c>
      <c r="G2168">
        <v>-386.65539999999999</v>
      </c>
      <c r="H2168">
        <v>1.0474950000000001</v>
      </c>
      <c r="I2168">
        <v>285.88029999999998</v>
      </c>
      <c r="J2168">
        <v>-386.02260000000001</v>
      </c>
      <c r="K2168">
        <v>1.10549599999999</v>
      </c>
      <c r="L2168">
        <v>285.80470000000003</v>
      </c>
      <c r="M2168">
        <v>-0.99976679999999996</v>
      </c>
      <c r="N2168">
        <v>0</v>
      </c>
      <c r="O2168">
        <v>-1.6069190000000001E-2</v>
      </c>
      <c r="P2168">
        <v>-0.99828510000000004</v>
      </c>
      <c r="Q2168">
        <v>7.0609309999999899E-3</v>
      </c>
      <c r="R2168">
        <v>-5.8112270000000001E-2</v>
      </c>
      <c r="S2168">
        <v>-3.0187680000000001</v>
      </c>
      <c r="T2168">
        <v>-0.18559229999999999</v>
      </c>
      <c r="U2168">
        <v>0.22155759999999999</v>
      </c>
      <c r="V2168">
        <v>-4.2119179999999999E-2</v>
      </c>
      <c r="W2168">
        <v>2.1366710000000001E-2</v>
      </c>
      <c r="X2168">
        <v>0.99888410000000005</v>
      </c>
      <c r="Y2168">
        <v>8.9017399999999997E-2</v>
      </c>
      <c r="Z2168">
        <v>3.7160179999999902E-3</v>
      </c>
      <c r="AA2168">
        <v>0.99602309999999905</v>
      </c>
      <c r="AB2168">
        <v>32</v>
      </c>
      <c r="AC2168">
        <v>-0.63279999999997405</v>
      </c>
      <c r="AD2168">
        <v>-5.8000999999999699E-2</v>
      </c>
      <c r="AE2168">
        <v>7.5599999999951706E-2</v>
      </c>
      <c r="AF2168">
        <v>8.5055371994130394E-2</v>
      </c>
      <c r="AG2168">
        <v>-5.8000999999999699E-2</v>
      </c>
      <c r="AH2168">
        <v>0.62631560096960104</v>
      </c>
      <c r="AI2168">
        <v>95.243026543745103</v>
      </c>
      <c r="AJ2168">
        <v>82.266386907159699</v>
      </c>
      <c r="AK2168">
        <v>0.63472022523626304</v>
      </c>
    </row>
    <row r="2169" spans="1:37" x14ac:dyDescent="0.2">
      <c r="A2169" t="str">
        <f>"20200111155838173"</f>
        <v>20200111155838173</v>
      </c>
      <c r="B2169" t="str">
        <f>"1578729518163144"</f>
        <v>1578729518163144</v>
      </c>
      <c r="C2169" t="s">
        <v>37</v>
      </c>
      <c r="D2169">
        <v>6.036683</v>
      </c>
      <c r="E2169">
        <v>0.55114079999999999</v>
      </c>
      <c r="F2169" t="s">
        <v>52</v>
      </c>
      <c r="G2169">
        <v>-406.35059999999999</v>
      </c>
      <c r="H2169" s="1">
        <v>5.0282660000000001E-6</v>
      </c>
      <c r="I2169">
        <v>287.31569999999999</v>
      </c>
      <c r="J2169">
        <v>-386.33099999999899</v>
      </c>
      <c r="K2169">
        <v>1.1054999999999999</v>
      </c>
      <c r="L2169">
        <v>285.79840000000002</v>
      </c>
      <c r="M2169">
        <v>-0.99974589999999997</v>
      </c>
      <c r="N2169">
        <v>0</v>
      </c>
      <c r="O2169">
        <v>-1.7326459999999998E-2</v>
      </c>
      <c r="P2169">
        <v>-0.99822140000000004</v>
      </c>
      <c r="Q2169">
        <v>7.8986690000000005E-3</v>
      </c>
      <c r="R2169">
        <v>-5.9092119999999998E-2</v>
      </c>
      <c r="S2169">
        <v>-3.0193789999999998</v>
      </c>
      <c r="T2169">
        <v>-0.16420209999999999</v>
      </c>
      <c r="U2169">
        <v>0.2244263</v>
      </c>
      <c r="V2169">
        <v>-4.1845970000000003E-2</v>
      </c>
      <c r="W2169">
        <v>2.2201930000000002E-2</v>
      </c>
      <c r="X2169">
        <v>0.99887729999999997</v>
      </c>
      <c r="Y2169">
        <v>9.1234040000000002E-2</v>
      </c>
      <c r="Z2169">
        <v>3.4160250000000001E-3</v>
      </c>
      <c r="AA2169">
        <v>0.99582359999999903</v>
      </c>
      <c r="AB2169">
        <v>32</v>
      </c>
      <c r="AC2169">
        <v>-20.019600000000001</v>
      </c>
      <c r="AD2169">
        <v>-1.1054949717339999</v>
      </c>
      <c r="AE2169">
        <v>1.5172999999999699</v>
      </c>
      <c r="AF2169">
        <v>1.85834273681891</v>
      </c>
      <c r="AG2169">
        <v>-1.1054949717339999</v>
      </c>
      <c r="AH2169">
        <v>19.9298765356818</v>
      </c>
      <c r="AI2169">
        <v>93.161214628950404</v>
      </c>
      <c r="AJ2169">
        <v>84.672911593011307</v>
      </c>
      <c r="AK2169">
        <v>20.046833555141198</v>
      </c>
    </row>
    <row r="2170" spans="1:37" x14ac:dyDescent="0.2">
      <c r="A2170" t="str">
        <f>"20200111155838196"</f>
        <v>20200111155838196</v>
      </c>
      <c r="B2170" t="str">
        <f>"1578729518193400"</f>
        <v>1578729518193400</v>
      </c>
      <c r="C2170" t="s">
        <v>37</v>
      </c>
      <c r="D2170">
        <v>6.052009</v>
      </c>
      <c r="E2170">
        <v>0.55150339999999998</v>
      </c>
      <c r="F2170" t="s">
        <v>52</v>
      </c>
      <c r="G2170">
        <v>-407.20949999999999</v>
      </c>
      <c r="H2170" s="1">
        <v>4.6402080000000003E-6</v>
      </c>
      <c r="I2170">
        <v>287.3503</v>
      </c>
      <c r="J2170">
        <v>-386.65359999999998</v>
      </c>
      <c r="K2170">
        <v>1.105499</v>
      </c>
      <c r="L2170">
        <v>285.79140000000001</v>
      </c>
      <c r="M2170">
        <v>-0.99972209999999995</v>
      </c>
      <c r="N2170">
        <v>0</v>
      </c>
      <c r="O2170">
        <v>-1.8639369999999999E-2</v>
      </c>
      <c r="P2170">
        <v>-0.99817690000000003</v>
      </c>
      <c r="Q2170">
        <v>7.7179090000000002E-3</v>
      </c>
      <c r="R2170">
        <v>-5.986176E-2</v>
      </c>
      <c r="S2170">
        <v>-3.0198969999999998</v>
      </c>
      <c r="T2170">
        <v>-0.1599004</v>
      </c>
      <c r="U2170">
        <v>0.22445679999999901</v>
      </c>
      <c r="V2170">
        <v>-4.1303149999999997E-2</v>
      </c>
      <c r="W2170">
        <v>2.2019819999999999E-2</v>
      </c>
      <c r="X2170">
        <v>0.99890400000000001</v>
      </c>
      <c r="Y2170">
        <v>9.2543739999999999E-2</v>
      </c>
      <c r="Z2170">
        <v>3.4300859999999902E-3</v>
      </c>
      <c r="AA2170">
        <v>0.99570270000000005</v>
      </c>
      <c r="AB2170">
        <v>32</v>
      </c>
      <c r="AC2170">
        <v>-20.555900000000001</v>
      </c>
      <c r="AD2170">
        <v>-1.1054943597919999</v>
      </c>
      <c r="AE2170">
        <v>1.55889999999999</v>
      </c>
      <c r="AF2170">
        <v>1.9362499055610101</v>
      </c>
      <c r="AG2170">
        <v>-1.1054943597919999</v>
      </c>
      <c r="AH2170">
        <v>20.464417850443599</v>
      </c>
      <c r="AI2170">
        <v>93.078408989520796</v>
      </c>
      <c r="AJ2170">
        <v>84.595024863295606</v>
      </c>
      <c r="AK2170">
        <v>20.585518682653401</v>
      </c>
    </row>
    <row r="2171" spans="1:37" x14ac:dyDescent="0.2">
      <c r="A2171" t="str">
        <f>"20200111155838219"</f>
        <v>20200111155838219</v>
      </c>
      <c r="B2171" t="str">
        <f>"1578729518213896"</f>
        <v>1578729518213896</v>
      </c>
      <c r="C2171" t="s">
        <v>37</v>
      </c>
      <c r="D2171">
        <v>6.002186</v>
      </c>
      <c r="E2171">
        <v>0.55174449999999997</v>
      </c>
      <c r="F2171" t="s">
        <v>52</v>
      </c>
      <c r="G2171">
        <v>-405.8879</v>
      </c>
      <c r="H2171" s="1">
        <v>5.2530889999999996E-6</v>
      </c>
      <c r="I2171">
        <v>287.22059999999999</v>
      </c>
      <c r="J2171">
        <v>-386.97800000000001</v>
      </c>
      <c r="K2171">
        <v>1.1054999999999999</v>
      </c>
      <c r="L2171">
        <v>285.78399999999999</v>
      </c>
      <c r="M2171">
        <v>-0.9996969</v>
      </c>
      <c r="N2171">
        <v>0</v>
      </c>
      <c r="O2171">
        <v>-1.9957869999999999E-2</v>
      </c>
      <c r="P2171">
        <v>-0.99813490000000005</v>
      </c>
      <c r="Q2171">
        <v>7.4708200000000004E-3</v>
      </c>
      <c r="R2171">
        <v>-6.0589860000000002E-2</v>
      </c>
      <c r="S2171">
        <v>-3.0202640000000001</v>
      </c>
      <c r="T2171">
        <v>-0.17359040000000001</v>
      </c>
      <c r="U2171">
        <v>0.2244263</v>
      </c>
      <c r="V2171">
        <v>-4.071321E-2</v>
      </c>
      <c r="W2171">
        <v>2.177192E-2</v>
      </c>
      <c r="X2171">
        <v>0.99893359999999998</v>
      </c>
      <c r="Y2171">
        <v>9.3806050000000002E-2</v>
      </c>
      <c r="Z2171">
        <v>3.8346790000000001E-3</v>
      </c>
      <c r="AA2171">
        <v>0.99558310000000005</v>
      </c>
      <c r="AB2171">
        <v>32</v>
      </c>
      <c r="AC2171">
        <v>-18.9099</v>
      </c>
      <c r="AD2171">
        <v>-1.1054947469109999</v>
      </c>
      <c r="AE2171">
        <v>1.4365999999999901</v>
      </c>
      <c r="AF2171">
        <v>1.8076119061913201</v>
      </c>
      <c r="AG2171">
        <v>-1.1054947469109999</v>
      </c>
      <c r="AH2171">
        <v>18.813528162300901</v>
      </c>
      <c r="AI2171">
        <v>93.347488851075894</v>
      </c>
      <c r="AJ2171">
        <v>84.511843281033805</v>
      </c>
      <c r="AK2171">
        <v>18.932470027773501</v>
      </c>
    </row>
    <row r="2172" spans="1:37" x14ac:dyDescent="0.2">
      <c r="A2172" t="str">
        <f>"20200111155838241"</f>
        <v>20200111155838241</v>
      </c>
      <c r="B2172" t="str">
        <f>"1578729518233415"</f>
        <v>1578729518233415</v>
      </c>
      <c r="C2172" t="s">
        <v>37</v>
      </c>
      <c r="D2172">
        <v>6.0249949999999997</v>
      </c>
      <c r="E2172">
        <v>0.55192169999999996</v>
      </c>
      <c r="F2172" t="s">
        <v>52</v>
      </c>
      <c r="G2172">
        <v>-404.96249999999998</v>
      </c>
      <c r="H2172" s="1">
        <v>5.6851500000000001E-6</v>
      </c>
      <c r="I2172">
        <v>287.1157</v>
      </c>
      <c r="J2172">
        <v>-387.29020000000003</v>
      </c>
      <c r="K2172">
        <v>1.1054949999999999</v>
      </c>
      <c r="L2172">
        <v>285.77640000000002</v>
      </c>
      <c r="M2172">
        <v>-0.99967090000000003</v>
      </c>
      <c r="N2172">
        <v>0</v>
      </c>
      <c r="O2172">
        <v>-2.1221500000000001E-2</v>
      </c>
      <c r="P2172">
        <v>-0.99806989999999995</v>
      </c>
      <c r="Q2172">
        <v>6.9519359999999997E-3</v>
      </c>
      <c r="R2172">
        <v>-6.1713669999999998E-2</v>
      </c>
      <c r="S2172">
        <v>-3.0205690000000001</v>
      </c>
      <c r="T2172">
        <v>-0.18567220000000001</v>
      </c>
      <c r="U2172">
        <v>0.22366329999999901</v>
      </c>
      <c r="V2172">
        <v>-4.0573619999999998E-2</v>
      </c>
      <c r="W2172">
        <v>2.1250379999999999E-2</v>
      </c>
      <c r="X2172">
        <v>0.99895049999999996</v>
      </c>
      <c r="Y2172">
        <v>9.4775880000000007E-2</v>
      </c>
      <c r="Z2172">
        <v>4.2079689999999998E-3</v>
      </c>
      <c r="AA2172">
        <v>0.99548969999999903</v>
      </c>
      <c r="AB2172">
        <v>32</v>
      </c>
      <c r="AC2172">
        <v>-17.6722999999999</v>
      </c>
      <c r="AD2172">
        <v>-1.10548931485</v>
      </c>
      <c r="AE2172">
        <v>1.33929999999998</v>
      </c>
      <c r="AF2172">
        <v>1.7074267922803701</v>
      </c>
      <c r="AG2172">
        <v>-1.10548931485</v>
      </c>
      <c r="AH2172">
        <v>17.57152763561</v>
      </c>
      <c r="AI2172">
        <v>93.583111270054403</v>
      </c>
      <c r="AJ2172">
        <v>84.449988387646201</v>
      </c>
      <c r="AK2172">
        <v>17.688866451111299</v>
      </c>
    </row>
    <row r="2173" spans="1:37" x14ac:dyDescent="0.2">
      <c r="A2173" t="str">
        <f>"20200111155838262"</f>
        <v>20200111155838262</v>
      </c>
      <c r="B2173" t="str">
        <f>"1578729518252936"</f>
        <v>1578729518252936</v>
      </c>
      <c r="C2173" t="s">
        <v>37</v>
      </c>
      <c r="D2173">
        <v>6.0327950000000001</v>
      </c>
      <c r="E2173">
        <v>0.55211540000000003</v>
      </c>
      <c r="F2173" t="s">
        <v>52</v>
      </c>
      <c r="G2173">
        <v>-404.35469999999998</v>
      </c>
      <c r="H2173" s="1">
        <v>5.9729519999999998E-6</v>
      </c>
      <c r="I2173">
        <v>287.02730000000003</v>
      </c>
      <c r="J2173">
        <v>-387.59820000000002</v>
      </c>
      <c r="K2173">
        <v>1.1054839999999999</v>
      </c>
      <c r="L2173">
        <v>285.76850000000002</v>
      </c>
      <c r="M2173">
        <v>-0.99964390000000003</v>
      </c>
      <c r="N2173">
        <v>0</v>
      </c>
      <c r="O2173">
        <v>-2.245728E-2</v>
      </c>
      <c r="P2173">
        <v>-0.99798319999999996</v>
      </c>
      <c r="Q2173">
        <v>6.86624E-3</v>
      </c>
      <c r="R2173">
        <v>-6.3109719999999994E-2</v>
      </c>
      <c r="S2173">
        <v>-3.0208439999999999</v>
      </c>
      <c r="T2173">
        <v>-0.19569890000000001</v>
      </c>
      <c r="U2173">
        <v>0.22143550000000001</v>
      </c>
      <c r="V2173">
        <v>-4.0735649999999998E-2</v>
      </c>
      <c r="W2173">
        <v>2.1162190000000001E-2</v>
      </c>
      <c r="X2173">
        <v>0.99894579999999999</v>
      </c>
      <c r="Y2173">
        <v>9.5241989999999999E-2</v>
      </c>
      <c r="Z2173">
        <v>4.5294189999999998E-3</v>
      </c>
      <c r="AA2173">
        <v>0.99544379999999999</v>
      </c>
      <c r="AB2173">
        <v>32</v>
      </c>
      <c r="AC2173">
        <v>-16.7564999999999</v>
      </c>
      <c r="AD2173">
        <v>-1.10547802704799</v>
      </c>
      <c r="AE2173">
        <v>1.2587999999999999</v>
      </c>
      <c r="AF2173">
        <v>1.62778189742395</v>
      </c>
      <c r="AG2173">
        <v>-1.10547802704799</v>
      </c>
      <c r="AH2173">
        <v>16.651931088210901</v>
      </c>
      <c r="AI2173">
        <v>93.780177632013704</v>
      </c>
      <c r="AJ2173">
        <v>84.416884593287307</v>
      </c>
      <c r="AK2173">
        <v>16.767783530937901</v>
      </c>
    </row>
    <row r="2174" spans="1:37" x14ac:dyDescent="0.2">
      <c r="A2174" t="str">
        <f>"20200111155838287"</f>
        <v>20200111155838287</v>
      </c>
      <c r="B2174" t="str">
        <f>"1578729518283192"</f>
        <v>1578729518283192</v>
      </c>
      <c r="C2174" t="s">
        <v>37</v>
      </c>
      <c r="D2174">
        <v>5.9888879999999904</v>
      </c>
      <c r="E2174">
        <v>0.55274599999999996</v>
      </c>
      <c r="F2174" t="s">
        <v>38</v>
      </c>
      <c r="G2174">
        <v>-388.37029999999999</v>
      </c>
      <c r="H2174">
        <v>1.053515</v>
      </c>
      <c r="I2174">
        <v>285.82470000000001</v>
      </c>
      <c r="J2174">
        <v>-387.92419999999998</v>
      </c>
      <c r="K2174">
        <v>1.10547</v>
      </c>
      <c r="L2174">
        <v>285.75979999999998</v>
      </c>
      <c r="M2174">
        <v>-0.99961420000000001</v>
      </c>
      <c r="N2174">
        <v>0</v>
      </c>
      <c r="O2174">
        <v>-2.3746119999999999E-2</v>
      </c>
      <c r="P2174">
        <v>-0.9978593</v>
      </c>
      <c r="Q2174">
        <v>7.192553E-3</v>
      </c>
      <c r="R2174">
        <v>-6.5005320000000005E-2</v>
      </c>
      <c r="S2174">
        <v>-3.0213009999999998</v>
      </c>
      <c r="T2174">
        <v>-0.20373379999999999</v>
      </c>
      <c r="U2174">
        <v>0.21856689999999901</v>
      </c>
      <c r="V2174">
        <v>-4.1345060000000003E-2</v>
      </c>
      <c r="W2174">
        <v>2.1483499999999999E-2</v>
      </c>
      <c r="X2174">
        <v>0.99891390000000002</v>
      </c>
      <c r="Y2174">
        <v>9.5550140000000006E-2</v>
      </c>
      <c r="Z2174">
        <v>4.8115110000000001E-3</v>
      </c>
      <c r="AA2174">
        <v>0.99541299999999899</v>
      </c>
      <c r="AB2174">
        <v>32</v>
      </c>
      <c r="AC2174">
        <v>-0.446100000000001</v>
      </c>
      <c r="AD2174">
        <v>-5.1955000000000202E-2</v>
      </c>
      <c r="AE2174">
        <v>6.4900000000022801E-2</v>
      </c>
      <c r="AF2174">
        <v>7.4486539309795097E-2</v>
      </c>
      <c r="AG2174">
        <v>-5.1955000000000202E-2</v>
      </c>
      <c r="AH2174">
        <v>0.43860691091587001</v>
      </c>
      <c r="AI2174">
        <v>96.660973490171799</v>
      </c>
      <c r="AJ2174">
        <v>80.361684772254307</v>
      </c>
      <c r="AK2174">
        <v>0.44791024644063598</v>
      </c>
    </row>
    <row r="2175" spans="1:37" x14ac:dyDescent="0.2">
      <c r="A2175" t="str">
        <f>"20200111155838308"</f>
        <v>20200111155838308</v>
      </c>
      <c r="B2175" t="str">
        <f>"1578729518303688"</f>
        <v>1578729518303688</v>
      </c>
      <c r="C2175" t="s">
        <v>37</v>
      </c>
      <c r="D2175">
        <v>6.3400249999999998</v>
      </c>
      <c r="E2175">
        <v>0.55283970000000004</v>
      </c>
      <c r="F2175" t="s">
        <v>38</v>
      </c>
      <c r="G2175">
        <v>-388.91890000000001</v>
      </c>
      <c r="H2175">
        <v>1.041166</v>
      </c>
      <c r="I2175">
        <v>285.83190000000002</v>
      </c>
      <c r="J2175">
        <v>-388.23520000000002</v>
      </c>
      <c r="K2175">
        <v>1.1054489999999999</v>
      </c>
      <c r="L2175">
        <v>285.75110000000001</v>
      </c>
      <c r="M2175">
        <v>-0.9995849</v>
      </c>
      <c r="N2175">
        <v>0</v>
      </c>
      <c r="O2175">
        <v>-2.495081E-2</v>
      </c>
      <c r="P2175">
        <v>-0.99773109999999998</v>
      </c>
      <c r="Q2175">
        <v>7.3724239999999998E-3</v>
      </c>
      <c r="R2175">
        <v>-6.6921330000000001E-2</v>
      </c>
      <c r="S2175">
        <v>-3.02200299999999</v>
      </c>
      <c r="T2175">
        <v>-0.19561479999999901</v>
      </c>
      <c r="U2175">
        <v>0.21829219999999999</v>
      </c>
      <c r="V2175">
        <v>-4.2058900000000003E-2</v>
      </c>
      <c r="W2175">
        <v>2.1659890000000001E-2</v>
      </c>
      <c r="X2175">
        <v>0.99888029999999906</v>
      </c>
      <c r="Y2175">
        <v>9.6659389999999998E-2</v>
      </c>
      <c r="Z2175">
        <v>4.7327589999999996E-3</v>
      </c>
      <c r="AA2175">
        <v>0.99530629999999998</v>
      </c>
      <c r="AB2175">
        <v>32</v>
      </c>
      <c r="AC2175">
        <v>-0.68369999999998698</v>
      </c>
      <c r="AD2175">
        <v>-6.4282999999999799E-2</v>
      </c>
      <c r="AE2175">
        <v>8.0800000000010599E-2</v>
      </c>
      <c r="AF2175">
        <v>9.6989881063318101E-2</v>
      </c>
      <c r="AG2175">
        <v>-6.4282999999999799E-2</v>
      </c>
      <c r="AH2175">
        <v>0.67558087846709902</v>
      </c>
      <c r="AI2175">
        <v>95.380615941102903</v>
      </c>
      <c r="AJ2175">
        <v>81.830146181100204</v>
      </c>
      <c r="AK2175">
        <v>0.68552816460598698</v>
      </c>
    </row>
    <row r="2176" spans="1:37" x14ac:dyDescent="0.2">
      <c r="A2176" t="str">
        <f>"20200111155838331"</f>
        <v>20200111155838331</v>
      </c>
      <c r="B2176" t="str">
        <f>"1578729518323207"</f>
        <v>1578729518323207</v>
      </c>
      <c r="C2176" t="s">
        <v>37</v>
      </c>
      <c r="D2176">
        <v>5.971387</v>
      </c>
      <c r="E2176">
        <v>0.55308109999999999</v>
      </c>
      <c r="F2176" t="s">
        <v>38</v>
      </c>
      <c r="G2176">
        <v>-389.202</v>
      </c>
      <c r="H2176">
        <v>1.043329</v>
      </c>
      <c r="I2176">
        <v>285.81970000000001</v>
      </c>
      <c r="J2176">
        <v>-388.5523</v>
      </c>
      <c r="K2176">
        <v>1.105424</v>
      </c>
      <c r="L2176">
        <v>285.74189999999999</v>
      </c>
      <c r="M2176">
        <v>-0.99955419999999995</v>
      </c>
      <c r="N2176">
        <v>0</v>
      </c>
      <c r="O2176">
        <v>-2.6154730000000001E-2</v>
      </c>
      <c r="P2176">
        <v>-0.99757510000000005</v>
      </c>
      <c r="Q2176">
        <v>7.4183499999999998E-3</v>
      </c>
      <c r="R2176">
        <v>-6.9204959999999996E-2</v>
      </c>
      <c r="S2176">
        <v>-3.022583</v>
      </c>
      <c r="T2176">
        <v>-0.19446949999999999</v>
      </c>
      <c r="U2176">
        <v>0.21328739999999999</v>
      </c>
      <c r="V2176">
        <v>-4.3141470000000001E-2</v>
      </c>
      <c r="W2176">
        <v>2.170089E-2</v>
      </c>
      <c r="X2176">
        <v>0.99883319999999998</v>
      </c>
      <c r="Y2176">
        <v>9.6206189999999997E-2</v>
      </c>
      <c r="Z2176">
        <v>4.7672369999999997E-3</v>
      </c>
      <c r="AA2176">
        <v>0.99534999999999996</v>
      </c>
      <c r="AB2176">
        <v>32</v>
      </c>
      <c r="AC2176">
        <v>-0.64969999999999495</v>
      </c>
      <c r="AD2176">
        <v>-6.2094999999999699E-2</v>
      </c>
      <c r="AE2176">
        <v>7.7800000000024697E-2</v>
      </c>
      <c r="AF2176">
        <v>9.3922061473802401E-2</v>
      </c>
      <c r="AG2176">
        <v>-6.2094999999999699E-2</v>
      </c>
      <c r="AH2176">
        <v>0.641664188278255</v>
      </c>
      <c r="AI2176">
        <v>95.469482311159595</v>
      </c>
      <c r="AJ2176">
        <v>81.672602570575705</v>
      </c>
      <c r="AK2176">
        <v>0.65146763018225295</v>
      </c>
    </row>
    <row r="2177" spans="1:37" x14ac:dyDescent="0.2">
      <c r="A2177" t="str">
        <f>"20200111155838352"</f>
        <v>20200111155838352</v>
      </c>
      <c r="B2177" t="str">
        <f>"1578729518343703"</f>
        <v>1578729518343703</v>
      </c>
      <c r="C2177" t="s">
        <v>37</v>
      </c>
      <c r="D2177">
        <v>5.9716459999999998</v>
      </c>
      <c r="E2177">
        <v>0.55328710000000003</v>
      </c>
      <c r="F2177" t="s">
        <v>38</v>
      </c>
      <c r="G2177">
        <v>-389.48630000000003</v>
      </c>
      <c r="H2177">
        <v>1.0468010000000001</v>
      </c>
      <c r="I2177">
        <v>285.80669999999998</v>
      </c>
      <c r="J2177">
        <v>-388.85480000000001</v>
      </c>
      <c r="K2177">
        <v>1.1053999999999999</v>
      </c>
      <c r="L2177">
        <v>285.73270000000002</v>
      </c>
      <c r="M2177">
        <v>-0.99952450000000004</v>
      </c>
      <c r="N2177">
        <v>0</v>
      </c>
      <c r="O2177">
        <v>-2.7269910000000001E-2</v>
      </c>
      <c r="P2177">
        <v>-0.99740390000000001</v>
      </c>
      <c r="Q2177">
        <v>7.7473289999999998E-3</v>
      </c>
      <c r="R2177">
        <v>-7.1596729999999997E-2</v>
      </c>
      <c r="S2177">
        <v>-3.0231629999999998</v>
      </c>
      <c r="T2177">
        <v>-0.19010940000000001</v>
      </c>
      <c r="U2177">
        <v>0.20852660000000001</v>
      </c>
      <c r="V2177">
        <v>-4.4421839999999997E-2</v>
      </c>
      <c r="W2177">
        <v>2.2025059999999999E-2</v>
      </c>
      <c r="X2177">
        <v>0.99877009999999899</v>
      </c>
      <c r="Y2177">
        <v>9.5753329999999998E-2</v>
      </c>
      <c r="Z2177">
        <v>4.7157099999999997E-3</v>
      </c>
      <c r="AA2177">
        <v>0.99539390000000005</v>
      </c>
      <c r="AB2177">
        <v>32</v>
      </c>
      <c r="AC2177">
        <v>-0.63150000000001605</v>
      </c>
      <c r="AD2177">
        <v>-5.8598999999999797E-2</v>
      </c>
      <c r="AE2177">
        <v>7.3999999999955393E-2</v>
      </c>
      <c r="AF2177">
        <v>9.0427120755616403E-2</v>
      </c>
      <c r="AG2177">
        <v>-5.8598999999999797E-2</v>
      </c>
      <c r="AH2177">
        <v>0.62394712961576004</v>
      </c>
      <c r="AI2177">
        <v>95.310132738975497</v>
      </c>
      <c r="AJ2177">
        <v>81.753679138633004</v>
      </c>
      <c r="AK2177">
        <v>0.63318317059512697</v>
      </c>
    </row>
    <row r="2178" spans="1:37" x14ac:dyDescent="0.2">
      <c r="A2178" t="str">
        <f>"20200111155838366"</f>
        <v>20200111155838366</v>
      </c>
      <c r="B2178" t="str">
        <f>"1578729518363224"</f>
        <v>1578729518363224</v>
      </c>
      <c r="C2178" t="s">
        <v>37</v>
      </c>
      <c r="D2178">
        <v>6.1392230000000003</v>
      </c>
      <c r="E2178">
        <v>0.55374230000000002</v>
      </c>
      <c r="F2178" t="s">
        <v>38</v>
      </c>
      <c r="G2178">
        <v>-389.76740000000001</v>
      </c>
      <c r="H2178">
        <v>1.0466279999999999</v>
      </c>
      <c r="I2178">
        <v>285.79419999999999</v>
      </c>
      <c r="J2178">
        <v>-389.05699999999899</v>
      </c>
      <c r="K2178">
        <v>1.1053819999999901</v>
      </c>
      <c r="L2178">
        <v>285.72649999999999</v>
      </c>
      <c r="M2178">
        <v>-0.99950430000000001</v>
      </c>
      <c r="N2178">
        <v>0</v>
      </c>
      <c r="O2178">
        <v>-2.799627E-2</v>
      </c>
      <c r="P2178">
        <v>-0.99733579999999999</v>
      </c>
      <c r="Q2178">
        <v>7.3285989999999999E-3</v>
      </c>
      <c r="R2178">
        <v>-7.2578619999999996E-2</v>
      </c>
      <c r="S2178">
        <v>-3.0238339999999999</v>
      </c>
      <c r="T2178">
        <v>-0.19500909999999999</v>
      </c>
      <c r="U2178">
        <v>0.20275879999999999</v>
      </c>
      <c r="V2178">
        <v>-4.4677509999999997E-2</v>
      </c>
      <c r="W2178">
        <v>2.1605070000000001E-2</v>
      </c>
      <c r="X2178">
        <v>0.99876779999999998</v>
      </c>
      <c r="Y2178">
        <v>9.4559950000000004E-2</v>
      </c>
      <c r="Z2178">
        <v>4.8445889999999998E-3</v>
      </c>
      <c r="AA2178">
        <v>0.99550740000000004</v>
      </c>
      <c r="AB2178">
        <v>32</v>
      </c>
      <c r="AC2178">
        <v>-0.71040000000004899</v>
      </c>
      <c r="AD2178">
        <v>-5.8753999999999702E-2</v>
      </c>
      <c r="AE2178">
        <v>6.7700000000001995E-2</v>
      </c>
      <c r="AF2178">
        <v>8.6974501687632599E-2</v>
      </c>
      <c r="AG2178">
        <v>-5.8753999999999702E-2</v>
      </c>
      <c r="AH2178">
        <v>0.70345745581123997</v>
      </c>
      <c r="AI2178">
        <v>94.738449087580094</v>
      </c>
      <c r="AJ2178">
        <v>82.951798375361193</v>
      </c>
      <c r="AK2178">
        <v>0.71124467561890004</v>
      </c>
    </row>
    <row r="2179" spans="1:37" x14ac:dyDescent="0.2">
      <c r="A2179" t="str">
        <f>"20200111155838385"</f>
        <v>20200111155838385</v>
      </c>
      <c r="B2179" t="str">
        <f>"1578729518372984"</f>
        <v>1578729518372984</v>
      </c>
      <c r="C2179" t="s">
        <v>37</v>
      </c>
      <c r="D2179">
        <v>5.9200619999999997</v>
      </c>
      <c r="E2179">
        <v>0.55390109999999904</v>
      </c>
      <c r="F2179" t="s">
        <v>38</v>
      </c>
      <c r="G2179">
        <v>-390.0455</v>
      </c>
      <c r="H2179">
        <v>1.0425229999999901</v>
      </c>
      <c r="I2179">
        <v>285.79329999999999</v>
      </c>
      <c r="J2179">
        <v>-389.32670000000002</v>
      </c>
      <c r="K2179">
        <v>1.1053549999999901</v>
      </c>
      <c r="L2179">
        <v>285.71789999999999</v>
      </c>
      <c r="M2179">
        <v>-0.99947779999999997</v>
      </c>
      <c r="N2179">
        <v>0</v>
      </c>
      <c r="O2179">
        <v>-2.8930750000000002E-2</v>
      </c>
      <c r="P2179">
        <v>-0.99719169999999901</v>
      </c>
      <c r="Q2179">
        <v>7.802013E-3</v>
      </c>
      <c r="R2179">
        <v>-7.4485060000000006E-2</v>
      </c>
      <c r="S2179">
        <v>-3.0242309999999999</v>
      </c>
      <c r="T2179">
        <v>-0.1925453</v>
      </c>
      <c r="U2179">
        <v>0.20349120000000001</v>
      </c>
      <c r="V2179">
        <v>-4.5652860000000003E-2</v>
      </c>
      <c r="W2179">
        <v>2.207607E-2</v>
      </c>
      <c r="X2179">
        <v>0.99871339999999997</v>
      </c>
      <c r="Y2179">
        <v>9.5724119999999996E-2</v>
      </c>
      <c r="Z2179">
        <v>4.8792089999999998E-3</v>
      </c>
      <c r="AA2179">
        <v>0.99539599999999995</v>
      </c>
      <c r="AB2179">
        <v>32</v>
      </c>
      <c r="AC2179">
        <v>-0.718799999999987</v>
      </c>
      <c r="AD2179">
        <v>-6.2831999999999999E-2</v>
      </c>
      <c r="AE2179">
        <v>7.5400000000001896E-2</v>
      </c>
      <c r="AF2179">
        <v>9.5444661883615001E-2</v>
      </c>
      <c r="AG2179">
        <v>-6.2831999999999999E-2</v>
      </c>
      <c r="AH2179">
        <v>0.71094431106540901</v>
      </c>
      <c r="AI2179">
        <v>95.005898860687296</v>
      </c>
      <c r="AJ2179">
        <v>82.353728384524999</v>
      </c>
      <c r="AK2179">
        <v>0.72006899470977603</v>
      </c>
    </row>
    <row r="2180" spans="1:37" x14ac:dyDescent="0.2">
      <c r="A2180" t="str">
        <f>"20200111155838409"</f>
        <v>20200111155838409</v>
      </c>
      <c r="B2180" t="str">
        <f>"1578729518403239"</f>
        <v>1578729518403239</v>
      </c>
      <c r="C2180" t="s">
        <v>37</v>
      </c>
      <c r="D2180">
        <v>6.7053979999999997</v>
      </c>
      <c r="E2180">
        <v>0.55394829999999995</v>
      </c>
      <c r="F2180" t="s">
        <v>38</v>
      </c>
      <c r="G2180">
        <v>-390.32569999999998</v>
      </c>
      <c r="H2180">
        <v>1.041447</v>
      </c>
      <c r="I2180">
        <v>285.78359999999998</v>
      </c>
      <c r="J2180">
        <v>-389.65809999999999</v>
      </c>
      <c r="K2180">
        <v>1.10531</v>
      </c>
      <c r="L2180">
        <v>285.70710000000003</v>
      </c>
      <c r="M2180">
        <v>-0.99944569999999999</v>
      </c>
      <c r="N2180">
        <v>0</v>
      </c>
      <c r="O2180">
        <v>-3.0019779999999999E-2</v>
      </c>
      <c r="P2180">
        <v>-0.99707749999999995</v>
      </c>
      <c r="Q2180">
        <v>8.6957230000000007E-3</v>
      </c>
      <c r="R2180">
        <v>-7.5901330000000003E-2</v>
      </c>
      <c r="S2180">
        <v>-3.0248110000000001</v>
      </c>
      <c r="T2180">
        <v>-0.1935568</v>
      </c>
      <c r="U2180">
        <v>0.1989746</v>
      </c>
      <c r="V2180">
        <v>-4.5982439999999999E-2</v>
      </c>
      <c r="W2180">
        <v>2.2969440000000001E-2</v>
      </c>
      <c r="X2180">
        <v>0.99867809999999901</v>
      </c>
      <c r="Y2180">
        <v>9.5312190000000005E-2</v>
      </c>
      <c r="Z2180">
        <v>4.9604920000000004E-3</v>
      </c>
      <c r="AA2180">
        <v>0.99543510000000002</v>
      </c>
      <c r="AB2180">
        <v>31</v>
      </c>
      <c r="AC2180">
        <v>-0.66759999999999298</v>
      </c>
      <c r="AD2180">
        <v>-6.3863000000000003E-2</v>
      </c>
      <c r="AE2180">
        <v>7.6499999999953106E-2</v>
      </c>
      <c r="AF2180">
        <v>9.5644897829585504E-2</v>
      </c>
      <c r="AG2180">
        <v>-6.3863000000000003E-2</v>
      </c>
      <c r="AH2180">
        <v>0.65904954038508301</v>
      </c>
      <c r="AI2180">
        <v>95.477746591713398</v>
      </c>
      <c r="AJ2180">
        <v>81.742570026108595</v>
      </c>
      <c r="AK2180">
        <v>0.66900876371810003</v>
      </c>
    </row>
    <row r="2181" spans="1:37" x14ac:dyDescent="0.2">
      <c r="A2181" t="str">
        <f>"20200111155838430"</f>
        <v>20200111155838430</v>
      </c>
      <c r="B2181" t="str">
        <f>"1578729518423735"</f>
        <v>1578729518423735</v>
      </c>
      <c r="C2181" t="s">
        <v>37</v>
      </c>
      <c r="D2181">
        <v>7.760446</v>
      </c>
      <c r="E2181">
        <v>0.5534289</v>
      </c>
      <c r="F2181" t="s">
        <v>38</v>
      </c>
      <c r="G2181">
        <v>-390.60770000000002</v>
      </c>
      <c r="H2181">
        <v>1.044351</v>
      </c>
      <c r="I2181">
        <v>285.76870000000002</v>
      </c>
      <c r="J2181">
        <v>-389.96039999999999</v>
      </c>
      <c r="K2181">
        <v>1.105272</v>
      </c>
      <c r="L2181">
        <v>285.69690000000003</v>
      </c>
      <c r="M2181">
        <v>-0.99941709999999995</v>
      </c>
      <c r="N2181">
        <v>0</v>
      </c>
      <c r="O2181">
        <v>-3.0961369999999998E-2</v>
      </c>
      <c r="P2181">
        <v>-0.99702860000000004</v>
      </c>
      <c r="Q2181">
        <v>9.8441650000000002E-3</v>
      </c>
      <c r="R2181">
        <v>-7.6402869999999998E-2</v>
      </c>
      <c r="S2181">
        <v>-3.0253299999999999</v>
      </c>
      <c r="T2181">
        <v>-0.19447</v>
      </c>
      <c r="U2181">
        <v>0.19497679999999901</v>
      </c>
      <c r="V2181">
        <v>-4.5544040000000001E-2</v>
      </c>
      <c r="W2181">
        <v>2.4120200000000001E-2</v>
      </c>
      <c r="X2181">
        <v>0.99867109999999903</v>
      </c>
      <c r="Y2181">
        <v>9.4925449999999995E-2</v>
      </c>
      <c r="Z2181">
        <v>5.0312120000000002E-3</v>
      </c>
      <c r="AA2181">
        <v>0.99547169999999896</v>
      </c>
      <c r="AB2181">
        <v>31</v>
      </c>
      <c r="AC2181">
        <v>-0.64730000000002896</v>
      </c>
      <c r="AD2181">
        <v>-6.0921000000000003E-2</v>
      </c>
      <c r="AE2181">
        <v>7.1799999999996006E-2</v>
      </c>
      <c r="AF2181">
        <v>9.1012571375776299E-2</v>
      </c>
      <c r="AG2181">
        <v>-6.0921000000000003E-2</v>
      </c>
      <c r="AH2181">
        <v>0.63917353304378999</v>
      </c>
      <c r="AI2181">
        <v>95.390489258529499</v>
      </c>
      <c r="AJ2181">
        <v>81.896072082818094</v>
      </c>
      <c r="AK2181">
        <v>0.64848859799776803</v>
      </c>
    </row>
    <row r="2182" spans="1:37" x14ac:dyDescent="0.2">
      <c r="A2182" t="str">
        <f>"20200111155838453"</f>
        <v>20200111155838453</v>
      </c>
      <c r="B2182" t="str">
        <f>"1578729518443255"</f>
        <v>1578729518443255</v>
      </c>
      <c r="C2182" t="s">
        <v>37</v>
      </c>
      <c r="D2182">
        <v>5.7257410000000002</v>
      </c>
      <c r="E2182">
        <v>0.55356850000000002</v>
      </c>
      <c r="F2182" t="s">
        <v>38</v>
      </c>
      <c r="G2182">
        <v>-390.89069999999998</v>
      </c>
      <c r="H2182">
        <v>1.0478179999999999</v>
      </c>
      <c r="I2182">
        <v>285.7552</v>
      </c>
      <c r="J2182">
        <v>-390.26679999999999</v>
      </c>
      <c r="K2182">
        <v>1.105229</v>
      </c>
      <c r="L2182">
        <v>285.68650000000002</v>
      </c>
      <c r="M2182">
        <v>-0.99938879999999997</v>
      </c>
      <c r="N2182">
        <v>0</v>
      </c>
      <c r="O2182">
        <v>-3.1859399999999899E-2</v>
      </c>
      <c r="P2182">
        <v>-0.99698940000000003</v>
      </c>
      <c r="Q2182">
        <v>1.116762E-2</v>
      </c>
      <c r="R2182">
        <v>-7.6731170000000001E-2</v>
      </c>
      <c r="S2182">
        <v>-3.0252379999999999</v>
      </c>
      <c r="T2182">
        <v>-0.1868754</v>
      </c>
      <c r="U2182">
        <v>0.18905639999999899</v>
      </c>
      <c r="V2182">
        <v>-4.4975389999999997E-2</v>
      </c>
      <c r="W2182">
        <v>2.544635E-2</v>
      </c>
      <c r="X2182">
        <v>0.998664</v>
      </c>
      <c r="Y2182">
        <v>9.3901520000000002E-2</v>
      </c>
      <c r="Z2182">
        <v>4.8593519999999999E-3</v>
      </c>
      <c r="AA2182">
        <v>0.99556959999999906</v>
      </c>
      <c r="AB2182">
        <v>31</v>
      </c>
      <c r="AC2182">
        <v>-0.62389999999999102</v>
      </c>
      <c r="AD2182">
        <v>-5.7410999999999802E-2</v>
      </c>
      <c r="AE2182">
        <v>6.8699999999978403E-2</v>
      </c>
      <c r="AF2182">
        <v>8.7809626016160505E-2</v>
      </c>
      <c r="AG2182">
        <v>-5.7410999999999802E-2</v>
      </c>
      <c r="AH2182">
        <v>0.61623870022173399</v>
      </c>
      <c r="AI2182">
        <v>95.2695917980693</v>
      </c>
      <c r="AJ2182">
        <v>81.890352102363195</v>
      </c>
      <c r="AK2182">
        <v>0.625105342316853</v>
      </c>
    </row>
    <row r="2183" spans="1:37" x14ac:dyDescent="0.2">
      <c r="A2183" t="str">
        <f>"20200111155838475"</f>
        <v>20200111155838475</v>
      </c>
      <c r="B2183" t="str">
        <f>"1578729518463752"</f>
        <v>1578729518463752</v>
      </c>
      <c r="C2183" t="s">
        <v>37</v>
      </c>
      <c r="D2183">
        <v>5.7082569999999997</v>
      </c>
      <c r="E2183">
        <v>0.55379149999999999</v>
      </c>
      <c r="F2183" t="s">
        <v>38</v>
      </c>
      <c r="G2183">
        <v>-391.17230000000001</v>
      </c>
      <c r="H2183">
        <v>1.0499149999999999</v>
      </c>
      <c r="I2183">
        <v>285.74360000000001</v>
      </c>
      <c r="J2183">
        <v>-390.5822</v>
      </c>
      <c r="K2183">
        <v>1.1051899999999999</v>
      </c>
      <c r="L2183">
        <v>285.67540000000002</v>
      </c>
      <c r="M2183">
        <v>-0.99936119999999995</v>
      </c>
      <c r="N2183">
        <v>0</v>
      </c>
      <c r="O2183">
        <v>-3.2718730000000001E-2</v>
      </c>
      <c r="P2183">
        <v>-0.99697209999999903</v>
      </c>
      <c r="Q2183">
        <v>1.22613999999999E-2</v>
      </c>
      <c r="R2183">
        <v>-7.6786610000000005E-2</v>
      </c>
      <c r="S2183">
        <v>-3.025665</v>
      </c>
      <c r="T2183">
        <v>-0.18513289999999999</v>
      </c>
      <c r="U2183">
        <v>0.1893311</v>
      </c>
      <c r="V2183">
        <v>-4.4171719999999998E-2</v>
      </c>
      <c r="W2183">
        <v>2.654366E-2</v>
      </c>
      <c r="X2183">
        <v>0.99867129999999904</v>
      </c>
      <c r="Y2183">
        <v>9.4839899999999894E-2</v>
      </c>
      <c r="Z2183">
        <v>4.8945819999999998E-3</v>
      </c>
      <c r="AA2183">
        <v>0.99548049999999999</v>
      </c>
      <c r="AB2183">
        <v>31</v>
      </c>
      <c r="AC2183">
        <v>-0.59010000000000595</v>
      </c>
      <c r="AD2183">
        <v>-5.5274999999999901E-2</v>
      </c>
      <c r="AE2183">
        <v>6.8199999999990199E-2</v>
      </c>
      <c r="AF2183">
        <v>8.6721912715368693E-2</v>
      </c>
      <c r="AG2183">
        <v>-5.5274999999999901E-2</v>
      </c>
      <c r="AH2183">
        <v>0.58250868318604998</v>
      </c>
      <c r="AI2183">
        <v>95.3618940802765</v>
      </c>
      <c r="AJ2183">
        <v>81.532194403522197</v>
      </c>
      <c r="AK2183">
        <v>0.59151701730141104</v>
      </c>
    </row>
    <row r="2184" spans="1:37" x14ac:dyDescent="0.2">
      <c r="A2184" t="str">
        <f>"20200111155838490"</f>
        <v>20200111155838490</v>
      </c>
      <c r="B2184" t="str">
        <f>"1578729518483272"</f>
        <v>1578729518483272</v>
      </c>
      <c r="C2184" t="s">
        <v>37</v>
      </c>
      <c r="D2184">
        <v>5.7390790000000003</v>
      </c>
      <c r="E2184">
        <v>0.55402099999999999</v>
      </c>
      <c r="F2184" t="s">
        <v>38</v>
      </c>
      <c r="G2184">
        <v>-391.4538</v>
      </c>
      <c r="H2184">
        <v>1.0522879999999999</v>
      </c>
      <c r="I2184">
        <v>285.73050000000001</v>
      </c>
      <c r="J2184">
        <v>-390.78179999999998</v>
      </c>
      <c r="K2184">
        <v>1.1051569999999999</v>
      </c>
      <c r="L2184">
        <v>285.66840000000002</v>
      </c>
      <c r="M2184">
        <v>-0.99934439999999902</v>
      </c>
      <c r="N2184">
        <v>0</v>
      </c>
      <c r="O2184">
        <v>-3.3229649999999999E-2</v>
      </c>
      <c r="P2184">
        <v>-0.99695900000000004</v>
      </c>
      <c r="Q2184">
        <v>1.271561E-2</v>
      </c>
      <c r="R2184">
        <v>-7.6883989999999999E-2</v>
      </c>
      <c r="S2184">
        <v>-3.0260929999999999</v>
      </c>
      <c r="T2184">
        <v>-0.1837174</v>
      </c>
      <c r="U2184">
        <v>0.1908569</v>
      </c>
      <c r="V2184">
        <v>-4.3757360000000002E-2</v>
      </c>
      <c r="W2184">
        <v>2.700031E-2</v>
      </c>
      <c r="X2184">
        <v>0.99867729999999999</v>
      </c>
      <c r="Y2184">
        <v>9.5840930000000005E-2</v>
      </c>
      <c r="Z2184">
        <v>4.9177659999999996E-3</v>
      </c>
      <c r="AA2184">
        <v>0.99538449999999901</v>
      </c>
      <c r="AB2184">
        <v>31</v>
      </c>
      <c r="AC2184">
        <v>-0.67200000000002502</v>
      </c>
      <c r="AD2184">
        <v>-5.2868999999999999E-2</v>
      </c>
      <c r="AE2184">
        <v>6.2099999999986701E-2</v>
      </c>
      <c r="AF2184">
        <v>8.3883518821744094E-2</v>
      </c>
      <c r="AG2184">
        <v>-5.2868999999999999E-2</v>
      </c>
      <c r="AH2184">
        <v>0.66548083963120297</v>
      </c>
      <c r="AI2184">
        <v>94.506798884867607</v>
      </c>
      <c r="AJ2184">
        <v>82.815785205915205</v>
      </c>
      <c r="AK2184">
        <v>0.67282711286568198</v>
      </c>
    </row>
    <row r="2185" spans="1:37" x14ac:dyDescent="0.2">
      <c r="A2185" t="str">
        <f>"20200111155838509"</f>
        <v>20200111155838509</v>
      </c>
      <c r="B2185" t="str">
        <f>"1578729518503767"</f>
        <v>1578729518503767</v>
      </c>
      <c r="C2185" t="s">
        <v>37</v>
      </c>
      <c r="D2185">
        <v>7.9446269999999997</v>
      </c>
      <c r="E2185">
        <v>0.55410859999999995</v>
      </c>
      <c r="F2185" t="s">
        <v>38</v>
      </c>
      <c r="G2185">
        <v>-391.72910000000002</v>
      </c>
      <c r="H2185">
        <v>1.0476510000000001</v>
      </c>
      <c r="I2185">
        <v>285.72879999999998</v>
      </c>
      <c r="J2185">
        <v>-391.06490000000002</v>
      </c>
      <c r="K2185">
        <v>1.1051139999999999</v>
      </c>
      <c r="L2185">
        <v>285.65820000000002</v>
      </c>
      <c r="M2185">
        <v>-0.99932169999999898</v>
      </c>
      <c r="N2185">
        <v>0</v>
      </c>
      <c r="O2185">
        <v>-3.3902969999999998E-2</v>
      </c>
      <c r="P2185">
        <v>-0.99697999999999998</v>
      </c>
      <c r="Q2185">
        <v>1.3028329999999999E-2</v>
      </c>
      <c r="R2185">
        <v>-7.6558089999999995E-2</v>
      </c>
      <c r="S2185">
        <v>-3.0263059999999999</v>
      </c>
      <c r="T2185">
        <v>-0.18388260000000001</v>
      </c>
      <c r="U2185">
        <v>0.1921387</v>
      </c>
      <c r="V2185">
        <v>-4.2754559999999997E-2</v>
      </c>
      <c r="W2185">
        <v>2.731681E-2</v>
      </c>
      <c r="X2185">
        <v>0.99871209999999899</v>
      </c>
      <c r="Y2185">
        <v>9.6923430000000005E-2</v>
      </c>
      <c r="Z2185">
        <v>4.9954379999999996E-3</v>
      </c>
      <c r="AA2185">
        <v>0.99527929999999998</v>
      </c>
      <c r="AB2185">
        <v>31</v>
      </c>
      <c r="AC2185">
        <v>-0.66419999999999302</v>
      </c>
      <c r="AD2185">
        <v>-5.7462999999999799E-2</v>
      </c>
      <c r="AE2185">
        <v>7.0599999999956198E-2</v>
      </c>
      <c r="AF2185">
        <v>9.2396247259938294E-2</v>
      </c>
      <c r="AG2185">
        <v>-5.7462999999999799E-2</v>
      </c>
      <c r="AH2185">
        <v>0.65656495464578801</v>
      </c>
      <c r="AI2185">
        <v>94.953259131616704</v>
      </c>
      <c r="AJ2185">
        <v>81.989554854599106</v>
      </c>
      <c r="AK2185">
        <v>0.66551979876315204</v>
      </c>
    </row>
    <row r="2186" spans="1:37" x14ac:dyDescent="0.2">
      <c r="A2186" t="str">
        <f>"20200111155838531"</f>
        <v>20200111155838531</v>
      </c>
      <c r="B2186" t="str">
        <f>"1578729518523288"</f>
        <v>1578729518523288</v>
      </c>
      <c r="C2186" t="s">
        <v>37</v>
      </c>
      <c r="D2186">
        <v>5.837523</v>
      </c>
      <c r="E2186">
        <v>0.55404209999999998</v>
      </c>
      <c r="F2186" t="s">
        <v>38</v>
      </c>
      <c r="G2186">
        <v>-392.00970000000001</v>
      </c>
      <c r="H2186">
        <v>1.049525</v>
      </c>
      <c r="I2186">
        <v>285.71879999999999</v>
      </c>
      <c r="J2186">
        <v>-391.36239999999998</v>
      </c>
      <c r="K2186">
        <v>1.105062</v>
      </c>
      <c r="L2186">
        <v>285.6474</v>
      </c>
      <c r="M2186">
        <v>-0.99929959999999995</v>
      </c>
      <c r="N2186">
        <v>0</v>
      </c>
      <c r="O2186">
        <v>-3.4552760000000002E-2</v>
      </c>
      <c r="P2186">
        <v>-0.99698729999999902</v>
      </c>
      <c r="Q2186">
        <v>1.3370109999999999E-2</v>
      </c>
      <c r="R2186">
        <v>-7.6406269999999998E-2</v>
      </c>
      <c r="S2186">
        <v>-3.0263059999999999</v>
      </c>
      <c r="T2186">
        <v>-0.17804410000000001</v>
      </c>
      <c r="U2186">
        <v>0.19396969999999999</v>
      </c>
      <c r="V2186">
        <v>-4.1949790000000001E-2</v>
      </c>
      <c r="W2186">
        <v>2.7661910000000001E-2</v>
      </c>
      <c r="X2186">
        <v>0.99873670000000003</v>
      </c>
      <c r="Y2186">
        <v>9.8181980000000002E-2</v>
      </c>
      <c r="Z2186">
        <v>4.9121310000000001E-3</v>
      </c>
      <c r="AA2186">
        <v>0.99515629999999999</v>
      </c>
      <c r="AB2186">
        <v>31</v>
      </c>
      <c r="AC2186">
        <v>-0.64730000000002896</v>
      </c>
      <c r="AD2186">
        <v>-5.5536999999999899E-2</v>
      </c>
      <c r="AE2186">
        <v>7.1399999999982797E-2</v>
      </c>
      <c r="AF2186">
        <v>9.3048940743136702E-2</v>
      </c>
      <c r="AG2186">
        <v>-5.5536999999999899E-2</v>
      </c>
      <c r="AH2186">
        <v>0.63979299537383905</v>
      </c>
      <c r="AI2186">
        <v>94.909707674343693</v>
      </c>
      <c r="AJ2186">
        <v>81.725147152001099</v>
      </c>
      <c r="AK2186">
        <v>0.64890487798432295</v>
      </c>
    </row>
    <row r="2187" spans="1:37" x14ac:dyDescent="0.2">
      <c r="A2187" t="str">
        <f>"20200111155838554"</f>
        <v>20200111155838554</v>
      </c>
      <c r="B2187" t="str">
        <f>"1578729518543783"</f>
        <v>1578729518543783</v>
      </c>
      <c r="C2187" t="s">
        <v>37</v>
      </c>
      <c r="D2187">
        <v>5.7748599999999897</v>
      </c>
      <c r="E2187">
        <v>0.55409370000000002</v>
      </c>
      <c r="F2187" t="s">
        <v>38</v>
      </c>
      <c r="G2187">
        <v>-392.29969999999997</v>
      </c>
      <c r="H2187">
        <v>1.0522049999999901</v>
      </c>
      <c r="I2187">
        <v>285.70780000000002</v>
      </c>
      <c r="J2187">
        <v>-391.67469999999997</v>
      </c>
      <c r="K2187">
        <v>1.105013</v>
      </c>
      <c r="L2187">
        <v>285.63589999999999</v>
      </c>
      <c r="M2187">
        <v>-0.99927790000000005</v>
      </c>
      <c r="N2187">
        <v>0</v>
      </c>
      <c r="O2187">
        <v>-3.517704E-2</v>
      </c>
      <c r="P2187">
        <v>-0.99697080000000005</v>
      </c>
      <c r="Q2187">
        <v>1.382923E-2</v>
      </c>
      <c r="R2187">
        <v>-7.6536930000000003E-2</v>
      </c>
      <c r="S2187">
        <v>-3.0262449999999999</v>
      </c>
      <c r="T2187">
        <v>-0.1708848</v>
      </c>
      <c r="U2187">
        <v>0.19390869999999999</v>
      </c>
      <c r="V2187">
        <v>-4.1453980000000001E-2</v>
      </c>
      <c r="W2187">
        <v>2.8122830000000001E-2</v>
      </c>
      <c r="X2187">
        <v>0.99874449999999904</v>
      </c>
      <c r="Y2187">
        <v>9.8800970000000002E-2</v>
      </c>
      <c r="Z2187">
        <v>4.7676680000000001E-3</v>
      </c>
      <c r="AA2187">
        <v>0.99509579999999997</v>
      </c>
      <c r="AB2187">
        <v>31</v>
      </c>
      <c r="AC2187">
        <v>-0.625</v>
      </c>
      <c r="AD2187">
        <v>-5.2808000000000098E-2</v>
      </c>
      <c r="AE2187">
        <v>7.1900000000027803E-2</v>
      </c>
      <c r="AF2187">
        <v>9.3186834648829306E-2</v>
      </c>
      <c r="AG2187">
        <v>-5.2808000000000098E-2</v>
      </c>
      <c r="AH2187">
        <v>0.61773121229718897</v>
      </c>
      <c r="AI2187">
        <v>94.831760671444101</v>
      </c>
      <c r="AJ2187">
        <v>81.421421849030693</v>
      </c>
      <c r="AK2187">
        <v>0.62694842025642195</v>
      </c>
    </row>
    <row r="2188" spans="1:37" x14ac:dyDescent="0.2">
      <c r="A2188" t="str">
        <f>"20200111155838576"</f>
        <v>20200111155838576</v>
      </c>
      <c r="B2188" t="str">
        <f>"1578729518573063"</f>
        <v>1578729518573063</v>
      </c>
      <c r="C2188" t="s">
        <v>37</v>
      </c>
      <c r="D2188">
        <v>5.7462460000000002</v>
      </c>
      <c r="E2188">
        <v>0.55414359999999996</v>
      </c>
      <c r="F2188" t="s">
        <v>52</v>
      </c>
      <c r="G2188">
        <v>-411.89440000000002</v>
      </c>
      <c r="H2188" s="1">
        <v>2.3393729999999999E-6</v>
      </c>
      <c r="I2188">
        <v>286.93169999999998</v>
      </c>
      <c r="J2188">
        <v>-391.9907</v>
      </c>
      <c r="K2188">
        <v>1.1049639999999901</v>
      </c>
      <c r="L2188">
        <v>285.6241</v>
      </c>
      <c r="M2188">
        <v>-0.99925739999999996</v>
      </c>
      <c r="N2188">
        <v>0</v>
      </c>
      <c r="O2188">
        <v>-3.5753960000000001E-2</v>
      </c>
      <c r="P2188">
        <v>-0.99698619999999905</v>
      </c>
      <c r="Q2188">
        <v>1.430155E-2</v>
      </c>
      <c r="R2188">
        <v>-7.6249639999999994E-2</v>
      </c>
      <c r="S2188">
        <v>-3.0263059999999999</v>
      </c>
      <c r="T2188">
        <v>-0.16538820000000001</v>
      </c>
      <c r="U2188">
        <v>0.19393920000000001</v>
      </c>
      <c r="V2188">
        <v>-4.0586659999999997E-2</v>
      </c>
      <c r="W2188">
        <v>2.859805E-2</v>
      </c>
      <c r="X2188">
        <v>0.99876669999999901</v>
      </c>
      <c r="Y2188">
        <v>9.9395869999999997E-2</v>
      </c>
      <c r="Z2188">
        <v>4.6621559999999998E-3</v>
      </c>
      <c r="AA2188">
        <v>0.99503699999999995</v>
      </c>
      <c r="AB2188">
        <v>31</v>
      </c>
      <c r="AC2188">
        <v>-19.903700000000001</v>
      </c>
      <c r="AD2188">
        <v>-1.1049616606270001</v>
      </c>
      <c r="AE2188">
        <v>1.3075999999999699</v>
      </c>
      <c r="AF2188">
        <v>2.0122981218623801</v>
      </c>
      <c r="AG2188">
        <v>-1.1049616606270001</v>
      </c>
      <c r="AH2188">
        <v>19.783504783286599</v>
      </c>
      <c r="AI2188">
        <v>93.180424874080998</v>
      </c>
      <c r="AJ2188">
        <v>84.192079834273798</v>
      </c>
      <c r="AK2188">
        <v>19.916258321106199</v>
      </c>
    </row>
    <row r="2189" spans="1:37" x14ac:dyDescent="0.2">
      <c r="A2189" t="str">
        <f>"20200111155838600"</f>
        <v>20200111155838600</v>
      </c>
      <c r="B2189" t="str">
        <f>"1578729518593561"</f>
        <v>1578729518593561</v>
      </c>
      <c r="C2189" t="s">
        <v>37</v>
      </c>
      <c r="D2189">
        <v>5.7476500000000001</v>
      </c>
      <c r="E2189">
        <v>0.55428250000000001</v>
      </c>
      <c r="F2189" t="s">
        <v>52</v>
      </c>
      <c r="G2189">
        <v>-412.83109999999999</v>
      </c>
      <c r="H2189" s="1">
        <v>2.5022949999999998E-6</v>
      </c>
      <c r="I2189">
        <v>286.96870000000001</v>
      </c>
      <c r="J2189">
        <v>-392.31169999999997</v>
      </c>
      <c r="K2189">
        <v>1.1049149999999901</v>
      </c>
      <c r="L2189">
        <v>285.61200000000002</v>
      </c>
      <c r="M2189">
        <v>-0.99923819999999997</v>
      </c>
      <c r="N2189">
        <v>0</v>
      </c>
      <c r="O2189">
        <v>-3.6288399999999998E-2</v>
      </c>
      <c r="P2189">
        <v>-0.99696960000000001</v>
      </c>
      <c r="Q2189">
        <v>1.4969069999999999E-2</v>
      </c>
      <c r="R2189">
        <v>-7.6339160000000003E-2</v>
      </c>
      <c r="S2189">
        <v>-3.0263059999999999</v>
      </c>
      <c r="T2189">
        <v>-0.16045490000000001</v>
      </c>
      <c r="U2189">
        <v>0.19525149999999999</v>
      </c>
      <c r="V2189">
        <v>-4.014011E-2</v>
      </c>
      <c r="W2189">
        <v>2.9266299999999999E-2</v>
      </c>
      <c r="X2189">
        <v>0.99876529999999997</v>
      </c>
      <c r="Y2189">
        <v>0.1003674</v>
      </c>
      <c r="Z2189">
        <v>4.5772310000000002E-3</v>
      </c>
      <c r="AA2189">
        <v>0.99493989999999999</v>
      </c>
      <c r="AB2189">
        <v>31</v>
      </c>
      <c r="AC2189">
        <v>-20.519400000000001</v>
      </c>
      <c r="AD2189">
        <v>-1.10491249770499</v>
      </c>
      <c r="AE2189">
        <v>1.35669999999998</v>
      </c>
      <c r="AF2189">
        <v>2.0944527240294399</v>
      </c>
      <c r="AG2189">
        <v>-1.10491249770499</v>
      </c>
      <c r="AH2189">
        <v>20.397758418345202</v>
      </c>
      <c r="AI2189">
        <v>93.084400765484304</v>
      </c>
      <c r="AJ2189">
        <v>84.137384915113699</v>
      </c>
      <c r="AK2189">
        <v>20.534753768525</v>
      </c>
    </row>
    <row r="2190" spans="1:37" x14ac:dyDescent="0.2">
      <c r="A2190" t="str">
        <f>"20200111155838620"</f>
        <v>20200111155838620</v>
      </c>
      <c r="B2190" t="str">
        <f>"1578729518613080"</f>
        <v>1578729518613080</v>
      </c>
      <c r="C2190" t="s">
        <v>37</v>
      </c>
      <c r="D2190">
        <v>5.753533</v>
      </c>
      <c r="E2190">
        <v>0.55441619999999903</v>
      </c>
      <c r="F2190" t="s">
        <v>52</v>
      </c>
      <c r="G2190">
        <v>-413.11250000000001</v>
      </c>
      <c r="H2190" s="1">
        <v>2.5530890000000001E-6</v>
      </c>
      <c r="I2190">
        <v>286.95850000000002</v>
      </c>
      <c r="J2190">
        <v>-392.60770000000002</v>
      </c>
      <c r="K2190">
        <v>1.1048789999999999</v>
      </c>
      <c r="L2190">
        <v>285.60070000000002</v>
      </c>
      <c r="M2190">
        <v>-0.9992219</v>
      </c>
      <c r="N2190">
        <v>0</v>
      </c>
      <c r="O2190">
        <v>-3.6738819999999998E-2</v>
      </c>
      <c r="P2190">
        <v>-0.99693829999999894</v>
      </c>
      <c r="Q2190">
        <v>1.549381E-2</v>
      </c>
      <c r="R2190">
        <v>-7.6645930000000001E-2</v>
      </c>
      <c r="S2190">
        <v>-3.0265200000000001</v>
      </c>
      <c r="T2190">
        <v>-0.16076550000000001</v>
      </c>
      <c r="U2190">
        <v>0.19592290000000001</v>
      </c>
      <c r="V2190">
        <v>-3.9995179999999998E-2</v>
      </c>
      <c r="W2190">
        <v>2.9791060000000001E-2</v>
      </c>
      <c r="X2190">
        <v>0.99875569999999902</v>
      </c>
      <c r="Y2190">
        <v>0.1010289</v>
      </c>
      <c r="Z2190">
        <v>4.6271539999999996E-3</v>
      </c>
      <c r="AA2190">
        <v>0.99487269999999906</v>
      </c>
      <c r="AB2190">
        <v>31</v>
      </c>
      <c r="AC2190">
        <v>-20.5047999999999</v>
      </c>
      <c r="AD2190">
        <v>-1.104876446911</v>
      </c>
      <c r="AE2190">
        <v>1.3577999999999899</v>
      </c>
      <c r="AF2190">
        <v>2.10420007266783</v>
      </c>
      <c r="AG2190">
        <v>-1.104876446911</v>
      </c>
      <c r="AH2190">
        <v>20.382144836925701</v>
      </c>
      <c r="AI2190">
        <v>93.086483681316395</v>
      </c>
      <c r="AJ2190">
        <v>84.1058123056374</v>
      </c>
      <c r="AK2190">
        <v>20.520239717463699</v>
      </c>
    </row>
    <row r="2191" spans="1:37" x14ac:dyDescent="0.2">
      <c r="A2191" t="str">
        <f>"20200111155838642"</f>
        <v>20200111155838642</v>
      </c>
      <c r="B2191" t="str">
        <f>"1578729518633575"</f>
        <v>1578729518633575</v>
      </c>
      <c r="C2191" t="s">
        <v>37</v>
      </c>
      <c r="D2191">
        <v>5.7578769999999997</v>
      </c>
      <c r="E2191">
        <v>0.5545312</v>
      </c>
      <c r="F2191" t="s">
        <v>52</v>
      </c>
      <c r="G2191">
        <v>-413.29070000000002</v>
      </c>
      <c r="H2191" s="1">
        <v>2.58636399999999E-6</v>
      </c>
      <c r="I2191">
        <v>286.93950000000001</v>
      </c>
      <c r="J2191">
        <v>-392.90839999999997</v>
      </c>
      <c r="K2191">
        <v>1.1048500000000001</v>
      </c>
      <c r="L2191">
        <v>285.58920000000001</v>
      </c>
      <c r="M2191">
        <v>-0.99920640000000005</v>
      </c>
      <c r="N2191">
        <v>0</v>
      </c>
      <c r="O2191">
        <v>-3.7160930000000002E-2</v>
      </c>
      <c r="P2191">
        <v>-0.99691890000000005</v>
      </c>
      <c r="Q2191">
        <v>1.6216040000000001E-2</v>
      </c>
      <c r="R2191">
        <v>-7.6746830000000002E-2</v>
      </c>
      <c r="S2191">
        <v>-3.026764</v>
      </c>
      <c r="T2191">
        <v>-0.16168859999999999</v>
      </c>
      <c r="U2191">
        <v>0.19592290000000001</v>
      </c>
      <c r="V2191">
        <v>-3.9672369999999998E-2</v>
      </c>
      <c r="W2191">
        <v>3.0513620000000002E-2</v>
      </c>
      <c r="X2191">
        <v>0.99874680000000005</v>
      </c>
      <c r="Y2191">
        <v>0.10144060000000001</v>
      </c>
      <c r="Z2191">
        <v>4.6867999999999996E-3</v>
      </c>
      <c r="AA2191">
        <v>0.99483049999999995</v>
      </c>
      <c r="AB2191">
        <v>31</v>
      </c>
      <c r="AC2191">
        <v>-20.382300000000001</v>
      </c>
      <c r="AD2191">
        <v>-1.104847413636</v>
      </c>
      <c r="AE2191">
        <v>1.3503000000000001</v>
      </c>
      <c r="AF2191">
        <v>2.1007246436755702</v>
      </c>
      <c r="AG2191">
        <v>-1.104847413636</v>
      </c>
      <c r="AH2191">
        <v>20.258768851384598</v>
      </c>
      <c r="AI2191">
        <v>93.105017232921</v>
      </c>
      <c r="AJ2191">
        <v>84.079896148620406</v>
      </c>
      <c r="AK2191">
        <v>20.397339218873501</v>
      </c>
    </row>
    <row r="2192" spans="1:37" x14ac:dyDescent="0.2">
      <c r="A2192" t="str">
        <f>"20200111155838665"</f>
        <v>20200111155838665</v>
      </c>
      <c r="B2192" t="str">
        <f>"1578729518653095"</f>
        <v>1578729518653095</v>
      </c>
      <c r="C2192" t="s">
        <v>37</v>
      </c>
      <c r="D2192">
        <v>5.8608099999999999</v>
      </c>
      <c r="E2192">
        <v>0.55455769999999904</v>
      </c>
      <c r="F2192" t="s">
        <v>52</v>
      </c>
      <c r="G2192">
        <v>-413.58980000000003</v>
      </c>
      <c r="H2192" s="1">
        <v>2.6401989999999999E-6</v>
      </c>
      <c r="I2192">
        <v>286.9307</v>
      </c>
      <c r="J2192">
        <v>-393.22449999999998</v>
      </c>
      <c r="K2192">
        <v>1.1048180000000001</v>
      </c>
      <c r="L2192">
        <v>285.577</v>
      </c>
      <c r="M2192">
        <v>-0.99919099999999905</v>
      </c>
      <c r="N2192">
        <v>0</v>
      </c>
      <c r="O2192">
        <v>-3.7571649999999998E-2</v>
      </c>
      <c r="P2192">
        <v>-0.99690409999999996</v>
      </c>
      <c r="Q2192">
        <v>1.6466950000000001E-2</v>
      </c>
      <c r="R2192">
        <v>-7.6883380000000001E-2</v>
      </c>
      <c r="S2192">
        <v>-3.0270389999999998</v>
      </c>
      <c r="T2192">
        <v>-0.16171089999999999</v>
      </c>
      <c r="U2192">
        <v>0.1963501</v>
      </c>
      <c r="V2192">
        <v>-3.9396809999999997E-2</v>
      </c>
      <c r="W2192">
        <v>3.0763840000000001E-2</v>
      </c>
      <c r="X2192">
        <v>0.99875000000000003</v>
      </c>
      <c r="Y2192">
        <v>0.10198210000000001</v>
      </c>
      <c r="Z2192">
        <v>4.7233500000000003E-3</v>
      </c>
      <c r="AA2192">
        <v>0.99477499999999996</v>
      </c>
      <c r="AB2192">
        <v>31</v>
      </c>
      <c r="AC2192">
        <v>-20.365300000000001</v>
      </c>
      <c r="AD2192">
        <v>-1.104815359801</v>
      </c>
      <c r="AE2192">
        <v>1.3536999999999999</v>
      </c>
      <c r="AF2192">
        <v>2.1117928694824899</v>
      </c>
      <c r="AG2192">
        <v>-1.104815359801</v>
      </c>
      <c r="AH2192">
        <v>20.240744367212301</v>
      </c>
      <c r="AI2192">
        <v>93.107482873809104</v>
      </c>
      <c r="AJ2192">
        <v>84.043666400626705</v>
      </c>
      <c r="AK2192">
        <v>20.380579448133599</v>
      </c>
    </row>
    <row r="2193" spans="1:37" x14ac:dyDescent="0.2">
      <c r="A2193" t="str">
        <f>"20200111155838679"</f>
        <v>20200111155838679</v>
      </c>
      <c r="B2193" t="str">
        <f>"1578729518673591"</f>
        <v>1578729518673591</v>
      </c>
      <c r="C2193" t="s">
        <v>37</v>
      </c>
      <c r="D2193">
        <v>5.9862469999999997</v>
      </c>
      <c r="E2193">
        <v>0.55337329999999996</v>
      </c>
      <c r="F2193" t="s">
        <v>38</v>
      </c>
      <c r="G2193">
        <v>-394.23649999999998</v>
      </c>
      <c r="H2193">
        <v>1.0505799999999901</v>
      </c>
      <c r="I2193">
        <v>285.64269999999999</v>
      </c>
      <c r="J2193">
        <v>-393.42660000000001</v>
      </c>
      <c r="K2193">
        <v>1.1047990000000001</v>
      </c>
      <c r="L2193">
        <v>285.56909999999999</v>
      </c>
      <c r="M2193">
        <v>-0.99918189999999996</v>
      </c>
      <c r="N2193">
        <v>0</v>
      </c>
      <c r="O2193">
        <v>-3.7815630000000003E-2</v>
      </c>
      <c r="P2193">
        <v>-0.99689669999999897</v>
      </c>
      <c r="Q2193">
        <v>1.6736359999999999E-2</v>
      </c>
      <c r="R2193">
        <v>-7.6925850000000004E-2</v>
      </c>
      <c r="S2193">
        <v>-3.0271300000000001</v>
      </c>
      <c r="T2193">
        <v>-0.16231670000000001</v>
      </c>
      <c r="U2193">
        <v>0.19613649999999999</v>
      </c>
      <c r="V2193">
        <v>-3.9194079999999999E-2</v>
      </c>
      <c r="W2193">
        <v>3.1032649999999998E-2</v>
      </c>
      <c r="X2193">
        <v>0.99874959999999902</v>
      </c>
      <c r="Y2193">
        <v>0.10215109999999999</v>
      </c>
      <c r="Z2193">
        <v>4.7584690000000004E-3</v>
      </c>
      <c r="AA2193">
        <v>0.99475749999999996</v>
      </c>
      <c r="AB2193">
        <v>31</v>
      </c>
      <c r="AC2193">
        <v>-0.80989999999996998</v>
      </c>
      <c r="AD2193">
        <v>-5.4219000000000198E-2</v>
      </c>
      <c r="AE2193">
        <v>7.3599999999999E-2</v>
      </c>
      <c r="AF2193">
        <v>0.103716356197392</v>
      </c>
      <c r="AG2193">
        <v>-5.4219000000000198E-2</v>
      </c>
      <c r="AH2193">
        <v>0.80296790538969798</v>
      </c>
      <c r="AI2193">
        <v>93.831201742631293</v>
      </c>
      <c r="AJ2193">
        <v>82.640069112945596</v>
      </c>
      <c r="AK2193">
        <v>0.81145193301253704</v>
      </c>
    </row>
    <row r="2194" spans="1:37" x14ac:dyDescent="0.2">
      <c r="A2194" t="str">
        <f>"20200111155838697"</f>
        <v>20200111155838697</v>
      </c>
      <c r="B2194" t="str">
        <f>"1578729518693113"</f>
        <v>1578729518693113</v>
      </c>
      <c r="C2194" t="s">
        <v>37</v>
      </c>
      <c r="D2194">
        <v>6.692088</v>
      </c>
      <c r="E2194">
        <v>0.49311939999999999</v>
      </c>
      <c r="F2194" t="s">
        <v>52</v>
      </c>
      <c r="G2194">
        <v>-413.89060000000001</v>
      </c>
      <c r="H2194" s="1">
        <v>2.7023279999999999E-6</v>
      </c>
      <c r="I2194">
        <v>286.83030000000002</v>
      </c>
      <c r="J2194">
        <v>-393.67070000000001</v>
      </c>
      <c r="K2194">
        <v>1.104779</v>
      </c>
      <c r="L2194">
        <v>285.55950000000001</v>
      </c>
      <c r="M2194">
        <v>-0.99917099999999903</v>
      </c>
      <c r="N2194">
        <v>0</v>
      </c>
      <c r="O2194">
        <v>-3.8099170000000002E-2</v>
      </c>
      <c r="P2194">
        <v>-0.99690049999999997</v>
      </c>
      <c r="Q2194">
        <v>1.7253460000000002E-2</v>
      </c>
      <c r="R2194">
        <v>-7.675949E-2</v>
      </c>
      <c r="S2194">
        <v>-3.02648899999999</v>
      </c>
      <c r="T2194">
        <v>-0.1633916</v>
      </c>
      <c r="U2194">
        <v>0.18652340000000001</v>
      </c>
      <c r="V2194">
        <v>-3.8743409999999999E-2</v>
      </c>
      <c r="W2194">
        <v>3.1548809999999997E-2</v>
      </c>
      <c r="X2194">
        <v>0.99875100000000006</v>
      </c>
      <c r="Y2194">
        <v>9.930042E-2</v>
      </c>
      <c r="Z2194">
        <v>4.7298599999999998E-3</v>
      </c>
      <c r="AA2194">
        <v>0.99504629999999905</v>
      </c>
      <c r="AB2194">
        <v>31</v>
      </c>
      <c r="AC2194">
        <v>-20.219899999999999</v>
      </c>
      <c r="AD2194">
        <v>-1.1047762976719999</v>
      </c>
      <c r="AE2194">
        <v>1.2707999999999999</v>
      </c>
      <c r="AF2194">
        <v>2.0342687923040801</v>
      </c>
      <c r="AG2194">
        <v>-1.1047762976719999</v>
      </c>
      <c r="AH2194">
        <v>20.097035174312499</v>
      </c>
      <c r="AI2194">
        <v>93.1305378152814</v>
      </c>
      <c r="AJ2194">
        <v>84.220074160511402</v>
      </c>
      <c r="AK2194">
        <v>20.229918511570801</v>
      </c>
    </row>
    <row r="2195" spans="1:37" x14ac:dyDescent="0.2">
      <c r="A2195" t="str">
        <f>"20200111155838721"</f>
        <v>20200111155838721</v>
      </c>
      <c r="B2195" t="str">
        <f>"1578729518713607"</f>
        <v>1578729518713607</v>
      </c>
      <c r="C2195" t="s">
        <v>37</v>
      </c>
      <c r="D2195">
        <v>5.8561879999999897</v>
      </c>
      <c r="E2195">
        <v>0.48908000000000001</v>
      </c>
      <c r="F2195" t="s">
        <v>52</v>
      </c>
      <c r="G2195">
        <v>-421.90539999999999</v>
      </c>
      <c r="H2195" s="1">
        <v>3.78431699999999E-6</v>
      </c>
      <c r="I2195">
        <v>282.8125</v>
      </c>
      <c r="J2195">
        <v>-393.99110000000002</v>
      </c>
      <c r="K2195">
        <v>1.104752</v>
      </c>
      <c r="L2195">
        <v>285.54689999999999</v>
      </c>
      <c r="M2195">
        <v>-0.99915769999999904</v>
      </c>
      <c r="N2195">
        <v>0</v>
      </c>
      <c r="O2195">
        <v>-3.8448410000000002E-2</v>
      </c>
      <c r="P2195">
        <v>-0.99688549999999998</v>
      </c>
      <c r="Q2195">
        <v>1.794751E-2</v>
      </c>
      <c r="R2195">
        <v>-7.6793040000000007E-2</v>
      </c>
      <c r="S2195">
        <v>-2.9889220000000001</v>
      </c>
      <c r="T2195">
        <v>-0.11695179999999999</v>
      </c>
      <c r="U2195">
        <v>-0.290802</v>
      </c>
      <c r="V2195">
        <v>-3.8426799999999997E-2</v>
      </c>
      <c r="W2195">
        <v>3.2241789999999999E-2</v>
      </c>
      <c r="X2195">
        <v>0.99874110000000005</v>
      </c>
      <c r="Y2195">
        <v>-5.8477580000000001E-2</v>
      </c>
      <c r="Z2195">
        <v>3.5855009999999999E-4</v>
      </c>
      <c r="AA2195">
        <v>0.99828859999999997</v>
      </c>
      <c r="AB2195">
        <v>31</v>
      </c>
      <c r="AC2195">
        <v>-27.914299999999901</v>
      </c>
      <c r="AD2195">
        <v>-1.104748215683</v>
      </c>
      <c r="AE2195">
        <v>-2.7343999999999902</v>
      </c>
      <c r="AF2195">
        <v>-1.65643711897668</v>
      </c>
      <c r="AG2195">
        <v>-1.104748215683</v>
      </c>
      <c r="AH2195">
        <v>27.9554294419451</v>
      </c>
      <c r="AI2195">
        <v>92.259090310373693</v>
      </c>
      <c r="AJ2195">
        <v>93.390969910258207</v>
      </c>
      <c r="AK2195">
        <v>28.026242841892799</v>
      </c>
    </row>
    <row r="2196" spans="1:37" x14ac:dyDescent="0.2">
      <c r="A2196" t="str">
        <f>"20200111155838743"</f>
        <v>20200111155838743</v>
      </c>
      <c r="B2196" t="str">
        <f>"1578729518733127"</f>
        <v>1578729518733127</v>
      </c>
      <c r="C2196" t="s">
        <v>37</v>
      </c>
      <c r="D2196">
        <v>5.8581370000000001</v>
      </c>
      <c r="E2196">
        <v>0.48738120000000001</v>
      </c>
      <c r="F2196" t="s">
        <v>52</v>
      </c>
      <c r="G2196">
        <v>-423.8075</v>
      </c>
      <c r="H2196" s="1">
        <v>3.4897210000000002E-6</v>
      </c>
      <c r="I2196">
        <v>282.32279999999997</v>
      </c>
      <c r="J2196">
        <v>-394.29790000000003</v>
      </c>
      <c r="K2196">
        <v>1.104733</v>
      </c>
      <c r="L2196">
        <v>285.53469999999999</v>
      </c>
      <c r="M2196">
        <v>-0.99914599999999898</v>
      </c>
      <c r="N2196">
        <v>0</v>
      </c>
      <c r="O2196">
        <v>-3.875547E-2</v>
      </c>
      <c r="P2196">
        <v>-0.99683480000000002</v>
      </c>
      <c r="Q2196">
        <v>1.8176499999999901E-2</v>
      </c>
      <c r="R2196">
        <v>-7.739712E-2</v>
      </c>
      <c r="S2196">
        <v>-2.98645</v>
      </c>
      <c r="T2196">
        <v>-0.110653</v>
      </c>
      <c r="U2196">
        <v>-0.32293699999999997</v>
      </c>
      <c r="V2196">
        <v>-3.8723689999999998E-2</v>
      </c>
      <c r="W2196">
        <v>3.2469110000000002E-2</v>
      </c>
      <c r="X2196">
        <v>0.99872229999999995</v>
      </c>
      <c r="Y2196">
        <v>-6.8871360000000006E-2</v>
      </c>
      <c r="Z2196">
        <v>1.5866759999999999E-4</v>
      </c>
      <c r="AA2196">
        <v>0.99762549999999905</v>
      </c>
      <c r="AB2196">
        <v>31</v>
      </c>
      <c r="AC2196">
        <v>-29.509599999999899</v>
      </c>
      <c r="AD2196">
        <v>-1.104729510279</v>
      </c>
      <c r="AE2196">
        <v>-3.2119000000000102</v>
      </c>
      <c r="AF2196">
        <v>-2.06285347096776</v>
      </c>
      <c r="AG2196">
        <v>-1.104729510279</v>
      </c>
      <c r="AH2196">
        <v>29.570959343832001</v>
      </c>
      <c r="AI2196">
        <v>92.134312814388807</v>
      </c>
      <c r="AJ2196">
        <v>93.990456666594199</v>
      </c>
      <c r="AK2196">
        <v>29.6634021691398</v>
      </c>
    </row>
    <row r="2197" spans="1:37" x14ac:dyDescent="0.2">
      <c r="A2197" t="str">
        <f>"20200111155838766"</f>
        <v>20200111155838766</v>
      </c>
      <c r="B2197" t="str">
        <f>"1578729518763385"</f>
        <v>1578729518763385</v>
      </c>
      <c r="C2197" t="s">
        <v>37</v>
      </c>
      <c r="D2197">
        <v>5.9032999999999998</v>
      </c>
      <c r="E2197">
        <v>0.48584460000000002</v>
      </c>
      <c r="F2197" t="s">
        <v>52</v>
      </c>
      <c r="G2197">
        <v>-419.37610000000001</v>
      </c>
      <c r="H2197" s="1">
        <v>4.0373250000000003E-6</v>
      </c>
      <c r="I2197">
        <v>282.68990000000002</v>
      </c>
      <c r="J2197">
        <v>-394.60750000000002</v>
      </c>
      <c r="K2197">
        <v>1.1047100000000001</v>
      </c>
      <c r="L2197">
        <v>285.52229999999997</v>
      </c>
      <c r="M2197">
        <v>-0.999135199999999</v>
      </c>
      <c r="N2197">
        <v>0</v>
      </c>
      <c r="O2197">
        <v>-3.903413E-2</v>
      </c>
      <c r="P2197">
        <v>-0.9967703</v>
      </c>
      <c r="Q2197">
        <v>1.8436339999999999E-2</v>
      </c>
      <c r="R2197">
        <v>-7.8161789999999995E-2</v>
      </c>
      <c r="S2197">
        <v>-2.9856569999999998</v>
      </c>
      <c r="T2197">
        <v>-0.13152259999999999</v>
      </c>
      <c r="U2197">
        <v>-0.33868409999999999</v>
      </c>
      <c r="V2197">
        <v>-3.9209580000000001E-2</v>
      </c>
      <c r="W2197">
        <v>3.2726470000000001E-2</v>
      </c>
      <c r="X2197">
        <v>0.998695</v>
      </c>
      <c r="Y2197">
        <v>-7.3805640000000006E-2</v>
      </c>
      <c r="Z2197" s="1">
        <v>9.2447619999999994E-5</v>
      </c>
      <c r="AA2197">
        <v>0.99727269999999901</v>
      </c>
      <c r="AB2197">
        <v>31</v>
      </c>
      <c r="AC2197">
        <v>-24.7685999999999</v>
      </c>
      <c r="AD2197">
        <v>-1.104705962675</v>
      </c>
      <c r="AE2197">
        <v>-2.8323999999999501</v>
      </c>
      <c r="AF2197">
        <v>-1.8596693593806899</v>
      </c>
      <c r="AG2197">
        <v>-1.104705962675</v>
      </c>
      <c r="AH2197">
        <v>24.811571598648101</v>
      </c>
      <c r="AI2197">
        <v>92.542221920027004</v>
      </c>
      <c r="AJ2197">
        <v>94.286401155939302</v>
      </c>
      <c r="AK2197">
        <v>24.905678681478001</v>
      </c>
    </row>
    <row r="2198" spans="1:37" x14ac:dyDescent="0.2">
      <c r="A2198" t="str">
        <f>"20200111155838788"</f>
        <v>20200111155838788</v>
      </c>
      <c r="B2198" t="str">
        <f>"1578729518783880"</f>
        <v>1578729518783880</v>
      </c>
      <c r="C2198" t="s">
        <v>37</v>
      </c>
      <c r="D2198">
        <v>5.8705809999999996</v>
      </c>
      <c r="E2198">
        <v>0.48528189999999999</v>
      </c>
      <c r="F2198" t="s">
        <v>52</v>
      </c>
      <c r="G2198">
        <v>-416.60390000000001</v>
      </c>
      <c r="H2198" s="1">
        <v>3.5257879999999999E-6</v>
      </c>
      <c r="I2198">
        <v>282.91640000000001</v>
      </c>
      <c r="J2198">
        <v>-394.91910000000001</v>
      </c>
      <c r="K2198">
        <v>1.104684</v>
      </c>
      <c r="L2198">
        <v>285.50990000000002</v>
      </c>
      <c r="M2198">
        <v>-0.99912579999999995</v>
      </c>
      <c r="N2198">
        <v>0</v>
      </c>
      <c r="O2198">
        <v>-3.9276709999999999E-2</v>
      </c>
      <c r="P2198">
        <v>-0.99671650000000001</v>
      </c>
      <c r="Q2198">
        <v>1.849715E-2</v>
      </c>
      <c r="R2198">
        <v>-7.8831209999999999E-2</v>
      </c>
      <c r="S2198">
        <v>-2.9848020000000002</v>
      </c>
      <c r="T2198">
        <v>-0.14990309999999901</v>
      </c>
      <c r="U2198">
        <v>-0.35360720000000001</v>
      </c>
      <c r="V2198">
        <v>-3.9635709999999998E-2</v>
      </c>
      <c r="W2198">
        <v>3.2786040000000002E-2</v>
      </c>
      <c r="X2198">
        <v>0.99867619999999901</v>
      </c>
      <c r="Y2198">
        <v>-7.8499059999999996E-2</v>
      </c>
      <c r="Z2198" s="1">
        <v>4.4004989999999999E-8</v>
      </c>
      <c r="AA2198">
        <v>0.99691419999999997</v>
      </c>
      <c r="AB2198">
        <v>31</v>
      </c>
      <c r="AC2198">
        <v>-21.684799999999999</v>
      </c>
      <c r="AD2198">
        <v>-1.104680474212</v>
      </c>
      <c r="AE2198">
        <v>-2.5935000000000001</v>
      </c>
      <c r="AF2198">
        <v>-1.7352637058810201</v>
      </c>
      <c r="AG2198">
        <v>-1.104680474212</v>
      </c>
      <c r="AH2198">
        <v>21.714381182960501</v>
      </c>
      <c r="AI2198">
        <v>92.903071049891807</v>
      </c>
      <c r="AJ2198">
        <v>94.568974386170794</v>
      </c>
      <c r="AK2198">
        <v>21.8115980441132</v>
      </c>
    </row>
    <row r="2199" spans="1:37" x14ac:dyDescent="0.2">
      <c r="A2199" t="str">
        <f>"20200111155838810"</f>
        <v>20200111155838810</v>
      </c>
      <c r="B2199" t="str">
        <f>"1578729518803399"</f>
        <v>1578729518803399</v>
      </c>
      <c r="C2199" t="s">
        <v>37</v>
      </c>
      <c r="D2199">
        <v>5.8958059999999897</v>
      </c>
      <c r="E2199">
        <v>0.48485279999999997</v>
      </c>
      <c r="F2199" t="s">
        <v>52</v>
      </c>
      <c r="G2199">
        <v>-415.6456</v>
      </c>
      <c r="H2199" s="1">
        <v>3.3479129999999999E-6</v>
      </c>
      <c r="I2199">
        <v>283.00650000000002</v>
      </c>
      <c r="J2199">
        <v>-395.21960000000001</v>
      </c>
      <c r="K2199">
        <v>1.1046479999999901</v>
      </c>
      <c r="L2199">
        <v>285.49790000000002</v>
      </c>
      <c r="M2199">
        <v>-0.99911779999999994</v>
      </c>
      <c r="N2199">
        <v>0</v>
      </c>
      <c r="O2199">
        <v>-3.9480340000000003E-2</v>
      </c>
      <c r="P2199">
        <v>-0.99669589999999997</v>
      </c>
      <c r="Q2199">
        <v>1.8403289999999999E-2</v>
      </c>
      <c r="R2199">
        <v>-7.9111630000000002E-2</v>
      </c>
      <c r="S2199">
        <v>-2.984283</v>
      </c>
      <c r="T2199">
        <v>-0.15905629999999901</v>
      </c>
      <c r="U2199">
        <v>-0.36044309999999902</v>
      </c>
      <c r="V2199">
        <v>-3.9710589999999997E-2</v>
      </c>
      <c r="W2199">
        <v>3.2691669999999999E-2</v>
      </c>
      <c r="X2199">
        <v>0.99867629999999996</v>
      </c>
      <c r="Y2199">
        <v>-8.0558580000000005E-2</v>
      </c>
      <c r="Z2199" s="1">
        <v>-4.3835029999999998E-5</v>
      </c>
      <c r="AA2199">
        <v>0.99674989999999997</v>
      </c>
      <c r="AB2199">
        <v>31</v>
      </c>
      <c r="AC2199">
        <v>-20.425999999999899</v>
      </c>
      <c r="AD2199">
        <v>-1.1046446520869999</v>
      </c>
      <c r="AE2199">
        <v>-2.4913999999999898</v>
      </c>
      <c r="AF2199">
        <v>-1.67811310976544</v>
      </c>
      <c r="AG2199">
        <v>-1.1046446520869999</v>
      </c>
      <c r="AH2199">
        <v>20.449511383816301</v>
      </c>
      <c r="AI2199">
        <v>93.0816679754261</v>
      </c>
      <c r="AJ2199">
        <v>94.691253548875906</v>
      </c>
      <c r="AK2199">
        <v>20.547963871230198</v>
      </c>
    </row>
    <row r="2200" spans="1:37" x14ac:dyDescent="0.2">
      <c r="A2200" t="str">
        <f>"20200111155838832"</f>
        <v>20200111155838832</v>
      </c>
      <c r="B2200" t="str">
        <f>"1578729518822919"</f>
        <v>1578729518822919</v>
      </c>
      <c r="C2200" t="s">
        <v>37</v>
      </c>
      <c r="D2200">
        <v>5.9141620000000001</v>
      </c>
      <c r="E2200">
        <v>0.48434670000000002</v>
      </c>
      <c r="F2200" t="s">
        <v>52</v>
      </c>
      <c r="G2200">
        <v>-417.42509999999999</v>
      </c>
      <c r="H2200" s="1">
        <v>3.6828499999999998E-6</v>
      </c>
      <c r="I2200">
        <v>282.78609999999998</v>
      </c>
      <c r="J2200">
        <v>-395.51990000000001</v>
      </c>
      <c r="K2200">
        <v>1.104622</v>
      </c>
      <c r="L2200">
        <v>285.48570000000001</v>
      </c>
      <c r="M2200">
        <v>-0.99911119999999898</v>
      </c>
      <c r="N2200">
        <v>0</v>
      </c>
      <c r="O2200">
        <v>-3.9648339999999997E-2</v>
      </c>
      <c r="P2200">
        <v>-0.99666460000000001</v>
      </c>
      <c r="Q2200">
        <v>1.8399519999999999E-2</v>
      </c>
      <c r="R2200">
        <v>-7.9507549999999996E-2</v>
      </c>
      <c r="S2200">
        <v>-2.983765</v>
      </c>
      <c r="T2200">
        <v>-0.1484317</v>
      </c>
      <c r="U2200">
        <v>-0.36437989999999998</v>
      </c>
      <c r="V2200">
        <v>-3.9936810000000003E-2</v>
      </c>
      <c r="W2200">
        <v>3.2686439999999997E-2</v>
      </c>
      <c r="X2200">
        <v>0.99866739999999998</v>
      </c>
      <c r="Y2200">
        <v>-8.1713770000000005E-2</v>
      </c>
      <c r="Z2200" s="1">
        <v>-6.1229340000000003E-5</v>
      </c>
      <c r="AA2200">
        <v>0.99665579999999998</v>
      </c>
      <c r="AB2200">
        <v>31</v>
      </c>
      <c r="AC2200">
        <v>-21.905199999999901</v>
      </c>
      <c r="AD2200">
        <v>-1.1046183171499999</v>
      </c>
      <c r="AE2200">
        <v>-2.69960000000003</v>
      </c>
      <c r="AF2200">
        <v>-1.8243134326763</v>
      </c>
      <c r="AG2200">
        <v>-1.1046183171499999</v>
      </c>
      <c r="AH2200">
        <v>21.940061145583201</v>
      </c>
      <c r="AI2200">
        <v>92.872346527667901</v>
      </c>
      <c r="AJ2200">
        <v>94.753202872290998</v>
      </c>
      <c r="AK2200">
        <v>22.043470330217001</v>
      </c>
    </row>
    <row r="2201" spans="1:37" x14ac:dyDescent="0.2">
      <c r="A2201" t="str">
        <f>"20200111155838855"</f>
        <v>20200111155838855</v>
      </c>
      <c r="B2201" t="str">
        <f>"1578729518843415"</f>
        <v>1578729518843415</v>
      </c>
      <c r="C2201" t="s">
        <v>37</v>
      </c>
      <c r="D2201">
        <v>5.9023139999999996</v>
      </c>
      <c r="E2201">
        <v>0.48422690000000002</v>
      </c>
      <c r="F2201" t="s">
        <v>52</v>
      </c>
      <c r="G2201">
        <v>-418.18049999999999</v>
      </c>
      <c r="H2201" s="1">
        <v>3.8260289999999996E-6</v>
      </c>
      <c r="I2201">
        <v>282.68110000000001</v>
      </c>
      <c r="J2201">
        <v>-395.827</v>
      </c>
      <c r="K2201">
        <v>1.10459</v>
      </c>
      <c r="L2201">
        <v>285.47340000000003</v>
      </c>
      <c r="M2201">
        <v>-0.9991061</v>
      </c>
      <c r="N2201">
        <v>0</v>
      </c>
      <c r="O2201">
        <v>-3.9777180000000002E-2</v>
      </c>
      <c r="P2201">
        <v>-0.99662999999999902</v>
      </c>
      <c r="Q2201">
        <v>1.8638080000000001E-2</v>
      </c>
      <c r="R2201">
        <v>-7.9883750000000003E-2</v>
      </c>
      <c r="S2201">
        <v>-2.983276</v>
      </c>
      <c r="T2201">
        <v>-0.14542279999999999</v>
      </c>
      <c r="U2201">
        <v>-0.36923220000000001</v>
      </c>
      <c r="V2201">
        <v>-4.0182679999999998E-2</v>
      </c>
      <c r="W2201">
        <v>3.2924719999999998E-2</v>
      </c>
      <c r="X2201">
        <v>0.99864969999999997</v>
      </c>
      <c r="Y2201">
        <v>-8.3202150000000002E-2</v>
      </c>
      <c r="Z2201" s="1">
        <v>-8.9883920000000003E-5</v>
      </c>
      <c r="AA2201">
        <v>0.99653269999999905</v>
      </c>
      <c r="AB2201">
        <v>31</v>
      </c>
      <c r="AC2201">
        <v>-22.3535</v>
      </c>
      <c r="AD2201">
        <v>-1.1045861739709999</v>
      </c>
      <c r="AE2201">
        <v>-2.7923000000000102</v>
      </c>
      <c r="AF2201">
        <v>-1.89628022847744</v>
      </c>
      <c r="AG2201">
        <v>-1.1045861739709999</v>
      </c>
      <c r="AH2201">
        <v>22.3930474458863</v>
      </c>
      <c r="AI2201">
        <v>92.813896170683805</v>
      </c>
      <c r="AJ2201">
        <v>94.840353217666006</v>
      </c>
      <c r="AK2201">
        <v>22.500323625102801</v>
      </c>
    </row>
    <row r="2202" spans="1:37" x14ac:dyDescent="0.2">
      <c r="A2202" t="str">
        <f>"20200111155838877"</f>
        <v>20200111155838877</v>
      </c>
      <c r="B2202" t="str">
        <f>"1578729518873673"</f>
        <v>1578729518873673</v>
      </c>
      <c r="C2202" t="s">
        <v>37</v>
      </c>
      <c r="D2202">
        <v>5.9535460000000002</v>
      </c>
      <c r="E2202">
        <v>0.48408590000000001</v>
      </c>
      <c r="F2202" t="s">
        <v>52</v>
      </c>
      <c r="G2202">
        <v>-417.3569</v>
      </c>
      <c r="H2202" s="1">
        <v>3.670131E-6</v>
      </c>
      <c r="I2202">
        <v>282.79320000000001</v>
      </c>
      <c r="J2202">
        <v>-396.14</v>
      </c>
      <c r="K2202">
        <v>1.104555</v>
      </c>
      <c r="L2202">
        <v>285.46080000000001</v>
      </c>
      <c r="M2202">
        <v>-0.99910279999999996</v>
      </c>
      <c r="N2202">
        <v>0</v>
      </c>
      <c r="O2202">
        <v>-3.9862939999999999E-2</v>
      </c>
      <c r="P2202">
        <v>-0.99663619999999997</v>
      </c>
      <c r="Q2202">
        <v>1.8764320000000001E-2</v>
      </c>
      <c r="R2202">
        <v>-7.9777840000000003E-2</v>
      </c>
      <c r="S2202">
        <v>-2.9832459999999998</v>
      </c>
      <c r="T2202">
        <v>-0.15305439999999901</v>
      </c>
      <c r="U2202">
        <v>-0.37136839999999999</v>
      </c>
      <c r="V2202">
        <v>-3.998823E-2</v>
      </c>
      <c r="W2202">
        <v>3.305102E-2</v>
      </c>
      <c r="X2202">
        <v>0.99865339999999903</v>
      </c>
      <c r="Y2202">
        <v>-8.3814490000000005E-2</v>
      </c>
      <c r="Z2202">
        <v>-1.058634E-4</v>
      </c>
      <c r="AA2202">
        <v>0.99648139999999996</v>
      </c>
      <c r="AB2202">
        <v>31</v>
      </c>
      <c r="AC2202">
        <v>-21.216899999999999</v>
      </c>
      <c r="AD2202">
        <v>-1.104551329869</v>
      </c>
      <c r="AE2202">
        <v>-2.66759999999999</v>
      </c>
      <c r="AF2202">
        <v>-1.81478276379617</v>
      </c>
      <c r="AG2202">
        <v>-1.104551329869</v>
      </c>
      <c r="AH2202">
        <v>21.2496861711059</v>
      </c>
      <c r="AI2202">
        <v>92.964763901234505</v>
      </c>
      <c r="AJ2202">
        <v>94.881375506903794</v>
      </c>
      <c r="AK2202">
        <v>21.355622971259201</v>
      </c>
    </row>
    <row r="2203" spans="1:37" x14ac:dyDescent="0.2">
      <c r="A2203" t="str">
        <f>"20200111155838900"</f>
        <v>20200111155838900</v>
      </c>
      <c r="B2203" t="str">
        <f>"1578729518893191"</f>
        <v>1578729518893191</v>
      </c>
      <c r="C2203" t="s">
        <v>37</v>
      </c>
      <c r="D2203">
        <v>5.9105419999999897</v>
      </c>
      <c r="E2203">
        <v>0.48397979999999902</v>
      </c>
      <c r="F2203" t="s">
        <v>52</v>
      </c>
      <c r="G2203">
        <v>-417.91210000000001</v>
      </c>
      <c r="H2203" s="1">
        <v>3.7727739999999998E-6</v>
      </c>
      <c r="I2203">
        <v>282.74560000000002</v>
      </c>
      <c r="J2203">
        <v>-396.44670000000002</v>
      </c>
      <c r="K2203">
        <v>1.104511</v>
      </c>
      <c r="L2203">
        <v>285.44850000000002</v>
      </c>
      <c r="M2203">
        <v>-0.99910089999999996</v>
      </c>
      <c r="N2203">
        <v>0</v>
      </c>
      <c r="O2203">
        <v>-3.9911199999999897E-2</v>
      </c>
      <c r="P2203">
        <v>-0.99663480000000004</v>
      </c>
      <c r="Q2203">
        <v>1.8816039999999999E-2</v>
      </c>
      <c r="R2203">
        <v>-7.9782469999999994E-2</v>
      </c>
      <c r="S2203">
        <v>-2.983215</v>
      </c>
      <c r="T2203">
        <v>-0.1513457</v>
      </c>
      <c r="U2203">
        <v>-0.37203979999999998</v>
      </c>
      <c r="V2203">
        <v>-3.994197E-2</v>
      </c>
      <c r="W2203">
        <v>3.3102010000000001E-2</v>
      </c>
      <c r="X2203">
        <v>0.99865349999999997</v>
      </c>
      <c r="Y2203">
        <v>-8.3989519999999998E-2</v>
      </c>
      <c r="Z2203">
        <v>-1.066728E-4</v>
      </c>
      <c r="AA2203">
        <v>0.99646659999999998</v>
      </c>
      <c r="AB2203">
        <v>31</v>
      </c>
      <c r="AC2203">
        <v>-21.465399999999899</v>
      </c>
      <c r="AD2203">
        <v>-1.1045072272259999</v>
      </c>
      <c r="AE2203">
        <v>-2.7029000000000001</v>
      </c>
      <c r="AF2203">
        <v>-1.83915507164506</v>
      </c>
      <c r="AG2203">
        <v>-1.1045072272259999</v>
      </c>
      <c r="AH2203">
        <v>21.500144356326601</v>
      </c>
      <c r="AI2203">
        <v>92.930136271824296</v>
      </c>
      <c r="AJ2203">
        <v>94.889265872472805</v>
      </c>
      <c r="AK2203">
        <v>21.606911739890901</v>
      </c>
    </row>
    <row r="2204" spans="1:37" x14ac:dyDescent="0.2">
      <c r="A2204" t="str">
        <f>"20200111155838921"</f>
        <v>20200111155838921</v>
      </c>
      <c r="B2204" t="str">
        <f>"1578729518913687"</f>
        <v>1578729518913687</v>
      </c>
      <c r="C2204" t="s">
        <v>37</v>
      </c>
      <c r="D2204">
        <v>5.9398439999999999</v>
      </c>
      <c r="E2204">
        <v>0.48387159999999901</v>
      </c>
      <c r="F2204" t="s">
        <v>52</v>
      </c>
      <c r="G2204">
        <v>-417.15690000000001</v>
      </c>
      <c r="H2204" s="1">
        <v>3.6289069999999899E-6</v>
      </c>
      <c r="I2204">
        <v>282.85890000000001</v>
      </c>
      <c r="J2204">
        <v>-396.74</v>
      </c>
      <c r="K2204">
        <v>1.104481</v>
      </c>
      <c r="L2204">
        <v>285.43669999999997</v>
      </c>
      <c r="M2204">
        <v>-0.99910019999999999</v>
      </c>
      <c r="N2204">
        <v>0</v>
      </c>
      <c r="O2204">
        <v>-3.9928949999999998E-2</v>
      </c>
      <c r="P2204">
        <v>-0.99662519999999999</v>
      </c>
      <c r="Q2204">
        <v>1.8264570000000001E-2</v>
      </c>
      <c r="R2204">
        <v>-8.0030509999999999E-2</v>
      </c>
      <c r="S2204">
        <v>-2.983276</v>
      </c>
      <c r="T2204">
        <v>-0.15910299999999999</v>
      </c>
      <c r="U2204">
        <v>-0.37301640000000003</v>
      </c>
      <c r="V2204">
        <v>-4.0170320000000002E-2</v>
      </c>
      <c r="W2204">
        <v>3.2549660000000001E-2</v>
      </c>
      <c r="X2204">
        <v>0.99866250000000001</v>
      </c>
      <c r="Y2204">
        <v>-8.4284269999999994E-2</v>
      </c>
      <c r="Z2204">
        <v>-1.19013899999999E-4</v>
      </c>
      <c r="AA2204">
        <v>0.99644169999999999</v>
      </c>
      <c r="AB2204">
        <v>31</v>
      </c>
      <c r="AC2204">
        <v>-20.416899999999998</v>
      </c>
      <c r="AD2204">
        <v>-1.104477371093</v>
      </c>
      <c r="AE2204">
        <v>-2.5777999999999599</v>
      </c>
      <c r="AF2204">
        <v>-1.7553787621326</v>
      </c>
      <c r="AG2204">
        <v>-1.104477371093</v>
      </c>
      <c r="AH2204">
        <v>20.4446634708282</v>
      </c>
      <c r="AI2204">
        <v>93.080957382138905</v>
      </c>
      <c r="AJ2204">
        <v>94.907380152757199</v>
      </c>
      <c r="AK2204">
        <v>20.549586110119598</v>
      </c>
    </row>
    <row r="2205" spans="1:37" x14ac:dyDescent="0.2">
      <c r="A2205" t="str">
        <f>"20200111155838944"</f>
        <v>20200111155838944</v>
      </c>
      <c r="B2205" t="str">
        <f>"1578729518933208"</f>
        <v>1578729518933208</v>
      </c>
      <c r="C2205" t="s">
        <v>37</v>
      </c>
      <c r="D2205">
        <v>5.9178850000000001</v>
      </c>
      <c r="E2205">
        <v>0.48395699999999903</v>
      </c>
      <c r="F2205" t="s">
        <v>52</v>
      </c>
      <c r="G2205">
        <v>-417.36540000000002</v>
      </c>
      <c r="H2205" s="1">
        <v>3.666891E-6</v>
      </c>
      <c r="I2205">
        <v>282.84739999999999</v>
      </c>
      <c r="J2205">
        <v>-397.04539999999997</v>
      </c>
      <c r="K2205">
        <v>1.1044609999999999</v>
      </c>
      <c r="L2205">
        <v>285.42450000000002</v>
      </c>
      <c r="M2205">
        <v>-0.99910089999999996</v>
      </c>
      <c r="N2205">
        <v>0</v>
      </c>
      <c r="O2205">
        <v>-3.9915850000000003E-2</v>
      </c>
      <c r="P2205">
        <v>-0.99662039999999996</v>
      </c>
      <c r="Q2205">
        <v>1.7982680000000001E-2</v>
      </c>
      <c r="R2205">
        <v>-8.0154959999999997E-2</v>
      </c>
      <c r="S2205">
        <v>-2.9830019999999999</v>
      </c>
      <c r="T2205">
        <v>-0.15973789999999999</v>
      </c>
      <c r="U2205">
        <v>-0.37448120000000001</v>
      </c>
      <c r="V2205">
        <v>-4.0305929999999997E-2</v>
      </c>
      <c r="W2205">
        <v>3.2267039999999997E-2</v>
      </c>
      <c r="X2205">
        <v>0.99866619999999995</v>
      </c>
      <c r="Y2205">
        <v>-8.4789130000000004E-2</v>
      </c>
      <c r="Z2205">
        <v>-1.3365339999999999E-4</v>
      </c>
      <c r="AA2205">
        <v>0.99639889999999998</v>
      </c>
      <c r="AB2205">
        <v>31</v>
      </c>
      <c r="AC2205">
        <v>-20.32</v>
      </c>
      <c r="AD2205">
        <v>-1.104457333109</v>
      </c>
      <c r="AE2205">
        <v>-2.5771000000000299</v>
      </c>
      <c r="AF2205">
        <v>-1.7587592822485301</v>
      </c>
      <c r="AG2205">
        <v>-1.104457333109</v>
      </c>
      <c r="AH2205">
        <v>20.3475196780755</v>
      </c>
      <c r="AI2205">
        <v>93.0954298057502</v>
      </c>
      <c r="AJ2205">
        <v>94.940142514209299</v>
      </c>
      <c r="AK2205">
        <v>20.453229995852102</v>
      </c>
    </row>
    <row r="2206" spans="1:37" x14ac:dyDescent="0.2">
      <c r="A2206" t="str">
        <f>"20200111155838967"</f>
        <v>20200111155838967</v>
      </c>
      <c r="B2206" t="str">
        <f>"1578729518962993"</f>
        <v>1578729518962993</v>
      </c>
      <c r="C2206" t="s">
        <v>37</v>
      </c>
      <c r="D2206">
        <v>5.9353049999999996</v>
      </c>
      <c r="E2206">
        <v>0.48378599999999999</v>
      </c>
      <c r="F2206" t="s">
        <v>52</v>
      </c>
      <c r="G2206">
        <v>-417.5093</v>
      </c>
      <c r="H2206" s="1">
        <v>3.691526E-6</v>
      </c>
      <c r="I2206">
        <v>282.85759999999999</v>
      </c>
      <c r="J2206">
        <v>-397.35750000000002</v>
      </c>
      <c r="K2206">
        <v>1.104444</v>
      </c>
      <c r="L2206">
        <v>285.41199999999998</v>
      </c>
      <c r="M2206">
        <v>-0.99910279999999996</v>
      </c>
      <c r="N2206">
        <v>0</v>
      </c>
      <c r="O2206">
        <v>-3.9865919999999999E-2</v>
      </c>
      <c r="P2206">
        <v>-0.99661299999999997</v>
      </c>
      <c r="Q2206">
        <v>1.7838299999999901E-2</v>
      </c>
      <c r="R2206">
        <v>-8.0277689999999999E-2</v>
      </c>
      <c r="S2206">
        <v>-2.9830019999999999</v>
      </c>
      <c r="T2206">
        <v>-0.16099569999999999</v>
      </c>
      <c r="U2206">
        <v>-0.37417600000000001</v>
      </c>
      <c r="V2206">
        <v>-4.0477079999999999E-2</v>
      </c>
      <c r="W2206">
        <v>3.212168E-2</v>
      </c>
      <c r="X2206">
        <v>0.998664</v>
      </c>
      <c r="Y2206">
        <v>-8.4737580000000007E-2</v>
      </c>
      <c r="Z2206">
        <v>-1.3599709999999901E-4</v>
      </c>
      <c r="AA2206">
        <v>0.99640329999999999</v>
      </c>
      <c r="AB2206">
        <v>30</v>
      </c>
      <c r="AC2206">
        <v>-20.151799999999898</v>
      </c>
      <c r="AD2206">
        <v>-1.104440308474</v>
      </c>
      <c r="AE2206">
        <v>-2.5544000000000402</v>
      </c>
      <c r="AF2206">
        <v>-1.7437618959146799</v>
      </c>
      <c r="AG2206">
        <v>-1.104440308474</v>
      </c>
      <c r="AH2206">
        <v>20.177970552147102</v>
      </c>
      <c r="AI2206">
        <v>93.121345020540602</v>
      </c>
      <c r="AJ2206">
        <v>94.9391779521996</v>
      </c>
      <c r="AK2206">
        <v>20.2832687096518</v>
      </c>
    </row>
    <row r="2207" spans="1:37" x14ac:dyDescent="0.2">
      <c r="A2207" t="str">
        <f>"20200111155838990"</f>
        <v>20200111155838990</v>
      </c>
      <c r="B2207" t="str">
        <f>"1578729518983490"</f>
        <v>1578729518983490</v>
      </c>
      <c r="C2207" t="s">
        <v>37</v>
      </c>
      <c r="D2207">
        <v>5.9555660000000001</v>
      </c>
      <c r="E2207">
        <v>0.483595</v>
      </c>
      <c r="F2207" t="s">
        <v>52</v>
      </c>
      <c r="G2207">
        <v>-417.88010000000003</v>
      </c>
      <c r="H2207" s="1">
        <v>3.7600180000000001E-6</v>
      </c>
      <c r="I2207">
        <v>282.82650000000001</v>
      </c>
      <c r="J2207">
        <v>-397.66160000000002</v>
      </c>
      <c r="K2207">
        <v>1.10442</v>
      </c>
      <c r="L2207">
        <v>285.39999999999998</v>
      </c>
      <c r="M2207">
        <v>-0.99910589999999999</v>
      </c>
      <c r="N2207">
        <v>0</v>
      </c>
      <c r="O2207">
        <v>-3.9789289999999998E-2</v>
      </c>
      <c r="P2207">
        <v>-0.99660579999999999</v>
      </c>
      <c r="Q2207">
        <v>1.7570059999999998E-2</v>
      </c>
      <c r="R2207">
        <v>-8.0425540000000004E-2</v>
      </c>
      <c r="S2207">
        <v>-2.9827880000000002</v>
      </c>
      <c r="T2207">
        <v>-0.1605211</v>
      </c>
      <c r="U2207">
        <v>-0.3757935</v>
      </c>
      <c r="V2207">
        <v>-4.0699810000000003E-2</v>
      </c>
      <c r="W2207">
        <v>3.1852400000000003E-2</v>
      </c>
      <c r="X2207">
        <v>0.99866359999999998</v>
      </c>
      <c r="Y2207">
        <v>-8.5354079999999999E-2</v>
      </c>
      <c r="Z2207">
        <v>-1.56217E-4</v>
      </c>
      <c r="AA2207">
        <v>0.99635059999999998</v>
      </c>
      <c r="AB2207">
        <v>30</v>
      </c>
      <c r="AC2207">
        <v>-20.218499999999999</v>
      </c>
      <c r="AD2207">
        <v>-1.1044162399819999</v>
      </c>
      <c r="AE2207">
        <v>-2.5734999999999602</v>
      </c>
      <c r="AF2207">
        <v>-1.7617268848965699</v>
      </c>
      <c r="AG2207">
        <v>-1.1044162399819999</v>
      </c>
      <c r="AH2207">
        <v>20.245448741099001</v>
      </c>
      <c r="AI2207">
        <v>93.110734212261704</v>
      </c>
      <c r="AJ2207">
        <v>94.973260387396394</v>
      </c>
      <c r="AK2207">
        <v>20.351943680557198</v>
      </c>
    </row>
    <row r="2208" spans="1:37" x14ac:dyDescent="0.2">
      <c r="A2208" t="str">
        <f>"20200111155839011"</f>
        <v>20200111155839011</v>
      </c>
      <c r="B2208" t="str">
        <f>"1578729519003008"</f>
        <v>1578729519003008</v>
      </c>
      <c r="C2208" t="s">
        <v>37</v>
      </c>
      <c r="D2208">
        <v>5.9526329999999996</v>
      </c>
      <c r="E2208">
        <v>0.48355299999999901</v>
      </c>
      <c r="F2208" t="s">
        <v>52</v>
      </c>
      <c r="G2208">
        <v>-418.33609999999999</v>
      </c>
      <c r="H2208" s="1">
        <v>3.8449259999999997E-6</v>
      </c>
      <c r="I2208">
        <v>282.78050000000002</v>
      </c>
      <c r="J2208">
        <v>-397.96109999999999</v>
      </c>
      <c r="K2208">
        <v>1.104401</v>
      </c>
      <c r="L2208">
        <v>285.38810000000001</v>
      </c>
      <c r="M2208">
        <v>-0.99910980000000005</v>
      </c>
      <c r="N2208">
        <v>0</v>
      </c>
      <c r="O2208">
        <v>-3.9694729999999998E-2</v>
      </c>
      <c r="P2208">
        <v>-0.99667739999999905</v>
      </c>
      <c r="Q2208">
        <v>1.7309620000000001E-2</v>
      </c>
      <c r="R2208">
        <v>-7.9593869999999997E-2</v>
      </c>
      <c r="S2208">
        <v>-2.982513</v>
      </c>
      <c r="T2208">
        <v>-0.1593242</v>
      </c>
      <c r="U2208">
        <v>-0.37789919999999999</v>
      </c>
      <c r="V2208">
        <v>-3.9958210000000001E-2</v>
      </c>
      <c r="W2208">
        <v>3.1591229999999998E-2</v>
      </c>
      <c r="X2208">
        <v>0.99870179999999997</v>
      </c>
      <c r="Y2208">
        <v>-8.6151839999999993E-2</v>
      </c>
      <c r="Z2208">
        <v>-1.812959E-4</v>
      </c>
      <c r="AA2208">
        <v>0.996282</v>
      </c>
      <c r="AB2208">
        <v>30</v>
      </c>
      <c r="AC2208">
        <v>-20.375</v>
      </c>
      <c r="AD2208">
        <v>-1.1043971550739999</v>
      </c>
      <c r="AE2208">
        <v>-2.6075999999999899</v>
      </c>
      <c r="AF2208">
        <v>-1.79150314613574</v>
      </c>
      <c r="AG2208">
        <v>-1.1043971550739999</v>
      </c>
      <c r="AH2208">
        <v>20.403476901818099</v>
      </c>
      <c r="AI2208">
        <v>93.086424732218006</v>
      </c>
      <c r="AJ2208">
        <v>95.017919293642706</v>
      </c>
      <c r="AK2208">
        <v>20.511729480513701</v>
      </c>
    </row>
    <row r="2209" spans="1:37" x14ac:dyDescent="0.2">
      <c r="A2209" t="str">
        <f>"20200111155839033"</f>
        <v>20200111155839033</v>
      </c>
      <c r="B2209" t="str">
        <f>"1578729519023518"</f>
        <v>1578729519023518</v>
      </c>
      <c r="C2209" t="s">
        <v>37</v>
      </c>
      <c r="D2209">
        <v>6.1892889999999996</v>
      </c>
      <c r="E2209">
        <v>0.48359039999999998</v>
      </c>
      <c r="F2209" t="s">
        <v>52</v>
      </c>
      <c r="G2209">
        <v>-418.84449999999998</v>
      </c>
      <c r="H2209" s="1">
        <v>3.9371169999999998E-6</v>
      </c>
      <c r="I2209">
        <v>282.7577</v>
      </c>
      <c r="J2209">
        <v>-398.2559</v>
      </c>
      <c r="K2209">
        <v>1.1043940000000001</v>
      </c>
      <c r="L2209">
        <v>285.37650000000002</v>
      </c>
      <c r="M2209">
        <v>-0.99911399999999995</v>
      </c>
      <c r="N2209">
        <v>0</v>
      </c>
      <c r="O2209">
        <v>-3.958797E-2</v>
      </c>
      <c r="P2209">
        <v>-0.99678639999999996</v>
      </c>
      <c r="Q2209">
        <v>1.75552E-2</v>
      </c>
      <c r="R2209">
        <v>-7.8159660000000006E-2</v>
      </c>
      <c r="S2209">
        <v>-2.9827270000000001</v>
      </c>
      <c r="T2209">
        <v>-0.157738299999999</v>
      </c>
      <c r="U2209">
        <v>-0.37570189999999998</v>
      </c>
      <c r="V2209">
        <v>-3.8626849999999997E-2</v>
      </c>
      <c r="W2209">
        <v>3.1835240000000001E-2</v>
      </c>
      <c r="X2209">
        <v>0.99874649999999998</v>
      </c>
      <c r="Y2209">
        <v>-8.5528950000000006E-2</v>
      </c>
      <c r="Z2209">
        <v>-1.6869770000000001E-4</v>
      </c>
      <c r="AA2209">
        <v>0.99633570000000005</v>
      </c>
      <c r="AB2209">
        <v>30</v>
      </c>
      <c r="AC2209">
        <v>-20.5885999999999</v>
      </c>
      <c r="AD2209">
        <v>-1.1043900628829999</v>
      </c>
      <c r="AE2209">
        <v>-2.6188000000000198</v>
      </c>
      <c r="AF2209">
        <v>-1.79651575580775</v>
      </c>
      <c r="AG2209">
        <v>-1.1043900628829999</v>
      </c>
      <c r="AH2209">
        <v>20.617760824074001</v>
      </c>
      <c r="AI2209">
        <v>93.054565632799793</v>
      </c>
      <c r="AJ2209">
        <v>94.979854484184401</v>
      </c>
      <c r="AK2209">
        <v>20.7253276854814</v>
      </c>
    </row>
    <row r="2210" spans="1:37" x14ac:dyDescent="0.2">
      <c r="A2210" t="str">
        <f>"20200111155839055"</f>
        <v>20200111155839055</v>
      </c>
      <c r="B2210" t="str">
        <f>"1578729519053762"</f>
        <v>1578729519053762</v>
      </c>
      <c r="C2210" t="s">
        <v>37</v>
      </c>
      <c r="D2210">
        <v>5.9058019999999898</v>
      </c>
      <c r="E2210">
        <v>0.48339929999999898</v>
      </c>
      <c r="F2210" t="s">
        <v>52</v>
      </c>
      <c r="G2210">
        <v>-419.01240000000001</v>
      </c>
      <c r="H2210" s="1">
        <v>3.9637689999999901E-6</v>
      </c>
      <c r="I2210">
        <v>282.79340000000002</v>
      </c>
      <c r="J2210">
        <v>-398.56099999999998</v>
      </c>
      <c r="K2210">
        <v>1.1043909999999999</v>
      </c>
      <c r="L2210">
        <v>285.3646</v>
      </c>
      <c r="M2210">
        <v>-0.99911870000000003</v>
      </c>
      <c r="N2210">
        <v>0</v>
      </c>
      <c r="O2210">
        <v>-3.9467009999999997E-2</v>
      </c>
      <c r="P2210">
        <v>-0.99686960000000002</v>
      </c>
      <c r="Q2210">
        <v>1.8294700000000001E-2</v>
      </c>
      <c r="R2210">
        <v>-7.6916020000000002E-2</v>
      </c>
      <c r="S2210">
        <v>-2.983368</v>
      </c>
      <c r="T2210">
        <v>-0.15873599999999999</v>
      </c>
      <c r="U2210">
        <v>-0.37127690000000002</v>
      </c>
      <c r="V2210">
        <v>-3.7500579999999999E-2</v>
      </c>
      <c r="W2210">
        <v>3.2572530000000002E-2</v>
      </c>
      <c r="X2210">
        <v>0.99876559999999903</v>
      </c>
      <c r="Y2210">
        <v>-8.416891E-2</v>
      </c>
      <c r="Z2210">
        <v>-1.4010490000000001E-4</v>
      </c>
      <c r="AA2210">
        <v>0.99645149999999905</v>
      </c>
      <c r="AB2210">
        <v>30</v>
      </c>
      <c r="AC2210">
        <v>-20.4514</v>
      </c>
      <c r="AD2210">
        <v>-1.104387036231</v>
      </c>
      <c r="AE2210">
        <v>-2.57119999999997</v>
      </c>
      <c r="AF2210">
        <v>-1.75691472882255</v>
      </c>
      <c r="AG2210">
        <v>-1.104387036231</v>
      </c>
      <c r="AH2210">
        <v>20.478164087589398</v>
      </c>
      <c r="AI2210">
        <v>93.075692895353797</v>
      </c>
      <c r="AJ2210">
        <v>94.903657287029702</v>
      </c>
      <c r="AK2210">
        <v>20.583042158252201</v>
      </c>
    </row>
    <row r="2211" spans="1:37" x14ac:dyDescent="0.2">
      <c r="A2211" t="str">
        <f>"20200111155839078"</f>
        <v>20200111155839078</v>
      </c>
      <c r="B2211" t="str">
        <f>"1578729519073281"</f>
        <v>1578729519073281</v>
      </c>
      <c r="C2211" t="s">
        <v>37</v>
      </c>
      <c r="D2211">
        <v>5.8696489999999999</v>
      </c>
      <c r="E2211">
        <v>0.48332019999999998</v>
      </c>
      <c r="F2211" t="s">
        <v>52</v>
      </c>
      <c r="G2211">
        <v>-418.9067</v>
      </c>
      <c r="H2211" s="1">
        <v>3.940278E-6</v>
      </c>
      <c r="I2211">
        <v>282.8476</v>
      </c>
      <c r="J2211">
        <v>-398.86270000000002</v>
      </c>
      <c r="K2211">
        <v>1.104384</v>
      </c>
      <c r="L2211">
        <v>285.3528</v>
      </c>
      <c r="M2211">
        <v>-0.99912389999999995</v>
      </c>
      <c r="N2211">
        <v>0</v>
      </c>
      <c r="O2211">
        <v>-3.9341370000000001E-2</v>
      </c>
      <c r="P2211">
        <v>-0.99690380000000001</v>
      </c>
      <c r="Q2211">
        <v>1.8344289999999999E-2</v>
      </c>
      <c r="R2211">
        <v>-7.6464270000000001E-2</v>
      </c>
      <c r="S2211">
        <v>-2.9839169999999999</v>
      </c>
      <c r="T2211">
        <v>-0.16197039999999999</v>
      </c>
      <c r="U2211">
        <v>-0.36914059999999999</v>
      </c>
      <c r="V2211">
        <v>-3.7172860000000002E-2</v>
      </c>
      <c r="W2211">
        <v>3.2619719999999998E-2</v>
      </c>
      <c r="X2211">
        <v>0.99877629999999995</v>
      </c>
      <c r="Y2211">
        <v>-8.356732E-2</v>
      </c>
      <c r="Z2211">
        <v>-1.334529E-4</v>
      </c>
      <c r="AA2211">
        <v>0.99650209999999995</v>
      </c>
      <c r="AB2211">
        <v>30</v>
      </c>
      <c r="AC2211">
        <v>-20.043999999999901</v>
      </c>
      <c r="AD2211">
        <v>-1.1043800597219999</v>
      </c>
      <c r="AE2211">
        <v>-2.5051999999999999</v>
      </c>
      <c r="AF2211">
        <v>-1.7095115526323601</v>
      </c>
      <c r="AG2211">
        <v>-1.1043800597219999</v>
      </c>
      <c r="AH2211">
        <v>20.067065459343802</v>
      </c>
      <c r="AI2211">
        <v>93.138718506531504</v>
      </c>
      <c r="AJ2211">
        <v>94.869265883590501</v>
      </c>
      <c r="AK2211">
        <v>20.170007466892098</v>
      </c>
    </row>
    <row r="2212" spans="1:37" x14ac:dyDescent="0.2">
      <c r="A2212" t="str">
        <f>"20200111155839100"</f>
        <v>20200111155839100</v>
      </c>
      <c r="B2212" t="str">
        <f>"1578729519093777"</f>
        <v>1578729519093777</v>
      </c>
      <c r="C2212" t="s">
        <v>37</v>
      </c>
      <c r="D2212">
        <v>7.488194</v>
      </c>
      <c r="E2212">
        <v>0.48512470000000002</v>
      </c>
      <c r="F2212" t="s">
        <v>52</v>
      </c>
      <c r="G2212">
        <v>-418.7824</v>
      </c>
      <c r="H2212" s="1">
        <v>3.9142039999999998E-6</v>
      </c>
      <c r="I2212">
        <v>282.89359999999999</v>
      </c>
      <c r="J2212">
        <v>-399.16590000000002</v>
      </c>
      <c r="K2212">
        <v>1.1043780000000001</v>
      </c>
      <c r="L2212">
        <v>285.34100000000001</v>
      </c>
      <c r="M2212">
        <v>-0.99912889999999999</v>
      </c>
      <c r="N2212">
        <v>0</v>
      </c>
      <c r="O2212">
        <v>-3.9212789999999997E-2</v>
      </c>
      <c r="P2212">
        <v>-0.9969285</v>
      </c>
      <c r="Q2212">
        <v>1.7883699999999999E-2</v>
      </c>
      <c r="R2212">
        <v>-7.6248440000000001E-2</v>
      </c>
      <c r="S2212">
        <v>-2.9841310000000001</v>
      </c>
      <c r="T2212">
        <v>-0.1654456</v>
      </c>
      <c r="U2212">
        <v>-0.36840820000000002</v>
      </c>
      <c r="V2212">
        <v>-3.7085310000000003E-2</v>
      </c>
      <c r="W2212">
        <v>3.2156469999999999E-2</v>
      </c>
      <c r="X2212">
        <v>0.99879459999999998</v>
      </c>
      <c r="Y2212">
        <v>-8.344319E-2</v>
      </c>
      <c r="Z2212">
        <v>-1.3996009999999999E-4</v>
      </c>
      <c r="AA2212">
        <v>0.99651250000000002</v>
      </c>
      <c r="AB2212">
        <v>30</v>
      </c>
      <c r="AC2212">
        <v>-19.616499999999899</v>
      </c>
      <c r="AD2212">
        <v>-1.104374085796</v>
      </c>
      <c r="AE2212">
        <v>-2.4474000000000098</v>
      </c>
      <c r="AF2212">
        <v>-1.6710061277630499</v>
      </c>
      <c r="AG2212">
        <v>-1.104374085796</v>
      </c>
      <c r="AH2212">
        <v>19.636106160297299</v>
      </c>
      <c r="AI2212">
        <v>93.207469957550202</v>
      </c>
      <c r="AJ2212">
        <v>94.864074563090895</v>
      </c>
      <c r="AK2212">
        <v>19.737998093496302</v>
      </c>
    </row>
    <row r="2213" spans="1:37" x14ac:dyDescent="0.2">
      <c r="A2213" t="str">
        <f>"20200111155839123"</f>
        <v>20200111155839123</v>
      </c>
      <c r="B2213" t="str">
        <f>"1578729519113297"</f>
        <v>1578729519113297</v>
      </c>
      <c r="C2213" t="s">
        <v>37</v>
      </c>
      <c r="D2213">
        <v>5.9544579999999998</v>
      </c>
      <c r="E2213">
        <v>0.57024869999999905</v>
      </c>
      <c r="F2213" t="s">
        <v>52</v>
      </c>
      <c r="G2213">
        <v>-418.64769999999999</v>
      </c>
      <c r="H2213" s="1">
        <v>3.8778899999999999E-6</v>
      </c>
      <c r="I2213">
        <v>283.03579999999999</v>
      </c>
      <c r="J2213">
        <v>-399.464</v>
      </c>
      <c r="K2213">
        <v>1.104373</v>
      </c>
      <c r="L2213">
        <v>285.32940000000002</v>
      </c>
      <c r="M2213">
        <v>-0.99913379999999996</v>
      </c>
      <c r="N2213">
        <v>0</v>
      </c>
      <c r="O2213">
        <v>-3.9087339999999998E-2</v>
      </c>
      <c r="P2213">
        <v>-0.99699369999999998</v>
      </c>
      <c r="Q2213">
        <v>1.7754490000000001E-2</v>
      </c>
      <c r="R2213">
        <v>-7.54219E-2</v>
      </c>
      <c r="S2213">
        <v>-2.9852599999999998</v>
      </c>
      <c r="T2213">
        <v>-0.16922690000000001</v>
      </c>
      <c r="U2213">
        <v>-0.35324099999999897</v>
      </c>
      <c r="V2213">
        <v>-3.6382020000000001E-2</v>
      </c>
      <c r="W2213">
        <v>3.2024459999999998E-2</v>
      </c>
      <c r="X2213">
        <v>0.99882469999999901</v>
      </c>
      <c r="Y2213">
        <v>-7.8535880000000002E-2</v>
      </c>
      <c r="Z2213" s="1">
        <v>-1.166016E-5</v>
      </c>
      <c r="AA2213">
        <v>0.99691129999999994</v>
      </c>
      <c r="AB2213">
        <v>30</v>
      </c>
      <c r="AC2213">
        <v>-19.183699999999899</v>
      </c>
      <c r="AD2213">
        <v>-1.10436912211</v>
      </c>
      <c r="AE2213">
        <v>-2.2936000000000201</v>
      </c>
      <c r="AF2213">
        <v>-1.5369089669649501</v>
      </c>
      <c r="AG2213">
        <v>-1.10436912211</v>
      </c>
      <c r="AH2213">
        <v>19.1959760962384</v>
      </c>
      <c r="AI2213">
        <v>93.282190152620799</v>
      </c>
      <c r="AJ2213">
        <v>94.577571782536396</v>
      </c>
      <c r="AK2213">
        <v>19.289044004770201</v>
      </c>
    </row>
    <row r="2214" spans="1:37" x14ac:dyDescent="0.2">
      <c r="A2214" t="str">
        <f>"20200111155839145"</f>
        <v>20200111155839145</v>
      </c>
      <c r="B2214" t="str">
        <f>"1578729519143554"</f>
        <v>1578729519143554</v>
      </c>
      <c r="C2214" t="s">
        <v>37</v>
      </c>
      <c r="D2214">
        <v>5.867121</v>
      </c>
      <c r="E2214">
        <v>0.57432099999999997</v>
      </c>
      <c r="F2214" t="s">
        <v>52</v>
      </c>
      <c r="G2214">
        <v>-421.69850000000002</v>
      </c>
      <c r="H2214" s="1">
        <v>3.39165799999999E-6</v>
      </c>
      <c r="I2214">
        <v>287.72379999999998</v>
      </c>
      <c r="J2214">
        <v>-399.76170000000002</v>
      </c>
      <c r="K2214">
        <v>1.1043719999999999</v>
      </c>
      <c r="L2214">
        <v>285.31790000000001</v>
      </c>
      <c r="M2214">
        <v>-0.99913879999999999</v>
      </c>
      <c r="N2214">
        <v>0</v>
      </c>
      <c r="O2214">
        <v>-3.8964760000000001E-2</v>
      </c>
      <c r="P2214">
        <v>-0.99705619999999995</v>
      </c>
      <c r="Q2214">
        <v>1.7426830000000001E-2</v>
      </c>
      <c r="R2214">
        <v>-7.4668490000000004E-2</v>
      </c>
      <c r="S2214">
        <v>-3.0364689999999999</v>
      </c>
      <c r="T2214">
        <v>-0.1508195</v>
      </c>
      <c r="U2214">
        <v>0.3269958</v>
      </c>
      <c r="V2214">
        <v>-3.5749419999999997E-2</v>
      </c>
      <c r="W2214">
        <v>3.1693699999999998E-2</v>
      </c>
      <c r="X2214">
        <v>0.99885809999999997</v>
      </c>
      <c r="Y2214">
        <v>0.14550879999999999</v>
      </c>
      <c r="Z2214">
        <v>5.5304849999999999E-3</v>
      </c>
      <c r="AA2214">
        <v>0.98934149999999998</v>
      </c>
      <c r="AB2214">
        <v>30</v>
      </c>
      <c r="AC2214">
        <v>-21.936800000000002</v>
      </c>
      <c r="AD2214">
        <v>-1.1043686083419999</v>
      </c>
      <c r="AE2214">
        <v>2.4058999999999702</v>
      </c>
      <c r="AF2214">
        <v>3.2507806679899098</v>
      </c>
      <c r="AG2214">
        <v>-1.1043686083419999</v>
      </c>
      <c r="AH2214">
        <v>21.771859051602501</v>
      </c>
      <c r="AI2214">
        <v>92.872032486111905</v>
      </c>
      <c r="AJ2214">
        <v>81.507839649094507</v>
      </c>
      <c r="AK2214">
        <v>22.040894980406598</v>
      </c>
    </row>
    <row r="2215" spans="1:37" x14ac:dyDescent="0.2">
      <c r="A2215" t="str">
        <f>"20200111155839168"</f>
        <v>20200111155839168</v>
      </c>
      <c r="B2215" t="str">
        <f>"1578729519163077"</f>
        <v>1578729519163077</v>
      </c>
      <c r="C2215" t="s">
        <v>37</v>
      </c>
      <c r="D2215">
        <v>5.8093719999999998</v>
      </c>
      <c r="E2215">
        <v>0.57533959999999995</v>
      </c>
      <c r="F2215" t="s">
        <v>38</v>
      </c>
      <c r="G2215">
        <v>-400.75199999999899</v>
      </c>
      <c r="H2215">
        <v>1.0239549999999999</v>
      </c>
      <c r="I2215">
        <v>285.43509999999998</v>
      </c>
      <c r="J2215">
        <v>-400.07040000000001</v>
      </c>
      <c r="K2215">
        <v>1.1043620000000001</v>
      </c>
      <c r="L2215">
        <v>285.30599999999998</v>
      </c>
      <c r="M2215">
        <v>-0.99914360000000002</v>
      </c>
      <c r="N2215">
        <v>0</v>
      </c>
      <c r="O2215">
        <v>-3.8839789999999999E-2</v>
      </c>
      <c r="P2215">
        <v>-0.99709780000000003</v>
      </c>
      <c r="Q2215">
        <v>1.7357879999999999E-2</v>
      </c>
      <c r="R2215">
        <v>-7.4127159999999997E-2</v>
      </c>
      <c r="S2215">
        <v>-3.0400390000000002</v>
      </c>
      <c r="T2215">
        <v>-0.24690589999999901</v>
      </c>
      <c r="U2215">
        <v>0.35919190000000001</v>
      </c>
      <c r="V2215">
        <v>-3.533178E-2</v>
      </c>
      <c r="W2215">
        <v>3.1621249999999997E-2</v>
      </c>
      <c r="X2215">
        <v>0.99887530000000002</v>
      </c>
      <c r="Y2215">
        <v>0.15519359999999999</v>
      </c>
      <c r="Z2215">
        <v>9.4101629999999992E-3</v>
      </c>
      <c r="AA2215">
        <v>0.98783929999999998</v>
      </c>
      <c r="AB2215">
        <v>30</v>
      </c>
      <c r="AC2215">
        <v>-0.68159999999994603</v>
      </c>
      <c r="AD2215">
        <v>-8.0407000000000103E-2</v>
      </c>
      <c r="AE2215">
        <v>0.129099999999994</v>
      </c>
      <c r="AF2215">
        <v>0.15341737916291101</v>
      </c>
      <c r="AG2215">
        <v>-8.0407000000000103E-2</v>
      </c>
      <c r="AH2215">
        <v>0.66710860396032101</v>
      </c>
      <c r="AI2215">
        <v>96.699513762705905</v>
      </c>
      <c r="AJ2215">
        <v>77.0486711344452</v>
      </c>
      <c r="AK2215">
        <v>0.68922860311808298</v>
      </c>
    </row>
    <row r="2216" spans="1:37" x14ac:dyDescent="0.2">
      <c r="A2216" t="str">
        <f>"20200111155839190"</f>
        <v>20200111155839190</v>
      </c>
      <c r="B2216" t="str">
        <f>"1578729519183573"</f>
        <v>1578729519183573</v>
      </c>
      <c r="C2216" t="s">
        <v>37</v>
      </c>
      <c r="D2216">
        <v>5.8496759999999997</v>
      </c>
      <c r="E2216">
        <v>0.57606519999999894</v>
      </c>
      <c r="F2216" t="s">
        <v>38</v>
      </c>
      <c r="G2216">
        <v>-401.01900000000001</v>
      </c>
      <c r="H2216">
        <v>1.0234589999999999</v>
      </c>
      <c r="I2216">
        <v>285.42149999999998</v>
      </c>
      <c r="J2216">
        <v>-400.36329999999998</v>
      </c>
      <c r="K2216">
        <v>1.1043670000000001</v>
      </c>
      <c r="L2216">
        <v>285.29480000000001</v>
      </c>
      <c r="M2216">
        <v>-0.99914840000000005</v>
      </c>
      <c r="N2216">
        <v>0</v>
      </c>
      <c r="O2216">
        <v>-3.8722230000000003E-2</v>
      </c>
      <c r="P2216">
        <v>-0.99716479999999996</v>
      </c>
      <c r="Q2216">
        <v>1.803304E-2</v>
      </c>
      <c r="R2216">
        <v>-7.3059949999999999E-2</v>
      </c>
      <c r="S2216">
        <v>-3.040619</v>
      </c>
      <c r="T2216">
        <v>-0.25953110000000001</v>
      </c>
      <c r="U2216">
        <v>0.36849979999999999</v>
      </c>
      <c r="V2216">
        <v>-3.4379859999999998E-2</v>
      </c>
      <c r="W2216">
        <v>3.229373E-2</v>
      </c>
      <c r="X2216">
        <v>0.99888690000000002</v>
      </c>
      <c r="Y2216">
        <v>0.15796109999999999</v>
      </c>
      <c r="Z2216">
        <v>9.9935340000000001E-3</v>
      </c>
      <c r="AA2216">
        <v>0.98739480000000002</v>
      </c>
      <c r="AB2216">
        <v>30</v>
      </c>
      <c r="AC2216">
        <v>-0.65570000000002404</v>
      </c>
      <c r="AD2216">
        <v>-8.0907999999999897E-2</v>
      </c>
      <c r="AE2216">
        <v>0.126699999999971</v>
      </c>
      <c r="AF2216">
        <v>0.14979902425920399</v>
      </c>
      <c r="AG2216">
        <v>-8.0907999999999897E-2</v>
      </c>
      <c r="AH2216">
        <v>0.64089478533786204</v>
      </c>
      <c r="AI2216">
        <v>97.008152284305098</v>
      </c>
      <c r="AJ2216">
        <v>76.844198051620893</v>
      </c>
      <c r="AK2216">
        <v>0.66312289811638503</v>
      </c>
    </row>
    <row r="2217" spans="1:37" x14ac:dyDescent="0.2">
      <c r="A2217" t="str">
        <f>"20200111155839211"</f>
        <v>20200111155839211</v>
      </c>
      <c r="B2217" t="str">
        <f>"1578729519203093"</f>
        <v>1578729519203093</v>
      </c>
      <c r="C2217" t="s">
        <v>37</v>
      </c>
      <c r="D2217">
        <v>5.8577539999999999</v>
      </c>
      <c r="E2217">
        <v>0.57601539999999996</v>
      </c>
      <c r="F2217" t="s">
        <v>38</v>
      </c>
      <c r="G2217">
        <v>-401.28629999999998</v>
      </c>
      <c r="H2217">
        <v>1.0225899999999899</v>
      </c>
      <c r="I2217">
        <v>285.40890000000002</v>
      </c>
      <c r="J2217">
        <v>-400.66149999999999</v>
      </c>
      <c r="K2217">
        <v>1.1043719999999999</v>
      </c>
      <c r="L2217">
        <v>285.28339999999997</v>
      </c>
      <c r="M2217">
        <v>-0.99915279999999995</v>
      </c>
      <c r="N2217">
        <v>0</v>
      </c>
      <c r="O2217">
        <v>-3.8603369999999998E-2</v>
      </c>
      <c r="P2217">
        <v>-0.99722239999999995</v>
      </c>
      <c r="Q2217">
        <v>1.8663889999999999E-2</v>
      </c>
      <c r="R2217">
        <v>-7.210548E-2</v>
      </c>
      <c r="S2217">
        <v>-3.040985</v>
      </c>
      <c r="T2217">
        <v>-0.26929189999999997</v>
      </c>
      <c r="U2217">
        <v>0.37661739999999999</v>
      </c>
      <c r="V2217">
        <v>-3.3542759999999998E-2</v>
      </c>
      <c r="W2217">
        <v>3.2920919999999999E-2</v>
      </c>
      <c r="X2217">
        <v>0.99889490000000003</v>
      </c>
      <c r="Y2217">
        <v>0.16036339999999999</v>
      </c>
      <c r="Z2217">
        <v>1.046038E-2</v>
      </c>
      <c r="AA2217">
        <v>0.98700259999999995</v>
      </c>
      <c r="AB2217">
        <v>30</v>
      </c>
      <c r="AC2217">
        <v>-0.62479999999999303</v>
      </c>
      <c r="AD2217">
        <v>-8.1781999999999994E-2</v>
      </c>
      <c r="AE2217">
        <v>0.12550000000004499</v>
      </c>
      <c r="AF2217">
        <v>0.147105657226656</v>
      </c>
      <c r="AG2217">
        <v>-8.1781999999999994E-2</v>
      </c>
      <c r="AH2217">
        <v>0.60945217601429302</v>
      </c>
      <c r="AI2217">
        <v>97.431885778981595</v>
      </c>
      <c r="AJ2217">
        <v>76.4298755380876</v>
      </c>
      <c r="AK2217">
        <v>0.632266023727864</v>
      </c>
    </row>
    <row r="2218" spans="1:37" x14ac:dyDescent="0.2">
      <c r="A2218" t="str">
        <f>"20200111155839235"</f>
        <v>20200111155839235</v>
      </c>
      <c r="B2218" t="str">
        <f>"1578729519223589"</f>
        <v>1578729519223589</v>
      </c>
      <c r="C2218" t="s">
        <v>37</v>
      </c>
      <c r="D2218">
        <v>5.837421</v>
      </c>
      <c r="E2218">
        <v>0.5761231</v>
      </c>
      <c r="F2218" t="s">
        <v>38</v>
      </c>
      <c r="G2218">
        <v>-401.55450000000002</v>
      </c>
      <c r="H2218">
        <v>1.024035</v>
      </c>
      <c r="I2218">
        <v>285.39490000000001</v>
      </c>
      <c r="J2218">
        <v>-400.96589999999998</v>
      </c>
      <c r="K2218">
        <v>1.104379</v>
      </c>
      <c r="L2218">
        <v>285.27179999999998</v>
      </c>
      <c r="M2218">
        <v>-0.99915769999999904</v>
      </c>
      <c r="N2218">
        <v>0</v>
      </c>
      <c r="O2218">
        <v>-3.8482349999999999E-2</v>
      </c>
      <c r="P2218">
        <v>-0.99730599999999903</v>
      </c>
      <c r="Q2218">
        <v>1.8960330000000001E-2</v>
      </c>
      <c r="R2218">
        <v>-7.0864060000000006E-2</v>
      </c>
      <c r="S2218">
        <v>-3.04089399999999</v>
      </c>
      <c r="T2218">
        <v>-0.27362039999999999</v>
      </c>
      <c r="U2218">
        <v>0.37890629999999997</v>
      </c>
      <c r="V2218">
        <v>-3.2419759999999999E-2</v>
      </c>
      <c r="W2218">
        <v>3.3214010000000002E-2</v>
      </c>
      <c r="X2218">
        <v>0.99892230000000004</v>
      </c>
      <c r="Y2218">
        <v>0.1609524</v>
      </c>
      <c r="Z2218">
        <v>1.064321E-2</v>
      </c>
      <c r="AA2218">
        <v>0.98690480000000003</v>
      </c>
      <c r="AB2218">
        <v>30</v>
      </c>
      <c r="AC2218">
        <v>-0.58860000000004198</v>
      </c>
      <c r="AD2218">
        <v>-8.0343999999999902E-2</v>
      </c>
      <c r="AE2218">
        <v>0.123100000000022</v>
      </c>
      <c r="AF2218">
        <v>0.14310713550584001</v>
      </c>
      <c r="AG2218">
        <v>-8.0343999999999902E-2</v>
      </c>
      <c r="AH2218">
        <v>0.57319390682017302</v>
      </c>
      <c r="AI2218">
        <v>97.744403997746403</v>
      </c>
      <c r="AJ2218">
        <v>75.981759110798507</v>
      </c>
      <c r="AK2218">
        <v>0.59622652187273695</v>
      </c>
    </row>
    <row r="2219" spans="1:37" x14ac:dyDescent="0.2">
      <c r="A2219" t="str">
        <f>"20200111155839248"</f>
        <v>20200111155839248</v>
      </c>
      <c r="B2219" t="str">
        <f>"1578729519243109"</f>
        <v>1578729519243109</v>
      </c>
      <c r="C2219" t="s">
        <v>37</v>
      </c>
      <c r="D2219">
        <v>5.8383370000000001</v>
      </c>
      <c r="E2219">
        <v>0.57610740000000005</v>
      </c>
      <c r="F2219" t="s">
        <v>38</v>
      </c>
      <c r="G2219">
        <v>-401.8227</v>
      </c>
      <c r="H2219">
        <v>1.0263930000000001</v>
      </c>
      <c r="I2219">
        <v>285.38010000000003</v>
      </c>
      <c r="J2219">
        <v>-401.15280000000001</v>
      </c>
      <c r="K2219">
        <v>1.1043780000000001</v>
      </c>
      <c r="L2219">
        <v>285.26459999999997</v>
      </c>
      <c r="M2219">
        <v>-0.99916050000000001</v>
      </c>
      <c r="N2219">
        <v>0</v>
      </c>
      <c r="O2219">
        <v>-3.8407610000000002E-2</v>
      </c>
      <c r="P2219">
        <v>-0.99734199999999995</v>
      </c>
      <c r="Q2219">
        <v>1.9172729999999999E-2</v>
      </c>
      <c r="R2219">
        <v>-7.0295259999999998E-2</v>
      </c>
      <c r="S2219">
        <v>-3.0406490000000002</v>
      </c>
      <c r="T2219">
        <v>-0.27686830000000001</v>
      </c>
      <c r="U2219">
        <v>0.38339229999999902</v>
      </c>
      <c r="V2219">
        <v>-3.1924639999999997E-2</v>
      </c>
      <c r="W2219">
        <v>3.342465E-2</v>
      </c>
      <c r="X2219">
        <v>0.99893120000000002</v>
      </c>
      <c r="Y2219">
        <v>0.16229759999999999</v>
      </c>
      <c r="Z2219">
        <v>1.0823040000000001E-2</v>
      </c>
      <c r="AA2219">
        <v>0.98668250000000002</v>
      </c>
      <c r="AB2219">
        <v>30</v>
      </c>
      <c r="AC2219">
        <v>-0.66989999999998395</v>
      </c>
      <c r="AD2219">
        <v>-7.7984999999999902E-2</v>
      </c>
      <c r="AE2219">
        <v>0.115500000000054</v>
      </c>
      <c r="AF2219">
        <v>0.13931316907630201</v>
      </c>
      <c r="AG2219">
        <v>-7.7984999999999902E-2</v>
      </c>
      <c r="AH2219">
        <v>0.65633128270299601</v>
      </c>
      <c r="AI2219">
        <v>96.629744627906902</v>
      </c>
      <c r="AJ2219">
        <v>78.016233896903103</v>
      </c>
      <c r="AK2219">
        <v>0.67547062997412599</v>
      </c>
    </row>
    <row r="2220" spans="1:37" x14ac:dyDescent="0.2">
      <c r="A2220" t="str">
        <f>"20200111155839262"</f>
        <v>20200111155839262</v>
      </c>
      <c r="B2220" t="str">
        <f>"1578729519253846"</f>
        <v>1578729519253846</v>
      </c>
      <c r="C2220" t="s">
        <v>37</v>
      </c>
      <c r="D2220">
        <v>5.857831</v>
      </c>
      <c r="E2220">
        <v>0.57613179999999997</v>
      </c>
      <c r="F2220" t="s">
        <v>38</v>
      </c>
      <c r="G2220">
        <v>-402.08659999999998</v>
      </c>
      <c r="H2220">
        <v>1.0183180000000001</v>
      </c>
      <c r="I2220">
        <v>285.38310000000001</v>
      </c>
      <c r="J2220">
        <v>-401.33940000000001</v>
      </c>
      <c r="K2220">
        <v>1.104376</v>
      </c>
      <c r="L2220">
        <v>285.25760000000002</v>
      </c>
      <c r="M2220">
        <v>-0.99916340000000003</v>
      </c>
      <c r="N2220">
        <v>0</v>
      </c>
      <c r="O2220">
        <v>-3.8332499999999999E-2</v>
      </c>
      <c r="P2220">
        <v>-0.99739009999999995</v>
      </c>
      <c r="Q2220">
        <v>1.902417E-2</v>
      </c>
      <c r="R2220">
        <v>-6.9652510000000001E-2</v>
      </c>
      <c r="S2220">
        <v>-3.0404969999999998</v>
      </c>
      <c r="T2220">
        <v>-0.280306</v>
      </c>
      <c r="U2220">
        <v>0.38458249999999999</v>
      </c>
      <c r="V2220">
        <v>-3.1355580000000001E-2</v>
      </c>
      <c r="W2220">
        <v>3.3274060000000001E-2</v>
      </c>
      <c r="X2220">
        <v>0.99895429999999996</v>
      </c>
      <c r="Y2220">
        <v>0.16258839999999999</v>
      </c>
      <c r="Z2220">
        <v>1.096359E-2</v>
      </c>
      <c r="AA2220">
        <v>0.98663310000000004</v>
      </c>
      <c r="AB2220">
        <v>30</v>
      </c>
      <c r="AC2220">
        <v>-0.747199999999963</v>
      </c>
      <c r="AD2220">
        <v>-8.6057999999999898E-2</v>
      </c>
      <c r="AE2220">
        <v>0.12549999999998801</v>
      </c>
      <c r="AF2220">
        <v>0.15209056189039499</v>
      </c>
      <c r="AG2220">
        <v>-8.6057999999999898E-2</v>
      </c>
      <c r="AH2220">
        <v>0.73239086271248099</v>
      </c>
      <c r="AI2220">
        <v>96.562930105920501</v>
      </c>
      <c r="AJ2220">
        <v>78.268519758669299</v>
      </c>
      <c r="AK2220">
        <v>0.75295012727595001</v>
      </c>
    </row>
    <row r="2221" spans="1:37" x14ac:dyDescent="0.2">
      <c r="A2221" t="str">
        <f>"20200111155839277"</f>
        <v>20200111155839277</v>
      </c>
      <c r="B2221" t="str">
        <f>"1578729519273365"</f>
        <v>1578729519273365</v>
      </c>
      <c r="C2221" t="s">
        <v>37</v>
      </c>
      <c r="D2221">
        <v>6.0123259999999998</v>
      </c>
      <c r="E2221">
        <v>0.57624629999999999</v>
      </c>
      <c r="F2221" t="s">
        <v>38</v>
      </c>
      <c r="G2221">
        <v>-402.09280000000001</v>
      </c>
      <c r="H2221">
        <v>1.0343819999999999</v>
      </c>
      <c r="I2221">
        <v>285.35359999999997</v>
      </c>
      <c r="J2221">
        <v>-401.52480000000003</v>
      </c>
      <c r="K2221">
        <v>1.1043769999999999</v>
      </c>
      <c r="L2221">
        <v>285.25049999999999</v>
      </c>
      <c r="M2221">
        <v>-0.99916629999999995</v>
      </c>
      <c r="N2221">
        <v>0</v>
      </c>
      <c r="O2221">
        <v>-3.8258470000000003E-2</v>
      </c>
      <c r="P2221">
        <v>-0.99745300000000003</v>
      </c>
      <c r="Q2221">
        <v>1.8874760000000001E-2</v>
      </c>
      <c r="R2221">
        <v>-6.8784440000000002E-2</v>
      </c>
      <c r="S2221">
        <v>-3.0402529999999999</v>
      </c>
      <c r="T2221">
        <v>-0.28258509999999998</v>
      </c>
      <c r="U2221">
        <v>0.38644409999999901</v>
      </c>
      <c r="V2221">
        <v>-3.0560230000000001E-2</v>
      </c>
      <c r="W2221">
        <v>3.3122510000000001E-2</v>
      </c>
      <c r="X2221">
        <v>0.99898399999999998</v>
      </c>
      <c r="Y2221">
        <v>0.1631041</v>
      </c>
      <c r="Z2221">
        <v>1.1069789999999999E-2</v>
      </c>
      <c r="AA2221">
        <v>0.98654679999999995</v>
      </c>
      <c r="AB2221">
        <v>30</v>
      </c>
      <c r="AC2221">
        <v>-0.56799999999998296</v>
      </c>
      <c r="AD2221">
        <v>-6.9995000000000002E-2</v>
      </c>
      <c r="AE2221">
        <v>0.103099999999983</v>
      </c>
      <c r="AF2221">
        <v>0.122949980831132</v>
      </c>
      <c r="AG2221">
        <v>-6.9995000000000002E-2</v>
      </c>
      <c r="AH2221">
        <v>0.55547298136027701</v>
      </c>
      <c r="AI2221">
        <v>97.013962544388804</v>
      </c>
      <c r="AJ2221">
        <v>77.519213722115396</v>
      </c>
      <c r="AK2221">
        <v>0.57320697032804002</v>
      </c>
    </row>
    <row r="2222" spans="1:37" x14ac:dyDescent="0.2">
      <c r="A2222" t="str">
        <f>"20200111155839290"</f>
        <v>20200111155839290</v>
      </c>
      <c r="B2222" t="str">
        <f>"1578729519283125"</f>
        <v>1578729519283125</v>
      </c>
      <c r="C2222" t="s">
        <v>37</v>
      </c>
      <c r="D2222">
        <v>5.8518850000000002</v>
      </c>
      <c r="E2222">
        <v>0.57624180000000003</v>
      </c>
      <c r="F2222" t="s">
        <v>38</v>
      </c>
      <c r="G2222">
        <v>-402.35629999999998</v>
      </c>
      <c r="H2222">
        <v>1.02617</v>
      </c>
      <c r="I2222">
        <v>285.35739999999998</v>
      </c>
      <c r="J2222">
        <v>-401.71</v>
      </c>
      <c r="K2222">
        <v>1.1043799999999999</v>
      </c>
      <c r="L2222">
        <v>285.24349999999998</v>
      </c>
      <c r="M2222">
        <v>-0.99916930000000004</v>
      </c>
      <c r="N2222">
        <v>0</v>
      </c>
      <c r="O2222">
        <v>-3.8184790000000003E-2</v>
      </c>
      <c r="P2222">
        <v>-0.99756460000000002</v>
      </c>
      <c r="Q2222">
        <v>1.8967669999999999E-2</v>
      </c>
      <c r="R2222">
        <v>-6.7123660000000002E-2</v>
      </c>
      <c r="S2222">
        <v>-3.0399780000000001</v>
      </c>
      <c r="T2222">
        <v>-0.28608</v>
      </c>
      <c r="U2222">
        <v>0.3899841</v>
      </c>
      <c r="V2222">
        <v>-2.8970039999999999E-2</v>
      </c>
      <c r="W2222">
        <v>3.3214010000000002E-2</v>
      </c>
      <c r="X2222">
        <v>0.99902829999999998</v>
      </c>
      <c r="Y2222">
        <v>0.1641473</v>
      </c>
      <c r="Z2222">
        <v>1.12482E-2</v>
      </c>
      <c r="AA2222">
        <v>0.98637169999999896</v>
      </c>
      <c r="AB2222">
        <v>30</v>
      </c>
      <c r="AC2222">
        <v>-0.64629999999999599</v>
      </c>
      <c r="AD2222">
        <v>-7.8209999999999794E-2</v>
      </c>
      <c r="AE2222">
        <v>0.113900000000001</v>
      </c>
      <c r="AF2222">
        <v>0.13655873381216299</v>
      </c>
      <c r="AG2222">
        <v>-7.8209999999999794E-2</v>
      </c>
      <c r="AH2222">
        <v>0.63249567692469899</v>
      </c>
      <c r="AI2222">
        <v>96.891794369051297</v>
      </c>
      <c r="AJ2222">
        <v>77.816588598611304</v>
      </c>
      <c r="AK2222">
        <v>0.65177900641921105</v>
      </c>
    </row>
    <row r="2223" spans="1:37" x14ac:dyDescent="0.2">
      <c r="A2223" t="str">
        <f>"20200111155839313"</f>
        <v>20200111155839313</v>
      </c>
      <c r="B2223" t="str">
        <f>"1578729519303621"</f>
        <v>1578729519303621</v>
      </c>
      <c r="C2223" t="s">
        <v>37</v>
      </c>
      <c r="D2223">
        <v>5.8304309999999999</v>
      </c>
      <c r="E2223">
        <v>0.57622229999999997</v>
      </c>
      <c r="F2223" t="s">
        <v>38</v>
      </c>
      <c r="G2223">
        <v>-402.6198</v>
      </c>
      <c r="H2223">
        <v>1.0184500000000001</v>
      </c>
      <c r="I2223">
        <v>285.36239999999998</v>
      </c>
      <c r="J2223">
        <v>-402.00630000000001</v>
      </c>
      <c r="K2223">
        <v>1.1043769999999999</v>
      </c>
      <c r="L2223">
        <v>285.23230000000001</v>
      </c>
      <c r="M2223">
        <v>-0.9991738</v>
      </c>
      <c r="N2223">
        <v>0</v>
      </c>
      <c r="O2223">
        <v>-3.8066410000000002E-2</v>
      </c>
      <c r="P2223">
        <v>-0.99769769999999902</v>
      </c>
      <c r="Q2223">
        <v>1.8823960000000001E-2</v>
      </c>
      <c r="R2223">
        <v>-6.5155740000000004E-2</v>
      </c>
      <c r="S2223">
        <v>-3.0393979999999998</v>
      </c>
      <c r="T2223">
        <v>-0.28740359999999998</v>
      </c>
      <c r="U2223">
        <v>0.39483639999999998</v>
      </c>
      <c r="V2223">
        <v>-2.711703E-2</v>
      </c>
      <c r="W2223">
        <v>3.3067220000000001E-2</v>
      </c>
      <c r="X2223">
        <v>0.99908519999999901</v>
      </c>
      <c r="Y2223">
        <v>0.16558879999999901</v>
      </c>
      <c r="Z2223">
        <v>1.1357610000000001E-2</v>
      </c>
      <c r="AA2223">
        <v>0.98612949999999999</v>
      </c>
      <c r="AB2223">
        <v>30</v>
      </c>
      <c r="AC2223">
        <v>-0.61349999999998694</v>
      </c>
      <c r="AD2223">
        <v>-8.5926999999999795E-2</v>
      </c>
      <c r="AE2223">
        <v>0.13009999999996999</v>
      </c>
      <c r="AF2223">
        <v>0.150535834546729</v>
      </c>
      <c r="AG2223">
        <v>-8.5926999999999795E-2</v>
      </c>
      <c r="AH2223">
        <v>0.59689695589284197</v>
      </c>
      <c r="AI2223">
        <v>97.946318282689205</v>
      </c>
      <c r="AJ2223">
        <v>75.845324502927895</v>
      </c>
      <c r="AK2223">
        <v>0.62155487510421903</v>
      </c>
    </row>
    <row r="2224" spans="1:37" x14ac:dyDescent="0.2">
      <c r="A2224" t="str">
        <f>"20200111155839335"</f>
        <v>20200111155839335</v>
      </c>
      <c r="B2224" t="str">
        <f>"1578729519323643"</f>
        <v>1578729519323643</v>
      </c>
      <c r="C2224" t="s">
        <v>37</v>
      </c>
      <c r="D2224">
        <v>5.8501859999999999</v>
      </c>
      <c r="E2224">
        <v>0.57619880000000001</v>
      </c>
      <c r="F2224" t="s">
        <v>38</v>
      </c>
      <c r="G2224">
        <v>-402.88670000000002</v>
      </c>
      <c r="H2224">
        <v>1.0205169999999999</v>
      </c>
      <c r="I2224">
        <v>285.34870000000001</v>
      </c>
      <c r="J2224">
        <v>-402.30349999999999</v>
      </c>
      <c r="K2224">
        <v>1.1043799999999999</v>
      </c>
      <c r="L2224">
        <v>285.22120000000001</v>
      </c>
      <c r="M2224">
        <v>-0.99917819999999902</v>
      </c>
      <c r="N2224">
        <v>0</v>
      </c>
      <c r="O2224">
        <v>-3.794778E-2</v>
      </c>
      <c r="P2224">
        <v>-0.99785239999999997</v>
      </c>
      <c r="Q2224">
        <v>1.877245E-2</v>
      </c>
      <c r="R2224">
        <v>-6.2752370000000002E-2</v>
      </c>
      <c r="S2224">
        <v>-3.0385439999999999</v>
      </c>
      <c r="T2224">
        <v>-0.28966929999999902</v>
      </c>
      <c r="U2224">
        <v>0.40029910000000002</v>
      </c>
      <c r="V2224">
        <v>-2.48279E-2</v>
      </c>
      <c r="W2224">
        <v>3.3012890000000003E-2</v>
      </c>
      <c r="X2224">
        <v>0.99914650000000005</v>
      </c>
      <c r="Y2224">
        <v>0.16722879999999901</v>
      </c>
      <c r="Z2224">
        <v>1.1515050000000001E-2</v>
      </c>
      <c r="AA2224">
        <v>0.98585089999999997</v>
      </c>
      <c r="AB2224">
        <v>30</v>
      </c>
      <c r="AC2224">
        <v>-0.58320000000003303</v>
      </c>
      <c r="AD2224">
        <v>-8.3862999999999993E-2</v>
      </c>
      <c r="AE2224">
        <v>0.127499999999997</v>
      </c>
      <c r="AF2224">
        <v>0.14664750057958201</v>
      </c>
      <c r="AG2224">
        <v>-8.3862999999999993E-2</v>
      </c>
      <c r="AH2224">
        <v>0.56675628297368097</v>
      </c>
      <c r="AI2224">
        <v>98.152293279089406</v>
      </c>
      <c r="AJ2224">
        <v>75.492954146199295</v>
      </c>
      <c r="AK2224">
        <v>0.59139764666878902</v>
      </c>
    </row>
    <row r="2225" spans="1:37" x14ac:dyDescent="0.2">
      <c r="A2225" t="str">
        <f>"20200111155839349"</f>
        <v>20200111155839349</v>
      </c>
      <c r="B2225" t="str">
        <f>"1578729519343164"</f>
        <v>1578729519343164</v>
      </c>
      <c r="C2225" t="s">
        <v>37</v>
      </c>
      <c r="D2225">
        <v>5.8957660000000001</v>
      </c>
      <c r="E2225">
        <v>0.57616089999999998</v>
      </c>
      <c r="F2225" t="s">
        <v>38</v>
      </c>
      <c r="G2225">
        <v>-403.15339999999998</v>
      </c>
      <c r="H2225">
        <v>1.022759</v>
      </c>
      <c r="I2225">
        <v>285.3356</v>
      </c>
      <c r="J2225">
        <v>-402.48099999999999</v>
      </c>
      <c r="K2225">
        <v>1.1043799999999999</v>
      </c>
      <c r="L2225">
        <v>285.21449999999999</v>
      </c>
      <c r="M2225">
        <v>-0.99918099999999999</v>
      </c>
      <c r="N2225">
        <v>0</v>
      </c>
      <c r="O2225">
        <v>-3.7876960000000001E-2</v>
      </c>
      <c r="P2225">
        <v>-0.99793960000000004</v>
      </c>
      <c r="Q2225">
        <v>1.8798220000000001E-2</v>
      </c>
      <c r="R2225">
        <v>-6.1345230000000001E-2</v>
      </c>
      <c r="S2225">
        <v>-3.0375669999999899</v>
      </c>
      <c r="T2225">
        <v>-0.29197689999999998</v>
      </c>
      <c r="U2225">
        <v>0.40692139999999999</v>
      </c>
      <c r="V2225">
        <v>-2.3489570000000001E-2</v>
      </c>
      <c r="W2225">
        <v>3.303673E-2</v>
      </c>
      <c r="X2225">
        <v>0.99917809999999996</v>
      </c>
      <c r="Y2225">
        <v>0.16928779999999999</v>
      </c>
      <c r="Z2225">
        <v>1.1699970000000001E-2</v>
      </c>
      <c r="AA2225">
        <v>0.98549719999999996</v>
      </c>
      <c r="AB2225">
        <v>30</v>
      </c>
      <c r="AC2225">
        <v>-0.67239999999998101</v>
      </c>
      <c r="AD2225">
        <v>-8.1620999999999902E-2</v>
      </c>
      <c r="AE2225">
        <v>0.121100000000012</v>
      </c>
      <c r="AF2225">
        <v>0.144422926128768</v>
      </c>
      <c r="AG2225">
        <v>-8.1620999999999902E-2</v>
      </c>
      <c r="AH2225">
        <v>0.65793990625024401</v>
      </c>
      <c r="AI2225">
        <v>96.908878323975003</v>
      </c>
      <c r="AJ2225">
        <v>77.619484581827706</v>
      </c>
      <c r="AK2225">
        <v>0.67853142113624698</v>
      </c>
    </row>
    <row r="2226" spans="1:37" x14ac:dyDescent="0.2">
      <c r="A2226" t="str">
        <f>"20200111155839369"</f>
        <v>20200111155839369</v>
      </c>
      <c r="B2226" t="str">
        <f>"1578729519363659"</f>
        <v>1578729519363659</v>
      </c>
      <c r="C2226" t="s">
        <v>37</v>
      </c>
      <c r="D2226">
        <v>5.8700029999999996</v>
      </c>
      <c r="E2226">
        <v>0.57610709999999998</v>
      </c>
      <c r="F2226" t="s">
        <v>38</v>
      </c>
      <c r="G2226">
        <v>-403.41559999999998</v>
      </c>
      <c r="H2226">
        <v>1.0141149999999901</v>
      </c>
      <c r="I2226">
        <v>285.34100000000001</v>
      </c>
      <c r="J2226">
        <v>-402.760999999999</v>
      </c>
      <c r="K2226">
        <v>1.104385</v>
      </c>
      <c r="L2226">
        <v>285.20400000000001</v>
      </c>
      <c r="M2226">
        <v>-0.999185199999999</v>
      </c>
      <c r="N2226">
        <v>0</v>
      </c>
      <c r="O2226">
        <v>-3.7765010000000002E-2</v>
      </c>
      <c r="P2226">
        <v>-0.99810030000000005</v>
      </c>
      <c r="Q2226">
        <v>1.9226239999999999E-2</v>
      </c>
      <c r="R2226">
        <v>-5.8533740000000001E-2</v>
      </c>
      <c r="S2226">
        <v>-3.0369869999999999</v>
      </c>
      <c r="T2226">
        <v>-0.29324289999999997</v>
      </c>
      <c r="U2226">
        <v>0.41101070000000001</v>
      </c>
      <c r="V2226">
        <v>-2.078584E-2</v>
      </c>
      <c r="W2226">
        <v>3.3461820000000003E-2</v>
      </c>
      <c r="X2226">
        <v>0.9992238</v>
      </c>
      <c r="Y2226">
        <v>0.170492</v>
      </c>
      <c r="Z2226">
        <v>1.1798660000000001E-2</v>
      </c>
      <c r="AA2226">
        <v>0.98528839999999995</v>
      </c>
      <c r="AB2226">
        <v>30</v>
      </c>
      <c r="AC2226">
        <v>-0.65460000000001595</v>
      </c>
      <c r="AD2226">
        <v>-9.0270000000000003E-2</v>
      </c>
      <c r="AE2226">
        <v>0.13700000000000001</v>
      </c>
      <c r="AF2226">
        <v>0.158733811914052</v>
      </c>
      <c r="AG2226">
        <v>-9.0270000000000003E-2</v>
      </c>
      <c r="AH2226">
        <v>0.637346991571618</v>
      </c>
      <c r="AI2226">
        <v>97.825460408192299</v>
      </c>
      <c r="AJ2226">
        <v>76.014781826504802</v>
      </c>
      <c r="AK2226">
        <v>0.66299040989305202</v>
      </c>
    </row>
    <row r="2227" spans="1:37" x14ac:dyDescent="0.2">
      <c r="A2227" t="str">
        <f>"20200111155839383"</f>
        <v>20200111155839383</v>
      </c>
      <c r="B2227" t="str">
        <f>"1578729519373419"</f>
        <v>1578729519373419</v>
      </c>
      <c r="C2227" t="s">
        <v>37</v>
      </c>
      <c r="D2227">
        <v>5.840757</v>
      </c>
      <c r="E2227">
        <v>0.57605019999999996</v>
      </c>
      <c r="F2227" t="s">
        <v>38</v>
      </c>
      <c r="G2227">
        <v>-403.6814</v>
      </c>
      <c r="H2227">
        <v>1.0153350000000001</v>
      </c>
      <c r="I2227">
        <v>285.33150000000001</v>
      </c>
      <c r="J2227">
        <v>-402.93900000000002</v>
      </c>
      <c r="K2227">
        <v>1.1043879999999999</v>
      </c>
      <c r="L2227">
        <v>285.19740000000002</v>
      </c>
      <c r="M2227">
        <v>-0.99918809999999902</v>
      </c>
      <c r="N2227">
        <v>0</v>
      </c>
      <c r="O2227">
        <v>-3.7694070000000003E-2</v>
      </c>
      <c r="P2227">
        <v>-0.99820379999999997</v>
      </c>
      <c r="Q2227">
        <v>1.94206E-2</v>
      </c>
      <c r="R2227">
        <v>-5.6678590000000001E-2</v>
      </c>
      <c r="S2227">
        <v>-3.0358580000000002</v>
      </c>
      <c r="T2227">
        <v>-0.29393849999999999</v>
      </c>
      <c r="U2227">
        <v>0.41879269999999902</v>
      </c>
      <c r="V2227">
        <v>-1.8998930000000001E-2</v>
      </c>
      <c r="W2227">
        <v>3.3653889999999999E-2</v>
      </c>
      <c r="X2227">
        <v>0.99925299999999995</v>
      </c>
      <c r="Y2227">
        <v>0.1729338</v>
      </c>
      <c r="Z2227">
        <v>1.1939429999999999E-2</v>
      </c>
      <c r="AA2227">
        <v>0.98486109999999905</v>
      </c>
      <c r="AB2227">
        <v>30</v>
      </c>
      <c r="AC2227">
        <v>-0.74239999999997497</v>
      </c>
      <c r="AD2227">
        <v>-8.9052999999999799E-2</v>
      </c>
      <c r="AE2227">
        <v>0.13409999999998901</v>
      </c>
      <c r="AF2227">
        <v>0.15976540768278399</v>
      </c>
      <c r="AG2227">
        <v>-8.9052999999999799E-2</v>
      </c>
      <c r="AH2227">
        <v>0.72669124587619305</v>
      </c>
      <c r="AI2227">
        <v>96.825117285703897</v>
      </c>
      <c r="AJ2227">
        <v>77.600603548088998</v>
      </c>
      <c r="AK2227">
        <v>0.74935678360453895</v>
      </c>
    </row>
    <row r="2228" spans="1:37" x14ac:dyDescent="0.2">
      <c r="A2228" t="str">
        <f>"20200111155839402"</f>
        <v>20200111155839402</v>
      </c>
      <c r="B2228" t="str">
        <f>"1578729519392939"</f>
        <v>1578729519392939</v>
      </c>
      <c r="C2228" t="s">
        <v>37</v>
      </c>
      <c r="D2228">
        <v>5.8404579999999999</v>
      </c>
      <c r="E2228">
        <v>0.57597399999999999</v>
      </c>
      <c r="F2228" t="s">
        <v>38</v>
      </c>
      <c r="G2228">
        <v>-403.68770000000001</v>
      </c>
      <c r="H2228">
        <v>1.0318909999999999</v>
      </c>
      <c r="I2228">
        <v>285.30250000000001</v>
      </c>
      <c r="J2228">
        <v>-403.19049999999999</v>
      </c>
      <c r="K2228">
        <v>1.1043889999999901</v>
      </c>
      <c r="L2228">
        <v>285.18810000000002</v>
      </c>
      <c r="M2228">
        <v>-0.99919179999999996</v>
      </c>
      <c r="N2228">
        <v>0</v>
      </c>
      <c r="O2228">
        <v>-3.7593219999999997E-2</v>
      </c>
      <c r="P2228">
        <v>-0.998422699999999</v>
      </c>
      <c r="Q2228">
        <v>1.9272770000000002E-2</v>
      </c>
      <c r="R2228">
        <v>-5.2731680000000003E-2</v>
      </c>
      <c r="S2228">
        <v>-3.0352169999999998</v>
      </c>
      <c r="T2228">
        <v>-0.29415770000000002</v>
      </c>
      <c r="U2228">
        <v>0.42382809999999999</v>
      </c>
      <c r="V2228">
        <v>-1.514748E-2</v>
      </c>
      <c r="W2228">
        <v>3.3503289999999998E-2</v>
      </c>
      <c r="X2228">
        <v>0.99932379999999998</v>
      </c>
      <c r="Y2228">
        <v>0.17445729999999901</v>
      </c>
      <c r="Z2228">
        <v>1.2013050000000001E-2</v>
      </c>
      <c r="AA2228">
        <v>0.98459149999999995</v>
      </c>
      <c r="AB2228">
        <v>30</v>
      </c>
      <c r="AC2228">
        <v>-0.49720000000002001</v>
      </c>
      <c r="AD2228">
        <v>-7.2497999999999896E-2</v>
      </c>
      <c r="AE2228">
        <v>0.114399999999989</v>
      </c>
      <c r="AF2228">
        <v>0.13037969238048</v>
      </c>
      <c r="AG2228">
        <v>-7.2497999999999896E-2</v>
      </c>
      <c r="AH2228">
        <v>0.48279855514688103</v>
      </c>
      <c r="AI2228">
        <v>98.248644748157204</v>
      </c>
      <c r="AJ2228">
        <v>74.887761128185502</v>
      </c>
      <c r="AK2228">
        <v>0.50532095646345898</v>
      </c>
    </row>
    <row r="2229" spans="1:37" x14ac:dyDescent="0.2">
      <c r="A2229" t="str">
        <f>"20200111155839425"</f>
        <v>20200111155839425</v>
      </c>
      <c r="B2229" t="str">
        <f>"1578729519413436"</f>
        <v>1578729519413436</v>
      </c>
      <c r="C2229" t="s">
        <v>37</v>
      </c>
      <c r="D2229">
        <v>5.8580040000000002</v>
      </c>
      <c r="E2229">
        <v>0.57590140000000001</v>
      </c>
      <c r="F2229" t="s">
        <v>38</v>
      </c>
      <c r="G2229">
        <v>-403.95190000000002</v>
      </c>
      <c r="H2229">
        <v>1.029935</v>
      </c>
      <c r="I2229">
        <v>285.29739999999998</v>
      </c>
      <c r="J2229">
        <v>-403.48480000000001</v>
      </c>
      <c r="K2229">
        <v>1.10439</v>
      </c>
      <c r="L2229">
        <v>285.17720000000003</v>
      </c>
      <c r="M2229">
        <v>-0.99919619999999998</v>
      </c>
      <c r="N2229">
        <v>0</v>
      </c>
      <c r="O2229">
        <v>-3.747495E-2</v>
      </c>
      <c r="P2229">
        <v>-0.99864419999999898</v>
      </c>
      <c r="Q2229">
        <v>1.8800399999999998E-2</v>
      </c>
      <c r="R2229">
        <v>-4.854079E-2</v>
      </c>
      <c r="S2229">
        <v>-3.0333860000000001</v>
      </c>
      <c r="T2229">
        <v>-0.29665130000000001</v>
      </c>
      <c r="U2229">
        <v>0.4346313</v>
      </c>
      <c r="V2229">
        <v>-1.107001E-2</v>
      </c>
      <c r="W2229">
        <v>3.3027189999999998E-2</v>
      </c>
      <c r="X2229">
        <v>0.99939319999999898</v>
      </c>
      <c r="Y2229">
        <v>0.1778264</v>
      </c>
      <c r="Z2229">
        <v>1.2270720000000001E-2</v>
      </c>
      <c r="AA2229">
        <v>0.98398539999999901</v>
      </c>
      <c r="AB2229">
        <v>30</v>
      </c>
      <c r="AC2229">
        <v>-0.467100000000016</v>
      </c>
      <c r="AD2229">
        <v>-7.4454999999999896E-2</v>
      </c>
      <c r="AE2229">
        <v>0.120199999999954</v>
      </c>
      <c r="AF2229">
        <v>0.134418696558465</v>
      </c>
      <c r="AG2229">
        <v>-7.4454999999999896E-2</v>
      </c>
      <c r="AH2229">
        <v>0.45150752851169701</v>
      </c>
      <c r="AI2229">
        <v>98.981181274562303</v>
      </c>
      <c r="AJ2229">
        <v>73.421159717056099</v>
      </c>
      <c r="AK2229">
        <v>0.47693917988797802</v>
      </c>
    </row>
    <row r="2230" spans="1:37" x14ac:dyDescent="0.2">
      <c r="A2230" t="str">
        <f>"20200111155839438"</f>
        <v>20200111155839438</v>
      </c>
      <c r="B2230" t="str">
        <f>"1578729519433931"</f>
        <v>1578729519433931</v>
      </c>
      <c r="C2230" t="s">
        <v>37</v>
      </c>
      <c r="D2230">
        <v>5.8543440000000002</v>
      </c>
      <c r="E2230">
        <v>0.57579419999999903</v>
      </c>
      <c r="F2230" t="s">
        <v>38</v>
      </c>
      <c r="G2230">
        <v>-404.2176</v>
      </c>
      <c r="H2230">
        <v>1.032016</v>
      </c>
      <c r="I2230">
        <v>285.28559999999999</v>
      </c>
      <c r="J2230">
        <v>-403.6678</v>
      </c>
      <c r="K2230">
        <v>1.10439</v>
      </c>
      <c r="L2230">
        <v>285.17039999999997</v>
      </c>
      <c r="M2230">
        <v>-0.99919899999999995</v>
      </c>
      <c r="N2230">
        <v>0</v>
      </c>
      <c r="O2230">
        <v>-3.7401629999999998E-2</v>
      </c>
      <c r="P2230">
        <v>-0.99874349999999901</v>
      </c>
      <c r="Q2230">
        <v>1.8662930000000001E-2</v>
      </c>
      <c r="R2230">
        <v>-4.6510500000000003E-2</v>
      </c>
      <c r="S2230">
        <v>-3.0314030000000001</v>
      </c>
      <c r="T2230">
        <v>-0.29964200000000002</v>
      </c>
      <c r="U2230">
        <v>0.4462585</v>
      </c>
      <c r="V2230">
        <v>-9.1104640000000004E-3</v>
      </c>
      <c r="W2230">
        <v>3.2888029999999999E-2</v>
      </c>
      <c r="X2230">
        <v>0.99941749999999996</v>
      </c>
      <c r="Y2230">
        <v>0.1815013</v>
      </c>
      <c r="Z2230">
        <v>1.2571540000000001E-2</v>
      </c>
      <c r="AA2230">
        <v>0.98331029999999997</v>
      </c>
      <c r="AB2230">
        <v>30</v>
      </c>
      <c r="AC2230">
        <v>-0.54980000000000395</v>
      </c>
      <c r="AD2230">
        <v>-7.2373999999999897E-2</v>
      </c>
      <c r="AE2230">
        <v>0.115200000000015</v>
      </c>
      <c r="AF2230">
        <v>0.13346935125018</v>
      </c>
      <c r="AG2230">
        <v>-7.2373999999999897E-2</v>
      </c>
      <c r="AH2230">
        <v>0.53620537987193695</v>
      </c>
      <c r="AI2230">
        <v>97.461997100172994</v>
      </c>
      <c r="AJ2230">
        <v>76.022301773256203</v>
      </c>
      <c r="AK2230">
        <v>0.55728652684481095</v>
      </c>
    </row>
    <row r="2231" spans="1:37" x14ac:dyDescent="0.2">
      <c r="A2231" t="str">
        <f>"20200111155839458"</f>
        <v>20200111155839458</v>
      </c>
      <c r="B2231" t="str">
        <f>"1578729519453451"</f>
        <v>1578729519453451</v>
      </c>
      <c r="C2231" t="s">
        <v>37</v>
      </c>
      <c r="D2231">
        <v>8.1189309999999999</v>
      </c>
      <c r="E2231">
        <v>0.57569989999999904</v>
      </c>
      <c r="F2231" t="s">
        <v>38</v>
      </c>
      <c r="G2231">
        <v>-404.47859999999997</v>
      </c>
      <c r="H2231">
        <v>1.023838</v>
      </c>
      <c r="I2231">
        <v>285.29149999999998</v>
      </c>
      <c r="J2231">
        <v>-403.93</v>
      </c>
      <c r="K2231">
        <v>1.104393</v>
      </c>
      <c r="L2231">
        <v>285.16070000000002</v>
      </c>
      <c r="M2231">
        <v>-0.99920309999999901</v>
      </c>
      <c r="N2231">
        <v>0</v>
      </c>
      <c r="O2231">
        <v>-3.7296719999999998E-2</v>
      </c>
      <c r="P2231">
        <v>-0.99890919999999905</v>
      </c>
      <c r="Q2231">
        <v>1.905341E-2</v>
      </c>
      <c r="R2231">
        <v>-4.2632749999999997E-2</v>
      </c>
      <c r="S2231">
        <v>-3.0304259999999998</v>
      </c>
      <c r="T2231">
        <v>-0.30126130000000001</v>
      </c>
      <c r="U2231">
        <v>0.45150760000000001</v>
      </c>
      <c r="V2231">
        <v>-5.3345600000000003E-3</v>
      </c>
      <c r="W2231">
        <v>3.3275010000000001E-2</v>
      </c>
      <c r="X2231">
        <v>0.99943199999999999</v>
      </c>
      <c r="Y2231">
        <v>0.18309120000000001</v>
      </c>
      <c r="Z2231">
        <v>1.2709649999999999E-2</v>
      </c>
      <c r="AA2231">
        <v>0.98301369999999899</v>
      </c>
      <c r="AB2231">
        <v>30</v>
      </c>
      <c r="AC2231">
        <v>-0.54859999999996401</v>
      </c>
      <c r="AD2231">
        <v>-8.0554999999999904E-2</v>
      </c>
      <c r="AE2231">
        <v>0.130799999999965</v>
      </c>
      <c r="AF2231">
        <v>0.14814955544663699</v>
      </c>
      <c r="AG2231">
        <v>-8.0554999999999904E-2</v>
      </c>
      <c r="AH2231">
        <v>0.53247602814531103</v>
      </c>
      <c r="AI2231">
        <v>98.292342610586402</v>
      </c>
      <c r="AJ2231">
        <v>74.451962258074801</v>
      </c>
      <c r="AK2231">
        <v>0.55854106326522002</v>
      </c>
    </row>
    <row r="2232" spans="1:37" x14ac:dyDescent="0.2">
      <c r="A2232" t="str">
        <f>"20200111155839471"</f>
        <v>20200111155839471</v>
      </c>
      <c r="B2232" t="str">
        <f>"1578729519463212"</f>
        <v>1578729519463212</v>
      </c>
      <c r="C2232" t="s">
        <v>37</v>
      </c>
      <c r="D2232">
        <v>5.8684500000000002</v>
      </c>
      <c r="E2232">
        <v>0.57394590000000001</v>
      </c>
      <c r="F2232" t="s">
        <v>38</v>
      </c>
      <c r="G2232">
        <v>-404.74340000000001</v>
      </c>
      <c r="H2232">
        <v>1.02386</v>
      </c>
      <c r="I2232">
        <v>285.28539999999998</v>
      </c>
      <c r="J2232">
        <v>-404.1121</v>
      </c>
      <c r="K2232">
        <v>1.1043940000000001</v>
      </c>
      <c r="L2232">
        <v>285.154</v>
      </c>
      <c r="M2232">
        <v>-0.99920580000000003</v>
      </c>
      <c r="N2232">
        <v>0</v>
      </c>
      <c r="O2232">
        <v>-3.7223989999999998E-2</v>
      </c>
      <c r="P2232">
        <v>-0.99899189999999904</v>
      </c>
      <c r="Q2232">
        <v>1.9039520000000001E-2</v>
      </c>
      <c r="R2232">
        <v>-4.0651710000000001E-2</v>
      </c>
      <c r="S2232">
        <v>-3.0286869999999899</v>
      </c>
      <c r="T2232">
        <v>-0.30005290000000001</v>
      </c>
      <c r="U2232">
        <v>0.46258539999999998</v>
      </c>
      <c r="V2232">
        <v>-3.4244750000000002E-3</v>
      </c>
      <c r="W2232">
        <v>3.3258330000000003E-2</v>
      </c>
      <c r="X2232">
        <v>0.99944089999999997</v>
      </c>
      <c r="Y2232">
        <v>0.18660779999999999</v>
      </c>
      <c r="Z2232">
        <v>1.2828350000000001E-2</v>
      </c>
      <c r="AA2232">
        <v>0.98235079999999997</v>
      </c>
      <c r="AB2232">
        <v>30</v>
      </c>
      <c r="AC2232">
        <v>-0.63130000000000996</v>
      </c>
      <c r="AD2232">
        <v>-8.0534000000000106E-2</v>
      </c>
      <c r="AE2232">
        <v>0.131399999999985</v>
      </c>
      <c r="AF2232">
        <v>0.15243314676606601</v>
      </c>
      <c r="AG2232">
        <v>-8.0534000000000106E-2</v>
      </c>
      <c r="AH2232">
        <v>0.61635674485206104</v>
      </c>
      <c r="AI2232">
        <v>97.228789607605606</v>
      </c>
      <c r="AJ2232">
        <v>76.108735811236997</v>
      </c>
      <c r="AK2232">
        <v>0.64001345791603004</v>
      </c>
    </row>
    <row r="2233" spans="1:37" x14ac:dyDescent="0.2">
      <c r="A2233" t="str">
        <f>"20200111155839491"</f>
        <v>20200111155839491</v>
      </c>
      <c r="B2233" t="str">
        <f>"1578729519483707"</f>
        <v>1578729519483707</v>
      </c>
      <c r="C2233" t="s">
        <v>37</v>
      </c>
      <c r="D2233">
        <v>5.8514349999999897</v>
      </c>
      <c r="E2233">
        <v>0.57371989999999995</v>
      </c>
      <c r="F2233" t="s">
        <v>52</v>
      </c>
      <c r="G2233">
        <v>-425.58420000000001</v>
      </c>
      <c r="H2233" s="1">
        <v>2.64153399999999E-6</v>
      </c>
      <c r="I2233">
        <v>288.41989999999998</v>
      </c>
      <c r="J2233">
        <v>-404.36849999999998</v>
      </c>
      <c r="K2233">
        <v>1.104382</v>
      </c>
      <c r="L2233">
        <v>285.14460000000003</v>
      </c>
      <c r="M2233">
        <v>-0.99920959999999903</v>
      </c>
      <c r="N2233">
        <v>0</v>
      </c>
      <c r="O2233">
        <v>-3.7121700000000001E-2</v>
      </c>
      <c r="P2233">
        <v>-0.99915869999999996</v>
      </c>
      <c r="Q2233">
        <v>1.876866E-2</v>
      </c>
      <c r="R2233">
        <v>-3.6462300000000003E-2</v>
      </c>
      <c r="S2233">
        <v>-3.0247189999999899</v>
      </c>
      <c r="T2233">
        <v>-0.15557219999999999</v>
      </c>
      <c r="U2233">
        <v>0.46005249999999998</v>
      </c>
      <c r="V2233">
        <v>6.6584679999999897E-4</v>
      </c>
      <c r="W2233">
        <v>3.2984289999999999E-2</v>
      </c>
      <c r="X2233">
        <v>0.9994556</v>
      </c>
      <c r="Y2233">
        <v>0.18667839999999999</v>
      </c>
      <c r="Z2233">
        <v>6.668574E-3</v>
      </c>
      <c r="AA2233">
        <v>0.98239849999999995</v>
      </c>
      <c r="AB2233">
        <v>30</v>
      </c>
      <c r="AC2233">
        <v>-21.215699999999998</v>
      </c>
      <c r="AD2233">
        <v>-1.104379358466</v>
      </c>
      <c r="AE2233">
        <v>3.2752999999999499</v>
      </c>
      <c r="AF2233">
        <v>4.0499657744912696</v>
      </c>
      <c r="AG2233">
        <v>-1.104379358466</v>
      </c>
      <c r="AH2233">
        <v>21.0238349525244</v>
      </c>
      <c r="AI2233">
        <v>92.952786557669398</v>
      </c>
      <c r="AJ2233">
        <v>79.096286155448297</v>
      </c>
      <c r="AK2233">
        <v>21.438831886391199</v>
      </c>
    </row>
    <row r="2234" spans="1:37" x14ac:dyDescent="0.2">
      <c r="A2234" t="str">
        <f>"20200111155839513"</f>
        <v>20200111155839513</v>
      </c>
      <c r="B2234" t="str">
        <f>"1578729519503228"</f>
        <v>1578729519503228</v>
      </c>
      <c r="C2234" t="s">
        <v>37</v>
      </c>
      <c r="D2234">
        <v>5.817107</v>
      </c>
      <c r="E2234">
        <v>0.57114240000000005</v>
      </c>
      <c r="F2234" t="s">
        <v>52</v>
      </c>
      <c r="G2234">
        <v>-425.9941</v>
      </c>
      <c r="H2234" s="1">
        <v>2.5606529999999899E-6</v>
      </c>
      <c r="I2234">
        <v>288.51339999999999</v>
      </c>
      <c r="J2234">
        <v>-404.65879999999999</v>
      </c>
      <c r="K2234">
        <v>1.104382</v>
      </c>
      <c r="L2234">
        <v>285.13389999999998</v>
      </c>
      <c r="M2234">
        <v>-0.99921399999999905</v>
      </c>
      <c r="N2234">
        <v>0</v>
      </c>
      <c r="O2234">
        <v>-3.7005339999999998E-2</v>
      </c>
      <c r="P2234">
        <v>-0.99928019999999995</v>
      </c>
      <c r="Q2234">
        <v>1.9212259999999998E-2</v>
      </c>
      <c r="R2234">
        <v>-3.2713199999999998E-2</v>
      </c>
      <c r="S2234">
        <v>-3.022583</v>
      </c>
      <c r="T2234">
        <v>-0.15435789999999999</v>
      </c>
      <c r="U2234">
        <v>0.47085569999999999</v>
      </c>
      <c r="V2234">
        <v>4.3006119999999997E-3</v>
      </c>
      <c r="W2234">
        <v>3.3423219999999997E-2</v>
      </c>
      <c r="X2234">
        <v>0.99943199999999999</v>
      </c>
      <c r="Y2234">
        <v>0.19009609999999999</v>
      </c>
      <c r="Z2234">
        <v>6.7002329999999999E-3</v>
      </c>
      <c r="AA2234">
        <v>0.98174259999999902</v>
      </c>
      <c r="AB2234">
        <v>29</v>
      </c>
      <c r="AC2234">
        <v>-21.3353</v>
      </c>
      <c r="AD2234">
        <v>-1.1043794393469999</v>
      </c>
      <c r="AE2234">
        <v>3.3795000000000002</v>
      </c>
      <c r="AF2234">
        <v>4.1559217196454101</v>
      </c>
      <c r="AG2234">
        <v>-1.1043794393469999</v>
      </c>
      <c r="AH2234">
        <v>21.140354391099098</v>
      </c>
      <c r="AI2234">
        <v>92.934369916649402</v>
      </c>
      <c r="AJ2234">
        <v>78.878212174072402</v>
      </c>
      <c r="AK2234">
        <v>21.573268715406499</v>
      </c>
    </row>
    <row r="2235" spans="1:37" x14ac:dyDescent="0.2">
      <c r="A2235" t="str">
        <f>"20200111155839528"</f>
        <v>20200111155839528</v>
      </c>
      <c r="B2235" t="str">
        <f>"1578729519523724"</f>
        <v>1578729519523724</v>
      </c>
      <c r="C2235" t="s">
        <v>37</v>
      </c>
      <c r="D2235">
        <v>5.8373460000000001</v>
      </c>
      <c r="E2235">
        <v>0.57021639999999996</v>
      </c>
      <c r="F2235" t="s">
        <v>38</v>
      </c>
      <c r="G2235">
        <v>-405.52600000000001</v>
      </c>
      <c r="H2235">
        <v>1.00946</v>
      </c>
      <c r="I2235">
        <v>285.26510000000002</v>
      </c>
      <c r="J2235">
        <v>-404.85610000000003</v>
      </c>
      <c r="K2235">
        <v>1.1043889999999901</v>
      </c>
      <c r="L2235">
        <v>285.12670000000003</v>
      </c>
      <c r="M2235">
        <v>-0.99921689999999996</v>
      </c>
      <c r="N2235">
        <v>0</v>
      </c>
      <c r="O2235">
        <v>-3.6926529999999999E-2</v>
      </c>
      <c r="P2235">
        <v>-0.99932829999999995</v>
      </c>
      <c r="Q2235">
        <v>1.9629110000000002E-2</v>
      </c>
      <c r="R2235">
        <v>-3.095024E-2</v>
      </c>
      <c r="S2235">
        <v>-3.0234380000000001</v>
      </c>
      <c r="T2235">
        <v>-0.33110919999999999</v>
      </c>
      <c r="U2235">
        <v>0.45507809999999999</v>
      </c>
      <c r="V2235">
        <v>5.9855389999999998E-3</v>
      </c>
      <c r="W2235">
        <v>3.3837359999999997E-2</v>
      </c>
      <c r="X2235">
        <v>0.9994094</v>
      </c>
      <c r="Y2235">
        <v>0.1839644</v>
      </c>
      <c r="Z2235">
        <v>1.3999599999999999E-2</v>
      </c>
      <c r="AA2235">
        <v>0.98283319999999996</v>
      </c>
      <c r="AB2235">
        <v>29</v>
      </c>
      <c r="AC2235">
        <v>-0.66989999999998395</v>
      </c>
      <c r="AD2235">
        <v>-9.4928999999999805E-2</v>
      </c>
      <c r="AE2235">
        <v>0.13839999999999</v>
      </c>
      <c r="AF2235">
        <v>0.15996447266569</v>
      </c>
      <c r="AG2235">
        <v>-9.4928999999999805E-2</v>
      </c>
      <c r="AH2235">
        <v>0.65177948824772902</v>
      </c>
      <c r="AI2235">
        <v>98.050971456981202</v>
      </c>
      <c r="AJ2235">
        <v>76.210606063581295</v>
      </c>
      <c r="AK2235">
        <v>0.67780280971436202</v>
      </c>
    </row>
    <row r="2236" spans="1:37" x14ac:dyDescent="0.2">
      <c r="A2236" t="str">
        <f>"20200111155839548"</f>
        <v>20200111155839548</v>
      </c>
      <c r="B2236" t="str">
        <f>"1578729519543244"</f>
        <v>1578729519543244</v>
      </c>
      <c r="C2236" t="s">
        <v>37</v>
      </c>
      <c r="D2236">
        <v>5.8074599999999998</v>
      </c>
      <c r="E2236">
        <v>0.56937130000000002</v>
      </c>
      <c r="F2236" t="s">
        <v>38</v>
      </c>
      <c r="G2236">
        <v>-405.786</v>
      </c>
      <c r="H2236">
        <v>1.0023799999999901</v>
      </c>
      <c r="I2236">
        <v>285.26670000000001</v>
      </c>
      <c r="J2236">
        <v>-405.11009999999999</v>
      </c>
      <c r="K2236">
        <v>1.104392</v>
      </c>
      <c r="L2236">
        <v>285.11750000000001</v>
      </c>
      <c r="M2236">
        <v>-0.99922080000000002</v>
      </c>
      <c r="N2236">
        <v>0</v>
      </c>
      <c r="O2236">
        <v>-3.6825070000000001E-2</v>
      </c>
      <c r="P2236">
        <v>-0.99939419999999901</v>
      </c>
      <c r="Q2236">
        <v>2.0713260000000001E-2</v>
      </c>
      <c r="R2236">
        <v>-2.7972179999999999E-2</v>
      </c>
      <c r="S2236">
        <v>-3.0225520000000001</v>
      </c>
      <c r="T2236">
        <v>-0.33175589999999999</v>
      </c>
      <c r="U2236">
        <v>0.4529724</v>
      </c>
      <c r="V2236">
        <v>8.8626899999999995E-3</v>
      </c>
      <c r="W2236">
        <v>3.4917240000000002E-2</v>
      </c>
      <c r="X2236">
        <v>0.99935090000000004</v>
      </c>
      <c r="Y2236">
        <v>0.18323619999999999</v>
      </c>
      <c r="Z2236">
        <v>1.398085E-2</v>
      </c>
      <c r="AA2236">
        <v>0.98296949999999905</v>
      </c>
      <c r="AB2236">
        <v>29</v>
      </c>
      <c r="AC2236">
        <v>-0.67590000000001205</v>
      </c>
      <c r="AD2236">
        <v>-0.10201200000000001</v>
      </c>
      <c r="AE2236">
        <v>0.14920000000000699</v>
      </c>
      <c r="AF2236">
        <v>0.17029247454232299</v>
      </c>
      <c r="AG2236">
        <v>-0.10201200000000001</v>
      </c>
      <c r="AH2236">
        <v>0.655704213582609</v>
      </c>
      <c r="AI2236">
        <v>98.563310632318206</v>
      </c>
      <c r="AJ2236">
        <v>75.441386781883196</v>
      </c>
      <c r="AK2236">
        <v>0.68509414735475305</v>
      </c>
    </row>
    <row r="2237" spans="1:37" x14ac:dyDescent="0.2">
      <c r="A2237" t="str">
        <f>"20200111155839570"</f>
        <v>20200111155839570</v>
      </c>
      <c r="B2237" t="str">
        <f>"1578729519563739"</f>
        <v>1578729519563739</v>
      </c>
      <c r="C2237" t="s">
        <v>37</v>
      </c>
      <c r="D2237">
        <v>5.8384939999999999</v>
      </c>
      <c r="E2237">
        <v>0.56901069999999998</v>
      </c>
      <c r="F2237" t="s">
        <v>38</v>
      </c>
      <c r="G2237">
        <v>-406.04829999999998</v>
      </c>
      <c r="H2237">
        <v>1.002197</v>
      </c>
      <c r="I2237">
        <v>285.25889999999998</v>
      </c>
      <c r="J2237">
        <v>-405.40390000000002</v>
      </c>
      <c r="K2237">
        <v>1.1043959999999999</v>
      </c>
      <c r="L2237">
        <v>285.10680000000002</v>
      </c>
      <c r="M2237">
        <v>-0.99922509999999998</v>
      </c>
      <c r="N2237">
        <v>0</v>
      </c>
      <c r="O2237">
        <v>-3.6707289999999997E-2</v>
      </c>
      <c r="P2237">
        <v>-0.99945659999999903</v>
      </c>
      <c r="Q2237">
        <v>2.1044819999999999E-2</v>
      </c>
      <c r="R2237">
        <v>-2.537617E-2</v>
      </c>
      <c r="S2237">
        <v>-3.021423</v>
      </c>
      <c r="T2237">
        <v>-0.3290959</v>
      </c>
      <c r="U2237">
        <v>0.45510859999999898</v>
      </c>
      <c r="V2237">
        <v>1.1341550000000001E-2</v>
      </c>
      <c r="W2237">
        <v>3.5244619999999997E-2</v>
      </c>
      <c r="X2237">
        <v>0.99931440000000005</v>
      </c>
      <c r="Y2237">
        <v>0.1838707</v>
      </c>
      <c r="Z2237">
        <v>1.3895319999999999E-2</v>
      </c>
      <c r="AA2237">
        <v>0.98285219999999995</v>
      </c>
      <c r="AB2237">
        <v>29</v>
      </c>
      <c r="AC2237">
        <v>-0.644399999999961</v>
      </c>
      <c r="AD2237">
        <v>-0.102198999999999</v>
      </c>
      <c r="AE2237">
        <v>0.15209999999996099</v>
      </c>
      <c r="AF2237">
        <v>0.17156643028695501</v>
      </c>
      <c r="AG2237">
        <v>-0.102198999999999</v>
      </c>
      <c r="AH2237">
        <v>0.62352623626343096</v>
      </c>
      <c r="AI2237">
        <v>98.980283626052994</v>
      </c>
      <c r="AJ2237">
        <v>74.615486754117796</v>
      </c>
      <c r="AK2237">
        <v>0.65472486046525602</v>
      </c>
    </row>
    <row r="2238" spans="1:37" x14ac:dyDescent="0.2">
      <c r="A2238" t="str">
        <f>"20200111155839593"</f>
        <v>20200111155839593</v>
      </c>
      <c r="B2238" t="str">
        <f>"1578729519583260"</f>
        <v>1578729519583260</v>
      </c>
      <c r="C2238" t="s">
        <v>37</v>
      </c>
      <c r="D2238">
        <v>5.8281029999999996</v>
      </c>
      <c r="E2238">
        <v>0.56869049999999999</v>
      </c>
      <c r="F2238" t="s">
        <v>38</v>
      </c>
      <c r="G2238">
        <v>-406.31220000000002</v>
      </c>
      <c r="H2238">
        <v>1.0065170000000001</v>
      </c>
      <c r="I2238">
        <v>285.24560000000002</v>
      </c>
      <c r="J2238">
        <v>-405.69439999999997</v>
      </c>
      <c r="K2238">
        <v>1.104395</v>
      </c>
      <c r="L2238">
        <v>285.09629999999999</v>
      </c>
      <c r="M2238">
        <v>-0.99922949999999999</v>
      </c>
      <c r="N2238">
        <v>0</v>
      </c>
      <c r="O2238">
        <v>-3.6590570000000003E-2</v>
      </c>
      <c r="P2238">
        <v>-0.99949519999999903</v>
      </c>
      <c r="Q2238">
        <v>2.164831E-2</v>
      </c>
      <c r="R2238">
        <v>-2.3258709999999998E-2</v>
      </c>
      <c r="S2238">
        <v>-3.0201419999999999</v>
      </c>
      <c r="T2238">
        <v>-0.32566200000000001</v>
      </c>
      <c r="U2238">
        <v>0.459808299999999</v>
      </c>
      <c r="V2238">
        <v>1.334231E-2</v>
      </c>
      <c r="W2238">
        <v>3.5843630000000001E-2</v>
      </c>
      <c r="X2238">
        <v>0.99926839999999995</v>
      </c>
      <c r="Y2238">
        <v>0.18533039999999901</v>
      </c>
      <c r="Z2238">
        <v>1.3820880000000001E-2</v>
      </c>
      <c r="AA2238">
        <v>0.98257909999999904</v>
      </c>
      <c r="AB2238">
        <v>29</v>
      </c>
      <c r="AC2238">
        <v>-0.61780000000004498</v>
      </c>
      <c r="AD2238">
        <v>-9.7877999999999896E-2</v>
      </c>
      <c r="AE2238">
        <v>0.14930000000003901</v>
      </c>
      <c r="AF2238">
        <v>0.16782788649241101</v>
      </c>
      <c r="AG2238">
        <v>-9.7877999999999896E-2</v>
      </c>
      <c r="AH2238">
        <v>0.59774708035702095</v>
      </c>
      <c r="AI2238">
        <v>98.958885434549799</v>
      </c>
      <c r="AJ2238">
        <v>74.316990066530906</v>
      </c>
      <c r="AK2238">
        <v>0.62852834020738702</v>
      </c>
    </row>
    <row r="2239" spans="1:37" x14ac:dyDescent="0.2">
      <c r="A2239" t="str">
        <f>"20200111155839615"</f>
        <v>20200111155839615</v>
      </c>
      <c r="B2239" t="str">
        <f>"1578729519603755"</f>
        <v>1578729519603755</v>
      </c>
      <c r="C2239" t="s">
        <v>37</v>
      </c>
      <c r="D2239">
        <v>5.8484619999999996</v>
      </c>
      <c r="E2239">
        <v>0.56833420000000001</v>
      </c>
      <c r="F2239" t="s">
        <v>38</v>
      </c>
      <c r="G2239">
        <v>-406.57490000000001</v>
      </c>
      <c r="H2239">
        <v>1.009234</v>
      </c>
      <c r="I2239">
        <v>285.23129999999998</v>
      </c>
      <c r="J2239">
        <v>-405.98770000000002</v>
      </c>
      <c r="K2239">
        <v>1.104395</v>
      </c>
      <c r="L2239">
        <v>285.08569999999997</v>
      </c>
      <c r="M2239">
        <v>-0.99923379999999995</v>
      </c>
      <c r="N2239">
        <v>0</v>
      </c>
      <c r="O2239">
        <v>-3.6473140000000001E-2</v>
      </c>
      <c r="P2239">
        <v>-0.99951919999999905</v>
      </c>
      <c r="Q2239">
        <v>2.2120620000000001E-2</v>
      </c>
      <c r="R2239">
        <v>-2.1737510000000002E-2</v>
      </c>
      <c r="S2239">
        <v>-3.0193479999999999</v>
      </c>
      <c r="T2239">
        <v>-0.326316099999999</v>
      </c>
      <c r="U2239">
        <v>0.46292109999999898</v>
      </c>
      <c r="V2239">
        <v>1.4745919999999999E-2</v>
      </c>
      <c r="W2239">
        <v>3.6312999999999998E-2</v>
      </c>
      <c r="X2239">
        <v>0.99923169999999994</v>
      </c>
      <c r="Y2239">
        <v>0.18623319999999999</v>
      </c>
      <c r="Z2239">
        <v>1.388679E-2</v>
      </c>
      <c r="AA2239">
        <v>0.98240749999999999</v>
      </c>
      <c r="AB2239">
        <v>29</v>
      </c>
      <c r="AC2239">
        <v>-0.58719999999999495</v>
      </c>
      <c r="AD2239">
        <v>-9.5160999999999996E-2</v>
      </c>
      <c r="AE2239">
        <v>0.14560000000000101</v>
      </c>
      <c r="AF2239">
        <v>0.162892030350206</v>
      </c>
      <c r="AG2239">
        <v>-9.5160999999999996E-2</v>
      </c>
      <c r="AH2239">
        <v>0.56745819768769101</v>
      </c>
      <c r="AI2239">
        <v>99.156598646269998</v>
      </c>
      <c r="AJ2239">
        <v>73.983579928820006</v>
      </c>
      <c r="AK2239">
        <v>0.59799518024443499</v>
      </c>
    </row>
    <row r="2240" spans="1:37" x14ac:dyDescent="0.2">
      <c r="A2240" t="str">
        <f>"20200111155839636"</f>
        <v>20200111155839636</v>
      </c>
      <c r="B2240" t="str">
        <f>"1578729519634012"</f>
        <v>1578729519634012</v>
      </c>
      <c r="C2240" t="s">
        <v>37</v>
      </c>
      <c r="D2240">
        <v>5.8127149999999999</v>
      </c>
      <c r="E2240">
        <v>0.56785969999999997</v>
      </c>
      <c r="F2240" t="s">
        <v>38</v>
      </c>
      <c r="G2240">
        <v>-406.83749999999998</v>
      </c>
      <c r="H2240">
        <v>1.0124599999999999</v>
      </c>
      <c r="I2240">
        <v>285.21699999999998</v>
      </c>
      <c r="J2240">
        <v>-406.27949999999998</v>
      </c>
      <c r="K2240">
        <v>1.1043940000000001</v>
      </c>
      <c r="L2240">
        <v>285.0752</v>
      </c>
      <c r="M2240">
        <v>-0.99923809999999902</v>
      </c>
      <c r="N2240">
        <v>0</v>
      </c>
      <c r="O2240">
        <v>-3.6356180000000002E-2</v>
      </c>
      <c r="P2240">
        <v>-0.99954709999999902</v>
      </c>
      <c r="Q2240">
        <v>2.1696980000000001E-2</v>
      </c>
      <c r="R2240">
        <v>-2.08577E-2</v>
      </c>
      <c r="S2240">
        <v>-3.0187379999999999</v>
      </c>
      <c r="T2240">
        <v>-0.326762099999999</v>
      </c>
      <c r="U2240">
        <v>0.464447</v>
      </c>
      <c r="V2240">
        <v>1.550905E-2</v>
      </c>
      <c r="W2240">
        <v>3.5886040000000001E-2</v>
      </c>
      <c r="X2240">
        <v>0.99923549999999906</v>
      </c>
      <c r="Y2240">
        <v>0.1866276</v>
      </c>
      <c r="Z2240">
        <v>1.39165E-2</v>
      </c>
      <c r="AA2240">
        <v>0.98233219999999999</v>
      </c>
      <c r="AB2240">
        <v>29</v>
      </c>
      <c r="AC2240">
        <v>-0.55799999999999195</v>
      </c>
      <c r="AD2240">
        <v>-9.1933999999999905E-2</v>
      </c>
      <c r="AE2240">
        <v>0.14179999999998899</v>
      </c>
      <c r="AF2240">
        <v>0.15796717830827101</v>
      </c>
      <c r="AG2240">
        <v>-9.1933999999999905E-2</v>
      </c>
      <c r="AH2240">
        <v>0.53873844010370497</v>
      </c>
      <c r="AI2240">
        <v>99.2997915379528</v>
      </c>
      <c r="AJ2240">
        <v>73.657974872074604</v>
      </c>
      <c r="AK2240">
        <v>0.568897703127768</v>
      </c>
    </row>
    <row r="2241" spans="1:37" x14ac:dyDescent="0.2">
      <c r="A2241" t="str">
        <f>"20200111155839659"</f>
        <v>20200111155839659</v>
      </c>
      <c r="B2241" t="str">
        <f>"1578729519653122"</f>
        <v>1578729519653122</v>
      </c>
      <c r="C2241" t="s">
        <v>37</v>
      </c>
      <c r="D2241">
        <v>6.6219529999999898</v>
      </c>
      <c r="E2241">
        <v>0.53007419999999905</v>
      </c>
      <c r="F2241" t="s">
        <v>38</v>
      </c>
      <c r="G2241">
        <v>-407.0994</v>
      </c>
      <c r="H2241">
        <v>1.0148299999999999</v>
      </c>
      <c r="I2241">
        <v>285.20089999999999</v>
      </c>
      <c r="J2241">
        <v>-406.5718</v>
      </c>
      <c r="K2241">
        <v>1.1043969999999901</v>
      </c>
      <c r="L2241">
        <v>285.06470000000002</v>
      </c>
      <c r="M2241">
        <v>-0.99924239999999998</v>
      </c>
      <c r="N2241">
        <v>0</v>
      </c>
      <c r="O2241">
        <v>-3.6238869999999999E-2</v>
      </c>
      <c r="P2241">
        <v>-0.99955329999999998</v>
      </c>
      <c r="Q2241">
        <v>2.1987309999999999E-2</v>
      </c>
      <c r="R2241">
        <v>-2.0246650000000001E-2</v>
      </c>
      <c r="S2241">
        <v>-3.0181580000000001</v>
      </c>
      <c r="T2241">
        <v>-0.32963049999999999</v>
      </c>
      <c r="U2241">
        <v>0.462677</v>
      </c>
      <c r="V2241">
        <v>1.6002789999999999E-2</v>
      </c>
      <c r="W2241">
        <v>3.6172900000000001E-2</v>
      </c>
      <c r="X2241">
        <v>0.99921740000000003</v>
      </c>
      <c r="Y2241">
        <v>0.1859594</v>
      </c>
      <c r="Z2241">
        <v>1.3992330000000001E-2</v>
      </c>
      <c r="AA2241">
        <v>0.98245780000000005</v>
      </c>
      <c r="AB2241">
        <v>29</v>
      </c>
      <c r="AC2241">
        <v>-0.52760000000000595</v>
      </c>
      <c r="AD2241">
        <v>-8.9566999999999897E-2</v>
      </c>
      <c r="AE2241">
        <v>0.13619999999997301</v>
      </c>
      <c r="AF2241">
        <v>0.15114821135631801</v>
      </c>
      <c r="AG2241">
        <v>-8.9566999999999897E-2</v>
      </c>
      <c r="AH2241">
        <v>0.50857597395737897</v>
      </c>
      <c r="AI2241">
        <v>99.582074706635595</v>
      </c>
      <c r="AJ2241">
        <v>73.448109580243695</v>
      </c>
      <c r="AK2241">
        <v>0.53806835120819996</v>
      </c>
    </row>
    <row r="2242" spans="1:37" x14ac:dyDescent="0.2">
      <c r="A2242" t="str">
        <f>"20200111155839673"</f>
        <v>20200111155839673</v>
      </c>
      <c r="B2242" t="str">
        <f>"1578729519663859"</f>
        <v>1578729519663859</v>
      </c>
      <c r="C2242" t="s">
        <v>37</v>
      </c>
      <c r="D2242">
        <v>5.8460279999999996</v>
      </c>
      <c r="E2242">
        <v>0.5236478</v>
      </c>
      <c r="F2242" t="s">
        <v>38</v>
      </c>
      <c r="G2242">
        <v>-407.37459999999999</v>
      </c>
      <c r="H2242">
        <v>1.048692</v>
      </c>
      <c r="I2242">
        <v>285.1096</v>
      </c>
      <c r="J2242">
        <v>-406.75830000000002</v>
      </c>
      <c r="K2242">
        <v>1.104398</v>
      </c>
      <c r="L2242">
        <v>285.05799999999999</v>
      </c>
      <c r="M2242">
        <v>-0.999245099999999</v>
      </c>
      <c r="N2242">
        <v>0</v>
      </c>
      <c r="O2242">
        <v>-3.6164229999999999E-2</v>
      </c>
      <c r="P2242">
        <v>-0.99955459999999996</v>
      </c>
      <c r="Q2242">
        <v>2.183247E-2</v>
      </c>
      <c r="R2242">
        <v>-2.0348020000000001E-2</v>
      </c>
      <c r="S2242">
        <v>-3.0093380000000001</v>
      </c>
      <c r="T2242">
        <v>-0.20898320000000001</v>
      </c>
      <c r="U2242">
        <v>0.16726679999999999</v>
      </c>
      <c r="V2242">
        <v>1.5826679999999999E-2</v>
      </c>
      <c r="W2242">
        <v>3.601613E-2</v>
      </c>
      <c r="X2242">
        <v>0.9992259</v>
      </c>
      <c r="Y2242">
        <v>9.1266669999999994E-2</v>
      </c>
      <c r="Z2242">
        <v>5.6697029999999999E-3</v>
      </c>
      <c r="AA2242">
        <v>0.99581030000000004</v>
      </c>
      <c r="AB2242">
        <v>29</v>
      </c>
      <c r="AC2242">
        <v>-0.61629999999996699</v>
      </c>
      <c r="AD2242">
        <v>-5.5705999999999999E-2</v>
      </c>
      <c r="AE2242">
        <v>5.1600000000007598E-2</v>
      </c>
      <c r="AF2242">
        <v>7.3262117494899998E-2</v>
      </c>
      <c r="AG2242">
        <v>-5.5705999999999999E-2</v>
      </c>
      <c r="AH2242">
        <v>0.60908892206516496</v>
      </c>
      <c r="AI2242">
        <v>95.188423625215606</v>
      </c>
      <c r="AJ2242">
        <v>83.141328395946601</v>
      </c>
      <c r="AK2242">
        <v>0.61600309356231397</v>
      </c>
    </row>
    <row r="2243" spans="1:37" x14ac:dyDescent="0.2">
      <c r="A2243" t="str">
        <f>"20200111155839692"</f>
        <v>20200111155839692</v>
      </c>
      <c r="B2243" t="str">
        <f>"1578729519683378"</f>
        <v>1578729519683378</v>
      </c>
      <c r="C2243" t="s">
        <v>37</v>
      </c>
      <c r="D2243">
        <v>5.9159730000000001</v>
      </c>
      <c r="E2243">
        <v>0.51590479999999905</v>
      </c>
      <c r="F2243" t="s">
        <v>38</v>
      </c>
      <c r="G2243">
        <v>-407.64830000000001</v>
      </c>
      <c r="H2243">
        <v>1.053653</v>
      </c>
      <c r="I2243">
        <v>285.09289999999999</v>
      </c>
      <c r="J2243">
        <v>-407.00080000000003</v>
      </c>
      <c r="K2243">
        <v>1.1044039999999999</v>
      </c>
      <c r="L2243">
        <v>285.04939999999999</v>
      </c>
      <c r="M2243">
        <v>-0.99924859999999904</v>
      </c>
      <c r="N2243">
        <v>0</v>
      </c>
      <c r="O2243">
        <v>-3.6067179999999997E-2</v>
      </c>
      <c r="P2243">
        <v>-0.99953440000000005</v>
      </c>
      <c r="Q2243">
        <v>2.228894E-2</v>
      </c>
      <c r="R2243">
        <v>-2.0844290000000001E-2</v>
      </c>
      <c r="S2243">
        <v>-3.0075069999999999</v>
      </c>
      <c r="T2243">
        <v>-0.17156879999999999</v>
      </c>
      <c r="U2243">
        <v>0.117157</v>
      </c>
      <c r="V2243">
        <v>1.523333E-2</v>
      </c>
      <c r="W2243">
        <v>3.6470740000000001E-2</v>
      </c>
      <c r="X2243">
        <v>0.99921859999999996</v>
      </c>
      <c r="Y2243">
        <v>7.4763490000000002E-2</v>
      </c>
      <c r="Z2243">
        <v>4.1852749999999996E-3</v>
      </c>
      <c r="AA2243">
        <v>0.99719249999999904</v>
      </c>
      <c r="AB2243">
        <v>29</v>
      </c>
      <c r="AC2243">
        <v>-0.64749999999997898</v>
      </c>
      <c r="AD2243">
        <v>-5.07509999999999E-2</v>
      </c>
      <c r="AE2243">
        <v>4.3499999999994501E-2</v>
      </c>
      <c r="AF2243">
        <v>6.6421322662668397E-2</v>
      </c>
      <c r="AG2243">
        <v>-5.07509999999999E-2</v>
      </c>
      <c r="AH2243">
        <v>0.64158573416013198</v>
      </c>
      <c r="AI2243">
        <v>94.498873267051493</v>
      </c>
      <c r="AJ2243">
        <v>84.089407044412695</v>
      </c>
      <c r="AK2243">
        <v>0.64700827690459595</v>
      </c>
    </row>
    <row r="2244" spans="1:37" x14ac:dyDescent="0.2">
      <c r="A2244" t="str">
        <f>"20200111155839714"</f>
        <v>20200111155839714</v>
      </c>
      <c r="B2244" t="str">
        <f>"1578729519703873"</f>
        <v>1578729519703873</v>
      </c>
      <c r="C2244" t="s">
        <v>37</v>
      </c>
      <c r="D2244">
        <v>5.732577</v>
      </c>
      <c r="E2244">
        <v>0.51356239999999997</v>
      </c>
      <c r="F2244" t="s">
        <v>38</v>
      </c>
      <c r="G2244">
        <v>-407.89389999999997</v>
      </c>
      <c r="H2244">
        <v>1.0473619999999999</v>
      </c>
      <c r="I2244">
        <v>285.06549999999999</v>
      </c>
      <c r="J2244">
        <v>-407.28879999999998</v>
      </c>
      <c r="K2244">
        <v>1.104409</v>
      </c>
      <c r="L2244">
        <v>285.03910000000002</v>
      </c>
      <c r="M2244">
        <v>-0.99925269999999999</v>
      </c>
      <c r="N2244">
        <v>0</v>
      </c>
      <c r="O2244">
        <v>-3.5951650000000002E-2</v>
      </c>
      <c r="P2244">
        <v>-0.99951139999999905</v>
      </c>
      <c r="Q2244">
        <v>2.2861380000000001E-2</v>
      </c>
      <c r="R2244">
        <v>-2.1316769999999999E-2</v>
      </c>
      <c r="S2244">
        <v>-3.0067750000000002</v>
      </c>
      <c r="T2244">
        <v>-0.19224169999999999</v>
      </c>
      <c r="U2244">
        <v>5.2795410000000001E-2</v>
      </c>
      <c r="V2244">
        <v>1.46447E-2</v>
      </c>
      <c r="W2244">
        <v>3.7040160000000003E-2</v>
      </c>
      <c r="X2244">
        <v>0.9992065</v>
      </c>
      <c r="Y2244">
        <v>5.3312270000000002E-2</v>
      </c>
      <c r="Z2244">
        <v>3.9985539999999997E-3</v>
      </c>
      <c r="AA2244">
        <v>0.99856990000000001</v>
      </c>
      <c r="AB2244">
        <v>29</v>
      </c>
      <c r="AC2244">
        <v>-0.60509999999999298</v>
      </c>
      <c r="AD2244">
        <v>-5.7046999999999799E-2</v>
      </c>
      <c r="AE2244">
        <v>2.6399999999966801E-2</v>
      </c>
      <c r="AF2244">
        <v>4.7716162884852503E-2</v>
      </c>
      <c r="AG2244">
        <v>-5.7046999999999799E-2</v>
      </c>
      <c r="AH2244">
        <v>0.59845051174500297</v>
      </c>
      <c r="AI2244">
        <v>95.428115081955696</v>
      </c>
      <c r="AJ2244">
        <v>85.441288481489906</v>
      </c>
      <c r="AK2244">
        <v>0.60305406674469098</v>
      </c>
    </row>
    <row r="2245" spans="1:37" x14ac:dyDescent="0.2">
      <c r="A2245" t="str">
        <f>"20200111155839738"</f>
        <v>20200111155839738</v>
      </c>
      <c r="B2245" t="str">
        <f>"1578729519733154"</f>
        <v>1578729519733154</v>
      </c>
      <c r="C2245" t="s">
        <v>37</v>
      </c>
      <c r="D2245">
        <v>5.7589949999999996</v>
      </c>
      <c r="E2245">
        <v>0.51122199999999995</v>
      </c>
      <c r="F2245" t="s">
        <v>38</v>
      </c>
      <c r="G2245">
        <v>-408.14850000000001</v>
      </c>
      <c r="H2245">
        <v>1.041299</v>
      </c>
      <c r="I2245">
        <v>285.04820000000001</v>
      </c>
      <c r="J2245">
        <v>-407.5813</v>
      </c>
      <c r="K2245">
        <v>1.1044080000000001</v>
      </c>
      <c r="L2245">
        <v>285.02870000000001</v>
      </c>
      <c r="M2245">
        <v>-0.99925710000000001</v>
      </c>
      <c r="N2245">
        <v>0</v>
      </c>
      <c r="O2245">
        <v>-3.583422E-2</v>
      </c>
      <c r="P2245">
        <v>-0.99950309999999898</v>
      </c>
      <c r="Q2245">
        <v>2.276013E-2</v>
      </c>
      <c r="R2245">
        <v>-2.181373E-2</v>
      </c>
      <c r="S2245">
        <v>-3.0071720000000002</v>
      </c>
      <c r="T2245">
        <v>-0.22083559999999999</v>
      </c>
      <c r="U2245">
        <v>3.1158450000000001E-2</v>
      </c>
      <c r="V2245">
        <v>1.403016E-2</v>
      </c>
      <c r="W2245">
        <v>3.6936770000000001E-2</v>
      </c>
      <c r="X2245">
        <v>0.99921909999999903</v>
      </c>
      <c r="Y2245">
        <v>4.596981E-2</v>
      </c>
      <c r="Z2245">
        <v>4.3134990000000002E-3</v>
      </c>
      <c r="AA2245">
        <v>0.99893349999999903</v>
      </c>
      <c r="AB2245">
        <v>29</v>
      </c>
      <c r="AC2245">
        <v>-0.56720000000001303</v>
      </c>
      <c r="AD2245">
        <v>-6.3108999999999998E-2</v>
      </c>
      <c r="AE2245">
        <v>1.9499999999993599E-2</v>
      </c>
      <c r="AF2245">
        <v>3.9328388819124899E-2</v>
      </c>
      <c r="AG2245">
        <v>-6.3108999999999998E-2</v>
      </c>
      <c r="AH2245">
        <v>0.55922197594701495</v>
      </c>
      <c r="AI2245">
        <v>96.4229388846597</v>
      </c>
      <c r="AJ2245">
        <v>85.977184659875604</v>
      </c>
      <c r="AK2245">
        <v>0.56414420712278202</v>
      </c>
    </row>
    <row r="2246" spans="1:37" x14ac:dyDescent="0.2">
      <c r="A2246" t="str">
        <f>"20200111155839759"</f>
        <v>20200111155839759</v>
      </c>
      <c r="B2246" t="str">
        <f>"1578729519753551"</f>
        <v>1578729519753551</v>
      </c>
      <c r="C2246" t="s">
        <v>37</v>
      </c>
      <c r="D2246">
        <v>4.8165239999999896</v>
      </c>
      <c r="E2246">
        <v>0.50035819999999998</v>
      </c>
      <c r="F2246" t="s">
        <v>38</v>
      </c>
      <c r="G2246">
        <v>-408.40679999999998</v>
      </c>
      <c r="H2246">
        <v>1.0390870000000001</v>
      </c>
      <c r="I2246">
        <v>285.03219999999999</v>
      </c>
      <c r="J2246">
        <v>-407.87509999999997</v>
      </c>
      <c r="K2246">
        <v>1.104406</v>
      </c>
      <c r="L2246">
        <v>285.01830000000001</v>
      </c>
      <c r="M2246">
        <v>-0.99926130000000002</v>
      </c>
      <c r="N2246">
        <v>0</v>
      </c>
      <c r="O2246">
        <v>-3.571643E-2</v>
      </c>
      <c r="P2246">
        <v>-0.99949440000000001</v>
      </c>
      <c r="Q2246">
        <v>2.3177130000000001E-2</v>
      </c>
      <c r="R2246">
        <v>-2.1766629999999999E-2</v>
      </c>
      <c r="S2246">
        <v>-3.0071409999999998</v>
      </c>
      <c r="T2246">
        <v>-0.238225299999999</v>
      </c>
      <c r="U2246">
        <v>1.037598E-2</v>
      </c>
      <c r="V2246">
        <v>1.3959360000000001E-2</v>
      </c>
      <c r="W2246">
        <v>3.7350380000000002E-2</v>
      </c>
      <c r="X2246">
        <v>0.9992048</v>
      </c>
      <c r="Y2246">
        <v>3.8934169999999997E-2</v>
      </c>
      <c r="Z2246">
        <v>4.3646559999999997E-3</v>
      </c>
      <c r="AA2246">
        <v>0.99923220000000001</v>
      </c>
      <c r="AB2246">
        <v>29</v>
      </c>
      <c r="AC2246">
        <v>-0.53169999999999995</v>
      </c>
      <c r="AD2246">
        <v>-6.5318999999999905E-2</v>
      </c>
      <c r="AE2246">
        <v>1.3899999999978201E-2</v>
      </c>
      <c r="AF2246">
        <v>3.2394897305533098E-2</v>
      </c>
      <c r="AG2246">
        <v>-6.5318999999999905E-2</v>
      </c>
      <c r="AH2246">
        <v>0.52297682362632203</v>
      </c>
      <c r="AI2246">
        <v>97.105808266775099</v>
      </c>
      <c r="AJ2246">
        <v>86.455440588183706</v>
      </c>
      <c r="AK2246">
        <v>0.52803480868472397</v>
      </c>
    </row>
    <row r="2247" spans="1:37" x14ac:dyDescent="0.2">
      <c r="A2247" t="str">
        <f>"20200111155839826"</f>
        <v>20200111155839826</v>
      </c>
      <c r="B2247" t="str">
        <f>"1578729519823822"</f>
        <v>1578729519823822</v>
      </c>
      <c r="C2247" t="s">
        <v>37</v>
      </c>
      <c r="D2247">
        <v>5.8972860000000003</v>
      </c>
      <c r="E2247">
        <v>0.49852429999999998</v>
      </c>
      <c r="F2247" t="s">
        <v>52</v>
      </c>
      <c r="G2247">
        <v>-423.08269999999999</v>
      </c>
      <c r="H2247" s="1">
        <v>3.4159959999999999E-6</v>
      </c>
      <c r="I2247">
        <v>284.63670000000002</v>
      </c>
      <c r="J2247">
        <v>-408.73899999999998</v>
      </c>
      <c r="K2247">
        <v>1.1044209999999901</v>
      </c>
      <c r="L2247">
        <v>284.988</v>
      </c>
      <c r="M2247">
        <v>-0.99927379999999999</v>
      </c>
      <c r="N2247">
        <v>0</v>
      </c>
      <c r="O2247">
        <v>-3.5369129999999999E-2</v>
      </c>
      <c r="P2247">
        <v>-0.99943660000000001</v>
      </c>
      <c r="Q2247">
        <v>2.4568039999999999E-2</v>
      </c>
      <c r="R2247">
        <v>-2.2876290000000001E-2</v>
      </c>
      <c r="S2247">
        <v>-3.0049130000000002</v>
      </c>
      <c r="T2247">
        <v>-0.2182212</v>
      </c>
      <c r="U2247">
        <v>-7.5408939999999994E-2</v>
      </c>
      <c r="V2247">
        <v>1.250126E-2</v>
      </c>
      <c r="W2247">
        <v>3.8731729999999999E-2</v>
      </c>
      <c r="X2247">
        <v>0.99917140000000004</v>
      </c>
      <c r="Y2247">
        <v>1.0170129999999999E-2</v>
      </c>
      <c r="Z2247">
        <v>2.9330909999999901E-3</v>
      </c>
      <c r="AA2247">
        <v>0.99994400000000006</v>
      </c>
      <c r="AB2247">
        <v>29</v>
      </c>
      <c r="AC2247">
        <v>-14.343699999999901</v>
      </c>
      <c r="AD2247">
        <v>-1.10441758400399</v>
      </c>
      <c r="AE2247">
        <v>-0.35129999999998002</v>
      </c>
      <c r="AF2247">
        <v>0.15537442064027099</v>
      </c>
      <c r="AG2247">
        <v>-1.10441758400399</v>
      </c>
      <c r="AH2247">
        <v>14.262644718767</v>
      </c>
      <c r="AI2247">
        <v>94.427559870113697</v>
      </c>
      <c r="AJ2247">
        <v>89.375855839660105</v>
      </c>
      <c r="AK2247">
        <v>14.3061844593245</v>
      </c>
    </row>
    <row r="2248" spans="1:37" x14ac:dyDescent="0.2">
      <c r="A2248" t="str">
        <f>"20200111155839849"</f>
        <v>20200111155839849</v>
      </c>
      <c r="B2248" t="str">
        <f>"1578729519843342"</f>
        <v>1578729519843342</v>
      </c>
      <c r="C2248" t="s">
        <v>37</v>
      </c>
      <c r="D2248">
        <v>5.7820859999999996</v>
      </c>
      <c r="E2248">
        <v>0.49626350000000002</v>
      </c>
      <c r="F2248" t="s">
        <v>38</v>
      </c>
      <c r="G2248">
        <v>-409.71</v>
      </c>
      <c r="H2248">
        <v>1.042481</v>
      </c>
      <c r="I2248">
        <v>284.95839999999998</v>
      </c>
      <c r="J2248">
        <v>-409.03640000000001</v>
      </c>
      <c r="K2248">
        <v>1.1044240000000001</v>
      </c>
      <c r="L2248">
        <v>284.97750000000002</v>
      </c>
      <c r="M2248">
        <v>-0.999278</v>
      </c>
      <c r="N2248">
        <v>0</v>
      </c>
      <c r="O2248">
        <v>-3.525027E-2</v>
      </c>
      <c r="P2248">
        <v>-0.99940130000000005</v>
      </c>
      <c r="Q2248">
        <v>2.492304E-2</v>
      </c>
      <c r="R2248">
        <v>-2.4002849999999999E-2</v>
      </c>
      <c r="S2248">
        <v>-3.0042719999999998</v>
      </c>
      <c r="T2248">
        <v>-0.19179789999999999</v>
      </c>
      <c r="U2248">
        <v>-9.2407230000000007E-2</v>
      </c>
      <c r="V2248">
        <v>1.125541E-2</v>
      </c>
      <c r="W2248">
        <v>3.9084319999999999E-2</v>
      </c>
      <c r="X2248">
        <v>0.99917250000000002</v>
      </c>
      <c r="Y2248">
        <v>4.4315140000000001E-3</v>
      </c>
      <c r="Z2248">
        <v>2.3884710000000001E-3</v>
      </c>
      <c r="AA2248">
        <v>0.99998729999999902</v>
      </c>
      <c r="AB2248">
        <v>29</v>
      </c>
      <c r="AC2248">
        <v>-0.67359999999996401</v>
      </c>
      <c r="AD2248">
        <v>-6.1942999999999998E-2</v>
      </c>
      <c r="AE2248">
        <v>-1.9100000000037198E-2</v>
      </c>
      <c r="AF2248">
        <v>4.6198050031710496E-3</v>
      </c>
      <c r="AG2248">
        <v>-6.1942999999999998E-2</v>
      </c>
      <c r="AH2248">
        <v>0.66820860009010696</v>
      </c>
      <c r="AI2248">
        <v>95.296062307526</v>
      </c>
      <c r="AJ2248">
        <v>89.603879519797502</v>
      </c>
      <c r="AK2248">
        <v>0.67108942107713798</v>
      </c>
    </row>
    <row r="2249" spans="1:37" x14ac:dyDescent="0.2">
      <c r="A2249" t="str">
        <f>"20200111155839916"</f>
        <v>20200111155839916</v>
      </c>
      <c r="B2249" t="str">
        <f>"1578729519913148"</f>
        <v>1578729519913148</v>
      </c>
      <c r="C2249" t="s">
        <v>37</v>
      </c>
      <c r="D2249">
        <v>5.8197549999999998</v>
      </c>
      <c r="E2249">
        <v>0.49675629999999998</v>
      </c>
      <c r="F2249" t="s">
        <v>52</v>
      </c>
      <c r="G2249">
        <v>-426.53910000000002</v>
      </c>
      <c r="H2249" s="1">
        <v>2.8310219999999998E-6</v>
      </c>
      <c r="I2249">
        <v>284.315</v>
      </c>
      <c r="J2249">
        <v>-409.88959999999997</v>
      </c>
      <c r="K2249">
        <v>1.1044240000000001</v>
      </c>
      <c r="L2249">
        <v>284.9479</v>
      </c>
      <c r="M2249">
        <v>-0.99929029999999996</v>
      </c>
      <c r="N2249">
        <v>0</v>
      </c>
      <c r="O2249">
        <v>-3.4907029999999999E-2</v>
      </c>
      <c r="P2249">
        <v>-0.99934149999999999</v>
      </c>
      <c r="Q2249">
        <v>2.5125310000000001E-2</v>
      </c>
      <c r="R2249">
        <v>-2.6182469999999999E-2</v>
      </c>
      <c r="S2249">
        <v>-3.0038149999999999</v>
      </c>
      <c r="T2249">
        <v>-0.18954079999999901</v>
      </c>
      <c r="U2249">
        <v>-0.1137085</v>
      </c>
      <c r="V2249">
        <v>8.7315250000000004E-3</v>
      </c>
      <c r="W2249">
        <v>3.9278720000000003E-2</v>
      </c>
      <c r="X2249">
        <v>0.99919020000000003</v>
      </c>
      <c r="Y2249">
        <v>-2.9823699999999998E-3</v>
      </c>
      <c r="Z2249">
        <v>2.105216E-3</v>
      </c>
      <c r="AA2249">
        <v>0.99999329999999997</v>
      </c>
      <c r="AB2249">
        <v>29</v>
      </c>
      <c r="AC2249">
        <v>-16.6495</v>
      </c>
      <c r="AD2249">
        <v>-1.1044211689779999</v>
      </c>
      <c r="AE2249">
        <v>-0.63290000000000601</v>
      </c>
      <c r="AF2249">
        <v>-5.1047081924496002E-2</v>
      </c>
      <c r="AG2249">
        <v>-1.1044211689779999</v>
      </c>
      <c r="AH2249">
        <v>16.588559277140501</v>
      </c>
      <c r="AI2249">
        <v>93.808958050838001</v>
      </c>
      <c r="AJ2249">
        <v>90.176312666452802</v>
      </c>
      <c r="AK2249">
        <v>16.625361674690399</v>
      </c>
    </row>
    <row r="2250" spans="1:37" x14ac:dyDescent="0.2">
      <c r="A2250" t="str">
        <f>"20200111155839938"</f>
        <v>20200111155839938</v>
      </c>
      <c r="B2250" t="str">
        <f>"1578729519933644"</f>
        <v>1578729519933644</v>
      </c>
      <c r="C2250" t="s">
        <v>37</v>
      </c>
      <c r="D2250">
        <v>5.7897949999999998</v>
      </c>
      <c r="E2250">
        <v>0.49768679999999899</v>
      </c>
      <c r="F2250" t="s">
        <v>52</v>
      </c>
      <c r="G2250">
        <v>-427.58089999999999</v>
      </c>
      <c r="H2250" s="1">
        <v>2.6506289999999998E-6</v>
      </c>
      <c r="I2250">
        <v>284.26459999999997</v>
      </c>
      <c r="J2250">
        <v>-410.17520000000002</v>
      </c>
      <c r="K2250">
        <v>1.1044229999999999</v>
      </c>
      <c r="L2250">
        <v>284.93810000000002</v>
      </c>
      <c r="M2250">
        <v>-0.99929429999999997</v>
      </c>
      <c r="N2250">
        <v>0</v>
      </c>
      <c r="O2250">
        <v>-3.4791259999999997E-2</v>
      </c>
      <c r="P2250">
        <v>-0.99931909999999902</v>
      </c>
      <c r="Q2250">
        <v>2.5372530000000001E-2</v>
      </c>
      <c r="R2250">
        <v>-2.679426E-2</v>
      </c>
      <c r="S2250">
        <v>-3.0036930000000002</v>
      </c>
      <c r="T2250">
        <v>-0.18751319999999999</v>
      </c>
      <c r="U2250">
        <v>-0.1160278</v>
      </c>
      <c r="V2250">
        <v>8.003741E-3</v>
      </c>
      <c r="W2250">
        <v>3.9522670000000003E-2</v>
      </c>
      <c r="X2250">
        <v>0.99918660000000004</v>
      </c>
      <c r="Y2250">
        <v>-3.8674999999999998E-3</v>
      </c>
      <c r="Z2250">
        <v>2.0479819999999998E-3</v>
      </c>
      <c r="AA2250">
        <v>0.99999039999999995</v>
      </c>
      <c r="AB2250">
        <v>29</v>
      </c>
      <c r="AC2250">
        <v>-17.4056999999999</v>
      </c>
      <c r="AD2250">
        <v>-1.1044203493709901</v>
      </c>
      <c r="AE2250">
        <v>-0.67350000000004595</v>
      </c>
      <c r="AF2250">
        <v>-6.7195109033445902E-2</v>
      </c>
      <c r="AG2250">
        <v>-1.1044203493709901</v>
      </c>
      <c r="AH2250">
        <v>17.348850767146001</v>
      </c>
      <c r="AI2250">
        <v>93.642482172095001</v>
      </c>
      <c r="AJ2250">
        <v>90.221915385146403</v>
      </c>
      <c r="AK2250">
        <v>17.384098551017399</v>
      </c>
    </row>
    <row r="2251" spans="1:37" x14ac:dyDescent="0.2">
      <c r="A2251" t="str">
        <f>"20200111155839960"</f>
        <v>20200111155839960</v>
      </c>
      <c r="B2251" t="str">
        <f>"1578729519953163"</f>
        <v>1578729519953163</v>
      </c>
      <c r="C2251" t="s">
        <v>37</v>
      </c>
      <c r="D2251">
        <v>5.891019</v>
      </c>
      <c r="E2251">
        <v>0.49837959999999898</v>
      </c>
      <c r="F2251" t="s">
        <v>52</v>
      </c>
      <c r="G2251">
        <v>-427.55029999999999</v>
      </c>
      <c r="H2251" s="1">
        <v>2.6530179999999999E-6</v>
      </c>
      <c r="I2251">
        <v>284.29930000000002</v>
      </c>
      <c r="J2251">
        <v>-410.46039999999999</v>
      </c>
      <c r="K2251">
        <v>1.10442</v>
      </c>
      <c r="L2251">
        <v>284.92829999999998</v>
      </c>
      <c r="M2251">
        <v>-0.99929849999999998</v>
      </c>
      <c r="N2251">
        <v>0</v>
      </c>
      <c r="O2251">
        <v>-3.4673450000000001E-2</v>
      </c>
      <c r="P2251">
        <v>-0.99929889999999999</v>
      </c>
      <c r="Q2251">
        <v>2.5536690000000001E-2</v>
      </c>
      <c r="R2251">
        <v>-2.7377849999999999E-2</v>
      </c>
      <c r="S2251">
        <v>-3.0039669999999998</v>
      </c>
      <c r="T2251">
        <v>-0.1909428</v>
      </c>
      <c r="U2251">
        <v>-0.1104431</v>
      </c>
      <c r="V2251">
        <v>7.3017899999999998E-3</v>
      </c>
      <c r="W2251">
        <v>3.9684199999999899E-2</v>
      </c>
      <c r="X2251">
        <v>0.99918560000000001</v>
      </c>
      <c r="Y2251">
        <v>-2.1308719999999998E-3</v>
      </c>
      <c r="Z2251">
        <v>2.1329109999999999E-3</v>
      </c>
      <c r="AA2251">
        <v>0.99999550000000004</v>
      </c>
      <c r="AB2251">
        <v>29</v>
      </c>
      <c r="AC2251">
        <v>-17.0899</v>
      </c>
      <c r="AD2251">
        <v>-1.104417346982</v>
      </c>
      <c r="AE2251">
        <v>-0.62899999999996203</v>
      </c>
      <c r="AF2251">
        <v>-3.5847063768149903E-2</v>
      </c>
      <c r="AG2251">
        <v>-1.104417346982</v>
      </c>
      <c r="AH2251">
        <v>17.030406318355698</v>
      </c>
      <c r="AI2251">
        <v>93.710412399722102</v>
      </c>
      <c r="AJ2251">
        <v>90.120600905826194</v>
      </c>
      <c r="AK2251">
        <v>17.066216981410498</v>
      </c>
    </row>
    <row r="2252" spans="1:37" x14ac:dyDescent="0.2">
      <c r="A2252" t="str">
        <f>"20200111155839983"</f>
        <v>20200111155839983</v>
      </c>
      <c r="B2252" t="str">
        <f>"1578729519973660"</f>
        <v>1578729519973660</v>
      </c>
      <c r="C2252" t="s">
        <v>37</v>
      </c>
      <c r="D2252">
        <v>5.9385839999999996</v>
      </c>
      <c r="E2252">
        <v>0.54487369999999902</v>
      </c>
      <c r="F2252" t="s">
        <v>52</v>
      </c>
      <c r="G2252">
        <v>-427.12529999999998</v>
      </c>
      <c r="H2252" s="1">
        <v>2.7251069999999999E-6</v>
      </c>
      <c r="I2252">
        <v>284.33699999999999</v>
      </c>
      <c r="J2252">
        <v>-410.74610000000001</v>
      </c>
      <c r="K2252">
        <v>1.1044129999999901</v>
      </c>
      <c r="L2252">
        <v>284.91849999999999</v>
      </c>
      <c r="M2252">
        <v>-0.99930289999999999</v>
      </c>
      <c r="N2252">
        <v>0</v>
      </c>
      <c r="O2252">
        <v>-3.4549759999999999E-2</v>
      </c>
      <c r="P2252">
        <v>-0.99927679999999997</v>
      </c>
      <c r="Q2252">
        <v>2.6076129999999999E-2</v>
      </c>
      <c r="R2252">
        <v>-2.7685910000000001E-2</v>
      </c>
      <c r="S2252">
        <v>-3.0042719999999998</v>
      </c>
      <c r="T2252">
        <v>-0.19909879999999999</v>
      </c>
      <c r="U2252">
        <v>-0.1065979</v>
      </c>
      <c r="V2252">
        <v>6.8699429999999999E-3</v>
      </c>
      <c r="W2252">
        <v>4.0220680000000002E-2</v>
      </c>
      <c r="X2252">
        <v>0.99916719999999903</v>
      </c>
      <c r="Y2252">
        <v>-9.8063050000000008E-4</v>
      </c>
      <c r="Z2252">
        <v>2.253541E-3</v>
      </c>
      <c r="AA2252">
        <v>0.99999699999999903</v>
      </c>
      <c r="AB2252">
        <v>29</v>
      </c>
      <c r="AC2252">
        <v>-16.379199999999901</v>
      </c>
      <c r="AD2252">
        <v>-1.10441027489299</v>
      </c>
      <c r="AE2252">
        <v>-0.58150000000000501</v>
      </c>
      <c r="AF2252">
        <v>-1.51300257192882E-2</v>
      </c>
      <c r="AG2252">
        <v>-1.10441027489299</v>
      </c>
      <c r="AH2252">
        <v>16.315427583309098</v>
      </c>
      <c r="AI2252">
        <v>93.872508789288503</v>
      </c>
      <c r="AJ2252">
        <v>90.053132923713704</v>
      </c>
      <c r="AK2252">
        <v>16.3527712697014</v>
      </c>
    </row>
    <row r="2253" spans="1:37" x14ac:dyDescent="0.2">
      <c r="A2253" t="str">
        <f>"20200111155840005"</f>
        <v>20200111155840005</v>
      </c>
      <c r="B2253" t="str">
        <f>"1578729520002941"</f>
        <v>1578729520002941</v>
      </c>
      <c r="C2253" t="s">
        <v>37</v>
      </c>
      <c r="D2253">
        <v>6.1976250000000004</v>
      </c>
      <c r="E2253">
        <v>0.54534989999999905</v>
      </c>
      <c r="F2253" t="s">
        <v>38</v>
      </c>
      <c r="G2253">
        <v>-411.49919999999997</v>
      </c>
      <c r="H2253">
        <v>1.0385709999999999</v>
      </c>
      <c r="I2253">
        <v>284.98379999999997</v>
      </c>
      <c r="J2253">
        <v>-411.03519999999997</v>
      </c>
      <c r="K2253">
        <v>1.104414</v>
      </c>
      <c r="L2253">
        <v>284.90859999999998</v>
      </c>
      <c r="M2253">
        <v>-0.99930750000000002</v>
      </c>
      <c r="N2253">
        <v>0</v>
      </c>
      <c r="O2253">
        <v>-3.4413869999999999E-2</v>
      </c>
      <c r="P2253">
        <v>-0.99923499999999998</v>
      </c>
      <c r="Q2253">
        <v>2.6582519999999998E-2</v>
      </c>
      <c r="R2253">
        <v>-2.8681499999999999E-2</v>
      </c>
      <c r="S2253">
        <v>-3.0162659999999999</v>
      </c>
      <c r="T2253">
        <v>-0.26389829999999997</v>
      </c>
      <c r="U2253">
        <v>0.2606812</v>
      </c>
      <c r="V2253">
        <v>5.7382369999999898E-3</v>
      </c>
      <c r="W2253">
        <v>4.0723809999999999E-2</v>
      </c>
      <c r="X2253">
        <v>0.99915399999999999</v>
      </c>
      <c r="Y2253">
        <v>0.11975760000000001</v>
      </c>
      <c r="Z2253">
        <v>8.2198369999999903E-3</v>
      </c>
      <c r="AA2253">
        <v>0.99276909999999896</v>
      </c>
      <c r="AB2253">
        <v>29</v>
      </c>
      <c r="AC2253">
        <v>-0.46399999999999803</v>
      </c>
      <c r="AD2253">
        <v>-6.5843000000000096E-2</v>
      </c>
      <c r="AE2253">
        <v>7.5199999999995201E-2</v>
      </c>
      <c r="AF2253">
        <v>8.9371515320094297E-2</v>
      </c>
      <c r="AG2253">
        <v>-6.5843000000000096E-2</v>
      </c>
      <c r="AH2253">
        <v>0.452263026101691</v>
      </c>
      <c r="AI2253">
        <v>98.128226680716693</v>
      </c>
      <c r="AJ2253">
        <v>78.821820049205101</v>
      </c>
      <c r="AK2253">
        <v>0.46568703350884599</v>
      </c>
    </row>
    <row r="2254" spans="1:37" x14ac:dyDescent="0.2">
      <c r="A2254" t="str">
        <f>"20200111155840028"</f>
        <v>20200111155840028</v>
      </c>
      <c r="B2254" t="str">
        <f>"1578729520023437"</f>
        <v>1578729520023437</v>
      </c>
      <c r="C2254" t="s">
        <v>37</v>
      </c>
      <c r="D2254">
        <v>6.1650999999999998</v>
      </c>
      <c r="E2254">
        <v>0.54889330000000003</v>
      </c>
      <c r="F2254" t="s">
        <v>38</v>
      </c>
      <c r="G2254">
        <v>-412.00189999999998</v>
      </c>
      <c r="H2254">
        <v>1.019595</v>
      </c>
      <c r="I2254">
        <v>284.99310000000003</v>
      </c>
      <c r="J2254">
        <v>-411.3211</v>
      </c>
      <c r="K2254">
        <v>1.104403</v>
      </c>
      <c r="L2254">
        <v>284.89890000000003</v>
      </c>
      <c r="M2254">
        <v>-0.99931270000000005</v>
      </c>
      <c r="N2254">
        <v>0</v>
      </c>
      <c r="O2254">
        <v>-3.4261439999999997E-2</v>
      </c>
      <c r="P2254">
        <v>-0.99919780000000002</v>
      </c>
      <c r="Q2254">
        <v>2.7370220000000001E-2</v>
      </c>
      <c r="R2254">
        <v>-2.923566E-2</v>
      </c>
      <c r="S2254">
        <v>-3.0168149999999998</v>
      </c>
      <c r="T2254">
        <v>-0.26492319999999903</v>
      </c>
      <c r="U2254">
        <v>0.26184079999999998</v>
      </c>
      <c r="V2254">
        <v>5.0321330000000003E-3</v>
      </c>
      <c r="W2254">
        <v>4.1508490000000002E-2</v>
      </c>
      <c r="X2254">
        <v>0.999125499999999</v>
      </c>
      <c r="Y2254">
        <v>0.119965</v>
      </c>
      <c r="Z2254">
        <v>8.2457450000000005E-3</v>
      </c>
      <c r="AA2254">
        <v>0.99274390000000001</v>
      </c>
      <c r="AB2254">
        <v>29</v>
      </c>
      <c r="AC2254">
        <v>-0.68079999999997598</v>
      </c>
      <c r="AD2254">
        <v>-8.4807999999999995E-2</v>
      </c>
      <c r="AE2254">
        <v>9.42000000000007E-2</v>
      </c>
      <c r="AF2254">
        <v>0.11571035206166</v>
      </c>
      <c r="AG2254">
        <v>-8.4807999999999995E-2</v>
      </c>
      <c r="AH2254">
        <v>0.667016191062893</v>
      </c>
      <c r="AI2254">
        <v>97.140492748948105</v>
      </c>
      <c r="AJ2254">
        <v>80.158579565557005</v>
      </c>
      <c r="AK2254">
        <v>0.68226965459287703</v>
      </c>
    </row>
    <row r="2255" spans="1:37" x14ac:dyDescent="0.2">
      <c r="A2255" t="str">
        <f>"20200111155840049"</f>
        <v>20200111155840049</v>
      </c>
      <c r="B2255" t="str">
        <f>"1578729520042956"</f>
        <v>1578729520042956</v>
      </c>
      <c r="C2255" t="s">
        <v>37</v>
      </c>
      <c r="D2255">
        <v>5.9111269999999996</v>
      </c>
      <c r="E2255">
        <v>0.54926759999999997</v>
      </c>
      <c r="F2255" t="s">
        <v>50</v>
      </c>
      <c r="G2255">
        <v>-444.02809999999999</v>
      </c>
      <c r="H2255" s="1">
        <v>4.5445180000000001E-7</v>
      </c>
      <c r="I2255">
        <v>288.10109999999997</v>
      </c>
      <c r="J2255">
        <v>-411.60559999999998</v>
      </c>
      <c r="K2255">
        <v>1.1043889999999901</v>
      </c>
      <c r="L2255">
        <v>284.88929999999999</v>
      </c>
      <c r="M2255">
        <v>-0.9993185</v>
      </c>
      <c r="N2255">
        <v>0</v>
      </c>
      <c r="O2255">
        <v>-3.4093360000000003E-2</v>
      </c>
      <c r="P2255">
        <v>-0.99918119999999999</v>
      </c>
      <c r="Q2255">
        <v>2.7497779999999999E-2</v>
      </c>
      <c r="R2255">
        <v>-2.9676279999999999E-2</v>
      </c>
      <c r="S2255">
        <v>-3.0137939999999999</v>
      </c>
      <c r="T2255">
        <v>-0.10176549999999999</v>
      </c>
      <c r="U2255">
        <v>0.29507449999999902</v>
      </c>
      <c r="V2255">
        <v>4.4242629999999899E-3</v>
      </c>
      <c r="W2255">
        <v>4.1632839999999997E-2</v>
      </c>
      <c r="X2255">
        <v>0.99912319999999999</v>
      </c>
      <c r="Y2255">
        <v>0.1312265</v>
      </c>
      <c r="Z2255">
        <v>3.3581969999999998E-3</v>
      </c>
      <c r="AA2255">
        <v>0.99134669999999903</v>
      </c>
      <c r="AB2255">
        <v>29</v>
      </c>
      <c r="AC2255">
        <v>-32.422499999999999</v>
      </c>
      <c r="AD2255">
        <v>-1.1043885455482001</v>
      </c>
      <c r="AE2255">
        <v>3.2117999999999798</v>
      </c>
      <c r="AF2255">
        <v>4.31048244507571</v>
      </c>
      <c r="AG2255">
        <v>-1.1043885455482001</v>
      </c>
      <c r="AH2255">
        <v>32.257072963117203</v>
      </c>
      <c r="AI2255">
        <v>91.943612187903099</v>
      </c>
      <c r="AJ2255">
        <v>82.388709163936596</v>
      </c>
      <c r="AK2255">
        <v>32.562535053596598</v>
      </c>
    </row>
    <row r="2256" spans="1:37" x14ac:dyDescent="0.2">
      <c r="A2256" t="str">
        <f>"20200111155840072"</f>
        <v>20200111155840072</v>
      </c>
      <c r="B2256" t="str">
        <f>"1578729520063452"</f>
        <v>1578729520063452</v>
      </c>
      <c r="C2256" t="s">
        <v>37</v>
      </c>
      <c r="D2256">
        <v>5.92326</v>
      </c>
      <c r="E2256">
        <v>0.54713840000000002</v>
      </c>
      <c r="F2256" t="s">
        <v>50</v>
      </c>
      <c r="G2256">
        <v>-440.55369999999999</v>
      </c>
      <c r="H2256" s="1">
        <v>-1.378354E-6</v>
      </c>
      <c r="I2256">
        <v>287.73239999999998</v>
      </c>
      <c r="J2256">
        <v>-411.88490000000002</v>
      </c>
      <c r="K2256">
        <v>1.1043750000000001</v>
      </c>
      <c r="L2256">
        <v>284.87990000000002</v>
      </c>
      <c r="M2256">
        <v>-0.99932509999999997</v>
      </c>
      <c r="N2256">
        <v>0</v>
      </c>
      <c r="O2256">
        <v>-3.3905690000000002E-2</v>
      </c>
      <c r="P2256">
        <v>-0.99917509999999998</v>
      </c>
      <c r="Q2256">
        <v>2.7863079999999998E-2</v>
      </c>
      <c r="R2256">
        <v>-2.9551069999999999E-2</v>
      </c>
      <c r="S2256">
        <v>-3.0144039999999999</v>
      </c>
      <c r="T2256">
        <v>-0.1150016</v>
      </c>
      <c r="U2256">
        <v>0.29605100000000001</v>
      </c>
      <c r="V2256">
        <v>4.3634340000000002E-3</v>
      </c>
      <c r="W2256">
        <v>4.1994919999999998E-2</v>
      </c>
      <c r="X2256">
        <v>0.99910829999999995</v>
      </c>
      <c r="Y2256">
        <v>0.13131319999999999</v>
      </c>
      <c r="Z2256">
        <v>3.7883650000000001E-3</v>
      </c>
      <c r="AA2256">
        <v>0.99133369999999998</v>
      </c>
      <c r="AB2256">
        <v>29</v>
      </c>
      <c r="AC2256">
        <v>-28.668799999999901</v>
      </c>
      <c r="AD2256">
        <v>-1.1043763783539999</v>
      </c>
      <c r="AE2256">
        <v>2.8524999999999601</v>
      </c>
      <c r="AF2256">
        <v>3.8173829099048699</v>
      </c>
      <c r="AG2256">
        <v>-1.1043763783539999</v>
      </c>
      <c r="AH2256">
        <v>28.513689851265699</v>
      </c>
      <c r="AI2256">
        <v>92.198444612430393</v>
      </c>
      <c r="AJ2256">
        <v>82.374643247778906</v>
      </c>
      <c r="AK2256">
        <v>28.789278705797301</v>
      </c>
    </row>
    <row r="2257" spans="1:37" x14ac:dyDescent="0.2">
      <c r="A2257" t="str">
        <f>"20200111155840094"</f>
        <v>20200111155840094</v>
      </c>
      <c r="B2257" t="str">
        <f>"1578729520082972"</f>
        <v>1578729520082972</v>
      </c>
      <c r="C2257" t="s">
        <v>37</v>
      </c>
      <c r="D2257">
        <v>5.9698669999999998</v>
      </c>
      <c r="E2257">
        <v>0.5469792</v>
      </c>
      <c r="F2257" t="s">
        <v>38</v>
      </c>
      <c r="G2257">
        <v>-412.76799999999997</v>
      </c>
      <c r="H2257">
        <v>1.0247489999999999</v>
      </c>
      <c r="I2257">
        <v>284.95999999999998</v>
      </c>
      <c r="J2257">
        <v>-412.16980000000001</v>
      </c>
      <c r="K2257">
        <v>1.104366</v>
      </c>
      <c r="L2257">
        <v>284.87049999999999</v>
      </c>
      <c r="M2257">
        <v>-0.99933240000000001</v>
      </c>
      <c r="N2257">
        <v>0</v>
      </c>
      <c r="O2257">
        <v>-3.3683739999999997E-2</v>
      </c>
      <c r="P2257">
        <v>-0.99913980000000002</v>
      </c>
      <c r="Q2257">
        <v>2.8962950000000001E-2</v>
      </c>
      <c r="R2257">
        <v>-2.967972E-2</v>
      </c>
      <c r="S2257">
        <v>-3.0181580000000001</v>
      </c>
      <c r="T2257">
        <v>-0.27227390000000001</v>
      </c>
      <c r="U2257">
        <v>0.27322390000000002</v>
      </c>
      <c r="V2257">
        <v>4.0141049999999996E-3</v>
      </c>
      <c r="W2257">
        <v>4.3091129999999998E-2</v>
      </c>
      <c r="X2257">
        <v>0.99906309999999998</v>
      </c>
      <c r="Y2257">
        <v>0.1230251</v>
      </c>
      <c r="Z2257">
        <v>8.5540819999999993E-3</v>
      </c>
      <c r="AA2257">
        <v>0.99236669999999905</v>
      </c>
      <c r="AB2257">
        <v>28</v>
      </c>
      <c r="AC2257">
        <v>-0.59820000000001905</v>
      </c>
      <c r="AD2257">
        <v>-7.9616999999999993E-2</v>
      </c>
      <c r="AE2257">
        <v>8.9499999999986798E-2</v>
      </c>
      <c r="AF2257">
        <v>0.107734203414367</v>
      </c>
      <c r="AG2257">
        <v>-7.9616999999999993E-2</v>
      </c>
      <c r="AH2257">
        <v>0.58471457489610201</v>
      </c>
      <c r="AI2257">
        <v>97.627094735893607</v>
      </c>
      <c r="AJ2257">
        <v>79.560285756345493</v>
      </c>
      <c r="AK2257">
        <v>0.59986386736513597</v>
      </c>
    </row>
    <row r="2258" spans="1:37" x14ac:dyDescent="0.2">
      <c r="A2258" t="str">
        <f>"20200111155840118"</f>
        <v>20200111155840118</v>
      </c>
      <c r="B2258" t="str">
        <f>"1578729520113228"</f>
        <v>1578729520113228</v>
      </c>
      <c r="C2258" t="s">
        <v>37</v>
      </c>
      <c r="D2258">
        <v>5.920388</v>
      </c>
      <c r="E2258">
        <v>0.54788859999999995</v>
      </c>
      <c r="F2258" t="s">
        <v>38</v>
      </c>
      <c r="G2258">
        <v>-413.02370000000002</v>
      </c>
      <c r="H2258">
        <v>1.028373</v>
      </c>
      <c r="I2258">
        <v>284.9479</v>
      </c>
      <c r="J2258">
        <v>-412.46390000000002</v>
      </c>
      <c r="K2258">
        <v>1.1043430000000001</v>
      </c>
      <c r="L2258">
        <v>284.86090000000002</v>
      </c>
      <c r="M2258">
        <v>-0.99934159999999905</v>
      </c>
      <c r="N2258">
        <v>0</v>
      </c>
      <c r="O2258">
        <v>-3.3417120000000002E-2</v>
      </c>
      <c r="P2258">
        <v>-0.99912129999999999</v>
      </c>
      <c r="Q2258">
        <v>3.0145970000000001E-2</v>
      </c>
      <c r="R2258">
        <v>-2.912932E-2</v>
      </c>
      <c r="S2258">
        <v>-3.0184630000000001</v>
      </c>
      <c r="T2258">
        <v>-0.26882339999999999</v>
      </c>
      <c r="U2258">
        <v>0.2721558</v>
      </c>
      <c r="V2258">
        <v>4.3001860000000001E-3</v>
      </c>
      <c r="W2258">
        <v>4.4270169999999998E-2</v>
      </c>
      <c r="X2258">
        <v>0.99901030000000002</v>
      </c>
      <c r="Y2258">
        <v>0.122422399999999</v>
      </c>
      <c r="Z2258">
        <v>8.3949929999999999E-3</v>
      </c>
      <c r="AA2258">
        <v>0.99244259999999995</v>
      </c>
      <c r="AB2258">
        <v>28</v>
      </c>
      <c r="AC2258">
        <v>-0.55979999999999497</v>
      </c>
      <c r="AD2258">
        <v>-7.5969999999999996E-2</v>
      </c>
      <c r="AE2258">
        <v>8.6999999999989003E-2</v>
      </c>
      <c r="AF2258">
        <v>0.10379368661662</v>
      </c>
      <c r="AG2258">
        <v>-7.5969999999999996E-2</v>
      </c>
      <c r="AH2258">
        <v>0.546747734369053</v>
      </c>
      <c r="AI2258">
        <v>97.773446517792493</v>
      </c>
      <c r="AJ2258">
        <v>79.250972451182193</v>
      </c>
      <c r="AK2258">
        <v>0.56167397600312796</v>
      </c>
    </row>
    <row r="2259" spans="1:37" x14ac:dyDescent="0.2">
      <c r="A2259" t="str">
        <f>"20200111155840139"</f>
        <v>20200111155840139</v>
      </c>
      <c r="B2259" t="str">
        <f>"1578729520133724"</f>
        <v>1578729520133724</v>
      </c>
      <c r="C2259" t="s">
        <v>37</v>
      </c>
      <c r="D2259">
        <v>6.1338800000000004</v>
      </c>
      <c r="E2259">
        <v>0.54781389999999996</v>
      </c>
      <c r="F2259" t="s">
        <v>38</v>
      </c>
      <c r="G2259">
        <v>-413.27969999999999</v>
      </c>
      <c r="H2259">
        <v>1.032921</v>
      </c>
      <c r="I2259">
        <v>284.93700000000001</v>
      </c>
      <c r="J2259">
        <v>-412.74380000000002</v>
      </c>
      <c r="K2259">
        <v>1.1043160000000001</v>
      </c>
      <c r="L2259">
        <v>284.8519</v>
      </c>
      <c r="M2259">
        <v>-0.9993514</v>
      </c>
      <c r="N2259">
        <v>0</v>
      </c>
      <c r="O2259">
        <v>-3.3124819999999999E-2</v>
      </c>
      <c r="P2259">
        <v>-0.99914130000000001</v>
      </c>
      <c r="Q2259">
        <v>3.0120859999999999E-2</v>
      </c>
      <c r="R2259">
        <v>-2.8453180000000002E-2</v>
      </c>
      <c r="S2259">
        <v>-3.018799</v>
      </c>
      <c r="T2259">
        <v>-0.26438859999999997</v>
      </c>
      <c r="U2259">
        <v>0.28115839999999998</v>
      </c>
      <c r="V2259">
        <v>4.6872399999999996E-3</v>
      </c>
      <c r="W2259">
        <v>4.4242070000000001E-2</v>
      </c>
      <c r="X2259">
        <v>0.99900979999999995</v>
      </c>
      <c r="Y2259">
        <v>0.12506819999999999</v>
      </c>
      <c r="Z2259">
        <v>8.3449230000000006E-3</v>
      </c>
      <c r="AA2259">
        <v>0.99211309999999997</v>
      </c>
      <c r="AB2259">
        <v>28</v>
      </c>
      <c r="AC2259">
        <v>-0.53589999999996896</v>
      </c>
      <c r="AD2259">
        <v>-7.1395000000000097E-2</v>
      </c>
      <c r="AE2259">
        <v>8.5100000000011194E-2</v>
      </c>
      <c r="AF2259">
        <v>0.101057130447562</v>
      </c>
      <c r="AG2259">
        <v>-7.1395000000000097E-2</v>
      </c>
      <c r="AH2259">
        <v>0.52371990292595805</v>
      </c>
      <c r="AI2259">
        <v>97.623936043316704</v>
      </c>
      <c r="AJ2259">
        <v>79.078421177192794</v>
      </c>
      <c r="AK2259">
        <v>0.53813783212116795</v>
      </c>
    </row>
    <row r="2260" spans="1:37" x14ac:dyDescent="0.2">
      <c r="A2260" t="str">
        <f>"20200111155840162"</f>
        <v>20200111155840162</v>
      </c>
      <c r="B2260" t="str">
        <f>"1578729520153245"</f>
        <v>1578729520153245</v>
      </c>
      <c r="C2260" t="s">
        <v>37</v>
      </c>
      <c r="D2260">
        <v>5.917586</v>
      </c>
      <c r="E2260">
        <v>0.54803789999999997</v>
      </c>
      <c r="F2260" t="s">
        <v>38</v>
      </c>
      <c r="G2260">
        <v>-413.53440000000001</v>
      </c>
      <c r="H2260">
        <v>1.035633</v>
      </c>
      <c r="I2260">
        <v>284.92599999999999</v>
      </c>
      <c r="J2260">
        <v>-413.0224</v>
      </c>
      <c r="K2260">
        <v>1.10429</v>
      </c>
      <c r="L2260">
        <v>284.84300000000002</v>
      </c>
      <c r="M2260">
        <v>-0.99936229999999904</v>
      </c>
      <c r="N2260">
        <v>0</v>
      </c>
      <c r="O2260">
        <v>-3.2794829999999997E-2</v>
      </c>
      <c r="P2260">
        <v>-0.99917109999999998</v>
      </c>
      <c r="Q2260">
        <v>2.967966E-2</v>
      </c>
      <c r="R2260">
        <v>-2.786516E-2</v>
      </c>
      <c r="S2260">
        <v>-3.0185550000000001</v>
      </c>
      <c r="T2260">
        <v>-0.26220520000000003</v>
      </c>
      <c r="U2260">
        <v>0.28305049999999998</v>
      </c>
      <c r="V2260">
        <v>4.9487769999999997E-3</v>
      </c>
      <c r="W2260">
        <v>4.3797610000000001E-2</v>
      </c>
      <c r="X2260">
        <v>0.99902809999999898</v>
      </c>
      <c r="Y2260">
        <v>0.1253745</v>
      </c>
      <c r="Z2260">
        <v>8.2613840000000001E-3</v>
      </c>
      <c r="AA2260">
        <v>0.99207509999999999</v>
      </c>
      <c r="AB2260">
        <v>28</v>
      </c>
      <c r="AC2260">
        <v>-0.51200000000000001</v>
      </c>
      <c r="AD2260">
        <v>-6.8656999999999899E-2</v>
      </c>
      <c r="AE2260">
        <v>8.2999999999969903E-2</v>
      </c>
      <c r="AF2260">
        <v>9.8030363274378002E-2</v>
      </c>
      <c r="AG2260">
        <v>-6.8656999999999899E-2</v>
      </c>
      <c r="AH2260">
        <v>0.50023753350556599</v>
      </c>
      <c r="AI2260">
        <v>97.670831599011194</v>
      </c>
      <c r="AJ2260">
        <v>78.912390593165597</v>
      </c>
      <c r="AK2260">
        <v>0.51435525242816305</v>
      </c>
    </row>
    <row r="2261" spans="1:37" x14ac:dyDescent="0.2">
      <c r="A2261" t="str">
        <f>"20200111155840183"</f>
        <v>20200111155840183</v>
      </c>
      <c r="B2261" t="str">
        <f>"1578729520173740"</f>
        <v>1578729520173740</v>
      </c>
      <c r="C2261" t="s">
        <v>37</v>
      </c>
      <c r="D2261">
        <v>5.9418239999999898</v>
      </c>
      <c r="E2261">
        <v>0.54812629999999996</v>
      </c>
      <c r="F2261" t="s">
        <v>38</v>
      </c>
      <c r="G2261">
        <v>-413.78829999999999</v>
      </c>
      <c r="H2261">
        <v>1.0372920000000001</v>
      </c>
      <c r="I2261">
        <v>284.91570000000002</v>
      </c>
      <c r="J2261">
        <v>-413.29899999999998</v>
      </c>
      <c r="K2261">
        <v>1.1042590000000001</v>
      </c>
      <c r="L2261">
        <v>284.83420000000001</v>
      </c>
      <c r="M2261">
        <v>-0.99937419999999999</v>
      </c>
      <c r="N2261">
        <v>0</v>
      </c>
      <c r="O2261">
        <v>-3.242958E-2</v>
      </c>
      <c r="P2261">
        <v>-0.99916899999999997</v>
      </c>
      <c r="Q2261">
        <v>3.0113790000000001E-2</v>
      </c>
      <c r="R2261">
        <v>-2.7469130000000001E-2</v>
      </c>
      <c r="S2261">
        <v>-3.0183110000000002</v>
      </c>
      <c r="T2261">
        <v>-0.26399429999999902</v>
      </c>
      <c r="U2261">
        <v>0.28652949999999999</v>
      </c>
      <c r="V2261">
        <v>4.9827359999999998E-3</v>
      </c>
      <c r="W2261">
        <v>4.4228249999999997E-2</v>
      </c>
      <c r="X2261">
        <v>0.99900900000000004</v>
      </c>
      <c r="Y2261">
        <v>0.12614310000000001</v>
      </c>
      <c r="Z2261">
        <v>8.3194210000000005E-3</v>
      </c>
      <c r="AA2261">
        <v>0.991977199999999</v>
      </c>
      <c r="AB2261">
        <v>28</v>
      </c>
      <c r="AC2261">
        <v>-0.48929999999995699</v>
      </c>
      <c r="AD2261">
        <v>-6.6966999999999999E-2</v>
      </c>
      <c r="AE2261">
        <v>8.1500000000005401E-2</v>
      </c>
      <c r="AF2261">
        <v>9.5584399656242006E-2</v>
      </c>
      <c r="AG2261">
        <v>-6.6966999999999999E-2</v>
      </c>
      <c r="AH2261">
        <v>0.47769298036846702</v>
      </c>
      <c r="AI2261">
        <v>97.827022359953503</v>
      </c>
      <c r="AJ2261">
        <v>78.684785118827904</v>
      </c>
      <c r="AK2261">
        <v>0.49174336806911001</v>
      </c>
    </row>
    <row r="2262" spans="1:37" x14ac:dyDescent="0.2">
      <c r="A2262" t="str">
        <f>"20200111155840207"</f>
        <v>20200111155840207</v>
      </c>
      <c r="B2262" t="str">
        <f>"1578729520203021"</f>
        <v>1578729520203021</v>
      </c>
      <c r="C2262" t="s">
        <v>37</v>
      </c>
      <c r="D2262">
        <v>5.9342389999999998</v>
      </c>
      <c r="E2262">
        <v>0.54842630000000003</v>
      </c>
      <c r="F2262" t="s">
        <v>38</v>
      </c>
      <c r="G2262">
        <v>-414.04219999999998</v>
      </c>
      <c r="H2262">
        <v>1.0394459999999901</v>
      </c>
      <c r="I2262">
        <v>284.90550000000002</v>
      </c>
      <c r="J2262">
        <v>-413.59059999999999</v>
      </c>
      <c r="K2262">
        <v>1.104239</v>
      </c>
      <c r="L2262">
        <v>284.82530000000003</v>
      </c>
      <c r="M2262">
        <v>-0.9993879</v>
      </c>
      <c r="N2262">
        <v>0</v>
      </c>
      <c r="O2262">
        <v>-3.2007130000000002E-2</v>
      </c>
      <c r="P2262">
        <v>-0.99915529999999997</v>
      </c>
      <c r="Q2262">
        <v>3.066004E-2</v>
      </c>
      <c r="R2262">
        <v>-2.736655E-2</v>
      </c>
      <c r="S2262">
        <v>-3.0183719999999998</v>
      </c>
      <c r="T2262">
        <v>-0.26341140000000002</v>
      </c>
      <c r="U2262">
        <v>0.28808590000000001</v>
      </c>
      <c r="V2262">
        <v>4.6656019999999996E-3</v>
      </c>
      <c r="W2262">
        <v>4.4770829999999998E-2</v>
      </c>
      <c r="X2262">
        <v>0.99898639999999905</v>
      </c>
      <c r="Y2262">
        <v>0.1262327</v>
      </c>
      <c r="Z2262">
        <v>8.2679239999999994E-3</v>
      </c>
      <c r="AA2262">
        <v>0.99196620000000002</v>
      </c>
      <c r="AB2262">
        <v>28</v>
      </c>
      <c r="AC2262">
        <v>-0.45159999999998401</v>
      </c>
      <c r="AD2262">
        <v>-6.4793000000000101E-2</v>
      </c>
      <c r="AE2262">
        <v>8.0199999999990695E-2</v>
      </c>
      <c r="AF2262">
        <v>9.2763616129292903E-2</v>
      </c>
      <c r="AG2262">
        <v>-6.4793000000000101E-2</v>
      </c>
      <c r="AH2262">
        <v>0.44002051001756898</v>
      </c>
      <c r="AI2262">
        <v>98.198920806375398</v>
      </c>
      <c r="AJ2262">
        <v>78.095418164013097</v>
      </c>
      <c r="AK2262">
        <v>0.45433607666847797</v>
      </c>
    </row>
    <row r="2263" spans="1:37" x14ac:dyDescent="0.2">
      <c r="A2263" t="str">
        <f>"20200111155840229"</f>
        <v>20200111155840229</v>
      </c>
      <c r="B2263" t="str">
        <f>"1578729520223515"</f>
        <v>1578729520223515</v>
      </c>
      <c r="C2263" t="s">
        <v>37</v>
      </c>
      <c r="D2263">
        <v>5.9679379999999904</v>
      </c>
      <c r="E2263">
        <v>0.54853479999999999</v>
      </c>
      <c r="F2263" t="s">
        <v>38</v>
      </c>
      <c r="G2263">
        <v>-414.53969999999998</v>
      </c>
      <c r="H2263">
        <v>1.021736</v>
      </c>
      <c r="I2263">
        <v>284.91699999999997</v>
      </c>
      <c r="J2263">
        <v>-413.87329999999997</v>
      </c>
      <c r="K2263">
        <v>1.104223</v>
      </c>
      <c r="L2263">
        <v>284.81670000000003</v>
      </c>
      <c r="M2263">
        <v>-0.99940189999999995</v>
      </c>
      <c r="N2263">
        <v>0</v>
      </c>
      <c r="O2263">
        <v>-3.1568100000000002E-2</v>
      </c>
      <c r="P2263">
        <v>-0.99913339999999995</v>
      </c>
      <c r="Q2263">
        <v>3.150969E-2</v>
      </c>
      <c r="R2263">
        <v>-2.7197510000000001E-2</v>
      </c>
      <c r="S2263">
        <v>-3.0185240000000002</v>
      </c>
      <c r="T2263">
        <v>-0.26253179999999998</v>
      </c>
      <c r="U2263">
        <v>0.29086299999999998</v>
      </c>
      <c r="V2263">
        <v>4.3978539999999997E-3</v>
      </c>
      <c r="W2263">
        <v>4.56173E-2</v>
      </c>
      <c r="X2263">
        <v>0.99894930000000004</v>
      </c>
      <c r="Y2263">
        <v>0.1267006</v>
      </c>
      <c r="Z2263">
        <v>8.2218719999999999E-3</v>
      </c>
      <c r="AA2263">
        <v>0.99190689999999904</v>
      </c>
      <c r="AB2263">
        <v>28</v>
      </c>
      <c r="AC2263">
        <v>-0.66640000000000998</v>
      </c>
      <c r="AD2263">
        <v>-8.2486999999999894E-2</v>
      </c>
      <c r="AE2263">
        <v>0.100300000000004</v>
      </c>
      <c r="AF2263">
        <v>0.119498737616266</v>
      </c>
      <c r="AG2263">
        <v>-8.2486999999999894E-2</v>
      </c>
      <c r="AH2263">
        <v>0.65311615656372601</v>
      </c>
      <c r="AI2263">
        <v>97.081866994664296</v>
      </c>
      <c r="AJ2263">
        <v>79.6314474534162</v>
      </c>
      <c r="AK2263">
        <v>0.66906260351738001</v>
      </c>
    </row>
    <row r="2264" spans="1:37" x14ac:dyDescent="0.2">
      <c r="A2264" t="str">
        <f>"20200111155840250"</f>
        <v>20200111155840250</v>
      </c>
      <c r="B2264" t="str">
        <f>"1578729520243036"</f>
        <v>1578729520243036</v>
      </c>
      <c r="C2264" t="s">
        <v>37</v>
      </c>
      <c r="D2264">
        <v>5.9580440000000001</v>
      </c>
      <c r="E2264">
        <v>0.54863960000000001</v>
      </c>
      <c r="F2264" t="s">
        <v>38</v>
      </c>
      <c r="G2264">
        <v>-414.79300000000001</v>
      </c>
      <c r="H2264">
        <v>1.0247729999999999</v>
      </c>
      <c r="I2264">
        <v>284.90550000000002</v>
      </c>
      <c r="J2264">
        <v>-414.14830000000001</v>
      </c>
      <c r="K2264">
        <v>1.104217</v>
      </c>
      <c r="L2264">
        <v>284.80849999999998</v>
      </c>
      <c r="M2264">
        <v>-0.99941589999999902</v>
      </c>
      <c r="N2264">
        <v>0</v>
      </c>
      <c r="O2264">
        <v>-3.1122739999999999E-2</v>
      </c>
      <c r="P2264">
        <v>-0.99912579999999995</v>
      </c>
      <c r="Q2264">
        <v>3.1858379999999999E-2</v>
      </c>
      <c r="R2264">
        <v>-2.7070810000000001E-2</v>
      </c>
      <c r="S2264">
        <v>-3.018799</v>
      </c>
      <c r="T2264">
        <v>-0.26076709999999997</v>
      </c>
      <c r="U2264">
        <v>0.29211429999999999</v>
      </c>
      <c r="V2264">
        <v>4.080775E-3</v>
      </c>
      <c r="W2264">
        <v>4.5963129999999998E-2</v>
      </c>
      <c r="X2264">
        <v>0.99893480000000001</v>
      </c>
      <c r="Y2264">
        <v>0.1266671</v>
      </c>
      <c r="Z2264">
        <v>8.1261470000000002E-3</v>
      </c>
      <c r="AA2264">
        <v>0.99191200000000002</v>
      </c>
      <c r="AB2264">
        <v>28</v>
      </c>
      <c r="AC2264">
        <v>-0.64470000000000005</v>
      </c>
      <c r="AD2264">
        <v>-7.9444000000000001E-2</v>
      </c>
      <c r="AE2264">
        <v>9.7000000000036807E-2</v>
      </c>
      <c r="AF2264">
        <v>0.115307674362098</v>
      </c>
      <c r="AG2264">
        <v>-7.9444000000000001E-2</v>
      </c>
      <c r="AH2264">
        <v>0.63198434412057403</v>
      </c>
      <c r="AI2264">
        <v>97.049643177794593</v>
      </c>
      <c r="AJ2264">
        <v>79.659928379974801</v>
      </c>
      <c r="AK2264">
        <v>0.64731091456602796</v>
      </c>
    </row>
    <row r="2265" spans="1:37" x14ac:dyDescent="0.2">
      <c r="A2265" t="str">
        <f>"20200111155840273"</f>
        <v>20200111155840273</v>
      </c>
      <c r="B2265" t="str">
        <f>"1578729520263533"</f>
        <v>1578729520263533</v>
      </c>
      <c r="C2265" t="s">
        <v>37</v>
      </c>
      <c r="D2265">
        <v>6.1218979999999998</v>
      </c>
      <c r="E2265">
        <v>0.54860659999999895</v>
      </c>
      <c r="F2265" t="s">
        <v>38</v>
      </c>
      <c r="G2265">
        <v>-415.04570000000001</v>
      </c>
      <c r="H2265">
        <v>1.0268820000000001</v>
      </c>
      <c r="I2265">
        <v>284.89609999999999</v>
      </c>
      <c r="J2265">
        <v>-414.43400000000003</v>
      </c>
      <c r="K2265">
        <v>1.1042069999999999</v>
      </c>
      <c r="L2265">
        <v>284.80009999999999</v>
      </c>
      <c r="M2265">
        <v>-0.99943069999999901</v>
      </c>
      <c r="N2265">
        <v>0</v>
      </c>
      <c r="O2265">
        <v>-3.064741E-2</v>
      </c>
      <c r="P2265">
        <v>-0.9991139</v>
      </c>
      <c r="Q2265">
        <v>3.272394E-2</v>
      </c>
      <c r="R2265">
        <v>-2.646975E-2</v>
      </c>
      <c r="S2265">
        <v>-3.0188899999999999</v>
      </c>
      <c r="T2265">
        <v>-0.26034859999999999</v>
      </c>
      <c r="U2265">
        <v>0.29373169999999998</v>
      </c>
      <c r="V2265">
        <v>4.2076459999999998E-3</v>
      </c>
      <c r="W2265">
        <v>4.6825270000000002E-2</v>
      </c>
      <c r="X2265">
        <v>0.99889419999999995</v>
      </c>
      <c r="Y2265">
        <v>0.12672239999999901</v>
      </c>
      <c r="Z2265">
        <v>8.074243E-3</v>
      </c>
      <c r="AA2265">
        <v>0.99190529999999999</v>
      </c>
      <c r="AB2265">
        <v>28</v>
      </c>
      <c r="AC2265">
        <v>-0.61169999999998403</v>
      </c>
      <c r="AD2265">
        <v>-7.7324999999999797E-2</v>
      </c>
      <c r="AE2265">
        <v>9.6000000000003596E-2</v>
      </c>
      <c r="AF2265">
        <v>0.112942403136828</v>
      </c>
      <c r="AG2265">
        <v>-7.7324999999999797E-2</v>
      </c>
      <c r="AH2265">
        <v>0.599126554450089</v>
      </c>
      <c r="AI2265">
        <v>97.228175559822802</v>
      </c>
      <c r="AJ2265">
        <v>79.324354027876097</v>
      </c>
      <c r="AK2265">
        <v>0.61456307267729504</v>
      </c>
    </row>
    <row r="2266" spans="1:37" x14ac:dyDescent="0.2">
      <c r="A2266" t="str">
        <f>"20200111155840295"</f>
        <v>20200111155840295</v>
      </c>
      <c r="B2266" t="str">
        <f>"1578729520293788"</f>
        <v>1578729520293788</v>
      </c>
      <c r="C2266" t="s">
        <v>37</v>
      </c>
      <c r="D2266">
        <v>6.3007179999999998</v>
      </c>
      <c r="E2266">
        <v>0.54739989999999905</v>
      </c>
      <c r="F2266" t="s">
        <v>38</v>
      </c>
      <c r="G2266">
        <v>-415.29860000000002</v>
      </c>
      <c r="H2266">
        <v>1.030268</v>
      </c>
      <c r="I2266">
        <v>284.88470000000001</v>
      </c>
      <c r="J2266">
        <v>-414.71050000000002</v>
      </c>
      <c r="K2266">
        <v>1.104198</v>
      </c>
      <c r="L2266">
        <v>284.7921</v>
      </c>
      <c r="M2266">
        <v>-0.99944480000000002</v>
      </c>
      <c r="N2266">
        <v>0</v>
      </c>
      <c r="O2266">
        <v>-3.0180849999999999E-2</v>
      </c>
      <c r="P2266">
        <v>-0.99913169999999996</v>
      </c>
      <c r="Q2266">
        <v>3.2674830000000002E-2</v>
      </c>
      <c r="R2266">
        <v>-2.584562E-2</v>
      </c>
      <c r="S2266">
        <v>-3.0189819999999998</v>
      </c>
      <c r="T2266">
        <v>-0.25823939999999901</v>
      </c>
      <c r="U2266">
        <v>0.29516599999999998</v>
      </c>
      <c r="V2266">
        <v>4.366081E-3</v>
      </c>
      <c r="W2266">
        <v>4.677336E-2</v>
      </c>
      <c r="X2266">
        <v>0.99889599999999901</v>
      </c>
      <c r="Y2266">
        <v>0.1267344</v>
      </c>
      <c r="Z2266">
        <v>7.9693960000000001E-3</v>
      </c>
      <c r="AA2266">
        <v>0.99190469999999897</v>
      </c>
      <c r="AB2266">
        <v>28</v>
      </c>
      <c r="AC2266">
        <v>-0.58809999999999696</v>
      </c>
      <c r="AD2266">
        <v>-7.3929999999999996E-2</v>
      </c>
      <c r="AE2266">
        <v>9.2600000000004401E-2</v>
      </c>
      <c r="AF2266">
        <v>0.10863372965835</v>
      </c>
      <c r="AG2266">
        <v>-7.3929999999999996E-2</v>
      </c>
      <c r="AH2266">
        <v>0.57615236194164099</v>
      </c>
      <c r="AI2266">
        <v>97.186776723987606</v>
      </c>
      <c r="AJ2266">
        <v>79.322219035035104</v>
      </c>
      <c r="AK2266">
        <v>0.59094710109316495</v>
      </c>
    </row>
    <row r="2267" spans="1:37" x14ac:dyDescent="0.2">
      <c r="A2267" t="str">
        <f>"20200111155840318"</f>
        <v>20200111155840318</v>
      </c>
      <c r="B2267" t="str">
        <f>"1578729520313308"</f>
        <v>1578729520313308</v>
      </c>
      <c r="C2267" t="s">
        <v>37</v>
      </c>
      <c r="D2267">
        <v>5.9092229999999999</v>
      </c>
      <c r="E2267">
        <v>0.54701529999999998</v>
      </c>
      <c r="F2267" t="s">
        <v>38</v>
      </c>
      <c r="G2267">
        <v>-415.553</v>
      </c>
      <c r="H2267">
        <v>1.037237</v>
      </c>
      <c r="I2267">
        <v>284.87259999999998</v>
      </c>
      <c r="J2267">
        <v>-414.99579999999997</v>
      </c>
      <c r="K2267">
        <v>1.1041939999999999</v>
      </c>
      <c r="L2267">
        <v>284.78399999999999</v>
      </c>
      <c r="M2267">
        <v>-0.99945930000000005</v>
      </c>
      <c r="N2267">
        <v>0</v>
      </c>
      <c r="O2267">
        <v>-2.969778E-2</v>
      </c>
      <c r="P2267">
        <v>-0.99913379999999996</v>
      </c>
      <c r="Q2267">
        <v>3.278565E-2</v>
      </c>
      <c r="R2267">
        <v>-2.562886E-2</v>
      </c>
      <c r="S2267">
        <v>-3.01791399999999</v>
      </c>
      <c r="T2267">
        <v>-0.23990419999999901</v>
      </c>
      <c r="U2267">
        <v>0.2881165</v>
      </c>
      <c r="V2267">
        <v>4.1003000000000003E-3</v>
      </c>
      <c r="W2267">
        <v>4.6881010000000001E-2</v>
      </c>
      <c r="X2267">
        <v>0.99889209999999995</v>
      </c>
      <c r="Y2267">
        <v>0.12408</v>
      </c>
      <c r="Z2267">
        <v>7.265428E-3</v>
      </c>
      <c r="AA2267">
        <v>0.99224559999999995</v>
      </c>
      <c r="AB2267">
        <v>28</v>
      </c>
      <c r="AC2267">
        <v>-0.55720000000007897</v>
      </c>
      <c r="AD2267">
        <v>-6.6956999999999905E-2</v>
      </c>
      <c r="AE2267">
        <v>8.8599999999985302E-2</v>
      </c>
      <c r="AF2267">
        <v>0.103650353681423</v>
      </c>
      <c r="AG2267">
        <v>-6.6956999999999905E-2</v>
      </c>
      <c r="AH2267">
        <v>0.54662405231862199</v>
      </c>
      <c r="AI2267">
        <v>96.862394734860203</v>
      </c>
      <c r="AJ2267">
        <v>79.263098673868697</v>
      </c>
      <c r="AK2267">
        <v>0.56037888097296795</v>
      </c>
    </row>
    <row r="2268" spans="1:37" x14ac:dyDescent="0.2">
      <c r="A2268" t="str">
        <f>"20200111155840340"</f>
        <v>20200111155840340</v>
      </c>
      <c r="B2268" t="str">
        <f>"1578729520333804"</f>
        <v>1578729520333804</v>
      </c>
      <c r="C2268" t="s">
        <v>37</v>
      </c>
      <c r="D2268">
        <v>5.9648620000000001</v>
      </c>
      <c r="E2268">
        <v>0.54672349999999903</v>
      </c>
      <c r="F2268" t="s">
        <v>38</v>
      </c>
      <c r="G2268">
        <v>-415.80520000000001</v>
      </c>
      <c r="H2268">
        <v>1.040449</v>
      </c>
      <c r="I2268">
        <v>284.86070000000001</v>
      </c>
      <c r="J2268">
        <v>-415.27670000000001</v>
      </c>
      <c r="K2268">
        <v>1.1042000000000001</v>
      </c>
      <c r="L2268">
        <v>284.77620000000002</v>
      </c>
      <c r="M2268">
        <v>-0.99947339999999996</v>
      </c>
      <c r="N2268">
        <v>0</v>
      </c>
      <c r="O2268">
        <v>-2.9223320000000001E-2</v>
      </c>
      <c r="P2268">
        <v>-0.99913600000000002</v>
      </c>
      <c r="Q2268">
        <v>3.2734249999999999E-2</v>
      </c>
      <c r="R2268">
        <v>-2.5609710000000001E-2</v>
      </c>
      <c r="S2268">
        <v>-3.0177</v>
      </c>
      <c r="T2268">
        <v>-0.23764360000000001</v>
      </c>
      <c r="U2268">
        <v>0.28616329999999901</v>
      </c>
      <c r="V2268">
        <v>3.6449970000000001E-3</v>
      </c>
      <c r="W2268">
        <v>4.6826699999999999E-2</v>
      </c>
      <c r="X2268">
        <v>0.99889640000000002</v>
      </c>
      <c r="Y2268">
        <v>0.1229928</v>
      </c>
      <c r="Z2268">
        <v>7.1180089999999998E-3</v>
      </c>
      <c r="AA2268">
        <v>0.99238199999999999</v>
      </c>
      <c r="AB2268">
        <v>28</v>
      </c>
      <c r="AC2268">
        <v>-0.52850000000000796</v>
      </c>
      <c r="AD2268">
        <v>-6.3751000000000099E-2</v>
      </c>
      <c r="AE2268">
        <v>8.4499999999991304E-2</v>
      </c>
      <c r="AF2268">
        <v>9.8512271697375198E-2</v>
      </c>
      <c r="AG2268">
        <v>-6.3751000000000099E-2</v>
      </c>
      <c r="AH2268">
        <v>0.51844886457160899</v>
      </c>
      <c r="AI2268">
        <v>96.888147170435801</v>
      </c>
      <c r="AJ2268">
        <v>79.2412876112151</v>
      </c>
      <c r="AK2268">
        <v>0.53156192757906195</v>
      </c>
    </row>
    <row r="2269" spans="1:37" x14ac:dyDescent="0.2">
      <c r="A2269" t="str">
        <f>"20200111155840362"</f>
        <v>20200111155840362</v>
      </c>
      <c r="B2269" t="str">
        <f>"1578729520353324"</f>
        <v>1578729520353324</v>
      </c>
      <c r="C2269" t="s">
        <v>37</v>
      </c>
      <c r="D2269">
        <v>5.9708699999999997</v>
      </c>
      <c r="E2269">
        <v>0.54644720000000002</v>
      </c>
      <c r="F2269" t="s">
        <v>38</v>
      </c>
      <c r="G2269">
        <v>-416.05689999999998</v>
      </c>
      <c r="H2269">
        <v>1.0423929999999999</v>
      </c>
      <c r="I2269">
        <v>284.84989999999999</v>
      </c>
      <c r="J2269">
        <v>-415.54790000000003</v>
      </c>
      <c r="K2269">
        <v>1.1042000000000001</v>
      </c>
      <c r="L2269">
        <v>284.76870000000002</v>
      </c>
      <c r="M2269">
        <v>-0.99948669999999995</v>
      </c>
      <c r="N2269">
        <v>0</v>
      </c>
      <c r="O2269">
        <v>-2.8767350000000001E-2</v>
      </c>
      <c r="P2269">
        <v>-0.99913859999999999</v>
      </c>
      <c r="Q2269">
        <v>3.252534E-2</v>
      </c>
      <c r="R2269">
        <v>-2.5780669999999999E-2</v>
      </c>
      <c r="S2269">
        <v>-3.0177</v>
      </c>
      <c r="T2269">
        <v>-0.23913309999999999</v>
      </c>
      <c r="U2269">
        <v>0.2838135</v>
      </c>
      <c r="V2269">
        <v>3.0181320000000002E-3</v>
      </c>
      <c r="W2269">
        <v>4.6616169999999998E-2</v>
      </c>
      <c r="X2269">
        <v>0.99890829999999997</v>
      </c>
      <c r="Y2269">
        <v>0.1217733</v>
      </c>
      <c r="Z2269">
        <v>7.0785919999999999E-3</v>
      </c>
      <c r="AA2269">
        <v>0.99253269999999905</v>
      </c>
      <c r="AB2269">
        <v>28</v>
      </c>
      <c r="AC2269">
        <v>-0.50899999999995704</v>
      </c>
      <c r="AD2269">
        <v>-6.1806999999999897E-2</v>
      </c>
      <c r="AE2269">
        <v>8.1199999999967007E-2</v>
      </c>
      <c r="AF2269">
        <v>9.44523041777455E-2</v>
      </c>
      <c r="AG2269">
        <v>-6.1806999999999897E-2</v>
      </c>
      <c r="AH2269">
        <v>0.49927414812151499</v>
      </c>
      <c r="AI2269">
        <v>96.935174197044702</v>
      </c>
      <c r="AJ2269">
        <v>79.287427294877304</v>
      </c>
      <c r="AK2269">
        <v>0.51187500231594596</v>
      </c>
    </row>
    <row r="2270" spans="1:37" x14ac:dyDescent="0.2">
      <c r="A2270" t="str">
        <f>"20200111155840377"</f>
        <v>20200111155840377</v>
      </c>
      <c r="B2270" t="str">
        <f>"1578729520373820"</f>
        <v>1578729520373820</v>
      </c>
      <c r="C2270" t="s">
        <v>37</v>
      </c>
      <c r="D2270">
        <v>5.9747069999999898</v>
      </c>
      <c r="E2270">
        <v>0.54619259999999903</v>
      </c>
      <c r="F2270" t="s">
        <v>38</v>
      </c>
      <c r="G2270">
        <v>-416.30790000000002</v>
      </c>
      <c r="H2270">
        <v>1.0435680000000001</v>
      </c>
      <c r="I2270">
        <v>284.83949999999999</v>
      </c>
      <c r="J2270">
        <v>-415.73360000000002</v>
      </c>
      <c r="K2270">
        <v>1.1042000000000001</v>
      </c>
      <c r="L2270">
        <v>284.7638</v>
      </c>
      <c r="M2270">
        <v>-0.99949560000000004</v>
      </c>
      <c r="N2270">
        <v>0</v>
      </c>
      <c r="O2270">
        <v>-2.8456349999999998E-2</v>
      </c>
      <c r="P2270">
        <v>-0.99912619999999897</v>
      </c>
      <c r="Q2270">
        <v>3.2766629999999998E-2</v>
      </c>
      <c r="R2270">
        <v>-2.595153E-2</v>
      </c>
      <c r="S2270">
        <v>-3.0176699999999999</v>
      </c>
      <c r="T2270">
        <v>-0.24079699999999901</v>
      </c>
      <c r="U2270">
        <v>0.28112789999999999</v>
      </c>
      <c r="V2270">
        <v>2.5359760000000001E-3</v>
      </c>
      <c r="W2270">
        <v>4.6855760000000003E-2</v>
      </c>
      <c r="X2270">
        <v>0.99889839999999996</v>
      </c>
      <c r="Y2270">
        <v>0.120587899999999</v>
      </c>
      <c r="Z2270">
        <v>7.0561929999999997E-3</v>
      </c>
      <c r="AA2270">
        <v>0.99267759999999905</v>
      </c>
      <c r="AB2270">
        <v>28</v>
      </c>
      <c r="AC2270">
        <v>-0.57429999999999304</v>
      </c>
      <c r="AD2270">
        <v>-6.0631999999999998E-2</v>
      </c>
      <c r="AE2270">
        <v>7.5699999999983406E-2</v>
      </c>
      <c r="AF2270">
        <v>9.1016285542271494E-2</v>
      </c>
      <c r="AG2270">
        <v>-6.0631999999999998E-2</v>
      </c>
      <c r="AH2270">
        <v>0.56571514430609005</v>
      </c>
      <c r="AI2270">
        <v>96.040380568188695</v>
      </c>
      <c r="AJ2270">
        <v>80.860169924156693</v>
      </c>
      <c r="AK2270">
        <v>0.57618905591409197</v>
      </c>
    </row>
    <row r="2271" spans="1:37" x14ac:dyDescent="0.2">
      <c r="A2271" t="str">
        <f>"20200111155840391"</f>
        <v>20200111155840391</v>
      </c>
      <c r="B2271" t="str">
        <f>"1578729520383580"</f>
        <v>1578729520383580</v>
      </c>
      <c r="C2271" t="s">
        <v>37</v>
      </c>
      <c r="D2271">
        <v>5.9990819999999996</v>
      </c>
      <c r="E2271">
        <v>0.54604739999999996</v>
      </c>
      <c r="F2271" t="s">
        <v>38</v>
      </c>
      <c r="G2271">
        <v>-416.55489999999998</v>
      </c>
      <c r="H2271">
        <v>1.0384089999999999</v>
      </c>
      <c r="I2271">
        <v>284.8399</v>
      </c>
      <c r="J2271">
        <v>-415.90499999999997</v>
      </c>
      <c r="K2271">
        <v>1.1042019999999999</v>
      </c>
      <c r="L2271">
        <v>284.75920000000002</v>
      </c>
      <c r="M2271">
        <v>-0.99950380000000005</v>
      </c>
      <c r="N2271">
        <v>0</v>
      </c>
      <c r="O2271">
        <v>-2.8170029999999999E-2</v>
      </c>
      <c r="P2271">
        <v>-0.99912969999999901</v>
      </c>
      <c r="Q2271">
        <v>3.2689629999999997E-2</v>
      </c>
      <c r="R2271">
        <v>-2.5917909999999999E-2</v>
      </c>
      <c r="S2271">
        <v>-3.0177309999999999</v>
      </c>
      <c r="T2271">
        <v>-0.24188599999999999</v>
      </c>
      <c r="U2271">
        <v>0.27844239999999998</v>
      </c>
      <c r="V2271">
        <v>2.283322E-3</v>
      </c>
      <c r="W2271">
        <v>4.6776699999999997E-2</v>
      </c>
      <c r="X2271">
        <v>0.99890270000000003</v>
      </c>
      <c r="Y2271">
        <v>0.119426</v>
      </c>
      <c r="Z2271">
        <v>7.0188759999999899E-3</v>
      </c>
      <c r="AA2271">
        <v>0.99281830000000004</v>
      </c>
      <c r="AB2271">
        <v>28</v>
      </c>
      <c r="AC2271">
        <v>-0.64990000000000203</v>
      </c>
      <c r="AD2271">
        <v>-6.5793000000000199E-2</v>
      </c>
      <c r="AE2271">
        <v>8.06999999999789E-2</v>
      </c>
      <c r="AF2271">
        <v>9.7988488674822793E-2</v>
      </c>
      <c r="AG2271">
        <v>-6.5793000000000199E-2</v>
      </c>
      <c r="AH2271">
        <v>0.64089987208629895</v>
      </c>
      <c r="AI2271">
        <v>95.794425481255502</v>
      </c>
      <c r="AJ2271">
        <v>81.307248125174894</v>
      </c>
      <c r="AK2271">
        <v>0.651677150744147</v>
      </c>
    </row>
    <row r="2272" spans="1:37" x14ac:dyDescent="0.2">
      <c r="A2272" t="str">
        <f>"20200111155840407"</f>
        <v>20200111155840407</v>
      </c>
      <c r="B2272" t="str">
        <f>"1578729520403100"</f>
        <v>1578729520403100</v>
      </c>
      <c r="C2272" t="s">
        <v>37</v>
      </c>
      <c r="D2272">
        <v>5.9489089999999996</v>
      </c>
      <c r="E2272">
        <v>0.54587050000000004</v>
      </c>
      <c r="F2272" t="s">
        <v>38</v>
      </c>
      <c r="G2272">
        <v>-416.80169999999998</v>
      </c>
      <c r="H2272">
        <v>1.0319940000000001</v>
      </c>
      <c r="I2272">
        <v>284.8417</v>
      </c>
      <c r="J2272">
        <v>-416.10849999999999</v>
      </c>
      <c r="K2272">
        <v>1.104204</v>
      </c>
      <c r="L2272">
        <v>284.75380000000001</v>
      </c>
      <c r="M2272">
        <v>-0.99951329999999905</v>
      </c>
      <c r="N2272">
        <v>0</v>
      </c>
      <c r="O2272">
        <v>-2.7830790000000001E-2</v>
      </c>
      <c r="P2272">
        <v>-0.99910140000000003</v>
      </c>
      <c r="Q2272">
        <v>3.3136760000000001E-2</v>
      </c>
      <c r="R2272">
        <v>-2.6431420000000001E-2</v>
      </c>
      <c r="S2272">
        <v>-3.0177610000000001</v>
      </c>
      <c r="T2272">
        <v>-0.24303229999999901</v>
      </c>
      <c r="U2272">
        <v>0.27749629999999997</v>
      </c>
      <c r="V2272">
        <v>1.4300929999999999E-3</v>
      </c>
      <c r="W2272">
        <v>4.7222519999999997E-2</v>
      </c>
      <c r="X2272">
        <v>0.99888339999999998</v>
      </c>
      <c r="Y2272">
        <v>0.118778199999999</v>
      </c>
      <c r="Z2272">
        <v>6.9988389999999998E-3</v>
      </c>
      <c r="AA2272">
        <v>0.99289609999999995</v>
      </c>
      <c r="AB2272">
        <v>28</v>
      </c>
      <c r="AC2272">
        <v>-0.69319999999999005</v>
      </c>
      <c r="AD2272">
        <v>-7.2210000000000094E-2</v>
      </c>
      <c r="AE2272">
        <v>8.78999999999905E-2</v>
      </c>
      <c r="AF2272">
        <v>0.10602784262275999</v>
      </c>
      <c r="AG2272">
        <v>-7.2210000000000094E-2</v>
      </c>
      <c r="AH2272">
        <v>0.68318876489389402</v>
      </c>
      <c r="AI2272">
        <v>95.962650114521907</v>
      </c>
      <c r="AJ2272">
        <v>81.178327119077906</v>
      </c>
      <c r="AK2272">
        <v>0.69512810041637696</v>
      </c>
    </row>
    <row r="2273" spans="1:37" x14ac:dyDescent="0.2">
      <c r="A2273" t="str">
        <f>"20200111155840429"</f>
        <v>20200111155840429</v>
      </c>
      <c r="B2273" t="str">
        <f>"1578729520423595"</f>
        <v>1578729520423595</v>
      </c>
      <c r="C2273" t="s">
        <v>37</v>
      </c>
      <c r="D2273">
        <v>5.9539479999999996</v>
      </c>
      <c r="E2273">
        <v>0.54574929999999999</v>
      </c>
      <c r="F2273" t="s">
        <v>38</v>
      </c>
      <c r="G2273">
        <v>-417.0496</v>
      </c>
      <c r="H2273">
        <v>1.028656</v>
      </c>
      <c r="I2273">
        <v>284.83980000000003</v>
      </c>
      <c r="J2273">
        <v>-416.38729999999998</v>
      </c>
      <c r="K2273">
        <v>1.104203</v>
      </c>
      <c r="L2273">
        <v>284.7466</v>
      </c>
      <c r="M2273">
        <v>-0.99952609999999997</v>
      </c>
      <c r="N2273">
        <v>0</v>
      </c>
      <c r="O2273">
        <v>-2.7367209999999999E-2</v>
      </c>
      <c r="P2273">
        <v>-0.99907839999999903</v>
      </c>
      <c r="Q2273">
        <v>3.3864829999999999E-2</v>
      </c>
      <c r="R2273">
        <v>-2.637637E-2</v>
      </c>
      <c r="S2273">
        <v>-3.0180359999999999</v>
      </c>
      <c r="T2273">
        <v>-0.24245419999999901</v>
      </c>
      <c r="U2273">
        <v>0.27447509999999897</v>
      </c>
      <c r="V2273">
        <v>1.0213500000000001E-3</v>
      </c>
      <c r="W2273">
        <v>4.7947919999999998E-2</v>
      </c>
      <c r="X2273">
        <v>0.99884930000000005</v>
      </c>
      <c r="Y2273">
        <v>0.11733199999999901</v>
      </c>
      <c r="Z2273">
        <v>6.8869219999999898E-3</v>
      </c>
      <c r="AA2273">
        <v>0.99306890000000003</v>
      </c>
      <c r="AB2273">
        <v>28</v>
      </c>
      <c r="AC2273">
        <v>-0.66230000000001599</v>
      </c>
      <c r="AD2273">
        <v>-7.5547000000000003E-2</v>
      </c>
      <c r="AE2273">
        <v>9.3200000000024305E-2</v>
      </c>
      <c r="AF2273">
        <v>0.109890125322916</v>
      </c>
      <c r="AG2273">
        <v>-7.5547000000000003E-2</v>
      </c>
      <c r="AH2273">
        <v>0.65119259077140101</v>
      </c>
      <c r="AI2273">
        <v>96.5260329035696</v>
      </c>
      <c r="AJ2273">
        <v>80.421459395746396</v>
      </c>
      <c r="AK2273">
        <v>0.66470668653779597</v>
      </c>
    </row>
    <row r="2274" spans="1:37" x14ac:dyDescent="0.2">
      <c r="A2274" t="str">
        <f>"20200111155840451"</f>
        <v>20200111155840451</v>
      </c>
      <c r="B2274" t="str">
        <f>"1578729520443116"</f>
        <v>1578729520443116</v>
      </c>
      <c r="C2274" t="s">
        <v>37</v>
      </c>
      <c r="D2274">
        <v>6.0043920000000002</v>
      </c>
      <c r="E2274">
        <v>0.54565369999999902</v>
      </c>
      <c r="F2274" t="s">
        <v>38</v>
      </c>
      <c r="G2274">
        <v>-417.29969999999997</v>
      </c>
      <c r="H2274">
        <v>1.0310979999999901</v>
      </c>
      <c r="I2274">
        <v>284.82909999999998</v>
      </c>
      <c r="J2274">
        <v>-416.6619</v>
      </c>
      <c r="K2274">
        <v>1.1042049999999899</v>
      </c>
      <c r="L2274">
        <v>284.7396</v>
      </c>
      <c r="M2274">
        <v>-0.99953860000000005</v>
      </c>
      <c r="N2274">
        <v>0</v>
      </c>
      <c r="O2274">
        <v>-2.6911379999999999E-2</v>
      </c>
      <c r="P2274">
        <v>-0.99907630000000003</v>
      </c>
      <c r="Q2274">
        <v>3.4271900000000001E-2</v>
      </c>
      <c r="R2274">
        <v>-2.59245E-2</v>
      </c>
      <c r="S2274">
        <v>-3.0181879999999999</v>
      </c>
      <c r="T2274">
        <v>-0.24178530000000001</v>
      </c>
      <c r="U2274">
        <v>0.27346799999999999</v>
      </c>
      <c r="V2274">
        <v>1.0173859999999999E-3</v>
      </c>
      <c r="W2274">
        <v>4.83518E-2</v>
      </c>
      <c r="X2274">
        <v>0.99882979999999999</v>
      </c>
      <c r="Y2274">
        <v>0.1165525</v>
      </c>
      <c r="Z2274">
        <v>6.80022599999999E-3</v>
      </c>
      <c r="AA2274">
        <v>0.99316130000000002</v>
      </c>
      <c r="AB2274">
        <v>28</v>
      </c>
      <c r="AC2274">
        <v>-0.63779999999996995</v>
      </c>
      <c r="AD2274">
        <v>-7.3107000000000005E-2</v>
      </c>
      <c r="AE2274">
        <v>8.9499999999986798E-2</v>
      </c>
      <c r="AF2274">
        <v>0.10527688034171399</v>
      </c>
      <c r="AG2274">
        <v>-7.3107000000000005E-2</v>
      </c>
      <c r="AH2274">
        <v>0.62708030056963104</v>
      </c>
      <c r="AI2274">
        <v>96.558733774334002</v>
      </c>
      <c r="AJ2274">
        <v>80.469816582525198</v>
      </c>
      <c r="AK2274">
        <v>0.64004496587816595</v>
      </c>
    </row>
    <row r="2275" spans="1:37" x14ac:dyDescent="0.2">
      <c r="A2275" t="str">
        <f>"20200111155840474"</f>
        <v>20200111155840474</v>
      </c>
      <c r="B2275" t="str">
        <f>"1578729520463611"</f>
        <v>1578729520463611</v>
      </c>
      <c r="C2275" t="s">
        <v>37</v>
      </c>
      <c r="D2275">
        <v>5.9945550000000001</v>
      </c>
      <c r="E2275">
        <v>0.545616199999999</v>
      </c>
      <c r="F2275" t="s">
        <v>38</v>
      </c>
      <c r="G2275">
        <v>-417.54930000000002</v>
      </c>
      <c r="H2275">
        <v>1.0331090000000001</v>
      </c>
      <c r="I2275">
        <v>284.82049999999998</v>
      </c>
      <c r="J2275">
        <v>-416.94479999999999</v>
      </c>
      <c r="K2275">
        <v>1.1042099999999999</v>
      </c>
      <c r="L2275">
        <v>284.73250000000002</v>
      </c>
      <c r="M2275">
        <v>-0.99955119999999897</v>
      </c>
      <c r="N2275">
        <v>0</v>
      </c>
      <c r="O2275">
        <v>-2.6441610000000001E-2</v>
      </c>
      <c r="P2275">
        <v>-0.99910100000000002</v>
      </c>
      <c r="Q2275">
        <v>3.4004989999999999E-2</v>
      </c>
      <c r="R2275">
        <v>-2.532355E-2</v>
      </c>
      <c r="S2275">
        <v>-3.01821899999999</v>
      </c>
      <c r="T2275">
        <v>-0.2419598</v>
      </c>
      <c r="U2275">
        <v>0.27386470000000002</v>
      </c>
      <c r="V2275">
        <v>1.148872E-3</v>
      </c>
      <c r="W2275">
        <v>4.8081749999999999E-2</v>
      </c>
      <c r="X2275">
        <v>0.99884269999999997</v>
      </c>
      <c r="Y2275">
        <v>0.11621620000000001</v>
      </c>
      <c r="Z2275">
        <v>6.7540419999999896E-3</v>
      </c>
      <c r="AA2275">
        <v>0.993201</v>
      </c>
      <c r="AB2275">
        <v>28</v>
      </c>
      <c r="AC2275">
        <v>-0.60450000000003001</v>
      </c>
      <c r="AD2275">
        <v>-7.1100999999999998E-2</v>
      </c>
      <c r="AE2275">
        <v>8.7999999999965398E-2</v>
      </c>
      <c r="AF2275">
        <v>0.102565285012319</v>
      </c>
      <c r="AG2275">
        <v>-7.1100999999999998E-2</v>
      </c>
      <c r="AH2275">
        <v>0.59391558072216299</v>
      </c>
      <c r="AI2275">
        <v>96.728057783317297</v>
      </c>
      <c r="AJ2275">
        <v>80.202037374261195</v>
      </c>
      <c r="AK2275">
        <v>0.60688607408244499</v>
      </c>
    </row>
    <row r="2276" spans="1:37" x14ac:dyDescent="0.2">
      <c r="A2276" t="str">
        <f>"20200111155840497"</f>
        <v>20200111155840497</v>
      </c>
      <c r="B2276" t="str">
        <f>"1578729520493868"</f>
        <v>1578729520493868</v>
      </c>
      <c r="C2276" t="s">
        <v>37</v>
      </c>
      <c r="D2276">
        <v>5.9206269999999996</v>
      </c>
      <c r="E2276">
        <v>0.54628489999999996</v>
      </c>
      <c r="F2276" t="s">
        <v>38</v>
      </c>
      <c r="G2276">
        <v>-417.79860000000002</v>
      </c>
      <c r="H2276">
        <v>1.0351319999999999</v>
      </c>
      <c r="I2276">
        <v>284.81049999999999</v>
      </c>
      <c r="J2276">
        <v>-417.22280000000001</v>
      </c>
      <c r="K2276">
        <v>1.1042179999999999</v>
      </c>
      <c r="L2276">
        <v>284.72570000000002</v>
      </c>
      <c r="M2276">
        <v>-0.99956339999999999</v>
      </c>
      <c r="N2276">
        <v>0</v>
      </c>
      <c r="O2276">
        <v>-2.5980059999999999E-2</v>
      </c>
      <c r="P2276">
        <v>-0.99911299999999903</v>
      </c>
      <c r="Q2276">
        <v>3.3740680000000002E-2</v>
      </c>
      <c r="R2276">
        <v>-2.5205149999999999E-2</v>
      </c>
      <c r="S2276">
        <v>-3.017944</v>
      </c>
      <c r="T2276">
        <v>-0.24424419999999999</v>
      </c>
      <c r="U2276">
        <v>0.275177</v>
      </c>
      <c r="V2276">
        <v>8.0549429999999904E-4</v>
      </c>
      <c r="W2276">
        <v>4.7815030000000001E-2</v>
      </c>
      <c r="X2276">
        <v>0.99885590000000002</v>
      </c>
      <c r="Y2276">
        <v>0.116186999999999</v>
      </c>
      <c r="Z2276">
        <v>6.7796769999999996E-3</v>
      </c>
      <c r="AA2276">
        <v>0.99320419999999998</v>
      </c>
      <c r="AB2276">
        <v>28</v>
      </c>
      <c r="AC2276">
        <v>-0.57580000000001497</v>
      </c>
      <c r="AD2276">
        <v>-6.9085999999999897E-2</v>
      </c>
      <c r="AE2276">
        <v>8.4799999999972897E-2</v>
      </c>
      <c r="AF2276">
        <v>9.8346447738432097E-2</v>
      </c>
      <c r="AG2276">
        <v>-6.9085999999999897E-2</v>
      </c>
      <c r="AH2276">
        <v>0.56543517169594304</v>
      </c>
      <c r="AI2276">
        <v>96.863941338352305</v>
      </c>
      <c r="AJ2276">
        <v>80.133219719333695</v>
      </c>
      <c r="AK2276">
        <v>0.57806732529143101</v>
      </c>
    </row>
    <row r="2277" spans="1:37" x14ac:dyDescent="0.2">
      <c r="A2277" t="str">
        <f>"20200111155840519"</f>
        <v>20200111155840519</v>
      </c>
      <c r="B2277" t="str">
        <f>"1578729520513387"</f>
        <v>1578729520513387</v>
      </c>
      <c r="C2277" t="s">
        <v>37</v>
      </c>
      <c r="D2277">
        <v>5.9369079999999999</v>
      </c>
      <c r="E2277">
        <v>0.54662639999999996</v>
      </c>
      <c r="F2277" t="s">
        <v>38</v>
      </c>
      <c r="G2277">
        <v>-418.04790000000003</v>
      </c>
      <c r="H2277">
        <v>1.0376650000000001</v>
      </c>
      <c r="I2277">
        <v>284.80250000000001</v>
      </c>
      <c r="J2277">
        <v>-417.50080000000003</v>
      </c>
      <c r="K2277">
        <v>1.104223</v>
      </c>
      <c r="L2277">
        <v>284.71899999999999</v>
      </c>
      <c r="M2277">
        <v>-0.99957510000000005</v>
      </c>
      <c r="N2277">
        <v>0</v>
      </c>
      <c r="O2277">
        <v>-2.5518269999999999E-2</v>
      </c>
      <c r="P2277">
        <v>-0.99910350000000003</v>
      </c>
      <c r="Q2277">
        <v>3.3949640000000003E-2</v>
      </c>
      <c r="R2277">
        <v>-2.5286550000000001E-2</v>
      </c>
      <c r="S2277">
        <v>-3.018005</v>
      </c>
      <c r="T2277">
        <v>-0.243462399999999</v>
      </c>
      <c r="U2277">
        <v>0.28057859999999901</v>
      </c>
      <c r="V2277">
        <v>2.6202669999999899E-4</v>
      </c>
      <c r="W2277">
        <v>4.8021269999999998E-2</v>
      </c>
      <c r="X2277">
        <v>0.99884629999999996</v>
      </c>
      <c r="Y2277">
        <v>0.1174893</v>
      </c>
      <c r="Z2277">
        <v>6.7725759999999998E-3</v>
      </c>
      <c r="AA2277">
        <v>0.99305109999999996</v>
      </c>
      <c r="AB2277">
        <v>28</v>
      </c>
      <c r="AC2277">
        <v>-0.54710000000000003</v>
      </c>
      <c r="AD2277">
        <v>-6.6557999999999895E-2</v>
      </c>
      <c r="AE2277">
        <v>8.3500000000015007E-2</v>
      </c>
      <c r="AF2277">
        <v>9.6046092775855296E-2</v>
      </c>
      <c r="AG2277">
        <v>-6.6557999999999895E-2</v>
      </c>
      <c r="AH2277">
        <v>0.53702369409072503</v>
      </c>
      <c r="AI2277">
        <v>96.955868217310993</v>
      </c>
      <c r="AJ2277">
        <v>79.859922859459004</v>
      </c>
      <c r="AK2277">
        <v>0.54959009026396899</v>
      </c>
    </row>
    <row r="2278" spans="1:37" x14ac:dyDescent="0.2">
      <c r="A2278" t="str">
        <f>"20200111155840541"</f>
        <v>20200111155840541</v>
      </c>
      <c r="B2278" t="str">
        <f>"1578729520533883"</f>
        <v>1578729520533883</v>
      </c>
      <c r="C2278" t="s">
        <v>37</v>
      </c>
      <c r="D2278">
        <v>6.2862070000000001</v>
      </c>
      <c r="E2278">
        <v>0.54678939999999998</v>
      </c>
      <c r="F2278" t="s">
        <v>38</v>
      </c>
      <c r="G2278">
        <v>-418.2971</v>
      </c>
      <c r="H2278">
        <v>1.04044</v>
      </c>
      <c r="I2278">
        <v>284.7937</v>
      </c>
      <c r="J2278">
        <v>-417.77330000000001</v>
      </c>
      <c r="K2278">
        <v>1.1042160000000001</v>
      </c>
      <c r="L2278">
        <v>284.71260000000001</v>
      </c>
      <c r="M2278">
        <v>-0.9995868</v>
      </c>
      <c r="N2278">
        <v>0</v>
      </c>
      <c r="O2278">
        <v>-2.506601E-2</v>
      </c>
      <c r="P2278">
        <v>-0.99910279999999996</v>
      </c>
      <c r="Q2278">
        <v>3.3876320000000001E-2</v>
      </c>
      <c r="R2278">
        <v>-2.5425880000000001E-2</v>
      </c>
      <c r="S2278">
        <v>-3.0180359999999999</v>
      </c>
      <c r="T2278">
        <v>-0.24169679999999999</v>
      </c>
      <c r="U2278">
        <v>0.283172599999999</v>
      </c>
      <c r="V2278">
        <v>-3.2941719999999999E-4</v>
      </c>
      <c r="W2278">
        <v>4.7945540000000002E-2</v>
      </c>
      <c r="X2278">
        <v>0.99884989999999996</v>
      </c>
      <c r="Y2278">
        <v>0.117892</v>
      </c>
      <c r="Z2278">
        <v>6.703255E-3</v>
      </c>
      <c r="AA2278">
        <v>0.99300379999999999</v>
      </c>
      <c r="AB2278">
        <v>28</v>
      </c>
      <c r="AC2278">
        <v>-0.52379999999999405</v>
      </c>
      <c r="AD2278">
        <v>-6.3775999999999999E-2</v>
      </c>
      <c r="AE2278">
        <v>8.1099999999992095E-2</v>
      </c>
      <c r="AF2278">
        <v>9.2860988345282697E-2</v>
      </c>
      <c r="AG2278">
        <v>-6.3775999999999999E-2</v>
      </c>
      <c r="AH2278">
        <v>0.51415857299360301</v>
      </c>
      <c r="AI2278">
        <v>96.959364420028606</v>
      </c>
      <c r="AJ2278">
        <v>79.762304896668894</v>
      </c>
      <c r="AK2278">
        <v>0.52635499381622797</v>
      </c>
    </row>
    <row r="2279" spans="1:37" x14ac:dyDescent="0.2">
      <c r="A2279" t="str">
        <f>"20200111155840645"</f>
        <v>20200111155840645</v>
      </c>
      <c r="B2279" t="str">
        <f>"1578729520633436"</f>
        <v>1578729520633436</v>
      </c>
      <c r="C2279" t="s">
        <v>37</v>
      </c>
      <c r="D2279">
        <v>5.9680960000000001</v>
      </c>
      <c r="E2279">
        <v>0.4489823</v>
      </c>
      <c r="F2279" t="s">
        <v>52</v>
      </c>
      <c r="G2279">
        <v>-436.72309999999999</v>
      </c>
      <c r="H2279" s="1">
        <v>5.4417330000000002E-6</v>
      </c>
      <c r="I2279">
        <v>281.83269999999999</v>
      </c>
      <c r="J2279">
        <v>-419.05020000000002</v>
      </c>
      <c r="K2279">
        <v>1.1042319999999901</v>
      </c>
      <c r="L2279">
        <v>284.68400000000003</v>
      </c>
      <c r="M2279">
        <v>-0.99963780000000002</v>
      </c>
      <c r="N2279">
        <v>0</v>
      </c>
      <c r="O2279">
        <v>-2.294179E-2</v>
      </c>
      <c r="P2279">
        <v>-0.99906839999999997</v>
      </c>
      <c r="Q2279">
        <v>3.3366239999999998E-2</v>
      </c>
      <c r="R2279">
        <v>-2.7367659999999999E-2</v>
      </c>
      <c r="S2279">
        <v>-2.9959410000000002</v>
      </c>
      <c r="T2279">
        <v>-0.185448799999999</v>
      </c>
      <c r="U2279">
        <v>-0.47946169999999999</v>
      </c>
      <c r="V2279">
        <v>-4.3965419999999998E-3</v>
      </c>
      <c r="W2279">
        <v>4.7425420000000003E-2</v>
      </c>
      <c r="X2279">
        <v>0.99886509999999995</v>
      </c>
      <c r="Y2279">
        <v>-0.13511970000000001</v>
      </c>
      <c r="Z2279">
        <v>-2.7424179999999999E-3</v>
      </c>
      <c r="AA2279">
        <v>0.99082549999999903</v>
      </c>
      <c r="AB2279">
        <v>28</v>
      </c>
      <c r="AC2279">
        <v>-17.672899999999899</v>
      </c>
      <c r="AD2279">
        <v>-1.1042265582669999</v>
      </c>
      <c r="AE2279">
        <v>-2.8513000000000299</v>
      </c>
      <c r="AF2279">
        <v>-2.4357934044728702</v>
      </c>
      <c r="AG2279">
        <v>-1.1042265582669999</v>
      </c>
      <c r="AH2279">
        <v>17.666449325853801</v>
      </c>
      <c r="AI2279">
        <v>93.543139334367496</v>
      </c>
      <c r="AJ2279">
        <v>97.850263581887106</v>
      </c>
      <c r="AK2279">
        <v>17.867731741444299</v>
      </c>
    </row>
    <row r="2280" spans="1:37" x14ac:dyDescent="0.2">
      <c r="A2280" t="str">
        <f>"20200111155840664"</f>
        <v>20200111155840664</v>
      </c>
      <c r="B2280" t="str">
        <f>"1578729520653932"</f>
        <v>1578729520653932</v>
      </c>
      <c r="C2280" t="s">
        <v>37</v>
      </c>
      <c r="D2280">
        <v>6.0216640000000003</v>
      </c>
      <c r="E2280">
        <v>0.44669049999999999</v>
      </c>
      <c r="F2280" t="s">
        <v>52</v>
      </c>
      <c r="G2280">
        <v>-437.9359</v>
      </c>
      <c r="H2280" s="1">
        <v>6.0056709999999998E-6</v>
      </c>
      <c r="I2280">
        <v>281.53449999999998</v>
      </c>
      <c r="J2280">
        <v>-419.28590000000003</v>
      </c>
      <c r="K2280">
        <v>1.1042430000000001</v>
      </c>
      <c r="L2280">
        <v>284.67899999999997</v>
      </c>
      <c r="M2280">
        <v>-0.99964679999999995</v>
      </c>
      <c r="N2280">
        <v>0</v>
      </c>
      <c r="O2280">
        <v>-2.25489E-2</v>
      </c>
      <c r="P2280">
        <v>-0.99900730000000004</v>
      </c>
      <c r="Q2280">
        <v>3.3947129999999999E-2</v>
      </c>
      <c r="R2280">
        <v>-2.884186E-2</v>
      </c>
      <c r="S2280">
        <v>-2.9949650000000001</v>
      </c>
      <c r="T2280">
        <v>-0.1751115</v>
      </c>
      <c r="U2280">
        <v>-0.49945070000000003</v>
      </c>
      <c r="V2280">
        <v>-6.2639159999999996E-3</v>
      </c>
      <c r="W2280">
        <v>4.8005539999999999E-2</v>
      </c>
      <c r="X2280">
        <v>0.99882749999999998</v>
      </c>
      <c r="Y2280">
        <v>-0.14200779999999999</v>
      </c>
      <c r="Z2280">
        <v>-2.8118829999999998E-3</v>
      </c>
      <c r="AA2280">
        <v>0.98986149999999995</v>
      </c>
      <c r="AB2280">
        <v>28</v>
      </c>
      <c r="AC2280">
        <v>-18.649999999999899</v>
      </c>
      <c r="AD2280">
        <v>-1.104236994329</v>
      </c>
      <c r="AE2280">
        <v>-3.14450000000005</v>
      </c>
      <c r="AF2280">
        <v>-2.7138708756635102</v>
      </c>
      <c r="AG2280">
        <v>-1.104236994329</v>
      </c>
      <c r="AH2280">
        <v>18.652587467092602</v>
      </c>
      <c r="AI2280">
        <v>93.352748162963294</v>
      </c>
      <c r="AJ2280">
        <v>98.278200753835705</v>
      </c>
      <c r="AK2280">
        <v>18.881299046595299</v>
      </c>
    </row>
    <row r="2281" spans="1:37" x14ac:dyDescent="0.2">
      <c r="A2281" t="str">
        <f>"20200111155840687"</f>
        <v>20200111155840687</v>
      </c>
      <c r="B2281" t="str">
        <f>"1578729520683213"</f>
        <v>1578729520683213</v>
      </c>
      <c r="C2281" t="s">
        <v>37</v>
      </c>
      <c r="D2281">
        <v>6.1034280000000001</v>
      </c>
      <c r="E2281">
        <v>0.44578970000000001</v>
      </c>
      <c r="F2281" t="s">
        <v>52</v>
      </c>
      <c r="G2281">
        <v>-437.27289999999999</v>
      </c>
      <c r="H2281" s="1">
        <v>5.7111320000000003E-6</v>
      </c>
      <c r="I2281">
        <v>281.54039999999998</v>
      </c>
      <c r="J2281">
        <v>-419.56509999999997</v>
      </c>
      <c r="K2281">
        <v>1.1042430000000001</v>
      </c>
      <c r="L2281">
        <v>284.67320000000001</v>
      </c>
      <c r="M2281">
        <v>-0.99965720000000002</v>
      </c>
      <c r="N2281">
        <v>0</v>
      </c>
      <c r="O2281">
        <v>-2.2083160000000001E-2</v>
      </c>
      <c r="P2281">
        <v>-0.9989924</v>
      </c>
      <c r="Q2281">
        <v>3.406874E-2</v>
      </c>
      <c r="R2281">
        <v>-2.9213200000000002E-2</v>
      </c>
      <c r="S2281">
        <v>-2.9941409999999999</v>
      </c>
      <c r="T2281">
        <v>-0.18381229999999901</v>
      </c>
      <c r="U2281">
        <v>-0.52246090000000001</v>
      </c>
      <c r="V2281">
        <v>-7.1011700000000004E-3</v>
      </c>
      <c r="W2281">
        <v>4.812462E-2</v>
      </c>
      <c r="X2281">
        <v>0.99881609999999998</v>
      </c>
      <c r="Y2281">
        <v>-0.14986540000000001</v>
      </c>
      <c r="Z2281">
        <v>-3.2177690000000001E-3</v>
      </c>
      <c r="AA2281">
        <v>0.98870119999999895</v>
      </c>
      <c r="AB2281">
        <v>28</v>
      </c>
      <c r="AC2281">
        <v>-17.707799999999999</v>
      </c>
      <c r="AD2281">
        <v>-1.1042372888680001</v>
      </c>
      <c r="AE2281">
        <v>-3.1328000000000298</v>
      </c>
      <c r="AF2281">
        <v>-2.7306567885883801</v>
      </c>
      <c r="AG2281">
        <v>-1.1042372888680001</v>
      </c>
      <c r="AH2281">
        <v>17.7059078876588</v>
      </c>
      <c r="AI2281">
        <v>93.527064889656799</v>
      </c>
      <c r="AJ2281">
        <v>98.767248968476295</v>
      </c>
      <c r="AK2281">
        <v>17.949233984029799</v>
      </c>
    </row>
    <row r="2282" spans="1:37" x14ac:dyDescent="0.2">
      <c r="A2282" t="str">
        <f>"20200111155840709"</f>
        <v>20200111155840709</v>
      </c>
      <c r="B2282" t="str">
        <f>"1578729520703708"</f>
        <v>1578729520703708</v>
      </c>
      <c r="C2282" t="s">
        <v>37</v>
      </c>
      <c r="D2282">
        <v>5.9984679999999999</v>
      </c>
      <c r="E2282">
        <v>0.44539040000000002</v>
      </c>
      <c r="F2282" t="s">
        <v>52</v>
      </c>
      <c r="G2282">
        <v>-435.79809999999998</v>
      </c>
      <c r="H2282" s="1">
        <v>5.0353949999999998E-6</v>
      </c>
      <c r="I2282">
        <v>281.78899999999999</v>
      </c>
      <c r="J2282">
        <v>-419.84289999999999</v>
      </c>
      <c r="K2282">
        <v>1.1042399999999899</v>
      </c>
      <c r="L2282">
        <v>284.66770000000002</v>
      </c>
      <c r="M2282">
        <v>-0.99966749999999904</v>
      </c>
      <c r="N2282">
        <v>0</v>
      </c>
      <c r="O2282">
        <v>-2.1616799999999999E-2</v>
      </c>
      <c r="P2282">
        <v>-0.99902389999999996</v>
      </c>
      <c r="Q2282">
        <v>3.2826550000000003E-2</v>
      </c>
      <c r="R2282">
        <v>-2.9556900000000001E-2</v>
      </c>
      <c r="S2282">
        <v>-2.994415</v>
      </c>
      <c r="T2282">
        <v>-0.20369200000000001</v>
      </c>
      <c r="U2282">
        <v>-0.5320435</v>
      </c>
      <c r="V2282">
        <v>-7.9112990000000001E-3</v>
      </c>
      <c r="W2282">
        <v>4.6880520000000002E-2</v>
      </c>
      <c r="X2282">
        <v>0.99886919999999901</v>
      </c>
      <c r="Y2282">
        <v>-0.1533175</v>
      </c>
      <c r="Z2282">
        <v>-3.7115220000000001E-3</v>
      </c>
      <c r="AA2282">
        <v>0.98816999999999999</v>
      </c>
      <c r="AB2282">
        <v>27</v>
      </c>
      <c r="AC2282">
        <v>-15.9551999999999</v>
      </c>
      <c r="AD2282">
        <v>-1.10423496460499</v>
      </c>
      <c r="AE2282">
        <v>-2.87870000000003</v>
      </c>
      <c r="AF2282">
        <v>-2.5213964818248802</v>
      </c>
      <c r="AG2282">
        <v>-1.10423496460499</v>
      </c>
      <c r="AH2282">
        <v>15.939763963848399</v>
      </c>
      <c r="AI2282">
        <v>93.914346624895501</v>
      </c>
      <c r="AJ2282">
        <v>98.988729188181395</v>
      </c>
      <c r="AK2282">
        <v>16.175687011648499</v>
      </c>
    </row>
    <row r="2283" spans="1:37" x14ac:dyDescent="0.2">
      <c r="A2283" t="str">
        <f>"20200111155840731"</f>
        <v>20200111155840731</v>
      </c>
      <c r="B2283" t="str">
        <f>"1578729520723227"</f>
        <v>1578729520723227</v>
      </c>
      <c r="C2283" t="s">
        <v>37</v>
      </c>
      <c r="D2283">
        <v>5.9971129999999997</v>
      </c>
      <c r="E2283">
        <v>0.44505749999999999</v>
      </c>
      <c r="F2283" t="s">
        <v>52</v>
      </c>
      <c r="G2283">
        <v>-435.09019999999998</v>
      </c>
      <c r="H2283" s="1">
        <v>4.7086070000000001E-6</v>
      </c>
      <c r="I2283">
        <v>281.93610000000001</v>
      </c>
      <c r="J2283">
        <v>-420.10879999999997</v>
      </c>
      <c r="K2283">
        <v>1.104228</v>
      </c>
      <c r="L2283">
        <v>284.66239999999999</v>
      </c>
      <c r="M2283">
        <v>-0.99967719999999904</v>
      </c>
      <c r="N2283">
        <v>0</v>
      </c>
      <c r="O2283">
        <v>-2.1168559999999999E-2</v>
      </c>
      <c r="P2283">
        <v>-0.99901519999999999</v>
      </c>
      <c r="Q2283">
        <v>3.2638199999999999E-2</v>
      </c>
      <c r="R2283">
        <v>-3.0059599999999999E-2</v>
      </c>
      <c r="S2283">
        <v>-2.9941709999999899</v>
      </c>
      <c r="T2283">
        <v>-0.21684290000000001</v>
      </c>
      <c r="U2283">
        <v>-0.53640750000000004</v>
      </c>
      <c r="V2283">
        <v>-8.8625419999999993E-3</v>
      </c>
      <c r="W2283">
        <v>4.6689999999999898E-2</v>
      </c>
      <c r="X2283">
        <v>0.99887009999999898</v>
      </c>
      <c r="Y2283">
        <v>-0.15512509999999999</v>
      </c>
      <c r="Z2283">
        <v>-4.0473649999999998E-3</v>
      </c>
      <c r="AA2283">
        <v>0.9878865</v>
      </c>
      <c r="AB2283">
        <v>27</v>
      </c>
      <c r="AC2283">
        <v>-14.981400000000001</v>
      </c>
      <c r="AD2283">
        <v>-1.1042232913929999</v>
      </c>
      <c r="AE2283">
        <v>-2.7262999999999802</v>
      </c>
      <c r="AF2283">
        <v>-2.3959240981492198</v>
      </c>
      <c r="AG2283">
        <v>-1.1042232913929999</v>
      </c>
      <c r="AH2283">
        <v>14.9571082882422</v>
      </c>
      <c r="AI2283">
        <v>94.169296276893206</v>
      </c>
      <c r="AJ2283">
        <v>99.100685364518895</v>
      </c>
      <c r="AK2283">
        <v>15.1879837275246</v>
      </c>
    </row>
    <row r="2284" spans="1:37" x14ac:dyDescent="0.2">
      <c r="A2284" t="str">
        <f>"20200111155840753"</f>
        <v>20200111155840753</v>
      </c>
      <c r="B2284" t="str">
        <f>"1578729520743723"</f>
        <v>1578729520743723</v>
      </c>
      <c r="C2284" t="s">
        <v>37</v>
      </c>
      <c r="D2284">
        <v>6.0215540000000001</v>
      </c>
      <c r="E2284">
        <v>0.44459739999999998</v>
      </c>
      <c r="F2284" t="s">
        <v>52</v>
      </c>
      <c r="G2284">
        <v>-435.37349999999998</v>
      </c>
      <c r="H2284" s="1">
        <v>4.8367730000000003E-6</v>
      </c>
      <c r="I2284">
        <v>281.90710000000001</v>
      </c>
      <c r="J2284">
        <v>-420.38010000000003</v>
      </c>
      <c r="K2284">
        <v>1.1042289999999999</v>
      </c>
      <c r="L2284">
        <v>284.65719999999999</v>
      </c>
      <c r="M2284">
        <v>-0.99968699999999999</v>
      </c>
      <c r="N2284">
        <v>0</v>
      </c>
      <c r="O2284">
        <v>-2.0707079999999999E-2</v>
      </c>
      <c r="P2284">
        <v>-0.998997899999999</v>
      </c>
      <c r="Q2284">
        <v>3.2856990000000003E-2</v>
      </c>
      <c r="R2284">
        <v>-3.039944E-2</v>
      </c>
      <c r="S2284">
        <v>-2.993744</v>
      </c>
      <c r="T2284">
        <v>-0.2165617</v>
      </c>
      <c r="U2284">
        <v>-0.54037480000000004</v>
      </c>
      <c r="V2284">
        <v>-9.6635739999999994E-3</v>
      </c>
      <c r="W2284">
        <v>4.6906719999999999E-2</v>
      </c>
      <c r="X2284">
        <v>0.99885259999999998</v>
      </c>
      <c r="Y2284">
        <v>-0.1568687</v>
      </c>
      <c r="Z2284">
        <v>-4.1377530000000001E-3</v>
      </c>
      <c r="AA2284">
        <v>0.98761080000000001</v>
      </c>
      <c r="AB2284">
        <v>27</v>
      </c>
      <c r="AC2284">
        <v>-14.9933999999999</v>
      </c>
      <c r="AD2284">
        <v>-1.104224163227</v>
      </c>
      <c r="AE2284">
        <v>-2.75009999999997</v>
      </c>
      <c r="AF2284">
        <v>-2.4262784477983299</v>
      </c>
      <c r="AG2284">
        <v>-1.104224163227</v>
      </c>
      <c r="AH2284">
        <v>14.968590636759201</v>
      </c>
      <c r="AI2284">
        <v>94.164870645406694</v>
      </c>
      <c r="AJ2284">
        <v>99.207070918325101</v>
      </c>
      <c r="AK2284">
        <v>15.2041061480043</v>
      </c>
    </row>
    <row r="2285" spans="1:37" x14ac:dyDescent="0.2">
      <c r="A2285" t="str">
        <f>"20200111155840775"</f>
        <v>20200111155840775</v>
      </c>
      <c r="B2285" t="str">
        <f>"1578729520773980"</f>
        <v>1578729520773980</v>
      </c>
      <c r="C2285" t="s">
        <v>37</v>
      </c>
      <c r="D2285">
        <v>6.0318239999999896</v>
      </c>
      <c r="E2285">
        <v>0.44449759999999999</v>
      </c>
      <c r="F2285" t="s">
        <v>52</v>
      </c>
      <c r="G2285">
        <v>-436.01060000000001</v>
      </c>
      <c r="H2285" s="1">
        <v>5.1274549999999999E-6</v>
      </c>
      <c r="I2285">
        <v>281.81360000000001</v>
      </c>
      <c r="J2285">
        <v>-420.6542</v>
      </c>
      <c r="K2285">
        <v>1.1042209999999999</v>
      </c>
      <c r="L2285">
        <v>284.65199999999999</v>
      </c>
      <c r="M2285">
        <v>-0.99969660000000005</v>
      </c>
      <c r="N2285">
        <v>0</v>
      </c>
      <c r="O2285">
        <v>-2.0233770000000002E-2</v>
      </c>
      <c r="P2285">
        <v>-0.99898770000000003</v>
      </c>
      <c r="Q2285">
        <v>3.2938799999999997E-2</v>
      </c>
      <c r="R2285">
        <v>-3.0640580000000001E-2</v>
      </c>
      <c r="S2285">
        <v>-2.993439</v>
      </c>
      <c r="T2285">
        <v>-0.2114731</v>
      </c>
      <c r="U2285">
        <v>-0.54458619999999902</v>
      </c>
      <c r="V2285">
        <v>-1.037749E-2</v>
      </c>
      <c r="W2285">
        <v>4.6986269999999997E-2</v>
      </c>
      <c r="X2285">
        <v>0.998841599999999</v>
      </c>
      <c r="Y2285">
        <v>-0.1587094</v>
      </c>
      <c r="Z2285">
        <v>-4.1381780000000002E-3</v>
      </c>
      <c r="AA2285">
        <v>0.98731669999999905</v>
      </c>
      <c r="AB2285">
        <v>27</v>
      </c>
      <c r="AC2285">
        <v>-15.356400000000001</v>
      </c>
      <c r="AD2285">
        <v>-1.104215872545</v>
      </c>
      <c r="AE2285">
        <v>-2.8383999999999698</v>
      </c>
      <c r="AF2285">
        <v>-2.5144986577017798</v>
      </c>
      <c r="AG2285">
        <v>-1.104215872545</v>
      </c>
      <c r="AH2285">
        <v>15.3340279638083</v>
      </c>
      <c r="AI2285">
        <v>94.064704486684306</v>
      </c>
      <c r="AJ2285">
        <v>99.312573068514794</v>
      </c>
      <c r="AK2285">
        <v>15.578010456653899</v>
      </c>
    </row>
    <row r="2286" spans="1:37" x14ac:dyDescent="0.2">
      <c r="A2286" t="str">
        <f>"20200111155840799"</f>
        <v>20200111155840799</v>
      </c>
      <c r="B2286" t="str">
        <f>"1578729520793499"</f>
        <v>1578729520793499</v>
      </c>
      <c r="C2286" t="s">
        <v>37</v>
      </c>
      <c r="D2286">
        <v>6.1914040000000004</v>
      </c>
      <c r="E2286">
        <v>0.4444903</v>
      </c>
      <c r="F2286" t="s">
        <v>52</v>
      </c>
      <c r="G2286">
        <v>-436.08240000000001</v>
      </c>
      <c r="H2286" s="1">
        <v>5.1572709999999903E-6</v>
      </c>
      <c r="I2286">
        <v>281.83699999999999</v>
      </c>
      <c r="J2286">
        <v>-420.93450000000001</v>
      </c>
      <c r="K2286">
        <v>1.104209</v>
      </c>
      <c r="L2286">
        <v>284.64690000000002</v>
      </c>
      <c r="M2286">
        <v>-0.99970650000000005</v>
      </c>
      <c r="N2286">
        <v>0</v>
      </c>
      <c r="O2286">
        <v>-1.9736799999999999E-2</v>
      </c>
      <c r="P2286">
        <v>-0.99898489999999995</v>
      </c>
      <c r="Q2286">
        <v>3.2915989999999999E-2</v>
      </c>
      <c r="R2286">
        <v>-3.075425E-2</v>
      </c>
      <c r="S2286">
        <v>-2.993347</v>
      </c>
      <c r="T2286">
        <v>-0.21423729999999999</v>
      </c>
      <c r="U2286">
        <v>-0.54617309999999997</v>
      </c>
      <c r="V2286">
        <v>-1.0987149999999999E-2</v>
      </c>
      <c r="W2286">
        <v>4.6961490000000002E-2</v>
      </c>
      <c r="X2286">
        <v>0.99883630000000001</v>
      </c>
      <c r="Y2286">
        <v>-0.15969949999999999</v>
      </c>
      <c r="Z2286">
        <v>-4.2623640000000003E-3</v>
      </c>
      <c r="AA2286">
        <v>0.98715649999999999</v>
      </c>
      <c r="AB2286">
        <v>27</v>
      </c>
      <c r="AC2286">
        <v>-15.1478999999999</v>
      </c>
      <c r="AD2286">
        <v>-1.104203842729</v>
      </c>
      <c r="AE2286">
        <v>-2.8099000000000198</v>
      </c>
      <c r="AF2286">
        <v>-2.4975224455524301</v>
      </c>
      <c r="AG2286">
        <v>-1.104203842729</v>
      </c>
      <c r="AH2286">
        <v>15.1227287113195</v>
      </c>
      <c r="AI2286">
        <v>94.120489682929104</v>
      </c>
      <c r="AJ2286">
        <v>99.377765492201306</v>
      </c>
      <c r="AK2286">
        <v>15.367296709847899</v>
      </c>
    </row>
    <row r="2287" spans="1:37" x14ac:dyDescent="0.2">
      <c r="A2287" t="str">
        <f>"20200111155840842"</f>
        <v>20200111155840842</v>
      </c>
      <c r="B2287" t="str">
        <f>"1578729520833517"</f>
        <v>1578729520833517</v>
      </c>
      <c r="C2287" t="s">
        <v>37</v>
      </c>
      <c r="D2287">
        <v>6.0321410000000002</v>
      </c>
      <c r="E2287">
        <v>0.47558289999999998</v>
      </c>
      <c r="F2287" t="s">
        <v>52</v>
      </c>
      <c r="G2287">
        <v>-436.1669</v>
      </c>
      <c r="H2287" s="1">
        <v>5.1922649999999902E-6</v>
      </c>
      <c r="I2287">
        <v>281.86509999999998</v>
      </c>
      <c r="J2287">
        <v>-421.46960000000001</v>
      </c>
      <c r="K2287">
        <v>1.1041879999999999</v>
      </c>
      <c r="L2287">
        <v>284.63760000000002</v>
      </c>
      <c r="M2287">
        <v>-0.9997258</v>
      </c>
      <c r="N2287">
        <v>0</v>
      </c>
      <c r="O2287">
        <v>-1.8740469999999999E-2</v>
      </c>
      <c r="P2287">
        <v>-0.99901899999999999</v>
      </c>
      <c r="Q2287">
        <v>3.1577229999999998E-2</v>
      </c>
      <c r="R2287">
        <v>-3.1049770000000001E-2</v>
      </c>
      <c r="S2287">
        <v>-2.9933779999999999</v>
      </c>
      <c r="T2287">
        <v>-0.21699179999999901</v>
      </c>
      <c r="U2287">
        <v>-0.54666139999999996</v>
      </c>
      <c r="V2287">
        <v>-1.227672E-2</v>
      </c>
      <c r="W2287">
        <v>4.5619689999999997E-2</v>
      </c>
      <c r="X2287">
        <v>0.99888339999999998</v>
      </c>
      <c r="Y2287">
        <v>-0.16082289999999999</v>
      </c>
      <c r="Z2287">
        <v>-4.4287290000000002E-3</v>
      </c>
      <c r="AA2287">
        <v>0.98697330000000005</v>
      </c>
      <c r="AB2287">
        <v>27</v>
      </c>
      <c r="AC2287">
        <v>-14.697299999999901</v>
      </c>
      <c r="AD2287">
        <v>-1.104182807735</v>
      </c>
      <c r="AE2287">
        <v>-2.7725000000000302</v>
      </c>
      <c r="AF2287">
        <v>-2.4830183274851798</v>
      </c>
      <c r="AG2287">
        <v>-1.104182807735</v>
      </c>
      <c r="AH2287">
        <v>14.6667431850786</v>
      </c>
      <c r="AI2287">
        <v>94.245198807308498</v>
      </c>
      <c r="AJ2287">
        <v>99.608827531297706</v>
      </c>
      <c r="AK2287">
        <v>14.916365353013299</v>
      </c>
    </row>
    <row r="2288" spans="1:37" x14ac:dyDescent="0.2">
      <c r="A2288" t="str">
        <f>"20200111155840865"</f>
        <v>20200111155840865</v>
      </c>
      <c r="B2288" t="str">
        <f>"1578729520853036"</f>
        <v>1578729520853036</v>
      </c>
      <c r="C2288" t="s">
        <v>37</v>
      </c>
      <c r="D2288">
        <v>5.9865139999999997</v>
      </c>
      <c r="E2288">
        <v>0.48097780000000001</v>
      </c>
      <c r="F2288" t="s">
        <v>52</v>
      </c>
      <c r="G2288">
        <v>-435.46120000000002</v>
      </c>
      <c r="H2288" s="1">
        <v>4.759288E-6</v>
      </c>
      <c r="I2288">
        <v>283.23829999999998</v>
      </c>
      <c r="J2288">
        <v>-421.74299999999999</v>
      </c>
      <c r="K2288">
        <v>1.1041719999999999</v>
      </c>
      <c r="L2288">
        <v>284.63310000000001</v>
      </c>
      <c r="M2288">
        <v>-0.99973579999999995</v>
      </c>
      <c r="N2288">
        <v>0</v>
      </c>
      <c r="O2288">
        <v>-1.8202490000000002E-2</v>
      </c>
      <c r="P2288">
        <v>-0.99903960000000003</v>
      </c>
      <c r="Q2288">
        <v>3.1402270000000003E-2</v>
      </c>
      <c r="R2288">
        <v>-3.0564529999999999E-2</v>
      </c>
      <c r="S2288">
        <v>-3.001099</v>
      </c>
      <c r="T2288">
        <v>-0.2368391</v>
      </c>
      <c r="U2288">
        <v>-0.30014039999999997</v>
      </c>
      <c r="V2288">
        <v>-1.2327309999999999E-2</v>
      </c>
      <c r="W2288">
        <v>4.5442490000000002E-2</v>
      </c>
      <c r="X2288">
        <v>0.99889089999999903</v>
      </c>
      <c r="Y2288">
        <v>-8.1189529999999996E-2</v>
      </c>
      <c r="Z2288">
        <v>-1.7602710000000001E-3</v>
      </c>
      <c r="AA2288">
        <v>0.9966971</v>
      </c>
      <c r="AB2288">
        <v>27</v>
      </c>
      <c r="AC2288">
        <v>-13.7181999999999</v>
      </c>
      <c r="AD2288">
        <v>-1.104167240712</v>
      </c>
      <c r="AE2288">
        <v>-1.39480000000003</v>
      </c>
      <c r="AF2288">
        <v>-1.1375446736171899</v>
      </c>
      <c r="AG2288">
        <v>-1.104167240712</v>
      </c>
      <c r="AH2288">
        <v>13.653767024531801</v>
      </c>
      <c r="AI2288">
        <v>94.607500425272207</v>
      </c>
      <c r="AJ2288">
        <v>94.762519638320796</v>
      </c>
      <c r="AK2288">
        <v>13.7454918842553</v>
      </c>
    </row>
    <row r="2289" spans="1:37" x14ac:dyDescent="0.2">
      <c r="A2289" t="str">
        <f>"20200111155840888"</f>
        <v>20200111155840888</v>
      </c>
      <c r="B2289" t="str">
        <f>"1578729520883292"</f>
        <v>1578729520883292</v>
      </c>
      <c r="C2289" t="s">
        <v>37</v>
      </c>
      <c r="D2289">
        <v>5.9183479999999999</v>
      </c>
      <c r="E2289">
        <v>0.48317650000000001</v>
      </c>
      <c r="F2289" t="s">
        <v>52</v>
      </c>
      <c r="G2289">
        <v>-436.80720000000002</v>
      </c>
      <c r="H2289" s="1">
        <v>5.3461369999999999E-6</v>
      </c>
      <c r="I2289">
        <v>283.35309999999998</v>
      </c>
      <c r="J2289">
        <v>-422.01909999999998</v>
      </c>
      <c r="K2289">
        <v>1.1041609999999999</v>
      </c>
      <c r="L2289">
        <v>284.62869999999998</v>
      </c>
      <c r="M2289">
        <v>-0.99974609999999997</v>
      </c>
      <c r="N2289">
        <v>0</v>
      </c>
      <c r="O2289">
        <v>-1.7632419999999999E-2</v>
      </c>
      <c r="P2289">
        <v>-0.9990367</v>
      </c>
      <c r="Q2289">
        <v>3.1969869999999997E-2</v>
      </c>
      <c r="R2289">
        <v>-3.0063690000000001E-2</v>
      </c>
      <c r="S2289">
        <v>-3.0019840000000002</v>
      </c>
      <c r="T2289">
        <v>-0.22003729999999999</v>
      </c>
      <c r="U2289">
        <v>-0.25506590000000001</v>
      </c>
      <c r="V2289">
        <v>-1.239415E-2</v>
      </c>
      <c r="W2289">
        <v>4.600742E-2</v>
      </c>
      <c r="X2289">
        <v>0.99886419999999998</v>
      </c>
      <c r="Y2289">
        <v>-6.6945459999999998E-2</v>
      </c>
      <c r="Z2289">
        <v>-1.157583E-3</v>
      </c>
      <c r="AA2289">
        <v>0.99775590000000003</v>
      </c>
      <c r="AB2289">
        <v>27</v>
      </c>
      <c r="AC2289">
        <v>-14.7881</v>
      </c>
      <c r="AD2289">
        <v>-1.104155653863</v>
      </c>
      <c r="AE2289">
        <v>-1.2755999999999901</v>
      </c>
      <c r="AF2289">
        <v>-1.00904224844382</v>
      </c>
      <c r="AG2289">
        <v>-1.104155653863</v>
      </c>
      <c r="AH2289">
        <v>14.7268008209155</v>
      </c>
      <c r="AI2289">
        <v>94.277789974268998</v>
      </c>
      <c r="AJ2289">
        <v>93.919632322488496</v>
      </c>
      <c r="AK2289">
        <v>14.8025669525937</v>
      </c>
    </row>
    <row r="2290" spans="1:37" x14ac:dyDescent="0.2">
      <c r="A2290" t="str">
        <f>"20200111155840909"</f>
        <v>20200111155840909</v>
      </c>
      <c r="B2290" t="str">
        <f>"1578729520903787"</f>
        <v>1578729520903787</v>
      </c>
      <c r="C2290" t="s">
        <v>37</v>
      </c>
      <c r="D2290">
        <v>5.8767959999999997</v>
      </c>
      <c r="E2290">
        <v>0.483680099999999</v>
      </c>
      <c r="F2290" t="s">
        <v>52</v>
      </c>
      <c r="G2290">
        <v>-438.017</v>
      </c>
      <c r="H2290" s="1">
        <v>5.8808459999999997E-6</v>
      </c>
      <c r="I2290">
        <v>283.3734</v>
      </c>
      <c r="J2290">
        <v>-422.2851</v>
      </c>
      <c r="K2290">
        <v>1.1041540000000001</v>
      </c>
      <c r="L2290">
        <v>284.62470000000002</v>
      </c>
      <c r="M2290">
        <v>-0.99975599999999998</v>
      </c>
      <c r="N2290">
        <v>0</v>
      </c>
      <c r="O2290">
        <v>-1.7063579999999998E-2</v>
      </c>
      <c r="P2290">
        <v>-0.99903779999999998</v>
      </c>
      <c r="Q2290">
        <v>3.2608449999999997E-2</v>
      </c>
      <c r="R2290">
        <v>-2.9331799999999901E-2</v>
      </c>
      <c r="S2290">
        <v>-3.0024109999999999</v>
      </c>
      <c r="T2290">
        <v>-0.20722309999999999</v>
      </c>
      <c r="U2290">
        <v>-0.23559569999999999</v>
      </c>
      <c r="V2290">
        <v>-1.222899E-2</v>
      </c>
      <c r="W2290">
        <v>4.6643320000000002E-2</v>
      </c>
      <c r="X2290">
        <v>0.99883679999999997</v>
      </c>
      <c r="Y2290">
        <v>-6.1099939999999998E-2</v>
      </c>
      <c r="Z2290">
        <v>-9.2841129999999997E-4</v>
      </c>
      <c r="AA2290">
        <v>0.9981312</v>
      </c>
      <c r="AB2290">
        <v>27</v>
      </c>
      <c r="AC2290">
        <v>-15.7318999999999</v>
      </c>
      <c r="AD2290">
        <v>-1.1041481191539999</v>
      </c>
      <c r="AE2290">
        <v>-1.2513000000000101</v>
      </c>
      <c r="AF2290">
        <v>-0.97786219007097996</v>
      </c>
      <c r="AG2290">
        <v>-1.1041481191539999</v>
      </c>
      <c r="AH2290">
        <v>15.6742373246061</v>
      </c>
      <c r="AI2290">
        <v>94.021665861293201</v>
      </c>
      <c r="AJ2290">
        <v>93.569861598687694</v>
      </c>
      <c r="AK2290">
        <v>15.743477164841201</v>
      </c>
    </row>
    <row r="2291" spans="1:37" x14ac:dyDescent="0.2">
      <c r="A2291" t="str">
        <f>"20200111155840932"</f>
        <v>20200111155840932</v>
      </c>
      <c r="B2291" t="str">
        <f>"1578729520923308"</f>
        <v>1578729520923308</v>
      </c>
      <c r="C2291" t="s">
        <v>37</v>
      </c>
      <c r="D2291">
        <v>9.7477039999999899</v>
      </c>
      <c r="E2291">
        <v>0.48394239999999999</v>
      </c>
      <c r="F2291" t="s">
        <v>52</v>
      </c>
      <c r="G2291">
        <v>-438.88499999999999</v>
      </c>
      <c r="H2291" s="1">
        <v>6.2671559999999902E-6</v>
      </c>
      <c r="I2291">
        <v>283.35750000000002</v>
      </c>
      <c r="J2291">
        <v>-422.55169999999998</v>
      </c>
      <c r="K2291">
        <v>1.1041459999999901</v>
      </c>
      <c r="L2291">
        <v>284.62079999999997</v>
      </c>
      <c r="M2291">
        <v>-0.99976609999999999</v>
      </c>
      <c r="N2291">
        <v>0</v>
      </c>
      <c r="O2291">
        <v>-1.6473539999999998E-2</v>
      </c>
      <c r="P2291">
        <v>-0.99906539999999999</v>
      </c>
      <c r="Q2291">
        <v>3.2810159999999998E-2</v>
      </c>
      <c r="R2291">
        <v>-2.8145010000000002E-2</v>
      </c>
      <c r="S2291">
        <v>-3.0026549999999999</v>
      </c>
      <c r="T2291">
        <v>-0.19972290000000001</v>
      </c>
      <c r="U2291">
        <v>-0.22921749999999999</v>
      </c>
      <c r="V2291">
        <v>-1.162972E-2</v>
      </c>
      <c r="W2291">
        <v>4.6841939999999999E-2</v>
      </c>
      <c r="X2291">
        <v>0.99883459999999902</v>
      </c>
      <c r="Y2291">
        <v>-5.9584440000000002E-2</v>
      </c>
      <c r="Z2291">
        <v>-8.8374009999999997E-4</v>
      </c>
      <c r="AA2291">
        <v>0.99822289999999902</v>
      </c>
      <c r="AB2291">
        <v>27</v>
      </c>
      <c r="AC2291">
        <v>-16.333300000000001</v>
      </c>
      <c r="AD2291">
        <v>-1.1041397328439999</v>
      </c>
      <c r="AE2291">
        <v>-1.2632999999999499</v>
      </c>
      <c r="AF2291">
        <v>-0.98953970747221798</v>
      </c>
      <c r="AG2291">
        <v>-1.1041397328439999</v>
      </c>
      <c r="AH2291">
        <v>16.277951098884198</v>
      </c>
      <c r="AI2291">
        <v>93.873322545194597</v>
      </c>
      <c r="AJ2291">
        <v>93.478740255888695</v>
      </c>
      <c r="AK2291">
        <v>16.345335890093398</v>
      </c>
    </row>
    <row r="2292" spans="1:37" x14ac:dyDescent="0.2">
      <c r="A2292" t="str">
        <f>"20200111155840955"</f>
        <v>20200111155840955</v>
      </c>
      <c r="B2292" t="str">
        <f>"1578729520943803"</f>
        <v>1578729520943803</v>
      </c>
      <c r="C2292" t="s">
        <v>37</v>
      </c>
      <c r="D2292">
        <v>5.7728000000000002</v>
      </c>
      <c r="E2292">
        <v>0.48648019999999997</v>
      </c>
      <c r="F2292" t="s">
        <v>52</v>
      </c>
      <c r="G2292">
        <v>-439.43729999999999</v>
      </c>
      <c r="H2292" s="1">
        <v>6.5113620000000003E-6</v>
      </c>
      <c r="I2292">
        <v>283.36599999999999</v>
      </c>
      <c r="J2292">
        <v>-422.82780000000002</v>
      </c>
      <c r="K2292">
        <v>1.104131</v>
      </c>
      <c r="L2292">
        <v>284.61689999999999</v>
      </c>
      <c r="M2292">
        <v>-0.99977640000000001</v>
      </c>
      <c r="N2292">
        <v>0</v>
      </c>
      <c r="O2292">
        <v>-1.5840130000000001E-2</v>
      </c>
      <c r="P2292">
        <v>-0.99907800000000002</v>
      </c>
      <c r="Q2292">
        <v>3.3322240000000003E-2</v>
      </c>
      <c r="R2292">
        <v>-2.7074529999999999E-2</v>
      </c>
      <c r="S2292">
        <v>-3.0029599999999999</v>
      </c>
      <c r="T2292">
        <v>-0.19636129999999999</v>
      </c>
      <c r="U2292">
        <v>-0.2231445</v>
      </c>
      <c r="V2292">
        <v>-1.11907999999999E-2</v>
      </c>
      <c r="W2292">
        <v>4.7338249999999998E-2</v>
      </c>
      <c r="X2292">
        <v>0.99881629999999999</v>
      </c>
      <c r="Y2292">
        <v>-5.8206510000000003E-2</v>
      </c>
      <c r="Z2292">
        <v>-8.6523440000000002E-4</v>
      </c>
      <c r="AA2292">
        <v>0.99830419999999997</v>
      </c>
      <c r="AB2292">
        <v>27</v>
      </c>
      <c r="AC2292">
        <v>-16.609499999999901</v>
      </c>
      <c r="AD2292">
        <v>-1.1041244886379999</v>
      </c>
      <c r="AE2292">
        <v>-1.2508999999999999</v>
      </c>
      <c r="AF2292">
        <v>-0.98329988460638096</v>
      </c>
      <c r="AG2292">
        <v>-1.1041244886379999</v>
      </c>
      <c r="AH2292">
        <v>16.554490547464201</v>
      </c>
      <c r="AI2292">
        <v>93.809075729936794</v>
      </c>
      <c r="AJ2292">
        <v>93.399247880533494</v>
      </c>
      <c r="AK2292">
        <v>16.6203828727127</v>
      </c>
    </row>
    <row r="2293" spans="1:37" x14ac:dyDescent="0.2">
      <c r="A2293" t="str">
        <f>"20200111155840977"</f>
        <v>20200111155840977</v>
      </c>
      <c r="B2293" t="str">
        <f>"1578729520973084"</f>
        <v>1578729520973084</v>
      </c>
      <c r="C2293" t="s">
        <v>37</v>
      </c>
      <c r="D2293">
        <v>5.7222850000000003</v>
      </c>
      <c r="E2293">
        <v>0.48648549999999902</v>
      </c>
      <c r="F2293" t="s">
        <v>49</v>
      </c>
      <c r="G2293">
        <v>-488.82929999999999</v>
      </c>
      <c r="H2293" s="1">
        <v>3.3975609999999999E-6</v>
      </c>
      <c r="I2293">
        <v>280.33420000000001</v>
      </c>
      <c r="J2293">
        <v>-423.09820000000002</v>
      </c>
      <c r="K2293">
        <v>1.1041019999999999</v>
      </c>
      <c r="L2293">
        <v>284.61329999999998</v>
      </c>
      <c r="M2293">
        <v>-0.99978719999999999</v>
      </c>
      <c r="N2293">
        <v>0</v>
      </c>
      <c r="O2293">
        <v>-1.519713E-2</v>
      </c>
      <c r="P2293">
        <v>-0.99909780000000004</v>
      </c>
      <c r="Q2293">
        <v>3.3698140000000001E-2</v>
      </c>
      <c r="R2293">
        <v>-2.5848840000000001E-2</v>
      </c>
      <c r="S2293">
        <v>-2.9991460000000001</v>
      </c>
      <c r="T2293">
        <v>-5.0172210000000002E-2</v>
      </c>
      <c r="U2293">
        <v>-0.19461059999999999</v>
      </c>
      <c r="V2293">
        <v>-1.06053E-2</v>
      </c>
      <c r="W2293">
        <v>4.7654040000000002E-2</v>
      </c>
      <c r="X2293">
        <v>0.99880759999999902</v>
      </c>
      <c r="Y2293">
        <v>-4.9573529999999998E-2</v>
      </c>
      <c r="Z2293">
        <v>-1.6025760000000001E-4</v>
      </c>
      <c r="AA2293">
        <v>0.99877050000000001</v>
      </c>
      <c r="AB2293">
        <v>27</v>
      </c>
      <c r="AC2293">
        <v>-65.731099999999898</v>
      </c>
      <c r="AD2293">
        <v>-1.104098602439</v>
      </c>
      <c r="AE2293">
        <v>-4.2790999999999704</v>
      </c>
      <c r="AF2293">
        <v>-3.2786633001815</v>
      </c>
      <c r="AG2293">
        <v>-1.104098602439</v>
      </c>
      <c r="AH2293">
        <v>65.770065612202899</v>
      </c>
      <c r="AI2293">
        <v>90.9605557416495</v>
      </c>
      <c r="AJ2293">
        <v>92.853854412338507</v>
      </c>
      <c r="AK2293">
        <v>65.860991469862796</v>
      </c>
    </row>
    <row r="2294" spans="1:37" x14ac:dyDescent="0.2">
      <c r="A2294" t="str">
        <f>"20200111155840999"</f>
        <v>20200111155840999</v>
      </c>
      <c r="B2294" t="str">
        <f>"1578729520993579"</f>
        <v>1578729520993579</v>
      </c>
      <c r="C2294" t="s">
        <v>37</v>
      </c>
      <c r="D2294">
        <v>5.7396779999999996</v>
      </c>
      <c r="E2294">
        <v>0.48695369999999999</v>
      </c>
      <c r="F2294" t="s">
        <v>50</v>
      </c>
      <c r="G2294">
        <v>-446.59089999999998</v>
      </c>
      <c r="H2294" s="1">
        <v>2.0370599999999899E-6</v>
      </c>
      <c r="I2294">
        <v>283.0949</v>
      </c>
      <c r="J2294">
        <v>-423.36939999999998</v>
      </c>
      <c r="K2294">
        <v>1.104053</v>
      </c>
      <c r="L2294">
        <v>284.61</v>
      </c>
      <c r="M2294">
        <v>-0.99979859999999898</v>
      </c>
      <c r="N2294">
        <v>0</v>
      </c>
      <c r="O2294">
        <v>-1.453633E-2</v>
      </c>
      <c r="P2294">
        <v>-0.99911329999999998</v>
      </c>
      <c r="Q2294">
        <v>3.4405850000000002E-2</v>
      </c>
      <c r="R2294">
        <v>-2.42741E-2</v>
      </c>
      <c r="S2294">
        <v>-3.0024410000000001</v>
      </c>
      <c r="T2294">
        <v>-0.1411076</v>
      </c>
      <c r="U2294">
        <v>-0.19406129999999999</v>
      </c>
      <c r="V2294">
        <v>-9.687724E-3</v>
      </c>
      <c r="W2294">
        <v>4.8247970000000001E-2</v>
      </c>
      <c r="X2294">
        <v>0.99878840000000002</v>
      </c>
      <c r="Y2294">
        <v>-4.9946730000000002E-2</v>
      </c>
      <c r="Z2294">
        <v>-4.8976759999999999E-4</v>
      </c>
      <c r="AA2294">
        <v>0.99875179999999997</v>
      </c>
      <c r="AB2294">
        <v>27</v>
      </c>
      <c r="AC2294">
        <v>-23.221499999999899</v>
      </c>
      <c r="AD2294">
        <v>-1.1040509629399999</v>
      </c>
      <c r="AE2294">
        <v>-1.5151000000000101</v>
      </c>
      <c r="AF2294">
        <v>-1.1747080519756099</v>
      </c>
      <c r="AG2294">
        <v>-1.1040509629399999</v>
      </c>
      <c r="AH2294">
        <v>23.1888766557746</v>
      </c>
      <c r="AI2294">
        <v>92.722378483398501</v>
      </c>
      <c r="AJ2294">
        <v>92.900025228075506</v>
      </c>
      <c r="AK2294">
        <v>23.244846054402601</v>
      </c>
    </row>
    <row r="2295" spans="1:37" x14ac:dyDescent="0.2">
      <c r="A2295" t="str">
        <f>"20200111155841021"</f>
        <v>20200111155841021</v>
      </c>
      <c r="B2295" t="str">
        <f>"1578729521013100"</f>
        <v>1578729521013100</v>
      </c>
      <c r="C2295" t="s">
        <v>37</v>
      </c>
      <c r="D2295">
        <v>5.6905720000000004</v>
      </c>
      <c r="E2295">
        <v>0.48630779999999901</v>
      </c>
      <c r="F2295" t="s">
        <v>50</v>
      </c>
      <c r="G2295">
        <v>-453.97640000000001</v>
      </c>
      <c r="H2295" s="1">
        <v>6.6184579999999997E-7</v>
      </c>
      <c r="I2295">
        <v>282.72719999999998</v>
      </c>
      <c r="J2295">
        <v>-423.63490000000002</v>
      </c>
      <c r="K2295">
        <v>1.1040019999999999</v>
      </c>
      <c r="L2295">
        <v>284.6069</v>
      </c>
      <c r="M2295">
        <v>-0.99981010000000003</v>
      </c>
      <c r="N2295">
        <v>0</v>
      </c>
      <c r="O2295">
        <v>-1.387619E-2</v>
      </c>
      <c r="P2295">
        <v>-0.99912289999999904</v>
      </c>
      <c r="Q2295">
        <v>3.4511060000000003E-2</v>
      </c>
      <c r="R2295">
        <v>-2.371471E-2</v>
      </c>
      <c r="S2295">
        <v>-3.0019230000000001</v>
      </c>
      <c r="T2295">
        <v>-0.108284899999999</v>
      </c>
      <c r="U2295">
        <v>-0.18466189999999999</v>
      </c>
      <c r="V2295">
        <v>-9.7868069999999998E-3</v>
      </c>
      <c r="W2295">
        <v>4.8199869999999999E-2</v>
      </c>
      <c r="X2295">
        <v>0.99878979999999995</v>
      </c>
      <c r="Y2295">
        <v>-4.7519459999999999E-2</v>
      </c>
      <c r="Z2295">
        <v>-3.56084E-4</v>
      </c>
      <c r="AA2295">
        <v>0.99887029999999999</v>
      </c>
      <c r="AB2295">
        <v>27</v>
      </c>
      <c r="AC2295">
        <v>-30.3415</v>
      </c>
      <c r="AD2295">
        <v>-1.1040013381542</v>
      </c>
      <c r="AE2295">
        <v>-1.8797000000000099</v>
      </c>
      <c r="AF2295">
        <v>-1.4565341780460599</v>
      </c>
      <c r="AG2295">
        <v>-1.1040013381542</v>
      </c>
      <c r="AH2295">
        <v>30.324669471213301</v>
      </c>
      <c r="AI2295">
        <v>92.082593231723493</v>
      </c>
      <c r="AJ2295">
        <v>92.749879074126895</v>
      </c>
      <c r="AK2295">
        <v>30.3796953458194</v>
      </c>
    </row>
    <row r="2296" spans="1:37" x14ac:dyDescent="0.2">
      <c r="A2296" t="str">
        <f>"20200111155841043"</f>
        <v>20200111155841043</v>
      </c>
      <c r="B2296" t="str">
        <f>"1578729521033595"</f>
        <v>1578729521033595</v>
      </c>
      <c r="C2296" t="s">
        <v>37</v>
      </c>
      <c r="D2296">
        <v>5.6339100000000002</v>
      </c>
      <c r="E2296">
        <v>0.48611859999999901</v>
      </c>
      <c r="F2296" t="s">
        <v>50</v>
      </c>
      <c r="G2296">
        <v>-451.86320000000001</v>
      </c>
      <c r="H2296" s="1">
        <v>-4.67331099999999E-7</v>
      </c>
      <c r="I2296">
        <v>282.832999999999</v>
      </c>
      <c r="J2296">
        <v>-423.89890000000003</v>
      </c>
      <c r="K2296">
        <v>1.103961</v>
      </c>
      <c r="L2296">
        <v>284.60399999999998</v>
      </c>
      <c r="M2296">
        <v>-0.99982159999999998</v>
      </c>
      <c r="N2296">
        <v>0</v>
      </c>
      <c r="O2296">
        <v>-1.32045999999999E-2</v>
      </c>
      <c r="P2296">
        <v>-0.9991215</v>
      </c>
      <c r="Q2296">
        <v>3.4982739999999998E-2</v>
      </c>
      <c r="R2296">
        <v>-2.307706E-2</v>
      </c>
      <c r="S2296">
        <v>-3.0022279999999899</v>
      </c>
      <c r="T2296">
        <v>-0.11741649999999999</v>
      </c>
      <c r="U2296">
        <v>-0.18865970000000001</v>
      </c>
      <c r="V2296">
        <v>-9.8190540000000007E-3</v>
      </c>
      <c r="W2296">
        <v>4.8492779999999999E-2</v>
      </c>
      <c r="X2296">
        <v>0.99877519999999997</v>
      </c>
      <c r="Y2296">
        <v>-4.9503279999999997E-2</v>
      </c>
      <c r="Z2296">
        <v>-4.5100269999999898E-4</v>
      </c>
      <c r="AA2296">
        <v>0.99877389999999999</v>
      </c>
      <c r="AB2296">
        <v>27</v>
      </c>
      <c r="AC2296">
        <v>-27.964299999999898</v>
      </c>
      <c r="AD2296">
        <v>-1.1039614673311</v>
      </c>
      <c r="AE2296">
        <v>-1.7710000000000701</v>
      </c>
      <c r="AF2296">
        <v>-1.3993822995533101</v>
      </c>
      <c r="AG2296">
        <v>-1.1039614673311</v>
      </c>
      <c r="AH2296">
        <v>27.941876215232099</v>
      </c>
      <c r="AI2296">
        <v>92.259705067868396</v>
      </c>
      <c r="AJ2296">
        <v>92.867086129757695</v>
      </c>
      <c r="AK2296">
        <v>27.998668685653701</v>
      </c>
    </row>
    <row r="2297" spans="1:37" x14ac:dyDescent="0.2">
      <c r="A2297" t="str">
        <f>"20200111155841066"</f>
        <v>20200111155841066</v>
      </c>
      <c r="B2297" t="str">
        <f>"1578729521063851"</f>
        <v>1578729521063851</v>
      </c>
      <c r="C2297" t="s">
        <v>37</v>
      </c>
      <c r="D2297">
        <v>5.5854850000000003</v>
      </c>
      <c r="E2297">
        <v>0.48597279999999998</v>
      </c>
      <c r="F2297" t="s">
        <v>50</v>
      </c>
      <c r="G2297">
        <v>-449.97289999999998</v>
      </c>
      <c r="H2297" s="1">
        <v>-1.4790960000000001E-6</v>
      </c>
      <c r="I2297">
        <v>282.96660000000003</v>
      </c>
      <c r="J2297">
        <v>-424.17619999999999</v>
      </c>
      <c r="K2297">
        <v>1.1039270000000001</v>
      </c>
      <c r="L2297">
        <v>284.60109999999997</v>
      </c>
      <c r="M2297">
        <v>-0.99983359999999899</v>
      </c>
      <c r="N2297">
        <v>0</v>
      </c>
      <c r="O2297">
        <v>-1.248471E-2</v>
      </c>
      <c r="P2297">
        <v>-0.99914119999999995</v>
      </c>
      <c r="Q2297">
        <v>3.4849239999999997E-2</v>
      </c>
      <c r="R2297">
        <v>-2.2416950000000001E-2</v>
      </c>
      <c r="S2297">
        <v>-3.0027469999999998</v>
      </c>
      <c r="T2297">
        <v>-0.127135199999999</v>
      </c>
      <c r="U2297">
        <v>-0.18856809999999999</v>
      </c>
      <c r="V2297">
        <v>-9.8792240000000007E-3</v>
      </c>
      <c r="W2297">
        <v>4.815415E-2</v>
      </c>
      <c r="X2297">
        <v>0.99879099999999998</v>
      </c>
      <c r="Y2297">
        <v>-5.0175299999999999E-2</v>
      </c>
      <c r="Z2297">
        <v>-5.3285589999999905E-4</v>
      </c>
      <c r="AA2297">
        <v>0.99874030000000003</v>
      </c>
      <c r="AB2297">
        <v>27</v>
      </c>
      <c r="AC2297">
        <v>-25.796699999999898</v>
      </c>
      <c r="AD2297">
        <v>-1.103928479096</v>
      </c>
      <c r="AE2297">
        <v>-1.6344999999999399</v>
      </c>
      <c r="AF2297">
        <v>-1.3098906015196401</v>
      </c>
      <c r="AG2297">
        <v>-1.103928479096</v>
      </c>
      <c r="AH2297">
        <v>25.768097402054501</v>
      </c>
      <c r="AI2297">
        <v>92.449943206133796</v>
      </c>
      <c r="AJ2297">
        <v>92.9100579663628</v>
      </c>
      <c r="AK2297">
        <v>25.8249746407751</v>
      </c>
    </row>
    <row r="2298" spans="1:37" x14ac:dyDescent="0.2">
      <c r="A2298" t="str">
        <f>"20200111155841089"</f>
        <v>20200111155841089</v>
      </c>
      <c r="B2298" t="str">
        <f>"1578729521083371"</f>
        <v>1578729521083371</v>
      </c>
      <c r="C2298" t="s">
        <v>37</v>
      </c>
      <c r="D2298">
        <v>5.6686209999999999</v>
      </c>
      <c r="E2298">
        <v>0.48558289999999998</v>
      </c>
      <c r="F2298" t="s">
        <v>50</v>
      </c>
      <c r="G2298">
        <v>-448.38889999999998</v>
      </c>
      <c r="H2298" s="1">
        <v>2.9942839999999998E-6</v>
      </c>
      <c r="I2298">
        <v>283.08539999999999</v>
      </c>
      <c r="J2298">
        <v>-424.44529999999997</v>
      </c>
      <c r="K2298">
        <v>1.103904</v>
      </c>
      <c r="L2298">
        <v>284.5985</v>
      </c>
      <c r="M2298">
        <v>-0.99984490000000004</v>
      </c>
      <c r="N2298">
        <v>0</v>
      </c>
      <c r="O2298">
        <v>-1.178007E-2</v>
      </c>
      <c r="P2298">
        <v>-0.99915159999999903</v>
      </c>
      <c r="Q2298">
        <v>3.4774090000000001E-2</v>
      </c>
      <c r="R2298">
        <v>-2.2064540000000001E-2</v>
      </c>
      <c r="S2298">
        <v>-3.003082</v>
      </c>
      <c r="T2298">
        <v>-0.13691909999999999</v>
      </c>
      <c r="U2298">
        <v>-0.187988299999999</v>
      </c>
      <c r="V2298">
        <v>-1.0231799999999999E-2</v>
      </c>
      <c r="W2298">
        <v>4.7865030000000003E-2</v>
      </c>
      <c r="X2298">
        <v>0.99880139999999995</v>
      </c>
      <c r="Y2298">
        <v>-5.0673530000000001E-2</v>
      </c>
      <c r="Z2298">
        <v>-6.1717719999999996E-4</v>
      </c>
      <c r="AA2298">
        <v>0.99871509999999997</v>
      </c>
      <c r="AB2298">
        <v>27</v>
      </c>
      <c r="AC2298">
        <v>-23.9436</v>
      </c>
      <c r="AD2298">
        <v>-1.1039010057159999</v>
      </c>
      <c r="AE2298">
        <v>-1.5130999999999999</v>
      </c>
      <c r="AF2298">
        <v>-1.22831301573994</v>
      </c>
      <c r="AG2298">
        <v>-1.1039010057159999</v>
      </c>
      <c r="AH2298">
        <v>23.909145172785699</v>
      </c>
      <c r="AI2298">
        <v>92.640029897181407</v>
      </c>
      <c r="AJ2298">
        <v>92.940938851149696</v>
      </c>
      <c r="AK2298">
        <v>23.966113017934301</v>
      </c>
    </row>
    <row r="2299" spans="1:37" x14ac:dyDescent="0.2">
      <c r="A2299" t="str">
        <f>"20200111155841111"</f>
        <v>20200111155841111</v>
      </c>
      <c r="B2299" t="str">
        <f>"1578729521103867"</f>
        <v>1578729521103867</v>
      </c>
      <c r="C2299" t="s">
        <v>37</v>
      </c>
      <c r="D2299">
        <v>5.5213769999999904</v>
      </c>
      <c r="E2299">
        <v>0.4852667</v>
      </c>
      <c r="F2299" t="s">
        <v>50</v>
      </c>
      <c r="G2299">
        <v>-449.17340000000002</v>
      </c>
      <c r="H2299" s="1">
        <v>3.413946E-6</v>
      </c>
      <c r="I2299">
        <v>283.03519999999997</v>
      </c>
      <c r="J2299">
        <v>-424.7183</v>
      </c>
      <c r="K2299">
        <v>1.103872</v>
      </c>
      <c r="L2299">
        <v>284.59609999999998</v>
      </c>
      <c r="M2299">
        <v>-0.99985619999999997</v>
      </c>
      <c r="N2299">
        <v>0</v>
      </c>
      <c r="O2299">
        <v>-1.1067159999999999E-2</v>
      </c>
      <c r="P2299">
        <v>-0.99915200000000004</v>
      </c>
      <c r="Q2299">
        <v>3.4923589999999997E-2</v>
      </c>
      <c r="R2299">
        <v>-2.1820909999999999E-2</v>
      </c>
      <c r="S2299">
        <v>-3.0030209999999999</v>
      </c>
      <c r="T2299">
        <v>-0.1340597</v>
      </c>
      <c r="U2299">
        <v>-0.18984989999999999</v>
      </c>
      <c r="V2299">
        <v>-1.0700960000000001E-2</v>
      </c>
      <c r="W2299">
        <v>4.7793120000000001E-2</v>
      </c>
      <c r="X2299">
        <v>0.99879989999999996</v>
      </c>
      <c r="Y2299">
        <v>-5.2003170000000001E-2</v>
      </c>
      <c r="Z2299">
        <v>-6.6571109999999996E-4</v>
      </c>
      <c r="AA2299">
        <v>0.998646699999999</v>
      </c>
      <c r="AB2299">
        <v>27</v>
      </c>
      <c r="AC2299">
        <v>-24.455100000000002</v>
      </c>
      <c r="AD2299">
        <v>-1.1038685860540001</v>
      </c>
      <c r="AE2299">
        <v>-1.5609</v>
      </c>
      <c r="AF2299">
        <v>-1.28752087183605</v>
      </c>
      <c r="AG2299">
        <v>-1.1038685860540001</v>
      </c>
      <c r="AH2299">
        <v>24.421321853729498</v>
      </c>
      <c r="AI2299">
        <v>92.5844814375683</v>
      </c>
      <c r="AJ2299">
        <v>93.017906982319403</v>
      </c>
      <c r="AK2299">
        <v>24.4801388258755</v>
      </c>
    </row>
    <row r="2300" spans="1:37" x14ac:dyDescent="0.2">
      <c r="A2300" t="str">
        <f>"20200111155841133"</f>
        <v>20200111155841133</v>
      </c>
      <c r="B2300" t="str">
        <f>"1578729521123387"</f>
        <v>1578729521123387</v>
      </c>
      <c r="C2300" t="s">
        <v>37</v>
      </c>
      <c r="D2300">
        <v>5.5046919999999897</v>
      </c>
      <c r="E2300">
        <v>0.4850332</v>
      </c>
      <c r="F2300" t="s">
        <v>50</v>
      </c>
      <c r="G2300">
        <v>-449.13409999999999</v>
      </c>
      <c r="H2300" s="1">
        <v>3.3929370000000001E-6</v>
      </c>
      <c r="I2300">
        <v>283.03769999999997</v>
      </c>
      <c r="J2300">
        <v>-424.981999999999</v>
      </c>
      <c r="K2300">
        <v>1.103837</v>
      </c>
      <c r="L2300">
        <v>284.59390000000002</v>
      </c>
      <c r="M2300">
        <v>-0.99986609999999998</v>
      </c>
      <c r="N2300">
        <v>0</v>
      </c>
      <c r="O2300">
        <v>-1.0383939999999999E-2</v>
      </c>
      <c r="P2300">
        <v>-0.99915779999999998</v>
      </c>
      <c r="Q2300">
        <v>3.4688249999999997E-2</v>
      </c>
      <c r="R2300">
        <v>-2.1915299999999999E-2</v>
      </c>
      <c r="S2300">
        <v>-3.0031129999999999</v>
      </c>
      <c r="T2300">
        <v>-0.13577449999999999</v>
      </c>
      <c r="U2300">
        <v>-0.19168089999999999</v>
      </c>
      <c r="V2300">
        <v>-1.147894E-2</v>
      </c>
      <c r="W2300">
        <v>4.733921E-2</v>
      </c>
      <c r="X2300">
        <v>0.9988129</v>
      </c>
      <c r="Y2300">
        <v>-5.3287040000000001E-2</v>
      </c>
      <c r="Z2300">
        <v>-7.3400240000000001E-4</v>
      </c>
      <c r="AA2300">
        <v>0.99857899999999999</v>
      </c>
      <c r="AB2300">
        <v>27</v>
      </c>
      <c r="AC2300">
        <v>-24.152100000000001</v>
      </c>
      <c r="AD2300">
        <v>-1.1038336070629999</v>
      </c>
      <c r="AE2300">
        <v>-1.55620000000004</v>
      </c>
      <c r="AF2300">
        <v>-1.3025924577422201</v>
      </c>
      <c r="AG2300">
        <v>-1.1038336070629999</v>
      </c>
      <c r="AH2300">
        <v>24.116791477488999</v>
      </c>
      <c r="AI2300">
        <v>92.616809114018395</v>
      </c>
      <c r="AJ2300">
        <v>93.091646827624899</v>
      </c>
      <c r="AK2300">
        <v>24.1771550624083</v>
      </c>
    </row>
    <row r="2301" spans="1:37" x14ac:dyDescent="0.2">
      <c r="A2301" t="str">
        <f>"20200111155841155"</f>
        <v>20200111155841155</v>
      </c>
      <c r="B2301" t="str">
        <f>"1578729521143884"</f>
        <v>1578729521143884</v>
      </c>
      <c r="C2301" t="s">
        <v>37</v>
      </c>
      <c r="D2301">
        <v>5.5153049999999997</v>
      </c>
      <c r="E2301">
        <v>0.48475669999999998</v>
      </c>
      <c r="F2301" t="s">
        <v>50</v>
      </c>
      <c r="G2301">
        <v>-448.88290000000001</v>
      </c>
      <c r="H2301" s="1">
        <v>3.2586399999999999E-6</v>
      </c>
      <c r="I2301">
        <v>283.05180000000001</v>
      </c>
      <c r="J2301">
        <v>-425.2516</v>
      </c>
      <c r="K2301">
        <v>1.1038049999999999</v>
      </c>
      <c r="L2301">
        <v>284.59190000000001</v>
      </c>
      <c r="M2301">
        <v>-0.99987610000000005</v>
      </c>
      <c r="N2301">
        <v>0</v>
      </c>
      <c r="O2301">
        <v>-9.6897089999999995E-3</v>
      </c>
      <c r="P2301">
        <v>-0.99917389999999995</v>
      </c>
      <c r="Q2301">
        <v>3.425827E-2</v>
      </c>
      <c r="R2301">
        <v>-2.1866469999999999E-2</v>
      </c>
      <c r="S2301">
        <v>-3.0030519999999998</v>
      </c>
      <c r="T2301">
        <v>-0.13869200000000001</v>
      </c>
      <c r="U2301">
        <v>-0.19375609999999999</v>
      </c>
      <c r="V2301">
        <v>-1.212419E-2</v>
      </c>
      <c r="W2301">
        <v>4.6681430000000003E-2</v>
      </c>
      <c r="X2301">
        <v>0.99883619999999995</v>
      </c>
      <c r="Y2301">
        <v>-5.4664749999999998E-2</v>
      </c>
      <c r="Z2301">
        <v>-8.1353060000000001E-4</v>
      </c>
      <c r="AA2301">
        <v>0.99850450000000002</v>
      </c>
      <c r="AB2301">
        <v>27</v>
      </c>
      <c r="AC2301">
        <v>-23.6313</v>
      </c>
      <c r="AD2301">
        <v>-1.1038017413600001</v>
      </c>
      <c r="AE2301">
        <v>-1.54009999999999</v>
      </c>
      <c r="AF2301">
        <v>-1.30818756559771</v>
      </c>
      <c r="AG2301">
        <v>-1.1038017413600001</v>
      </c>
      <c r="AH2301">
        <v>23.593856284687899</v>
      </c>
      <c r="AI2301">
        <v>92.674438749878604</v>
      </c>
      <c r="AJ2301">
        <v>93.173578643866193</v>
      </c>
      <c r="AK2301">
        <v>23.6558615859478</v>
      </c>
    </row>
    <row r="2302" spans="1:37" x14ac:dyDescent="0.2">
      <c r="A2302" t="str">
        <f>"20200111155841179"</f>
        <v>20200111155841179</v>
      </c>
      <c r="B2302" t="str">
        <f>"1578729521173163"</f>
        <v>1578729521173163</v>
      </c>
      <c r="C2302" t="s">
        <v>37</v>
      </c>
      <c r="D2302">
        <v>5.5494490000000001</v>
      </c>
      <c r="E2302">
        <v>0.48435649999999902</v>
      </c>
      <c r="F2302" t="s">
        <v>50</v>
      </c>
      <c r="G2302">
        <v>-448.79489999999998</v>
      </c>
      <c r="H2302" s="1">
        <v>3.2115819999999998E-6</v>
      </c>
      <c r="I2302">
        <v>283.0566</v>
      </c>
      <c r="J2302">
        <v>-425.5317</v>
      </c>
      <c r="K2302">
        <v>1.103772</v>
      </c>
      <c r="L2302">
        <v>284.58999999999997</v>
      </c>
      <c r="M2302">
        <v>-0.99988549999999998</v>
      </c>
      <c r="N2302">
        <v>0</v>
      </c>
      <c r="O2302">
        <v>-8.9705779999999999E-3</v>
      </c>
      <c r="P2302">
        <v>-0.99919749999999996</v>
      </c>
      <c r="Q2302">
        <v>3.4093079999999998E-2</v>
      </c>
      <c r="R2302">
        <v>-2.1023859999999998E-2</v>
      </c>
      <c r="S2302">
        <v>-3.0030209999999999</v>
      </c>
      <c r="T2302">
        <v>-0.14079359999999999</v>
      </c>
      <c r="U2302">
        <v>-0.19583129999999899</v>
      </c>
      <c r="V2302">
        <v>-1.200057E-2</v>
      </c>
      <c r="W2302">
        <v>4.6285609999999998E-2</v>
      </c>
      <c r="X2302">
        <v>0.99885619999999997</v>
      </c>
      <c r="Y2302">
        <v>-5.6066860000000003E-2</v>
      </c>
      <c r="Z2302">
        <v>-8.9230949999999896E-4</v>
      </c>
      <c r="AA2302">
        <v>0.99842659999999905</v>
      </c>
      <c r="AB2302">
        <v>27</v>
      </c>
      <c r="AC2302">
        <v>-23.263199999999902</v>
      </c>
      <c r="AD2302">
        <v>-1.1037687884180001</v>
      </c>
      <c r="AE2302">
        <v>-1.5333999999999699</v>
      </c>
      <c r="AF2302">
        <v>-1.32167593654715</v>
      </c>
      <c r="AG2302">
        <v>-1.1037687884180001</v>
      </c>
      <c r="AH2302">
        <v>23.223964335171502</v>
      </c>
      <c r="AI2302">
        <v>92.716668273924398</v>
      </c>
      <c r="AJ2302">
        <v>93.257189749002407</v>
      </c>
      <c r="AK2302">
        <v>23.287714620822101</v>
      </c>
    </row>
    <row r="2303" spans="1:37" x14ac:dyDescent="0.2">
      <c r="A2303" t="str">
        <f>"20200111155841201"</f>
        <v>20200111155841201</v>
      </c>
      <c r="B2303" t="str">
        <f>"1578729521193659"</f>
        <v>1578729521193659</v>
      </c>
      <c r="C2303" t="s">
        <v>37</v>
      </c>
      <c r="D2303">
        <v>5.4891610000000002</v>
      </c>
      <c r="E2303">
        <v>0.48419899999999999</v>
      </c>
      <c r="F2303" t="s">
        <v>50</v>
      </c>
      <c r="G2303">
        <v>-448.68720000000002</v>
      </c>
      <c r="H2303" s="1">
        <v>3.1535119999999999E-6</v>
      </c>
      <c r="I2303">
        <v>283.07400000000001</v>
      </c>
      <c r="J2303">
        <v>-425.80560000000003</v>
      </c>
      <c r="K2303">
        <v>1.103753</v>
      </c>
      <c r="L2303">
        <v>284.5883</v>
      </c>
      <c r="M2303">
        <v>-0.99989409999999901</v>
      </c>
      <c r="N2303">
        <v>0</v>
      </c>
      <c r="O2303">
        <v>-8.268638E-3</v>
      </c>
      <c r="P2303">
        <v>-0.99920900000000001</v>
      </c>
      <c r="Q2303">
        <v>3.3993049999999997E-2</v>
      </c>
      <c r="R2303">
        <v>-2.064355E-2</v>
      </c>
      <c r="S2303">
        <v>-3.0031430000000001</v>
      </c>
      <c r="T2303">
        <v>-0.1431529</v>
      </c>
      <c r="U2303">
        <v>-0.19662479999999999</v>
      </c>
      <c r="V2303">
        <v>-1.2321769999999999E-2</v>
      </c>
      <c r="W2303">
        <v>4.5978850000000002E-2</v>
      </c>
      <c r="X2303">
        <v>0.99886640000000004</v>
      </c>
      <c r="Y2303">
        <v>-5.7024190000000002E-2</v>
      </c>
      <c r="Z2303">
        <v>-9.6338339999999998E-4</v>
      </c>
      <c r="AA2303">
        <v>0.99837229999999999</v>
      </c>
      <c r="AB2303">
        <v>27</v>
      </c>
      <c r="AC2303">
        <v>-22.881599999999899</v>
      </c>
      <c r="AD2303">
        <v>-1.103749846488</v>
      </c>
      <c r="AE2303">
        <v>-1.51429999999999</v>
      </c>
      <c r="AF2303">
        <v>-1.3219723700958601</v>
      </c>
      <c r="AG2303">
        <v>-1.103749846488</v>
      </c>
      <c r="AH2303">
        <v>22.840425251002401</v>
      </c>
      <c r="AI2303">
        <v>92.762016673543499</v>
      </c>
      <c r="AJ2303">
        <v>93.312505247606893</v>
      </c>
      <c r="AK2303">
        <v>22.905259228342</v>
      </c>
    </row>
    <row r="2304" spans="1:37" x14ac:dyDescent="0.2">
      <c r="A2304" t="str">
        <f>"20200111155841221"</f>
        <v>20200111155841221</v>
      </c>
      <c r="B2304" t="str">
        <f>"1578729521213180"</f>
        <v>1578729521213180</v>
      </c>
      <c r="C2304" t="s">
        <v>37</v>
      </c>
      <c r="D2304">
        <v>5.4944519999999999</v>
      </c>
      <c r="E2304">
        <v>0.48415740000000002</v>
      </c>
      <c r="F2304" t="s">
        <v>50</v>
      </c>
      <c r="G2304">
        <v>-448.66550000000001</v>
      </c>
      <c r="H2304" s="1">
        <v>3.1412169999999999E-6</v>
      </c>
      <c r="I2304">
        <v>283.0917</v>
      </c>
      <c r="J2304">
        <v>-426.0643</v>
      </c>
      <c r="K2304">
        <v>1.103737</v>
      </c>
      <c r="L2304">
        <v>284.58690000000001</v>
      </c>
      <c r="M2304">
        <v>-0.999901499999999</v>
      </c>
      <c r="N2304">
        <v>0</v>
      </c>
      <c r="O2304">
        <v>-7.6053789999999998E-3</v>
      </c>
      <c r="P2304">
        <v>-0.99923649999999997</v>
      </c>
      <c r="Q2304">
        <v>3.3693439999999998E-2</v>
      </c>
      <c r="R2304">
        <v>-1.9782279999999999E-2</v>
      </c>
      <c r="S2304">
        <v>-3.0032649999999999</v>
      </c>
      <c r="T2304">
        <v>-0.14500729999999901</v>
      </c>
      <c r="U2304">
        <v>-0.19662479999999999</v>
      </c>
      <c r="V2304">
        <v>-1.212389E-2</v>
      </c>
      <c r="W2304">
        <v>4.5502499999999897E-2</v>
      </c>
      <c r="X2304">
        <v>0.99889059999999896</v>
      </c>
      <c r="Y2304">
        <v>-5.7680830000000002E-2</v>
      </c>
      <c r="Z2304">
        <v>-1.0236049999999999E-3</v>
      </c>
      <c r="AA2304">
        <v>0.99833449999999901</v>
      </c>
      <c r="AB2304">
        <v>27</v>
      </c>
      <c r="AC2304">
        <v>-22.601199999999999</v>
      </c>
      <c r="AD2304">
        <v>-1.1037338587829999</v>
      </c>
      <c r="AE2304">
        <v>-1.4952000000000101</v>
      </c>
      <c r="AF2304">
        <v>-1.32011949661976</v>
      </c>
      <c r="AG2304">
        <v>-1.1037338587829999</v>
      </c>
      <c r="AH2304">
        <v>22.558354167125302</v>
      </c>
      <c r="AI2304">
        <v>92.796354277094395</v>
      </c>
      <c r="AJ2304">
        <v>93.349141040999001</v>
      </c>
      <c r="AK2304">
        <v>22.6238875228339</v>
      </c>
    </row>
    <row r="2305" spans="1:37" x14ac:dyDescent="0.2">
      <c r="A2305" t="str">
        <f>"20200111155841245"</f>
        <v>20200111155841245</v>
      </c>
      <c r="B2305" t="str">
        <f>"1578729521233675"</f>
        <v>1578729521233675</v>
      </c>
      <c r="C2305" t="s">
        <v>37</v>
      </c>
      <c r="D2305">
        <v>5.5896109999999997</v>
      </c>
      <c r="E2305">
        <v>0.48401699999999998</v>
      </c>
      <c r="F2305" t="s">
        <v>50</v>
      </c>
      <c r="G2305">
        <v>-448.6112</v>
      </c>
      <c r="H2305" s="1">
        <v>3.1107839999999999E-6</v>
      </c>
      <c r="I2305">
        <v>283.1266</v>
      </c>
      <c r="J2305">
        <v>-426.34109999999998</v>
      </c>
      <c r="K2305">
        <v>1.103718</v>
      </c>
      <c r="L2305">
        <v>284.58550000000002</v>
      </c>
      <c r="M2305">
        <v>-0.99990869999999998</v>
      </c>
      <c r="N2305">
        <v>0</v>
      </c>
      <c r="O2305">
        <v>-6.8962700000000004E-3</v>
      </c>
      <c r="P2305">
        <v>-0.99925640000000004</v>
      </c>
      <c r="Q2305">
        <v>3.3491310000000003E-2</v>
      </c>
      <c r="R2305">
        <v>-1.911067E-2</v>
      </c>
      <c r="S2305">
        <v>-3.0033569999999998</v>
      </c>
      <c r="T2305">
        <v>-0.1470225</v>
      </c>
      <c r="U2305">
        <v>-0.194519</v>
      </c>
      <c r="V2305">
        <v>-1.216125E-2</v>
      </c>
      <c r="W2305">
        <v>4.5129530000000001E-2</v>
      </c>
      <c r="X2305">
        <v>0.99890709999999905</v>
      </c>
      <c r="Y2305">
        <v>-5.7687380000000003E-2</v>
      </c>
      <c r="Z2305">
        <v>-1.0726189999999999E-3</v>
      </c>
      <c r="AA2305">
        <v>0.9983341</v>
      </c>
      <c r="AB2305">
        <v>27</v>
      </c>
      <c r="AC2305">
        <v>-22.270099999999999</v>
      </c>
      <c r="AD2305">
        <v>-1.103714889216</v>
      </c>
      <c r="AE2305">
        <v>-1.4589000000000201</v>
      </c>
      <c r="AF2305">
        <v>-1.3020897419099899</v>
      </c>
      <c r="AG2305">
        <v>-1.103714889216</v>
      </c>
      <c r="AH2305">
        <v>22.2252748339154</v>
      </c>
      <c r="AI2305">
        <v>92.838134278379101</v>
      </c>
      <c r="AJ2305">
        <v>93.352897432849105</v>
      </c>
      <c r="AK2305">
        <v>22.290726001988698</v>
      </c>
    </row>
    <row r="2306" spans="1:37" x14ac:dyDescent="0.2">
      <c r="A2306" t="str">
        <f>"20200111155841268"</f>
        <v>20200111155841268</v>
      </c>
      <c r="B2306" t="str">
        <f>"1578729521263933"</f>
        <v>1578729521263933</v>
      </c>
      <c r="C2306" t="s">
        <v>37</v>
      </c>
      <c r="D2306">
        <v>5.6436250000000001</v>
      </c>
      <c r="E2306">
        <v>0.48383120000000002</v>
      </c>
      <c r="F2306" t="s">
        <v>50</v>
      </c>
      <c r="G2306">
        <v>-448.58949999999999</v>
      </c>
      <c r="H2306" s="1">
        <v>3.098128E-6</v>
      </c>
      <c r="I2306">
        <v>283.15159999999997</v>
      </c>
      <c r="J2306">
        <v>-426.62119999999999</v>
      </c>
      <c r="K2306">
        <v>1.103702</v>
      </c>
      <c r="L2306">
        <v>284.58440000000002</v>
      </c>
      <c r="M2306">
        <v>-0.9999152</v>
      </c>
      <c r="N2306">
        <v>0</v>
      </c>
      <c r="O2306">
        <v>-6.17868699999999E-3</v>
      </c>
      <c r="P2306">
        <v>-0.99928059999999996</v>
      </c>
      <c r="Q2306">
        <v>3.3202679999999998E-2</v>
      </c>
      <c r="R2306">
        <v>-1.8343760000000001E-2</v>
      </c>
      <c r="S2306">
        <v>-3.0035400000000001</v>
      </c>
      <c r="T2306">
        <v>-0.14900169999999999</v>
      </c>
      <c r="U2306">
        <v>-0.193573</v>
      </c>
      <c r="V2306">
        <v>-1.2111480000000001E-2</v>
      </c>
      <c r="W2306">
        <v>4.4689380000000001E-2</v>
      </c>
      <c r="X2306">
        <v>0.99892749999999997</v>
      </c>
      <c r="Y2306">
        <v>-5.8083780000000002E-2</v>
      </c>
      <c r="Z2306">
        <v>-1.132341E-3</v>
      </c>
      <c r="AA2306">
        <v>0.99831099999999995</v>
      </c>
      <c r="AB2306">
        <v>27</v>
      </c>
      <c r="AC2306">
        <v>-21.968299999999999</v>
      </c>
      <c r="AD2306">
        <v>-1.103698901872</v>
      </c>
      <c r="AE2306">
        <v>-1.43280000000004</v>
      </c>
      <c r="AF2306">
        <v>-1.29377667489264</v>
      </c>
      <c r="AG2306">
        <v>-1.103698901872</v>
      </c>
      <c r="AH2306">
        <v>21.921635764710501</v>
      </c>
      <c r="AI2306">
        <v>92.877265616529996</v>
      </c>
      <c r="AJ2306">
        <v>93.377578980235995</v>
      </c>
      <c r="AK2306">
        <v>21.9874992655173</v>
      </c>
    </row>
    <row r="2307" spans="1:37" x14ac:dyDescent="0.2">
      <c r="A2307" t="str">
        <f>"20200111155841290"</f>
        <v>20200111155841290</v>
      </c>
      <c r="B2307" t="str">
        <f>"1578729521283451"</f>
        <v>1578729521283451</v>
      </c>
      <c r="C2307" t="s">
        <v>37</v>
      </c>
      <c r="D2307">
        <v>5.4772720000000001</v>
      </c>
      <c r="E2307">
        <v>0.48376130000000001</v>
      </c>
      <c r="F2307" t="s">
        <v>50</v>
      </c>
      <c r="G2307">
        <v>-449.56020000000001</v>
      </c>
      <c r="H2307" s="1">
        <v>3.61638399999999E-6</v>
      </c>
      <c r="I2307">
        <v>283.11270000000002</v>
      </c>
      <c r="J2307">
        <v>-426.89109999999999</v>
      </c>
      <c r="K2307">
        <v>1.103702</v>
      </c>
      <c r="L2307">
        <v>284.58350000000002</v>
      </c>
      <c r="M2307">
        <v>-0.99992039999999904</v>
      </c>
      <c r="N2307">
        <v>0</v>
      </c>
      <c r="O2307">
        <v>-5.4872439999999996E-3</v>
      </c>
      <c r="P2307">
        <v>-0.99929349999999995</v>
      </c>
      <c r="Q2307">
        <v>3.3189650000000001E-2</v>
      </c>
      <c r="R2307">
        <v>-1.763901E-2</v>
      </c>
      <c r="S2307">
        <v>-3.0034179999999999</v>
      </c>
      <c r="T2307">
        <v>-0.1445081</v>
      </c>
      <c r="U2307">
        <v>-0.192688</v>
      </c>
      <c r="V2307">
        <v>-1.2097739999999999E-2</v>
      </c>
      <c r="W2307">
        <v>4.4553130000000003E-2</v>
      </c>
      <c r="X2307">
        <v>0.99893379999999998</v>
      </c>
      <c r="Y2307">
        <v>-5.8486259999999998E-2</v>
      </c>
      <c r="Z2307">
        <v>-1.141167E-3</v>
      </c>
      <c r="AA2307">
        <v>0.99828760000000005</v>
      </c>
      <c r="AB2307">
        <v>27</v>
      </c>
      <c r="AC2307">
        <v>-22.6691</v>
      </c>
      <c r="AD2307">
        <v>-1.1036983836159999</v>
      </c>
      <c r="AE2307">
        <v>-1.4707999999999899</v>
      </c>
      <c r="AF2307">
        <v>-1.3432082704944299</v>
      </c>
      <c r="AG2307">
        <v>-1.1036983836159999</v>
      </c>
      <c r="AH2307">
        <v>22.623426753808499</v>
      </c>
      <c r="AI2307">
        <v>92.788094891760295</v>
      </c>
      <c r="AJ2307">
        <v>93.397802025378894</v>
      </c>
      <c r="AK2307">
        <v>22.690125532152901</v>
      </c>
    </row>
    <row r="2308" spans="1:37" x14ac:dyDescent="0.2">
      <c r="A2308" t="str">
        <f>"20200111155841311"</f>
        <v>20200111155841311</v>
      </c>
      <c r="B2308" t="str">
        <f>"1578729521303948"</f>
        <v>1578729521303948</v>
      </c>
      <c r="C2308" t="s">
        <v>37</v>
      </c>
      <c r="D2308">
        <v>5.5387440000000003</v>
      </c>
      <c r="E2308">
        <v>0.48393720000000001</v>
      </c>
      <c r="F2308" t="s">
        <v>50</v>
      </c>
      <c r="G2308">
        <v>-449.7912</v>
      </c>
      <c r="H2308" s="1">
        <v>3.7387229999999999E-6</v>
      </c>
      <c r="I2308">
        <v>283.12630000000001</v>
      </c>
      <c r="J2308">
        <v>-427.15839999999997</v>
      </c>
      <c r="K2308">
        <v>1.103694</v>
      </c>
      <c r="L2308">
        <v>284.58269999999999</v>
      </c>
      <c r="M2308">
        <v>-0.99992519999999996</v>
      </c>
      <c r="N2308">
        <v>0</v>
      </c>
      <c r="O2308">
        <v>-4.8025860000000002E-3</v>
      </c>
      <c r="P2308">
        <v>-0.99932279999999996</v>
      </c>
      <c r="Q2308">
        <v>3.2781980000000002E-2</v>
      </c>
      <c r="R2308">
        <v>-1.6718239999999999E-2</v>
      </c>
      <c r="S2308">
        <v>-3.003571</v>
      </c>
      <c r="T2308">
        <v>-0.14476120000000001</v>
      </c>
      <c r="U2308">
        <v>-0.19113160000000001</v>
      </c>
      <c r="V2308">
        <v>-1.1861750000000001E-2</v>
      </c>
      <c r="W2308">
        <v>4.4041990000000003E-2</v>
      </c>
      <c r="X2308">
        <v>0.99895919999999905</v>
      </c>
      <c r="Y2308">
        <v>-5.8650170000000001E-2</v>
      </c>
      <c r="Z2308">
        <v>-1.1800139999999901E-3</v>
      </c>
      <c r="AA2308">
        <v>0.99827790000000005</v>
      </c>
      <c r="AB2308">
        <v>27</v>
      </c>
      <c r="AC2308">
        <v>-22.6328</v>
      </c>
      <c r="AD2308">
        <v>-1.1036902612770001</v>
      </c>
      <c r="AE2308">
        <v>-1.4563999999999699</v>
      </c>
      <c r="AF2308">
        <v>-1.3444962845555399</v>
      </c>
      <c r="AG2308">
        <v>-1.1036902612770001</v>
      </c>
      <c r="AH2308">
        <v>22.586045013392901</v>
      </c>
      <c r="AI2308">
        <v>92.792655945723197</v>
      </c>
      <c r="AJ2308">
        <v>93.406668334910094</v>
      </c>
      <c r="AK2308">
        <v>22.6529298722932</v>
      </c>
    </row>
    <row r="2309" spans="1:37" x14ac:dyDescent="0.2">
      <c r="A2309" t="str">
        <f>"20200111155841334"</f>
        <v>20200111155841334</v>
      </c>
      <c r="B2309" t="str">
        <f>"1578729521323468"</f>
        <v>1578729521323468</v>
      </c>
      <c r="C2309" t="s">
        <v>37</v>
      </c>
      <c r="D2309">
        <v>5.5960580000000002</v>
      </c>
      <c r="E2309">
        <v>0.4838691</v>
      </c>
      <c r="F2309" t="s">
        <v>50</v>
      </c>
      <c r="G2309">
        <v>-450.53750000000002</v>
      </c>
      <c r="H2309" s="1">
        <v>-1.1857389999999999E-6</v>
      </c>
      <c r="I2309">
        <v>283.12900000000002</v>
      </c>
      <c r="J2309">
        <v>-427.43130000000002</v>
      </c>
      <c r="K2309">
        <v>1.1036889999999999</v>
      </c>
      <c r="L2309">
        <v>284.5822</v>
      </c>
      <c r="M2309">
        <v>-0.99992939999999997</v>
      </c>
      <c r="N2309">
        <v>0</v>
      </c>
      <c r="O2309">
        <v>-4.1032239999999999E-3</v>
      </c>
      <c r="P2309">
        <v>-0.99936719999999901</v>
      </c>
      <c r="Q2309">
        <v>3.1913400000000001E-2</v>
      </c>
      <c r="R2309">
        <v>-1.5709710000000002E-2</v>
      </c>
      <c r="S2309">
        <v>-3.0035400000000001</v>
      </c>
      <c r="T2309">
        <v>-0.1417928</v>
      </c>
      <c r="U2309">
        <v>-0.18676760000000001</v>
      </c>
      <c r="V2309">
        <v>-1.155308E-2</v>
      </c>
      <c r="W2309">
        <v>4.3083980000000001E-2</v>
      </c>
      <c r="X2309">
        <v>0.99900469999999897</v>
      </c>
      <c r="Y2309">
        <v>-5.7906840000000001E-2</v>
      </c>
      <c r="Z2309">
        <v>-1.1713539999999899E-3</v>
      </c>
      <c r="AA2309">
        <v>0.99832129999999997</v>
      </c>
      <c r="AB2309">
        <v>27</v>
      </c>
      <c r="AC2309">
        <v>-23.106200000000001</v>
      </c>
      <c r="AD2309">
        <v>-1.103690185739</v>
      </c>
      <c r="AE2309">
        <v>-1.4531999999999801</v>
      </c>
      <c r="AF2309">
        <v>-1.35529191942071</v>
      </c>
      <c r="AG2309">
        <v>-1.103690185739</v>
      </c>
      <c r="AH2309">
        <v>23.059563489474499</v>
      </c>
      <c r="AI2309">
        <v>92.735519172676803</v>
      </c>
      <c r="AJ2309">
        <v>93.363605711118794</v>
      </c>
      <c r="AK2309">
        <v>23.1257089953594</v>
      </c>
    </row>
    <row r="2310" spans="1:37" x14ac:dyDescent="0.2">
      <c r="A2310" t="str">
        <f>"20200111155841356"</f>
        <v>20200111155841356</v>
      </c>
      <c r="B2310" t="str">
        <f>"1578729521353724"</f>
        <v>1578729521353724</v>
      </c>
      <c r="C2310" t="s">
        <v>37</v>
      </c>
      <c r="D2310">
        <v>5.534154</v>
      </c>
      <c r="E2310">
        <v>0.4834832</v>
      </c>
      <c r="F2310" t="s">
        <v>50</v>
      </c>
      <c r="G2310">
        <v>-449.98439999999999</v>
      </c>
      <c r="H2310" s="1">
        <v>-1.483144E-6</v>
      </c>
      <c r="I2310">
        <v>283.19869999999997</v>
      </c>
      <c r="J2310">
        <v>-427.7047</v>
      </c>
      <c r="K2310">
        <v>1.103683</v>
      </c>
      <c r="L2310">
        <v>284.58179999999999</v>
      </c>
      <c r="M2310">
        <v>-0.99993279999999995</v>
      </c>
      <c r="N2310">
        <v>0</v>
      </c>
      <c r="O2310">
        <v>-3.4026400000000002E-3</v>
      </c>
      <c r="P2310">
        <v>-0.99940450000000003</v>
      </c>
      <c r="Q2310">
        <v>3.100288E-2</v>
      </c>
      <c r="R2310">
        <v>-1.5153949999999999E-2</v>
      </c>
      <c r="S2310">
        <v>-3.0037229999999999</v>
      </c>
      <c r="T2310">
        <v>-0.14699489999999901</v>
      </c>
      <c r="U2310">
        <v>-0.18426509999999999</v>
      </c>
      <c r="V2310">
        <v>-1.1698389999999999E-2</v>
      </c>
      <c r="W2310">
        <v>4.2102109999999998E-2</v>
      </c>
      <c r="X2310">
        <v>0.99904479999999996</v>
      </c>
      <c r="Y2310">
        <v>-5.7768840000000002E-2</v>
      </c>
      <c r="Z2310">
        <v>-1.2450969999999999E-3</v>
      </c>
      <c r="AA2310">
        <v>0.99832919999999903</v>
      </c>
      <c r="AB2310">
        <v>27</v>
      </c>
      <c r="AC2310">
        <v>-22.279699999999899</v>
      </c>
      <c r="AD2310">
        <v>-1.103684483144</v>
      </c>
      <c r="AE2310">
        <v>-1.38310000000001</v>
      </c>
      <c r="AF2310">
        <v>-1.3040896125072301</v>
      </c>
      <c r="AG2310">
        <v>-1.103684483144</v>
      </c>
      <c r="AH2310">
        <v>22.229935073590902</v>
      </c>
      <c r="AI2310">
        <v>92.837449370201895</v>
      </c>
      <c r="AJ2310">
        <v>93.357332987673402</v>
      </c>
      <c r="AK2310">
        <v>22.2954879411025</v>
      </c>
    </row>
    <row r="2311" spans="1:37" x14ac:dyDescent="0.2">
      <c r="A2311" t="str">
        <f>"20200111155841379"</f>
        <v>20200111155841379</v>
      </c>
      <c r="B2311" t="str">
        <f>"1578729521373244"</f>
        <v>1578729521373244</v>
      </c>
      <c r="C2311" t="s">
        <v>37</v>
      </c>
      <c r="D2311">
        <v>5.5951909999999998</v>
      </c>
      <c r="E2311">
        <v>0.48342570000000001</v>
      </c>
      <c r="F2311" t="s">
        <v>50</v>
      </c>
      <c r="G2311">
        <v>-450.16930000000002</v>
      </c>
      <c r="H2311" s="1">
        <v>-1.3845630000000001E-6</v>
      </c>
      <c r="I2311">
        <v>283.19450000000001</v>
      </c>
      <c r="J2311">
        <v>-427.9812</v>
      </c>
      <c r="K2311">
        <v>1.1036779999999999</v>
      </c>
      <c r="L2311">
        <v>284.58170000000001</v>
      </c>
      <c r="M2311">
        <v>-0.99993559999999904</v>
      </c>
      <c r="N2311">
        <v>0</v>
      </c>
      <c r="O2311">
        <v>-2.694274E-3</v>
      </c>
      <c r="P2311">
        <v>-0.99942699999999995</v>
      </c>
      <c r="Q2311">
        <v>3.062635E-2</v>
      </c>
      <c r="R2311">
        <v>-1.442477E-2</v>
      </c>
      <c r="S2311">
        <v>-3.0035400000000001</v>
      </c>
      <c r="T2311">
        <v>-0.1475641</v>
      </c>
      <c r="U2311">
        <v>-0.18548580000000001</v>
      </c>
      <c r="V2311">
        <v>-1.167764E-2</v>
      </c>
      <c r="W2311">
        <v>4.1670480000000003E-2</v>
      </c>
      <c r="X2311">
        <v>0.99906309999999998</v>
      </c>
      <c r="Y2311">
        <v>-5.8881280000000001E-2</v>
      </c>
      <c r="Z2311">
        <v>-1.3120059999999999E-3</v>
      </c>
      <c r="AA2311">
        <v>0.99826409999999999</v>
      </c>
      <c r="AB2311">
        <v>27</v>
      </c>
      <c r="AC2311">
        <v>-22.188099999999999</v>
      </c>
      <c r="AD2311">
        <v>-1.103679384563</v>
      </c>
      <c r="AE2311">
        <v>-1.3872</v>
      </c>
      <c r="AF2311">
        <v>-1.3241469805738</v>
      </c>
      <c r="AG2311">
        <v>-1.103679384563</v>
      </c>
      <c r="AH2311">
        <v>22.137197223243302</v>
      </c>
      <c r="AI2311">
        <v>92.849110005933696</v>
      </c>
      <c r="AJ2311">
        <v>93.423095701931402</v>
      </c>
      <c r="AK2311">
        <v>22.204210733796501</v>
      </c>
    </row>
    <row r="2312" spans="1:37" x14ac:dyDescent="0.2">
      <c r="A2312" t="str">
        <f>"20200111155841401"</f>
        <v>20200111155841401</v>
      </c>
      <c r="B2312" t="str">
        <f>"1578729521393739"</f>
        <v>1578729521393739</v>
      </c>
      <c r="C2312" t="s">
        <v>37</v>
      </c>
      <c r="D2312">
        <v>6.3818339999999996</v>
      </c>
      <c r="E2312">
        <v>0.48342079999999998</v>
      </c>
      <c r="F2312" t="s">
        <v>50</v>
      </c>
      <c r="G2312">
        <v>-450.12599999999998</v>
      </c>
      <c r="H2312" s="1">
        <v>-1.408962E-6</v>
      </c>
      <c r="I2312">
        <v>283.22590000000002</v>
      </c>
      <c r="J2312">
        <v>-428.25170000000003</v>
      </c>
      <c r="K2312">
        <v>1.103675</v>
      </c>
      <c r="L2312">
        <v>284.58170000000001</v>
      </c>
      <c r="M2312">
        <v>-0.99993750000000003</v>
      </c>
      <c r="N2312">
        <v>0</v>
      </c>
      <c r="O2312">
        <v>-2.0011410000000001E-3</v>
      </c>
      <c r="P2312">
        <v>-0.99945529999999905</v>
      </c>
      <c r="Q2312">
        <v>3.0065270000000002E-2</v>
      </c>
      <c r="R2312">
        <v>-1.3619590000000001E-2</v>
      </c>
      <c r="S2312">
        <v>-3.0036930000000002</v>
      </c>
      <c r="T2312">
        <v>-0.14970169999999999</v>
      </c>
      <c r="U2312">
        <v>-0.1838989</v>
      </c>
      <c r="V2312">
        <v>-1.1565499999999999E-2</v>
      </c>
      <c r="W2312">
        <v>4.1073499999999999E-2</v>
      </c>
      <c r="X2312">
        <v>0.99908920000000001</v>
      </c>
      <c r="Y2312">
        <v>-5.9041690000000001E-2</v>
      </c>
      <c r="Z2312">
        <v>-1.369426E-3</v>
      </c>
      <c r="AA2312">
        <v>0.99825459999999999</v>
      </c>
      <c r="AB2312">
        <v>27</v>
      </c>
      <c r="AC2312">
        <v>-21.874299999999899</v>
      </c>
      <c r="AD2312">
        <v>-1.1036764089619999</v>
      </c>
      <c r="AE2312">
        <v>-1.3557999999999799</v>
      </c>
      <c r="AF2312">
        <v>-1.3087022038168801</v>
      </c>
      <c r="AG2312">
        <v>-1.1036764089619999</v>
      </c>
      <c r="AH2312">
        <v>21.821629763508401</v>
      </c>
      <c r="AI2312">
        <v>92.8902074052735</v>
      </c>
      <c r="AJ2312">
        <v>93.432072184464204</v>
      </c>
      <c r="AK2312">
        <v>21.888680376158199</v>
      </c>
    </row>
    <row r="2313" spans="1:37" x14ac:dyDescent="0.2">
      <c r="A2313" t="str">
        <f>"20200111155841971"</f>
        <v>20200111155841971</v>
      </c>
      <c r="B2313" t="str">
        <f>"1578729521963205"</f>
        <v>1578729521963205</v>
      </c>
      <c r="C2313" t="s">
        <v>37</v>
      </c>
      <c r="D2313">
        <v>8.13211499999999</v>
      </c>
      <c r="E2313">
        <v>0.47443990000000003</v>
      </c>
      <c r="F2313" t="s">
        <v>50</v>
      </c>
      <c r="G2313">
        <v>-450.22149999999999</v>
      </c>
      <c r="H2313" s="1">
        <v>-1.359391E-6</v>
      </c>
      <c r="I2313">
        <v>283.2543</v>
      </c>
      <c r="J2313">
        <v>-435.21550000000002</v>
      </c>
      <c r="K2313">
        <v>1.1039600000000001</v>
      </c>
      <c r="L2313">
        <v>284.64749999999998</v>
      </c>
      <c r="M2313">
        <v>-0.99978609999999901</v>
      </c>
      <c r="N2313">
        <v>0</v>
      </c>
      <c r="O2313">
        <v>1.5718050000000001E-2</v>
      </c>
      <c r="P2313">
        <v>-0.99963219999999997</v>
      </c>
      <c r="Q2313">
        <v>2.68065E-2</v>
      </c>
      <c r="R2313">
        <v>4.1549200000000003E-3</v>
      </c>
      <c r="S2313">
        <v>-3.0037229999999999</v>
      </c>
      <c r="T2313">
        <v>-0.15089539999999901</v>
      </c>
      <c r="U2313">
        <v>-0.18148800000000001</v>
      </c>
      <c r="V2313">
        <v>-1.150871E-2</v>
      </c>
      <c r="W2313">
        <v>4.025927E-2</v>
      </c>
      <c r="X2313">
        <v>0.99912299999999998</v>
      </c>
      <c r="Y2313">
        <v>-7.5879329999999995E-2</v>
      </c>
      <c r="Z2313">
        <v>-2.6915469999999999E-3</v>
      </c>
      <c r="AA2313">
        <v>0.99711329999999998</v>
      </c>
      <c r="AB2313">
        <v>27</v>
      </c>
      <c r="AC2313">
        <v>-15.005999999999901</v>
      </c>
      <c r="AD2313">
        <v>-1.103961359391</v>
      </c>
      <c r="AE2313">
        <v>-1.39319999999997</v>
      </c>
      <c r="AF2313">
        <v>-1.62022013422722</v>
      </c>
      <c r="AG2313">
        <v>-1.103961359391</v>
      </c>
      <c r="AH2313">
        <v>14.902279935336701</v>
      </c>
      <c r="AI2313">
        <v>94.212003115800499</v>
      </c>
      <c r="AJ2313">
        <v>96.204994816397601</v>
      </c>
      <c r="AK2313">
        <v>15.0306949685476</v>
      </c>
    </row>
    <row r="2314" spans="1:37" x14ac:dyDescent="0.2">
      <c r="A2314" t="str">
        <f>"20200111155841992"</f>
        <v>20200111155841992</v>
      </c>
      <c r="B2314" t="str">
        <f>"1578729521983702"</f>
        <v>1578729521983702</v>
      </c>
      <c r="C2314" t="s">
        <v>37</v>
      </c>
      <c r="D2314">
        <v>6.0814159999999999</v>
      </c>
      <c r="E2314">
        <v>0.46929029999999999</v>
      </c>
      <c r="F2314" t="s">
        <v>50</v>
      </c>
      <c r="G2314">
        <v>-453.54559999999998</v>
      </c>
      <c r="H2314" s="1">
        <v>4.0202949999999999E-7</v>
      </c>
      <c r="I2314">
        <v>283.42579999999998</v>
      </c>
      <c r="J2314">
        <v>-435.48</v>
      </c>
      <c r="K2314">
        <v>1.10397099999999</v>
      </c>
      <c r="L2314">
        <v>284.6524</v>
      </c>
      <c r="M2314">
        <v>-0.99977439999999995</v>
      </c>
      <c r="N2314">
        <v>0</v>
      </c>
      <c r="O2314">
        <v>1.638848E-2</v>
      </c>
      <c r="P2314">
        <v>-0.99963259999999898</v>
      </c>
      <c r="Q2314">
        <v>2.6672959999999999E-2</v>
      </c>
      <c r="R2314">
        <v>4.8561300000000002E-3</v>
      </c>
      <c r="S2314">
        <v>-3.0068049999999999</v>
      </c>
      <c r="T2314">
        <v>-0.18109</v>
      </c>
      <c r="U2314">
        <v>-0.2004089</v>
      </c>
      <c r="V2314">
        <v>-1.147777E-2</v>
      </c>
      <c r="W2314">
        <v>4.019781E-2</v>
      </c>
      <c r="X2314">
        <v>0.99912579999999995</v>
      </c>
      <c r="Y2314">
        <v>-8.2670229999999997E-2</v>
      </c>
      <c r="Z2314">
        <v>-3.4697079999999902E-3</v>
      </c>
      <c r="AA2314">
        <v>0.99657090000000004</v>
      </c>
      <c r="AB2314">
        <v>27</v>
      </c>
      <c r="AC2314">
        <v>-18.0655999999999</v>
      </c>
      <c r="AD2314">
        <v>-1.1039705979704999</v>
      </c>
      <c r="AE2314">
        <v>-1.2266000000000099</v>
      </c>
      <c r="AF2314">
        <v>-1.5168914439805401</v>
      </c>
      <c r="AG2314">
        <v>-1.1039705979704999</v>
      </c>
      <c r="AH2314">
        <v>17.976248579203101</v>
      </c>
      <c r="AI2314">
        <v>93.501862655737</v>
      </c>
      <c r="AJ2314">
        <v>94.823368436192197</v>
      </c>
      <c r="AK2314">
        <v>18.073882364210199</v>
      </c>
    </row>
    <row r="2315" spans="1:37" x14ac:dyDescent="0.2">
      <c r="A2315" t="str">
        <f>"20200111155842015"</f>
        <v>20200111155842015</v>
      </c>
      <c r="B2315" t="str">
        <f>"1578729522003221"</f>
        <v>1578729522003221</v>
      </c>
      <c r="C2315" t="s">
        <v>37</v>
      </c>
      <c r="D2315">
        <v>5.9285709999999998</v>
      </c>
      <c r="E2315">
        <v>0.46628919999999902</v>
      </c>
      <c r="F2315" t="s">
        <v>50</v>
      </c>
      <c r="G2315">
        <v>-455.59809999999999</v>
      </c>
      <c r="H2315" s="1">
        <v>1.5104190000000001E-6</v>
      </c>
      <c r="I2315">
        <v>283.0564</v>
      </c>
      <c r="J2315">
        <v>-435.75420000000003</v>
      </c>
      <c r="K2315">
        <v>1.103977</v>
      </c>
      <c r="L2315">
        <v>284.65769999999998</v>
      </c>
      <c r="M2315">
        <v>-0.99976180000000003</v>
      </c>
      <c r="N2315">
        <v>0</v>
      </c>
      <c r="O2315">
        <v>1.7084080000000001E-2</v>
      </c>
      <c r="P2315">
        <v>-0.99962859999999998</v>
      </c>
      <c r="Q2315">
        <v>2.657934E-2</v>
      </c>
      <c r="R2315">
        <v>6.0469429999999999E-3</v>
      </c>
      <c r="S2315">
        <v>-3.006653</v>
      </c>
      <c r="T2315">
        <v>-0.16498829999999901</v>
      </c>
      <c r="U2315">
        <v>-0.2385254</v>
      </c>
      <c r="V2315">
        <v>-1.0982779999999999E-2</v>
      </c>
      <c r="W2315">
        <v>4.0168740000000001E-2</v>
      </c>
      <c r="X2315">
        <v>0.99913259999999904</v>
      </c>
      <c r="Y2315">
        <v>-9.5935640000000003E-2</v>
      </c>
      <c r="Z2315">
        <v>-3.5616300000000001E-3</v>
      </c>
      <c r="AA2315">
        <v>0.99538119999999997</v>
      </c>
      <c r="AB2315">
        <v>27</v>
      </c>
      <c r="AC2315">
        <v>-19.843899999999898</v>
      </c>
      <c r="AD2315">
        <v>-1.1039754895809999</v>
      </c>
      <c r="AE2315">
        <v>-1.60129999999998</v>
      </c>
      <c r="AF2315">
        <v>-1.9341647386592999</v>
      </c>
      <c r="AG2315">
        <v>-1.1039754895809999</v>
      </c>
      <c r="AH2315">
        <v>19.752903813902002</v>
      </c>
      <c r="AI2315">
        <v>93.183697114248105</v>
      </c>
      <c r="AJ2315">
        <v>95.592459948757195</v>
      </c>
      <c r="AK2315">
        <v>19.878052324086799</v>
      </c>
    </row>
    <row r="2316" spans="1:37" x14ac:dyDescent="0.2">
      <c r="A2316" t="str">
        <f>"20200111155842060"</f>
        <v>20200111155842060</v>
      </c>
      <c r="B2316" t="str">
        <f>"1578729522053972"</f>
        <v>1578729522053972</v>
      </c>
      <c r="C2316" t="s">
        <v>37</v>
      </c>
      <c r="D2316">
        <v>6.0019489999999998</v>
      </c>
      <c r="E2316">
        <v>0.4655282</v>
      </c>
      <c r="F2316" t="s">
        <v>50</v>
      </c>
      <c r="G2316">
        <v>-453.9058</v>
      </c>
      <c r="H2316" s="1">
        <v>6.0833630000000003E-7</v>
      </c>
      <c r="I2316">
        <v>283.09140000000002</v>
      </c>
      <c r="J2316">
        <v>-436.29480000000001</v>
      </c>
      <c r="K2316">
        <v>1.103979</v>
      </c>
      <c r="L2316">
        <v>284.6687</v>
      </c>
      <c r="M2316">
        <v>-0.99973599999999996</v>
      </c>
      <c r="N2316">
        <v>0</v>
      </c>
      <c r="O2316">
        <v>1.8457210000000002E-2</v>
      </c>
      <c r="P2316">
        <v>-0.99964959999999903</v>
      </c>
      <c r="Q2316">
        <v>2.568229E-2</v>
      </c>
      <c r="R2316">
        <v>6.4185229999999998E-3</v>
      </c>
      <c r="S2316">
        <v>-3.0075379999999998</v>
      </c>
      <c r="T2316">
        <v>-0.18291769999999999</v>
      </c>
      <c r="U2316">
        <v>-0.25952150000000002</v>
      </c>
      <c r="V2316">
        <v>-1.198603E-2</v>
      </c>
      <c r="W2316">
        <v>3.9377339999999997E-2</v>
      </c>
      <c r="X2316">
        <v>0.9991525</v>
      </c>
      <c r="Y2316">
        <v>-0.1041219</v>
      </c>
      <c r="Z2316">
        <v>-4.2772929999999997E-3</v>
      </c>
      <c r="AA2316">
        <v>0.99455539999999998</v>
      </c>
      <c r="AB2316">
        <v>27</v>
      </c>
      <c r="AC2316">
        <v>-17.610999999999901</v>
      </c>
      <c r="AD2316">
        <v>-1.1039783916636901</v>
      </c>
      <c r="AE2316">
        <v>-1.5772999999999699</v>
      </c>
      <c r="AF2316">
        <v>-1.8947252788419799</v>
      </c>
      <c r="AG2316">
        <v>-1.1039783916636901</v>
      </c>
      <c r="AH2316">
        <v>17.5106212264734</v>
      </c>
      <c r="AI2316">
        <v>93.586627144138106</v>
      </c>
      <c r="AJ2316">
        <v>96.175625237863997</v>
      </c>
      <c r="AK2316">
        <v>17.6473966326074</v>
      </c>
    </row>
    <row r="2317" spans="1:37" x14ac:dyDescent="0.2">
      <c r="A2317" t="str">
        <f>"20200111155842104"</f>
        <v>20200111155842104</v>
      </c>
      <c r="B2317" t="str">
        <f>"1578729522093989"</f>
        <v>1578729522093989</v>
      </c>
      <c r="C2317" t="s">
        <v>37</v>
      </c>
      <c r="D2317">
        <v>5.991733</v>
      </c>
      <c r="E2317">
        <v>0.46404220000000002</v>
      </c>
      <c r="F2317" t="s">
        <v>50</v>
      </c>
      <c r="G2317">
        <v>-453.74699999999899</v>
      </c>
      <c r="H2317" s="1">
        <v>5.2200969999999997E-7</v>
      </c>
      <c r="I2317">
        <v>283.13380000000001</v>
      </c>
      <c r="J2317">
        <v>-436.82339999999999</v>
      </c>
      <c r="K2317">
        <v>1.103985</v>
      </c>
      <c r="L2317">
        <v>284.68020000000001</v>
      </c>
      <c r="M2317">
        <v>-0.99970930000000002</v>
      </c>
      <c r="N2317">
        <v>0</v>
      </c>
      <c r="O2317">
        <v>1.9799690000000002E-2</v>
      </c>
      <c r="P2317">
        <v>-0.99965579999999998</v>
      </c>
      <c r="Q2317">
        <v>2.5494309999999999E-2</v>
      </c>
      <c r="R2317">
        <v>6.2220399999999999E-3</v>
      </c>
      <c r="S2317">
        <v>-3.00766</v>
      </c>
      <c r="T2317">
        <v>-0.19025610000000001</v>
      </c>
      <c r="U2317">
        <v>-0.26452639999999999</v>
      </c>
      <c r="V2317">
        <v>-1.3524950000000001E-2</v>
      </c>
      <c r="W2317">
        <v>3.9267759999999999E-2</v>
      </c>
      <c r="X2317">
        <v>0.99913719999999995</v>
      </c>
      <c r="Y2317">
        <v>-0.1070692</v>
      </c>
      <c r="Z2317">
        <v>-4.6257159999999898E-3</v>
      </c>
      <c r="AA2317">
        <v>0.99424080000000004</v>
      </c>
      <c r="AB2317">
        <v>27</v>
      </c>
      <c r="AC2317">
        <v>-16.923599999999901</v>
      </c>
      <c r="AD2317">
        <v>-1.1039844779903001</v>
      </c>
      <c r="AE2317">
        <v>-1.5464</v>
      </c>
      <c r="AF2317">
        <v>-1.8733048942124</v>
      </c>
      <c r="AG2317">
        <v>-1.1039844779903001</v>
      </c>
      <c r="AH2317">
        <v>16.818683041376499</v>
      </c>
      <c r="AI2317">
        <v>93.732512627748704</v>
      </c>
      <c r="AJ2317">
        <v>96.355544134483097</v>
      </c>
      <c r="AK2317">
        <v>16.9586600944948</v>
      </c>
    </row>
    <row r="2318" spans="1:37" x14ac:dyDescent="0.2">
      <c r="A2318" t="str">
        <f>"20200111155842128"</f>
        <v>20200111155842128</v>
      </c>
      <c r="B2318" t="str">
        <f>"1578729522123270"</f>
        <v>1578729522123270</v>
      </c>
      <c r="C2318" t="s">
        <v>37</v>
      </c>
      <c r="D2318">
        <v>5.8030540000000004</v>
      </c>
      <c r="E2318">
        <v>0.46297879999999902</v>
      </c>
      <c r="F2318" t="s">
        <v>50</v>
      </c>
      <c r="G2318">
        <v>-452.84100000000001</v>
      </c>
      <c r="H2318" s="1">
        <v>3.6876610000000001E-8</v>
      </c>
      <c r="I2318">
        <v>283.20139999999998</v>
      </c>
      <c r="J2318">
        <v>-437.09390000000002</v>
      </c>
      <c r="K2318">
        <v>1.103985</v>
      </c>
      <c r="L2318">
        <v>284.68630000000002</v>
      </c>
      <c r="M2318">
        <v>-0.99969490000000005</v>
      </c>
      <c r="N2318">
        <v>0</v>
      </c>
      <c r="O2318">
        <v>2.0486979999999998E-2</v>
      </c>
      <c r="P2318">
        <v>-0.99964279999999905</v>
      </c>
      <c r="Q2318">
        <v>2.6001059999999999E-2</v>
      </c>
      <c r="R2318">
        <v>6.1917819999999998E-3</v>
      </c>
      <c r="S2318">
        <v>-3.008057</v>
      </c>
      <c r="T2318">
        <v>-0.20732590000000001</v>
      </c>
      <c r="U2318">
        <v>-0.27771000000000001</v>
      </c>
      <c r="V2318">
        <v>-1.424166E-2</v>
      </c>
      <c r="W2318">
        <v>3.9805210000000001E-2</v>
      </c>
      <c r="X2318">
        <v>0.99910599999999905</v>
      </c>
      <c r="Y2318">
        <v>-0.1120022</v>
      </c>
      <c r="Z2318">
        <v>-5.2548389999999999E-3</v>
      </c>
      <c r="AA2318">
        <v>0.99369409999999903</v>
      </c>
      <c r="AB2318">
        <v>27</v>
      </c>
      <c r="AC2318">
        <v>-15.7470999999999</v>
      </c>
      <c r="AD2318">
        <v>-1.10398496312339</v>
      </c>
      <c r="AE2318">
        <v>-1.4849000000000301</v>
      </c>
      <c r="AF2318">
        <v>-1.798467931757</v>
      </c>
      <c r="AG2318">
        <v>-1.10398496312339</v>
      </c>
      <c r="AH2318">
        <v>15.637190653997999</v>
      </c>
      <c r="AI2318">
        <v>94.012018095007093</v>
      </c>
      <c r="AJ2318">
        <v>96.560887126336397</v>
      </c>
      <c r="AK2318">
        <v>15.7789417024667</v>
      </c>
    </row>
    <row r="2319" spans="1:37" x14ac:dyDescent="0.2">
      <c r="A2319" t="str">
        <f>"20200111155842150"</f>
        <v>20200111155842150</v>
      </c>
      <c r="B2319" t="str">
        <f>"1578729522143765"</f>
        <v>1578729522143765</v>
      </c>
      <c r="C2319" t="s">
        <v>37</v>
      </c>
      <c r="D2319">
        <v>5.9871739999999898</v>
      </c>
      <c r="E2319">
        <v>0.46265400000000001</v>
      </c>
      <c r="F2319" t="s">
        <v>50</v>
      </c>
      <c r="G2319">
        <v>-453.25650000000002</v>
      </c>
      <c r="H2319" s="1">
        <v>2.6033159999999998E-7</v>
      </c>
      <c r="I2319">
        <v>283.1481</v>
      </c>
      <c r="J2319">
        <v>-437.36559999999997</v>
      </c>
      <c r="K2319">
        <v>1.10399</v>
      </c>
      <c r="L2319">
        <v>284.6927</v>
      </c>
      <c r="M2319">
        <v>-0.99968020000000002</v>
      </c>
      <c r="N2319">
        <v>0</v>
      </c>
      <c r="O2319">
        <v>2.117722E-2</v>
      </c>
      <c r="P2319">
        <v>-0.99965159999999997</v>
      </c>
      <c r="Q2319">
        <v>2.5617529999999999E-2</v>
      </c>
      <c r="R2319">
        <v>6.3615319999999996E-3</v>
      </c>
      <c r="S2319">
        <v>-3.0081479999999998</v>
      </c>
      <c r="T2319">
        <v>-0.20547099999999999</v>
      </c>
      <c r="U2319">
        <v>-0.28628540000000002</v>
      </c>
      <c r="V2319">
        <v>-1.476306E-2</v>
      </c>
      <c r="W2319">
        <v>3.9449289999999998E-2</v>
      </c>
      <c r="X2319">
        <v>0.99911249999999996</v>
      </c>
      <c r="Y2319">
        <v>-0.11548889999999901</v>
      </c>
      <c r="Z2319">
        <v>-5.3727790000000003E-3</v>
      </c>
      <c r="AA2319">
        <v>0.99329419999999902</v>
      </c>
      <c r="AB2319">
        <v>27</v>
      </c>
      <c r="AC2319">
        <v>-15.8909</v>
      </c>
      <c r="AD2319">
        <v>-1.10398973966839</v>
      </c>
      <c r="AE2319">
        <v>-1.5446</v>
      </c>
      <c r="AF2319">
        <v>-1.8718607763871999</v>
      </c>
      <c r="AG2319">
        <v>-1.10398973966839</v>
      </c>
      <c r="AH2319">
        <v>15.779176597701101</v>
      </c>
      <c r="AI2319">
        <v>93.974398716058701</v>
      </c>
      <c r="AJ2319">
        <v>96.765297830677397</v>
      </c>
      <c r="AK2319">
        <v>15.928121992655299</v>
      </c>
    </row>
    <row r="2320" spans="1:37" x14ac:dyDescent="0.2">
      <c r="A2320" t="str">
        <f>"20200111155842172"</f>
        <v>20200111155842172</v>
      </c>
      <c r="B2320" t="str">
        <f>"1578729522163285"</f>
        <v>1578729522163285</v>
      </c>
      <c r="C2320" t="s">
        <v>37</v>
      </c>
      <c r="D2320">
        <v>6.014221</v>
      </c>
      <c r="E2320">
        <v>0.46238299999999999</v>
      </c>
      <c r="F2320" t="s">
        <v>50</v>
      </c>
      <c r="G2320">
        <v>-452.9486</v>
      </c>
      <c r="H2320" s="1">
        <v>9.4351440000000004E-8</v>
      </c>
      <c r="I2320">
        <v>283.19720000000001</v>
      </c>
      <c r="J2320">
        <v>-437.62139999999999</v>
      </c>
      <c r="K2320">
        <v>1.103999</v>
      </c>
      <c r="L2320">
        <v>284.69889999999998</v>
      </c>
      <c r="M2320">
        <v>-0.9996659</v>
      </c>
      <c r="N2320">
        <v>0</v>
      </c>
      <c r="O2320">
        <v>2.1827200000000001E-2</v>
      </c>
      <c r="P2320">
        <v>-0.99964379999999997</v>
      </c>
      <c r="Q2320">
        <v>2.565926E-2</v>
      </c>
      <c r="R2320">
        <v>7.3340380000000002E-3</v>
      </c>
      <c r="S2320">
        <v>-3.0083009999999999</v>
      </c>
      <c r="T2320">
        <v>-0.21312510000000001</v>
      </c>
      <c r="U2320">
        <v>-0.28869629999999902</v>
      </c>
      <c r="V2320">
        <v>-1.444049E-2</v>
      </c>
      <c r="W2320">
        <v>3.9511709999999998E-2</v>
      </c>
      <c r="X2320">
        <v>0.99911479999999997</v>
      </c>
      <c r="Y2320">
        <v>-0.1168897</v>
      </c>
      <c r="Z2320">
        <v>-5.6672989999999998E-3</v>
      </c>
      <c r="AA2320">
        <v>0.99312869999999998</v>
      </c>
      <c r="AB2320">
        <v>27</v>
      </c>
      <c r="AC2320">
        <v>-15.327199999999999</v>
      </c>
      <c r="AD2320">
        <v>-1.10399890564856</v>
      </c>
      <c r="AE2320">
        <v>-1.5016999999999701</v>
      </c>
      <c r="AF2320">
        <v>-1.8265378569448001</v>
      </c>
      <c r="AG2320">
        <v>-1.10399890564856</v>
      </c>
      <c r="AH2320">
        <v>15.2125920491684</v>
      </c>
      <c r="AI2320">
        <v>94.121260517252395</v>
      </c>
      <c r="AJ2320">
        <v>96.846585801876898</v>
      </c>
      <c r="AK2320">
        <v>15.361575797454799</v>
      </c>
    </row>
    <row r="2321" spans="1:37" x14ac:dyDescent="0.2">
      <c r="A2321" t="str">
        <f>"20200111155842194"</f>
        <v>20200111155842194</v>
      </c>
      <c r="B2321" t="str">
        <f>"1578729522183781"</f>
        <v>1578729522183781</v>
      </c>
      <c r="C2321" t="s">
        <v>37</v>
      </c>
      <c r="D2321">
        <v>6.0152839999999896</v>
      </c>
      <c r="E2321">
        <v>0.46218029999999999</v>
      </c>
      <c r="F2321" t="s">
        <v>50</v>
      </c>
      <c r="G2321">
        <v>-452.8775</v>
      </c>
      <c r="H2321" s="1">
        <v>5.4771719999999999E-8</v>
      </c>
      <c r="I2321">
        <v>283.23700000000002</v>
      </c>
      <c r="J2321">
        <v>-437.8904</v>
      </c>
      <c r="K2321">
        <v>1.1040080000000001</v>
      </c>
      <c r="L2321">
        <v>284.70549999999997</v>
      </c>
      <c r="M2321">
        <v>-0.999650499999999</v>
      </c>
      <c r="N2321">
        <v>0</v>
      </c>
      <c r="O2321">
        <v>2.251104E-2</v>
      </c>
      <c r="P2321">
        <v>-0.99963780000000002</v>
      </c>
      <c r="Q2321">
        <v>2.5668599999999899E-2</v>
      </c>
      <c r="R2321">
        <v>8.1082769999999901E-3</v>
      </c>
      <c r="S2321">
        <v>-3.0087890000000002</v>
      </c>
      <c r="T2321">
        <v>-0.21772900000000001</v>
      </c>
      <c r="U2321">
        <v>-0.28829959999999999</v>
      </c>
      <c r="V2321">
        <v>-1.4350440000000001E-2</v>
      </c>
      <c r="W2321">
        <v>3.9539820000000003E-2</v>
      </c>
      <c r="X2321">
        <v>0.99911489999999903</v>
      </c>
      <c r="Y2321">
        <v>-0.11740589999999999</v>
      </c>
      <c r="Z2321">
        <v>-5.856455E-3</v>
      </c>
      <c r="AA2321">
        <v>0.99306669999999997</v>
      </c>
      <c r="AB2321">
        <v>27</v>
      </c>
      <c r="AC2321">
        <v>-14.9870999999999</v>
      </c>
      <c r="AD2321">
        <v>-1.1040079452282801</v>
      </c>
      <c r="AE2321">
        <v>-1.46849999999994</v>
      </c>
      <c r="AF2321">
        <v>-1.79588297644221</v>
      </c>
      <c r="AG2321">
        <v>-1.1040079452282801</v>
      </c>
      <c r="AH2321">
        <v>14.8703163665069</v>
      </c>
      <c r="AI2321">
        <v>94.215467255566196</v>
      </c>
      <c r="AJ2321">
        <v>96.8862414298614</v>
      </c>
      <c r="AK2321">
        <v>15.018999235908</v>
      </c>
    </row>
    <row r="2322" spans="1:37" x14ac:dyDescent="0.2">
      <c r="A2322" t="str">
        <f>"20200111155842217"</f>
        <v>20200111155842217</v>
      </c>
      <c r="B2322" t="str">
        <f>"1578729522214038"</f>
        <v>1578729522214038</v>
      </c>
      <c r="C2322" t="s">
        <v>37</v>
      </c>
      <c r="D2322">
        <v>8.3544210000000003</v>
      </c>
      <c r="E2322">
        <v>0.46143420000000002</v>
      </c>
      <c r="F2322" t="s">
        <v>50</v>
      </c>
      <c r="G2322">
        <v>-452.9785</v>
      </c>
      <c r="H2322" s="1">
        <v>1.073518E-7</v>
      </c>
      <c r="I2322">
        <v>283.2636</v>
      </c>
      <c r="J2322">
        <v>-438.16340000000002</v>
      </c>
      <c r="K2322">
        <v>1.104012</v>
      </c>
      <c r="L2322">
        <v>284.71249999999998</v>
      </c>
      <c r="M2322">
        <v>-0.99963440000000003</v>
      </c>
      <c r="N2322">
        <v>0</v>
      </c>
      <c r="O2322">
        <v>2.320498E-2</v>
      </c>
      <c r="P2322">
        <v>-0.99963630000000003</v>
      </c>
      <c r="Q2322">
        <v>2.5408750000000001E-2</v>
      </c>
      <c r="R2322">
        <v>9.0593930000000007E-3</v>
      </c>
      <c r="S2322">
        <v>-3.009064</v>
      </c>
      <c r="T2322">
        <v>-0.2201756</v>
      </c>
      <c r="U2322">
        <v>-0.28756709999999902</v>
      </c>
      <c r="V2322">
        <v>-1.409331E-2</v>
      </c>
      <c r="W2322">
        <v>3.9295869999999997E-2</v>
      </c>
      <c r="X2322">
        <v>0.99912819999999902</v>
      </c>
      <c r="Y2322">
        <v>-0.117836</v>
      </c>
      <c r="Z2322">
        <v>-5.9879130000000001E-3</v>
      </c>
      <c r="AA2322">
        <v>0.99301499999999998</v>
      </c>
      <c r="AB2322">
        <v>27</v>
      </c>
      <c r="AC2322">
        <v>-14.8150999999999</v>
      </c>
      <c r="AD2322">
        <v>-1.1040118926482001</v>
      </c>
      <c r="AE2322">
        <v>-1.4488999999999801</v>
      </c>
      <c r="AF2322">
        <v>-1.7825221772411599</v>
      </c>
      <c r="AG2322">
        <v>-1.1040118926482001</v>
      </c>
      <c r="AH2322">
        <v>14.6966457298529</v>
      </c>
      <c r="AI2322">
        <v>94.264851411656494</v>
      </c>
      <c r="AJ2322">
        <v>96.915494028624593</v>
      </c>
      <c r="AK2322">
        <v>14.845458001700999</v>
      </c>
    </row>
    <row r="2323" spans="1:37" x14ac:dyDescent="0.2">
      <c r="A2323" t="str">
        <f>"20200111155842260"</f>
        <v>20200111155842260</v>
      </c>
      <c r="B2323" t="str">
        <f>"1578729522253077"</f>
        <v>1578729522253077</v>
      </c>
      <c r="C2323" t="s">
        <v>37</v>
      </c>
      <c r="D2323">
        <v>6.8555789999999996</v>
      </c>
      <c r="E2323">
        <v>0.51271089999999997</v>
      </c>
      <c r="F2323" t="s">
        <v>50</v>
      </c>
      <c r="G2323">
        <v>-453.36259999999999</v>
      </c>
      <c r="H2323" s="1">
        <v>3.1256059999999999E-7</v>
      </c>
      <c r="I2323">
        <v>283.24540000000002</v>
      </c>
      <c r="J2323">
        <v>-438.68439999999998</v>
      </c>
      <c r="K2323">
        <v>1.104007</v>
      </c>
      <c r="L2323">
        <v>284.72620000000001</v>
      </c>
      <c r="M2323">
        <v>-0.99960260000000001</v>
      </c>
      <c r="N2323">
        <v>0</v>
      </c>
      <c r="O2323">
        <v>2.4530030000000001E-2</v>
      </c>
      <c r="P2323">
        <v>-0.99966520000000003</v>
      </c>
      <c r="Q2323">
        <v>2.353187E-2</v>
      </c>
      <c r="R2323">
        <v>1.0785400000000001E-2</v>
      </c>
      <c r="S2323">
        <v>-3.009277</v>
      </c>
      <c r="T2323">
        <v>-0.2185819</v>
      </c>
      <c r="U2323">
        <v>-0.29046630000000001</v>
      </c>
      <c r="V2323">
        <v>-1.3696470000000001E-2</v>
      </c>
      <c r="W2323">
        <v>3.7443299999999999E-2</v>
      </c>
      <c r="X2323">
        <v>0.99920489999999995</v>
      </c>
      <c r="Y2323">
        <v>-0.1200894</v>
      </c>
      <c r="Z2323">
        <v>-6.1214819999999897E-3</v>
      </c>
      <c r="AA2323">
        <v>0.99274419999999897</v>
      </c>
      <c r="AB2323">
        <v>27</v>
      </c>
      <c r="AC2323">
        <v>-14.6782</v>
      </c>
      <c r="AD2323">
        <v>-1.1040066874393999</v>
      </c>
      <c r="AE2323">
        <v>-1.4807999999999799</v>
      </c>
      <c r="AF2323">
        <v>-1.83019637060769</v>
      </c>
      <c r="AG2323">
        <v>-1.1040066874393999</v>
      </c>
      <c r="AH2323">
        <v>14.5559392923193</v>
      </c>
      <c r="AI2323">
        <v>94.303583014298098</v>
      </c>
      <c r="AJ2323">
        <v>97.166497812675999</v>
      </c>
      <c r="AK2323">
        <v>14.7120297104982</v>
      </c>
    </row>
    <row r="2324" spans="1:37" x14ac:dyDescent="0.2">
      <c r="A2324" t="str">
        <f>"20200111155842284"</f>
        <v>20200111155842284</v>
      </c>
      <c r="B2324" t="str">
        <f>"1578729522273574"</f>
        <v>1578729522273574</v>
      </c>
      <c r="C2324" t="s">
        <v>37</v>
      </c>
      <c r="D2324">
        <v>5.9562710000000001</v>
      </c>
      <c r="E2324">
        <v>0.51369770000000003</v>
      </c>
      <c r="F2324" t="s">
        <v>50</v>
      </c>
      <c r="G2324">
        <v>-459.70269999999999</v>
      </c>
      <c r="H2324" s="1">
        <v>3.5831839999999998E-6</v>
      </c>
      <c r="I2324">
        <v>285.60759999999999</v>
      </c>
      <c r="J2324">
        <v>-438.95280000000002</v>
      </c>
      <c r="K2324">
        <v>1.104007</v>
      </c>
      <c r="L2324">
        <v>284.73360000000002</v>
      </c>
      <c r="M2324">
        <v>-0.99958530000000001</v>
      </c>
      <c r="N2324">
        <v>0</v>
      </c>
      <c r="O2324">
        <v>2.521311E-2</v>
      </c>
      <c r="P2324">
        <v>-0.99966969999999999</v>
      </c>
      <c r="Q2324">
        <v>2.2904049999999999E-2</v>
      </c>
      <c r="R2324">
        <v>1.167608E-2</v>
      </c>
      <c r="S2324">
        <v>-3.0033259999999999</v>
      </c>
      <c r="T2324">
        <v>-0.15775220000000001</v>
      </c>
      <c r="U2324">
        <v>0.125946</v>
      </c>
      <c r="V2324">
        <v>-1.349E-2</v>
      </c>
      <c r="W2324">
        <v>3.6824309999999999E-2</v>
      </c>
      <c r="X2324">
        <v>0.99923069999999903</v>
      </c>
      <c r="Y2324">
        <v>1.670367E-2</v>
      </c>
      <c r="Z2324">
        <v>-8.8450240000000004E-4</v>
      </c>
      <c r="AA2324">
        <v>0.99986010000000003</v>
      </c>
      <c r="AB2324">
        <v>27</v>
      </c>
      <c r="AC2324">
        <v>-20.749899999999901</v>
      </c>
      <c r="AD2324">
        <v>-1.104003416816</v>
      </c>
      <c r="AE2324">
        <v>0.87399999999996603</v>
      </c>
      <c r="AF2324">
        <v>0.34951430645186699</v>
      </c>
      <c r="AG2324">
        <v>-1.104003416816</v>
      </c>
      <c r="AH2324">
        <v>20.7068276729077</v>
      </c>
      <c r="AI2324">
        <v>93.051453379746107</v>
      </c>
      <c r="AJ2324">
        <v>89.0329859570096</v>
      </c>
      <c r="AK2324">
        <v>20.739182627824398</v>
      </c>
    </row>
    <row r="2325" spans="1:37" x14ac:dyDescent="0.2">
      <c r="A2325" t="str">
        <f>"20200111155842307"</f>
        <v>20200111155842307</v>
      </c>
      <c r="B2325" t="str">
        <f>"1578729522303828"</f>
        <v>1578729522303828</v>
      </c>
      <c r="C2325" t="s">
        <v>37</v>
      </c>
      <c r="D2325">
        <v>6.6905460000000003</v>
      </c>
      <c r="E2325">
        <v>0.51359370000000004</v>
      </c>
      <c r="F2325" t="s">
        <v>50</v>
      </c>
      <c r="G2325">
        <v>-457.89120000000003</v>
      </c>
      <c r="H2325" s="1">
        <v>2.619933E-6</v>
      </c>
      <c r="I2325">
        <v>285.59010000000001</v>
      </c>
      <c r="J2325">
        <v>-439.22129999999999</v>
      </c>
      <c r="K2325">
        <v>1.1040129999999999</v>
      </c>
      <c r="L2325">
        <v>284.74119999999999</v>
      </c>
      <c r="M2325">
        <v>-0.99956769999999995</v>
      </c>
      <c r="N2325">
        <v>0</v>
      </c>
      <c r="O2325">
        <v>2.5896789999999999E-2</v>
      </c>
      <c r="P2325">
        <v>-0.99966390000000005</v>
      </c>
      <c r="Q2325">
        <v>2.27212E-2</v>
      </c>
      <c r="R2325">
        <v>1.2494989999999999E-2</v>
      </c>
      <c r="S2325">
        <v>-3.0034179999999999</v>
      </c>
      <c r="T2325">
        <v>-0.17508319999999999</v>
      </c>
      <c r="U2325">
        <v>0.1358337</v>
      </c>
      <c r="V2325">
        <v>-1.335572E-2</v>
      </c>
      <c r="W2325">
        <v>3.6648470000000002E-2</v>
      </c>
      <c r="X2325">
        <v>0.99923899999999999</v>
      </c>
      <c r="Y2325">
        <v>1.9303359999999999E-2</v>
      </c>
      <c r="Z2325">
        <v>-9.455167E-4</v>
      </c>
      <c r="AA2325">
        <v>0.99981319999999996</v>
      </c>
      <c r="AB2325">
        <v>26</v>
      </c>
      <c r="AC2325">
        <v>-18.669899999999998</v>
      </c>
      <c r="AD2325">
        <v>-1.10401038006699</v>
      </c>
      <c r="AE2325">
        <v>0.84890000000001398</v>
      </c>
      <c r="AF2325">
        <v>0.36380839729671399</v>
      </c>
      <c r="AG2325">
        <v>-1.10401038006699</v>
      </c>
      <c r="AH2325">
        <v>18.620646154277999</v>
      </c>
      <c r="AI2325">
        <v>93.392424944241597</v>
      </c>
      <c r="AJ2325">
        <v>88.880702967770404</v>
      </c>
      <c r="AK2325">
        <v>18.6568930605304</v>
      </c>
    </row>
    <row r="2326" spans="1:37" x14ac:dyDescent="0.2">
      <c r="A2326" t="str">
        <f>"20200111155842329"</f>
        <v>20200111155842329</v>
      </c>
      <c r="B2326" t="str">
        <f>"1578729522323348"</f>
        <v>1578729522323348</v>
      </c>
      <c r="C2326" t="s">
        <v>37</v>
      </c>
      <c r="D2326">
        <v>6.5477699999999999</v>
      </c>
      <c r="E2326">
        <v>0.513934</v>
      </c>
      <c r="F2326" t="s">
        <v>50</v>
      </c>
      <c r="G2326">
        <v>-460.7045</v>
      </c>
      <c r="H2326" s="1">
        <v>-1.210587E-6</v>
      </c>
      <c r="I2326">
        <v>285.73</v>
      </c>
      <c r="J2326">
        <v>-439.48259999999999</v>
      </c>
      <c r="K2326">
        <v>1.104015</v>
      </c>
      <c r="L2326">
        <v>284.74869999999999</v>
      </c>
      <c r="M2326">
        <v>-0.99955020000000006</v>
      </c>
      <c r="N2326">
        <v>0</v>
      </c>
      <c r="O2326">
        <v>2.656182E-2</v>
      </c>
      <c r="P2326">
        <v>-0.99965780000000004</v>
      </c>
      <c r="Q2326">
        <v>2.251672E-2</v>
      </c>
      <c r="R2326">
        <v>1.3315810000000001E-2</v>
      </c>
      <c r="S2326">
        <v>-3.002777</v>
      </c>
      <c r="T2326">
        <v>-0.15431199999999901</v>
      </c>
      <c r="U2326">
        <v>0.13821410000000001</v>
      </c>
      <c r="V2326">
        <v>-1.320001E-2</v>
      </c>
      <c r="W2326">
        <v>3.6450719999999999E-2</v>
      </c>
      <c r="X2326">
        <v>0.99924829999999998</v>
      </c>
      <c r="Y2326">
        <v>1.9436930000000002E-2</v>
      </c>
      <c r="Z2326">
        <v>-8.6435250000000004E-4</v>
      </c>
      <c r="AA2326">
        <v>0.99981070000000005</v>
      </c>
      <c r="AB2326">
        <v>26</v>
      </c>
      <c r="AC2326">
        <v>-21.221900000000002</v>
      </c>
      <c r="AD2326">
        <v>-1.1040162105869999</v>
      </c>
      <c r="AE2326">
        <v>0.98130000000003204</v>
      </c>
      <c r="AF2326">
        <v>0.41608310689513001</v>
      </c>
      <c r="AG2326">
        <v>-1.1040162105869999</v>
      </c>
      <c r="AH2326">
        <v>21.1832716994702</v>
      </c>
      <c r="AI2326">
        <v>92.982831253845802</v>
      </c>
      <c r="AJ2326">
        <v>88.874737523238807</v>
      </c>
      <c r="AK2326">
        <v>21.2161018294752</v>
      </c>
    </row>
    <row r="2327" spans="1:37" x14ac:dyDescent="0.2">
      <c r="A2327" t="str">
        <f>"20200111155842350"</f>
        <v>20200111155842350</v>
      </c>
      <c r="B2327" t="str">
        <f>"1578729522343845"</f>
        <v>1578729522343845</v>
      </c>
      <c r="C2327" t="s">
        <v>37</v>
      </c>
      <c r="D2327">
        <v>6.5321300000000004</v>
      </c>
      <c r="E2327">
        <v>0.51554069999999996</v>
      </c>
      <c r="F2327" t="s">
        <v>50</v>
      </c>
      <c r="G2327">
        <v>-462.98059999999998</v>
      </c>
      <c r="H2327" s="1">
        <v>-5.6357730000000004E-9</v>
      </c>
      <c r="I2327">
        <v>285.87419999999997</v>
      </c>
      <c r="J2327">
        <v>-439.74380000000002</v>
      </c>
      <c r="K2327">
        <v>1.104017</v>
      </c>
      <c r="L2327">
        <v>284.75639999999999</v>
      </c>
      <c r="M2327">
        <v>-0.99953230000000004</v>
      </c>
      <c r="N2327">
        <v>0</v>
      </c>
      <c r="O2327">
        <v>2.7226630000000002E-2</v>
      </c>
      <c r="P2327">
        <v>-0.99965369999999998</v>
      </c>
      <c r="Q2327">
        <v>2.2295829999999999E-2</v>
      </c>
      <c r="R2327">
        <v>1.3983499999999999E-2</v>
      </c>
      <c r="S2327">
        <v>-3.0022579999999999</v>
      </c>
      <c r="T2327">
        <v>-0.1410564</v>
      </c>
      <c r="U2327">
        <v>0.14379879999999901</v>
      </c>
      <c r="V2327">
        <v>-1.319773E-2</v>
      </c>
      <c r="W2327">
        <v>3.6234379999999997E-2</v>
      </c>
      <c r="X2327">
        <v>0.99925620000000004</v>
      </c>
      <c r="Y2327">
        <v>2.0633459999999999E-2</v>
      </c>
      <c r="Z2327">
        <v>-7.9338970000000005E-4</v>
      </c>
      <c r="AA2327">
        <v>0.99978679999999998</v>
      </c>
      <c r="AB2327">
        <v>26</v>
      </c>
      <c r="AC2327">
        <v>-23.236799999999899</v>
      </c>
      <c r="AD2327">
        <v>-1.1040170056357701</v>
      </c>
      <c r="AE2327">
        <v>1.1177999999999799</v>
      </c>
      <c r="AF2327">
        <v>0.48357535888265601</v>
      </c>
      <c r="AG2327">
        <v>-1.1040170056357701</v>
      </c>
      <c r="AH2327">
        <v>23.206357087571799</v>
      </c>
      <c r="AI2327">
        <v>92.723140031942293</v>
      </c>
      <c r="AJ2327">
        <v>88.806240128418807</v>
      </c>
      <c r="AK2327">
        <v>23.237635592984599</v>
      </c>
    </row>
    <row r="2328" spans="1:37" x14ac:dyDescent="0.2">
      <c r="A2328" t="str">
        <f>"20200111155842898"</f>
        <v>20200111155842898</v>
      </c>
      <c r="B2328" t="str">
        <f>"1578729522893333"</f>
        <v>1578729522893333</v>
      </c>
      <c r="C2328" t="s">
        <v>37</v>
      </c>
      <c r="D2328">
        <v>6.7789710000000003</v>
      </c>
      <c r="E2328">
        <v>0.5148237</v>
      </c>
      <c r="F2328" t="s">
        <v>50</v>
      </c>
      <c r="G2328">
        <v>-465.10410000000002</v>
      </c>
      <c r="H2328" s="1">
        <v>1.114473E-6</v>
      </c>
      <c r="I2328">
        <v>286.10050000000001</v>
      </c>
      <c r="J2328">
        <v>-446.08600000000001</v>
      </c>
      <c r="K2328">
        <v>1.104068</v>
      </c>
      <c r="L2328">
        <v>284.99709999999999</v>
      </c>
      <c r="M2328">
        <v>-0.99896070000000003</v>
      </c>
      <c r="N2328">
        <v>0</v>
      </c>
      <c r="O2328">
        <v>4.3407639999999997E-2</v>
      </c>
      <c r="P2328">
        <v>-0.99950499999999998</v>
      </c>
      <c r="Q2328">
        <v>2.241085E-2</v>
      </c>
      <c r="R2328">
        <v>2.208632E-2</v>
      </c>
      <c r="S2328">
        <v>-3.001709</v>
      </c>
      <c r="T2328">
        <v>-0.13067409999999999</v>
      </c>
      <c r="U2328">
        <v>0.15908810000000001</v>
      </c>
      <c r="V2328">
        <v>-2.1283989999999999E-2</v>
      </c>
      <c r="W2328">
        <v>3.6334930000000001E-2</v>
      </c>
      <c r="X2328">
        <v>0.99911299999999903</v>
      </c>
      <c r="Y2328">
        <v>9.5559579999999998E-3</v>
      </c>
      <c r="Z2328">
        <v>-1.6788969999999999E-3</v>
      </c>
      <c r="AA2328">
        <v>0.99995290000000003</v>
      </c>
      <c r="AB2328">
        <v>26</v>
      </c>
      <c r="AC2328">
        <v>-19.0181</v>
      </c>
      <c r="AD2328">
        <v>-1.1040668855269999</v>
      </c>
      <c r="AE2328">
        <v>1.1034000000000199</v>
      </c>
      <c r="AF2328">
        <v>0.27582268590714898</v>
      </c>
      <c r="AG2328">
        <v>-1.1040668855269999</v>
      </c>
      <c r="AH2328">
        <v>18.984305149031801</v>
      </c>
      <c r="AI2328">
        <v>93.328041021311094</v>
      </c>
      <c r="AJ2328">
        <v>89.167609042281995</v>
      </c>
      <c r="AK2328">
        <v>19.018382787012499</v>
      </c>
    </row>
    <row r="2329" spans="1:37" x14ac:dyDescent="0.2">
      <c r="A2329" t="str">
        <f>"20200111155843500"</f>
        <v>20200111155843500</v>
      </c>
      <c r="B2329" t="str">
        <f>"1578729523494080"</f>
        <v>1578729523494080</v>
      </c>
      <c r="C2329" t="s">
        <v>37</v>
      </c>
      <c r="D2329">
        <v>6.0900930000000004</v>
      </c>
      <c r="E2329">
        <v>0.5148237</v>
      </c>
      <c r="F2329" t="s">
        <v>49</v>
      </c>
      <c r="G2329">
        <v>-472.38760000000002</v>
      </c>
      <c r="H2329" s="1">
        <v>5.7254549999999999E-6</v>
      </c>
      <c r="I2329">
        <v>286.56240000000003</v>
      </c>
      <c r="J2329">
        <v>-452.81650000000002</v>
      </c>
      <c r="K2329">
        <v>1.1041780000000001</v>
      </c>
      <c r="L2329">
        <v>285.36450000000002</v>
      </c>
      <c r="M2329">
        <v>-0.99808009999999903</v>
      </c>
      <c r="N2329">
        <v>0</v>
      </c>
      <c r="O2329">
        <v>6.0370609999999998E-2</v>
      </c>
      <c r="P2329">
        <v>-0.99940450000000003</v>
      </c>
      <c r="Q2329">
        <v>2.7752590000000001E-2</v>
      </c>
      <c r="R2329">
        <v>2.0509389999999999E-2</v>
      </c>
      <c r="S2329">
        <v>-3.0003660000000001</v>
      </c>
      <c r="T2329">
        <v>-0.12594649999999999</v>
      </c>
      <c r="U2329">
        <v>0.178558299999999</v>
      </c>
      <c r="V2329">
        <v>-3.9824999999999999E-2</v>
      </c>
      <c r="W2329">
        <v>4.161521E-2</v>
      </c>
      <c r="X2329">
        <v>0.99833969999999905</v>
      </c>
      <c r="Y2329">
        <v>-9.1736360000000002E-4</v>
      </c>
      <c r="Z2329">
        <v>-2.548009E-3</v>
      </c>
      <c r="AA2329">
        <v>0.99999629999999995</v>
      </c>
      <c r="AB2329">
        <v>25</v>
      </c>
      <c r="AC2329">
        <v>-19.571100000000001</v>
      </c>
      <c r="AD2329">
        <v>-1.104172274545</v>
      </c>
      <c r="AE2329">
        <v>1.1979</v>
      </c>
      <c r="AF2329">
        <v>1.4037738858881699E-2</v>
      </c>
      <c r="AG2329">
        <v>-1.104172274545</v>
      </c>
      <c r="AH2329">
        <v>19.5457381471867</v>
      </c>
      <c r="AI2329">
        <v>93.233299461590306</v>
      </c>
      <c r="AJ2329">
        <v>89.958850208358697</v>
      </c>
      <c r="AK2329">
        <v>19.5769066297098</v>
      </c>
    </row>
    <row r="2330" spans="1:37" x14ac:dyDescent="0.2">
      <c r="A2330" t="str">
        <f>"20200111155843523"</f>
        <v>20200111155843523</v>
      </c>
      <c r="B2330" t="str">
        <f>"1578729523513601"</f>
        <v>1578729523513601</v>
      </c>
      <c r="C2330" t="s">
        <v>37</v>
      </c>
      <c r="D2330">
        <v>5.8071140000000003</v>
      </c>
      <c r="E2330">
        <v>0.51291569999999997</v>
      </c>
      <c r="F2330" t="s">
        <v>49</v>
      </c>
      <c r="G2330">
        <v>-483.1875</v>
      </c>
      <c r="H2330" s="1">
        <v>2.99164899999999E-6</v>
      </c>
      <c r="I2330">
        <v>287.13830000000002</v>
      </c>
      <c r="J2330">
        <v>-453.0566</v>
      </c>
      <c r="K2330">
        <v>1.1041809999999901</v>
      </c>
      <c r="L2330">
        <v>285.37970000000001</v>
      </c>
      <c r="M2330">
        <v>-0.99804359999999903</v>
      </c>
      <c r="N2330">
        <v>0</v>
      </c>
      <c r="O2330">
        <v>6.0973449999999998E-2</v>
      </c>
      <c r="P2330">
        <v>-0.99939929999999999</v>
      </c>
      <c r="Q2330">
        <v>2.7863559999999999E-2</v>
      </c>
      <c r="R2330">
        <v>2.06139999999999E-2</v>
      </c>
      <c r="S2330">
        <v>-3.0012509999999999</v>
      </c>
      <c r="T2330">
        <v>-0.109113899999999</v>
      </c>
      <c r="U2330">
        <v>0.175293</v>
      </c>
      <c r="V2330">
        <v>-4.0323699999999997E-2</v>
      </c>
      <c r="W2330">
        <v>4.1723360000000001E-2</v>
      </c>
      <c r="X2330">
        <v>0.99831519999999996</v>
      </c>
      <c r="Y2330">
        <v>-2.6349780000000001E-3</v>
      </c>
      <c r="Z2330">
        <v>-2.2601819999999999E-3</v>
      </c>
      <c r="AA2330">
        <v>0.99999400000000005</v>
      </c>
      <c r="AB2330">
        <v>25</v>
      </c>
      <c r="AC2330">
        <v>-30.1309</v>
      </c>
      <c r="AD2330">
        <v>-1.10417800835099</v>
      </c>
      <c r="AE2330">
        <v>1.7585999999999999</v>
      </c>
      <c r="AF2330">
        <v>-8.1923648476613695E-2</v>
      </c>
      <c r="AG2330">
        <v>-1.10417800835099</v>
      </c>
      <c r="AH2330">
        <v>30.141724663411601</v>
      </c>
      <c r="AI2330">
        <v>92.097963208074205</v>
      </c>
      <c r="AJ2330">
        <v>90.155726581481801</v>
      </c>
      <c r="AK2330">
        <v>30.162053747104501</v>
      </c>
    </row>
    <row r="2331" spans="1:37" x14ac:dyDescent="0.2">
      <c r="A2331" t="str">
        <f>"20200111155843545"</f>
        <v>20200111155843545</v>
      </c>
      <c r="B2331" t="str">
        <f>"1578729523534096"</f>
        <v>1578729523534096</v>
      </c>
      <c r="C2331" t="s">
        <v>37</v>
      </c>
      <c r="D2331">
        <v>5.8558779999999997</v>
      </c>
      <c r="E2331">
        <v>0.50999570000000005</v>
      </c>
      <c r="F2331" t="s">
        <v>49</v>
      </c>
      <c r="G2331">
        <v>-483.74119999999999</v>
      </c>
      <c r="H2331" s="1">
        <v>3.079389E-6</v>
      </c>
      <c r="I2331">
        <v>287.01859999999999</v>
      </c>
      <c r="J2331">
        <v>-453.30160000000001</v>
      </c>
      <c r="K2331">
        <v>1.1041840000000001</v>
      </c>
      <c r="L2331">
        <v>285.3954</v>
      </c>
      <c r="M2331">
        <v>-0.99800630000000001</v>
      </c>
      <c r="N2331">
        <v>0</v>
      </c>
      <c r="O2331">
        <v>6.1582459999999999E-2</v>
      </c>
      <c r="P2331">
        <v>-0.99939979999999995</v>
      </c>
      <c r="Q2331">
        <v>2.8043530000000001E-2</v>
      </c>
      <c r="R2331">
        <v>2.034944E-2</v>
      </c>
      <c r="S2331">
        <v>-3.0014949999999998</v>
      </c>
      <c r="T2331">
        <v>-0.1080081</v>
      </c>
      <c r="U2331">
        <v>0.1603088</v>
      </c>
      <c r="V2331">
        <v>-4.1197379999999999E-2</v>
      </c>
      <c r="W2331">
        <v>4.1901069999999999E-2</v>
      </c>
      <c r="X2331">
        <v>0.9982721</v>
      </c>
      <c r="Y2331">
        <v>-8.2233169999999904E-3</v>
      </c>
      <c r="Z2331">
        <v>-2.3597929999999998E-3</v>
      </c>
      <c r="AA2331">
        <v>0.99996339999999995</v>
      </c>
      <c r="AB2331">
        <v>25</v>
      </c>
      <c r="AC2331">
        <v>-30.439599999999899</v>
      </c>
      <c r="AD2331">
        <v>-1.104180920611</v>
      </c>
      <c r="AE2331">
        <v>1.62319999999999</v>
      </c>
      <c r="AF2331">
        <v>-0.25427230998019601</v>
      </c>
      <c r="AG2331">
        <v>-1.104180920611</v>
      </c>
      <c r="AH2331">
        <v>30.441841794219201</v>
      </c>
      <c r="AI2331">
        <v>92.077238960982498</v>
      </c>
      <c r="AJ2331">
        <v>90.4785647173114</v>
      </c>
      <c r="AK2331">
        <v>30.4629217531302</v>
      </c>
    </row>
    <row r="2332" spans="1:37" x14ac:dyDescent="0.2">
      <c r="A2332" t="str">
        <f>"20200111155843569"</f>
        <v>20200111155843569</v>
      </c>
      <c r="B2332" t="str">
        <f>"1578729523563376"</f>
        <v>1578729523563376</v>
      </c>
      <c r="C2332" t="s">
        <v>37</v>
      </c>
      <c r="D2332">
        <v>5.8787769999999897</v>
      </c>
      <c r="E2332">
        <v>0.50644060000000002</v>
      </c>
      <c r="F2332" t="s">
        <v>49</v>
      </c>
      <c r="G2332">
        <v>-483.53579999999999</v>
      </c>
      <c r="H2332" s="1">
        <v>3.0210419999999998E-6</v>
      </c>
      <c r="I2332">
        <v>286.76799999999997</v>
      </c>
      <c r="J2332">
        <v>-453.5566</v>
      </c>
      <c r="K2332">
        <v>1.1041909999999999</v>
      </c>
      <c r="L2332">
        <v>285.41180000000003</v>
      </c>
      <c r="M2332">
        <v>-0.99796770000000001</v>
      </c>
      <c r="N2332">
        <v>0</v>
      </c>
      <c r="O2332">
        <v>6.220411E-2</v>
      </c>
      <c r="P2332">
        <v>-0.99941849999999999</v>
      </c>
      <c r="Q2332">
        <v>2.7533080000000001E-2</v>
      </c>
      <c r="R2332">
        <v>2.0123329999999998E-2</v>
      </c>
      <c r="S2332">
        <v>-3.0020449999999999</v>
      </c>
      <c r="T2332">
        <v>-0.10963769999999901</v>
      </c>
      <c r="U2332">
        <v>0.13629150000000001</v>
      </c>
      <c r="V2332">
        <v>-4.2047950000000001E-2</v>
      </c>
      <c r="W2332">
        <v>4.1387479999999997E-2</v>
      </c>
      <c r="X2332">
        <v>0.99825799999999998</v>
      </c>
      <c r="Y2332">
        <v>-1.6828539999999999E-2</v>
      </c>
      <c r="Z2332">
        <v>-2.5751849999999998E-3</v>
      </c>
      <c r="AA2332">
        <v>0.9998551</v>
      </c>
      <c r="AB2332">
        <v>24</v>
      </c>
      <c r="AC2332">
        <v>-29.979199999999899</v>
      </c>
      <c r="AD2332">
        <v>-1.104187978958</v>
      </c>
      <c r="AE2332">
        <v>1.3561999999999399</v>
      </c>
      <c r="AF2332">
        <v>-0.51074308471780705</v>
      </c>
      <c r="AG2332">
        <v>-1.104187978958</v>
      </c>
      <c r="AH2332">
        <v>29.964935062473</v>
      </c>
      <c r="AI2332">
        <v>92.110050404547593</v>
      </c>
      <c r="AJ2332">
        <v>90.976494349744598</v>
      </c>
      <c r="AK2332">
        <v>29.989621919752299</v>
      </c>
    </row>
    <row r="2333" spans="1:37" x14ac:dyDescent="0.2">
      <c r="A2333" t="str">
        <f>"20200111155843590"</f>
        <v>20200111155843590</v>
      </c>
      <c r="B2333" t="str">
        <f>"1578729523583873"</f>
        <v>1578729523583873</v>
      </c>
      <c r="C2333" t="s">
        <v>37</v>
      </c>
      <c r="D2333">
        <v>6.9798669999999996</v>
      </c>
      <c r="E2333">
        <v>0.50473880000000004</v>
      </c>
      <c r="F2333" t="s">
        <v>49</v>
      </c>
      <c r="G2333">
        <v>-484.48649999999998</v>
      </c>
      <c r="H2333" s="1">
        <v>3.1680099999999998E-6</v>
      </c>
      <c r="I2333">
        <v>286.52</v>
      </c>
      <c r="J2333">
        <v>-453.79719999999998</v>
      </c>
      <c r="K2333">
        <v>1.1042019999999999</v>
      </c>
      <c r="L2333">
        <v>285.42750000000001</v>
      </c>
      <c r="M2333">
        <v>-0.99793169999999898</v>
      </c>
      <c r="N2333">
        <v>0</v>
      </c>
      <c r="O2333">
        <v>6.2778829999999994E-2</v>
      </c>
      <c r="P2333">
        <v>-0.99942739999999997</v>
      </c>
      <c r="Q2333">
        <v>2.7326840000000002E-2</v>
      </c>
      <c r="R2333">
        <v>1.9960350000000002E-2</v>
      </c>
      <c r="S2333">
        <v>-3.0025629999999999</v>
      </c>
      <c r="T2333">
        <v>-0.1071906</v>
      </c>
      <c r="U2333">
        <v>0.107574499999999</v>
      </c>
      <c r="V2333">
        <v>-4.2787550000000001E-2</v>
      </c>
      <c r="W2333">
        <v>4.1177850000000002E-2</v>
      </c>
      <c r="X2333">
        <v>0.99823519999999899</v>
      </c>
      <c r="Y2333">
        <v>-2.6953640000000001E-2</v>
      </c>
      <c r="Z2333">
        <v>-2.7190439999999999E-3</v>
      </c>
      <c r="AA2333">
        <v>0.99963299999999999</v>
      </c>
      <c r="AB2333">
        <v>24</v>
      </c>
      <c r="AC2333">
        <v>-30.689299999999999</v>
      </c>
      <c r="AD2333">
        <v>-1.10419883199</v>
      </c>
      <c r="AE2333">
        <v>1.0924999999999701</v>
      </c>
      <c r="AF2333">
        <v>-0.83539781167708704</v>
      </c>
      <c r="AG2333">
        <v>-1.10419883199</v>
      </c>
      <c r="AH2333">
        <v>30.657707222846199</v>
      </c>
      <c r="AI2333">
        <v>92.061966093139901</v>
      </c>
      <c r="AJ2333">
        <v>91.560877560875497</v>
      </c>
      <c r="AK2333">
        <v>30.688958221583199</v>
      </c>
    </row>
    <row r="2334" spans="1:37" x14ac:dyDescent="0.2">
      <c r="A2334" t="str">
        <f>"20200111155843613"</f>
        <v>20200111155843613</v>
      </c>
      <c r="B2334" t="str">
        <f>"1578729523603392"</f>
        <v>1578729523603392</v>
      </c>
      <c r="C2334" t="s">
        <v>37</v>
      </c>
      <c r="D2334">
        <v>5.8837799999999998</v>
      </c>
      <c r="E2334">
        <v>0.50349359999999999</v>
      </c>
      <c r="F2334" t="s">
        <v>49</v>
      </c>
      <c r="G2334">
        <v>-484.91640000000001</v>
      </c>
      <c r="H2334" s="1">
        <v>3.2336299999999998E-6</v>
      </c>
      <c r="I2334">
        <v>286.39850000000001</v>
      </c>
      <c r="J2334">
        <v>-454.03530000000001</v>
      </c>
      <c r="K2334">
        <v>1.10422</v>
      </c>
      <c r="L2334">
        <v>285.44310000000002</v>
      </c>
      <c r="M2334">
        <v>-0.99789699999999903</v>
      </c>
      <c r="N2334">
        <v>0</v>
      </c>
      <c r="O2334">
        <v>6.3329179999999999E-2</v>
      </c>
      <c r="P2334">
        <v>-0.99941709999999995</v>
      </c>
      <c r="Q2334">
        <v>2.7671499999999901E-2</v>
      </c>
      <c r="R2334">
        <v>2.0010110000000001E-2</v>
      </c>
      <c r="S2334">
        <v>-3.0027159999999999</v>
      </c>
      <c r="T2334">
        <v>-0.1065451</v>
      </c>
      <c r="U2334">
        <v>9.3688960000000002E-2</v>
      </c>
      <c r="V2334">
        <v>-4.3289109999999999E-2</v>
      </c>
      <c r="W2334">
        <v>4.1518979999999997E-2</v>
      </c>
      <c r="X2334">
        <v>0.99819950000000002</v>
      </c>
      <c r="Y2334">
        <v>-3.2120860000000001E-2</v>
      </c>
      <c r="Z2334">
        <v>-2.813935E-3</v>
      </c>
      <c r="AA2334">
        <v>0.99947999999999904</v>
      </c>
      <c r="AB2334">
        <v>24</v>
      </c>
      <c r="AC2334">
        <v>-30.8811</v>
      </c>
      <c r="AD2334">
        <v>-1.10421676637</v>
      </c>
      <c r="AE2334">
        <v>0.95539999999999703</v>
      </c>
      <c r="AF2334">
        <v>-1.0011009250598999</v>
      </c>
      <c r="AG2334">
        <v>-1.10421676637</v>
      </c>
      <c r="AH2334">
        <v>30.840217223659799</v>
      </c>
      <c r="AI2334">
        <v>92.049488884718897</v>
      </c>
      <c r="AJ2334">
        <v>91.859219202675405</v>
      </c>
      <c r="AK2334">
        <v>30.876212464157799</v>
      </c>
    </row>
    <row r="2335" spans="1:37" x14ac:dyDescent="0.2">
      <c r="A2335" t="str">
        <f>"20200111155843635"</f>
        <v>20200111155843635</v>
      </c>
      <c r="B2335" t="str">
        <f>"1578729523623888"</f>
        <v>1578729523623888</v>
      </c>
      <c r="C2335" t="s">
        <v>37</v>
      </c>
      <c r="D2335">
        <v>6.0664319999999998</v>
      </c>
      <c r="E2335">
        <v>0.50217599999999996</v>
      </c>
      <c r="F2335" t="s">
        <v>49</v>
      </c>
      <c r="G2335">
        <v>-484.885999999999</v>
      </c>
      <c r="H2335" s="1">
        <v>3.219982E-6</v>
      </c>
      <c r="I2335">
        <v>286.30399999999997</v>
      </c>
      <c r="J2335">
        <v>-454.27769999999998</v>
      </c>
      <c r="K2335">
        <v>1.104241</v>
      </c>
      <c r="L2335">
        <v>285.45920000000001</v>
      </c>
      <c r="M2335">
        <v>-0.99786330000000001</v>
      </c>
      <c r="N2335">
        <v>0</v>
      </c>
      <c r="O2335">
        <v>6.3859219999999994E-2</v>
      </c>
      <c r="P2335">
        <v>-0.99940960000000001</v>
      </c>
      <c r="Q2335">
        <v>2.8036149999999999E-2</v>
      </c>
      <c r="R2335">
        <v>1.9865569999999999E-2</v>
      </c>
      <c r="S2335">
        <v>-3.0030519999999998</v>
      </c>
      <c r="T2335">
        <v>-0.1074862</v>
      </c>
      <c r="U2335">
        <v>8.3801269999999997E-2</v>
      </c>
      <c r="V2335">
        <v>-4.3964799999999998E-2</v>
      </c>
      <c r="W2335">
        <v>4.187867E-2</v>
      </c>
      <c r="X2335">
        <v>0.99815489999999996</v>
      </c>
      <c r="Y2335">
        <v>-3.5939110000000003E-2</v>
      </c>
      <c r="Z2335">
        <v>-2.9258790000000002E-3</v>
      </c>
      <c r="AA2335">
        <v>0.99934969999999901</v>
      </c>
      <c r="AB2335">
        <v>24</v>
      </c>
      <c r="AC2335">
        <v>-30.6082999999999</v>
      </c>
      <c r="AD2335">
        <v>-1.1042377800180001</v>
      </c>
      <c r="AE2335">
        <v>0.84480000000001998</v>
      </c>
      <c r="AF2335">
        <v>-1.1102893809532</v>
      </c>
      <c r="AG2335">
        <v>-1.1042377800180001</v>
      </c>
      <c r="AH2335">
        <v>30.560023566038399</v>
      </c>
      <c r="AI2335">
        <v>92.068028204027598</v>
      </c>
      <c r="AJ2335">
        <v>92.080722470567594</v>
      </c>
      <c r="AK2335">
        <v>30.600116404044901</v>
      </c>
    </row>
    <row r="2336" spans="1:37" x14ac:dyDescent="0.2">
      <c r="A2336" t="str">
        <f>"20200111155843658"</f>
        <v>20200111155843658</v>
      </c>
      <c r="B2336" t="str">
        <f>"1578729523654145"</f>
        <v>1578729523654145</v>
      </c>
      <c r="C2336" t="s">
        <v>37</v>
      </c>
      <c r="D2336">
        <v>5.8916529999999998</v>
      </c>
      <c r="E2336">
        <v>0.50117259999999997</v>
      </c>
      <c r="F2336" t="s">
        <v>49</v>
      </c>
      <c r="G2336">
        <v>-485.29520000000002</v>
      </c>
      <c r="H2336" s="1">
        <v>3.2845960000000002E-6</v>
      </c>
      <c r="I2336">
        <v>286.21269999999998</v>
      </c>
      <c r="J2336">
        <v>-454.52249999999998</v>
      </c>
      <c r="K2336">
        <v>1.104271</v>
      </c>
      <c r="L2336">
        <v>285.47539999999998</v>
      </c>
      <c r="M2336">
        <v>-0.99783169999999899</v>
      </c>
      <c r="N2336">
        <v>0</v>
      </c>
      <c r="O2336">
        <v>6.4349470000000006E-2</v>
      </c>
      <c r="P2336">
        <v>-0.99943269999999995</v>
      </c>
      <c r="Q2336">
        <v>2.7557729999999999E-2</v>
      </c>
      <c r="R2336">
        <v>1.9360369999999998E-2</v>
      </c>
      <c r="S2336">
        <v>-3.0033569999999998</v>
      </c>
      <c r="T2336">
        <v>-0.1069208</v>
      </c>
      <c r="U2336">
        <v>7.2967530000000003E-2</v>
      </c>
      <c r="V2336">
        <v>-4.496472E-2</v>
      </c>
      <c r="W2336">
        <v>4.1395109999999999E-2</v>
      </c>
      <c r="X2336">
        <v>0.99813059999999998</v>
      </c>
      <c r="Y2336">
        <v>-4.00328E-2</v>
      </c>
      <c r="Z2336">
        <v>-3.0006519999999999E-3</v>
      </c>
      <c r="AA2336">
        <v>0.99919380000000002</v>
      </c>
      <c r="AB2336">
        <v>24</v>
      </c>
      <c r="AC2336">
        <v>-30.7727</v>
      </c>
      <c r="AD2336">
        <v>-1.1042677154039999</v>
      </c>
      <c r="AE2336">
        <v>0.73730000000000395</v>
      </c>
      <c r="AF2336">
        <v>-1.24302478270811</v>
      </c>
      <c r="AG2336">
        <v>-1.1042677154039999</v>
      </c>
      <c r="AH2336">
        <v>30.7168268470122</v>
      </c>
      <c r="AI2336">
        <v>92.057210185652707</v>
      </c>
      <c r="AJ2336">
        <v>92.317336872353096</v>
      </c>
      <c r="AK2336">
        <v>30.761793987786898</v>
      </c>
    </row>
    <row r="2337" spans="1:37" x14ac:dyDescent="0.2">
      <c r="A2337" t="str">
        <f>"20200111155843680"</f>
        <v>20200111155843680</v>
      </c>
      <c r="B2337" t="str">
        <f>"1578729523673664"</f>
        <v>1578729523673664</v>
      </c>
      <c r="C2337" t="s">
        <v>37</v>
      </c>
      <c r="D2337">
        <v>5.9095690000000003</v>
      </c>
      <c r="E2337">
        <v>0.50052390000000002</v>
      </c>
      <c r="F2337" t="s">
        <v>49</v>
      </c>
      <c r="G2337">
        <v>-485.4452</v>
      </c>
      <c r="H2337" s="1">
        <v>3.3042320000000001E-6</v>
      </c>
      <c r="I2337">
        <v>286.13299999999998</v>
      </c>
      <c r="J2337">
        <v>-454.76440000000002</v>
      </c>
      <c r="K2337">
        <v>1.1043069999999999</v>
      </c>
      <c r="L2337">
        <v>285.49160000000001</v>
      </c>
      <c r="M2337">
        <v>-0.99780419999999903</v>
      </c>
      <c r="N2337">
        <v>0</v>
      </c>
      <c r="O2337">
        <v>6.4774509999999993E-2</v>
      </c>
      <c r="P2337">
        <v>-0.99948789999999998</v>
      </c>
      <c r="Q2337">
        <v>2.5896389999999998E-2</v>
      </c>
      <c r="R2337">
        <v>1.8801419999999999E-2</v>
      </c>
      <c r="S2337">
        <v>-3.0034179999999999</v>
      </c>
      <c r="T2337">
        <v>-0.1072539</v>
      </c>
      <c r="U2337">
        <v>6.3873289999999999E-2</v>
      </c>
      <c r="V2337">
        <v>-4.5956829999999997E-2</v>
      </c>
      <c r="W2337">
        <v>3.9727070000000003E-2</v>
      </c>
      <c r="X2337">
        <v>0.99815319999999996</v>
      </c>
      <c r="Y2337">
        <v>-4.3479749999999998E-2</v>
      </c>
      <c r="Z2337">
        <v>-3.086756E-3</v>
      </c>
      <c r="AA2337">
        <v>0.99904950000000003</v>
      </c>
      <c r="AB2337">
        <v>24</v>
      </c>
      <c r="AC2337">
        <v>-30.680799999999898</v>
      </c>
      <c r="AD2337">
        <v>-1.1043036957679999</v>
      </c>
      <c r="AE2337">
        <v>0.64139999999997599</v>
      </c>
      <c r="AF2337">
        <v>-1.3457282354803199</v>
      </c>
      <c r="AG2337">
        <v>-1.1043036957679999</v>
      </c>
      <c r="AH2337">
        <v>30.618256876861501</v>
      </c>
      <c r="AI2337">
        <v>92.0635917341246</v>
      </c>
      <c r="AJ2337">
        <v>92.516634333827696</v>
      </c>
      <c r="AK2337">
        <v>30.667704924133702</v>
      </c>
    </row>
    <row r="2338" spans="1:37" x14ac:dyDescent="0.2">
      <c r="A2338" t="str">
        <f>"20200111155843701"</f>
        <v>20200111155843701</v>
      </c>
      <c r="B2338" t="str">
        <f>"1578729523693184"</f>
        <v>1578729523693184</v>
      </c>
      <c r="C2338" t="s">
        <v>37</v>
      </c>
      <c r="D2338">
        <v>5.9240339999999998</v>
      </c>
      <c r="E2338">
        <v>0.49998569999999998</v>
      </c>
      <c r="F2338" t="s">
        <v>49</v>
      </c>
      <c r="G2338">
        <v>-483.5034</v>
      </c>
      <c r="H2338" s="1">
        <v>2.9514959999999999E-6</v>
      </c>
      <c r="I2338">
        <v>286.03820000000002</v>
      </c>
      <c r="J2338">
        <v>-455.00110000000001</v>
      </c>
      <c r="K2338">
        <v>1.1043499999999999</v>
      </c>
      <c r="L2338">
        <v>285.50740000000002</v>
      </c>
      <c r="M2338">
        <v>-0.99778219999999995</v>
      </c>
      <c r="N2338">
        <v>0</v>
      </c>
      <c r="O2338">
        <v>6.5114720000000001E-2</v>
      </c>
      <c r="P2338">
        <v>-0.99954709999999902</v>
      </c>
      <c r="Q2338">
        <v>2.3928999999999999E-2</v>
      </c>
      <c r="R2338">
        <v>1.8256290000000001E-2</v>
      </c>
      <c r="S2338">
        <v>-3.0034480000000001</v>
      </c>
      <c r="T2338">
        <v>-0.1154085</v>
      </c>
      <c r="U2338">
        <v>5.7128909999999998E-2</v>
      </c>
      <c r="V2338">
        <v>-4.685139E-2</v>
      </c>
      <c r="W2338">
        <v>3.7752059999999997E-2</v>
      </c>
      <c r="X2338">
        <v>0.99818819999999997</v>
      </c>
      <c r="Y2338">
        <v>-4.6049939999999998E-2</v>
      </c>
      <c r="Z2338">
        <v>-3.3837659999999999E-3</v>
      </c>
      <c r="AA2338">
        <v>0.99893339999999997</v>
      </c>
      <c r="AB2338">
        <v>24</v>
      </c>
      <c r="AC2338">
        <v>-28.502299999999899</v>
      </c>
      <c r="AD2338">
        <v>-1.1043470485039999</v>
      </c>
      <c r="AE2338">
        <v>0.53079999999999905</v>
      </c>
      <c r="AF2338">
        <v>-1.3244353971892799</v>
      </c>
      <c r="AG2338">
        <v>-1.1043470485039999</v>
      </c>
      <c r="AH2338">
        <v>28.433695500303401</v>
      </c>
      <c r="AI2338">
        <v>92.221807904949699</v>
      </c>
      <c r="AJ2338">
        <v>92.666897385471202</v>
      </c>
      <c r="AK2338">
        <v>28.485939537407599</v>
      </c>
    </row>
    <row r="2339" spans="1:37" x14ac:dyDescent="0.2">
      <c r="A2339" t="str">
        <f>"20200111155843724"</f>
        <v>20200111155843724</v>
      </c>
      <c r="B2339" t="str">
        <f>"1578729523713681"</f>
        <v>1578729523713681</v>
      </c>
      <c r="C2339" t="s">
        <v>37</v>
      </c>
      <c r="D2339">
        <v>5.9128030000000003</v>
      </c>
      <c r="E2339">
        <v>0.4993495</v>
      </c>
      <c r="F2339" t="s">
        <v>49</v>
      </c>
      <c r="G2339">
        <v>-482.3904</v>
      </c>
      <c r="H2339" s="1">
        <v>2.7487040000000002E-6</v>
      </c>
      <c r="I2339">
        <v>285.9769</v>
      </c>
      <c r="J2339">
        <v>-455.24079999999998</v>
      </c>
      <c r="K2339">
        <v>1.1044209999999901</v>
      </c>
      <c r="L2339">
        <v>285.52330000000001</v>
      </c>
      <c r="M2339">
        <v>-0.99776599999999904</v>
      </c>
      <c r="N2339">
        <v>0</v>
      </c>
      <c r="O2339">
        <v>6.5362539999999997E-2</v>
      </c>
      <c r="P2339">
        <v>-0.99956299999999898</v>
      </c>
      <c r="Q2339">
        <v>2.344137E-2</v>
      </c>
      <c r="R2339">
        <v>1.8015599999999899E-2</v>
      </c>
      <c r="S2339">
        <v>-3.0033259999999999</v>
      </c>
      <c r="T2339">
        <v>-0.1210956</v>
      </c>
      <c r="U2339">
        <v>5.1483149999999998E-2</v>
      </c>
      <c r="V2339">
        <v>-4.7347279999999999E-2</v>
      </c>
      <c r="W2339">
        <v>3.7254589999999997E-2</v>
      </c>
      <c r="X2339">
        <v>0.998183499999999</v>
      </c>
      <c r="Y2339">
        <v>-4.8164180000000001E-2</v>
      </c>
      <c r="Z2339">
        <v>-3.603195E-3</v>
      </c>
      <c r="AA2339">
        <v>0.99883290000000002</v>
      </c>
      <c r="AB2339">
        <v>24</v>
      </c>
      <c r="AC2339">
        <v>-27.1496</v>
      </c>
      <c r="AD2339">
        <v>-1.1044182512959999</v>
      </c>
      <c r="AE2339">
        <v>0.45359999999999401</v>
      </c>
      <c r="AF2339">
        <v>-1.3199226864762901</v>
      </c>
      <c r="AG2339">
        <v>-1.1044182512959999</v>
      </c>
      <c r="AH2339">
        <v>27.076390048564701</v>
      </c>
      <c r="AI2339">
        <v>92.332974149314097</v>
      </c>
      <c r="AJ2339">
        <v>92.790851329920798</v>
      </c>
      <c r="AK2339">
        <v>27.1310308251287</v>
      </c>
    </row>
    <row r="2340" spans="1:37" x14ac:dyDescent="0.2">
      <c r="A2340" t="str">
        <f>"20200111155843747"</f>
        <v>20200111155843747</v>
      </c>
      <c r="B2340" t="str">
        <f>"1578729523743936"</f>
        <v>1578729523743936</v>
      </c>
      <c r="C2340" t="s">
        <v>37</v>
      </c>
      <c r="D2340">
        <v>5.9703980000000003</v>
      </c>
      <c r="E2340">
        <v>0.49867099999999998</v>
      </c>
      <c r="F2340" t="s">
        <v>49</v>
      </c>
      <c r="G2340">
        <v>-482.36950000000002</v>
      </c>
      <c r="H2340" s="1">
        <v>2.741288E-6</v>
      </c>
      <c r="I2340">
        <v>285.93439999999998</v>
      </c>
      <c r="J2340">
        <v>-455.48930000000001</v>
      </c>
      <c r="K2340">
        <v>1.104506</v>
      </c>
      <c r="L2340">
        <v>285.53980000000001</v>
      </c>
      <c r="M2340">
        <v>-0.99775669999999905</v>
      </c>
      <c r="N2340">
        <v>0</v>
      </c>
      <c r="O2340">
        <v>6.5504980000000004E-2</v>
      </c>
      <c r="P2340">
        <v>-0.99952730000000001</v>
      </c>
      <c r="Q2340">
        <v>2.478967E-2</v>
      </c>
      <c r="R2340">
        <v>1.818722E-2</v>
      </c>
      <c r="S2340">
        <v>-3.0033569999999998</v>
      </c>
      <c r="T2340">
        <v>-0.1222674</v>
      </c>
      <c r="U2340">
        <v>4.5501710000000001E-2</v>
      </c>
      <c r="V2340">
        <v>-4.7322990000000002E-2</v>
      </c>
      <c r="W2340">
        <v>3.859021E-2</v>
      </c>
      <c r="X2340">
        <v>0.99813390000000002</v>
      </c>
      <c r="Y2340">
        <v>-5.0291879999999997E-2</v>
      </c>
      <c r="Z2340">
        <v>-3.6871729999999902E-3</v>
      </c>
      <c r="AA2340">
        <v>0.9987277</v>
      </c>
      <c r="AB2340">
        <v>24</v>
      </c>
      <c r="AC2340">
        <v>-26.880199999999999</v>
      </c>
      <c r="AD2340">
        <v>-1.1045032587120001</v>
      </c>
      <c r="AE2340">
        <v>0.39459999999996798</v>
      </c>
      <c r="AF2340">
        <v>-1.3648985501529201</v>
      </c>
      <c r="AG2340">
        <v>-1.1045032587120001</v>
      </c>
      <c r="AH2340">
        <v>26.8030636706143</v>
      </c>
      <c r="AI2340">
        <v>92.356664790367603</v>
      </c>
      <c r="AJ2340">
        <v>92.915167995888993</v>
      </c>
      <c r="AK2340">
        <v>26.860511864663302</v>
      </c>
    </row>
    <row r="2341" spans="1:37" x14ac:dyDescent="0.2">
      <c r="A2341" t="str">
        <f>"20200111155843769"</f>
        <v>20200111155843769</v>
      </c>
      <c r="B2341" t="str">
        <f>"1578729523763456"</f>
        <v>1578729523763456</v>
      </c>
      <c r="C2341" t="s">
        <v>37</v>
      </c>
      <c r="D2341">
        <v>5.9774050000000001</v>
      </c>
      <c r="E2341">
        <v>0.49837910000000002</v>
      </c>
      <c r="F2341" t="s">
        <v>49</v>
      </c>
      <c r="G2341">
        <v>-483.00549999999998</v>
      </c>
      <c r="H2341" s="1">
        <v>2.8519639999999998E-6</v>
      </c>
      <c r="I2341">
        <v>285.90989999999999</v>
      </c>
      <c r="J2341">
        <v>-455.73079999999999</v>
      </c>
      <c r="K2341">
        <v>1.1045860000000001</v>
      </c>
      <c r="L2341">
        <v>285.55579999999998</v>
      </c>
      <c r="M2341">
        <v>-0.99775509999999901</v>
      </c>
      <c r="N2341">
        <v>0</v>
      </c>
      <c r="O2341">
        <v>6.5528999999999907E-2</v>
      </c>
      <c r="P2341">
        <v>-0.99948909999999902</v>
      </c>
      <c r="Q2341">
        <v>2.6241219999999999E-2</v>
      </c>
      <c r="R2341">
        <v>1.8245549999999999E-2</v>
      </c>
      <c r="S2341">
        <v>-3.0036320000000001</v>
      </c>
      <c r="T2341">
        <v>-0.1205661</v>
      </c>
      <c r="U2341">
        <v>4.040527E-2</v>
      </c>
      <c r="V2341">
        <v>-4.7293179999999997E-2</v>
      </c>
      <c r="W2341">
        <v>4.0029620000000002E-2</v>
      </c>
      <c r="X2341">
        <v>0.99807860000000004</v>
      </c>
      <c r="Y2341">
        <v>-5.2012740000000002E-2</v>
      </c>
      <c r="Z2341">
        <v>-3.6711420000000001E-3</v>
      </c>
      <c r="AA2341">
        <v>0.99863969999999902</v>
      </c>
      <c r="AB2341">
        <v>24</v>
      </c>
      <c r="AC2341">
        <v>-27.274699999999999</v>
      </c>
      <c r="AD2341">
        <v>-1.104583148036</v>
      </c>
      <c r="AE2341">
        <v>0.35410000000001601</v>
      </c>
      <c r="AF2341">
        <v>-1.4317676107672099</v>
      </c>
      <c r="AG2341">
        <v>-1.104583148036</v>
      </c>
      <c r="AH2341">
        <v>27.194677232976801</v>
      </c>
      <c r="AI2341">
        <v>92.322726408181197</v>
      </c>
      <c r="AJ2341">
        <v>93.013772496701904</v>
      </c>
      <c r="AK2341">
        <v>27.254734125064498</v>
      </c>
    </row>
    <row r="2342" spans="1:37" x14ac:dyDescent="0.2">
      <c r="A2342" t="str">
        <f>"20200111155843802"</f>
        <v>20200111155843802</v>
      </c>
      <c r="B2342" t="str">
        <f>"1578729523794035"</f>
        <v>1578729523794035</v>
      </c>
      <c r="C2342" t="s">
        <v>37</v>
      </c>
      <c r="D2342">
        <v>5.9409589999999897</v>
      </c>
      <c r="E2342">
        <v>0.49798359999999903</v>
      </c>
      <c r="F2342" t="s">
        <v>49</v>
      </c>
      <c r="G2342">
        <v>-484.12479999999999</v>
      </c>
      <c r="H2342" s="1">
        <v>3.0514990000000001E-6</v>
      </c>
      <c r="I2342">
        <v>285.92129999999997</v>
      </c>
      <c r="J2342">
        <v>-456.09010000000001</v>
      </c>
      <c r="K2342">
        <v>1.1046959999999999</v>
      </c>
      <c r="L2342">
        <v>285.57929999999999</v>
      </c>
      <c r="M2342">
        <v>-0.9977644</v>
      </c>
      <c r="N2342">
        <v>0</v>
      </c>
      <c r="O2342">
        <v>6.5388139999999997E-2</v>
      </c>
      <c r="P2342">
        <v>-0.99951540000000005</v>
      </c>
      <c r="Q2342">
        <v>2.580437E-2</v>
      </c>
      <c r="R2342">
        <v>1.7410749999999999E-2</v>
      </c>
      <c r="S2342">
        <v>-3.003876</v>
      </c>
      <c r="T2342">
        <v>-0.1168568</v>
      </c>
      <c r="U2342">
        <v>3.8665770000000002E-2</v>
      </c>
      <c r="V2342">
        <v>-4.799697E-2</v>
      </c>
      <c r="W2342">
        <v>3.9576510000000002E-2</v>
      </c>
      <c r="X2342">
        <v>0.99806309999999998</v>
      </c>
      <c r="Y2342">
        <v>-5.2456549999999998E-2</v>
      </c>
      <c r="Z2342">
        <v>-3.5611800000000002E-3</v>
      </c>
      <c r="AA2342">
        <v>0.99861690000000003</v>
      </c>
      <c r="AB2342">
        <v>24</v>
      </c>
      <c r="AC2342">
        <v>-28.034699999999901</v>
      </c>
      <c r="AD2342">
        <v>-1.104692948501</v>
      </c>
      <c r="AE2342">
        <v>0.34199999999998398</v>
      </c>
      <c r="AF2342">
        <v>-1.4897308760503001</v>
      </c>
      <c r="AG2342">
        <v>-1.104692948501</v>
      </c>
      <c r="AH2342">
        <v>27.953658954481</v>
      </c>
      <c r="AI2342">
        <v>92.259874950728303</v>
      </c>
      <c r="AJ2342">
        <v>93.050571041283007</v>
      </c>
      <c r="AK2342">
        <v>28.0151154475037</v>
      </c>
    </row>
    <row r="2343" spans="1:37" x14ac:dyDescent="0.2">
      <c r="A2343" t="str">
        <f>"20200111155843825"</f>
        <v>20200111155843825</v>
      </c>
      <c r="B2343" t="str">
        <f>"1578729523813556"</f>
        <v>1578729523813556</v>
      </c>
      <c r="C2343" t="s">
        <v>37</v>
      </c>
      <c r="D2343">
        <v>5.9244269999999997</v>
      </c>
      <c r="E2343">
        <v>0.49776229999999899</v>
      </c>
      <c r="F2343" t="s">
        <v>49</v>
      </c>
      <c r="G2343">
        <v>-484.69049999999999</v>
      </c>
      <c r="H2343" s="1">
        <v>3.1495620000000001E-6</v>
      </c>
      <c r="I2343">
        <v>285.89519999999999</v>
      </c>
      <c r="J2343">
        <v>-456.32260000000002</v>
      </c>
      <c r="K2343">
        <v>1.104759</v>
      </c>
      <c r="L2343">
        <v>285.59440000000001</v>
      </c>
      <c r="M2343">
        <v>-0.99777929999999904</v>
      </c>
      <c r="N2343">
        <v>0</v>
      </c>
      <c r="O2343">
        <v>6.5161469999999999E-2</v>
      </c>
      <c r="P2343">
        <v>-0.99955799999999995</v>
      </c>
      <c r="Q2343">
        <v>2.4617900000000002E-2</v>
      </c>
      <c r="R2343">
        <v>1.6671890000000002E-2</v>
      </c>
      <c r="S2343">
        <v>-3.003876</v>
      </c>
      <c r="T2343">
        <v>-0.1160253</v>
      </c>
      <c r="U2343">
        <v>3.3172609999999998E-2</v>
      </c>
      <c r="V2343">
        <v>-4.8516070000000001E-2</v>
      </c>
      <c r="W2343">
        <v>3.8379610000000002E-2</v>
      </c>
      <c r="X2343">
        <v>0.99808479999999999</v>
      </c>
      <c r="Y2343">
        <v>-5.4055760000000001E-2</v>
      </c>
      <c r="Z2343">
        <v>-3.5580709999999999E-3</v>
      </c>
      <c r="AA2343">
        <v>0.99853159999999896</v>
      </c>
      <c r="AB2343">
        <v>24</v>
      </c>
      <c r="AC2343">
        <v>-28.367899999999899</v>
      </c>
      <c r="AD2343">
        <v>-1.104755850438</v>
      </c>
      <c r="AE2343">
        <v>0.30079999999998103</v>
      </c>
      <c r="AF2343">
        <v>-1.5461648274389901</v>
      </c>
      <c r="AG2343">
        <v>-1.104755850438</v>
      </c>
      <c r="AH2343">
        <v>28.284309707422</v>
      </c>
      <c r="AI2343">
        <v>92.233445606309502</v>
      </c>
      <c r="AJ2343">
        <v>93.128965683932194</v>
      </c>
      <c r="AK2343">
        <v>28.348073775621</v>
      </c>
    </row>
    <row r="2344" spans="1:37" x14ac:dyDescent="0.2">
      <c r="A2344" t="str">
        <f>"20200111155843847"</f>
        <v>20200111155843847</v>
      </c>
      <c r="B2344" t="str">
        <f>"1578729523843813"</f>
        <v>1578729523843813</v>
      </c>
      <c r="C2344" t="s">
        <v>37</v>
      </c>
      <c r="D2344">
        <v>6.9372679999999898</v>
      </c>
      <c r="E2344">
        <v>0.497471099999999</v>
      </c>
      <c r="F2344" t="s">
        <v>49</v>
      </c>
      <c r="G2344">
        <v>-483.7688</v>
      </c>
      <c r="H2344" s="1">
        <v>2.98295799999999E-6</v>
      </c>
      <c r="I2344">
        <v>285.85950000000003</v>
      </c>
      <c r="J2344">
        <v>-456.56479999999999</v>
      </c>
      <c r="K2344">
        <v>1.1048480000000001</v>
      </c>
      <c r="L2344">
        <v>285.60989999999998</v>
      </c>
      <c r="M2344">
        <v>-0.99780429999999998</v>
      </c>
      <c r="N2344">
        <v>0</v>
      </c>
      <c r="O2344">
        <v>6.4779180000000006E-2</v>
      </c>
      <c r="P2344">
        <v>-0.99958210000000003</v>
      </c>
      <c r="Q2344">
        <v>2.421398E-2</v>
      </c>
      <c r="R2344">
        <v>1.579146E-2</v>
      </c>
      <c r="S2344">
        <v>-3.0038149999999999</v>
      </c>
      <c r="T2344">
        <v>-0.1209089</v>
      </c>
      <c r="U2344">
        <v>2.9022220000000001E-2</v>
      </c>
      <c r="V2344">
        <v>-4.9021809999999999E-2</v>
      </c>
      <c r="W2344">
        <v>3.7962679999999999E-2</v>
      </c>
      <c r="X2344">
        <v>0.99807599999999996</v>
      </c>
      <c r="Y2344">
        <v>-5.5044330000000002E-2</v>
      </c>
      <c r="Z2344">
        <v>-3.712375E-3</v>
      </c>
      <c r="AA2344">
        <v>0.99847699999999995</v>
      </c>
      <c r="AB2344">
        <v>24</v>
      </c>
      <c r="AC2344">
        <v>-27.204000000000001</v>
      </c>
      <c r="AD2344">
        <v>-1.1048450170420001</v>
      </c>
      <c r="AE2344">
        <v>0.24960000000004301</v>
      </c>
      <c r="AF2344">
        <v>-1.5108529578141801</v>
      </c>
      <c r="AG2344">
        <v>-1.1048450170420001</v>
      </c>
      <c r="AH2344">
        <v>27.1182945822619</v>
      </c>
      <c r="AI2344">
        <v>92.329427852312705</v>
      </c>
      <c r="AJ2344">
        <v>93.188847223170299</v>
      </c>
      <c r="AK2344">
        <v>27.182811852752799</v>
      </c>
    </row>
    <row r="2345" spans="1:37" x14ac:dyDescent="0.2">
      <c r="A2345" t="str">
        <f>"20200111155843869"</f>
        <v>20200111155843869</v>
      </c>
      <c r="B2345" t="str">
        <f>"1578729523863332"</f>
        <v>1578729523863332</v>
      </c>
      <c r="C2345" t="s">
        <v>37</v>
      </c>
      <c r="D2345">
        <v>5.8941669999999897</v>
      </c>
      <c r="E2345">
        <v>0.49723390000000001</v>
      </c>
      <c r="F2345" t="s">
        <v>49</v>
      </c>
      <c r="G2345">
        <v>-484.33690000000001</v>
      </c>
      <c r="H2345" s="1">
        <v>3.08159E-6</v>
      </c>
      <c r="I2345">
        <v>285.83499999999998</v>
      </c>
      <c r="J2345">
        <v>-456.80189999999999</v>
      </c>
      <c r="K2345">
        <v>1.1049420000000001</v>
      </c>
      <c r="L2345">
        <v>285.62470000000002</v>
      </c>
      <c r="M2345">
        <v>-0.99783709999999903</v>
      </c>
      <c r="N2345">
        <v>0</v>
      </c>
      <c r="O2345">
        <v>6.4272629999999997E-2</v>
      </c>
      <c r="P2345">
        <v>-0.99959030000000004</v>
      </c>
      <c r="Q2345">
        <v>2.479425E-2</v>
      </c>
      <c r="R2345">
        <v>1.4301940000000001E-2</v>
      </c>
      <c r="S2345">
        <v>-3.0037539999999998</v>
      </c>
      <c r="T2345">
        <v>-0.1194969</v>
      </c>
      <c r="U2345">
        <v>2.4353030000000001E-2</v>
      </c>
      <c r="V2345">
        <v>-5.0011559999999997E-2</v>
      </c>
      <c r="W2345">
        <v>3.8528270000000003E-2</v>
      </c>
      <c r="X2345">
        <v>0.99800519999999904</v>
      </c>
      <c r="Y2345">
        <v>-5.6090999999999898E-2</v>
      </c>
      <c r="Z2345">
        <v>-3.6698909999999898E-3</v>
      </c>
      <c r="AA2345">
        <v>0.9984189</v>
      </c>
      <c r="AB2345">
        <v>24</v>
      </c>
      <c r="AC2345">
        <v>-27.535</v>
      </c>
      <c r="AD2345">
        <v>-1.10493891841</v>
      </c>
      <c r="AE2345">
        <v>0.21029999999996099</v>
      </c>
      <c r="AF2345">
        <v>-1.55754209307876</v>
      </c>
      <c r="AG2345">
        <v>-1.10493891841</v>
      </c>
      <c r="AH2345">
        <v>27.4473790862247</v>
      </c>
      <c r="AI2345">
        <v>92.301591302653804</v>
      </c>
      <c r="AJ2345">
        <v>93.247850477015305</v>
      </c>
      <c r="AK2345">
        <v>27.5137319549358</v>
      </c>
    </row>
    <row r="2346" spans="1:37" x14ac:dyDescent="0.2">
      <c r="A2346" t="str">
        <f>"20200111155843891"</f>
        <v>20200111155843891</v>
      </c>
      <c r="B2346" t="str">
        <f>"1578729523883828"</f>
        <v>1578729523883828</v>
      </c>
      <c r="C2346" t="s">
        <v>37</v>
      </c>
      <c r="D2346">
        <v>5.9735879999999897</v>
      </c>
      <c r="E2346">
        <v>0.49703140000000001</v>
      </c>
      <c r="F2346" t="s">
        <v>49</v>
      </c>
      <c r="G2346">
        <v>-485.45940000000002</v>
      </c>
      <c r="H2346" s="1">
        <v>3.277362E-6</v>
      </c>
      <c r="I2346">
        <v>285.79680000000002</v>
      </c>
      <c r="J2346">
        <v>-457.03980000000001</v>
      </c>
      <c r="K2346">
        <v>1.105038</v>
      </c>
      <c r="L2346">
        <v>285.63940000000002</v>
      </c>
      <c r="M2346">
        <v>-0.99787649999999894</v>
      </c>
      <c r="N2346">
        <v>0</v>
      </c>
      <c r="O2346">
        <v>6.3657149999999996E-2</v>
      </c>
      <c r="P2346">
        <v>-0.99961829999999996</v>
      </c>
      <c r="Q2346">
        <v>2.4713579999999999E-2</v>
      </c>
      <c r="R2346">
        <v>1.236785E-2</v>
      </c>
      <c r="S2346">
        <v>-3.0038149999999999</v>
      </c>
      <c r="T2346">
        <v>-0.11581710000000001</v>
      </c>
      <c r="U2346">
        <v>1.8035889999999999E-2</v>
      </c>
      <c r="V2346">
        <v>-5.133563E-2</v>
      </c>
      <c r="W2346">
        <v>3.8431550000000002E-2</v>
      </c>
      <c r="X2346">
        <v>0.99794169999999904</v>
      </c>
      <c r="Y2346">
        <v>-5.7579989999999998E-2</v>
      </c>
      <c r="Z2346">
        <v>-3.561968E-3</v>
      </c>
      <c r="AA2346">
        <v>0.99833449999999901</v>
      </c>
      <c r="AB2346">
        <v>24</v>
      </c>
      <c r="AC2346">
        <v>-28.419599999999999</v>
      </c>
      <c r="AD2346">
        <v>-1.105034722638</v>
      </c>
      <c r="AE2346">
        <v>0.15739999999999499</v>
      </c>
      <c r="AF2346">
        <v>-1.6497080827138799</v>
      </c>
      <c r="AG2346">
        <v>-1.105034722638</v>
      </c>
      <c r="AH2346">
        <v>28.329140930015999</v>
      </c>
      <c r="AI2346">
        <v>92.230029667042004</v>
      </c>
      <c r="AJ2346">
        <v>93.332776036608806</v>
      </c>
      <c r="AK2346">
        <v>28.3986419451549</v>
      </c>
    </row>
    <row r="2347" spans="1:37" x14ac:dyDescent="0.2">
      <c r="A2347" t="str">
        <f>"20200111155843914"</f>
        <v>20200111155843914</v>
      </c>
      <c r="B2347" t="str">
        <f>"1578729523903348"</f>
        <v>1578729523903348</v>
      </c>
      <c r="C2347" t="s">
        <v>37</v>
      </c>
      <c r="D2347">
        <v>6.9314839999999904</v>
      </c>
      <c r="E2347">
        <v>0.49685600000000002</v>
      </c>
      <c r="F2347" t="s">
        <v>49</v>
      </c>
      <c r="G2347">
        <v>-485.23259999999999</v>
      </c>
      <c r="H2347" s="1">
        <v>3.2322600000000001E-6</v>
      </c>
      <c r="I2347">
        <v>285.74110000000002</v>
      </c>
      <c r="J2347">
        <v>-457.27769999999998</v>
      </c>
      <c r="K2347">
        <v>1.105118</v>
      </c>
      <c r="L2347">
        <v>285.65370000000001</v>
      </c>
      <c r="M2347">
        <v>-0.99792269999999905</v>
      </c>
      <c r="N2347">
        <v>0</v>
      </c>
      <c r="O2347">
        <v>6.2930180000000002E-2</v>
      </c>
      <c r="P2347">
        <v>-0.99963210000000002</v>
      </c>
      <c r="Q2347">
        <v>2.496458E-2</v>
      </c>
      <c r="R2347">
        <v>1.063212E-2</v>
      </c>
      <c r="S2347">
        <v>-3.0039060000000002</v>
      </c>
      <c r="T2347">
        <v>-0.117739699999999</v>
      </c>
      <c r="U2347">
        <v>1.083374E-2</v>
      </c>
      <c r="V2347">
        <v>-5.2349649999999998E-2</v>
      </c>
      <c r="W2347">
        <v>3.8669309999999998E-2</v>
      </c>
      <c r="X2347">
        <v>0.99787990000000004</v>
      </c>
      <c r="Y2347">
        <v>-5.9242620000000003E-2</v>
      </c>
      <c r="Z2347">
        <v>-3.6251429999999999E-3</v>
      </c>
      <c r="AA2347">
        <v>0.99823700000000004</v>
      </c>
      <c r="AB2347">
        <v>24</v>
      </c>
      <c r="AC2347">
        <v>-27.954899999999999</v>
      </c>
      <c r="AD2347">
        <v>-1.1051147677399999</v>
      </c>
      <c r="AE2347">
        <v>8.7400000000002295E-2</v>
      </c>
      <c r="AF2347">
        <v>-1.66953826933149</v>
      </c>
      <c r="AG2347">
        <v>-1.1051147677399999</v>
      </c>
      <c r="AH2347">
        <v>27.861440581156401</v>
      </c>
      <c r="AI2347">
        <v>92.2673644532168</v>
      </c>
      <c r="AJ2347">
        <v>93.429228584222798</v>
      </c>
      <c r="AK2347">
        <v>27.933286737151899</v>
      </c>
    </row>
    <row r="2348" spans="1:37" x14ac:dyDescent="0.2">
      <c r="A2348" t="str">
        <f>"20200111155843936"</f>
        <v>20200111155843936</v>
      </c>
      <c r="B2348" t="str">
        <f>"1578729523933605"</f>
        <v>1578729523933605</v>
      </c>
      <c r="C2348" t="s">
        <v>37</v>
      </c>
      <c r="D2348">
        <v>6.9558039999999997</v>
      </c>
      <c r="E2348">
        <v>0.49667729999999999</v>
      </c>
      <c r="F2348" t="s">
        <v>49</v>
      </c>
      <c r="G2348">
        <v>-485.9033</v>
      </c>
      <c r="H2348" s="1">
        <v>3.3470450000000001E-6</v>
      </c>
      <c r="I2348">
        <v>285.69330000000002</v>
      </c>
      <c r="J2348">
        <v>-457.51499999999999</v>
      </c>
      <c r="K2348">
        <v>1.1051930000000001</v>
      </c>
      <c r="L2348">
        <v>285.6678</v>
      </c>
      <c r="M2348">
        <v>-0.99797530000000001</v>
      </c>
      <c r="N2348">
        <v>0</v>
      </c>
      <c r="O2348">
        <v>6.2089659999999998E-2</v>
      </c>
      <c r="P2348">
        <v>-0.99963659999999999</v>
      </c>
      <c r="Q2348">
        <v>2.5502199999999999E-2</v>
      </c>
      <c r="R2348">
        <v>8.7486819999999903E-3</v>
      </c>
      <c r="S2348">
        <v>-3.0039980000000002</v>
      </c>
      <c r="T2348">
        <v>-0.11597200000000001</v>
      </c>
      <c r="U2348">
        <v>4.1503909999999998E-3</v>
      </c>
      <c r="V2348">
        <v>-5.3395810000000002E-2</v>
      </c>
      <c r="W2348">
        <v>3.9193909999999998E-2</v>
      </c>
      <c r="X2348">
        <v>0.99780389999999997</v>
      </c>
      <c r="Y2348">
        <v>-6.0625180000000001E-2</v>
      </c>
      <c r="Z2348">
        <v>-3.5649869999999999E-3</v>
      </c>
      <c r="AA2348">
        <v>0.99815419999999999</v>
      </c>
      <c r="AB2348">
        <v>24</v>
      </c>
      <c r="AC2348">
        <v>-28.388300000000001</v>
      </c>
      <c r="AD2348">
        <v>-1.105189652955</v>
      </c>
      <c r="AE2348">
        <v>2.5500000000022199E-2</v>
      </c>
      <c r="AF2348">
        <v>-1.7347075487358801</v>
      </c>
      <c r="AG2348">
        <v>-1.105189652955</v>
      </c>
      <c r="AH2348">
        <v>28.292219268010701</v>
      </c>
      <c r="AI2348">
        <v>92.232840410330297</v>
      </c>
      <c r="AJ2348">
        <v>93.508637826776905</v>
      </c>
      <c r="AK2348">
        <v>28.366887837015799</v>
      </c>
    </row>
    <row r="2349" spans="1:37" x14ac:dyDescent="0.2">
      <c r="A2349" t="str">
        <f>"20200111155843959"</f>
        <v>20200111155843959</v>
      </c>
      <c r="B2349" t="str">
        <f>"1578729523954100"</f>
        <v>1578729523954100</v>
      </c>
      <c r="C2349" t="s">
        <v>37</v>
      </c>
      <c r="D2349">
        <v>5.8992319999999996</v>
      </c>
      <c r="E2349">
        <v>0.49661640000000001</v>
      </c>
      <c r="F2349" t="s">
        <v>49</v>
      </c>
      <c r="G2349">
        <v>-486.5213</v>
      </c>
      <c r="H2349" s="1">
        <v>3.4519240000000002E-6</v>
      </c>
      <c r="I2349">
        <v>285.63889999999998</v>
      </c>
      <c r="J2349">
        <v>-457.76069999999999</v>
      </c>
      <c r="K2349">
        <v>1.1052580000000001</v>
      </c>
      <c r="L2349">
        <v>285.68200000000002</v>
      </c>
      <c r="M2349">
        <v>-0.99803609999999898</v>
      </c>
      <c r="N2349">
        <v>0</v>
      </c>
      <c r="O2349">
        <v>6.1104989999999998E-2</v>
      </c>
      <c r="P2349">
        <v>-0.99962209999999996</v>
      </c>
      <c r="Q2349">
        <v>2.6641290000000001E-2</v>
      </c>
      <c r="R2349">
        <v>6.7914009999999999E-3</v>
      </c>
      <c r="S2349">
        <v>-3.0040279999999999</v>
      </c>
      <c r="T2349">
        <v>-0.114458399999999</v>
      </c>
      <c r="U2349">
        <v>-2.9907229999999998E-3</v>
      </c>
      <c r="V2349">
        <v>-5.4371570000000001E-2</v>
      </c>
      <c r="W2349">
        <v>4.0320250000000002E-2</v>
      </c>
      <c r="X2349">
        <v>0.99770639999999999</v>
      </c>
      <c r="Y2349">
        <v>-6.2015180000000003E-2</v>
      </c>
      <c r="Z2349">
        <v>-3.5075179999999998E-3</v>
      </c>
      <c r="AA2349">
        <v>0.99806899999999998</v>
      </c>
      <c r="AB2349">
        <v>24</v>
      </c>
      <c r="AC2349">
        <v>-28.7606</v>
      </c>
      <c r="AD2349">
        <v>-1.1052545480760001</v>
      </c>
      <c r="AE2349">
        <v>-4.3100000000038101E-2</v>
      </c>
      <c r="AF2349">
        <v>-1.79794746172549</v>
      </c>
      <c r="AG2349">
        <v>-1.1052545480760001</v>
      </c>
      <c r="AH2349">
        <v>28.661883769613301</v>
      </c>
      <c r="AI2349">
        <v>92.204007810667306</v>
      </c>
      <c r="AJ2349">
        <v>93.589436035643502</v>
      </c>
      <c r="AK2349">
        <v>28.739481274267799</v>
      </c>
    </row>
    <row r="2350" spans="1:37" x14ac:dyDescent="0.2">
      <c r="A2350" t="str">
        <f>"20200111155843981"</f>
        <v>20200111155843981</v>
      </c>
      <c r="B2350" t="str">
        <f>"1578729523973621"</f>
        <v>1578729523973621</v>
      </c>
      <c r="C2350" t="s">
        <v>37</v>
      </c>
      <c r="D2350">
        <v>6.6832050000000001</v>
      </c>
      <c r="E2350">
        <v>0.49662070000000003</v>
      </c>
      <c r="F2350" t="s">
        <v>49</v>
      </c>
      <c r="G2350">
        <v>-487.52199999999999</v>
      </c>
      <c r="H2350" s="1">
        <v>3.6249919999999998E-6</v>
      </c>
      <c r="I2350">
        <v>285.5883</v>
      </c>
      <c r="J2350">
        <v>-457.99</v>
      </c>
      <c r="K2350">
        <v>1.105313</v>
      </c>
      <c r="L2350">
        <v>285.69490000000002</v>
      </c>
      <c r="M2350">
        <v>-0.99809729999999997</v>
      </c>
      <c r="N2350">
        <v>0</v>
      </c>
      <c r="O2350">
        <v>6.0096730000000001E-2</v>
      </c>
      <c r="P2350">
        <v>-0.9996003</v>
      </c>
      <c r="Q2350">
        <v>2.782519E-2</v>
      </c>
      <c r="R2350">
        <v>5.0139659999999999E-3</v>
      </c>
      <c r="S2350">
        <v>-3.004181</v>
      </c>
      <c r="T2350">
        <v>-0.1115674</v>
      </c>
      <c r="U2350">
        <v>-9.4604489999999992E-3</v>
      </c>
      <c r="V2350">
        <v>-5.5142940000000001E-2</v>
      </c>
      <c r="W2350">
        <v>4.1492769999999998E-2</v>
      </c>
      <c r="X2350">
        <v>0.9976159</v>
      </c>
      <c r="Y2350">
        <v>-6.3160599999999997E-2</v>
      </c>
      <c r="Z2350">
        <v>-3.4027200000000001E-3</v>
      </c>
      <c r="AA2350">
        <v>0.99799760000000004</v>
      </c>
      <c r="AB2350">
        <v>24</v>
      </c>
      <c r="AC2350">
        <v>-29.531999999999901</v>
      </c>
      <c r="AD2350">
        <v>-1.1053093750080001</v>
      </c>
      <c r="AE2350">
        <v>-0.106600000000014</v>
      </c>
      <c r="AF2350">
        <v>-1.87872097913457</v>
      </c>
      <c r="AG2350">
        <v>-1.1053093750080001</v>
      </c>
      <c r="AH2350">
        <v>29.430978610176101</v>
      </c>
      <c r="AI2350">
        <v>92.146423921213895</v>
      </c>
      <c r="AJ2350">
        <v>93.652509495500595</v>
      </c>
      <c r="AK2350">
        <v>29.511587610370299</v>
      </c>
    </row>
    <row r="2351" spans="1:37" x14ac:dyDescent="0.2">
      <c r="A2351" t="str">
        <f>"20200111155844003"</f>
        <v>20200111155844003</v>
      </c>
      <c r="B2351" t="str">
        <f>"1578729523994116"</f>
        <v>1578729523994116</v>
      </c>
      <c r="C2351" t="s">
        <v>37</v>
      </c>
      <c r="D2351">
        <v>5.9016820000000001</v>
      </c>
      <c r="E2351">
        <v>0.49662609999999902</v>
      </c>
      <c r="F2351" t="s">
        <v>49</v>
      </c>
      <c r="G2351">
        <v>-489.19709999999998</v>
      </c>
      <c r="H2351" s="1">
        <v>3.9182129999999997E-6</v>
      </c>
      <c r="I2351">
        <v>285.54340000000002</v>
      </c>
      <c r="J2351">
        <v>-458.22609999999997</v>
      </c>
      <c r="K2351">
        <v>1.105372</v>
      </c>
      <c r="L2351">
        <v>285.7079</v>
      </c>
      <c r="M2351">
        <v>-0.99816360000000004</v>
      </c>
      <c r="N2351">
        <v>0</v>
      </c>
      <c r="O2351">
        <v>5.8985450000000002E-2</v>
      </c>
      <c r="P2351">
        <v>-0.99957870000000004</v>
      </c>
      <c r="Q2351">
        <v>2.8899520000000001E-2</v>
      </c>
      <c r="R2351">
        <v>2.7215619999999999E-3</v>
      </c>
      <c r="S2351">
        <v>-3.0042110000000002</v>
      </c>
      <c r="T2351">
        <v>-0.1064047</v>
      </c>
      <c r="U2351">
        <v>-1.45874E-2</v>
      </c>
      <c r="V2351">
        <v>-5.6325819999999999E-2</v>
      </c>
      <c r="W2351">
        <v>4.2555660000000002E-2</v>
      </c>
      <c r="X2351">
        <v>0.99750509999999903</v>
      </c>
      <c r="Y2351">
        <v>-6.3760559999999994E-2</v>
      </c>
      <c r="Z2351">
        <v>-3.2166629999999998E-3</v>
      </c>
      <c r="AA2351">
        <v>0.99795999999999996</v>
      </c>
      <c r="AB2351">
        <v>24</v>
      </c>
      <c r="AC2351">
        <v>-30.971</v>
      </c>
      <c r="AD2351">
        <v>-1.105368081787</v>
      </c>
      <c r="AE2351">
        <v>-0.164499999999975</v>
      </c>
      <c r="AF2351">
        <v>-1.9886924657965801</v>
      </c>
      <c r="AG2351">
        <v>-1.105368081787</v>
      </c>
      <c r="AH2351">
        <v>30.868041522620398</v>
      </c>
      <c r="AI2351">
        <v>92.046615564622201</v>
      </c>
      <c r="AJ2351">
        <v>93.686221208893102</v>
      </c>
      <c r="AK2351">
        <v>30.951780623446702</v>
      </c>
    </row>
    <row r="2352" spans="1:37" x14ac:dyDescent="0.2">
      <c r="A2352" t="str">
        <f>"20200111155844026"</f>
        <v>20200111155844026</v>
      </c>
      <c r="B2352" t="str">
        <f>"1578729524023396"</f>
        <v>1578729524023396</v>
      </c>
      <c r="C2352" t="s">
        <v>37</v>
      </c>
      <c r="D2352">
        <v>6.8396589999999904</v>
      </c>
      <c r="E2352">
        <v>0.4967704</v>
      </c>
      <c r="F2352" t="s">
        <v>49</v>
      </c>
      <c r="G2352">
        <v>-490.30689999999998</v>
      </c>
      <c r="H2352" s="1">
        <v>3.9856740000000004E-6</v>
      </c>
      <c r="I2352">
        <v>285.48009999999999</v>
      </c>
      <c r="J2352">
        <v>-458.4631</v>
      </c>
      <c r="K2352">
        <v>1.105423</v>
      </c>
      <c r="L2352">
        <v>285.72059999999999</v>
      </c>
      <c r="M2352">
        <v>-0.99823259999999903</v>
      </c>
      <c r="N2352">
        <v>0</v>
      </c>
      <c r="O2352">
        <v>5.780652E-2</v>
      </c>
      <c r="P2352">
        <v>-0.99954929999999997</v>
      </c>
      <c r="Q2352">
        <v>2.9993390000000002E-2</v>
      </c>
      <c r="R2352">
        <v>1.3536799999999999E-3</v>
      </c>
      <c r="S2352">
        <v>-3.0042719999999998</v>
      </c>
      <c r="T2352">
        <v>-0.10351440000000001</v>
      </c>
      <c r="U2352">
        <v>-2.133179E-2</v>
      </c>
      <c r="V2352">
        <v>-5.6518180000000001E-2</v>
      </c>
      <c r="W2352">
        <v>4.3640869999999998E-2</v>
      </c>
      <c r="X2352">
        <v>0.99744730000000004</v>
      </c>
      <c r="Y2352">
        <v>-6.4826239999999993E-2</v>
      </c>
      <c r="Z2352">
        <v>-3.1070809999999998E-3</v>
      </c>
      <c r="AA2352">
        <v>0.99789169999999905</v>
      </c>
      <c r="AB2352">
        <v>24</v>
      </c>
      <c r="AC2352">
        <v>-31.843799999999899</v>
      </c>
      <c r="AD2352">
        <v>-1.1054190143260001</v>
      </c>
      <c r="AE2352">
        <v>-0.24049999999999699</v>
      </c>
      <c r="AF2352">
        <v>-2.0785473920894701</v>
      </c>
      <c r="AG2352">
        <v>-1.1054190143260001</v>
      </c>
      <c r="AH2352">
        <v>31.7383929527475</v>
      </c>
      <c r="AI2352">
        <v>91.990492394264095</v>
      </c>
      <c r="AJ2352">
        <v>93.746949966322603</v>
      </c>
      <c r="AK2352">
        <v>31.825585582694401</v>
      </c>
    </row>
    <row r="2353" spans="1:37" x14ac:dyDescent="0.2">
      <c r="A2353" t="str">
        <f>"20200111155844048"</f>
        <v>20200111155844048</v>
      </c>
      <c r="B2353" t="str">
        <f>"1578729524043892"</f>
        <v>1578729524043892</v>
      </c>
      <c r="C2353" t="s">
        <v>37</v>
      </c>
      <c r="D2353">
        <v>6.8882859999999999</v>
      </c>
      <c r="E2353">
        <v>0.49677729999999998</v>
      </c>
      <c r="F2353" t="s">
        <v>49</v>
      </c>
      <c r="G2353">
        <v>-492.29270000000002</v>
      </c>
      <c r="H2353" s="1">
        <v>3.6305630000000001E-6</v>
      </c>
      <c r="I2353">
        <v>285.44740000000002</v>
      </c>
      <c r="J2353">
        <v>-458.7013</v>
      </c>
      <c r="K2353">
        <v>1.1054600000000001</v>
      </c>
      <c r="L2353">
        <v>285.73289999999997</v>
      </c>
      <c r="M2353">
        <v>-0.99830379999999996</v>
      </c>
      <c r="N2353">
        <v>0</v>
      </c>
      <c r="O2353">
        <v>5.656564E-2</v>
      </c>
      <c r="P2353">
        <v>-0.99951999999999996</v>
      </c>
      <c r="Q2353">
        <v>3.097478E-2</v>
      </c>
      <c r="R2353">
        <v>5.7876589999999995E-4</v>
      </c>
      <c r="S2353">
        <v>-3.0043639999999998</v>
      </c>
      <c r="T2353">
        <v>-9.8170880000000002E-2</v>
      </c>
      <c r="U2353">
        <v>-2.426147E-2</v>
      </c>
      <c r="V2353">
        <v>-5.605537E-2</v>
      </c>
      <c r="W2353">
        <v>4.4616500000000003E-2</v>
      </c>
      <c r="X2353">
        <v>0.99743029999999999</v>
      </c>
      <c r="Y2353">
        <v>-6.4566769999999996E-2</v>
      </c>
      <c r="Z2353">
        <v>-2.9019580000000001E-3</v>
      </c>
      <c r="AA2353">
        <v>0.99790919999999905</v>
      </c>
      <c r="AB2353">
        <v>24</v>
      </c>
      <c r="AC2353">
        <v>-33.5914</v>
      </c>
      <c r="AD2353">
        <v>-1.1054563694370001</v>
      </c>
      <c r="AE2353">
        <v>-0.28549999999995601</v>
      </c>
      <c r="AF2353">
        <v>-2.18297824248716</v>
      </c>
      <c r="AG2353">
        <v>-1.1054563694370001</v>
      </c>
      <c r="AH2353">
        <v>33.485193250098497</v>
      </c>
      <c r="AI2353">
        <v>91.886833009671605</v>
      </c>
      <c r="AJ2353">
        <v>93.729967978994495</v>
      </c>
      <c r="AK2353">
        <v>33.5744783248876</v>
      </c>
    </row>
    <row r="2354" spans="1:37" x14ac:dyDescent="0.2">
      <c r="A2354" t="str">
        <f>"20200111155844070"</f>
        <v>20200111155844070</v>
      </c>
      <c r="B2354" t="str">
        <f>"1578729524063412"</f>
        <v>1578729524063412</v>
      </c>
      <c r="C2354" t="s">
        <v>37</v>
      </c>
      <c r="D2354">
        <v>5.910336</v>
      </c>
      <c r="E2354">
        <v>0.49689290000000003</v>
      </c>
      <c r="F2354" t="s">
        <v>49</v>
      </c>
      <c r="G2354">
        <v>-493.83600000000001</v>
      </c>
      <c r="H2354" s="1">
        <v>3.3546309999999998E-6</v>
      </c>
      <c r="I2354">
        <v>285.42250000000001</v>
      </c>
      <c r="J2354">
        <v>-458.93540000000002</v>
      </c>
      <c r="K2354">
        <v>1.105478</v>
      </c>
      <c r="L2354">
        <v>285.74470000000002</v>
      </c>
      <c r="M2354">
        <v>-0.99837419999999999</v>
      </c>
      <c r="N2354">
        <v>0</v>
      </c>
      <c r="O2354">
        <v>5.5310489999999997E-2</v>
      </c>
      <c r="P2354">
        <v>-0.99952209999999997</v>
      </c>
      <c r="Q2354">
        <v>3.09145999999999E-2</v>
      </c>
      <c r="R2354">
        <v>-5.2190339999999905E-4</v>
      </c>
      <c r="S2354">
        <v>-3.0043639999999998</v>
      </c>
      <c r="T2354">
        <v>-9.4527479999999997E-2</v>
      </c>
      <c r="U2354">
        <v>-2.6550290000000001E-2</v>
      </c>
      <c r="V2354">
        <v>-5.5901430000000002E-2</v>
      </c>
      <c r="W2354">
        <v>4.4552179999999997E-2</v>
      </c>
      <c r="X2354">
        <v>0.99744179999999905</v>
      </c>
      <c r="Y2354">
        <v>-6.4077880000000004E-2</v>
      </c>
      <c r="Z2354">
        <v>-2.74718099999999E-3</v>
      </c>
      <c r="AA2354">
        <v>0.99794110000000003</v>
      </c>
      <c r="AB2354">
        <v>24</v>
      </c>
      <c r="AC2354">
        <v>-34.900599999999997</v>
      </c>
      <c r="AD2354">
        <v>-1.1054746453690001</v>
      </c>
      <c r="AE2354">
        <v>-0.32220000000000898</v>
      </c>
      <c r="AF2354">
        <v>-2.2500018591835098</v>
      </c>
      <c r="AG2354">
        <v>-1.1054746453690001</v>
      </c>
      <c r="AH2354">
        <v>34.794435037126398</v>
      </c>
      <c r="AI2354">
        <v>91.815975702552507</v>
      </c>
      <c r="AJ2354">
        <v>93.699912560599898</v>
      </c>
      <c r="AK2354">
        <v>34.884628306901803</v>
      </c>
    </row>
    <row r="2355" spans="1:37" x14ac:dyDescent="0.2">
      <c r="A2355" t="str">
        <f>"20200111155844092"</f>
        <v>20200111155844092</v>
      </c>
      <c r="B2355" t="str">
        <f>"1578729524083907"</f>
        <v>1578729524083907</v>
      </c>
      <c r="C2355" t="s">
        <v>37</v>
      </c>
      <c r="D2355">
        <v>6.8676619999999904</v>
      </c>
      <c r="E2355">
        <v>0.49698599999999998</v>
      </c>
      <c r="F2355" t="s">
        <v>49</v>
      </c>
      <c r="G2355">
        <v>-494.4495</v>
      </c>
      <c r="H2355" s="1">
        <v>3.2445489999999999E-6</v>
      </c>
      <c r="I2355">
        <v>285.40809999999999</v>
      </c>
      <c r="J2355">
        <v>-459.16800000000001</v>
      </c>
      <c r="K2355">
        <v>1.1054759999999999</v>
      </c>
      <c r="L2355">
        <v>285.7561</v>
      </c>
      <c r="M2355">
        <v>-0.99844379999999999</v>
      </c>
      <c r="N2355">
        <v>0</v>
      </c>
      <c r="O2355">
        <v>5.403898E-2</v>
      </c>
      <c r="P2355">
        <v>-0.99953530000000002</v>
      </c>
      <c r="Q2355">
        <v>3.0450330000000001E-2</v>
      </c>
      <c r="R2355">
        <v>-1.5228589999999899E-3</v>
      </c>
      <c r="S2355">
        <v>-3.00430299999999</v>
      </c>
      <c r="T2355">
        <v>-9.3517069999999994E-2</v>
      </c>
      <c r="U2355">
        <v>-2.8472899999999999E-2</v>
      </c>
      <c r="V2355">
        <v>-5.5630529999999997E-2</v>
      </c>
      <c r="W2355">
        <v>4.4086300000000002E-2</v>
      </c>
      <c r="X2355">
        <v>0.99747770000000002</v>
      </c>
      <c r="Y2355">
        <v>-6.3447890000000007E-2</v>
      </c>
      <c r="Z2355">
        <v>-2.66855E-3</v>
      </c>
      <c r="AA2355">
        <v>0.99798159999999903</v>
      </c>
      <c r="AB2355">
        <v>24</v>
      </c>
      <c r="AC2355">
        <v>-35.281499999999902</v>
      </c>
      <c r="AD2355">
        <v>-1.105472755451</v>
      </c>
      <c r="AE2355">
        <v>-0.34800000000001302</v>
      </c>
      <c r="AF2355">
        <v>-2.25203788758972</v>
      </c>
      <c r="AG2355">
        <v>-1.105472755451</v>
      </c>
      <c r="AH2355">
        <v>35.176599122607001</v>
      </c>
      <c r="AI2355">
        <v>91.796330737902494</v>
      </c>
      <c r="AJ2355">
        <v>93.6631287431765</v>
      </c>
      <c r="AK2355">
        <v>35.265944911384103</v>
      </c>
    </row>
    <row r="2356" spans="1:37" x14ac:dyDescent="0.2">
      <c r="A2356" t="str">
        <f>"20200111155844116"</f>
        <v>20200111155844116</v>
      </c>
      <c r="B2356" t="str">
        <f>"1578729524103427"</f>
        <v>1578729524103427</v>
      </c>
      <c r="C2356" t="s">
        <v>37</v>
      </c>
      <c r="D2356">
        <v>5.921824</v>
      </c>
      <c r="E2356">
        <v>0.49708559999999902</v>
      </c>
      <c r="F2356" t="s">
        <v>49</v>
      </c>
      <c r="G2356">
        <v>-494.09289999999999</v>
      </c>
      <c r="H2356" s="1">
        <v>3.3072170000000001E-6</v>
      </c>
      <c r="I2356">
        <v>285.40140000000002</v>
      </c>
      <c r="J2356">
        <v>-459.41370000000001</v>
      </c>
      <c r="K2356">
        <v>1.1054729999999999</v>
      </c>
      <c r="L2356">
        <v>285.76780000000002</v>
      </c>
      <c r="M2356">
        <v>-0.99851630000000002</v>
      </c>
      <c r="N2356">
        <v>0</v>
      </c>
      <c r="O2356">
        <v>5.2684259999999997E-2</v>
      </c>
      <c r="P2356">
        <v>-0.99955689999999997</v>
      </c>
      <c r="Q2356">
        <v>2.966456E-2</v>
      </c>
      <c r="R2356">
        <v>-2.5180020000000001E-3</v>
      </c>
      <c r="S2356">
        <v>-3.0042419999999899</v>
      </c>
      <c r="T2356">
        <v>-9.5092889999999999E-2</v>
      </c>
      <c r="U2356">
        <v>-3.0517579999999999E-2</v>
      </c>
      <c r="V2356">
        <v>-5.5269520000000003E-2</v>
      </c>
      <c r="W2356">
        <v>4.3299789999999998E-2</v>
      </c>
      <c r="X2356">
        <v>0.99753219999999998</v>
      </c>
      <c r="Y2356">
        <v>-6.2772270000000005E-2</v>
      </c>
      <c r="Z2356">
        <v>-2.6600249999999999E-3</v>
      </c>
      <c r="AA2356">
        <v>0.99802429999999998</v>
      </c>
      <c r="AB2356">
        <v>24</v>
      </c>
      <c r="AC2356">
        <v>-34.679199999999902</v>
      </c>
      <c r="AD2356">
        <v>-1.1054696927829999</v>
      </c>
      <c r="AE2356">
        <v>-0.36639999999999801</v>
      </c>
      <c r="AF2356">
        <v>-2.1908862339690902</v>
      </c>
      <c r="AG2356">
        <v>-1.1054696927829999</v>
      </c>
      <c r="AH2356">
        <v>34.576592841833801</v>
      </c>
      <c r="AI2356">
        <v>91.827552565832605</v>
      </c>
      <c r="AJ2356">
        <v>93.625601390639204</v>
      </c>
      <c r="AK2356">
        <v>34.663566150668998</v>
      </c>
    </row>
    <row r="2357" spans="1:37" x14ac:dyDescent="0.2">
      <c r="A2357" t="str">
        <f>"20200111155844137"</f>
        <v>20200111155844137</v>
      </c>
      <c r="B2357" t="str">
        <f>"1578729524133683"</f>
        <v>1578729524133683</v>
      </c>
      <c r="C2357" t="s">
        <v>37</v>
      </c>
      <c r="D2357">
        <v>5.8839920000000001</v>
      </c>
      <c r="E2357">
        <v>0.49731419999999998</v>
      </c>
      <c r="F2357" t="s">
        <v>49</v>
      </c>
      <c r="G2357">
        <v>-493.0249</v>
      </c>
      <c r="H2357" s="1">
        <v>3.497065E-6</v>
      </c>
      <c r="I2357">
        <v>285.40589999999997</v>
      </c>
      <c r="J2357">
        <v>-459.63889999999998</v>
      </c>
      <c r="K2357">
        <v>1.1054649999999999</v>
      </c>
      <c r="L2357">
        <v>285.7783</v>
      </c>
      <c r="M2357">
        <v>-0.99858089999999999</v>
      </c>
      <c r="N2357">
        <v>0</v>
      </c>
      <c r="O2357">
        <v>5.1442109999999999E-2</v>
      </c>
      <c r="P2357">
        <v>-0.99958899999999995</v>
      </c>
      <c r="Q2357">
        <v>2.84985E-2</v>
      </c>
      <c r="R2357">
        <v>-3.108558E-3</v>
      </c>
      <c r="S2357">
        <v>-3.004181</v>
      </c>
      <c r="T2357">
        <v>-9.8807329999999999E-2</v>
      </c>
      <c r="U2357">
        <v>-3.2348630000000003E-2</v>
      </c>
      <c r="V2357">
        <v>-5.4616289999999998E-2</v>
      </c>
      <c r="W2357">
        <v>4.213546E-2</v>
      </c>
      <c r="X2357">
        <v>0.997618</v>
      </c>
      <c r="Y2357">
        <v>-6.2135610000000001E-2</v>
      </c>
      <c r="Z2357">
        <v>-2.7126519999999999E-3</v>
      </c>
      <c r="AA2357">
        <v>0.99806399999999995</v>
      </c>
      <c r="AB2357">
        <v>24</v>
      </c>
      <c r="AC2357">
        <v>-33.386000000000003</v>
      </c>
      <c r="AD2357">
        <v>-1.1054615029349999</v>
      </c>
      <c r="AE2357">
        <v>-0.37240000000002699</v>
      </c>
      <c r="AF2357">
        <v>-2.0872281192873698</v>
      </c>
      <c r="AG2357">
        <v>-1.1054615029349999</v>
      </c>
      <c r="AH2357">
        <v>33.2861394480637</v>
      </c>
      <c r="AI2357">
        <v>91.898417420967604</v>
      </c>
      <c r="AJ2357">
        <v>93.588069726523003</v>
      </c>
      <c r="AK2357">
        <v>33.369831370751001</v>
      </c>
    </row>
    <row r="2358" spans="1:37" x14ac:dyDescent="0.2">
      <c r="A2358" t="str">
        <f>"20200111155844160"</f>
        <v>20200111155844160</v>
      </c>
      <c r="B2358" t="str">
        <f>"1578729524153204"</f>
        <v>1578729524153204</v>
      </c>
      <c r="C2358" t="s">
        <v>37</v>
      </c>
      <c r="D2358">
        <v>6.0916779999999999</v>
      </c>
      <c r="E2358">
        <v>0.4973844</v>
      </c>
      <c r="F2358" t="s">
        <v>49</v>
      </c>
      <c r="G2358">
        <v>-491.50529999999998</v>
      </c>
      <c r="H2358" s="1">
        <v>3.769452E-6</v>
      </c>
      <c r="I2358">
        <v>285.4384</v>
      </c>
      <c r="J2358">
        <v>-459.8741</v>
      </c>
      <c r="K2358">
        <v>1.1054520000000001</v>
      </c>
      <c r="L2358">
        <v>285.78890000000001</v>
      </c>
      <c r="M2358">
        <v>-0.998646699999999</v>
      </c>
      <c r="N2358">
        <v>0</v>
      </c>
      <c r="O2358">
        <v>5.0151210000000002E-2</v>
      </c>
      <c r="P2358">
        <v>-0.99964509999999995</v>
      </c>
      <c r="Q2358">
        <v>2.6325520000000002E-2</v>
      </c>
      <c r="R2358">
        <v>-4.1159689999999997E-3</v>
      </c>
      <c r="S2358">
        <v>-3.0041199999999999</v>
      </c>
      <c r="T2358">
        <v>-0.1042144</v>
      </c>
      <c r="U2358">
        <v>-3.2043460000000003E-2</v>
      </c>
      <c r="V2358">
        <v>-5.4329540000000003E-2</v>
      </c>
      <c r="W2358">
        <v>3.9962919999999999E-2</v>
      </c>
      <c r="X2358">
        <v>0.99772299999999903</v>
      </c>
      <c r="Y2358">
        <v>-6.073891E-2</v>
      </c>
      <c r="Z2358">
        <v>-2.7921170000000002E-3</v>
      </c>
      <c r="AA2358">
        <v>0.99814979999999998</v>
      </c>
      <c r="AB2358">
        <v>24</v>
      </c>
      <c r="AC2358">
        <v>-31.6311999999999</v>
      </c>
      <c r="AD2358">
        <v>-1.105448230548</v>
      </c>
      <c r="AE2358">
        <v>-0.35050000000001003</v>
      </c>
      <c r="AF2358">
        <v>-1.93419017766962</v>
      </c>
      <c r="AG2358">
        <v>-1.105448230548</v>
      </c>
      <c r="AH2358">
        <v>31.5352978457367</v>
      </c>
      <c r="AI2358">
        <v>92.003879621146297</v>
      </c>
      <c r="AJ2358">
        <v>93.509790281635901</v>
      </c>
      <c r="AK2358">
        <v>31.6138912134072</v>
      </c>
    </row>
    <row r="2359" spans="1:37" x14ac:dyDescent="0.2">
      <c r="A2359" t="str">
        <f>"20200111155844182"</f>
        <v>20200111155844182</v>
      </c>
      <c r="B2359" t="str">
        <f>"1578729524173700"</f>
        <v>1578729524173700</v>
      </c>
      <c r="C2359" t="s">
        <v>37</v>
      </c>
      <c r="D2359">
        <v>5.835782</v>
      </c>
      <c r="E2359">
        <v>0.49758559999999902</v>
      </c>
      <c r="F2359" t="s">
        <v>49</v>
      </c>
      <c r="G2359">
        <v>-489.23559999999998</v>
      </c>
      <c r="H2359" s="1">
        <v>3.9174259999999901E-6</v>
      </c>
      <c r="I2359">
        <v>285.4563</v>
      </c>
      <c r="J2359">
        <v>-460.10660000000001</v>
      </c>
      <c r="K2359">
        <v>1.105437</v>
      </c>
      <c r="L2359">
        <v>285.79899999999998</v>
      </c>
      <c r="M2359">
        <v>-0.99870959999999998</v>
      </c>
      <c r="N2359">
        <v>0</v>
      </c>
      <c r="O2359">
        <v>4.8883990000000002E-2</v>
      </c>
      <c r="P2359">
        <v>-0.99967649999999997</v>
      </c>
      <c r="Q2359">
        <v>2.4816459999999999E-2</v>
      </c>
      <c r="R2359">
        <v>-5.58100099999999E-3</v>
      </c>
      <c r="S2359">
        <v>-3.0039060000000002</v>
      </c>
      <c r="T2359">
        <v>-0.1130958</v>
      </c>
      <c r="U2359">
        <v>-3.4027099999999998E-2</v>
      </c>
      <c r="V2359">
        <v>-5.4524009999999998E-2</v>
      </c>
      <c r="W2359">
        <v>3.8453460000000002E-2</v>
      </c>
      <c r="X2359">
        <v>0.99777169999999904</v>
      </c>
      <c r="Y2359">
        <v>-6.0121609999999999E-2</v>
      </c>
      <c r="Z2359">
        <v>-2.9708400000000002E-3</v>
      </c>
      <c r="AA2359">
        <v>0.99818660000000003</v>
      </c>
      <c r="AB2359">
        <v>24</v>
      </c>
      <c r="AC2359">
        <v>-29.128999999999898</v>
      </c>
      <c r="AD2359">
        <v>-1.105433082574</v>
      </c>
      <c r="AE2359">
        <v>-0.34270000000003598</v>
      </c>
      <c r="AF2359">
        <v>-1.7638270280867701</v>
      </c>
      <c r="AG2359">
        <v>-1.105433082574</v>
      </c>
      <c r="AH2359">
        <v>29.035604051647301</v>
      </c>
      <c r="AI2359">
        <v>92.176283427768595</v>
      </c>
      <c r="AJ2359">
        <v>93.476277207439395</v>
      </c>
      <c r="AK2359">
        <v>29.1101248834335</v>
      </c>
    </row>
    <row r="2360" spans="1:37" x14ac:dyDescent="0.2">
      <c r="A2360" t="str">
        <f>"20200111155844203"</f>
        <v>20200111155844203</v>
      </c>
      <c r="B2360" t="str">
        <f>"1578729524193220"</f>
        <v>1578729524193220</v>
      </c>
      <c r="C2360" t="s">
        <v>37</v>
      </c>
      <c r="D2360">
        <v>5.8521039999999998</v>
      </c>
      <c r="E2360">
        <v>0.49775839999999999</v>
      </c>
      <c r="F2360" t="s">
        <v>49</v>
      </c>
      <c r="G2360">
        <v>-488.31139999999999</v>
      </c>
      <c r="H2360" s="1">
        <v>3.7531059999999999E-6</v>
      </c>
      <c r="I2360">
        <v>285.452</v>
      </c>
      <c r="J2360">
        <v>-460.33980000000003</v>
      </c>
      <c r="K2360">
        <v>1.105426</v>
      </c>
      <c r="L2360">
        <v>285.80889999999999</v>
      </c>
      <c r="M2360">
        <v>-0.99877070000000001</v>
      </c>
      <c r="N2360">
        <v>0</v>
      </c>
      <c r="O2360">
        <v>4.7621999999999998E-2</v>
      </c>
      <c r="P2360">
        <v>-0.99967019999999995</v>
      </c>
      <c r="Q2360">
        <v>2.4606780000000002E-2</v>
      </c>
      <c r="R2360">
        <v>-7.37308199999999E-3</v>
      </c>
      <c r="S2360">
        <v>-3.0036619999999998</v>
      </c>
      <c r="T2360">
        <v>-0.1177231</v>
      </c>
      <c r="U2360">
        <v>-3.6956790000000003E-2</v>
      </c>
      <c r="V2360">
        <v>-5.5051139999999998E-2</v>
      </c>
      <c r="W2360">
        <v>3.8241900000000002E-2</v>
      </c>
      <c r="X2360">
        <v>0.9977509</v>
      </c>
      <c r="Y2360">
        <v>-5.9829449999999999E-2</v>
      </c>
      <c r="Z2360">
        <v>-3.0374149999999999E-3</v>
      </c>
      <c r="AA2360">
        <v>0.99820399999999998</v>
      </c>
      <c r="AB2360">
        <v>24</v>
      </c>
      <c r="AC2360">
        <v>-27.971599999999899</v>
      </c>
      <c r="AD2360">
        <v>-1.105422246894</v>
      </c>
      <c r="AE2360">
        <v>-0.356899999999996</v>
      </c>
      <c r="AF2360">
        <v>-1.6860517588400601</v>
      </c>
      <c r="AG2360">
        <v>-1.105422246894</v>
      </c>
      <c r="AH2360">
        <v>27.879325842588301</v>
      </c>
      <c r="AI2360">
        <v>92.266465972702406</v>
      </c>
      <c r="AJ2360">
        <v>93.460848878154295</v>
      </c>
      <c r="AK2360">
        <v>27.952129405729199</v>
      </c>
    </row>
    <row r="2361" spans="1:37" x14ac:dyDescent="0.2">
      <c r="A2361" t="str">
        <f>"20200111155844227"</f>
        <v>20200111155844227</v>
      </c>
      <c r="B2361" t="str">
        <f>"1578729524223477"</f>
        <v>1578729524223477</v>
      </c>
      <c r="C2361" t="s">
        <v>37</v>
      </c>
      <c r="D2361">
        <v>6.8504969999999998</v>
      </c>
      <c r="E2361">
        <v>0.49806739999999999</v>
      </c>
      <c r="F2361" t="s">
        <v>49</v>
      </c>
      <c r="G2361">
        <v>-488.43810000000002</v>
      </c>
      <c r="H2361" s="1">
        <v>3.773373E-6</v>
      </c>
      <c r="I2361">
        <v>285.42669999999998</v>
      </c>
      <c r="J2361">
        <v>-460.57479999999998</v>
      </c>
      <c r="K2361">
        <v>1.1054200000000001</v>
      </c>
      <c r="L2361">
        <v>285.81849999999997</v>
      </c>
      <c r="M2361">
        <v>-0.9988302</v>
      </c>
      <c r="N2361">
        <v>0</v>
      </c>
      <c r="O2361">
        <v>4.6356840000000003E-2</v>
      </c>
      <c r="P2361">
        <v>-0.99962989999999996</v>
      </c>
      <c r="Q2361">
        <v>2.5228730000000001E-2</v>
      </c>
      <c r="R2361">
        <v>-1.019784E-2</v>
      </c>
      <c r="S2361">
        <v>-3.003571</v>
      </c>
      <c r="T2361">
        <v>-0.11816409999999999</v>
      </c>
      <c r="U2361">
        <v>-4.0863040000000003E-2</v>
      </c>
      <c r="V2361">
        <v>-5.6606429999999999E-2</v>
      </c>
      <c r="W2361">
        <v>3.8857990000000002E-2</v>
      </c>
      <c r="X2361">
        <v>0.99764010000000003</v>
      </c>
      <c r="Y2361">
        <v>-5.9863720000000002E-2</v>
      </c>
      <c r="Z2361">
        <v>-2.9998159999999898E-3</v>
      </c>
      <c r="AA2361">
        <v>0.99820200000000003</v>
      </c>
      <c r="AB2361">
        <v>24</v>
      </c>
      <c r="AC2361">
        <v>-27.863299999999999</v>
      </c>
      <c r="AD2361">
        <v>-1.105416226627</v>
      </c>
      <c r="AE2361">
        <v>-0.39179999999998899</v>
      </c>
      <c r="AF2361">
        <v>-1.68051101859981</v>
      </c>
      <c r="AG2361">
        <v>-1.105416226627</v>
      </c>
      <c r="AH2361">
        <v>27.771473553648001</v>
      </c>
      <c r="AI2361">
        <v>92.275241483660196</v>
      </c>
      <c r="AJ2361">
        <v>93.462867098136201</v>
      </c>
      <c r="AK2361">
        <v>27.844223919130801</v>
      </c>
    </row>
    <row r="2362" spans="1:37" x14ac:dyDescent="0.2">
      <c r="A2362" t="str">
        <f>"20200111155844249"</f>
        <v>20200111155844249</v>
      </c>
      <c r="B2362" t="str">
        <f>"1578729524243971"</f>
        <v>1578729524243971</v>
      </c>
      <c r="C2362" t="s">
        <v>37</v>
      </c>
      <c r="D2362">
        <v>6.6709709999999998</v>
      </c>
      <c r="E2362">
        <v>0.49824889999999999</v>
      </c>
      <c r="F2362" t="s">
        <v>49</v>
      </c>
      <c r="G2362">
        <v>-489.07580000000002</v>
      </c>
      <c r="H2362" s="1">
        <v>3.8820890000000004E-6</v>
      </c>
      <c r="I2362">
        <v>285.37630000000001</v>
      </c>
      <c r="J2362">
        <v>-460.81400000000002</v>
      </c>
      <c r="K2362">
        <v>1.1054090000000001</v>
      </c>
      <c r="L2362">
        <v>285.82810000000001</v>
      </c>
      <c r="M2362">
        <v>-0.99888880000000002</v>
      </c>
      <c r="N2362">
        <v>0</v>
      </c>
      <c r="O2362">
        <v>4.5073370000000001E-2</v>
      </c>
      <c r="P2362">
        <v>-0.99957619999999903</v>
      </c>
      <c r="Q2362">
        <v>2.589735E-2</v>
      </c>
      <c r="R2362">
        <v>-1.329235E-2</v>
      </c>
      <c r="S2362">
        <v>-3.00360099999999</v>
      </c>
      <c r="T2362">
        <v>-0.1164951</v>
      </c>
      <c r="U2362">
        <v>-4.6600339999999997E-2</v>
      </c>
      <c r="V2362">
        <v>-5.8413470000000002E-2</v>
      </c>
      <c r="W2362">
        <v>3.952029E-2</v>
      </c>
      <c r="X2362">
        <v>0.99750989999999995</v>
      </c>
      <c r="Y2362">
        <v>-6.0490059999999998E-2</v>
      </c>
      <c r="Z2362">
        <v>-2.9198359999999999E-3</v>
      </c>
      <c r="AA2362">
        <v>0.99816450000000001</v>
      </c>
      <c r="AB2362">
        <v>23</v>
      </c>
      <c r="AC2362">
        <v>-28.261799999999901</v>
      </c>
      <c r="AD2362">
        <v>-1.105405117911</v>
      </c>
      <c r="AE2362">
        <v>-0.45179999999999099</v>
      </c>
      <c r="AF2362">
        <v>-1.7226813213072201</v>
      </c>
      <c r="AG2362">
        <v>-1.105405117911</v>
      </c>
      <c r="AH2362">
        <v>28.1696216826765</v>
      </c>
      <c r="AI2362">
        <v>92.243006737215396</v>
      </c>
      <c r="AJ2362">
        <v>93.4995003978635</v>
      </c>
      <c r="AK2362">
        <v>28.243886721812899</v>
      </c>
    </row>
    <row r="2363" spans="1:37" x14ac:dyDescent="0.2">
      <c r="A2363" t="str">
        <f>"20200111155844271"</f>
        <v>20200111155844271</v>
      </c>
      <c r="B2363" t="str">
        <f>"1578729524263491"</f>
        <v>1578729524263491</v>
      </c>
      <c r="C2363" t="s">
        <v>37</v>
      </c>
      <c r="D2363">
        <v>6.2049969999999997</v>
      </c>
      <c r="E2363">
        <v>0.49895889999999998</v>
      </c>
      <c r="F2363" t="s">
        <v>49</v>
      </c>
      <c r="G2363">
        <v>-489.6191</v>
      </c>
      <c r="H2363" s="1">
        <v>3.9722860000000001E-6</v>
      </c>
      <c r="I2363">
        <v>285.3057</v>
      </c>
      <c r="J2363">
        <v>-461.04349999999999</v>
      </c>
      <c r="K2363">
        <v>1.105397</v>
      </c>
      <c r="L2363">
        <v>285.83699999999999</v>
      </c>
      <c r="M2363">
        <v>-0.99894359999999904</v>
      </c>
      <c r="N2363">
        <v>0</v>
      </c>
      <c r="O2363">
        <v>4.3842730000000003E-2</v>
      </c>
      <c r="P2363">
        <v>-0.99950339999999904</v>
      </c>
      <c r="Q2363">
        <v>2.6227759999999999E-2</v>
      </c>
      <c r="R2363">
        <v>-1.7463429999999999E-2</v>
      </c>
      <c r="S2363">
        <v>-3.003571</v>
      </c>
      <c r="T2363">
        <v>-0.115262899999999</v>
      </c>
      <c r="U2363">
        <v>-5.4473880000000002E-2</v>
      </c>
      <c r="V2363">
        <v>-6.1348140000000002E-2</v>
      </c>
      <c r="W2363">
        <v>3.984095E-2</v>
      </c>
      <c r="X2363">
        <v>0.99732099999999901</v>
      </c>
      <c r="Y2363">
        <v>-6.1877840000000003E-2</v>
      </c>
      <c r="Z2363">
        <v>-2.868397E-3</v>
      </c>
      <c r="AA2363">
        <v>0.99807959999999996</v>
      </c>
      <c r="AB2363">
        <v>23</v>
      </c>
      <c r="AC2363">
        <v>-28.575600000000001</v>
      </c>
      <c r="AD2363">
        <v>-1.1053930277140001</v>
      </c>
      <c r="AE2363">
        <v>-0.531299999999987</v>
      </c>
      <c r="AF2363">
        <v>-1.78107581627552</v>
      </c>
      <c r="AG2363">
        <v>-1.1053930277140001</v>
      </c>
      <c r="AH2363">
        <v>28.482216362954901</v>
      </c>
      <c r="AI2363">
        <v>92.2182017681383</v>
      </c>
      <c r="AJ2363">
        <v>93.578212525758602</v>
      </c>
      <c r="AK2363">
        <v>28.5592502309709</v>
      </c>
    </row>
    <row r="2364" spans="1:37" x14ac:dyDescent="0.2">
      <c r="A2364" t="str">
        <f>"20200111155844293"</f>
        <v>20200111155844293</v>
      </c>
      <c r="B2364" t="str">
        <f>"1578729524283987"</f>
        <v>1578729524283987</v>
      </c>
      <c r="C2364" t="s">
        <v>37</v>
      </c>
      <c r="D2364">
        <v>6.3874339999999998</v>
      </c>
      <c r="E2364">
        <v>0.49917879999999998</v>
      </c>
      <c r="F2364" t="s">
        <v>49</v>
      </c>
      <c r="G2364">
        <v>-490.54340000000002</v>
      </c>
      <c r="H2364" s="1">
        <v>3.9224650000000002E-6</v>
      </c>
      <c r="I2364">
        <v>285.23689999999999</v>
      </c>
      <c r="J2364">
        <v>-461.2749</v>
      </c>
      <c r="K2364">
        <v>1.1053839999999999</v>
      </c>
      <c r="L2364">
        <v>285.84559999999999</v>
      </c>
      <c r="M2364">
        <v>-0.99899740000000004</v>
      </c>
      <c r="N2364">
        <v>0</v>
      </c>
      <c r="O2364">
        <v>4.2602540000000001E-2</v>
      </c>
      <c r="P2364">
        <v>-0.99944880000000003</v>
      </c>
      <c r="Q2364">
        <v>2.5106610000000001E-2</v>
      </c>
      <c r="R2364">
        <v>-2.1727659999999999E-2</v>
      </c>
      <c r="S2364">
        <v>-3.0034179999999999</v>
      </c>
      <c r="T2364">
        <v>-0.1125413</v>
      </c>
      <c r="U2364">
        <v>-6.1096190000000002E-2</v>
      </c>
      <c r="V2364">
        <v>-6.4364820000000003E-2</v>
      </c>
      <c r="W2364">
        <v>3.871028E-2</v>
      </c>
      <c r="X2364">
        <v>0.99717529999999999</v>
      </c>
      <c r="Y2364">
        <v>-6.2843330000000003E-2</v>
      </c>
      <c r="Z2364">
        <v>-2.7724679999999902E-3</v>
      </c>
      <c r="AA2364">
        <v>0.99801960000000001</v>
      </c>
      <c r="AB2364">
        <v>23</v>
      </c>
      <c r="AC2364">
        <v>-29.2685</v>
      </c>
      <c r="AD2364">
        <v>-1.105380077535</v>
      </c>
      <c r="AE2364">
        <v>-0.60869999999999802</v>
      </c>
      <c r="AF2364">
        <v>-1.85253648443429</v>
      </c>
      <c r="AG2364">
        <v>-1.105380077535</v>
      </c>
      <c r="AH2364">
        <v>29.174392923955899</v>
      </c>
      <c r="AI2364">
        <v>92.165468079919606</v>
      </c>
      <c r="AJ2364">
        <v>93.633330357220004</v>
      </c>
      <c r="AK2364">
        <v>29.254041755342701</v>
      </c>
    </row>
    <row r="2365" spans="1:37" x14ac:dyDescent="0.2">
      <c r="A2365" t="str">
        <f>"20200111155844316"</f>
        <v>20200111155844316</v>
      </c>
      <c r="B2365" t="str">
        <f>"1578729524303507"</f>
        <v>1578729524303507</v>
      </c>
      <c r="C2365" t="s">
        <v>37</v>
      </c>
      <c r="D2365">
        <v>6.7743440000000001</v>
      </c>
      <c r="E2365">
        <v>0.49938069999999901</v>
      </c>
      <c r="F2365" t="s">
        <v>49</v>
      </c>
      <c r="G2365">
        <v>-489.77550000000002</v>
      </c>
      <c r="H2365" s="1">
        <v>3.9874540000000004E-6</v>
      </c>
      <c r="I2365">
        <v>285.16180000000003</v>
      </c>
      <c r="J2365">
        <v>-461.50740000000002</v>
      </c>
      <c r="K2365">
        <v>1.105367</v>
      </c>
      <c r="L2365">
        <v>285.85399999999998</v>
      </c>
      <c r="M2365">
        <v>-0.99904979999999999</v>
      </c>
      <c r="N2365">
        <v>0</v>
      </c>
      <c r="O2365">
        <v>4.1356240000000002E-2</v>
      </c>
      <c r="P2365">
        <v>-0.99935180000000001</v>
      </c>
      <c r="Q2365">
        <v>2.36216E-2</v>
      </c>
      <c r="R2365">
        <v>-2.7173989999999999E-2</v>
      </c>
      <c r="S2365">
        <v>-3.0030209999999999</v>
      </c>
      <c r="T2365">
        <v>-0.1164703</v>
      </c>
      <c r="U2365">
        <v>-7.2052000000000005E-2</v>
      </c>
      <c r="V2365">
        <v>-6.8554359999999995E-2</v>
      </c>
      <c r="W2365">
        <v>3.7212189999999999E-2</v>
      </c>
      <c r="X2365">
        <v>0.99695309999999904</v>
      </c>
      <c r="Y2365">
        <v>-6.5233890000000003E-2</v>
      </c>
      <c r="Z2365">
        <v>-2.867522E-3</v>
      </c>
      <c r="AA2365">
        <v>0.99786589999999997</v>
      </c>
      <c r="AB2365">
        <v>23</v>
      </c>
      <c r="AC2365">
        <v>-28.2681</v>
      </c>
      <c r="AD2365">
        <v>-1.1053630125459999</v>
      </c>
      <c r="AE2365">
        <v>-0.69220000000001303</v>
      </c>
      <c r="AF2365">
        <v>-1.8579414492612401</v>
      </c>
      <c r="AG2365">
        <v>-1.1053630125459999</v>
      </c>
      <c r="AH2365">
        <v>28.172231135159102</v>
      </c>
      <c r="AI2365">
        <v>92.242033903543799</v>
      </c>
      <c r="AJ2365">
        <v>93.773157794067103</v>
      </c>
      <c r="AK2365">
        <v>28.255059386793299</v>
      </c>
    </row>
    <row r="2366" spans="1:37" x14ac:dyDescent="0.2">
      <c r="A2366" t="str">
        <f>"20200111155844338"</f>
        <v>20200111155844338</v>
      </c>
      <c r="B2366" t="str">
        <f>"1578729524333764"</f>
        <v>1578729524333764</v>
      </c>
      <c r="C2366" t="s">
        <v>37</v>
      </c>
      <c r="D2366">
        <v>5.8033700000000001</v>
      </c>
      <c r="E2366">
        <v>0.49980930000000001</v>
      </c>
      <c r="F2366" t="s">
        <v>49</v>
      </c>
      <c r="G2366">
        <v>-488.87699999999899</v>
      </c>
      <c r="H2366" s="1">
        <v>3.8193729999999997E-6</v>
      </c>
      <c r="I2366">
        <v>285.06229999999999</v>
      </c>
      <c r="J2366">
        <v>-461.74299999999999</v>
      </c>
      <c r="K2366">
        <v>1.105348</v>
      </c>
      <c r="L2366">
        <v>285.8623</v>
      </c>
      <c r="M2366">
        <v>-0.99910140000000003</v>
      </c>
      <c r="N2366">
        <v>0</v>
      </c>
      <c r="O2366">
        <v>4.009182E-2</v>
      </c>
      <c r="P2366">
        <v>-0.99921789999999999</v>
      </c>
      <c r="Q2366">
        <v>2.135592E-2</v>
      </c>
      <c r="R2366">
        <v>-3.3286110000000001E-2</v>
      </c>
      <c r="S2366">
        <v>-3.00238</v>
      </c>
      <c r="T2366">
        <v>-0.121255399999999</v>
      </c>
      <c r="U2366">
        <v>-8.6853029999999998E-2</v>
      </c>
      <c r="V2366">
        <v>-7.3389480000000007E-2</v>
      </c>
      <c r="W2366">
        <v>3.4932009999999999E-2</v>
      </c>
      <c r="X2366">
        <v>0.99669140000000001</v>
      </c>
      <c r="Y2366">
        <v>-6.8882769999999996E-2</v>
      </c>
      <c r="Z2366">
        <v>-3.0083359999999999E-3</v>
      </c>
      <c r="AA2366">
        <v>0.99762019999999996</v>
      </c>
      <c r="AB2366">
        <v>23</v>
      </c>
      <c r="AC2366">
        <v>-27.133999999999901</v>
      </c>
      <c r="AD2366">
        <v>-1.1053441806269999</v>
      </c>
      <c r="AE2366">
        <v>-0.80000000000001104</v>
      </c>
      <c r="AF2366">
        <v>-1.8841869377394</v>
      </c>
      <c r="AG2366">
        <v>-1.1053441806269999</v>
      </c>
      <c r="AH2366">
        <v>27.0352785800529</v>
      </c>
      <c r="AI2366">
        <v>92.335589376299396</v>
      </c>
      <c r="AJ2366">
        <v>93.986704950783405</v>
      </c>
      <c r="AK2366">
        <v>27.123389059537899</v>
      </c>
    </row>
    <row r="2367" spans="1:37" x14ac:dyDescent="0.2">
      <c r="A2367" t="str">
        <f>"20200111155844361"</f>
        <v>20200111155844361</v>
      </c>
      <c r="B2367" t="str">
        <f>"1578729524353284"</f>
        <v>1578729524353284</v>
      </c>
      <c r="C2367" t="s">
        <v>37</v>
      </c>
      <c r="D2367">
        <v>5.8468799999999996</v>
      </c>
      <c r="E2367">
        <v>0.50012129999999999</v>
      </c>
      <c r="F2367" t="s">
        <v>49</v>
      </c>
      <c r="G2367">
        <v>-487.4803</v>
      </c>
      <c r="H2367" s="1">
        <v>3.5653039999999899E-6</v>
      </c>
      <c r="I2367">
        <v>284.99009999999998</v>
      </c>
      <c r="J2367">
        <v>-461.97219999999999</v>
      </c>
      <c r="K2367">
        <v>1.1053389999999901</v>
      </c>
      <c r="L2367">
        <v>285.87</v>
      </c>
      <c r="M2367">
        <v>-0.99914999999999998</v>
      </c>
      <c r="N2367">
        <v>0</v>
      </c>
      <c r="O2367">
        <v>3.8861039999999999E-2</v>
      </c>
      <c r="P2367">
        <v>-0.99901719999999905</v>
      </c>
      <c r="Q2367">
        <v>1.9221539999999999E-2</v>
      </c>
      <c r="R2367">
        <v>-3.994172E-2</v>
      </c>
      <c r="S2367">
        <v>-3.001709</v>
      </c>
      <c r="T2367">
        <v>-0.1289149</v>
      </c>
      <c r="U2367">
        <v>-0.1017151</v>
      </c>
      <c r="V2367">
        <v>-7.8799720000000004E-2</v>
      </c>
      <c r="W2367">
        <v>3.2780330000000003E-2</v>
      </c>
      <c r="X2367">
        <v>0.9963514</v>
      </c>
      <c r="Y2367">
        <v>-7.2580499999999895E-2</v>
      </c>
      <c r="Z2367">
        <v>-3.2252399999999999E-3</v>
      </c>
      <c r="AA2367">
        <v>0.99735739999999995</v>
      </c>
      <c r="AB2367">
        <v>23</v>
      </c>
      <c r="AC2367">
        <v>-25.508099999999999</v>
      </c>
      <c r="AD2367">
        <v>-1.10533543469599</v>
      </c>
      <c r="AE2367">
        <v>-0.87990000000002</v>
      </c>
      <c r="AF2367">
        <v>-1.86709851963952</v>
      </c>
      <c r="AG2367">
        <v>-1.10533543469599</v>
      </c>
      <c r="AH2367">
        <v>25.406980477531501</v>
      </c>
      <c r="AI2367">
        <v>92.484401799802896</v>
      </c>
      <c r="AJ2367">
        <v>94.202975363282903</v>
      </c>
      <c r="AK2367">
        <v>25.499460392151398</v>
      </c>
    </row>
    <row r="2368" spans="1:37" x14ac:dyDescent="0.2">
      <c r="A2368" t="str">
        <f>"20200111155844383"</f>
        <v>20200111155844383</v>
      </c>
      <c r="B2368" t="str">
        <f>"1578729524373781"</f>
        <v>1578729524373781</v>
      </c>
      <c r="C2368" t="s">
        <v>37</v>
      </c>
      <c r="D2368">
        <v>6.769495</v>
      </c>
      <c r="E2368">
        <v>0.50042500000000001</v>
      </c>
      <c r="F2368" t="s">
        <v>49</v>
      </c>
      <c r="G2368">
        <v>-486.52780000000001</v>
      </c>
      <c r="H2368" s="1">
        <v>3.3881959999999999E-6</v>
      </c>
      <c r="I2368">
        <v>284.89679999999998</v>
      </c>
      <c r="J2368">
        <v>-462.19970000000001</v>
      </c>
      <c r="K2368">
        <v>1.1053280000000001</v>
      </c>
      <c r="L2368">
        <v>285.87740000000002</v>
      </c>
      <c r="M2368">
        <v>-0.99919690000000005</v>
      </c>
      <c r="N2368">
        <v>0</v>
      </c>
      <c r="O2368">
        <v>3.7638249999999998E-2</v>
      </c>
      <c r="P2368">
        <v>-0.99874619999999903</v>
      </c>
      <c r="Q2368">
        <v>1.7157740000000001E-2</v>
      </c>
      <c r="R2368">
        <v>-4.703686E-2</v>
      </c>
      <c r="S2368">
        <v>-3.0007929999999998</v>
      </c>
      <c r="T2368">
        <v>-0.13507620000000001</v>
      </c>
      <c r="U2368">
        <v>-0.118927</v>
      </c>
      <c r="V2368">
        <v>-8.46557E-2</v>
      </c>
      <c r="W2368">
        <v>3.0697599999999998E-2</v>
      </c>
      <c r="X2368">
        <v>0.99593729999999903</v>
      </c>
      <c r="Y2368">
        <v>-7.7068979999999995E-2</v>
      </c>
      <c r="Z2368">
        <v>-3.425899E-3</v>
      </c>
      <c r="AA2368">
        <v>0.99701989999999996</v>
      </c>
      <c r="AB2368">
        <v>23</v>
      </c>
      <c r="AC2368">
        <v>-24.328099999999999</v>
      </c>
      <c r="AD2368">
        <v>-1.1053246118040001</v>
      </c>
      <c r="AE2368">
        <v>-0.980600000000038</v>
      </c>
      <c r="AF2368">
        <v>-1.89175991942212</v>
      </c>
      <c r="AG2368">
        <v>-1.1053246118040001</v>
      </c>
      <c r="AH2368">
        <v>24.224023579291899</v>
      </c>
      <c r="AI2368">
        <v>92.604633260976598</v>
      </c>
      <c r="AJ2368">
        <v>94.465414873032898</v>
      </c>
      <c r="AK2368">
        <v>24.322907237011801</v>
      </c>
    </row>
    <row r="2369" spans="1:37" x14ac:dyDescent="0.2">
      <c r="A2369" t="str">
        <f>"20200111155844405"</f>
        <v>20200111155844405</v>
      </c>
      <c r="B2369" t="str">
        <f>"1578729524393301"</f>
        <v>1578729524393301</v>
      </c>
      <c r="C2369" t="s">
        <v>37</v>
      </c>
      <c r="D2369">
        <v>5.8761679999999998</v>
      </c>
      <c r="E2369">
        <v>0.50078679999999998</v>
      </c>
      <c r="F2369" t="s">
        <v>49</v>
      </c>
      <c r="G2369">
        <v>-485.64940000000001</v>
      </c>
      <c r="H2369" s="1">
        <v>3.2242500000000001E-6</v>
      </c>
      <c r="I2369">
        <v>284.80380000000002</v>
      </c>
      <c r="J2369">
        <v>-462.42950000000002</v>
      </c>
      <c r="K2369">
        <v>1.1053170000000001</v>
      </c>
      <c r="L2369">
        <v>285.8845</v>
      </c>
      <c r="M2369">
        <v>-0.99924269999999904</v>
      </c>
      <c r="N2369">
        <v>0</v>
      </c>
      <c r="O2369">
        <v>3.6402879999999999E-2</v>
      </c>
      <c r="P2369">
        <v>-0.9984248</v>
      </c>
      <c r="Q2369">
        <v>1.573041E-2</v>
      </c>
      <c r="R2369">
        <v>-5.3860810000000002E-2</v>
      </c>
      <c r="S2369">
        <v>-2.9997250000000002</v>
      </c>
      <c r="T2369">
        <v>-0.1413953</v>
      </c>
      <c r="U2369">
        <v>-0.13732910000000001</v>
      </c>
      <c r="V2369">
        <v>-9.0228849999999999E-2</v>
      </c>
      <c r="W2369">
        <v>2.92519999999999E-2</v>
      </c>
      <c r="X2369">
        <v>0.99549140000000003</v>
      </c>
      <c r="Y2369">
        <v>-8.1939410000000004E-2</v>
      </c>
      <c r="Z2369">
        <v>-3.6433469999999999E-3</v>
      </c>
      <c r="AA2369">
        <v>0.99663069999999898</v>
      </c>
      <c r="AB2369">
        <v>23</v>
      </c>
      <c r="AC2369">
        <v>-23.219899999999999</v>
      </c>
      <c r="AD2369">
        <v>-1.10531377575</v>
      </c>
      <c r="AE2369">
        <v>-1.08069999999997</v>
      </c>
      <c r="AF2369">
        <v>-1.92099117121846</v>
      </c>
      <c r="AG2369">
        <v>-1.10531377575</v>
      </c>
      <c r="AH2369">
        <v>23.112903031261101</v>
      </c>
      <c r="AI2369">
        <v>92.728540339540899</v>
      </c>
      <c r="AJ2369">
        <v>94.751125187422005</v>
      </c>
      <c r="AK2369">
        <v>23.218919271905001</v>
      </c>
    </row>
    <row r="2370" spans="1:37" x14ac:dyDescent="0.2">
      <c r="A2370" t="str">
        <f>"20200111155844450"</f>
        <v>20200111155844450</v>
      </c>
      <c r="B2370" t="str">
        <f>"1578729524444051"</f>
        <v>1578729524444051</v>
      </c>
      <c r="C2370" t="s">
        <v>37</v>
      </c>
      <c r="D2370">
        <v>5.8582369999999999</v>
      </c>
      <c r="E2370">
        <v>0.50190400000000002</v>
      </c>
      <c r="F2370" t="s">
        <v>49</v>
      </c>
      <c r="G2370">
        <v>-485.291</v>
      </c>
      <c r="H2370" s="1">
        <v>3.151973E-6</v>
      </c>
      <c r="I2370">
        <v>284.70420000000001</v>
      </c>
      <c r="J2370">
        <v>-462.8931</v>
      </c>
      <c r="K2370">
        <v>1.1053029999999999</v>
      </c>
      <c r="L2370">
        <v>285.8981</v>
      </c>
      <c r="M2370">
        <v>-0.99933050000000001</v>
      </c>
      <c r="N2370">
        <v>0</v>
      </c>
      <c r="O2370">
        <v>3.3907640000000003E-2</v>
      </c>
      <c r="P2370">
        <v>-0.99762809999999902</v>
      </c>
      <c r="Q2370">
        <v>1.087393E-2</v>
      </c>
      <c r="R2370">
        <v>-6.7971539999999997E-2</v>
      </c>
      <c r="S2370">
        <v>-2.9986269999999999</v>
      </c>
      <c r="T2370">
        <v>-0.1449782</v>
      </c>
      <c r="U2370">
        <v>-0.1548157</v>
      </c>
      <c r="V2370">
        <v>-0.1018083</v>
      </c>
      <c r="W2370">
        <v>2.4355209999999999E-2</v>
      </c>
      <c r="X2370">
        <v>0.99450590000000005</v>
      </c>
      <c r="Y2370">
        <v>-8.5257390000000002E-2</v>
      </c>
      <c r="Z2370">
        <v>-3.6960529999999999E-3</v>
      </c>
      <c r="AA2370">
        <v>0.99635209999999996</v>
      </c>
      <c r="AB2370">
        <v>23</v>
      </c>
      <c r="AC2370">
        <v>-22.3979</v>
      </c>
      <c r="AD2370">
        <v>-1.105299848027</v>
      </c>
      <c r="AE2370">
        <v>-1.19389999999998</v>
      </c>
      <c r="AF2370">
        <v>-1.94801450086956</v>
      </c>
      <c r="AG2370">
        <v>-1.105299848027</v>
      </c>
      <c r="AH2370">
        <v>22.290402800001299</v>
      </c>
      <c r="AI2370">
        <v>92.828002556456994</v>
      </c>
      <c r="AJ2370">
        <v>94.994533252614303</v>
      </c>
      <c r="AK2370">
        <v>22.402645049992501</v>
      </c>
    </row>
    <row r="2371" spans="1:37" x14ac:dyDescent="0.2">
      <c r="A2371" t="str">
        <f>"20200111155844472"</f>
        <v>20200111155844472</v>
      </c>
      <c r="B2371" t="str">
        <f>"1578729524463571"</f>
        <v>1578729524463571</v>
      </c>
      <c r="C2371" t="s">
        <v>37</v>
      </c>
      <c r="D2371">
        <v>5.825253</v>
      </c>
      <c r="E2371">
        <v>0.50226219999999999</v>
      </c>
      <c r="F2371" t="s">
        <v>49</v>
      </c>
      <c r="G2371">
        <v>-483.97199999999998</v>
      </c>
      <c r="H2371" s="1">
        <v>2.9069129999999998E-6</v>
      </c>
      <c r="I2371">
        <v>284.57740000000001</v>
      </c>
      <c r="J2371">
        <v>-463.12310000000002</v>
      </c>
      <c r="K2371">
        <v>1.105294</v>
      </c>
      <c r="L2371">
        <v>285.90440000000001</v>
      </c>
      <c r="M2371">
        <v>-0.99937189999999998</v>
      </c>
      <c r="N2371">
        <v>0</v>
      </c>
      <c r="O2371">
        <v>3.2668280000000001E-2</v>
      </c>
      <c r="P2371">
        <v>-0.99714329999999995</v>
      </c>
      <c r="Q2371">
        <v>8.7173890000000007E-3</v>
      </c>
      <c r="R2371">
        <v>-7.5029719999999994E-2</v>
      </c>
      <c r="S2371">
        <v>-2.9960629999999999</v>
      </c>
      <c r="T2371">
        <v>-0.157102399999999</v>
      </c>
      <c r="U2371">
        <v>-0.18771360000000001</v>
      </c>
      <c r="V2371">
        <v>-0.10760879999999901</v>
      </c>
      <c r="W2371">
        <v>2.2178090000000001E-2</v>
      </c>
      <c r="X2371">
        <v>0.99394590000000005</v>
      </c>
      <c r="Y2371">
        <v>-9.4930169999999994E-2</v>
      </c>
      <c r="Z2371">
        <v>-4.1952769999999999E-3</v>
      </c>
      <c r="AA2371">
        <v>0.99547509999999995</v>
      </c>
      <c r="AB2371">
        <v>23</v>
      </c>
      <c r="AC2371">
        <v>-20.848899999999901</v>
      </c>
      <c r="AD2371">
        <v>-1.1052910930869999</v>
      </c>
      <c r="AE2371">
        <v>-1.32699999999999</v>
      </c>
      <c r="AF2371">
        <v>-2.0018499714176099</v>
      </c>
      <c r="AG2371">
        <v>-1.1052910930869999</v>
      </c>
      <c r="AH2371">
        <v>20.7363700045108</v>
      </c>
      <c r="AI2371">
        <v>93.037002962665099</v>
      </c>
      <c r="AJ2371">
        <v>95.514138770077096</v>
      </c>
      <c r="AK2371">
        <v>20.8620735468097</v>
      </c>
    </row>
    <row r="2372" spans="1:37" x14ac:dyDescent="0.2">
      <c r="A2372" t="str">
        <f>"20200111155844597"</f>
        <v>20200111155844597</v>
      </c>
      <c r="B2372" t="str">
        <f>"1578729524593380"</f>
        <v>1578729524593380</v>
      </c>
      <c r="C2372" t="s">
        <v>37</v>
      </c>
      <c r="D2372">
        <v>5.8259290000000004</v>
      </c>
      <c r="E2372">
        <v>0.50210650000000001</v>
      </c>
      <c r="F2372" t="s">
        <v>49</v>
      </c>
      <c r="G2372">
        <v>-483.16829999999999</v>
      </c>
      <c r="H2372" s="1">
        <v>2.7601259999999999E-6</v>
      </c>
      <c r="I2372">
        <v>284.52910000000003</v>
      </c>
      <c r="J2372">
        <v>-464.39599999999899</v>
      </c>
      <c r="K2372">
        <v>1.1052899999999899</v>
      </c>
      <c r="L2372">
        <v>285.9341</v>
      </c>
      <c r="M2372">
        <v>-0.99957260000000003</v>
      </c>
      <c r="N2372">
        <v>0</v>
      </c>
      <c r="O2372">
        <v>2.58117E-2</v>
      </c>
      <c r="P2372">
        <v>-0.994699</v>
      </c>
      <c r="Q2372">
        <v>1.201785E-2</v>
      </c>
      <c r="R2372">
        <v>-0.1021252</v>
      </c>
      <c r="S2372">
        <v>-2.9945369999999998</v>
      </c>
      <c r="T2372">
        <v>-0.16511870000000001</v>
      </c>
      <c r="U2372">
        <v>-0.205444299999999</v>
      </c>
      <c r="V2372">
        <v>-0.12781529999999999</v>
      </c>
      <c r="W2372">
        <v>2.5396780000000001E-2</v>
      </c>
      <c r="X2372">
        <v>0.99147280000000004</v>
      </c>
      <c r="Y2372">
        <v>-9.3995060000000005E-2</v>
      </c>
      <c r="Z2372">
        <v>-4.007282E-3</v>
      </c>
      <c r="AA2372">
        <v>0.99556460000000002</v>
      </c>
      <c r="AB2372">
        <v>23</v>
      </c>
      <c r="AC2372">
        <v>-18.772300000000001</v>
      </c>
      <c r="AD2372">
        <v>-1.1052872398739999</v>
      </c>
      <c r="AE2372">
        <v>-1.4049999999999701</v>
      </c>
      <c r="AF2372">
        <v>-1.8826322658160199</v>
      </c>
      <c r="AG2372">
        <v>-1.1052872398739999</v>
      </c>
      <c r="AH2372">
        <v>18.665428605685602</v>
      </c>
      <c r="AI2372">
        <v>93.371787226858501</v>
      </c>
      <c r="AJ2372">
        <v>95.759488324711398</v>
      </c>
      <c r="AK2372">
        <v>18.792663173825702</v>
      </c>
    </row>
    <row r="2373" spans="1:37" x14ac:dyDescent="0.2">
      <c r="A2373" t="str">
        <f>"20200111155844618"</f>
        <v>20200111155844618</v>
      </c>
      <c r="B2373" t="str">
        <f>"1578729524613875"</f>
        <v>1578729524613875</v>
      </c>
      <c r="C2373" t="s">
        <v>37</v>
      </c>
      <c r="D2373">
        <v>6.8214740000000003</v>
      </c>
      <c r="E2373">
        <v>0.50192389999999998</v>
      </c>
      <c r="F2373" t="s">
        <v>49</v>
      </c>
      <c r="G2373">
        <v>-486.11689999999999</v>
      </c>
      <c r="H2373" s="1">
        <v>3.2240439999999999E-6</v>
      </c>
      <c r="I2373">
        <v>283.85289999999998</v>
      </c>
      <c r="J2373">
        <v>-464.61439999999999</v>
      </c>
      <c r="K2373">
        <v>1.1052919999999999</v>
      </c>
      <c r="L2373">
        <v>285.9384</v>
      </c>
      <c r="M2373">
        <v>-0.999602399999999</v>
      </c>
      <c r="N2373">
        <v>0</v>
      </c>
      <c r="O2373">
        <v>2.4634739999999999E-2</v>
      </c>
      <c r="P2373">
        <v>-0.99455099999999996</v>
      </c>
      <c r="Q2373">
        <v>1.367956E-2</v>
      </c>
      <c r="R2373">
        <v>-0.10334939999999999</v>
      </c>
      <c r="S2373">
        <v>-2.988464</v>
      </c>
      <c r="T2373">
        <v>-0.1520706</v>
      </c>
      <c r="U2373">
        <v>-0.2863464</v>
      </c>
      <c r="V2373">
        <v>-0.12787029999999999</v>
      </c>
      <c r="W2373">
        <v>2.705656E-2</v>
      </c>
      <c r="X2373">
        <v>0.99142180000000002</v>
      </c>
      <c r="Y2373">
        <v>-0.11969100000000001</v>
      </c>
      <c r="Z2373">
        <v>-4.2866670000000001E-3</v>
      </c>
      <c r="AA2373">
        <v>0.99280190000000001</v>
      </c>
      <c r="AB2373">
        <v>23</v>
      </c>
      <c r="AC2373">
        <v>-21.502500000000001</v>
      </c>
      <c r="AD2373">
        <v>-1.1052887759559999</v>
      </c>
      <c r="AE2373">
        <v>-2.0855000000000201</v>
      </c>
      <c r="AF2373">
        <v>-2.6077990734076901</v>
      </c>
      <c r="AG2373">
        <v>-1.1052887759559999</v>
      </c>
      <c r="AH2373">
        <v>21.388605240410399</v>
      </c>
      <c r="AI2373">
        <v>92.936507822763801</v>
      </c>
      <c r="AJ2373">
        <v>96.951459735302905</v>
      </c>
      <c r="AK2373">
        <v>21.5753264961537</v>
      </c>
    </row>
    <row r="2374" spans="1:37" x14ac:dyDescent="0.2">
      <c r="A2374" t="str">
        <f>"20200111155844640"</f>
        <v>20200111155844640</v>
      </c>
      <c r="B2374" t="str">
        <f>"1578729524633396"</f>
        <v>1578729524633396</v>
      </c>
      <c r="C2374" t="s">
        <v>37</v>
      </c>
      <c r="D2374">
        <v>6.841577</v>
      </c>
      <c r="E2374">
        <v>0.50180939999999996</v>
      </c>
      <c r="F2374" t="s">
        <v>49</v>
      </c>
      <c r="G2374">
        <v>-487.3623</v>
      </c>
      <c r="H2374" s="1">
        <v>3.4334960000000001E-6</v>
      </c>
      <c r="I2374">
        <v>283.72179999999997</v>
      </c>
      <c r="J2374">
        <v>-464.83670000000001</v>
      </c>
      <c r="K2374">
        <v>1.105289</v>
      </c>
      <c r="L2374">
        <v>285.94240000000002</v>
      </c>
      <c r="M2374">
        <v>-0.99963119999999905</v>
      </c>
      <c r="N2374">
        <v>0</v>
      </c>
      <c r="O2374">
        <v>2.3435359999999999E-2</v>
      </c>
      <c r="P2374">
        <v>-0.99463729999999995</v>
      </c>
      <c r="Q2374">
        <v>1.516256E-2</v>
      </c>
      <c r="R2374">
        <v>-0.1023087</v>
      </c>
      <c r="S2374">
        <v>-2.9882200000000001</v>
      </c>
      <c r="T2374">
        <v>-0.14519389999999999</v>
      </c>
      <c r="U2374">
        <v>-0.29116819999999999</v>
      </c>
      <c r="V2374">
        <v>-0.12564429999999999</v>
      </c>
      <c r="W2374">
        <v>2.854514E-2</v>
      </c>
      <c r="X2374">
        <v>0.99166460000000001</v>
      </c>
      <c r="Y2374">
        <v>-0.120111999999999</v>
      </c>
      <c r="Z2374">
        <v>-4.04514E-3</v>
      </c>
      <c r="AA2374">
        <v>0.99275210000000003</v>
      </c>
      <c r="AB2374">
        <v>23</v>
      </c>
      <c r="AC2374">
        <v>-22.525600000000001</v>
      </c>
      <c r="AD2374">
        <v>-1.105285566504</v>
      </c>
      <c r="AE2374">
        <v>-2.2206000000000401</v>
      </c>
      <c r="AF2374">
        <v>-2.74139840123398</v>
      </c>
      <c r="AG2374">
        <v>-1.105285566504</v>
      </c>
      <c r="AH2374">
        <v>22.413920976678799</v>
      </c>
      <c r="AI2374">
        <v>92.802260603476697</v>
      </c>
      <c r="AJ2374">
        <v>96.973090381399302</v>
      </c>
      <c r="AK2374">
        <v>22.6079803371865</v>
      </c>
    </row>
    <row r="2375" spans="1:37" x14ac:dyDescent="0.2">
      <c r="A2375" t="str">
        <f>"20200111155844662"</f>
        <v>20200111155844662</v>
      </c>
      <c r="B2375" t="str">
        <f>"1578729524653892"</f>
        <v>1578729524653892</v>
      </c>
      <c r="C2375" t="s">
        <v>37</v>
      </c>
      <c r="D2375">
        <v>5.8929640000000001</v>
      </c>
      <c r="E2375">
        <v>0.50169719999999995</v>
      </c>
      <c r="F2375" t="s">
        <v>49</v>
      </c>
      <c r="G2375">
        <v>-488.49180000000001</v>
      </c>
      <c r="H2375" s="1">
        <v>3.627691E-6</v>
      </c>
      <c r="I2375">
        <v>283.65129999999999</v>
      </c>
      <c r="J2375">
        <v>-465.06330000000003</v>
      </c>
      <c r="K2375">
        <v>1.1052789999999999</v>
      </c>
      <c r="L2375">
        <v>285.94630000000001</v>
      </c>
      <c r="M2375">
        <v>-0.99965939999999998</v>
      </c>
      <c r="N2375">
        <v>0</v>
      </c>
      <c r="O2375">
        <v>2.220186E-2</v>
      </c>
      <c r="P2375">
        <v>-0.99489209999999995</v>
      </c>
      <c r="Q2375">
        <v>1.355804E-2</v>
      </c>
      <c r="R2375">
        <v>-0.10002999999999999</v>
      </c>
      <c r="S2375">
        <v>-2.9885250000000001</v>
      </c>
      <c r="T2375">
        <v>-0.1396386</v>
      </c>
      <c r="U2375">
        <v>-0.28945920000000003</v>
      </c>
      <c r="V2375">
        <v>-0.122145499999999</v>
      </c>
      <c r="W2375">
        <v>2.6950740000000001E-2</v>
      </c>
      <c r="X2375">
        <v>0.99214629999999904</v>
      </c>
      <c r="Y2375">
        <v>-0.11833050000000001</v>
      </c>
      <c r="Z2375">
        <v>-3.791254E-3</v>
      </c>
      <c r="AA2375">
        <v>0.99296700000000004</v>
      </c>
      <c r="AB2375">
        <v>23</v>
      </c>
      <c r="AC2375">
        <v>-23.4284999999999</v>
      </c>
      <c r="AD2375">
        <v>-1.1052753723090001</v>
      </c>
      <c r="AE2375">
        <v>-2.2950000000000101</v>
      </c>
      <c r="AF2375">
        <v>-2.80844827097512</v>
      </c>
      <c r="AG2375">
        <v>-1.1052753723090001</v>
      </c>
      <c r="AH2375">
        <v>23.320356852986102</v>
      </c>
      <c r="AI2375">
        <v>92.694083186489706</v>
      </c>
      <c r="AJ2375">
        <v>96.867005604461795</v>
      </c>
      <c r="AK2375">
        <v>23.514847630592701</v>
      </c>
    </row>
    <row r="2376" spans="1:37" x14ac:dyDescent="0.2">
      <c r="A2376" t="str">
        <f>"20200111155844685"</f>
        <v>20200111155844685</v>
      </c>
      <c r="B2376" t="str">
        <f>"1578729524673412"</f>
        <v>1578729524673412</v>
      </c>
      <c r="C2376" t="s">
        <v>37</v>
      </c>
      <c r="D2376">
        <v>5.8559219999999996</v>
      </c>
      <c r="E2376">
        <v>0.50162450000000003</v>
      </c>
      <c r="F2376" t="s">
        <v>49</v>
      </c>
      <c r="G2376">
        <v>-488.09030000000001</v>
      </c>
      <c r="H2376" s="1">
        <v>3.5658429999999999E-6</v>
      </c>
      <c r="I2376">
        <v>283.75850000000003</v>
      </c>
      <c r="J2376">
        <v>-465.29020000000003</v>
      </c>
      <c r="K2376">
        <v>1.105275</v>
      </c>
      <c r="L2376">
        <v>285.94990000000001</v>
      </c>
      <c r="M2376">
        <v>-0.99968670000000004</v>
      </c>
      <c r="N2376">
        <v>0</v>
      </c>
      <c r="O2376">
        <v>2.0940219999999999E-2</v>
      </c>
      <c r="P2376">
        <v>-0.99518249999999997</v>
      </c>
      <c r="Q2376">
        <v>9.0143989999999993E-3</v>
      </c>
      <c r="R2376">
        <v>-9.7625840000000005E-2</v>
      </c>
      <c r="S2376">
        <v>-2.9887999999999999</v>
      </c>
      <c r="T2376">
        <v>-0.1434599</v>
      </c>
      <c r="U2376">
        <v>-0.283966099999999</v>
      </c>
      <c r="V2376">
        <v>-0.1184872</v>
      </c>
      <c r="W2376">
        <v>2.241454E-2</v>
      </c>
      <c r="X2376">
        <v>0.99270249999999904</v>
      </c>
      <c r="Y2376">
        <v>-0.115256199999999</v>
      </c>
      <c r="Z2376">
        <v>-3.7608799999999999E-3</v>
      </c>
      <c r="AA2376">
        <v>0.99332869999999995</v>
      </c>
      <c r="AB2376">
        <v>23</v>
      </c>
      <c r="AC2376">
        <v>-22.800099999999901</v>
      </c>
      <c r="AD2376">
        <v>-1.105271434157</v>
      </c>
      <c r="AE2376">
        <v>-2.1913999999999798</v>
      </c>
      <c r="AF2376">
        <v>-2.6622045316137499</v>
      </c>
      <c r="AG2376">
        <v>-1.105271434157</v>
      </c>
      <c r="AH2376">
        <v>22.696359140936</v>
      </c>
      <c r="AI2376">
        <v>92.769043789526606</v>
      </c>
      <c r="AJ2376">
        <v>96.690027260759905</v>
      </c>
      <c r="AK2376">
        <v>22.878672954646198</v>
      </c>
    </row>
    <row r="2377" spans="1:37" x14ac:dyDescent="0.2">
      <c r="A2377" t="str">
        <f>"20200111155844700"</f>
        <v>20200111155844700</v>
      </c>
      <c r="B2377" t="str">
        <f>"1578729524693908"</f>
        <v>1578729524693908</v>
      </c>
      <c r="C2377" t="s">
        <v>37</v>
      </c>
      <c r="D2377">
        <v>5.8471570000000002</v>
      </c>
      <c r="E2377">
        <v>0.50153639999999999</v>
      </c>
      <c r="F2377" t="s">
        <v>49</v>
      </c>
      <c r="G2377">
        <v>-486.49529999999999</v>
      </c>
      <c r="H2377" s="1">
        <v>3.3024660000000001E-6</v>
      </c>
      <c r="I2377">
        <v>283.98219999999998</v>
      </c>
      <c r="J2377">
        <v>-465.45830000000001</v>
      </c>
      <c r="K2377">
        <v>1.105289</v>
      </c>
      <c r="L2377">
        <v>285.95229999999998</v>
      </c>
      <c r="M2377">
        <v>-0.999706599999999</v>
      </c>
      <c r="N2377">
        <v>0</v>
      </c>
      <c r="O2377">
        <v>1.9965409999999999E-2</v>
      </c>
      <c r="P2377">
        <v>-0.99523050000000002</v>
      </c>
      <c r="Q2377">
        <v>6.5793939999999997E-3</v>
      </c>
      <c r="R2377">
        <v>-9.7330849999999997E-2</v>
      </c>
      <c r="S2377">
        <v>-2.9887700000000001</v>
      </c>
      <c r="T2377">
        <v>-0.15578359999999999</v>
      </c>
      <c r="U2377">
        <v>-0.27734379999999997</v>
      </c>
      <c r="V2377">
        <v>-0.117221699999999</v>
      </c>
      <c r="W2377">
        <v>1.9976069999999999E-2</v>
      </c>
      <c r="X2377">
        <v>0.99290480000000003</v>
      </c>
      <c r="Y2377">
        <v>-0.112083999999999</v>
      </c>
      <c r="Z2377">
        <v>-3.9508620000000003E-3</v>
      </c>
      <c r="AA2377">
        <v>0.99369089999999904</v>
      </c>
      <c r="AB2377">
        <v>23</v>
      </c>
      <c r="AC2377">
        <v>-21.0369999999999</v>
      </c>
      <c r="AD2377">
        <v>-1.105285697534</v>
      </c>
      <c r="AE2377">
        <v>-1.9701</v>
      </c>
      <c r="AF2377">
        <v>-2.38323742979789</v>
      </c>
      <c r="AG2377">
        <v>-1.105285697534</v>
      </c>
      <c r="AH2377">
        <v>20.936177349148899</v>
      </c>
      <c r="AI2377">
        <v>93.002660443042004</v>
      </c>
      <c r="AJ2377">
        <v>96.494222060693303</v>
      </c>
      <c r="AK2377">
        <v>21.100355426271399</v>
      </c>
    </row>
    <row r="2378" spans="1:37" x14ac:dyDescent="0.2">
      <c r="A2378" t="str">
        <f>"20200111155844719"</f>
        <v>20200111155844719</v>
      </c>
      <c r="B2378" t="str">
        <f>"1578729524713427"</f>
        <v>1578729524713427</v>
      </c>
      <c r="C2378" t="s">
        <v>37</v>
      </c>
      <c r="D2378">
        <v>5.8740740000000002</v>
      </c>
      <c r="E2378">
        <v>0.50145439999999997</v>
      </c>
      <c r="F2378" t="s">
        <v>49</v>
      </c>
      <c r="G2378">
        <v>-485.87699999999899</v>
      </c>
      <c r="H2378" s="1">
        <v>3.19942099999999E-6</v>
      </c>
      <c r="I2378">
        <v>284.05790000000002</v>
      </c>
      <c r="J2378">
        <v>-465.63889999999998</v>
      </c>
      <c r="K2378">
        <v>1.105308</v>
      </c>
      <c r="L2378">
        <v>285.9547</v>
      </c>
      <c r="M2378">
        <v>-0.99972809999999901</v>
      </c>
      <c r="N2378">
        <v>0</v>
      </c>
      <c r="O2378">
        <v>1.886494E-2</v>
      </c>
      <c r="P2378">
        <v>-0.99533439999999995</v>
      </c>
      <c r="Q2378">
        <v>2.4363620000000001E-3</v>
      </c>
      <c r="R2378">
        <v>-9.6456879999999995E-2</v>
      </c>
      <c r="S2378">
        <v>-2.9883419999999998</v>
      </c>
      <c r="T2378">
        <v>-0.1617615</v>
      </c>
      <c r="U2378">
        <v>-0.2772522</v>
      </c>
      <c r="V2378">
        <v>-0.11525050000000001</v>
      </c>
      <c r="W2378">
        <v>1.5828729999999999E-2</v>
      </c>
      <c r="X2378">
        <v>0.99321029999999999</v>
      </c>
      <c r="Y2378">
        <v>-0.1109622</v>
      </c>
      <c r="Z2378">
        <v>-4.01314599999999E-3</v>
      </c>
      <c r="AA2378">
        <v>0.99381649999999999</v>
      </c>
      <c r="AB2378">
        <v>23</v>
      </c>
      <c r="AC2378">
        <v>-20.2380999999999</v>
      </c>
      <c r="AD2378">
        <v>-1.105304800579</v>
      </c>
      <c r="AE2378">
        <v>-1.8967999999999801</v>
      </c>
      <c r="AF2378">
        <v>-2.2715721367411099</v>
      </c>
      <c r="AG2378">
        <v>-1.105304800579</v>
      </c>
      <c r="AH2378">
        <v>20.139163313607501</v>
      </c>
      <c r="AI2378">
        <v>93.121677423205696</v>
      </c>
      <c r="AJ2378">
        <v>96.435407552982596</v>
      </c>
      <c r="AK2378">
        <v>20.2969859251751</v>
      </c>
    </row>
    <row r="2379" spans="1:37" x14ac:dyDescent="0.2">
      <c r="A2379" t="str">
        <f>"20200111155844740"</f>
        <v>20200111155844740</v>
      </c>
      <c r="B2379" t="str">
        <f>"1578729524733923"</f>
        <v>1578729524733923</v>
      </c>
      <c r="C2379" t="s">
        <v>37</v>
      </c>
      <c r="D2379">
        <v>6.8372310000000001</v>
      </c>
      <c r="E2379">
        <v>0.50130220000000003</v>
      </c>
      <c r="F2379" t="s">
        <v>49</v>
      </c>
      <c r="G2379">
        <v>-484.76170000000002</v>
      </c>
      <c r="H2379" s="1">
        <v>3.0131750000000002E-6</v>
      </c>
      <c r="I2379">
        <v>284.19060000000002</v>
      </c>
      <c r="J2379">
        <v>-465.8603</v>
      </c>
      <c r="K2379">
        <v>1.1053660000000001</v>
      </c>
      <c r="L2379">
        <v>285.9572</v>
      </c>
      <c r="M2379">
        <v>-0.99975409999999998</v>
      </c>
      <c r="N2379">
        <v>0</v>
      </c>
      <c r="O2379">
        <v>1.7424200000000001E-2</v>
      </c>
      <c r="P2379">
        <v>-0.99528430000000001</v>
      </c>
      <c r="Q2379">
        <v>7.1545919999999995E-4</v>
      </c>
      <c r="R2379">
        <v>-9.6998719999999997E-2</v>
      </c>
      <c r="S2379">
        <v>-2.987762</v>
      </c>
      <c r="T2379">
        <v>-0.17269329999999999</v>
      </c>
      <c r="U2379">
        <v>-0.27563480000000001</v>
      </c>
      <c r="V2379">
        <v>-0.1143588</v>
      </c>
      <c r="W2379">
        <v>1.409038E-2</v>
      </c>
      <c r="X2379">
        <v>0.99333959999999999</v>
      </c>
      <c r="Y2379">
        <v>-0.108993399999999</v>
      </c>
      <c r="Z2379">
        <v>-4.1450559999999899E-3</v>
      </c>
      <c r="AA2379">
        <v>0.99403379999999997</v>
      </c>
      <c r="AB2379">
        <v>23</v>
      </c>
      <c r="AC2379">
        <v>-18.901399999999999</v>
      </c>
      <c r="AD2379">
        <v>-1.1053629868249999</v>
      </c>
      <c r="AE2379">
        <v>-1.76659999999998</v>
      </c>
      <c r="AF2379">
        <v>-2.0886233508703298</v>
      </c>
      <c r="AG2379">
        <v>-1.1053629868249999</v>
      </c>
      <c r="AH2379">
        <v>18.803993370588199</v>
      </c>
      <c r="AI2379">
        <v>93.343654798499003</v>
      </c>
      <c r="AJ2379">
        <v>96.338057019034906</v>
      </c>
      <c r="AK2379">
        <v>18.951895459704499</v>
      </c>
    </row>
    <row r="2380" spans="1:37" x14ac:dyDescent="0.2">
      <c r="A2380" t="str">
        <f>"20200111155844763"</f>
        <v>20200111155844763</v>
      </c>
      <c r="B2380" t="str">
        <f>"1578729524753444"</f>
        <v>1578729524753444</v>
      </c>
      <c r="C2380" t="s">
        <v>37</v>
      </c>
      <c r="D2380">
        <v>5.9140759999999997</v>
      </c>
      <c r="E2380">
        <v>0.50114859999999894</v>
      </c>
      <c r="F2380" t="s">
        <v>49</v>
      </c>
      <c r="G2380">
        <v>-484.58460000000002</v>
      </c>
      <c r="H2380" s="1">
        <v>2.9834920000000001E-6</v>
      </c>
      <c r="I2380">
        <v>284.21039999999999</v>
      </c>
      <c r="J2380">
        <v>-466.08589999999998</v>
      </c>
      <c r="K2380">
        <v>1.105467</v>
      </c>
      <c r="L2380">
        <v>285.95940000000002</v>
      </c>
      <c r="M2380">
        <v>-0.99978080000000003</v>
      </c>
      <c r="N2380">
        <v>0</v>
      </c>
      <c r="O2380">
        <v>1.5823250000000001E-2</v>
      </c>
      <c r="P2380">
        <v>-0.99522520000000003</v>
      </c>
      <c r="Q2380">
        <v>1.3013359999999999E-3</v>
      </c>
      <c r="R2380">
        <v>-9.7596790000000003E-2</v>
      </c>
      <c r="S2380">
        <v>-2.9871829999999999</v>
      </c>
      <c r="T2380">
        <v>-0.176344</v>
      </c>
      <c r="U2380">
        <v>-0.2786865</v>
      </c>
      <c r="V2380">
        <v>-0.11336929999999899</v>
      </c>
      <c r="W2380">
        <v>1.4653940000000001E-2</v>
      </c>
      <c r="X2380">
        <v>0.99344489999999996</v>
      </c>
      <c r="Y2380">
        <v>-0.108420899999999</v>
      </c>
      <c r="Z2380">
        <v>-4.1220470000000002E-3</v>
      </c>
      <c r="AA2380">
        <v>0.99409650000000005</v>
      </c>
      <c r="AB2380">
        <v>23</v>
      </c>
      <c r="AC2380">
        <v>-18.498699999999999</v>
      </c>
      <c r="AD2380">
        <v>-1.1054640165080001</v>
      </c>
      <c r="AE2380">
        <v>-1.7490000000000201</v>
      </c>
      <c r="AF2380">
        <v>-2.0343175963959501</v>
      </c>
      <c r="AG2380">
        <v>-1.1054640165080001</v>
      </c>
      <c r="AH2380">
        <v>18.403566735714701</v>
      </c>
      <c r="AI2380">
        <v>93.416746670012699</v>
      </c>
      <c r="AJ2380">
        <v>96.307827547639405</v>
      </c>
      <c r="AK2380">
        <v>18.548632493278401</v>
      </c>
    </row>
    <row r="2381" spans="1:37" x14ac:dyDescent="0.2">
      <c r="A2381" t="str">
        <f>"20200111155844998"</f>
        <v>20200111155844998</v>
      </c>
      <c r="B2381" t="str">
        <f>"1578729524993539"</f>
        <v>1578729524993539</v>
      </c>
      <c r="C2381" t="s">
        <v>37</v>
      </c>
      <c r="D2381">
        <v>6.548279</v>
      </c>
      <c r="E2381">
        <v>0.50082680000000002</v>
      </c>
      <c r="F2381" t="s">
        <v>49</v>
      </c>
      <c r="G2381">
        <v>-485.13929999999999</v>
      </c>
      <c r="H2381" s="1">
        <v>3.077448E-6</v>
      </c>
      <c r="I2381">
        <v>284.15969999999999</v>
      </c>
      <c r="J2381">
        <v>-468.43130000000002</v>
      </c>
      <c r="K2381">
        <v>1.10654599999999</v>
      </c>
      <c r="L2381">
        <v>285.94</v>
      </c>
      <c r="M2381">
        <v>-0.99983899999999903</v>
      </c>
      <c r="N2381">
        <v>0</v>
      </c>
      <c r="O2381">
        <v>-1.154672E-2</v>
      </c>
      <c r="P2381">
        <v>-0.99373149999999999</v>
      </c>
      <c r="Q2381">
        <v>6.3221450000000004E-3</v>
      </c>
      <c r="R2381">
        <v>-0.111615899999999</v>
      </c>
      <c r="S2381">
        <v>-2.9869379999999999</v>
      </c>
      <c r="T2381">
        <v>-0.1733006</v>
      </c>
      <c r="U2381">
        <v>-0.28213499999999903</v>
      </c>
      <c r="V2381">
        <v>-0.1002311</v>
      </c>
      <c r="W2381">
        <v>1.9500279999999998E-2</v>
      </c>
      <c r="X2381">
        <v>0.99477309999999997</v>
      </c>
      <c r="Y2381">
        <v>-8.2416669999999997E-2</v>
      </c>
      <c r="Z2381">
        <v>-1.715736E-3</v>
      </c>
      <c r="AA2381">
        <v>0.9965965</v>
      </c>
      <c r="AB2381">
        <v>22</v>
      </c>
      <c r="AC2381">
        <v>-16.707999999999899</v>
      </c>
      <c r="AD2381">
        <v>-1.10654292255199</v>
      </c>
      <c r="AE2381">
        <v>-1.78030000000001</v>
      </c>
      <c r="AF2381">
        <v>-1.5803864366068801</v>
      </c>
      <c r="AG2381">
        <v>-1.10654292255199</v>
      </c>
      <c r="AH2381">
        <v>16.655211666918198</v>
      </c>
      <c r="AI2381">
        <v>93.7840968191733</v>
      </c>
      <c r="AJ2381">
        <v>95.420475584635497</v>
      </c>
      <c r="AK2381">
        <v>16.766577891695999</v>
      </c>
    </row>
    <row r="2382" spans="1:37" x14ac:dyDescent="0.2">
      <c r="A2382" t="str">
        <f>"20200111155845019"</f>
        <v>20200111155845019</v>
      </c>
      <c r="B2382" t="str">
        <f>"1578729525014035"</f>
        <v>1578729525014035</v>
      </c>
      <c r="C2382" t="s">
        <v>37</v>
      </c>
      <c r="D2382">
        <v>6.0164299999999997</v>
      </c>
      <c r="E2382">
        <v>0.50146139999999995</v>
      </c>
      <c r="F2382" t="s">
        <v>49</v>
      </c>
      <c r="G2382">
        <v>-489.61399999999998</v>
      </c>
      <c r="H2382" s="1">
        <v>3.8238599999999997E-6</v>
      </c>
      <c r="I2382">
        <v>283.61829999999998</v>
      </c>
      <c r="J2382">
        <v>-468.65030000000002</v>
      </c>
      <c r="K2382">
        <v>1.1065879999999999</v>
      </c>
      <c r="L2382">
        <v>285.93369999999999</v>
      </c>
      <c r="M2382">
        <v>-0.99979509999999905</v>
      </c>
      <c r="N2382">
        <v>0</v>
      </c>
      <c r="O2382">
        <v>-1.48594E-2</v>
      </c>
      <c r="P2382">
        <v>-0.99335219999999902</v>
      </c>
      <c r="Q2382">
        <v>6.8962040000000004E-3</v>
      </c>
      <c r="R2382">
        <v>-0.11490739999999899</v>
      </c>
      <c r="S2382">
        <v>-2.98318499999999</v>
      </c>
      <c r="T2382">
        <v>-0.1558359</v>
      </c>
      <c r="U2382">
        <v>-0.32696529999999902</v>
      </c>
      <c r="V2382">
        <v>-0.1002357</v>
      </c>
      <c r="W2382">
        <v>2.0068079999999999E-2</v>
      </c>
      <c r="X2382">
        <v>0.99476129999999996</v>
      </c>
      <c r="Y2382">
        <v>-9.4059299999999998E-2</v>
      </c>
      <c r="Z2382">
        <v>-1.67447E-3</v>
      </c>
      <c r="AA2382">
        <v>0.99556520000000004</v>
      </c>
      <c r="AB2382">
        <v>22</v>
      </c>
      <c r="AC2382">
        <v>-20.963699999999999</v>
      </c>
      <c r="AD2382">
        <v>-1.1065841761399999</v>
      </c>
      <c r="AE2382">
        <v>-2.3154000000000101</v>
      </c>
      <c r="AF2382">
        <v>-1.99810658299002</v>
      </c>
      <c r="AG2382">
        <v>-1.1065841761399999</v>
      </c>
      <c r="AH2382">
        <v>20.938156159028999</v>
      </c>
      <c r="AI2382">
        <v>93.011618057010494</v>
      </c>
      <c r="AJ2382">
        <v>95.4511695978224</v>
      </c>
      <c r="AK2382">
        <v>21.062367905716499</v>
      </c>
    </row>
    <row r="2383" spans="1:37" x14ac:dyDescent="0.2">
      <c r="A2383" t="str">
        <f>"20200111155845042"</f>
        <v>20200111155845042</v>
      </c>
      <c r="B2383" t="str">
        <f>"1578729525033556"</f>
        <v>1578729525033556</v>
      </c>
      <c r="C2383" t="s">
        <v>37</v>
      </c>
      <c r="D2383">
        <v>5.7351019999999897</v>
      </c>
      <c r="E2383">
        <v>0.50219950000000002</v>
      </c>
      <c r="F2383" t="s">
        <v>49</v>
      </c>
      <c r="G2383">
        <v>-490.20389999999998</v>
      </c>
      <c r="H2383" s="1">
        <v>3.8338249999999997E-6</v>
      </c>
      <c r="I2383">
        <v>283.53410000000002</v>
      </c>
      <c r="J2383">
        <v>-468.86689999999999</v>
      </c>
      <c r="K2383">
        <v>1.1066119999999999</v>
      </c>
      <c r="L2383">
        <v>285.92660000000001</v>
      </c>
      <c r="M2383">
        <v>-0.99974010000000002</v>
      </c>
      <c r="N2383">
        <v>0</v>
      </c>
      <c r="O2383">
        <v>-1.8182980000000001E-2</v>
      </c>
      <c r="P2383">
        <v>-0.99294660000000001</v>
      </c>
      <c r="Q2383">
        <v>6.2869299999999996E-3</v>
      </c>
      <c r="R2383">
        <v>-0.1183958</v>
      </c>
      <c r="S2383">
        <v>-2.9826969999999999</v>
      </c>
      <c r="T2383">
        <v>-0.15313450000000001</v>
      </c>
      <c r="U2383">
        <v>-0.33206180000000002</v>
      </c>
      <c r="V2383">
        <v>-0.1004205</v>
      </c>
      <c r="W2383">
        <v>1.9454989999999998E-2</v>
      </c>
      <c r="X2383">
        <v>0.9947549</v>
      </c>
      <c r="Y2383">
        <v>-9.2457880000000006E-2</v>
      </c>
      <c r="Z2383">
        <v>-1.434722E-3</v>
      </c>
      <c r="AA2383">
        <v>0.99571559999999903</v>
      </c>
      <c r="AB2383">
        <v>22</v>
      </c>
      <c r="AC2383">
        <v>-21.3369999999999</v>
      </c>
      <c r="AD2383">
        <v>-1.106608166175</v>
      </c>
      <c r="AE2383">
        <v>-2.3924999999999801</v>
      </c>
      <c r="AF2383">
        <v>-1.99878785792331</v>
      </c>
      <c r="AG2383">
        <v>-1.106608166175</v>
      </c>
      <c r="AH2383">
        <v>21.320343186618199</v>
      </c>
      <c r="AI2383">
        <v>92.958257439388305</v>
      </c>
      <c r="AJ2383">
        <v>95.355840185290404</v>
      </c>
      <c r="AK2383">
        <v>21.442405838189</v>
      </c>
    </row>
    <row r="2384" spans="1:37" x14ac:dyDescent="0.2">
      <c r="A2384" t="str">
        <f>"20200111155845064"</f>
        <v>20200111155845064</v>
      </c>
      <c r="B2384" t="str">
        <f>"1578729525054053"</f>
        <v>1578729525054053</v>
      </c>
      <c r="C2384" t="s">
        <v>37</v>
      </c>
      <c r="D2384">
        <v>5.660425</v>
      </c>
      <c r="E2384">
        <v>0.50297979999999998</v>
      </c>
      <c r="F2384" t="s">
        <v>49</v>
      </c>
      <c r="G2384">
        <v>-489.8707</v>
      </c>
      <c r="H2384" s="1">
        <v>3.863831E-6</v>
      </c>
      <c r="I2384">
        <v>283.55450000000002</v>
      </c>
      <c r="J2384">
        <v>-469.08640000000003</v>
      </c>
      <c r="K2384">
        <v>1.1066180000000001</v>
      </c>
      <c r="L2384">
        <v>285.9187</v>
      </c>
      <c r="M2384">
        <v>-0.99967289999999998</v>
      </c>
      <c r="N2384">
        <v>0</v>
      </c>
      <c r="O2384">
        <v>-2.157324E-2</v>
      </c>
      <c r="P2384">
        <v>-0.99242219999999903</v>
      </c>
      <c r="Q2384">
        <v>5.8538560000000002E-3</v>
      </c>
      <c r="R2384">
        <v>-0.12273679999999999</v>
      </c>
      <c r="S2384">
        <v>-2.9821469999999999</v>
      </c>
      <c r="T2384">
        <v>-0.1571177</v>
      </c>
      <c r="U2384">
        <v>-0.33679199999999998</v>
      </c>
      <c r="V2384">
        <v>-0.1013955</v>
      </c>
      <c r="W2384">
        <v>1.9014469999999999E-2</v>
      </c>
      <c r="X2384">
        <v>0.99466449999999995</v>
      </c>
      <c r="Y2384">
        <v>-9.0662999999999994E-2</v>
      </c>
      <c r="Z2384">
        <v>-1.247209E-3</v>
      </c>
      <c r="AA2384">
        <v>0.99588080000000001</v>
      </c>
      <c r="AB2384">
        <v>22</v>
      </c>
      <c r="AC2384">
        <v>-20.784299999999899</v>
      </c>
      <c r="AD2384">
        <v>-1.1066141361690001</v>
      </c>
      <c r="AE2384">
        <v>-2.3641999999999799</v>
      </c>
      <c r="AF2384">
        <v>-1.90987772313102</v>
      </c>
      <c r="AG2384">
        <v>-1.1066141361690001</v>
      </c>
      <c r="AH2384">
        <v>20.7723371021271</v>
      </c>
      <c r="AI2384">
        <v>93.036677124826298</v>
      </c>
      <c r="AJ2384">
        <v>95.253194891048594</v>
      </c>
      <c r="AK2384">
        <v>20.889284728015198</v>
      </c>
    </row>
    <row r="2385" spans="1:37" x14ac:dyDescent="0.2">
      <c r="A2385" t="str">
        <f>"20200111155845088"</f>
        <v>20200111155845088</v>
      </c>
      <c r="B2385" t="str">
        <f>"1578729525083332"</f>
        <v>1578729525083332</v>
      </c>
      <c r="C2385" t="s">
        <v>37</v>
      </c>
      <c r="D2385">
        <v>5.6535359999999999</v>
      </c>
      <c r="E2385">
        <v>0.54933559999999904</v>
      </c>
      <c r="F2385" t="s">
        <v>49</v>
      </c>
      <c r="G2385">
        <v>-489.61270000000002</v>
      </c>
      <c r="H2385" s="1">
        <v>3.8179739999999901E-6</v>
      </c>
      <c r="I2385">
        <v>283.55360000000002</v>
      </c>
      <c r="J2385">
        <v>-469.31529999999998</v>
      </c>
      <c r="K2385">
        <v>1.106611</v>
      </c>
      <c r="L2385">
        <v>285.90960000000001</v>
      </c>
      <c r="M2385">
        <v>-0.99958999999999998</v>
      </c>
      <c r="N2385">
        <v>0</v>
      </c>
      <c r="O2385">
        <v>-2.5118339999999999E-2</v>
      </c>
      <c r="P2385">
        <v>-0.9918981</v>
      </c>
      <c r="Q2385">
        <v>5.1486730000000003E-3</v>
      </c>
      <c r="R2385">
        <v>-0.1269332</v>
      </c>
      <c r="S2385">
        <v>-2.9813839999999998</v>
      </c>
      <c r="T2385">
        <v>-0.1607326</v>
      </c>
      <c r="U2385">
        <v>-0.34353640000000002</v>
      </c>
      <c r="V2385">
        <v>-0.10207139999999899</v>
      </c>
      <c r="W2385">
        <v>1.8306490000000002E-2</v>
      </c>
      <c r="X2385">
        <v>0.99460859999999995</v>
      </c>
      <c r="Y2385">
        <v>-8.9385969999999995E-2</v>
      </c>
      <c r="Z2385">
        <v>-1.0515399999999999E-3</v>
      </c>
      <c r="AA2385">
        <v>0.99599649999999995</v>
      </c>
      <c r="AB2385">
        <v>22</v>
      </c>
      <c r="AC2385">
        <v>-20.2974</v>
      </c>
      <c r="AD2385">
        <v>-1.1066071820259999</v>
      </c>
      <c r="AE2385">
        <v>-2.3559999999999901</v>
      </c>
      <c r="AF2385">
        <v>-1.83997492938172</v>
      </c>
      <c r="AG2385">
        <v>-1.1066071820259999</v>
      </c>
      <c r="AH2385">
        <v>20.290669007013399</v>
      </c>
      <c r="AI2385">
        <v>93.108958467603301</v>
      </c>
      <c r="AJ2385">
        <v>95.181458077522095</v>
      </c>
      <c r="AK2385">
        <v>20.4039539292814</v>
      </c>
    </row>
    <row r="2386" spans="1:37" x14ac:dyDescent="0.2">
      <c r="A2386" t="str">
        <f>"20200111155845108"</f>
        <v>20200111155845108</v>
      </c>
      <c r="B2386" t="str">
        <f>"1578729525103829"</f>
        <v>1578729525103829</v>
      </c>
      <c r="C2386" t="s">
        <v>37</v>
      </c>
      <c r="D2386">
        <v>5.5823869999999998</v>
      </c>
      <c r="E2386">
        <v>0.54933940000000003</v>
      </c>
      <c r="F2386" t="s">
        <v>38</v>
      </c>
      <c r="G2386">
        <v>-470.19810000000001</v>
      </c>
      <c r="H2386">
        <v>1.0112449999999999</v>
      </c>
      <c r="I2386">
        <v>285.9135</v>
      </c>
      <c r="J2386">
        <v>-469.52910000000003</v>
      </c>
      <c r="K2386">
        <v>1.1065849999999999</v>
      </c>
      <c r="L2386">
        <v>285.90030000000002</v>
      </c>
      <c r="M2386">
        <v>-0.99950130000000004</v>
      </c>
      <c r="N2386">
        <v>0</v>
      </c>
      <c r="O2386">
        <v>-2.8427529999999999E-2</v>
      </c>
      <c r="P2386">
        <v>-0.99138559999999998</v>
      </c>
      <c r="Q2386">
        <v>3.8260289999999999E-3</v>
      </c>
      <c r="R2386">
        <v>-0.13092029999999999</v>
      </c>
      <c r="S2386">
        <v>-3.0277099999999999</v>
      </c>
      <c r="T2386">
        <v>-0.32769860000000001</v>
      </c>
      <c r="U2386">
        <v>1.165771E-2</v>
      </c>
      <c r="V2386">
        <v>-0.102769899999999</v>
      </c>
      <c r="W2386">
        <v>1.6983470000000001E-2</v>
      </c>
      <c r="X2386">
        <v>0.99456019999999901</v>
      </c>
      <c r="Y2386">
        <v>3.1926309999999999E-2</v>
      </c>
      <c r="Z2386">
        <v>4.7905589999999998E-3</v>
      </c>
      <c r="AA2386">
        <v>0.9994788</v>
      </c>
      <c r="AB2386">
        <v>22</v>
      </c>
      <c r="AC2386">
        <v>-0.66899999999998205</v>
      </c>
      <c r="AD2386">
        <v>-9.5339999999999703E-2</v>
      </c>
      <c r="AE2386">
        <v>1.31999999999834E-2</v>
      </c>
      <c r="AF2386">
        <v>3.1573489072639502E-2</v>
      </c>
      <c r="AG2386">
        <v>-9.5339999999999703E-2</v>
      </c>
      <c r="AH2386">
        <v>0.65505565804742805</v>
      </c>
      <c r="AI2386">
        <v>98.271492013344698</v>
      </c>
      <c r="AJ2386">
        <v>87.240496013219996</v>
      </c>
      <c r="AK2386">
        <v>0.66270997876308502</v>
      </c>
    </row>
    <row r="2387" spans="1:37" x14ac:dyDescent="0.2">
      <c r="A2387" t="str">
        <f>"20200111155845131"</f>
        <v>20200111155845131</v>
      </c>
      <c r="B2387" t="str">
        <f>"1578729525123348"</f>
        <v>1578729525123348</v>
      </c>
      <c r="C2387" t="s">
        <v>37</v>
      </c>
      <c r="D2387">
        <v>5.5478009999999998</v>
      </c>
      <c r="E2387">
        <v>0.55057219999999996</v>
      </c>
      <c r="F2387" t="s">
        <v>38</v>
      </c>
      <c r="G2387">
        <v>-470.39530000000002</v>
      </c>
      <c r="H2387">
        <v>1.0129980000000001</v>
      </c>
      <c r="I2387">
        <v>285.90030000000002</v>
      </c>
      <c r="J2387">
        <v>-469.74599999999998</v>
      </c>
      <c r="K2387">
        <v>1.1065559999999901</v>
      </c>
      <c r="L2387">
        <v>285.89030000000002</v>
      </c>
      <c r="M2387">
        <v>-0.99940030000000002</v>
      </c>
      <c r="N2387">
        <v>0</v>
      </c>
      <c r="O2387">
        <v>-3.1778210000000001E-2</v>
      </c>
      <c r="P2387">
        <v>-0.99087019999999904</v>
      </c>
      <c r="Q2387">
        <v>1.8044370000000001E-3</v>
      </c>
      <c r="R2387">
        <v>-0.1348077</v>
      </c>
      <c r="S2387">
        <v>-3.0272220000000001</v>
      </c>
      <c r="T2387">
        <v>-0.32733959999999901</v>
      </c>
      <c r="U2387">
        <v>-8.2397459999999998E-4</v>
      </c>
      <c r="V2387">
        <v>-0.10332479999999999</v>
      </c>
      <c r="W2387">
        <v>1.496289E-2</v>
      </c>
      <c r="X2387">
        <v>0.99453510000000001</v>
      </c>
      <c r="Y2387">
        <v>3.1142409999999999E-2</v>
      </c>
      <c r="Z2387">
        <v>5.1049939999999999E-3</v>
      </c>
      <c r="AA2387">
        <v>0.99950190000000005</v>
      </c>
      <c r="AB2387">
        <v>22</v>
      </c>
      <c r="AC2387">
        <v>-0.64930000000003896</v>
      </c>
      <c r="AD2387">
        <v>-9.3557999999999794E-2</v>
      </c>
      <c r="AE2387">
        <v>9.9999999999908998E-3</v>
      </c>
      <c r="AF2387">
        <v>3.0007619192988499E-2</v>
      </c>
      <c r="AG2387">
        <v>-9.3557999999999794E-2</v>
      </c>
      <c r="AH2387">
        <v>0.63546376696011997</v>
      </c>
      <c r="AI2387">
        <v>98.366178125189606</v>
      </c>
      <c r="AJ2387">
        <v>87.296409680939902</v>
      </c>
      <c r="AK2387">
        <v>0.64301458435464498</v>
      </c>
    </row>
    <row r="2388" spans="1:37" x14ac:dyDescent="0.2">
      <c r="A2388" t="str">
        <f>"20200111155845153"</f>
        <v>20200111155845153</v>
      </c>
      <c r="B2388" t="str">
        <f>"1578729525143845"</f>
        <v>1578729525143845</v>
      </c>
      <c r="C2388" t="s">
        <v>37</v>
      </c>
      <c r="D2388">
        <v>5.5352160000000001</v>
      </c>
      <c r="E2388">
        <v>0.55124459999999997</v>
      </c>
      <c r="F2388" t="s">
        <v>38</v>
      </c>
      <c r="G2388">
        <v>-470.5926</v>
      </c>
      <c r="H2388">
        <v>1.015093</v>
      </c>
      <c r="I2388">
        <v>285.88979999999998</v>
      </c>
      <c r="J2388">
        <v>-469.96660000000003</v>
      </c>
      <c r="K2388">
        <v>1.1065149999999999</v>
      </c>
      <c r="L2388">
        <v>285.8793</v>
      </c>
      <c r="M2388">
        <v>-0.99928680000000003</v>
      </c>
      <c r="N2388">
        <v>0</v>
      </c>
      <c r="O2388">
        <v>-3.5172109999999999E-2</v>
      </c>
      <c r="P2388">
        <v>-0.99056580000000005</v>
      </c>
      <c r="Q2388">
        <v>3.5665419999999999E-4</v>
      </c>
      <c r="R2388">
        <v>-0.13703760000000001</v>
      </c>
      <c r="S2388">
        <v>-3.0278930000000002</v>
      </c>
      <c r="T2388">
        <v>-0.32752009999999998</v>
      </c>
      <c r="U2388">
        <v>-2.746582E-3</v>
      </c>
      <c r="V2388">
        <v>-0.1021778</v>
      </c>
      <c r="W2388">
        <v>1.352633E-2</v>
      </c>
      <c r="X2388">
        <v>0.99467419999999995</v>
      </c>
      <c r="Y2388">
        <v>3.3866229999999997E-2</v>
      </c>
      <c r="Z2388">
        <v>5.6194640000000002E-3</v>
      </c>
      <c r="AA2388">
        <v>0.99941059999999904</v>
      </c>
      <c r="AB2388">
        <v>22</v>
      </c>
      <c r="AC2388">
        <v>-0.62599999999997602</v>
      </c>
      <c r="AD2388">
        <v>-9.1421999999999795E-2</v>
      </c>
      <c r="AE2388">
        <v>1.0499999999979E-2</v>
      </c>
      <c r="AF2388">
        <v>3.1834541630679898E-2</v>
      </c>
      <c r="AG2388">
        <v>-9.1421999999999795E-2</v>
      </c>
      <c r="AH2388">
        <v>0.61219006319364999</v>
      </c>
      <c r="AI2388">
        <v>98.482259665455302</v>
      </c>
      <c r="AJ2388">
        <v>87.023239082598295</v>
      </c>
      <c r="AK2388">
        <v>0.61979681638249795</v>
      </c>
    </row>
    <row r="2389" spans="1:37" x14ac:dyDescent="0.2">
      <c r="A2389" t="str">
        <f>"20200111155845176"</f>
        <v>20200111155845176</v>
      </c>
      <c r="B2389" t="str">
        <f>"1578729525174100"</f>
        <v>1578729525174100</v>
      </c>
      <c r="C2389" t="s">
        <v>37</v>
      </c>
      <c r="D2389">
        <v>5.3544669999999996</v>
      </c>
      <c r="E2389">
        <v>0.56803239999999999</v>
      </c>
      <c r="F2389" t="s">
        <v>38</v>
      </c>
      <c r="G2389">
        <v>-470.7894</v>
      </c>
      <c r="H2389">
        <v>1.0168759999999999</v>
      </c>
      <c r="I2389">
        <v>285.87810000000002</v>
      </c>
      <c r="J2389">
        <v>-470.18599999999998</v>
      </c>
      <c r="K2389">
        <v>1.1064829999999899</v>
      </c>
      <c r="L2389">
        <v>285.86759999999998</v>
      </c>
      <c r="M2389">
        <v>-0.99916299999999902</v>
      </c>
      <c r="N2389">
        <v>0</v>
      </c>
      <c r="O2389">
        <v>-3.8531370000000002E-2</v>
      </c>
      <c r="P2389">
        <v>-0.99051389999999995</v>
      </c>
      <c r="Q2389">
        <v>-1.0376019999999899E-3</v>
      </c>
      <c r="R2389">
        <v>-0.1374099</v>
      </c>
      <c r="S2389">
        <v>-3.0280459999999998</v>
      </c>
      <c r="T2389">
        <v>-0.3299204</v>
      </c>
      <c r="U2389">
        <v>-4.5471189999999996E-3</v>
      </c>
      <c r="V2389">
        <v>-9.9199060000000006E-2</v>
      </c>
      <c r="W2389">
        <v>1.2155060000000001E-2</v>
      </c>
      <c r="X2389">
        <v>0.99499340000000003</v>
      </c>
      <c r="Y2389">
        <v>3.6589910000000003E-2</v>
      </c>
      <c r="Z2389">
        <v>6.1728209999999898E-3</v>
      </c>
      <c r="AA2389">
        <v>0.99931130000000001</v>
      </c>
      <c r="AB2389">
        <v>22</v>
      </c>
      <c r="AC2389">
        <v>-0.60340000000002103</v>
      </c>
      <c r="AD2389">
        <v>-8.9606999999999701E-2</v>
      </c>
      <c r="AE2389">
        <v>1.0500000000035901E-2</v>
      </c>
      <c r="AF2389">
        <v>3.3016324978087097E-2</v>
      </c>
      <c r="AG2389">
        <v>-8.9606999999999701E-2</v>
      </c>
      <c r="AH2389">
        <v>0.58954963800439197</v>
      </c>
      <c r="AI2389">
        <v>98.629053818168103</v>
      </c>
      <c r="AJ2389">
        <v>86.794634362339593</v>
      </c>
      <c r="AK2389">
        <v>0.59723384685997905</v>
      </c>
    </row>
    <row r="2390" spans="1:37" x14ac:dyDescent="0.2">
      <c r="A2390" t="str">
        <f>"20200111155845199"</f>
        <v>20200111155845199</v>
      </c>
      <c r="B2390" t="str">
        <f>"1578729525193620"</f>
        <v>1578729525193620</v>
      </c>
      <c r="C2390" t="s">
        <v>37</v>
      </c>
      <c r="D2390">
        <v>5.2803659999999999</v>
      </c>
      <c r="E2390">
        <v>0.56736339999999996</v>
      </c>
      <c r="F2390" t="s">
        <v>38</v>
      </c>
      <c r="G2390">
        <v>-470.9966</v>
      </c>
      <c r="H2390">
        <v>1.037952</v>
      </c>
      <c r="I2390">
        <v>285.90159999999997</v>
      </c>
      <c r="J2390">
        <v>-470.41370000000001</v>
      </c>
      <c r="K2390">
        <v>1.1064559999999899</v>
      </c>
      <c r="L2390">
        <v>285.85469999999998</v>
      </c>
      <c r="M2390">
        <v>-0.99902329999999995</v>
      </c>
      <c r="N2390">
        <v>0</v>
      </c>
      <c r="O2390">
        <v>-4.1996840000000001E-2</v>
      </c>
      <c r="P2390">
        <v>-0.99044500000000002</v>
      </c>
      <c r="Q2390">
        <v>-3.3218359999999999E-3</v>
      </c>
      <c r="R2390">
        <v>-0.13786809999999999</v>
      </c>
      <c r="S2390">
        <v>-3.0460820000000002</v>
      </c>
      <c r="T2390">
        <v>-0.25786529999999902</v>
      </c>
      <c r="U2390">
        <v>0.12725829999999999</v>
      </c>
      <c r="V2390">
        <v>-9.6196309999999993E-2</v>
      </c>
      <c r="W2390">
        <v>9.8926050000000005E-3</v>
      </c>
      <c r="X2390">
        <v>0.99531320000000001</v>
      </c>
      <c r="Y2390">
        <v>8.3221420000000004E-2</v>
      </c>
      <c r="Z2390">
        <v>7.0624049999999999E-3</v>
      </c>
      <c r="AA2390">
        <v>0.996506</v>
      </c>
      <c r="AB2390">
        <v>22</v>
      </c>
      <c r="AC2390">
        <v>-0.58289999999999498</v>
      </c>
      <c r="AD2390">
        <v>-6.8503999999999898E-2</v>
      </c>
      <c r="AE2390">
        <v>4.6899999999993697E-2</v>
      </c>
      <c r="AF2390">
        <v>7.0375141764692298E-2</v>
      </c>
      <c r="AG2390">
        <v>-6.8503999999999898E-2</v>
      </c>
      <c r="AH2390">
        <v>0.57255871533576996</v>
      </c>
      <c r="AI2390">
        <v>96.772256069133306</v>
      </c>
      <c r="AJ2390">
        <v>82.992727482864098</v>
      </c>
      <c r="AK2390">
        <v>0.58092077007225995</v>
      </c>
    </row>
    <row r="2391" spans="1:37" x14ac:dyDescent="0.2">
      <c r="A2391" t="str">
        <f>"20200111155845220"</f>
        <v>20200111155845220</v>
      </c>
      <c r="B2391" t="str">
        <f>"1578729525214116"</f>
        <v>1578729525214116</v>
      </c>
      <c r="C2391" t="s">
        <v>37</v>
      </c>
      <c r="D2391">
        <v>5.2697370000000001</v>
      </c>
      <c r="E2391">
        <v>0.56883450000000002</v>
      </c>
      <c r="F2391" t="s">
        <v>38</v>
      </c>
      <c r="G2391">
        <v>-471.19170000000003</v>
      </c>
      <c r="H2391">
        <v>1.03752</v>
      </c>
      <c r="I2391">
        <v>285.885999999999</v>
      </c>
      <c r="J2391">
        <v>-470.62199999999899</v>
      </c>
      <c r="K2391">
        <v>1.1064290000000001</v>
      </c>
      <c r="L2391">
        <v>285.84219999999999</v>
      </c>
      <c r="M2391">
        <v>-0.99888589999999999</v>
      </c>
      <c r="N2391">
        <v>0</v>
      </c>
      <c r="O2391">
        <v>-4.5146060000000002E-2</v>
      </c>
      <c r="P2391">
        <v>-0.99014619999999998</v>
      </c>
      <c r="Q2391">
        <v>-6.4718060000000001E-3</v>
      </c>
      <c r="R2391">
        <v>-0.1398884</v>
      </c>
      <c r="S2391">
        <v>-3.0449519999999999</v>
      </c>
      <c r="T2391">
        <v>-0.27025939999999998</v>
      </c>
      <c r="U2391">
        <v>0.121521</v>
      </c>
      <c r="V2391">
        <v>-9.5073920000000006E-2</v>
      </c>
      <c r="W2391">
        <v>6.7522650000000004E-3</v>
      </c>
      <c r="X2391">
        <v>0.99544730000000003</v>
      </c>
      <c r="Y2391">
        <v>8.4442229999999993E-2</v>
      </c>
      <c r="Z2391">
        <v>7.7363889999999998E-3</v>
      </c>
      <c r="AA2391">
        <v>0.99639829999999996</v>
      </c>
      <c r="AB2391">
        <v>22</v>
      </c>
      <c r="AC2391">
        <v>-0.56970000000006804</v>
      </c>
      <c r="AD2391">
        <v>-6.8909000000000095E-2</v>
      </c>
      <c r="AE2391">
        <v>4.3799999999975997E-2</v>
      </c>
      <c r="AF2391">
        <v>6.8481440596844495E-2</v>
      </c>
      <c r="AG2391">
        <v>-6.8909000000000095E-2</v>
      </c>
      <c r="AH2391">
        <v>0.55901088321929104</v>
      </c>
      <c r="AI2391">
        <v>96.975742082561794</v>
      </c>
      <c r="AJ2391">
        <v>83.015799245599197</v>
      </c>
      <c r="AK2391">
        <v>0.56738992372514896</v>
      </c>
    </row>
    <row r="2392" spans="1:37" x14ac:dyDescent="0.2">
      <c r="A2392" t="str">
        <f>"20200111155845243"</f>
        <v>20200111155845243</v>
      </c>
      <c r="B2392" t="str">
        <f>"1578729525233636"</f>
        <v>1578729525233636</v>
      </c>
      <c r="C2392" t="s">
        <v>37</v>
      </c>
      <c r="D2392">
        <v>5.280443</v>
      </c>
      <c r="E2392">
        <v>0.56952829999999999</v>
      </c>
      <c r="F2392" t="s">
        <v>38</v>
      </c>
      <c r="G2392">
        <v>-471.38720000000001</v>
      </c>
      <c r="H2392">
        <v>1.037925</v>
      </c>
      <c r="I2392">
        <v>285.87450000000001</v>
      </c>
      <c r="J2392">
        <v>-470.84129999999999</v>
      </c>
      <c r="K2392">
        <v>1.106392</v>
      </c>
      <c r="L2392">
        <v>285.82839999999999</v>
      </c>
      <c r="M2392">
        <v>-0.99873210000000001</v>
      </c>
      <c r="N2392">
        <v>0</v>
      </c>
      <c r="O2392">
        <v>-4.8431120000000001E-2</v>
      </c>
      <c r="P2392">
        <v>-0.98949359999999997</v>
      </c>
      <c r="Q2392">
        <v>-8.9980479999999998E-3</v>
      </c>
      <c r="R2392">
        <v>-0.14429690000000001</v>
      </c>
      <c r="S2392">
        <v>-3.0461119999999999</v>
      </c>
      <c r="T2392">
        <v>-0.27292640000000001</v>
      </c>
      <c r="U2392">
        <v>0.12774659999999999</v>
      </c>
      <c r="V2392">
        <v>-9.6221989999999993E-2</v>
      </c>
      <c r="W2392">
        <v>4.2222049999999997E-3</v>
      </c>
      <c r="X2392">
        <v>0.99535099999999999</v>
      </c>
      <c r="Y2392">
        <v>8.9692209999999994E-2</v>
      </c>
      <c r="Z2392">
        <v>8.3373619999999992E-3</v>
      </c>
      <c r="AA2392">
        <v>0.9959346</v>
      </c>
      <c r="AB2392">
        <v>22</v>
      </c>
      <c r="AC2392">
        <v>-0.54590000000001704</v>
      </c>
      <c r="AD2392">
        <v>-6.8467E-2</v>
      </c>
      <c r="AE2392">
        <v>4.6100000000023997E-2</v>
      </c>
      <c r="AF2392">
        <v>7.1372180258531301E-2</v>
      </c>
      <c r="AG2392">
        <v>-6.8467E-2</v>
      </c>
      <c r="AH2392">
        <v>0.53467535622886297</v>
      </c>
      <c r="AI2392">
        <v>97.233731947311696</v>
      </c>
      <c r="AJ2392">
        <v>82.396709198880103</v>
      </c>
      <c r="AK2392">
        <v>0.543745762983325</v>
      </c>
    </row>
    <row r="2393" spans="1:37" x14ac:dyDescent="0.2">
      <c r="A2393" t="str">
        <f>"20200111155845266"</f>
        <v>20200111155845266</v>
      </c>
      <c r="B2393" t="str">
        <f>"1578729525263892"</f>
        <v>1578729525263892</v>
      </c>
      <c r="C2393" t="s">
        <v>37</v>
      </c>
      <c r="D2393">
        <v>5.3248059999999997</v>
      </c>
      <c r="E2393">
        <v>0.56897059999999999</v>
      </c>
      <c r="F2393" t="s">
        <v>38</v>
      </c>
      <c r="G2393">
        <v>-471.58249999999998</v>
      </c>
      <c r="H2393">
        <v>1.039188</v>
      </c>
      <c r="I2393">
        <v>285.85759999999999</v>
      </c>
      <c r="J2393">
        <v>-471.06110000000001</v>
      </c>
      <c r="K2393">
        <v>1.106355</v>
      </c>
      <c r="L2393">
        <v>285.81389999999999</v>
      </c>
      <c r="M2393">
        <v>-0.99856880000000003</v>
      </c>
      <c r="N2393">
        <v>0</v>
      </c>
      <c r="O2393">
        <v>-5.1686929999999999E-2</v>
      </c>
      <c r="P2393">
        <v>-0.98857349999999999</v>
      </c>
      <c r="Q2393">
        <v>-1.076189E-2</v>
      </c>
      <c r="R2393">
        <v>-0.15035589999999999</v>
      </c>
      <c r="S2393">
        <v>-3.0468139999999999</v>
      </c>
      <c r="T2393">
        <v>-0.27643319999999999</v>
      </c>
      <c r="U2393">
        <v>0.11956789999999901</v>
      </c>
      <c r="V2393">
        <v>-9.9066589999999996E-2</v>
      </c>
      <c r="W2393">
        <v>2.4464740000000001E-3</v>
      </c>
      <c r="X2393">
        <v>0.99507780000000001</v>
      </c>
      <c r="Y2393">
        <v>9.0230820000000003E-2</v>
      </c>
      <c r="Z2393">
        <v>8.7614489999999993E-3</v>
      </c>
      <c r="AA2393">
        <v>0.9958823</v>
      </c>
      <c r="AB2393">
        <v>22</v>
      </c>
      <c r="AC2393">
        <v>-0.521399999999971</v>
      </c>
      <c r="AD2393">
        <v>-6.7166999999999893E-2</v>
      </c>
      <c r="AE2393">
        <v>4.3700000000001099E-2</v>
      </c>
      <c r="AF2393">
        <v>6.9449235569314996E-2</v>
      </c>
      <c r="AG2393">
        <v>-6.7166999999999893E-2</v>
      </c>
      <c r="AH2393">
        <v>0.51003908703520995</v>
      </c>
      <c r="AI2393">
        <v>97.4342826039681</v>
      </c>
      <c r="AJ2393">
        <v>82.246033644437006</v>
      </c>
      <c r="AK2393">
        <v>0.51910930690353896</v>
      </c>
    </row>
    <row r="2394" spans="1:37" x14ac:dyDescent="0.2">
      <c r="A2394" t="str">
        <f>"20200111155845288"</f>
        <v>20200111155845288</v>
      </c>
      <c r="B2394" t="str">
        <f>"1578729525283415"</f>
        <v>1578729525283415</v>
      </c>
      <c r="C2394" t="s">
        <v>37</v>
      </c>
      <c r="D2394">
        <v>5.418291</v>
      </c>
      <c r="E2394">
        <v>0.56833769999999995</v>
      </c>
      <c r="F2394" t="s">
        <v>38</v>
      </c>
      <c r="G2394">
        <v>-471.96530000000001</v>
      </c>
      <c r="H2394">
        <v>1.025285</v>
      </c>
      <c r="I2394">
        <v>285.84230000000002</v>
      </c>
      <c r="J2394">
        <v>-471.27679999999998</v>
      </c>
      <c r="K2394">
        <v>1.106306</v>
      </c>
      <c r="L2394">
        <v>285.79899999999998</v>
      </c>
      <c r="M2394">
        <v>-0.99840110000000004</v>
      </c>
      <c r="N2394">
        <v>0</v>
      </c>
      <c r="O2394">
        <v>-5.4832569999999997E-2</v>
      </c>
      <c r="P2394">
        <v>-0.98762129999999904</v>
      </c>
      <c r="Q2394">
        <v>-1.129145E-2</v>
      </c>
      <c r="R2394">
        <v>-0.15645000000000001</v>
      </c>
      <c r="S2394">
        <v>-3.0462950000000002</v>
      </c>
      <c r="T2394">
        <v>-0.27300540000000001</v>
      </c>
      <c r="U2394">
        <v>9.5886230000000003E-2</v>
      </c>
      <c r="V2394">
        <v>-0.1020655</v>
      </c>
      <c r="W2394">
        <v>1.905742E-3</v>
      </c>
      <c r="X2394">
        <v>0.99477579999999999</v>
      </c>
      <c r="Y2394">
        <v>8.5661409999999993E-2</v>
      </c>
      <c r="Z2394">
        <v>8.7324849999999999E-3</v>
      </c>
      <c r="AA2394">
        <v>0.996286</v>
      </c>
      <c r="AB2394">
        <v>22</v>
      </c>
      <c r="AC2394">
        <v>-0.68850000000003297</v>
      </c>
      <c r="AD2394">
        <v>-8.1020999999999996E-2</v>
      </c>
      <c r="AE2394">
        <v>4.3299999999987897E-2</v>
      </c>
      <c r="AF2394">
        <v>7.9888690338915394E-2</v>
      </c>
      <c r="AG2394">
        <v>-8.1020999999999996E-2</v>
      </c>
      <c r="AH2394">
        <v>0.67576834682283204</v>
      </c>
      <c r="AI2394">
        <v>96.789985235368903</v>
      </c>
      <c r="AJ2394">
        <v>83.257840206720999</v>
      </c>
      <c r="AK2394">
        <v>0.68528057308866597</v>
      </c>
    </row>
    <row r="2395" spans="1:37" x14ac:dyDescent="0.2">
      <c r="A2395" t="str">
        <f>"20200111155845309"</f>
        <v>20200111155845309</v>
      </c>
      <c r="B2395" t="str">
        <f>"1578729525303911"</f>
        <v>1578729525303911</v>
      </c>
      <c r="C2395" t="s">
        <v>37</v>
      </c>
      <c r="D2395">
        <v>5.3827119999999997</v>
      </c>
      <c r="E2395">
        <v>0.56725499999999995</v>
      </c>
      <c r="F2395" t="s">
        <v>38</v>
      </c>
      <c r="G2395">
        <v>-472.1592</v>
      </c>
      <c r="H2395">
        <v>1.025533</v>
      </c>
      <c r="I2395">
        <v>285.81990000000002</v>
      </c>
      <c r="J2395">
        <v>-471.49130000000002</v>
      </c>
      <c r="K2395">
        <v>1.1062609999999999</v>
      </c>
      <c r="L2395">
        <v>285.7835</v>
      </c>
      <c r="M2395">
        <v>-0.99822699999999998</v>
      </c>
      <c r="N2395">
        <v>0</v>
      </c>
      <c r="O2395">
        <v>-5.7918379999999998E-2</v>
      </c>
      <c r="P2395">
        <v>-0.98684229999999995</v>
      </c>
      <c r="Q2395">
        <v>-1.1539779999999999E-2</v>
      </c>
      <c r="R2395">
        <v>-0.161273</v>
      </c>
      <c r="S2395">
        <v>-3.045776</v>
      </c>
      <c r="T2395">
        <v>-0.27905259999999998</v>
      </c>
      <c r="U2395">
        <v>7.1655269999999993E-2</v>
      </c>
      <c r="V2395">
        <v>-0.10384939999999999</v>
      </c>
      <c r="W2395">
        <v>1.6534950000000001E-3</v>
      </c>
      <c r="X2395">
        <v>0.99459169999999997</v>
      </c>
      <c r="Y2395">
        <v>8.0807199999999996E-2</v>
      </c>
      <c r="Z2395">
        <v>8.9873209999999995E-3</v>
      </c>
      <c r="AA2395">
        <v>0.9966893</v>
      </c>
      <c r="AB2395">
        <v>22</v>
      </c>
      <c r="AC2395">
        <v>-0.66789999999997396</v>
      </c>
      <c r="AD2395">
        <v>-8.0728000000000105E-2</v>
      </c>
      <c r="AE2395">
        <v>3.6400000000014601E-2</v>
      </c>
      <c r="AF2395">
        <v>7.39490782347553E-2</v>
      </c>
      <c r="AG2395">
        <v>-8.0728000000000105E-2</v>
      </c>
      <c r="AH2395">
        <v>0.65512764446515903</v>
      </c>
      <c r="AI2395">
        <v>96.980959316675893</v>
      </c>
      <c r="AJ2395">
        <v>83.559863316442502</v>
      </c>
      <c r="AK2395">
        <v>0.66421209466422504</v>
      </c>
    </row>
    <row r="2396" spans="1:37" x14ac:dyDescent="0.2">
      <c r="A2396" t="str">
        <f>"20200111155845333"</f>
        <v>20200111155845333</v>
      </c>
      <c r="B2396" t="str">
        <f>"1578729525323431"</f>
        <v>1578729525323431</v>
      </c>
      <c r="C2396" t="s">
        <v>37</v>
      </c>
      <c r="D2396">
        <v>5.4206940000000001</v>
      </c>
      <c r="E2396">
        <v>0.56638259999999996</v>
      </c>
      <c r="F2396" t="s">
        <v>38</v>
      </c>
      <c r="G2396">
        <v>-472.35239999999999</v>
      </c>
      <c r="H2396">
        <v>1.025239</v>
      </c>
      <c r="I2396">
        <v>285.79750000000001</v>
      </c>
      <c r="J2396">
        <v>-471.7097</v>
      </c>
      <c r="K2396">
        <v>1.106225</v>
      </c>
      <c r="L2396">
        <v>285.7672</v>
      </c>
      <c r="M2396">
        <v>-0.99804280000000001</v>
      </c>
      <c r="N2396">
        <v>0</v>
      </c>
      <c r="O2396">
        <v>-6.1010429999999997E-2</v>
      </c>
      <c r="P2396">
        <v>-0.98597990000000002</v>
      </c>
      <c r="Q2396">
        <v>-1.240581E-2</v>
      </c>
      <c r="R2396">
        <v>-0.166403</v>
      </c>
      <c r="S2396">
        <v>-3.044495</v>
      </c>
      <c r="T2396">
        <v>-0.28695019999999999</v>
      </c>
      <c r="U2396">
        <v>4.8278809999999998E-2</v>
      </c>
      <c r="V2396">
        <v>-0.105936999999999</v>
      </c>
      <c r="W2396">
        <v>7.8088449999999998E-4</v>
      </c>
      <c r="X2396">
        <v>0.99437249999999999</v>
      </c>
      <c r="Y2396">
        <v>7.6226719999999998E-2</v>
      </c>
      <c r="Z2396">
        <v>9.3199440000000001E-3</v>
      </c>
      <c r="AA2396">
        <v>0.99704689999999996</v>
      </c>
      <c r="AB2396">
        <v>22</v>
      </c>
      <c r="AC2396">
        <v>-0.64269999999998995</v>
      </c>
      <c r="AD2396">
        <v>-8.0986000000000002E-2</v>
      </c>
      <c r="AE2396">
        <v>3.0300000000010999E-2</v>
      </c>
      <c r="AF2396">
        <v>6.8375364862205606E-2</v>
      </c>
      <c r="AG2396">
        <v>-8.0986000000000002E-2</v>
      </c>
      <c r="AH2396">
        <v>0.62967769470399904</v>
      </c>
      <c r="AI2396">
        <v>97.286494325466805</v>
      </c>
      <c r="AJ2396">
        <v>83.802655054709504</v>
      </c>
      <c r="AK2396">
        <v>0.63853576401309198</v>
      </c>
    </row>
    <row r="2397" spans="1:37" x14ac:dyDescent="0.2">
      <c r="A2397" t="str">
        <f>"20200111155845347"</f>
        <v>20200111155845347</v>
      </c>
      <c r="B2397" t="str">
        <f>"1578729525343927"</f>
        <v>1578729525343927</v>
      </c>
      <c r="C2397" t="s">
        <v>37</v>
      </c>
      <c r="D2397">
        <v>5.3635570000000001</v>
      </c>
      <c r="E2397">
        <v>0.56578680000000003</v>
      </c>
      <c r="F2397" t="s">
        <v>38</v>
      </c>
      <c r="G2397">
        <v>-472.5453</v>
      </c>
      <c r="H2397">
        <v>1.0249779999999999</v>
      </c>
      <c r="I2397">
        <v>285.77440000000001</v>
      </c>
      <c r="J2397">
        <v>-471.85559999999998</v>
      </c>
      <c r="K2397">
        <v>1.106198</v>
      </c>
      <c r="L2397">
        <v>285.7559</v>
      </c>
      <c r="M2397">
        <v>-0.99791600000000003</v>
      </c>
      <c r="N2397">
        <v>0</v>
      </c>
      <c r="O2397">
        <v>-6.3049789999999994E-2</v>
      </c>
      <c r="P2397">
        <v>-0.9855254</v>
      </c>
      <c r="Q2397">
        <v>-1.263836E-2</v>
      </c>
      <c r="R2397">
        <v>-0.16905629999999999</v>
      </c>
      <c r="S2397">
        <v>-3.0431520000000001</v>
      </c>
      <c r="T2397">
        <v>-0.29636309999999999</v>
      </c>
      <c r="U2397">
        <v>2.4932860000000001E-2</v>
      </c>
      <c r="V2397">
        <v>-0.10657989999999901</v>
      </c>
      <c r="W2397">
        <v>5.4818789999999998E-4</v>
      </c>
      <c r="X2397">
        <v>0.99430399999999997</v>
      </c>
      <c r="Y2397">
        <v>7.0598099999999997E-2</v>
      </c>
      <c r="Z2397">
        <v>9.5530419999999994E-3</v>
      </c>
      <c r="AA2397">
        <v>0.99745910000000004</v>
      </c>
      <c r="AB2397">
        <v>22</v>
      </c>
      <c r="AC2397">
        <v>-0.68970000000001597</v>
      </c>
      <c r="AD2397">
        <v>-8.1219999999999806E-2</v>
      </c>
      <c r="AE2397">
        <v>1.8500000000017201E-2</v>
      </c>
      <c r="AF2397">
        <v>6.1105930232324503E-2</v>
      </c>
      <c r="AG2397">
        <v>-8.1219999999999806E-2</v>
      </c>
      <c r="AH2397">
        <v>0.67776861363882801</v>
      </c>
      <c r="AI2397">
        <v>96.806075466656395</v>
      </c>
      <c r="AJ2397">
        <v>84.848283449852502</v>
      </c>
      <c r="AK2397">
        <v>0.68534729644425996</v>
      </c>
    </row>
    <row r="2398" spans="1:37" x14ac:dyDescent="0.2">
      <c r="A2398" t="str">
        <f>"20200111155845366"</f>
        <v>20200111155845366</v>
      </c>
      <c r="B2398" t="str">
        <f>"1578729525363447"</f>
        <v>1578729525363447</v>
      </c>
      <c r="C2398" t="s">
        <v>37</v>
      </c>
      <c r="D2398">
        <v>5.3299830000000004</v>
      </c>
      <c r="E2398">
        <v>0.56559930000000003</v>
      </c>
      <c r="F2398" t="s">
        <v>38</v>
      </c>
      <c r="G2398">
        <v>-472.73579999999998</v>
      </c>
      <c r="H2398">
        <v>1.019164</v>
      </c>
      <c r="I2398">
        <v>285.7595</v>
      </c>
      <c r="J2398">
        <v>-472.03109999999998</v>
      </c>
      <c r="K2398">
        <v>1.1061700000000001</v>
      </c>
      <c r="L2398">
        <v>285.74209999999999</v>
      </c>
      <c r="M2398">
        <v>-0.99776030000000004</v>
      </c>
      <c r="N2398">
        <v>0</v>
      </c>
      <c r="O2398">
        <v>-6.5470180000000003E-2</v>
      </c>
      <c r="P2398">
        <v>-0.98507489999999998</v>
      </c>
      <c r="Q2398">
        <v>-1.3169760000000001E-2</v>
      </c>
      <c r="R2398">
        <v>-0.1716221</v>
      </c>
      <c r="S2398">
        <v>-3.0422060000000002</v>
      </c>
      <c r="T2398">
        <v>-0.3010409</v>
      </c>
      <c r="U2398">
        <v>1.1749269999999999E-2</v>
      </c>
      <c r="V2398">
        <v>-0.1067558</v>
      </c>
      <c r="W2398" s="1">
        <v>1.9542550000000001E-5</v>
      </c>
      <c r="X2398">
        <v>0.99428530000000004</v>
      </c>
      <c r="Y2398">
        <v>6.8674739999999998E-2</v>
      </c>
      <c r="Z2398">
        <v>9.8496750000000004E-3</v>
      </c>
      <c r="AA2398">
        <v>0.99759050000000005</v>
      </c>
      <c r="AB2398">
        <v>22</v>
      </c>
      <c r="AC2398">
        <v>-0.70470000000000199</v>
      </c>
      <c r="AD2398">
        <v>-8.7006000000000097E-2</v>
      </c>
      <c r="AE2398">
        <v>1.7400000000009099E-2</v>
      </c>
      <c r="AF2398">
        <v>6.2550910763586098E-2</v>
      </c>
      <c r="AG2398">
        <v>-8.7006000000000097E-2</v>
      </c>
      <c r="AH2398">
        <v>0.69151371958637997</v>
      </c>
      <c r="AI2398">
        <v>97.142393066965099</v>
      </c>
      <c r="AJ2398">
        <v>84.831373319513503</v>
      </c>
      <c r="AK2398">
        <v>0.69976702183622896</v>
      </c>
    </row>
    <row r="2399" spans="1:37" x14ac:dyDescent="0.2">
      <c r="A2399" t="str">
        <f>"20200111155845381"</f>
        <v>20200111155845381</v>
      </c>
      <c r="B2399" t="str">
        <f>"1578729525374184"</f>
        <v>1578729525374184</v>
      </c>
      <c r="C2399" t="s">
        <v>37</v>
      </c>
      <c r="D2399">
        <v>5.2921670000000001</v>
      </c>
      <c r="E2399">
        <v>0.56568260000000004</v>
      </c>
      <c r="F2399" t="s">
        <v>38</v>
      </c>
      <c r="G2399">
        <v>-472.92779999999999</v>
      </c>
      <c r="H2399">
        <v>1.017153</v>
      </c>
      <c r="I2399">
        <v>285.74310000000003</v>
      </c>
      <c r="J2399">
        <v>-472.17</v>
      </c>
      <c r="K2399">
        <v>1.1061479999999999</v>
      </c>
      <c r="L2399">
        <v>285.73070000000001</v>
      </c>
      <c r="M2399">
        <v>-0.99763429999999997</v>
      </c>
      <c r="N2399">
        <v>0</v>
      </c>
      <c r="O2399">
        <v>-6.736412E-2</v>
      </c>
      <c r="P2399">
        <v>-0.98483739999999997</v>
      </c>
      <c r="Q2399">
        <v>-1.324317E-2</v>
      </c>
      <c r="R2399">
        <v>-0.172974499999999</v>
      </c>
      <c r="S2399">
        <v>-3.041687</v>
      </c>
      <c r="T2399">
        <v>-0.30268649999999903</v>
      </c>
      <c r="U2399">
        <v>1.77002E-3</v>
      </c>
      <c r="V2399">
        <v>-0.1062333</v>
      </c>
      <c r="W2399" s="1">
        <v>-4.8619489999999997E-5</v>
      </c>
      <c r="X2399">
        <v>0.99434129999999998</v>
      </c>
      <c r="Y2399">
        <v>6.7286319999999997E-2</v>
      </c>
      <c r="Z2399">
        <v>1.0023590000000001E-2</v>
      </c>
      <c r="AA2399">
        <v>0.99768330000000005</v>
      </c>
      <c r="AB2399">
        <v>22</v>
      </c>
      <c r="AC2399">
        <v>-0.75779999999997405</v>
      </c>
      <c r="AD2399">
        <v>-8.8994999999999894E-2</v>
      </c>
      <c r="AE2399">
        <v>1.24000000000137E-2</v>
      </c>
      <c r="AF2399">
        <v>6.2562532776078997E-2</v>
      </c>
      <c r="AG2399">
        <v>-8.8994999999999894E-2</v>
      </c>
      <c r="AH2399">
        <v>0.74497114004599196</v>
      </c>
      <c r="AI2399">
        <v>96.788655030926293</v>
      </c>
      <c r="AJ2399">
        <v>85.199575502951802</v>
      </c>
      <c r="AK2399">
        <v>0.75287195460701295</v>
      </c>
    </row>
    <row r="2400" spans="1:37" x14ac:dyDescent="0.2">
      <c r="A2400" t="str">
        <f>"20200111155845400"</f>
        <v>20200111155845400</v>
      </c>
      <c r="B2400" t="str">
        <f>"1578729525393702"</f>
        <v>1578729525393702</v>
      </c>
      <c r="C2400" t="s">
        <v>37</v>
      </c>
      <c r="D2400">
        <v>5.2963329999999997</v>
      </c>
      <c r="E2400">
        <v>0.5658299</v>
      </c>
      <c r="F2400" t="s">
        <v>38</v>
      </c>
      <c r="G2400">
        <v>-472.93360000000001</v>
      </c>
      <c r="H2400">
        <v>1.030397</v>
      </c>
      <c r="I2400">
        <v>285.73070000000001</v>
      </c>
      <c r="J2400">
        <v>-472.36340000000001</v>
      </c>
      <c r="K2400">
        <v>1.1061239999999899</v>
      </c>
      <c r="L2400">
        <v>285.71460000000002</v>
      </c>
      <c r="M2400">
        <v>-0.99745430000000002</v>
      </c>
      <c r="N2400">
        <v>0</v>
      </c>
      <c r="O2400">
        <v>-6.9978670000000007E-2</v>
      </c>
      <c r="P2400">
        <v>-0.98458239999999997</v>
      </c>
      <c r="Q2400">
        <v>-1.403538E-2</v>
      </c>
      <c r="R2400">
        <v>-0.17435919999999999</v>
      </c>
      <c r="S2400">
        <v>-3.0417179999999999</v>
      </c>
      <c r="T2400">
        <v>-0.30260500000000001</v>
      </c>
      <c r="U2400">
        <v>-1.953125E-3</v>
      </c>
      <c r="V2400">
        <v>-0.105022699999999</v>
      </c>
      <c r="W2400">
        <v>-8.3201450000000001E-4</v>
      </c>
      <c r="X2400">
        <v>0.99446950000000001</v>
      </c>
      <c r="Y2400">
        <v>6.866071E-2</v>
      </c>
      <c r="Z2400">
        <v>1.034796E-2</v>
      </c>
      <c r="AA2400">
        <v>0.99758639999999998</v>
      </c>
      <c r="AB2400">
        <v>22</v>
      </c>
      <c r="AC2400">
        <v>-0.57019999999999904</v>
      </c>
      <c r="AD2400">
        <v>-7.5726999999999794E-2</v>
      </c>
      <c r="AE2400">
        <v>1.60999999999944E-2</v>
      </c>
      <c r="AF2400">
        <v>5.4996853560824399E-2</v>
      </c>
      <c r="AG2400">
        <v>-7.5726999999999794E-2</v>
      </c>
      <c r="AH2400">
        <v>0.55784376332338104</v>
      </c>
      <c r="AI2400">
        <v>97.693766962757707</v>
      </c>
      <c r="AJ2400">
        <v>84.369503119572201</v>
      </c>
      <c r="AK2400">
        <v>0.56564025379156202</v>
      </c>
    </row>
    <row r="2401" spans="1:37" x14ac:dyDescent="0.2">
      <c r="A2401" t="str">
        <f>"20200111155845422"</f>
        <v>20200111155845422</v>
      </c>
      <c r="B2401" t="str">
        <f>"1578729525414200"</f>
        <v>1578729525414200</v>
      </c>
      <c r="C2401" t="s">
        <v>37</v>
      </c>
      <c r="D2401">
        <v>5.2392219999999998</v>
      </c>
      <c r="E2401">
        <v>0.56595260000000003</v>
      </c>
      <c r="F2401" t="s">
        <v>38</v>
      </c>
      <c r="G2401">
        <v>-473.1259</v>
      </c>
      <c r="H2401">
        <v>1.0298419999999999</v>
      </c>
      <c r="I2401">
        <v>285.71359999999999</v>
      </c>
      <c r="J2401">
        <v>-472.56639999999999</v>
      </c>
      <c r="K2401">
        <v>1.106107</v>
      </c>
      <c r="L2401">
        <v>285.69709999999998</v>
      </c>
      <c r="M2401">
        <v>-0.99725929999999996</v>
      </c>
      <c r="N2401">
        <v>0</v>
      </c>
      <c r="O2401">
        <v>-7.2705850000000002E-2</v>
      </c>
      <c r="P2401">
        <v>-0.98445499999999997</v>
      </c>
      <c r="Q2401">
        <v>-1.468298E-2</v>
      </c>
      <c r="R2401">
        <v>-0.17502290000000001</v>
      </c>
      <c r="S2401">
        <v>-3.041687</v>
      </c>
      <c r="T2401">
        <v>-0.30470749999999902</v>
      </c>
      <c r="U2401">
        <v>-5.3100589999999998E-3</v>
      </c>
      <c r="V2401">
        <v>-0.10297199999999999</v>
      </c>
      <c r="W2401">
        <v>-1.4673239999999899E-3</v>
      </c>
      <c r="X2401">
        <v>0.99468310000000004</v>
      </c>
      <c r="Y2401">
        <v>7.0256360000000004E-2</v>
      </c>
      <c r="Z2401">
        <v>1.0771269999999999E-2</v>
      </c>
      <c r="AA2401">
        <v>0.99747079999999999</v>
      </c>
      <c r="AB2401">
        <v>22</v>
      </c>
      <c r="AC2401">
        <v>-0.55950000000001399</v>
      </c>
      <c r="AD2401">
        <v>-7.6264999999999999E-2</v>
      </c>
      <c r="AE2401">
        <v>1.6500000000007699E-2</v>
      </c>
      <c r="AF2401">
        <v>5.6097665545206198E-2</v>
      </c>
      <c r="AG2401">
        <v>-7.6264999999999999E-2</v>
      </c>
      <c r="AH2401">
        <v>0.54667077914562701</v>
      </c>
      <c r="AI2401">
        <v>97.901003656448694</v>
      </c>
      <c r="AJ2401">
        <v>84.1409923460523</v>
      </c>
      <c r="AK2401">
        <v>0.55480829038173995</v>
      </c>
    </row>
    <row r="2402" spans="1:37" x14ac:dyDescent="0.2">
      <c r="A2402" t="str">
        <f>"20200111155845436"</f>
        <v>20200111155845436</v>
      </c>
      <c r="B2402" t="str">
        <f>"1578729525433723"</f>
        <v>1578729525433723</v>
      </c>
      <c r="C2402" t="s">
        <v>37</v>
      </c>
      <c r="D2402">
        <v>5.2609139999999996</v>
      </c>
      <c r="E2402">
        <v>0.58242859999999996</v>
      </c>
      <c r="F2402" t="s">
        <v>38</v>
      </c>
      <c r="G2402">
        <v>-473.3186</v>
      </c>
      <c r="H2402">
        <v>1.0305799999999901</v>
      </c>
      <c r="I2402">
        <v>285.69580000000002</v>
      </c>
      <c r="J2402">
        <v>-472.70420000000001</v>
      </c>
      <c r="K2402">
        <v>1.1060989999999999</v>
      </c>
      <c r="L2402">
        <v>285.68490000000003</v>
      </c>
      <c r="M2402">
        <v>-0.99712319999999999</v>
      </c>
      <c r="N2402">
        <v>0</v>
      </c>
      <c r="O2402">
        <v>-7.4548420000000004E-2</v>
      </c>
      <c r="P2402">
        <v>-0.98429709999999904</v>
      </c>
      <c r="Q2402">
        <v>-1.488394E-2</v>
      </c>
      <c r="R2402">
        <v>-0.17589160000000001</v>
      </c>
      <c r="S2402">
        <v>-3.041595</v>
      </c>
      <c r="T2402">
        <v>-0.30577309999999902</v>
      </c>
      <c r="U2402">
        <v>-6.6223139999999998E-3</v>
      </c>
      <c r="V2402">
        <v>-0.1020115</v>
      </c>
      <c r="W2402">
        <v>-1.6633079999999901E-3</v>
      </c>
      <c r="X2402">
        <v>0.9947819</v>
      </c>
      <c r="Y2402">
        <v>7.164769E-2</v>
      </c>
      <c r="Z2402">
        <v>1.10632E-2</v>
      </c>
      <c r="AA2402">
        <v>0.99736859999999905</v>
      </c>
      <c r="AB2402">
        <v>22</v>
      </c>
      <c r="AC2402">
        <v>-0.61439999999998895</v>
      </c>
      <c r="AD2402">
        <v>-7.55190000000001E-2</v>
      </c>
      <c r="AE2402">
        <v>1.08999999999923E-2</v>
      </c>
      <c r="AF2402">
        <v>5.5833246675334999E-2</v>
      </c>
      <c r="AG2402">
        <v>-7.55190000000001E-2</v>
      </c>
      <c r="AH2402">
        <v>0.60277349081737797</v>
      </c>
      <c r="AI2402">
        <v>97.111016018877805</v>
      </c>
      <c r="AJ2402">
        <v>84.707950348683397</v>
      </c>
      <c r="AK2402">
        <v>0.61004618843779101</v>
      </c>
    </row>
    <row r="2403" spans="1:37" x14ac:dyDescent="0.2">
      <c r="A2403" t="str">
        <f>"20200111155845455"</f>
        <v>20200111155845455</v>
      </c>
      <c r="B2403" t="str">
        <f>"1578729525443479"</f>
        <v>1578729525443479</v>
      </c>
      <c r="C2403" t="s">
        <v>37</v>
      </c>
      <c r="D2403">
        <v>5.2454689999999999</v>
      </c>
      <c r="E2403">
        <v>0.58283759999999996</v>
      </c>
      <c r="F2403" t="s">
        <v>38</v>
      </c>
      <c r="G2403">
        <v>-473.52420000000001</v>
      </c>
      <c r="H2403">
        <v>1.0482910000000001</v>
      </c>
      <c r="I2403">
        <v>285.71730000000002</v>
      </c>
      <c r="J2403">
        <v>-472.8904</v>
      </c>
      <c r="K2403">
        <v>1.10609</v>
      </c>
      <c r="L2403">
        <v>285.66809999999998</v>
      </c>
      <c r="M2403">
        <v>-0.99693419999999899</v>
      </c>
      <c r="N2403">
        <v>0</v>
      </c>
      <c r="O2403">
        <v>-7.7036969999999996E-2</v>
      </c>
      <c r="P2403">
        <v>-0.98420940000000001</v>
      </c>
      <c r="Q2403">
        <v>-1.452759E-2</v>
      </c>
      <c r="R2403">
        <v>-0.17641129999999999</v>
      </c>
      <c r="S2403">
        <v>-3.0659179999999999</v>
      </c>
      <c r="T2403">
        <v>-0.216755</v>
      </c>
      <c r="U2403">
        <v>0.11959839999999999</v>
      </c>
      <c r="V2403">
        <v>-0.10005509999999999</v>
      </c>
      <c r="W2403">
        <v>-1.2974410000000001E-3</v>
      </c>
      <c r="X2403">
        <v>0.99498109999999995</v>
      </c>
      <c r="Y2403">
        <v>0.1153695</v>
      </c>
      <c r="Z2403">
        <v>9.5076129999999998E-3</v>
      </c>
      <c r="AA2403">
        <v>0.99327710000000002</v>
      </c>
      <c r="AB2403">
        <v>22</v>
      </c>
      <c r="AC2403">
        <v>-0.63380000000000702</v>
      </c>
      <c r="AD2403">
        <v>-5.7798999999999899E-2</v>
      </c>
      <c r="AE2403">
        <v>4.9200000000041599E-2</v>
      </c>
      <c r="AF2403">
        <v>9.7081834788727894E-2</v>
      </c>
      <c r="AG2403">
        <v>-5.7798999999999899E-2</v>
      </c>
      <c r="AH2403">
        <v>0.62297567691662503</v>
      </c>
      <c r="AI2403">
        <v>95.237805154139394</v>
      </c>
      <c r="AJ2403">
        <v>81.142515661569306</v>
      </c>
      <c r="AK2403">
        <v>0.63313845332334096</v>
      </c>
    </row>
    <row r="2404" spans="1:37" x14ac:dyDescent="0.2">
      <c r="A2404" t="str">
        <f>"20200111155845477"</f>
        <v>20200111155845477</v>
      </c>
      <c r="B2404" t="str">
        <f>"1578729525473735"</f>
        <v>1578729525473735</v>
      </c>
      <c r="C2404" t="s">
        <v>37</v>
      </c>
      <c r="D2404">
        <v>5.2979190000000003</v>
      </c>
      <c r="E2404">
        <v>0.58318990000000004</v>
      </c>
      <c r="F2404" t="s">
        <v>38</v>
      </c>
      <c r="G2404">
        <v>-473.71710000000002</v>
      </c>
      <c r="H2404">
        <v>1.04895</v>
      </c>
      <c r="I2404">
        <v>285.7011</v>
      </c>
      <c r="J2404">
        <v>-473.1053</v>
      </c>
      <c r="K2404">
        <v>1.10609</v>
      </c>
      <c r="L2404">
        <v>285.6481</v>
      </c>
      <c r="M2404">
        <v>-0.996708499999999</v>
      </c>
      <c r="N2404">
        <v>0</v>
      </c>
      <c r="O2404">
        <v>-7.9905499999999893E-2</v>
      </c>
      <c r="P2404">
        <v>-0.98404799999999903</v>
      </c>
      <c r="Q2404">
        <v>-1.38331999999999E-2</v>
      </c>
      <c r="R2404">
        <v>-0.17736489999999999</v>
      </c>
      <c r="S2404">
        <v>-3.0667110000000002</v>
      </c>
      <c r="T2404">
        <v>-0.21245939999999999</v>
      </c>
      <c r="U2404">
        <v>0.1212158</v>
      </c>
      <c r="V2404">
        <v>-9.8158170000000003E-2</v>
      </c>
      <c r="W2404">
        <v>-5.9512129999999999E-4</v>
      </c>
      <c r="X2404">
        <v>0.99517069999999996</v>
      </c>
      <c r="Y2404">
        <v>0.1187443</v>
      </c>
      <c r="Z2404">
        <v>9.6320179999999991E-3</v>
      </c>
      <c r="AA2404">
        <v>0.99287809999999899</v>
      </c>
      <c r="AB2404">
        <v>22</v>
      </c>
      <c r="AC2404">
        <v>-0.611800000000016</v>
      </c>
      <c r="AD2404">
        <v>-5.7139999999999899E-2</v>
      </c>
      <c r="AE2404">
        <v>5.2999999999997202E-2</v>
      </c>
      <c r="AF2404">
        <v>0.100848124114353</v>
      </c>
      <c r="AG2404">
        <v>-5.7139999999999899E-2</v>
      </c>
      <c r="AH2404">
        <v>0.60040967026455205</v>
      </c>
      <c r="AI2404">
        <v>95.361711564915893</v>
      </c>
      <c r="AJ2404">
        <v>80.465285431425102</v>
      </c>
      <c r="AK2404">
        <v>0.61149578566378804</v>
      </c>
    </row>
    <row r="2405" spans="1:37" x14ac:dyDescent="0.2">
      <c r="A2405" t="str">
        <f>"20200111155845500"</f>
        <v>20200111155845500</v>
      </c>
      <c r="B2405" t="str">
        <f>"1578729525494231"</f>
        <v>1578729525494231</v>
      </c>
      <c r="C2405" t="s">
        <v>37</v>
      </c>
      <c r="D2405">
        <v>5.2577020000000001</v>
      </c>
      <c r="E2405">
        <v>0.58315530000000004</v>
      </c>
      <c r="F2405" t="s">
        <v>38</v>
      </c>
      <c r="G2405">
        <v>-473.91050000000001</v>
      </c>
      <c r="H2405">
        <v>1.0511629999999901</v>
      </c>
      <c r="I2405">
        <v>285.68009999999998</v>
      </c>
      <c r="J2405">
        <v>-473.32220000000001</v>
      </c>
      <c r="K2405">
        <v>1.1060950000000001</v>
      </c>
      <c r="L2405">
        <v>285.62729999999999</v>
      </c>
      <c r="M2405">
        <v>-0.99647180000000002</v>
      </c>
      <c r="N2405">
        <v>0</v>
      </c>
      <c r="O2405">
        <v>-8.2804849999999999E-2</v>
      </c>
      <c r="P2405">
        <v>-0.98379430000000001</v>
      </c>
      <c r="Q2405">
        <v>-1.2086700000000001E-2</v>
      </c>
      <c r="R2405">
        <v>-0.17889340000000001</v>
      </c>
      <c r="S2405">
        <v>-3.0674739999999998</v>
      </c>
      <c r="T2405">
        <v>-0.20945229999999901</v>
      </c>
      <c r="U2405">
        <v>0.12091059999999999</v>
      </c>
      <c r="V2405">
        <v>-9.6813679999999999E-2</v>
      </c>
      <c r="W2405">
        <v>1.155678E-3</v>
      </c>
      <c r="X2405">
        <v>0.99530180000000001</v>
      </c>
      <c r="Y2405">
        <v>0.12152439999999901</v>
      </c>
      <c r="Z2405">
        <v>9.7857810000000003E-3</v>
      </c>
      <c r="AA2405">
        <v>0.99254019999999998</v>
      </c>
      <c r="AB2405">
        <v>22</v>
      </c>
      <c r="AC2405">
        <v>-0.58830000000000304</v>
      </c>
      <c r="AD2405">
        <v>-5.4932000000000203E-2</v>
      </c>
      <c r="AE2405">
        <v>5.2799999999990598E-2</v>
      </c>
      <c r="AF2405">
        <v>0.100468338821012</v>
      </c>
      <c r="AG2405">
        <v>-5.4932000000000203E-2</v>
      </c>
      <c r="AH2405">
        <v>0.57691697551320298</v>
      </c>
      <c r="AI2405">
        <v>95.358930811915798</v>
      </c>
      <c r="AJ2405">
        <v>80.121184475786706</v>
      </c>
      <c r="AK2405">
        <v>0.58817056060700301</v>
      </c>
    </row>
    <row r="2406" spans="1:37" x14ac:dyDescent="0.2">
      <c r="A2406" t="str">
        <f>"20200111155845514"</f>
        <v>20200111155845514</v>
      </c>
      <c r="B2406" t="str">
        <f>"1578729525503992"</f>
        <v>1578729525503992</v>
      </c>
      <c r="C2406" t="s">
        <v>37</v>
      </c>
      <c r="D2406">
        <v>5.2810110000000003</v>
      </c>
      <c r="E2406">
        <v>0.58312749999999902</v>
      </c>
      <c r="F2406" t="s">
        <v>38</v>
      </c>
      <c r="G2406">
        <v>-474.11290000000002</v>
      </c>
      <c r="H2406">
        <v>1.0536479999999999</v>
      </c>
      <c r="I2406">
        <v>285.65780000000001</v>
      </c>
      <c r="J2406">
        <v>-473.45310000000001</v>
      </c>
      <c r="K2406">
        <v>1.1061019999999999</v>
      </c>
      <c r="L2406">
        <v>285.61439999999999</v>
      </c>
      <c r="M2406">
        <v>-0.99632480000000001</v>
      </c>
      <c r="N2406">
        <v>0</v>
      </c>
      <c r="O2406">
        <v>-8.4555210000000006E-2</v>
      </c>
      <c r="P2406">
        <v>-0.9836184</v>
      </c>
      <c r="Q2406">
        <v>-1.097719E-2</v>
      </c>
      <c r="R2406">
        <v>-0.17992949999999999</v>
      </c>
      <c r="S2406">
        <v>-3.0679630000000002</v>
      </c>
      <c r="T2406">
        <v>-0.20441110000000001</v>
      </c>
      <c r="U2406">
        <v>0.1159973</v>
      </c>
      <c r="V2406">
        <v>-9.6117240000000007E-2</v>
      </c>
      <c r="W2406">
        <v>2.2676609999999998E-3</v>
      </c>
      <c r="X2406">
        <v>0.99536740000000001</v>
      </c>
      <c r="Y2406">
        <v>0.121693</v>
      </c>
      <c r="Z2406">
        <v>9.6713230000000008E-3</v>
      </c>
      <c r="AA2406">
        <v>0.99252070000000003</v>
      </c>
      <c r="AB2406">
        <v>22</v>
      </c>
      <c r="AC2406">
        <v>-0.65980000000001804</v>
      </c>
      <c r="AD2406">
        <v>-5.2454000000000202E-2</v>
      </c>
      <c r="AE2406">
        <v>4.3400000000019603E-2</v>
      </c>
      <c r="AF2406">
        <v>9.8419943289671102E-2</v>
      </c>
      <c r="AG2406">
        <v>-5.2454000000000202E-2</v>
      </c>
      <c r="AH2406">
        <v>0.64967821432676698</v>
      </c>
      <c r="AI2406">
        <v>94.564108021741902</v>
      </c>
      <c r="AJ2406">
        <v>81.385744124416703</v>
      </c>
      <c r="AK2406">
        <v>0.65918107491337996</v>
      </c>
    </row>
    <row r="2407" spans="1:37" x14ac:dyDescent="0.2">
      <c r="A2407" t="str">
        <f>"20200111155845533"</f>
        <v>20200111155845533</v>
      </c>
      <c r="B2407" t="str">
        <f>"1578729525523511"</f>
        <v>1578729525523511</v>
      </c>
      <c r="C2407" t="s">
        <v>37</v>
      </c>
      <c r="D2407">
        <v>5.2570779999999999</v>
      </c>
      <c r="E2407">
        <v>0.58334399999999997</v>
      </c>
      <c r="F2407" t="s">
        <v>38</v>
      </c>
      <c r="G2407">
        <v>-474.29360000000003</v>
      </c>
      <c r="H2407">
        <v>1.050986</v>
      </c>
      <c r="I2407">
        <v>285.64530000000002</v>
      </c>
      <c r="J2407">
        <v>-473.63560000000001</v>
      </c>
      <c r="K2407">
        <v>1.1061179999999999</v>
      </c>
      <c r="L2407">
        <v>285.59609999999998</v>
      </c>
      <c r="M2407">
        <v>-0.99611499999999997</v>
      </c>
      <c r="N2407">
        <v>0</v>
      </c>
      <c r="O2407">
        <v>-8.6991499999999999E-2</v>
      </c>
      <c r="P2407">
        <v>-0.98374039999999996</v>
      </c>
      <c r="Q2407">
        <v>-6.19869699999999E-3</v>
      </c>
      <c r="R2407">
        <v>-0.17949010000000001</v>
      </c>
      <c r="S2407">
        <v>-3.0683289999999999</v>
      </c>
      <c r="T2407">
        <v>-0.20132059999999999</v>
      </c>
      <c r="U2407">
        <v>0.1124573</v>
      </c>
      <c r="V2407">
        <v>-9.3253240000000001E-2</v>
      </c>
      <c r="W2407">
        <v>7.0598179999999998E-3</v>
      </c>
      <c r="X2407">
        <v>0.99561739999999999</v>
      </c>
      <c r="Y2407">
        <v>0.1229779</v>
      </c>
      <c r="Z2407">
        <v>9.725839E-3</v>
      </c>
      <c r="AA2407">
        <v>0.99236170000000001</v>
      </c>
      <c r="AB2407">
        <v>22</v>
      </c>
      <c r="AC2407">
        <v>-0.65800000000001502</v>
      </c>
      <c r="AD2407">
        <v>-5.5131999999999903E-2</v>
      </c>
      <c r="AE2407">
        <v>4.9200000000041599E-2</v>
      </c>
      <c r="AF2407">
        <v>0.10552253992670101</v>
      </c>
      <c r="AG2407">
        <v>-5.5131999999999903E-2</v>
      </c>
      <c r="AH2407">
        <v>0.64670985052815499</v>
      </c>
      <c r="AI2407">
        <v>94.809385038928696</v>
      </c>
      <c r="AJ2407">
        <v>80.732812643679907</v>
      </c>
      <c r="AK2407">
        <v>0.65757750465381004</v>
      </c>
    </row>
    <row r="2408" spans="1:37" x14ac:dyDescent="0.2">
      <c r="A2408" t="str">
        <f>"20200111155845556"</f>
        <v>20200111155845556</v>
      </c>
      <c r="B2408" t="str">
        <f>"1578729525553768"</f>
        <v>1578729525553768</v>
      </c>
      <c r="C2408" t="s">
        <v>37</v>
      </c>
      <c r="D2408">
        <v>5.2866540000000004</v>
      </c>
      <c r="E2408">
        <v>0.58371419999999996</v>
      </c>
      <c r="F2408" t="s">
        <v>49</v>
      </c>
      <c r="G2408">
        <v>-491.67720000000003</v>
      </c>
      <c r="H2408" s="1">
        <v>3.8119869999999999E-6</v>
      </c>
      <c r="I2408">
        <v>286.27370000000002</v>
      </c>
      <c r="J2408">
        <v>-473.856999999999</v>
      </c>
      <c r="K2408">
        <v>1.10612</v>
      </c>
      <c r="L2408">
        <v>285.57319999999999</v>
      </c>
      <c r="M2408">
        <v>-0.99585429999999997</v>
      </c>
      <c r="N2408">
        <v>0</v>
      </c>
      <c r="O2408">
        <v>-8.9926759999999994E-2</v>
      </c>
      <c r="P2408">
        <v>-0.98395540000000004</v>
      </c>
      <c r="Q2408">
        <v>-2.6386929999999901E-3</v>
      </c>
      <c r="R2408">
        <v>-0.17839479999999999</v>
      </c>
      <c r="S2408">
        <v>-3.0694270000000001</v>
      </c>
      <c r="T2408">
        <v>-0.18818389999999999</v>
      </c>
      <c r="U2408">
        <v>0.11529539999999899</v>
      </c>
      <c r="V2408">
        <v>-8.9222360000000001E-2</v>
      </c>
      <c r="W2408">
        <v>1.06412E-2</v>
      </c>
      <c r="X2408">
        <v>0.99595489999999998</v>
      </c>
      <c r="Y2408">
        <v>0.1268493</v>
      </c>
      <c r="Z2408">
        <v>9.3869660000000001E-3</v>
      </c>
      <c r="AA2408">
        <v>0.99187760000000003</v>
      </c>
      <c r="AB2408">
        <v>22</v>
      </c>
      <c r="AC2408">
        <v>-17.8202</v>
      </c>
      <c r="AD2408">
        <v>-1.1061161880129999</v>
      </c>
      <c r="AE2408">
        <v>0.70050000000003299</v>
      </c>
      <c r="AF2408">
        <v>2.29150922278057</v>
      </c>
      <c r="AG2408">
        <v>-1.1061161880129999</v>
      </c>
      <c r="AH2408">
        <v>17.617215314943302</v>
      </c>
      <c r="AI2408">
        <v>93.562728647100201</v>
      </c>
      <c r="AJ2408">
        <v>82.589022241273099</v>
      </c>
      <c r="AK2408">
        <v>17.800021994159099</v>
      </c>
    </row>
    <row r="2409" spans="1:37" x14ac:dyDescent="0.2">
      <c r="A2409" t="str">
        <f>"20200111155845579"</f>
        <v>20200111155845579</v>
      </c>
      <c r="B2409" t="str">
        <f>"1578729525574263"</f>
        <v>1578729525574263</v>
      </c>
      <c r="C2409" t="s">
        <v>37</v>
      </c>
      <c r="D2409">
        <v>5.3015780000000001</v>
      </c>
      <c r="E2409">
        <v>0.58371700000000004</v>
      </c>
      <c r="F2409" t="s">
        <v>49</v>
      </c>
      <c r="G2409">
        <v>-493.00299999999999</v>
      </c>
      <c r="H2409" s="1">
        <v>3.5818300000000001E-6</v>
      </c>
      <c r="I2409">
        <v>286.33120000000002</v>
      </c>
      <c r="J2409">
        <v>-474.06599999999997</v>
      </c>
      <c r="K2409">
        <v>1.1060829999999999</v>
      </c>
      <c r="L2409">
        <v>285.55110000000002</v>
      </c>
      <c r="M2409">
        <v>-0.99560389999999999</v>
      </c>
      <c r="N2409">
        <v>0</v>
      </c>
      <c r="O2409">
        <v>-9.2659560000000002E-2</v>
      </c>
      <c r="P2409">
        <v>-0.98408969999999996</v>
      </c>
      <c r="Q2409">
        <v>-3.6072600000000002E-3</v>
      </c>
      <c r="R2409">
        <v>-0.1776364</v>
      </c>
      <c r="S2409">
        <v>-3.0704959999999999</v>
      </c>
      <c r="T2409">
        <v>-0.1773902</v>
      </c>
      <c r="U2409">
        <v>0.12155150000000001</v>
      </c>
      <c r="V2409">
        <v>-8.5716390000000003E-2</v>
      </c>
      <c r="W2409">
        <v>9.693297E-3</v>
      </c>
      <c r="X2409">
        <v>0.99627239999999995</v>
      </c>
      <c r="Y2409">
        <v>0.131608</v>
      </c>
      <c r="Z2409">
        <v>9.1408210000000004E-3</v>
      </c>
      <c r="AA2409">
        <v>0.99125969999999997</v>
      </c>
      <c r="AB2409">
        <v>22</v>
      </c>
      <c r="AC2409">
        <v>-18.937000000000001</v>
      </c>
      <c r="AD2409">
        <v>-1.10607941817</v>
      </c>
      <c r="AE2409">
        <v>0.78010000000000401</v>
      </c>
      <c r="AF2409">
        <v>2.5230087480689201</v>
      </c>
      <c r="AG2409">
        <v>-1.10607941817</v>
      </c>
      <c r="AH2409">
        <v>18.719470396419599</v>
      </c>
      <c r="AI2409">
        <v>93.351278405098398</v>
      </c>
      <c r="AJ2409">
        <v>82.323936471846906</v>
      </c>
      <c r="AK2409">
        <v>18.9210876205508</v>
      </c>
    </row>
    <row r="2410" spans="1:37" x14ac:dyDescent="0.2">
      <c r="A2410" t="str">
        <f>"20200111155845601"</f>
        <v>20200111155845601</v>
      </c>
      <c r="B2410" t="str">
        <f>"1578729525593783"</f>
        <v>1578729525593783</v>
      </c>
      <c r="C2410" t="s">
        <v>37</v>
      </c>
      <c r="D2410">
        <v>5.4098160000000002</v>
      </c>
      <c r="E2410">
        <v>0.58394550000000001</v>
      </c>
      <c r="F2410" t="s">
        <v>49</v>
      </c>
      <c r="G2410">
        <v>-492.71159999999998</v>
      </c>
      <c r="H2410" s="1">
        <v>3.631159E-6</v>
      </c>
      <c r="I2410">
        <v>286.30419999999998</v>
      </c>
      <c r="J2410">
        <v>-474.28129999999999</v>
      </c>
      <c r="K2410">
        <v>1.106023</v>
      </c>
      <c r="L2410">
        <v>285.52780000000001</v>
      </c>
      <c r="M2410">
        <v>-0.99534330000000004</v>
      </c>
      <c r="N2410">
        <v>0</v>
      </c>
      <c r="O2410">
        <v>-9.5418859999999994E-2</v>
      </c>
      <c r="P2410">
        <v>-0.98389889999999902</v>
      </c>
      <c r="Q2410">
        <v>-7.7379140000000003E-3</v>
      </c>
      <c r="R2410">
        <v>-0.17855950000000001</v>
      </c>
      <c r="S2410">
        <v>-3.0702509999999998</v>
      </c>
      <c r="T2410">
        <v>-0.1821306</v>
      </c>
      <c r="U2410">
        <v>0.123992899999999</v>
      </c>
      <c r="V2410">
        <v>-8.3874710000000005E-2</v>
      </c>
      <c r="W2410">
        <v>5.5768830000000004E-3</v>
      </c>
      <c r="X2410">
        <v>0.99646069999999998</v>
      </c>
      <c r="Y2410">
        <v>0.1351137</v>
      </c>
      <c r="Z2410">
        <v>9.6522559999999997E-3</v>
      </c>
      <c r="AA2410">
        <v>0.99078310000000003</v>
      </c>
      <c r="AB2410">
        <v>22</v>
      </c>
      <c r="AC2410">
        <v>-18.4302999999999</v>
      </c>
      <c r="AD2410">
        <v>-1.1060193688410001</v>
      </c>
      <c r="AE2410">
        <v>0.77639999999996601</v>
      </c>
      <c r="AF2410">
        <v>2.5225510174137198</v>
      </c>
      <c r="AG2410">
        <v>-1.1060193688410001</v>
      </c>
      <c r="AH2410">
        <v>18.206648883962899</v>
      </c>
      <c r="AI2410">
        <v>93.443523563399197</v>
      </c>
      <c r="AJ2410">
        <v>82.111826431778297</v>
      </c>
      <c r="AK2410">
        <v>18.4138156302167</v>
      </c>
    </row>
    <row r="2411" spans="1:37" x14ac:dyDescent="0.2">
      <c r="A2411" t="str">
        <f>"20200111155845623"</f>
        <v>20200111155845623</v>
      </c>
      <c r="B2411" t="str">
        <f>"1578729525614280"</f>
        <v>1578729525614280</v>
      </c>
      <c r="C2411" t="s">
        <v>37</v>
      </c>
      <c r="D2411">
        <v>5.3579919999999897</v>
      </c>
      <c r="E2411">
        <v>0.50081350000000002</v>
      </c>
      <c r="F2411" t="s">
        <v>49</v>
      </c>
      <c r="G2411">
        <v>-491.89800000000002</v>
      </c>
      <c r="H2411" s="1">
        <v>3.7693360000000002E-6</v>
      </c>
      <c r="I2411">
        <v>286.23390000000001</v>
      </c>
      <c r="J2411">
        <v>-474.48469999999998</v>
      </c>
      <c r="K2411">
        <v>1.105963</v>
      </c>
      <c r="L2411">
        <v>285.50529999999998</v>
      </c>
      <c r="M2411">
        <v>-0.99509559999999997</v>
      </c>
      <c r="N2411">
        <v>0</v>
      </c>
      <c r="O2411">
        <v>-9.7969260000000002E-2</v>
      </c>
      <c r="P2411">
        <v>-0.9835718</v>
      </c>
      <c r="Q2411">
        <v>-1.143914E-2</v>
      </c>
      <c r="R2411">
        <v>-0.1801556</v>
      </c>
      <c r="S2411">
        <v>-3.0699160000000001</v>
      </c>
      <c r="T2411">
        <v>-0.19273609999999999</v>
      </c>
      <c r="U2411">
        <v>0.1230469</v>
      </c>
      <c r="V2411">
        <v>-8.2927409999999993E-2</v>
      </c>
      <c r="W2411">
        <v>1.8842850000000001E-3</v>
      </c>
      <c r="X2411">
        <v>0.99655380000000005</v>
      </c>
      <c r="Y2411">
        <v>0.137294</v>
      </c>
      <c r="Z2411">
        <v>1.044224E-2</v>
      </c>
      <c r="AA2411">
        <v>0.99047529999999995</v>
      </c>
      <c r="AB2411">
        <v>21</v>
      </c>
      <c r="AC2411">
        <v>-17.4133</v>
      </c>
      <c r="AD2411">
        <v>-1.105959230664</v>
      </c>
      <c r="AE2411">
        <v>0.728600000000028</v>
      </c>
      <c r="AF2411">
        <v>2.4214711227914498</v>
      </c>
      <c r="AG2411">
        <v>-1.105959230664</v>
      </c>
      <c r="AH2411">
        <v>17.188913806379801</v>
      </c>
      <c r="AI2411">
        <v>93.645520295140201</v>
      </c>
      <c r="AJ2411">
        <v>81.981281372823503</v>
      </c>
      <c r="AK2411">
        <v>17.3938329893546</v>
      </c>
    </row>
    <row r="2412" spans="1:37" x14ac:dyDescent="0.2">
      <c r="A2412" t="str">
        <f>"20200111155845857"</f>
        <v>20200111155845857</v>
      </c>
      <c r="B2412" t="str">
        <f>"1578729525853813"</f>
        <v>1578729525853813</v>
      </c>
      <c r="C2412" t="s">
        <v>37</v>
      </c>
      <c r="D2412">
        <v>5.4292379999999998</v>
      </c>
      <c r="E2412">
        <v>0.39345340000000001</v>
      </c>
      <c r="F2412" t="s">
        <v>49</v>
      </c>
      <c r="G2412">
        <v>-495.78910000000002</v>
      </c>
      <c r="H2412" s="1">
        <v>2.6779170000000001E-6</v>
      </c>
      <c r="I2412">
        <v>281.64460000000003</v>
      </c>
      <c r="J2412">
        <v>-476.68770000000001</v>
      </c>
      <c r="K2412">
        <v>1.1059299999999901</v>
      </c>
      <c r="L2412">
        <v>285.22899999999998</v>
      </c>
      <c r="M2412">
        <v>-0.99208750000000001</v>
      </c>
      <c r="N2412">
        <v>0</v>
      </c>
      <c r="O2412">
        <v>-0.12480479999999999</v>
      </c>
      <c r="P2412">
        <v>-0.97239449999999905</v>
      </c>
      <c r="Q2412">
        <v>-1.6716089999999999E-2</v>
      </c>
      <c r="R2412">
        <v>-0.2327438</v>
      </c>
      <c r="S2412">
        <v>-2.9504389999999998</v>
      </c>
      <c r="T2412">
        <v>-0.15316399999999999</v>
      </c>
      <c r="U2412">
        <v>-0.53466800000000003</v>
      </c>
      <c r="V2412">
        <v>-0.109540599999999</v>
      </c>
      <c r="W2412">
        <v>-3.556179E-3</v>
      </c>
      <c r="X2412">
        <v>0.99397590000000002</v>
      </c>
      <c r="Y2412">
        <v>-5.4192610000000002E-2</v>
      </c>
      <c r="Z2412">
        <v>4.9980759999999997E-3</v>
      </c>
      <c r="AA2412">
        <v>0.99851800000000002</v>
      </c>
      <c r="AB2412">
        <v>21</v>
      </c>
      <c r="AC2412">
        <v>-19.101400000000002</v>
      </c>
      <c r="AD2412">
        <v>-1.1059273220829999</v>
      </c>
      <c r="AE2412">
        <v>-3.5844000000000098</v>
      </c>
      <c r="AF2412">
        <v>-1.1684176606752801</v>
      </c>
      <c r="AG2412">
        <v>-1.1059273220829999</v>
      </c>
      <c r="AH2412">
        <v>19.336801320608298</v>
      </c>
      <c r="AI2412">
        <v>93.267398119582595</v>
      </c>
      <c r="AJ2412">
        <v>93.457867833932895</v>
      </c>
      <c r="AK2412">
        <v>19.403612044776299</v>
      </c>
    </row>
    <row r="2413" spans="1:37" x14ac:dyDescent="0.2">
      <c r="A2413" t="str">
        <f>"20200111155845880"</f>
        <v>20200111155845880</v>
      </c>
      <c r="B2413" t="str">
        <f>"1578729525873337"</f>
        <v>1578729525873337</v>
      </c>
      <c r="C2413" t="s">
        <v>37</v>
      </c>
      <c r="D2413">
        <v>5.3725550000000002</v>
      </c>
      <c r="E2413">
        <v>0.39333379999999901</v>
      </c>
      <c r="F2413" t="s">
        <v>49</v>
      </c>
      <c r="G2413">
        <v>-488.46679999999998</v>
      </c>
      <c r="H2413" s="1">
        <v>2.9140130000000001E-6</v>
      </c>
      <c r="I2413">
        <v>278.6078</v>
      </c>
      <c r="J2413">
        <v>-476.89690000000002</v>
      </c>
      <c r="K2413">
        <v>1.1059479999999999</v>
      </c>
      <c r="L2413">
        <v>285.1995</v>
      </c>
      <c r="M2413">
        <v>-0.99174490000000004</v>
      </c>
      <c r="N2413">
        <v>0</v>
      </c>
      <c r="O2413">
        <v>-0.1274988</v>
      </c>
      <c r="P2413">
        <v>-0.9722828</v>
      </c>
      <c r="Q2413">
        <v>-2.0459620000000001E-2</v>
      </c>
      <c r="R2413">
        <v>-0.2329109</v>
      </c>
      <c r="S2413">
        <v>-2.7154849999999899</v>
      </c>
      <c r="T2413">
        <v>-0.2549536</v>
      </c>
      <c r="U2413">
        <v>-1.5263979999999999</v>
      </c>
      <c r="V2413">
        <v>-0.10700709999999999</v>
      </c>
      <c r="W2413">
        <v>-7.2943319999999997E-3</v>
      </c>
      <c r="X2413">
        <v>0.99423150000000005</v>
      </c>
      <c r="Y2413">
        <v>-0.37403690000000001</v>
      </c>
      <c r="Z2413">
        <v>-5.308976E-3</v>
      </c>
      <c r="AA2413">
        <v>0.92739859999999896</v>
      </c>
      <c r="AB2413">
        <v>21</v>
      </c>
      <c r="AC2413">
        <v>-11.569899999999899</v>
      </c>
      <c r="AD2413">
        <v>-1.1059450859869999</v>
      </c>
      <c r="AE2413">
        <v>-6.5917000000000003</v>
      </c>
      <c r="AF2413">
        <v>-5.0279247378608902</v>
      </c>
      <c r="AG2413">
        <v>-1.1059450859869999</v>
      </c>
      <c r="AH2413">
        <v>12.2315951196434</v>
      </c>
      <c r="AI2413">
        <v>94.780374555241806</v>
      </c>
      <c r="AJ2413">
        <v>112.345624268165</v>
      </c>
      <c r="AK2413">
        <v>13.2708349727399</v>
      </c>
    </row>
    <row r="2414" spans="1:37" x14ac:dyDescent="0.2">
      <c r="A2414" t="str">
        <f>"20200111155845901"</f>
        <v>20200111155845901</v>
      </c>
      <c r="B2414" t="str">
        <f>"1578729525893833"</f>
        <v>1578729525893833</v>
      </c>
      <c r="C2414" t="s">
        <v>37</v>
      </c>
      <c r="D2414">
        <v>5.333488</v>
      </c>
      <c r="E2414">
        <v>0.39312950000000002</v>
      </c>
      <c r="F2414" t="s">
        <v>49</v>
      </c>
      <c r="G2414">
        <v>-487.35320000000002</v>
      </c>
      <c r="H2414" s="1">
        <v>2.9648509999999999E-6</v>
      </c>
      <c r="I2414">
        <v>279.31049999999999</v>
      </c>
      <c r="J2414">
        <v>-477.0976</v>
      </c>
      <c r="K2414">
        <v>1.1059570000000001</v>
      </c>
      <c r="L2414">
        <v>285.1705</v>
      </c>
      <c r="M2414">
        <v>-0.9914039</v>
      </c>
      <c r="N2414">
        <v>0</v>
      </c>
      <c r="O2414">
        <v>-0.1301244</v>
      </c>
      <c r="P2414">
        <v>-0.9719949</v>
      </c>
      <c r="Q2414">
        <v>-2.3288679999999999E-2</v>
      </c>
      <c r="R2414">
        <v>-0.23384579999999999</v>
      </c>
      <c r="S2414">
        <v>-2.713409</v>
      </c>
      <c r="T2414">
        <v>-0.286993</v>
      </c>
      <c r="U2414">
        <v>-1.5281979999999999</v>
      </c>
      <c r="V2414">
        <v>-0.1053275</v>
      </c>
      <c r="W2414">
        <v>-1.012192E-2</v>
      </c>
      <c r="X2414">
        <v>0.99438609999999905</v>
      </c>
      <c r="Y2414">
        <v>-0.37215329999999902</v>
      </c>
      <c r="Z2414">
        <v>-5.6317709999999998E-3</v>
      </c>
      <c r="AA2414">
        <v>0.92815419999999904</v>
      </c>
      <c r="AB2414">
        <v>21</v>
      </c>
      <c r="AC2414">
        <v>-10.255599999999999</v>
      </c>
      <c r="AD2414">
        <v>-1.105954035149</v>
      </c>
      <c r="AE2414">
        <v>-5.8600000000000101</v>
      </c>
      <c r="AF2414">
        <v>-4.4366434686554301</v>
      </c>
      <c r="AG2414">
        <v>-1.105954035149</v>
      </c>
      <c r="AH2414">
        <v>10.8359888730034</v>
      </c>
      <c r="AI2414">
        <v>95.395734340592199</v>
      </c>
      <c r="AJ2414">
        <v>112.265957119749</v>
      </c>
      <c r="AK2414">
        <v>11.761190180065899</v>
      </c>
    </row>
    <row r="2415" spans="1:37" x14ac:dyDescent="0.2">
      <c r="A2415" t="str">
        <f>"20200111155845924"</f>
        <v>20200111155845924</v>
      </c>
      <c r="B2415" t="str">
        <f>"1578729525913354"</f>
        <v>1578729525913354</v>
      </c>
      <c r="C2415" t="s">
        <v>37</v>
      </c>
      <c r="D2415">
        <v>5.2956890000000003</v>
      </c>
      <c r="E2415">
        <v>0.39326659999999902</v>
      </c>
      <c r="F2415" t="s">
        <v>49</v>
      </c>
      <c r="G2415">
        <v>-486.90440000000001</v>
      </c>
      <c r="H2415" s="1">
        <v>2.9941700000000001E-6</v>
      </c>
      <c r="I2415">
        <v>279.62560000000002</v>
      </c>
      <c r="J2415">
        <v>-477.30090000000001</v>
      </c>
      <c r="K2415">
        <v>1.1059840000000001</v>
      </c>
      <c r="L2415">
        <v>285.14060000000001</v>
      </c>
      <c r="M2415">
        <v>-0.99104419999999904</v>
      </c>
      <c r="N2415">
        <v>0</v>
      </c>
      <c r="O2415">
        <v>-0.13283619999999999</v>
      </c>
      <c r="P2415">
        <v>-0.97153809999999996</v>
      </c>
      <c r="Q2415">
        <v>-2.4120630000000001E-2</v>
      </c>
      <c r="R2415">
        <v>-0.23565269999999999</v>
      </c>
      <c r="S2415">
        <v>-2.7104490000000001</v>
      </c>
      <c r="T2415">
        <v>-0.30567070000000002</v>
      </c>
      <c r="U2415">
        <v>-1.532532</v>
      </c>
      <c r="V2415">
        <v>-0.10445499999999899</v>
      </c>
      <c r="W2415">
        <v>-1.095727E-2</v>
      </c>
      <c r="X2415">
        <v>0.99446919999999905</v>
      </c>
      <c r="Y2415">
        <v>-0.37105539999999998</v>
      </c>
      <c r="Z2415">
        <v>-5.6655639999999997E-3</v>
      </c>
      <c r="AA2415">
        <v>0.92859349999999996</v>
      </c>
      <c r="AB2415">
        <v>21</v>
      </c>
      <c r="AC2415">
        <v>-9.6034999999999897</v>
      </c>
      <c r="AD2415">
        <v>-1.1059810058299999</v>
      </c>
      <c r="AE2415">
        <v>-5.5149999999999801</v>
      </c>
      <c r="AF2415">
        <v>-4.1489259251205102</v>
      </c>
      <c r="AG2415">
        <v>-1.1059810058299999</v>
      </c>
      <c r="AH2415">
        <v>10.1498069638319</v>
      </c>
      <c r="AI2415">
        <v>95.759617404170896</v>
      </c>
      <c r="AJ2415">
        <v>112.23321952751201</v>
      </c>
      <c r="AK2415">
        <v>11.020678823032799</v>
      </c>
    </row>
    <row r="2416" spans="1:37" x14ac:dyDescent="0.2">
      <c r="A2416" t="str">
        <f>"20200111155845947"</f>
        <v>20200111155845947</v>
      </c>
      <c r="B2416" t="str">
        <f>"1578729525944586"</f>
        <v>1578729525944586</v>
      </c>
      <c r="C2416" t="s">
        <v>37</v>
      </c>
      <c r="D2416">
        <v>5.2720359999999999</v>
      </c>
      <c r="E2416">
        <v>0.393459</v>
      </c>
      <c r="F2416" t="s">
        <v>49</v>
      </c>
      <c r="G2416">
        <v>-486.75639999999999</v>
      </c>
      <c r="H2416" s="1">
        <v>2.9812150000000001E-6</v>
      </c>
      <c r="I2416">
        <v>279.77760000000001</v>
      </c>
      <c r="J2416">
        <v>-477.5147</v>
      </c>
      <c r="K2416">
        <v>1.106025</v>
      </c>
      <c r="L2416">
        <v>285.10849999999999</v>
      </c>
      <c r="M2416">
        <v>-0.9906471</v>
      </c>
      <c r="N2416">
        <v>0</v>
      </c>
      <c r="O2416">
        <v>-0.13576569999999999</v>
      </c>
      <c r="P2416">
        <v>-0.97081609999999996</v>
      </c>
      <c r="Q2416">
        <v>-2.3557620000000001E-2</v>
      </c>
      <c r="R2416">
        <v>-0.2386655</v>
      </c>
      <c r="S2416">
        <v>-2.7075499999999999</v>
      </c>
      <c r="T2416">
        <v>-0.31669449999999999</v>
      </c>
      <c r="U2416">
        <v>-1.5356749999999999</v>
      </c>
      <c r="V2416">
        <v>-0.10459980000000001</v>
      </c>
      <c r="W2416">
        <v>-1.040543E-2</v>
      </c>
      <c r="X2416">
        <v>0.99446000000000001</v>
      </c>
      <c r="Y2416">
        <v>-0.36949199999999999</v>
      </c>
      <c r="Z2416">
        <v>-5.4778609999999997E-3</v>
      </c>
      <c r="AA2416">
        <v>0.92921779999999998</v>
      </c>
      <c r="AB2416">
        <v>21</v>
      </c>
      <c r="AC2416">
        <v>-9.2416999999999803</v>
      </c>
      <c r="AD2416">
        <v>-1.1060220187850001</v>
      </c>
      <c r="AE2416">
        <v>-5.3308999999999802</v>
      </c>
      <c r="AF2416">
        <v>-3.98389501863074</v>
      </c>
      <c r="AG2416">
        <v>-1.1060220187850001</v>
      </c>
      <c r="AH2416">
        <v>9.7748865172223098</v>
      </c>
      <c r="AI2416">
        <v>95.981681670986205</v>
      </c>
      <c r="AJ2416">
        <v>112.174056226491</v>
      </c>
      <c r="AK2416">
        <v>10.613345874420601</v>
      </c>
    </row>
    <row r="2417" spans="1:37" x14ac:dyDescent="0.2">
      <c r="A2417" t="str">
        <f>"20200111155845968"</f>
        <v>20200111155845968</v>
      </c>
      <c r="B2417" t="str">
        <f>"1578729525964105"</f>
        <v>1578729525964105</v>
      </c>
      <c r="C2417" t="s">
        <v>37</v>
      </c>
      <c r="D2417">
        <v>5.2293419999999999</v>
      </c>
      <c r="E2417">
        <v>0.39362179999999902</v>
      </c>
      <c r="F2417" t="s">
        <v>49</v>
      </c>
      <c r="G2417">
        <v>-486.79750000000001</v>
      </c>
      <c r="H2417" s="1">
        <v>2.9914939999999999E-6</v>
      </c>
      <c r="I2417">
        <v>279.81200000000001</v>
      </c>
      <c r="J2417">
        <v>-477.71730000000002</v>
      </c>
      <c r="K2417">
        <v>1.106069</v>
      </c>
      <c r="L2417">
        <v>285.07729999999998</v>
      </c>
      <c r="M2417">
        <v>-0.99025049999999903</v>
      </c>
      <c r="N2417">
        <v>0</v>
      </c>
      <c r="O2417">
        <v>-0.13862949999999999</v>
      </c>
      <c r="P2417">
        <v>-0.9698833</v>
      </c>
      <c r="Q2417">
        <v>-2.3025520000000001E-2</v>
      </c>
      <c r="R2417">
        <v>-0.24248029999999901</v>
      </c>
      <c r="S2417">
        <v>-2.7031559999999999</v>
      </c>
      <c r="T2417">
        <v>-0.32207599999999997</v>
      </c>
      <c r="U2417">
        <v>-1.5423579999999999</v>
      </c>
      <c r="V2417">
        <v>-0.1056322</v>
      </c>
      <c r="W2417">
        <v>-9.8917299999999996E-3</v>
      </c>
      <c r="X2417">
        <v>0.99435609999999997</v>
      </c>
      <c r="Y2417">
        <v>-0.36916450000000001</v>
      </c>
      <c r="Z2417">
        <v>-5.2491980000000001E-3</v>
      </c>
      <c r="AA2417">
        <v>0.92934919999999999</v>
      </c>
      <c r="AB2417">
        <v>21</v>
      </c>
      <c r="AC2417">
        <v>-9.0801999999999907</v>
      </c>
      <c r="AD2417">
        <v>-1.1060660085059999</v>
      </c>
      <c r="AE2417">
        <v>-5.2652999999999599</v>
      </c>
      <c r="AF2417">
        <v>-3.9121092338036898</v>
      </c>
      <c r="AG2417">
        <v>-1.1060660085059999</v>
      </c>
      <c r="AH2417">
        <v>9.6157273345822691</v>
      </c>
      <c r="AI2417">
        <v>96.0817113417244</v>
      </c>
      <c r="AJ2417">
        <v>112.138697021301</v>
      </c>
      <c r="AK2417">
        <v>10.439836820823199</v>
      </c>
    </row>
    <row r="2418" spans="1:37" x14ac:dyDescent="0.2">
      <c r="A2418" t="str">
        <f>"20200111155846450"</f>
        <v>20200111155846450</v>
      </c>
      <c r="B2418" t="str">
        <f>"1578729526443322"</f>
        <v>1578729526443322</v>
      </c>
      <c r="C2418" t="s">
        <v>37</v>
      </c>
      <c r="D2418">
        <v>5.2639809999999896</v>
      </c>
      <c r="E2418">
        <v>0.32673649999999999</v>
      </c>
      <c r="F2418" t="s">
        <v>49</v>
      </c>
      <c r="G2418">
        <v>-486.9085</v>
      </c>
      <c r="H2418" s="1">
        <v>3.0095370000000001E-6</v>
      </c>
      <c r="I2418">
        <v>279.79300000000001</v>
      </c>
      <c r="J2418">
        <v>-481.98849999999999</v>
      </c>
      <c r="K2418">
        <v>1.1097539999999999</v>
      </c>
      <c r="L2418">
        <v>284.12920000000003</v>
      </c>
      <c r="M2418">
        <v>-0.96517969999999897</v>
      </c>
      <c r="N2418">
        <v>0</v>
      </c>
      <c r="O2418">
        <v>-0.26120389999999999</v>
      </c>
      <c r="P2418">
        <v>-0.88673899999999894</v>
      </c>
      <c r="Q2418">
        <v>-4.3806390000000001E-2</v>
      </c>
      <c r="R2418">
        <v>-0.46018989999999999</v>
      </c>
      <c r="S2418">
        <v>-2.6977229999999999</v>
      </c>
      <c r="T2418">
        <v>-0.32464159999999997</v>
      </c>
      <c r="U2418">
        <v>-1.5509949999999999</v>
      </c>
      <c r="V2418">
        <v>-0.21216019999999999</v>
      </c>
      <c r="W2418">
        <v>-3.2738179999999999E-2</v>
      </c>
      <c r="X2418">
        <v>0.97668639999999995</v>
      </c>
      <c r="Y2418">
        <v>-0.25465690000000002</v>
      </c>
      <c r="Z2418">
        <v>1.4175200000000001E-2</v>
      </c>
      <c r="AA2418">
        <v>0.9669276</v>
      </c>
      <c r="AB2418">
        <v>20</v>
      </c>
      <c r="AC2418">
        <v>-4.9200000000000097</v>
      </c>
      <c r="AD2418">
        <v>-1.1097509904630001</v>
      </c>
      <c r="AE2418">
        <v>-4.3362000000000096</v>
      </c>
      <c r="AF2418">
        <v>-2.8196407090113</v>
      </c>
      <c r="AG2418">
        <v>-1.1097509904630001</v>
      </c>
      <c r="AH2418">
        <v>5.7181690633650497</v>
      </c>
      <c r="AI2418">
        <v>99.874155015416306</v>
      </c>
      <c r="AJ2418">
        <v>116.247999429781</v>
      </c>
      <c r="AK2418">
        <v>6.4714278506348597</v>
      </c>
    </row>
    <row r="2419" spans="1:37" x14ac:dyDescent="0.2">
      <c r="A2419" t="str">
        <f>"20200111155846478"</f>
        <v>20200111155846478</v>
      </c>
      <c r="B2419" t="str">
        <f>"1578729526473578"</f>
        <v>1578729526473578</v>
      </c>
      <c r="C2419" t="s">
        <v>37</v>
      </c>
      <c r="D2419">
        <v>5.2945279999999997</v>
      </c>
      <c r="E2419">
        <v>0.3289533</v>
      </c>
      <c r="F2419" t="s">
        <v>38</v>
      </c>
      <c r="G2419">
        <v>-482.6105</v>
      </c>
      <c r="H2419">
        <v>1.0558639999999999</v>
      </c>
      <c r="I2419">
        <v>283.32799999999997</v>
      </c>
      <c r="J2419">
        <v>-482.21550000000002</v>
      </c>
      <c r="K2419">
        <v>1.109861</v>
      </c>
      <c r="L2419">
        <v>284.05369999999999</v>
      </c>
      <c r="M2419">
        <v>-0.96212430000000004</v>
      </c>
      <c r="N2419">
        <v>0</v>
      </c>
      <c r="O2419">
        <v>-0.27224159999999997</v>
      </c>
      <c r="P2419">
        <v>-0.87963799999999903</v>
      </c>
      <c r="Q2419">
        <v>-4.2361199999999898E-2</v>
      </c>
      <c r="R2419">
        <v>-0.47375429999999902</v>
      </c>
      <c r="S2419">
        <v>-2.0223390000000001</v>
      </c>
      <c r="T2419">
        <v>-0.17519079999999901</v>
      </c>
      <c r="U2419">
        <v>-2.605499</v>
      </c>
      <c r="V2419">
        <v>-0.21596279999999901</v>
      </c>
      <c r="W2419">
        <v>-3.1361920000000001E-2</v>
      </c>
      <c r="X2419">
        <v>0.97589780000000004</v>
      </c>
      <c r="Y2419">
        <v>-0.59275</v>
      </c>
      <c r="Z2419">
        <v>-2.3171590000000001E-3</v>
      </c>
      <c r="AA2419">
        <v>0.80538319999999997</v>
      </c>
      <c r="AB2419">
        <v>20</v>
      </c>
      <c r="AC2419">
        <v>-0.39499999999998098</v>
      </c>
      <c r="AD2419">
        <v>-5.3997000000000003E-2</v>
      </c>
      <c r="AE2419">
        <v>-0.725700000000017</v>
      </c>
      <c r="AF2419">
        <v>-0.58822532537719896</v>
      </c>
      <c r="AG2419">
        <v>-5.3997000000000003E-2</v>
      </c>
      <c r="AH2419">
        <v>0.57520626879173098</v>
      </c>
      <c r="AI2419">
        <v>93.755059250014995</v>
      </c>
      <c r="AJ2419">
        <v>135.64112567167399</v>
      </c>
      <c r="AK2419">
        <v>0.82449194118645996</v>
      </c>
    </row>
    <row r="2420" spans="1:37" x14ac:dyDescent="0.2">
      <c r="A2420" t="str">
        <f>"20200111155846491"</f>
        <v>20200111155846491</v>
      </c>
      <c r="B2420" t="str">
        <f>"1578729526484314"</f>
        <v>1578729526484314</v>
      </c>
      <c r="C2420" t="s">
        <v>37</v>
      </c>
      <c r="D2420">
        <v>5.3427239999999996</v>
      </c>
      <c r="E2420">
        <v>0.32997789999999999</v>
      </c>
      <c r="F2420" t="s">
        <v>38</v>
      </c>
      <c r="G2420">
        <v>-482.78859999999997</v>
      </c>
      <c r="H2420">
        <v>1.0601320000000001</v>
      </c>
      <c r="I2420">
        <v>283.29930000000002</v>
      </c>
      <c r="J2420">
        <v>-482.32960000000003</v>
      </c>
      <c r="K2420">
        <v>1.1099049999999999</v>
      </c>
      <c r="L2420">
        <v>284.01459999999997</v>
      </c>
      <c r="M2420">
        <v>-0.960507</v>
      </c>
      <c r="N2420">
        <v>0</v>
      </c>
      <c r="O2420">
        <v>-0.27789259999999999</v>
      </c>
      <c r="P2420">
        <v>-0.87631269999999994</v>
      </c>
      <c r="Q2420">
        <v>-4.2942760000000003E-2</v>
      </c>
      <c r="R2420">
        <v>-0.47982540000000001</v>
      </c>
      <c r="S2420">
        <v>-1.99075299999999</v>
      </c>
      <c r="T2420">
        <v>-0.17273769999999999</v>
      </c>
      <c r="U2420">
        <v>-2.620819</v>
      </c>
      <c r="V2420">
        <v>-0.21696969999999999</v>
      </c>
      <c r="W2420">
        <v>-3.1963169999999999E-2</v>
      </c>
      <c r="X2420">
        <v>0.97565489999999999</v>
      </c>
      <c r="Y2420">
        <v>-0.59642580000000001</v>
      </c>
      <c r="Z2420">
        <v>-2.0930570000000002E-3</v>
      </c>
      <c r="AA2420">
        <v>0.80266549999999903</v>
      </c>
      <c r="AB2420">
        <v>20</v>
      </c>
      <c r="AC2420">
        <v>-0.45899999999994601</v>
      </c>
      <c r="AD2420">
        <v>-4.9772999999999797E-2</v>
      </c>
      <c r="AE2420">
        <v>-0.71529999999995597</v>
      </c>
      <c r="AF2420">
        <v>-0.55764196030390101</v>
      </c>
      <c r="AG2420">
        <v>-4.9772999999999797E-2</v>
      </c>
      <c r="AH2420">
        <v>0.63752741453484796</v>
      </c>
      <c r="AI2420">
        <v>93.363061924654005</v>
      </c>
      <c r="AJ2420">
        <v>131.176022051589</v>
      </c>
      <c r="AK2420">
        <v>0.84845925753925699</v>
      </c>
    </row>
    <row r="2421" spans="1:37" x14ac:dyDescent="0.2">
      <c r="A2421" t="str">
        <f>"20200111155846652"</f>
        <v>20200111155846652</v>
      </c>
      <c r="B2421" t="str">
        <f>"1578729526643402"</f>
        <v>1578729526643402</v>
      </c>
      <c r="C2421" t="s">
        <v>37</v>
      </c>
      <c r="D2421">
        <v>5.5100129999999998</v>
      </c>
      <c r="E2421">
        <v>0.32886799999999999</v>
      </c>
      <c r="F2421" t="s">
        <v>39</v>
      </c>
      <c r="G2421">
        <v>-493.16129999999998</v>
      </c>
      <c r="H2421" s="1">
        <v>-4.3502429999999903E-6</v>
      </c>
      <c r="I2421">
        <v>268.1223</v>
      </c>
      <c r="J2421">
        <v>-483.63850000000002</v>
      </c>
      <c r="K2421">
        <v>1.11046</v>
      </c>
      <c r="L2421">
        <v>283.50080000000003</v>
      </c>
      <c r="M2421">
        <v>-0.93738759999999999</v>
      </c>
      <c r="N2421">
        <v>0</v>
      </c>
      <c r="O2421">
        <v>-0.34798770000000001</v>
      </c>
      <c r="P2421">
        <v>-0.82587279999999996</v>
      </c>
      <c r="Q2421">
        <v>-5.5457109999999997E-2</v>
      </c>
      <c r="R2421">
        <v>-0.56112299999999904</v>
      </c>
      <c r="S2421">
        <v>-1.75216699999999</v>
      </c>
      <c r="T2421">
        <v>-0.199852</v>
      </c>
      <c r="U2421">
        <v>-2.7845759999999999</v>
      </c>
      <c r="V2421">
        <v>-0.23798440000000001</v>
      </c>
      <c r="W2421">
        <v>-4.4947220000000003E-2</v>
      </c>
      <c r="X2421">
        <v>0.97022839999999999</v>
      </c>
      <c r="Y2421">
        <v>-0.60767130000000003</v>
      </c>
      <c r="Z2421">
        <v>1.85168299999999E-3</v>
      </c>
      <c r="AA2421">
        <v>0.79418650000000002</v>
      </c>
      <c r="AB2421">
        <v>20</v>
      </c>
      <c r="AC2421">
        <v>-9.5227999999999593</v>
      </c>
      <c r="AD2421">
        <v>-1.1104643502429901</v>
      </c>
      <c r="AE2421">
        <v>-15.378500000000001</v>
      </c>
      <c r="AF2421">
        <v>-11.0612692021576</v>
      </c>
      <c r="AG2421">
        <v>-1.1104643502429901</v>
      </c>
      <c r="AH2421">
        <v>14.2259592525428</v>
      </c>
      <c r="AI2421">
        <v>93.526285653916403</v>
      </c>
      <c r="AJ2421">
        <v>127.866536364447</v>
      </c>
      <c r="AK2421">
        <v>18.0544377949237</v>
      </c>
    </row>
    <row r="2422" spans="1:37" x14ac:dyDescent="0.2">
      <c r="A2422" t="str">
        <f>"20200111155846666"</f>
        <v>20200111155846666</v>
      </c>
      <c r="B2422" t="str">
        <f>"1578729526663898"</f>
        <v>1578729526663898</v>
      </c>
      <c r="C2422" t="s">
        <v>37</v>
      </c>
      <c r="D2422">
        <v>5.5361739999999999</v>
      </c>
      <c r="E2422">
        <v>0.26122719999999999</v>
      </c>
      <c r="F2422" t="s">
        <v>39</v>
      </c>
      <c r="G2422">
        <v>-493.18770000000001</v>
      </c>
      <c r="H2422" s="1">
        <v>-4.2438309999999997E-6</v>
      </c>
      <c r="I2422">
        <v>267.79590000000002</v>
      </c>
      <c r="J2422">
        <v>-483.75580000000002</v>
      </c>
      <c r="K2422">
        <v>1.110554</v>
      </c>
      <c r="L2422">
        <v>283.44850000000002</v>
      </c>
      <c r="M2422">
        <v>-0.93482009999999904</v>
      </c>
      <c r="N2422">
        <v>0</v>
      </c>
      <c r="O2422">
        <v>-0.35482619999999998</v>
      </c>
      <c r="P2422">
        <v>-0.81573769999999901</v>
      </c>
      <c r="Q2422">
        <v>-4.8787619999999997E-2</v>
      </c>
      <c r="R2422">
        <v>-0.57636080000000001</v>
      </c>
      <c r="S2422">
        <v>-1.7092290000000001</v>
      </c>
      <c r="T2422">
        <v>-0.19876289999999999</v>
      </c>
      <c r="U2422">
        <v>-2.811035</v>
      </c>
      <c r="V2422">
        <v>-0.2488281</v>
      </c>
      <c r="W2422">
        <v>-3.849052E-2</v>
      </c>
      <c r="X2422">
        <v>0.96778259999999905</v>
      </c>
      <c r="Y2422">
        <v>-0.61402840000000003</v>
      </c>
      <c r="Z2422">
        <v>2.054101E-3</v>
      </c>
      <c r="AA2422">
        <v>0.78928129999999996</v>
      </c>
      <c r="AB2422">
        <v>20</v>
      </c>
      <c r="AC2422">
        <v>-9.4318999999999793</v>
      </c>
      <c r="AD2422">
        <v>-1.110558243831</v>
      </c>
      <c r="AE2422">
        <v>-15.6526</v>
      </c>
      <c r="AF2422">
        <v>-11.245334326878</v>
      </c>
      <c r="AG2422">
        <v>-1.110558243831</v>
      </c>
      <c r="AH2422">
        <v>14.319706641822</v>
      </c>
      <c r="AI2422">
        <v>93.490413951057704</v>
      </c>
      <c r="AJ2422">
        <v>128.14271726685101</v>
      </c>
      <c r="AK2422">
        <v>18.2412960626169</v>
      </c>
    </row>
    <row r="2423" spans="1:37" x14ac:dyDescent="0.2">
      <c r="A2423" t="str">
        <f>"20200111155846684"</f>
        <v>20200111155846684</v>
      </c>
      <c r="B2423" t="str">
        <f>"1578729526673658"</f>
        <v>1578729526673658</v>
      </c>
      <c r="C2423" t="s">
        <v>37</v>
      </c>
      <c r="D2423">
        <v>5.2143139999999999</v>
      </c>
      <c r="E2423">
        <v>0.26337100000000002</v>
      </c>
      <c r="F2423" t="s">
        <v>58</v>
      </c>
      <c r="G2423">
        <v>-513.90859999999998</v>
      </c>
      <c r="H2423">
        <v>2.422174</v>
      </c>
      <c r="I2423">
        <v>210.4254</v>
      </c>
      <c r="J2423">
        <v>-483.89210000000003</v>
      </c>
      <c r="K2423">
        <v>1.1106499999999999</v>
      </c>
      <c r="L2423">
        <v>283.3861</v>
      </c>
      <c r="M2423">
        <v>-0.93170919999999902</v>
      </c>
      <c r="N2423">
        <v>0</v>
      </c>
      <c r="O2423">
        <v>-0.36291519999999999</v>
      </c>
      <c r="P2423">
        <v>-0.80584650000000002</v>
      </c>
      <c r="Q2423">
        <v>-4.3962569999999999E-2</v>
      </c>
      <c r="R2423">
        <v>-0.59049050000000003</v>
      </c>
      <c r="S2423">
        <v>-1.3578190000000001</v>
      </c>
      <c r="T2423">
        <v>5.9066300000000002E-2</v>
      </c>
      <c r="U2423">
        <v>-3.2883</v>
      </c>
      <c r="V2423">
        <v>-0.2572567</v>
      </c>
      <c r="W2423">
        <v>-3.3840389999999998E-2</v>
      </c>
      <c r="X2423">
        <v>0.96575040000000001</v>
      </c>
      <c r="Y2423">
        <v>-0.72269830000000002</v>
      </c>
      <c r="Z2423">
        <v>5.8510430000000002E-4</v>
      </c>
      <c r="AA2423">
        <v>0.69116339999999998</v>
      </c>
      <c r="AB2423">
        <v>20</v>
      </c>
      <c r="AC2423">
        <v>-30.016499999999901</v>
      </c>
      <c r="AD2423">
        <v>1.3115239999999999</v>
      </c>
      <c r="AE2423">
        <v>-72.960700000000003</v>
      </c>
      <c r="AF2423">
        <v>-57.074948265185299</v>
      </c>
      <c r="AG2423">
        <v>1.3115239999999999</v>
      </c>
      <c r="AH2423">
        <v>54.435884601975999</v>
      </c>
      <c r="AI2423">
        <v>89.047345991359805</v>
      </c>
      <c r="AJ2423">
        <v>136.355733653633</v>
      </c>
      <c r="AK2423">
        <v>78.8830485407087</v>
      </c>
    </row>
    <row r="2424" spans="1:37" x14ac:dyDescent="0.2">
      <c r="A2424" t="str">
        <f>"20200111155847322"</f>
        <v>20200111155847322</v>
      </c>
      <c r="B2424" t="str">
        <f>"1578729527313443"</f>
        <v>1578729527313443</v>
      </c>
      <c r="C2424" t="s">
        <v>37</v>
      </c>
      <c r="D2424">
        <v>5.6692229999999997</v>
      </c>
      <c r="E2424">
        <v>0.31732579999999999</v>
      </c>
      <c r="F2424" t="s">
        <v>58</v>
      </c>
      <c r="G2424">
        <v>-512.84569999999997</v>
      </c>
      <c r="H2424">
        <v>0.91659219999999897</v>
      </c>
      <c r="I2424">
        <v>210.4254</v>
      </c>
      <c r="J2424">
        <v>-488.15769999999998</v>
      </c>
      <c r="K2424">
        <v>1.1127670000000001</v>
      </c>
      <c r="L2424">
        <v>280.23180000000002</v>
      </c>
      <c r="M2424">
        <v>-0.71920319999999904</v>
      </c>
      <c r="N2424">
        <v>0</v>
      </c>
      <c r="O2424">
        <v>-0.69462290000000004</v>
      </c>
      <c r="P2424">
        <v>-0.48495690000000002</v>
      </c>
      <c r="Q2424">
        <v>-5.6494830000000003E-2</v>
      </c>
      <c r="R2424">
        <v>-0.87271180000000004</v>
      </c>
      <c r="S2424">
        <v>-1.3076779999999999</v>
      </c>
      <c r="T2424">
        <v>-8.761764E-3</v>
      </c>
      <c r="U2424">
        <v>-3.2952269999999899</v>
      </c>
      <c r="V2424">
        <v>-0.28992859999999998</v>
      </c>
      <c r="W2424">
        <v>-4.7393360000000002E-2</v>
      </c>
      <c r="X2424">
        <v>0.95587409999999995</v>
      </c>
      <c r="Y2424">
        <v>-0.41232370000000002</v>
      </c>
      <c r="Z2424">
        <v>1.333372E-3</v>
      </c>
      <c r="AA2424">
        <v>0.91103650000000003</v>
      </c>
      <c r="AB2424">
        <v>19</v>
      </c>
      <c r="AC2424">
        <v>-24.687999999999899</v>
      </c>
      <c r="AD2424">
        <v>-0.19617480000000001</v>
      </c>
      <c r="AE2424">
        <v>-69.806399999999996</v>
      </c>
      <c r="AF2424">
        <v>-33.059967119157299</v>
      </c>
      <c r="AG2424">
        <v>-0.19617480000000001</v>
      </c>
      <c r="AH2424">
        <v>66.252489996575605</v>
      </c>
      <c r="AI2424">
        <v>90.151803331575096</v>
      </c>
      <c r="AJ2424">
        <v>116.519178641808</v>
      </c>
      <c r="AK2424">
        <v>74.043178897304699</v>
      </c>
    </row>
    <row r="2425" spans="1:37" x14ac:dyDescent="0.2">
      <c r="A2425" t="str">
        <f>"20200111155847334"</f>
        <v>20200111155847334</v>
      </c>
      <c r="B2425" t="str">
        <f>"1578729527324181"</f>
        <v>1578729527324181</v>
      </c>
      <c r="C2425" t="s">
        <v>37</v>
      </c>
      <c r="D2425">
        <v>5.6348969999999996</v>
      </c>
      <c r="E2425">
        <v>0.31626539999999997</v>
      </c>
      <c r="F2425" t="s">
        <v>39</v>
      </c>
      <c r="G2425">
        <v>-489.60890000000001</v>
      </c>
      <c r="H2425" s="1">
        <v>-1.8399500000000001E-6</v>
      </c>
      <c r="I2425">
        <v>253.76</v>
      </c>
      <c r="J2425">
        <v>-488.21850000000001</v>
      </c>
      <c r="K2425">
        <v>1.1127819999999999</v>
      </c>
      <c r="L2425">
        <v>280.1592</v>
      </c>
      <c r="M2425">
        <v>-0.71328239999999998</v>
      </c>
      <c r="N2425">
        <v>0</v>
      </c>
      <c r="O2425">
        <v>-0.70070080000000001</v>
      </c>
      <c r="P2425">
        <v>-0.47841040000000001</v>
      </c>
      <c r="Q2425">
        <v>-5.6288749999999999E-2</v>
      </c>
      <c r="R2425">
        <v>-0.87633069999999902</v>
      </c>
      <c r="S2425">
        <v>-0.1824036</v>
      </c>
      <c r="T2425">
        <v>-0.13986299999999999</v>
      </c>
      <c r="U2425">
        <v>-3.3272089999999999</v>
      </c>
      <c r="V2425">
        <v>-0.28898550000000001</v>
      </c>
      <c r="W2425">
        <v>-4.715449E-2</v>
      </c>
      <c r="X2425">
        <v>0.95617149999999995</v>
      </c>
      <c r="Y2425">
        <v>-0.67385289999999998</v>
      </c>
      <c r="Z2425">
        <v>1.7798979999999999E-2</v>
      </c>
      <c r="AA2425">
        <v>0.7386511</v>
      </c>
      <c r="AB2425">
        <v>19</v>
      </c>
      <c r="AC2425">
        <v>-1.3903999999999901</v>
      </c>
      <c r="AD2425">
        <v>-1.1127838399500001</v>
      </c>
      <c r="AE2425">
        <v>-26.3992</v>
      </c>
      <c r="AF2425">
        <v>-17.8264459107485</v>
      </c>
      <c r="AG2425">
        <v>-1.1127838399500001</v>
      </c>
      <c r="AH2425">
        <v>19.457615220262699</v>
      </c>
      <c r="AI2425">
        <v>92.414642152888504</v>
      </c>
      <c r="AJ2425">
        <v>132.494919962952</v>
      </c>
      <c r="AK2425">
        <v>26.4124828772892</v>
      </c>
    </row>
    <row r="2426" spans="1:37" x14ac:dyDescent="0.2">
      <c r="A2426" t="str">
        <f>"20200111155847348"</f>
        <v>20200111155847348</v>
      </c>
      <c r="B2426" t="str">
        <f>"1578729527343700"</f>
        <v>1578729527343700</v>
      </c>
      <c r="C2426" t="s">
        <v>37</v>
      </c>
      <c r="D2426">
        <v>5.5938860000000004</v>
      </c>
      <c r="E2426">
        <v>0.31428669999999997</v>
      </c>
      <c r="F2426" t="s">
        <v>39</v>
      </c>
      <c r="G2426">
        <v>-489.7672</v>
      </c>
      <c r="H2426" s="1">
        <v>-2.8366620000000001E-6</v>
      </c>
      <c r="I2426">
        <v>246.14879999999999</v>
      </c>
      <c r="J2426">
        <v>-488.28519999999997</v>
      </c>
      <c r="K2426">
        <v>1.112797</v>
      </c>
      <c r="L2426">
        <v>280.0788</v>
      </c>
      <c r="M2426">
        <v>-0.70666609999999996</v>
      </c>
      <c r="N2426">
        <v>0</v>
      </c>
      <c r="O2426">
        <v>-0.70737220000000001</v>
      </c>
      <c r="P2426">
        <v>-0.47134520000000002</v>
      </c>
      <c r="Q2426">
        <v>-5.615846E-2</v>
      </c>
      <c r="R2426">
        <v>-0.88015940000000004</v>
      </c>
      <c r="S2426">
        <v>-0.1517944</v>
      </c>
      <c r="T2426">
        <v>-0.1090685</v>
      </c>
      <c r="U2426">
        <v>-3.3334959999999998</v>
      </c>
      <c r="V2426">
        <v>-0.28770089999999998</v>
      </c>
      <c r="W2426">
        <v>-4.6981160000000001E-2</v>
      </c>
      <c r="X2426">
        <v>0.95656730000000001</v>
      </c>
      <c r="Y2426">
        <v>-0.67378760000000004</v>
      </c>
      <c r="Z2426">
        <v>1.416686E-2</v>
      </c>
      <c r="AA2426">
        <v>0.73878929999999998</v>
      </c>
      <c r="AB2426">
        <v>19</v>
      </c>
      <c r="AC2426">
        <v>-1.48200000000002</v>
      </c>
      <c r="AD2426">
        <v>-1.112799836662</v>
      </c>
      <c r="AE2426">
        <v>-33.93</v>
      </c>
      <c r="AF2426">
        <v>-22.907101375597001</v>
      </c>
      <c r="AG2426">
        <v>-1.112799836662</v>
      </c>
      <c r="AH2426">
        <v>25.024653169832899</v>
      </c>
      <c r="AI2426">
        <v>91.878677681251702</v>
      </c>
      <c r="AJ2426">
        <v>132.47040471427201</v>
      </c>
      <c r="AK2426">
        <v>33.944173037191199</v>
      </c>
    </row>
    <row r="2427" spans="1:37" x14ac:dyDescent="0.2">
      <c r="A2427" t="str">
        <f>"20200111155847360"</f>
        <v>20200111155847360</v>
      </c>
      <c r="B2427" t="str">
        <f>"1578729527353460"</f>
        <v>1578729527353460</v>
      </c>
      <c r="C2427" t="s">
        <v>37</v>
      </c>
      <c r="D2427">
        <v>5.5957019999999904</v>
      </c>
      <c r="E2427">
        <v>0.31483899999999998</v>
      </c>
      <c r="F2427" t="s">
        <v>49</v>
      </c>
      <c r="G2427">
        <v>-490.575999999999</v>
      </c>
      <c r="H2427" s="1">
        <v>3.1234579999999999E-6</v>
      </c>
      <c r="I2427">
        <v>212.71039999999999</v>
      </c>
      <c r="J2427">
        <v>-488.351</v>
      </c>
      <c r="K2427">
        <v>1.1128069999999901</v>
      </c>
      <c r="L2427">
        <v>279.9975</v>
      </c>
      <c r="M2427">
        <v>-0.69994460000000003</v>
      </c>
      <c r="N2427">
        <v>0</v>
      </c>
      <c r="O2427">
        <v>-0.71402339999999997</v>
      </c>
      <c r="P2427">
        <v>-0.46423429999999999</v>
      </c>
      <c r="Q2427">
        <v>-5.5941399999999898E-2</v>
      </c>
      <c r="R2427">
        <v>-0.88394419999999996</v>
      </c>
      <c r="S2427">
        <v>-0.1137085</v>
      </c>
      <c r="T2427">
        <v>-5.5237290000000001E-2</v>
      </c>
      <c r="U2427">
        <v>-3.344055</v>
      </c>
      <c r="V2427">
        <v>-0.28638049999999998</v>
      </c>
      <c r="W2427">
        <v>-4.6718490000000001E-2</v>
      </c>
      <c r="X2427">
        <v>0.9569763</v>
      </c>
      <c r="Y2427">
        <v>-0.67534539999999998</v>
      </c>
      <c r="Z2427">
        <v>7.2963029999999996E-3</v>
      </c>
      <c r="AA2427">
        <v>0.73746540000000005</v>
      </c>
      <c r="AB2427">
        <v>19</v>
      </c>
      <c r="AC2427">
        <v>-2.2249999999999601</v>
      </c>
      <c r="AD2427">
        <v>-1.1128038765420001</v>
      </c>
      <c r="AE2427">
        <v>-67.287099999999995</v>
      </c>
      <c r="AF2427">
        <v>-45.501755947915299</v>
      </c>
      <c r="AG2427">
        <v>-1.1128038765420001</v>
      </c>
      <c r="AH2427">
        <v>49.594546139082297</v>
      </c>
      <c r="AI2427">
        <v>90.947220769921202</v>
      </c>
      <c r="AJ2427">
        <v>132.53560367809601</v>
      </c>
      <c r="AK2427">
        <v>67.314687353896602</v>
      </c>
    </row>
    <row r="2428" spans="1:37" x14ac:dyDescent="0.2">
      <c r="A2428" t="str">
        <f>"20200111155847372"</f>
        <v>20200111155847372</v>
      </c>
      <c r="B2428" t="str">
        <f>"1578729527364196"</f>
        <v>1578729527364196</v>
      </c>
      <c r="C2428" t="s">
        <v>37</v>
      </c>
      <c r="D2428">
        <v>5.7047169999999996</v>
      </c>
      <c r="E2428">
        <v>0.316</v>
      </c>
      <c r="F2428" t="s">
        <v>49</v>
      </c>
      <c r="G2428">
        <v>-490.23340000000002</v>
      </c>
      <c r="H2428" s="1">
        <v>3.07190699999999E-6</v>
      </c>
      <c r="I2428">
        <v>210.14089999999999</v>
      </c>
      <c r="J2428">
        <v>-488.41050000000001</v>
      </c>
      <c r="K2428">
        <v>1.1128100000000001</v>
      </c>
      <c r="L2428">
        <v>279.92259999999999</v>
      </c>
      <c r="M2428">
        <v>-0.693716</v>
      </c>
      <c r="N2428">
        <v>0</v>
      </c>
      <c r="O2428">
        <v>-0.7200763</v>
      </c>
      <c r="P2428">
        <v>-0.45816129999999999</v>
      </c>
      <c r="Q2428">
        <v>-5.596632E-2</v>
      </c>
      <c r="R2428">
        <v>-0.8871059</v>
      </c>
      <c r="S2428">
        <v>-9.0087890000000004E-2</v>
      </c>
      <c r="T2428">
        <v>-5.3257579999999999E-2</v>
      </c>
      <c r="U2428">
        <v>-3.3432620000000002</v>
      </c>
      <c r="V2428">
        <v>-0.28463090000000002</v>
      </c>
      <c r="W2428">
        <v>-4.6687579999999999E-2</v>
      </c>
      <c r="X2428">
        <v>0.95749959999999901</v>
      </c>
      <c r="Y2428">
        <v>-0.6741393</v>
      </c>
      <c r="Z2428">
        <v>7.1833590000000003E-3</v>
      </c>
      <c r="AA2428">
        <v>0.73856940000000004</v>
      </c>
      <c r="AB2428">
        <v>19</v>
      </c>
      <c r="AC2428">
        <v>-1.8229</v>
      </c>
      <c r="AD2428">
        <v>-1.112806928093</v>
      </c>
      <c r="AE2428">
        <v>-69.781700000000001</v>
      </c>
      <c r="AF2428">
        <v>-47.089934123362497</v>
      </c>
      <c r="AG2428">
        <v>-1.112806928093</v>
      </c>
      <c r="AH2428">
        <v>51.506028664866697</v>
      </c>
      <c r="AI2428">
        <v>90.913537387697801</v>
      </c>
      <c r="AJ2428">
        <v>132.43544688627199</v>
      </c>
      <c r="AK2428">
        <v>69.796641923719406</v>
      </c>
    </row>
    <row r="2429" spans="1:37" x14ac:dyDescent="0.2">
      <c r="A2429" t="str">
        <f>"20200111155847384"</f>
        <v>20200111155847384</v>
      </c>
      <c r="B2429" t="str">
        <f>"1578729527373956"</f>
        <v>1578729527373956</v>
      </c>
      <c r="C2429" t="s">
        <v>37</v>
      </c>
      <c r="D2429">
        <v>5.671462</v>
      </c>
      <c r="E2429">
        <v>0.31765509999999902</v>
      </c>
      <c r="F2429" t="s">
        <v>49</v>
      </c>
      <c r="G2429">
        <v>-489.84059999999999</v>
      </c>
      <c r="H2429" s="1">
        <v>3.359292E-6</v>
      </c>
      <c r="I2429">
        <v>216.07259999999999</v>
      </c>
      <c r="J2429">
        <v>-488.47329999999999</v>
      </c>
      <c r="K2429">
        <v>1.1128199999999999</v>
      </c>
      <c r="L2429">
        <v>279.8424</v>
      </c>
      <c r="M2429">
        <v>-0.68701509999999999</v>
      </c>
      <c r="N2429">
        <v>0</v>
      </c>
      <c r="O2429">
        <v>-0.72647150000000005</v>
      </c>
      <c r="P2429">
        <v>-0.45170349999999998</v>
      </c>
      <c r="Q2429">
        <v>-5.6048979999999998E-2</v>
      </c>
      <c r="R2429">
        <v>-0.89040609999999998</v>
      </c>
      <c r="S2429">
        <v>-7.4798580000000003E-2</v>
      </c>
      <c r="T2429">
        <v>-5.8201910000000003E-2</v>
      </c>
      <c r="U2429">
        <v>-3.33947799999999</v>
      </c>
      <c r="V2429">
        <v>-0.2827134</v>
      </c>
      <c r="W2429">
        <v>-4.6709090000000002E-2</v>
      </c>
      <c r="X2429">
        <v>0.95806650000000004</v>
      </c>
      <c r="Y2429">
        <v>-0.67064399999999902</v>
      </c>
      <c r="Z2429">
        <v>8.0490539999999999E-3</v>
      </c>
      <c r="AA2429">
        <v>0.74173559999999905</v>
      </c>
      <c r="AB2429">
        <v>19</v>
      </c>
      <c r="AC2429">
        <v>-1.3673</v>
      </c>
      <c r="AD2429">
        <v>-1.112816640708</v>
      </c>
      <c r="AE2429">
        <v>-63.769799999999996</v>
      </c>
      <c r="AF2429">
        <v>-42.809821147795503</v>
      </c>
      <c r="AG2429">
        <v>-1.112816640708</v>
      </c>
      <c r="AH2429">
        <v>47.257809124141502</v>
      </c>
      <c r="AI2429">
        <v>90.999814590199307</v>
      </c>
      <c r="AJ2429">
        <v>132.17274611352201</v>
      </c>
      <c r="AK2429">
        <v>63.774757316636503</v>
      </c>
    </row>
    <row r="2430" spans="1:37" x14ac:dyDescent="0.2">
      <c r="A2430" t="str">
        <f>"20200111155847400"</f>
        <v>20200111155847400</v>
      </c>
      <c r="B2430" t="str">
        <f>"1578729527393475"</f>
        <v>1578729527393475</v>
      </c>
      <c r="C2430" t="s">
        <v>37</v>
      </c>
      <c r="D2430">
        <v>5.5009499999999996</v>
      </c>
      <c r="E2430">
        <v>0.326078599999999</v>
      </c>
      <c r="F2430" t="s">
        <v>49</v>
      </c>
      <c r="G2430">
        <v>-489.85840000000002</v>
      </c>
      <c r="H2430" s="1">
        <v>2.1770239999999999E-6</v>
      </c>
      <c r="I2430">
        <v>206.70070000000001</v>
      </c>
      <c r="J2430">
        <v>-488.54759999999999</v>
      </c>
      <c r="K2430">
        <v>1.112833</v>
      </c>
      <c r="L2430">
        <v>279.74450000000002</v>
      </c>
      <c r="M2430">
        <v>-0.6787955</v>
      </c>
      <c r="N2430">
        <v>0</v>
      </c>
      <c r="O2430">
        <v>-0.73415710000000001</v>
      </c>
      <c r="P2430">
        <v>-0.4457699</v>
      </c>
      <c r="Q2430">
        <v>-5.5041090000000001E-2</v>
      </c>
      <c r="R2430">
        <v>-0.89345390000000002</v>
      </c>
      <c r="S2430">
        <v>-6.3140870000000002E-2</v>
      </c>
      <c r="T2430">
        <v>-5.072641E-2</v>
      </c>
      <c r="U2430">
        <v>-3.334076</v>
      </c>
      <c r="V2430">
        <v>-0.27836949999999999</v>
      </c>
      <c r="W2430">
        <v>-4.5574469999999999E-2</v>
      </c>
      <c r="X2430">
        <v>0.95939219999999903</v>
      </c>
      <c r="Y2430">
        <v>-0.66484500000000002</v>
      </c>
      <c r="Z2430">
        <v>7.2384669999999898E-3</v>
      </c>
      <c r="AA2430">
        <v>0.74694629999999995</v>
      </c>
      <c r="AB2430">
        <v>19</v>
      </c>
      <c r="AC2430">
        <v>-1.3108000000000199</v>
      </c>
      <c r="AD2430">
        <v>-1.112830822976</v>
      </c>
      <c r="AE2430">
        <v>-73.043800000000005</v>
      </c>
      <c r="AF2430">
        <v>-48.614268551292398</v>
      </c>
      <c r="AG2430">
        <v>-1.112830822976</v>
      </c>
      <c r="AH2430">
        <v>54.509557741764297</v>
      </c>
      <c r="AI2430">
        <v>90.872902341562906</v>
      </c>
      <c r="AJ2430">
        <v>131.72812808431701</v>
      </c>
      <c r="AK2430">
        <v>73.047090184486393</v>
      </c>
    </row>
    <row r="2431" spans="1:37" x14ac:dyDescent="0.2">
      <c r="A2431" t="str">
        <f>"20200111155847412"</f>
        <v>20200111155847412</v>
      </c>
      <c r="B2431" t="str">
        <f>"1578729527404212"</f>
        <v>1578729527404212</v>
      </c>
      <c r="C2431" t="s">
        <v>37</v>
      </c>
      <c r="D2431">
        <v>5.587618</v>
      </c>
      <c r="E2431">
        <v>0.32903179999999999</v>
      </c>
      <c r="F2431" t="s">
        <v>43</v>
      </c>
      <c r="G2431">
        <v>0</v>
      </c>
      <c r="H2431">
        <v>0</v>
      </c>
      <c r="I2431">
        <v>0</v>
      </c>
      <c r="J2431">
        <v>-488.60599999999999</v>
      </c>
      <c r="K2431">
        <v>1.112838</v>
      </c>
      <c r="L2431">
        <v>279.66609999999997</v>
      </c>
      <c r="M2431">
        <v>-0.67217559999999998</v>
      </c>
      <c r="N2431">
        <v>0</v>
      </c>
      <c r="O2431">
        <v>-0.74022259999999995</v>
      </c>
      <c r="P2431">
        <v>-0.44004140000000003</v>
      </c>
      <c r="Q2431">
        <v>-5.4773759999999998E-2</v>
      </c>
      <c r="R2431">
        <v>-0.89630529999999997</v>
      </c>
      <c r="S2431">
        <v>-0.112793</v>
      </c>
      <c r="T2431">
        <v>0.21347179999999999</v>
      </c>
      <c r="U2431">
        <v>-3.3146059999999999</v>
      </c>
      <c r="V2431">
        <v>-0.27591490000000002</v>
      </c>
      <c r="W2431">
        <v>-4.5232229999999998E-2</v>
      </c>
      <c r="X2431">
        <v>0.960117199999999</v>
      </c>
      <c r="Y2431">
        <v>-0.64652359999999998</v>
      </c>
      <c r="Z2431">
        <v>-3.1729609999999998E-2</v>
      </c>
      <c r="AA2431">
        <v>0.76223390000000002</v>
      </c>
      <c r="AB2431">
        <v>19</v>
      </c>
      <c r="AC2431">
        <v>-0.112793</v>
      </c>
      <c r="AD2431">
        <v>0.21347179999999999</v>
      </c>
      <c r="AE2431">
        <v>-3.3146059999999999</v>
      </c>
      <c r="AF2431">
        <v>-2.1359248320210802</v>
      </c>
      <c r="AG2431">
        <v>0.21347179999999999</v>
      </c>
      <c r="AH2431">
        <v>2.51924257829788</v>
      </c>
      <c r="AI2431">
        <v>86.301957981669005</v>
      </c>
      <c r="AJ2431">
        <v>130.29274656074901</v>
      </c>
      <c r="AK2431">
        <v>3.3097323556064899</v>
      </c>
    </row>
    <row r="2432" spans="1:37" x14ac:dyDescent="0.2">
      <c r="A2432" t="str">
        <f>"20200111155847438"</f>
        <v>20200111155847438</v>
      </c>
      <c r="B2432" t="str">
        <f>"1578729527433493"</f>
        <v>1578729527433493</v>
      </c>
      <c r="C2432" t="s">
        <v>37</v>
      </c>
      <c r="D2432">
        <v>5.6167259999999999</v>
      </c>
      <c r="E2432">
        <v>0.33269490000000002</v>
      </c>
      <c r="F2432" t="s">
        <v>43</v>
      </c>
      <c r="G2432">
        <v>0</v>
      </c>
      <c r="H2432">
        <v>0</v>
      </c>
      <c r="I2432">
        <v>0</v>
      </c>
      <c r="J2432">
        <v>-488.72750000000002</v>
      </c>
      <c r="K2432">
        <v>1.112849</v>
      </c>
      <c r="L2432">
        <v>279.49810000000002</v>
      </c>
      <c r="M2432">
        <v>-0.65790550000000003</v>
      </c>
      <c r="N2432">
        <v>0</v>
      </c>
      <c r="O2432">
        <v>-0.75293390000000004</v>
      </c>
      <c r="P2432">
        <v>-0.42793609999999999</v>
      </c>
      <c r="Q2432">
        <v>-5.3733740000000002E-2</v>
      </c>
      <c r="R2432">
        <v>-0.90221039999999997</v>
      </c>
      <c r="S2432">
        <v>-0.1123962</v>
      </c>
      <c r="T2432">
        <v>0.20664199999999999</v>
      </c>
      <c r="U2432">
        <v>-3.304535</v>
      </c>
      <c r="V2432">
        <v>-0.27055309999999999</v>
      </c>
      <c r="W2432">
        <v>-4.4029459999999999E-2</v>
      </c>
      <c r="X2432">
        <v>0.96169769999999899</v>
      </c>
      <c r="Y2432">
        <v>-0.63186640000000005</v>
      </c>
      <c r="Z2432">
        <v>-3.2372379999999999E-2</v>
      </c>
      <c r="AA2432">
        <v>0.77440100000000001</v>
      </c>
      <c r="AB2432">
        <v>19</v>
      </c>
      <c r="AC2432">
        <v>-0.1123962</v>
      </c>
      <c r="AD2432">
        <v>0.20664199999999999</v>
      </c>
      <c r="AE2432">
        <v>-3.304535</v>
      </c>
      <c r="AF2432">
        <v>-2.0815767037796702</v>
      </c>
      <c r="AG2432">
        <v>0.20664199999999999</v>
      </c>
      <c r="AH2432">
        <v>2.5523947229286099</v>
      </c>
      <c r="AI2432">
        <v>86.409921834687395</v>
      </c>
      <c r="AJ2432">
        <v>129.198575905121</v>
      </c>
      <c r="AK2432">
        <v>3.3000577739664001</v>
      </c>
    </row>
    <row r="2433" spans="1:37" x14ac:dyDescent="0.2">
      <c r="A2433" t="str">
        <f>"20200111155847451"</f>
        <v>20200111155847451</v>
      </c>
      <c r="B2433" t="str">
        <f>"1578729527444229"</f>
        <v>1578729527444229</v>
      </c>
      <c r="C2433" t="s">
        <v>37</v>
      </c>
      <c r="D2433">
        <v>5.668571</v>
      </c>
      <c r="E2433">
        <v>0.33365009999999901</v>
      </c>
      <c r="F2433" t="s">
        <v>43</v>
      </c>
      <c r="G2433">
        <v>0</v>
      </c>
      <c r="H2433">
        <v>0</v>
      </c>
      <c r="I2433">
        <v>0</v>
      </c>
      <c r="J2433">
        <v>-488.78550000000001</v>
      </c>
      <c r="K2433">
        <v>1.112851</v>
      </c>
      <c r="L2433">
        <v>279.41550000000001</v>
      </c>
      <c r="M2433">
        <v>-0.65083769999999996</v>
      </c>
      <c r="N2433">
        <v>0</v>
      </c>
      <c r="O2433">
        <v>-0.75905129999999998</v>
      </c>
      <c r="P2433">
        <v>-0.422238</v>
      </c>
      <c r="Q2433">
        <v>-5.331383E-2</v>
      </c>
      <c r="R2433">
        <v>-0.90491619999999995</v>
      </c>
      <c r="S2433">
        <v>-9.4635010000000006E-2</v>
      </c>
      <c r="T2433">
        <v>0.20982609999999999</v>
      </c>
      <c r="U2433">
        <v>-3.292786</v>
      </c>
      <c r="V2433">
        <v>-0.26765409999999901</v>
      </c>
      <c r="W2433">
        <v>-4.3523119999999998E-2</v>
      </c>
      <c r="X2433">
        <v>0.96253159999999904</v>
      </c>
      <c r="Y2433">
        <v>-0.62869439999999999</v>
      </c>
      <c r="Z2433">
        <v>-3.3635779999999997E-2</v>
      </c>
      <c r="AA2433">
        <v>0.77692469999999902</v>
      </c>
      <c r="AB2433">
        <v>19</v>
      </c>
      <c r="AC2433">
        <v>-9.4635010000000006E-2</v>
      </c>
      <c r="AD2433">
        <v>0.20982609999999999</v>
      </c>
      <c r="AE2433">
        <v>-3.292786</v>
      </c>
      <c r="AF2433">
        <v>-2.0631262048905401</v>
      </c>
      <c r="AG2433">
        <v>0.20982609999999999</v>
      </c>
      <c r="AH2433">
        <v>2.5509576061474499</v>
      </c>
      <c r="AI2433">
        <v>86.340626395705101</v>
      </c>
      <c r="AJ2433">
        <v>128.964732933742</v>
      </c>
      <c r="AK2433">
        <v>3.2875372907251998</v>
      </c>
    </row>
    <row r="2434" spans="1:37" x14ac:dyDescent="0.2">
      <c r="A2434" t="str">
        <f>"20200111155847462"</f>
        <v>20200111155847462</v>
      </c>
      <c r="B2434" t="str">
        <f>"1578729527453988"</f>
        <v>1578729527453988</v>
      </c>
      <c r="C2434" t="s">
        <v>37</v>
      </c>
      <c r="D2434">
        <v>5.7094860000000001</v>
      </c>
      <c r="E2434">
        <v>0.33475830000000001</v>
      </c>
      <c r="F2434" t="s">
        <v>43</v>
      </c>
      <c r="G2434">
        <v>0</v>
      </c>
      <c r="H2434">
        <v>0</v>
      </c>
      <c r="I2434">
        <v>0</v>
      </c>
      <c r="J2434">
        <v>-488.8415</v>
      </c>
      <c r="K2434">
        <v>1.112851</v>
      </c>
      <c r="L2434">
        <v>279.33420000000001</v>
      </c>
      <c r="M2434">
        <v>-0.64386129999999997</v>
      </c>
      <c r="N2434">
        <v>0</v>
      </c>
      <c r="O2434">
        <v>-0.76497760000000004</v>
      </c>
      <c r="P2434">
        <v>-0.41635850000000002</v>
      </c>
      <c r="Q2434">
        <v>-5.3010509999999997E-2</v>
      </c>
      <c r="R2434">
        <v>-0.90765390000000001</v>
      </c>
      <c r="S2434">
        <v>-8.1176760000000001E-2</v>
      </c>
      <c r="T2434">
        <v>0.22174869999999999</v>
      </c>
      <c r="U2434">
        <v>-3.290375</v>
      </c>
      <c r="V2434">
        <v>-0.26510699999999998</v>
      </c>
      <c r="W2434">
        <v>-4.3142390000000003E-2</v>
      </c>
      <c r="X2434">
        <v>0.96325329999999998</v>
      </c>
      <c r="Y2434">
        <v>-0.62471509999999997</v>
      </c>
      <c r="Z2434">
        <v>-3.6258209999999999E-2</v>
      </c>
      <c r="AA2434">
        <v>0.78001049999999905</v>
      </c>
      <c r="AB2434">
        <v>18</v>
      </c>
      <c r="AC2434">
        <v>-8.1176760000000001E-2</v>
      </c>
      <c r="AD2434">
        <v>0.22174869999999999</v>
      </c>
      <c r="AE2434">
        <v>-3.290375</v>
      </c>
      <c r="AF2434">
        <v>-2.04741242480948</v>
      </c>
      <c r="AG2434">
        <v>0.22174869999999999</v>
      </c>
      <c r="AH2434">
        <v>2.5580422710896502</v>
      </c>
      <c r="AI2434">
        <v>86.128214764290107</v>
      </c>
      <c r="AJ2434">
        <v>128.67317109368801</v>
      </c>
      <c r="AK2434">
        <v>3.2839991449294601</v>
      </c>
    </row>
    <row r="2435" spans="1:37" x14ac:dyDescent="0.2">
      <c r="A2435" t="str">
        <f>"20200111155847479"</f>
        <v>20200111155847479</v>
      </c>
      <c r="B2435" t="str">
        <f>"1578729527473508"</f>
        <v>1578729527473508</v>
      </c>
      <c r="C2435" t="s">
        <v>37</v>
      </c>
      <c r="D2435">
        <v>5.7829739999999896</v>
      </c>
      <c r="E2435">
        <v>0.33644550000000001</v>
      </c>
      <c r="F2435" t="s">
        <v>43</v>
      </c>
      <c r="G2435">
        <v>0</v>
      </c>
      <c r="H2435">
        <v>0</v>
      </c>
      <c r="I2435">
        <v>0</v>
      </c>
      <c r="J2435">
        <v>-488.91239999999999</v>
      </c>
      <c r="K2435">
        <v>1.1128370000000001</v>
      </c>
      <c r="L2435">
        <v>279.22840000000002</v>
      </c>
      <c r="M2435">
        <v>-0.6347623</v>
      </c>
      <c r="N2435">
        <v>0</v>
      </c>
      <c r="O2435">
        <v>-0.77254440000000002</v>
      </c>
      <c r="P2435">
        <v>-0.40982540000000001</v>
      </c>
      <c r="Q2435">
        <v>-5.2319490000000003E-2</v>
      </c>
      <c r="R2435">
        <v>-0.91066279999999999</v>
      </c>
      <c r="S2435">
        <v>-6.7779539999999999E-2</v>
      </c>
      <c r="T2435">
        <v>0.22318489999999999</v>
      </c>
      <c r="U2435">
        <v>-3.287201</v>
      </c>
      <c r="V2435">
        <v>-0.26067099999999999</v>
      </c>
      <c r="W2435">
        <v>-4.2322140000000001E-2</v>
      </c>
      <c r="X2435">
        <v>0.96449959999999901</v>
      </c>
      <c r="Y2435">
        <v>-0.61861999999999995</v>
      </c>
      <c r="Z2435">
        <v>-3.7446640000000003E-2</v>
      </c>
      <c r="AA2435">
        <v>0.78479739999999998</v>
      </c>
      <c r="AB2435">
        <v>18</v>
      </c>
      <c r="AC2435">
        <v>-6.7779539999999999E-2</v>
      </c>
      <c r="AD2435">
        <v>0.22318489999999999</v>
      </c>
      <c r="AE2435">
        <v>-3.287201</v>
      </c>
      <c r="AF2435">
        <v>-2.0251534188476898</v>
      </c>
      <c r="AG2435">
        <v>0.22318489999999999</v>
      </c>
      <c r="AH2435">
        <v>2.5710113706073199</v>
      </c>
      <c r="AI2435">
        <v>86.098841769645304</v>
      </c>
      <c r="AJ2435">
        <v>128.22706088983301</v>
      </c>
      <c r="AK2435">
        <v>3.2804202988718698</v>
      </c>
    </row>
    <row r="2436" spans="1:37" x14ac:dyDescent="0.2">
      <c r="A2436" t="str">
        <f>"20200111155847493"</f>
        <v>20200111155847493</v>
      </c>
      <c r="B2436" t="str">
        <f>"1578729527484243"</f>
        <v>1578729527484243</v>
      </c>
      <c r="C2436" t="s">
        <v>37</v>
      </c>
      <c r="D2436">
        <v>5.7610010000000003</v>
      </c>
      <c r="E2436">
        <v>0.33716119999999999</v>
      </c>
      <c r="F2436" t="s">
        <v>43</v>
      </c>
      <c r="G2436">
        <v>0</v>
      </c>
      <c r="H2436">
        <v>0</v>
      </c>
      <c r="I2436">
        <v>0</v>
      </c>
      <c r="J2436">
        <v>-488.97129999999999</v>
      </c>
      <c r="K2436">
        <v>1.112824</v>
      </c>
      <c r="L2436">
        <v>279.13830000000002</v>
      </c>
      <c r="M2436">
        <v>-0.62698330000000002</v>
      </c>
      <c r="N2436">
        <v>0</v>
      </c>
      <c r="O2436">
        <v>-0.77887090000000003</v>
      </c>
      <c r="P2436">
        <v>-0.40257870000000001</v>
      </c>
      <c r="Q2436">
        <v>-5.187833E-2</v>
      </c>
      <c r="R2436">
        <v>-0.91391449999999996</v>
      </c>
      <c r="S2436">
        <v>-5.6182860000000001E-2</v>
      </c>
      <c r="T2436">
        <v>0.22682829999999901</v>
      </c>
      <c r="U2436">
        <v>-3.2820429999999998</v>
      </c>
      <c r="V2436">
        <v>-0.25868819999999998</v>
      </c>
      <c r="W2436">
        <v>-4.1815060000000001E-2</v>
      </c>
      <c r="X2436">
        <v>0.96505540000000001</v>
      </c>
      <c r="Y2436">
        <v>-0.61347649999999998</v>
      </c>
      <c r="Z2436">
        <v>-3.8897220000000003E-2</v>
      </c>
      <c r="AA2436">
        <v>0.78875450000000003</v>
      </c>
      <c r="AB2436">
        <v>18</v>
      </c>
      <c r="AC2436">
        <v>-5.6182860000000001E-2</v>
      </c>
      <c r="AD2436">
        <v>0.22682829999999901</v>
      </c>
      <c r="AE2436">
        <v>-3.2820429999999998</v>
      </c>
      <c r="AF2436">
        <v>-2.0047082355110599</v>
      </c>
      <c r="AG2436">
        <v>0.22682829999999901</v>
      </c>
      <c r="AH2436">
        <v>2.5795228015479998</v>
      </c>
      <c r="AI2436">
        <v>86.028227148116102</v>
      </c>
      <c r="AJ2436">
        <v>127.853009753162</v>
      </c>
      <c r="AK2436">
        <v>3.2747891643452198</v>
      </c>
    </row>
    <row r="2437" spans="1:37" x14ac:dyDescent="0.2">
      <c r="A2437" t="str">
        <f>"20200111155847507"</f>
        <v>20200111155847507</v>
      </c>
      <c r="B2437" t="str">
        <f>"1578729527503764"</f>
        <v>1578729527503764</v>
      </c>
      <c r="C2437" t="s">
        <v>37</v>
      </c>
      <c r="D2437">
        <v>5.8086960000000003</v>
      </c>
      <c r="E2437">
        <v>0.33922529999999901</v>
      </c>
      <c r="F2437" t="s">
        <v>43</v>
      </c>
      <c r="G2437">
        <v>0</v>
      </c>
      <c r="H2437">
        <v>0</v>
      </c>
      <c r="I2437">
        <v>0</v>
      </c>
      <c r="J2437">
        <v>-489.03140000000002</v>
      </c>
      <c r="K2437">
        <v>1.112811</v>
      </c>
      <c r="L2437">
        <v>279.04469999999998</v>
      </c>
      <c r="M2437">
        <v>-0.61887510000000001</v>
      </c>
      <c r="N2437">
        <v>0</v>
      </c>
      <c r="O2437">
        <v>-0.78532860000000004</v>
      </c>
      <c r="P2437">
        <v>-0.39492100000000002</v>
      </c>
      <c r="Q2437">
        <v>-5.1476319999999999E-2</v>
      </c>
      <c r="R2437">
        <v>-0.91727230000000004</v>
      </c>
      <c r="S2437">
        <v>-3.4759520000000002E-2</v>
      </c>
      <c r="T2437">
        <v>0.2216669</v>
      </c>
      <c r="U2437">
        <v>-3.2798159999999998</v>
      </c>
      <c r="V2437">
        <v>-0.25678020000000001</v>
      </c>
      <c r="W2437">
        <v>-4.1347920000000003E-2</v>
      </c>
      <c r="X2437">
        <v>0.96558489999999997</v>
      </c>
      <c r="Y2437">
        <v>-0.61044009999999904</v>
      </c>
      <c r="Z2437">
        <v>-3.8756770000000003E-2</v>
      </c>
      <c r="AA2437">
        <v>0.79111369999999903</v>
      </c>
      <c r="AB2437">
        <v>18</v>
      </c>
      <c r="AC2437">
        <v>-3.4759520000000002E-2</v>
      </c>
      <c r="AD2437">
        <v>0.2216669</v>
      </c>
      <c r="AE2437">
        <v>-3.2798159999999998</v>
      </c>
      <c r="AF2437">
        <v>-1.9936463101504001</v>
      </c>
      <c r="AG2437">
        <v>0.2216669</v>
      </c>
      <c r="AH2437">
        <v>2.58576339854603</v>
      </c>
      <c r="AI2437">
        <v>86.116147541737405</v>
      </c>
      <c r="AJ2437">
        <v>127.63253911901</v>
      </c>
      <c r="AK2437">
        <v>3.2726035778554401</v>
      </c>
    </row>
    <row r="2438" spans="1:37" x14ac:dyDescent="0.2">
      <c r="A2438" t="str">
        <f>"20200111155847523"</f>
        <v>20200111155847523</v>
      </c>
      <c r="B2438" t="str">
        <f>"1578729527513523"</f>
        <v>1578729527513523</v>
      </c>
      <c r="C2438" t="s">
        <v>37</v>
      </c>
      <c r="D2438">
        <v>5.8205689999999999</v>
      </c>
      <c r="E2438">
        <v>0.34004590000000001</v>
      </c>
      <c r="F2438" t="s">
        <v>43</v>
      </c>
      <c r="G2438">
        <v>0</v>
      </c>
      <c r="H2438">
        <v>0</v>
      </c>
      <c r="I2438">
        <v>0</v>
      </c>
      <c r="J2438">
        <v>-489.10149999999999</v>
      </c>
      <c r="K2438">
        <v>1.112798</v>
      </c>
      <c r="L2438">
        <v>278.93239999999997</v>
      </c>
      <c r="M2438">
        <v>-0.6091297</v>
      </c>
      <c r="N2438">
        <v>0</v>
      </c>
      <c r="O2438">
        <v>-0.79291149999999999</v>
      </c>
      <c r="P2438">
        <v>-0.38671079999999902</v>
      </c>
      <c r="Q2438">
        <v>-4.9970559999999997E-2</v>
      </c>
      <c r="R2438">
        <v>-0.92084669999999902</v>
      </c>
      <c r="S2438">
        <v>-2.2186279999999999E-2</v>
      </c>
      <c r="T2438">
        <v>0.21836249999999999</v>
      </c>
      <c r="U2438">
        <v>-3.273285</v>
      </c>
      <c r="V2438">
        <v>-0.25356780000000001</v>
      </c>
      <c r="W2438">
        <v>-3.9739950000000003E-2</v>
      </c>
      <c r="X2438">
        <v>0.96650100000000005</v>
      </c>
      <c r="Y2438">
        <v>-0.60367069999999901</v>
      </c>
      <c r="Z2438">
        <v>-3.9176240000000001E-2</v>
      </c>
      <c r="AA2438">
        <v>0.79627060000000005</v>
      </c>
      <c r="AB2438">
        <v>18</v>
      </c>
      <c r="AC2438">
        <v>-2.2186279999999999E-2</v>
      </c>
      <c r="AD2438">
        <v>0.21836249999999999</v>
      </c>
      <c r="AE2438">
        <v>-3.273285</v>
      </c>
      <c r="AF2438">
        <v>-1.9677560811550701</v>
      </c>
      <c r="AG2438">
        <v>0.21836249999999999</v>
      </c>
      <c r="AH2438">
        <v>2.5977088709002598</v>
      </c>
      <c r="AI2438">
        <v>86.166578682973395</v>
      </c>
      <c r="AJ2438">
        <v>127.143811216001</v>
      </c>
      <c r="AK2438">
        <v>3.2661655736173101</v>
      </c>
    </row>
    <row r="2439" spans="1:37" x14ac:dyDescent="0.2">
      <c r="A2439" t="str">
        <f>"20200111155847538"</f>
        <v>20200111155847538</v>
      </c>
      <c r="B2439" t="str">
        <f>"1578729527534020"</f>
        <v>1578729527534020</v>
      </c>
      <c r="C2439" t="s">
        <v>37</v>
      </c>
      <c r="D2439">
        <v>5.7189249999999996</v>
      </c>
      <c r="E2439">
        <v>0.34087289999999998</v>
      </c>
      <c r="F2439" t="s">
        <v>43</v>
      </c>
      <c r="G2439">
        <v>0</v>
      </c>
      <c r="H2439">
        <v>0</v>
      </c>
      <c r="I2439">
        <v>0</v>
      </c>
      <c r="J2439">
        <v>-489.16090000000003</v>
      </c>
      <c r="K2439">
        <v>1.1127739999999999</v>
      </c>
      <c r="L2439">
        <v>278.83449999999999</v>
      </c>
      <c r="M2439">
        <v>-0.6006089</v>
      </c>
      <c r="N2439">
        <v>0</v>
      </c>
      <c r="O2439">
        <v>-0.79938480000000001</v>
      </c>
      <c r="P2439">
        <v>-0.37815799999999999</v>
      </c>
      <c r="Q2439">
        <v>-4.9335730000000001E-2</v>
      </c>
      <c r="R2439">
        <v>-0.92442579999999996</v>
      </c>
      <c r="S2439">
        <v>1.6784669999999999E-3</v>
      </c>
      <c r="T2439">
        <v>0.21922240000000001</v>
      </c>
      <c r="U2439">
        <v>-3.2704770000000001</v>
      </c>
      <c r="V2439">
        <v>-0.25222030000000001</v>
      </c>
      <c r="W2439">
        <v>-3.9052320000000001E-2</v>
      </c>
      <c r="X2439">
        <v>0.96688149999999995</v>
      </c>
      <c r="Y2439">
        <v>-0.60094440000000005</v>
      </c>
      <c r="Z2439">
        <v>-4.0064860000000001E-2</v>
      </c>
      <c r="AA2439">
        <v>0.7982861</v>
      </c>
      <c r="AB2439">
        <v>18</v>
      </c>
      <c r="AC2439">
        <v>1.6784669999999999E-3</v>
      </c>
      <c r="AD2439">
        <v>0.21922240000000001</v>
      </c>
      <c r="AE2439">
        <v>-3.2704770000000001</v>
      </c>
      <c r="AF2439">
        <v>-1.9570745638407001</v>
      </c>
      <c r="AG2439">
        <v>0.21922240000000001</v>
      </c>
      <c r="AH2439">
        <v>2.6020009209175301</v>
      </c>
      <c r="AI2439">
        <v>86.147981618132107</v>
      </c>
      <c r="AJ2439">
        <v>126.948368005682</v>
      </c>
      <c r="AK2439">
        <v>3.26322051071479</v>
      </c>
    </row>
    <row r="2440" spans="1:37" x14ac:dyDescent="0.2">
      <c r="A2440" t="str">
        <f>"20200111155847551"</f>
        <v>20200111155847551</v>
      </c>
      <c r="B2440" t="str">
        <f>"1578729527543779"</f>
        <v>1578729527543779</v>
      </c>
      <c r="C2440" t="s">
        <v>37</v>
      </c>
      <c r="D2440">
        <v>5.7718540000000003</v>
      </c>
      <c r="E2440">
        <v>0.36014059999999998</v>
      </c>
      <c r="F2440" t="s">
        <v>43</v>
      </c>
      <c r="G2440">
        <v>0</v>
      </c>
      <c r="H2440">
        <v>0</v>
      </c>
      <c r="I2440">
        <v>0</v>
      </c>
      <c r="J2440">
        <v>-489.21589999999998</v>
      </c>
      <c r="K2440">
        <v>1.112749</v>
      </c>
      <c r="L2440">
        <v>278.74180000000001</v>
      </c>
      <c r="M2440">
        <v>-0.59252660000000001</v>
      </c>
      <c r="N2440">
        <v>0</v>
      </c>
      <c r="O2440">
        <v>-0.80539380000000005</v>
      </c>
      <c r="P2440">
        <v>-0.36997479999999999</v>
      </c>
      <c r="Q2440">
        <v>-4.8959969999999998E-2</v>
      </c>
      <c r="R2440">
        <v>-0.92775110000000005</v>
      </c>
      <c r="S2440">
        <v>2.6214600000000001E-2</v>
      </c>
      <c r="T2440">
        <v>0.21958339999999901</v>
      </c>
      <c r="U2440">
        <v>-3.2677</v>
      </c>
      <c r="V2440">
        <v>-0.2510481</v>
      </c>
      <c r="W2440">
        <v>-3.8629360000000001E-2</v>
      </c>
      <c r="X2440">
        <v>0.96720349999999999</v>
      </c>
      <c r="Y2440">
        <v>-0.59888909999999995</v>
      </c>
      <c r="Z2440">
        <v>-4.0803560000000003E-2</v>
      </c>
      <c r="AA2440">
        <v>0.79979180000000005</v>
      </c>
      <c r="AB2440">
        <v>18</v>
      </c>
      <c r="AC2440">
        <v>2.6214600000000001E-2</v>
      </c>
      <c r="AD2440">
        <v>0.21958339999999901</v>
      </c>
      <c r="AE2440">
        <v>-3.2677</v>
      </c>
      <c r="AF2440">
        <v>-1.94876070703932</v>
      </c>
      <c r="AG2440">
        <v>0.21958339999999901</v>
      </c>
      <c r="AH2440">
        <v>2.6048220080804199</v>
      </c>
      <c r="AI2440">
        <v>86.138426842725906</v>
      </c>
      <c r="AJ2440">
        <v>126.801479101593</v>
      </c>
      <c r="AK2440">
        <v>3.2605188017608602</v>
      </c>
    </row>
    <row r="2441" spans="1:37" x14ac:dyDescent="0.2">
      <c r="A2441" t="str">
        <f>"20200111155847564"</f>
        <v>20200111155847564</v>
      </c>
      <c r="B2441" t="str">
        <f>"1578729527554517"</f>
        <v>1578729527554517</v>
      </c>
      <c r="C2441" t="s">
        <v>37</v>
      </c>
      <c r="D2441">
        <v>5.7570459999999999</v>
      </c>
      <c r="E2441">
        <v>0.36046659999999903</v>
      </c>
      <c r="F2441" t="s">
        <v>59</v>
      </c>
      <c r="G2441">
        <v>-501.11770000000001</v>
      </c>
      <c r="H2441">
        <v>-0.1</v>
      </c>
      <c r="I2441">
        <v>-202.61349999999999</v>
      </c>
      <c r="J2441">
        <v>-489.2679</v>
      </c>
      <c r="K2441">
        <v>1.112724</v>
      </c>
      <c r="L2441">
        <v>278.65260000000001</v>
      </c>
      <c r="M2441">
        <v>-0.58473509999999995</v>
      </c>
      <c r="N2441">
        <v>0</v>
      </c>
      <c r="O2441">
        <v>-0.81106840000000002</v>
      </c>
      <c r="P2441">
        <v>-0.36201879999999997</v>
      </c>
      <c r="Q2441">
        <v>-4.8549109999999999E-2</v>
      </c>
      <c r="R2441">
        <v>-0.93090620000000002</v>
      </c>
      <c r="S2441">
        <v>-7.91626E-2</v>
      </c>
      <c r="T2441">
        <v>-8.0664159999999999E-3</v>
      </c>
      <c r="U2441">
        <v>-3.20166</v>
      </c>
      <c r="V2441">
        <v>-0.25002849999999999</v>
      </c>
      <c r="W2441">
        <v>-3.8175689999999998E-2</v>
      </c>
      <c r="X2441">
        <v>0.96748559999999995</v>
      </c>
      <c r="Y2441">
        <v>-0.56457979999999997</v>
      </c>
      <c r="Z2441">
        <v>1.5874999999999999E-3</v>
      </c>
      <c r="AA2441">
        <v>0.82537700000000003</v>
      </c>
      <c r="AB2441">
        <v>18</v>
      </c>
      <c r="AC2441">
        <v>-11.8498</v>
      </c>
      <c r="AD2441">
        <v>-1.2127239999999999</v>
      </c>
      <c r="AE2441">
        <v>-481.26609999999999</v>
      </c>
      <c r="AF2441">
        <v>-271.83483548044597</v>
      </c>
      <c r="AG2441">
        <v>-1.2127239999999999</v>
      </c>
      <c r="AH2441">
        <v>397.31644518892801</v>
      </c>
      <c r="AI2441">
        <v>90.144334304943698</v>
      </c>
      <c r="AJ2441">
        <v>124.379042391816</v>
      </c>
      <c r="AK2441">
        <v>481.41043413884103</v>
      </c>
    </row>
    <row r="2442" spans="1:37" x14ac:dyDescent="0.2">
      <c r="A2442" t="str">
        <f>"20200111155847579"</f>
        <v>20200111155847579</v>
      </c>
      <c r="B2442" t="str">
        <f>"1578729527574037"</f>
        <v>1578729527574037</v>
      </c>
      <c r="C2442" t="s">
        <v>37</v>
      </c>
      <c r="D2442">
        <v>5.7627059999999997</v>
      </c>
      <c r="E2442">
        <v>0.362313</v>
      </c>
      <c r="F2442" t="s">
        <v>59</v>
      </c>
      <c r="G2442">
        <v>-496.45330000000001</v>
      </c>
      <c r="H2442">
        <v>-0.1</v>
      </c>
      <c r="I2442">
        <v>-147.41640000000001</v>
      </c>
      <c r="J2442">
        <v>-489.3261</v>
      </c>
      <c r="K2442">
        <v>1.1126860000000001</v>
      </c>
      <c r="L2442">
        <v>278.5496</v>
      </c>
      <c r="M2442">
        <v>-0.57573319999999995</v>
      </c>
      <c r="N2442">
        <v>0</v>
      </c>
      <c r="O2442">
        <v>-0.81748279999999995</v>
      </c>
      <c r="P2442">
        <v>-0.35332190000000002</v>
      </c>
      <c r="Q2442">
        <v>-4.8620789999999997E-2</v>
      </c>
      <c r="R2442">
        <v>-0.9342376</v>
      </c>
      <c r="S2442">
        <v>-5.3985600000000002E-2</v>
      </c>
      <c r="T2442">
        <v>-9.1115239999999993E-3</v>
      </c>
      <c r="U2442">
        <v>-3.2011720000000001</v>
      </c>
      <c r="V2442">
        <v>-0.24835660000000001</v>
      </c>
      <c r="W2442">
        <v>-3.8187980000000003E-2</v>
      </c>
      <c r="X2442">
        <v>0.96791569999999905</v>
      </c>
      <c r="Y2442">
        <v>-0.56193800000000005</v>
      </c>
      <c r="Z2442">
        <v>1.8227969999999999E-3</v>
      </c>
      <c r="AA2442">
        <v>0.8271773</v>
      </c>
      <c r="AB2442">
        <v>18</v>
      </c>
      <c r="AC2442">
        <v>-7.12720000000001</v>
      </c>
      <c r="AD2442">
        <v>-1.2126859999999999</v>
      </c>
      <c r="AE2442">
        <v>-425.96600000000001</v>
      </c>
      <c r="AF2442">
        <v>-239.44477510971799</v>
      </c>
      <c r="AG2442">
        <v>-1.2126859999999999</v>
      </c>
      <c r="AH2442">
        <v>352.36499347916799</v>
      </c>
      <c r="AI2442">
        <v>90.163093864534602</v>
      </c>
      <c r="AJ2442">
        <v>124.197527578148</v>
      </c>
      <c r="AK2442">
        <v>426.02389553198998</v>
      </c>
    </row>
    <row r="2443" spans="1:37" x14ac:dyDescent="0.2">
      <c r="A2443" t="str">
        <f>"20200111155847593"</f>
        <v>20200111155847593</v>
      </c>
      <c r="B2443" t="str">
        <f>"1578729527583796"</f>
        <v>1578729527583796</v>
      </c>
      <c r="C2443" t="s">
        <v>37</v>
      </c>
      <c r="D2443">
        <v>5.8042069999999999</v>
      </c>
      <c r="E2443">
        <v>0.36263489999999998</v>
      </c>
      <c r="F2443" t="s">
        <v>59</v>
      </c>
      <c r="G2443">
        <v>-495.37520000000001</v>
      </c>
      <c r="H2443">
        <v>-0.1</v>
      </c>
      <c r="I2443">
        <v>-229.11590000000001</v>
      </c>
      <c r="J2443">
        <v>-489.37920000000003</v>
      </c>
      <c r="K2443">
        <v>1.112652</v>
      </c>
      <c r="L2443">
        <v>278.45330000000001</v>
      </c>
      <c r="M2443">
        <v>-0.56731239999999905</v>
      </c>
      <c r="N2443">
        <v>0</v>
      </c>
      <c r="O2443">
        <v>-0.82334889999999905</v>
      </c>
      <c r="P2443">
        <v>-0.34439979999999998</v>
      </c>
      <c r="Q2443">
        <v>-4.9419320000000003E-2</v>
      </c>
      <c r="R2443">
        <v>-0.93752150000000001</v>
      </c>
      <c r="S2443">
        <v>-3.8085939999999999E-2</v>
      </c>
      <c r="T2443">
        <v>-7.6353549999999999E-3</v>
      </c>
      <c r="U2443">
        <v>-3.1963810000000001</v>
      </c>
      <c r="V2443">
        <v>-0.24761259999999999</v>
      </c>
      <c r="W2443">
        <v>-3.8952540000000001E-2</v>
      </c>
      <c r="X2443">
        <v>0.96807579999999904</v>
      </c>
      <c r="Y2443">
        <v>-0.55753280000000005</v>
      </c>
      <c r="Z2443">
        <v>1.5540229999999901E-3</v>
      </c>
      <c r="AA2443">
        <v>0.83015349999999999</v>
      </c>
      <c r="AB2443">
        <v>18</v>
      </c>
      <c r="AC2443">
        <v>-5.99599999999998</v>
      </c>
      <c r="AD2443">
        <v>-1.2126520000000001</v>
      </c>
      <c r="AE2443">
        <v>-507.56920000000002</v>
      </c>
      <c r="AF2443">
        <v>-283.04772612604398</v>
      </c>
      <c r="AG2443">
        <v>-1.2126520000000001</v>
      </c>
      <c r="AH2443">
        <v>421.35909686981603</v>
      </c>
      <c r="AI2443">
        <v>90.136878397020098</v>
      </c>
      <c r="AJ2443">
        <v>123.89120864360601</v>
      </c>
      <c r="AK2443">
        <v>507.60316616914798</v>
      </c>
    </row>
    <row r="2444" spans="1:37" x14ac:dyDescent="0.2">
      <c r="A2444" t="str">
        <f>"20200111155847608"</f>
        <v>20200111155847608</v>
      </c>
      <c r="B2444" t="str">
        <f>"1578729527604292"</f>
        <v>1578729527604292</v>
      </c>
      <c r="C2444" t="s">
        <v>37</v>
      </c>
      <c r="D2444">
        <v>5.723077</v>
      </c>
      <c r="E2444">
        <v>0.3640234</v>
      </c>
      <c r="F2444" t="s">
        <v>41</v>
      </c>
      <c r="G2444">
        <v>-490.27969999999999</v>
      </c>
      <c r="H2444">
        <v>-0.05</v>
      </c>
      <c r="I2444">
        <v>-13.495089999999999</v>
      </c>
      <c r="J2444">
        <v>-489.43180000000001</v>
      </c>
      <c r="K2444">
        <v>1.112616</v>
      </c>
      <c r="L2444">
        <v>278.3562</v>
      </c>
      <c r="M2444">
        <v>-0.55879250000000003</v>
      </c>
      <c r="N2444">
        <v>0</v>
      </c>
      <c r="O2444">
        <v>-0.82915519999999998</v>
      </c>
      <c r="P2444">
        <v>-0.33556740000000002</v>
      </c>
      <c r="Q2444">
        <v>-5.003428E-2</v>
      </c>
      <c r="R2444">
        <v>-0.94068689999999999</v>
      </c>
      <c r="S2444">
        <v>-9.8571779999999994E-3</v>
      </c>
      <c r="T2444">
        <v>-1.2726309999999999E-2</v>
      </c>
      <c r="U2444">
        <v>-3.1956479999999998</v>
      </c>
      <c r="V2444">
        <v>-0.24670810000000001</v>
      </c>
      <c r="W2444">
        <v>-3.9530349999999999E-2</v>
      </c>
      <c r="X2444">
        <v>0.96828320000000001</v>
      </c>
      <c r="Y2444">
        <v>-0.55630210000000002</v>
      </c>
      <c r="Z2444">
        <v>2.6262019999999998E-3</v>
      </c>
      <c r="AA2444">
        <v>0.83097600000000005</v>
      </c>
      <c r="AB2444">
        <v>18</v>
      </c>
      <c r="AC2444">
        <v>-0.847899999999981</v>
      </c>
      <c r="AD2444">
        <v>-1.1626160000000001</v>
      </c>
      <c r="AE2444">
        <v>-291.85129000000001</v>
      </c>
      <c r="AF2444">
        <v>-162.399206519925</v>
      </c>
      <c r="AG2444">
        <v>-1.1626160000000001</v>
      </c>
      <c r="AH2444">
        <v>242.49059537061001</v>
      </c>
      <c r="AI2444">
        <v>90.228244369152605</v>
      </c>
      <c r="AJ2444">
        <v>123.810751195622</v>
      </c>
      <c r="AK2444">
        <v>291.85020609459502</v>
      </c>
    </row>
    <row r="2445" spans="1:37" x14ac:dyDescent="0.2">
      <c r="A2445" t="str">
        <f>"20200111155847621"</f>
        <v>20200111155847621</v>
      </c>
      <c r="B2445" t="str">
        <f>"1578729527614053"</f>
        <v>1578729527614053</v>
      </c>
      <c r="C2445" t="s">
        <v>37</v>
      </c>
      <c r="D2445">
        <v>5.7536430000000003</v>
      </c>
      <c r="E2445">
        <v>0.36463259999999997</v>
      </c>
      <c r="F2445" t="s">
        <v>41</v>
      </c>
      <c r="G2445">
        <v>-488.55399999999997</v>
      </c>
      <c r="H2445">
        <v>-0.05</v>
      </c>
      <c r="I2445">
        <v>-14.02657</v>
      </c>
      <c r="J2445">
        <v>-489.48590000000002</v>
      </c>
      <c r="K2445">
        <v>1.1125799999999999</v>
      </c>
      <c r="L2445">
        <v>278.25330000000002</v>
      </c>
      <c r="M2445">
        <v>-0.5497649</v>
      </c>
      <c r="N2445">
        <v>0</v>
      </c>
      <c r="O2445">
        <v>-0.83516809999999997</v>
      </c>
      <c r="P2445">
        <v>-0.32638240000000002</v>
      </c>
      <c r="Q2445">
        <v>-5.0811019999999998E-2</v>
      </c>
      <c r="R2445">
        <v>-0.94387119999999902</v>
      </c>
      <c r="S2445">
        <v>9.5825200000000006E-3</v>
      </c>
      <c r="T2445">
        <v>-1.269209E-2</v>
      </c>
      <c r="U2445">
        <v>-3.1918950000000001</v>
      </c>
      <c r="V2445">
        <v>-0.2456083</v>
      </c>
      <c r="W2445">
        <v>-4.0266549999999998E-2</v>
      </c>
      <c r="X2445">
        <v>0.96853250000000002</v>
      </c>
      <c r="Y2445">
        <v>-0.55233909999999997</v>
      </c>
      <c r="Z2445">
        <v>2.662724E-3</v>
      </c>
      <c r="AA2445">
        <v>0.83361529999999995</v>
      </c>
      <c r="AB2445">
        <v>18</v>
      </c>
      <c r="AC2445">
        <v>0.93189999999998396</v>
      </c>
      <c r="AD2445">
        <v>-1.1625799999999999</v>
      </c>
      <c r="AE2445">
        <v>-292.27987000000002</v>
      </c>
      <c r="AF2445">
        <v>-161.48136461699801</v>
      </c>
      <c r="AG2445">
        <v>-1.1625799999999999</v>
      </c>
      <c r="AH2445">
        <v>243.61743904305499</v>
      </c>
      <c r="AI2445">
        <v>90.227902425640707</v>
      </c>
      <c r="AJ2445">
        <v>123.538333324663</v>
      </c>
      <c r="AK2445">
        <v>292.27904358116598</v>
      </c>
    </row>
    <row r="2446" spans="1:37" x14ac:dyDescent="0.2">
      <c r="A2446" t="str">
        <f>"20200111155847635"</f>
        <v>20200111155847635</v>
      </c>
      <c r="B2446" t="str">
        <f>"1578729527623812"</f>
        <v>1578729527623812</v>
      </c>
      <c r="C2446" t="s">
        <v>37</v>
      </c>
      <c r="D2446">
        <v>5.7723120000000003</v>
      </c>
      <c r="E2446">
        <v>0.36529899999999998</v>
      </c>
      <c r="F2446" t="s">
        <v>41</v>
      </c>
      <c r="G2446">
        <v>-486.70699999999999</v>
      </c>
      <c r="H2446">
        <v>-0.05</v>
      </c>
      <c r="I2446">
        <v>32.284129999999998</v>
      </c>
      <c r="J2446">
        <v>-489.53019999999998</v>
      </c>
      <c r="K2446">
        <v>1.1125479999999901</v>
      </c>
      <c r="L2446">
        <v>278.16680000000002</v>
      </c>
      <c r="M2446">
        <v>-0.54217599999999999</v>
      </c>
      <c r="N2446">
        <v>0</v>
      </c>
      <c r="O2446">
        <v>-0.84011469999999899</v>
      </c>
      <c r="P2446">
        <v>-0.32045129999999999</v>
      </c>
      <c r="Q2446">
        <v>-5.203385E-2</v>
      </c>
      <c r="R2446">
        <v>-0.94583510000000004</v>
      </c>
      <c r="S2446">
        <v>3.6041259999999999E-2</v>
      </c>
      <c r="T2446">
        <v>-1.5078070000000001E-2</v>
      </c>
      <c r="U2446">
        <v>-3.19009399999999</v>
      </c>
      <c r="V2446">
        <v>-0.24285679999999901</v>
      </c>
      <c r="W2446">
        <v>-4.1414189999999997E-2</v>
      </c>
      <c r="X2446">
        <v>0.96917770000000003</v>
      </c>
      <c r="Y2446">
        <v>-0.55170129999999995</v>
      </c>
      <c r="Z2446">
        <v>3.2001299999999998E-3</v>
      </c>
      <c r="AA2446">
        <v>0.83403559999999999</v>
      </c>
      <c r="AB2446">
        <v>18</v>
      </c>
      <c r="AC2446">
        <v>2.8231999999999799</v>
      </c>
      <c r="AD2446">
        <v>-1.1625479999999999</v>
      </c>
      <c r="AE2446">
        <v>-245.88266999999999</v>
      </c>
      <c r="AF2446">
        <v>-135.69759290015401</v>
      </c>
      <c r="AG2446">
        <v>-1.1625479999999999</v>
      </c>
      <c r="AH2446">
        <v>205.060279431661</v>
      </c>
      <c r="AI2446">
        <v>90.270884060671193</v>
      </c>
      <c r="AJ2446">
        <v>123.49439524805101</v>
      </c>
      <c r="AK2446">
        <v>245.89612936632301</v>
      </c>
    </row>
    <row r="2447" spans="1:37" x14ac:dyDescent="0.2">
      <c r="A2447" t="str">
        <f>"20200111155848010"</f>
        <v>20200111155848010</v>
      </c>
      <c r="B2447" t="str">
        <f>"1578729528004169"</f>
        <v>1578729528004169</v>
      </c>
      <c r="C2447" t="s">
        <v>37</v>
      </c>
      <c r="D2447">
        <v>5.3451209999999998</v>
      </c>
      <c r="E2447">
        <v>0.38745309999999999</v>
      </c>
      <c r="F2447" t="s">
        <v>41</v>
      </c>
      <c r="G2447">
        <v>-486.13159999999999</v>
      </c>
      <c r="H2447">
        <v>-0.05</v>
      </c>
      <c r="I2447">
        <v>64.164209999999997</v>
      </c>
      <c r="J2447">
        <v>-490.4785</v>
      </c>
      <c r="K2447">
        <v>1.112045</v>
      </c>
      <c r="L2447">
        <v>275.43729999999999</v>
      </c>
      <c r="M2447">
        <v>-0.29816039999999999</v>
      </c>
      <c r="N2447">
        <v>0</v>
      </c>
      <c r="O2447">
        <v>-0.95438619999999996</v>
      </c>
      <c r="P2447">
        <v>-0.1204702</v>
      </c>
      <c r="Q2447">
        <v>-5.5119130000000002E-2</v>
      </c>
      <c r="R2447">
        <v>-0.99118580000000001</v>
      </c>
      <c r="S2447">
        <v>5.0628659999999999E-2</v>
      </c>
      <c r="T2447">
        <v>-1.7318610000000002E-2</v>
      </c>
      <c r="U2447">
        <v>-3.1880189999999899</v>
      </c>
      <c r="V2447">
        <v>-0.17981989999999901</v>
      </c>
      <c r="W2447">
        <v>-4.2980150000000002E-2</v>
      </c>
      <c r="X2447">
        <v>0.98276010000000003</v>
      </c>
      <c r="Y2447">
        <v>-0.31331589999999998</v>
      </c>
      <c r="Z2447">
        <v>4.9242330000000001E-3</v>
      </c>
      <c r="AA2447">
        <v>0.94963619999999904</v>
      </c>
      <c r="AB2447">
        <v>18</v>
      </c>
      <c r="AC2447">
        <v>4.3468999999999998</v>
      </c>
      <c r="AD2447">
        <v>-1.162045</v>
      </c>
      <c r="AE2447">
        <v>-211.27309</v>
      </c>
      <c r="AF2447">
        <v>-67.148165426851804</v>
      </c>
      <c r="AG2447">
        <v>-1.162045</v>
      </c>
      <c r="AH2447">
        <v>200.35877171438801</v>
      </c>
      <c r="AI2447">
        <v>90.315078120111096</v>
      </c>
      <c r="AJ2447">
        <v>108.52804236023201</v>
      </c>
      <c r="AK2447">
        <v>211.31460875119899</v>
      </c>
    </row>
    <row r="2448" spans="1:37" x14ac:dyDescent="0.2">
      <c r="A2448" t="str">
        <f>"20200111155848028"</f>
        <v>20200111155848028</v>
      </c>
      <c r="B2448" t="str">
        <f>"1578729528023689"</f>
        <v>1578729528023689</v>
      </c>
      <c r="C2448" t="s">
        <v>37</v>
      </c>
      <c r="D2448">
        <v>5.3476169999999996</v>
      </c>
      <c r="E2448">
        <v>0.3953912</v>
      </c>
      <c r="F2448" t="s">
        <v>60</v>
      </c>
      <c r="G2448">
        <v>-473.52499999999998</v>
      </c>
      <c r="H2448">
        <v>1.1342000000000001</v>
      </c>
      <c r="I2448">
        <v>174.82859999999999</v>
      </c>
      <c r="J2448">
        <v>-490.50450000000001</v>
      </c>
      <c r="K2448">
        <v>1.112025</v>
      </c>
      <c r="L2448">
        <v>275.30349999999999</v>
      </c>
      <c r="M2448">
        <v>-0.28598409999999902</v>
      </c>
      <c r="N2448">
        <v>0</v>
      </c>
      <c r="O2448">
        <v>-0.9581054</v>
      </c>
      <c r="P2448">
        <v>-0.1142778</v>
      </c>
      <c r="Q2448">
        <v>-5.440913E-2</v>
      </c>
      <c r="R2448">
        <v>-0.99195809999999995</v>
      </c>
      <c r="S2448">
        <v>0.52069089999999996</v>
      </c>
      <c r="T2448">
        <v>6.8044660000000001E-4</v>
      </c>
      <c r="U2448">
        <v>-3.08999599999999</v>
      </c>
      <c r="V2448">
        <v>-0.17347309999999999</v>
      </c>
      <c r="W2448">
        <v>-4.213281E-2</v>
      </c>
      <c r="X2448">
        <v>0.9839369</v>
      </c>
      <c r="Y2448">
        <v>-0.44126739999999998</v>
      </c>
      <c r="Z2448">
        <v>-1.9363209999999901E-4</v>
      </c>
      <c r="AA2448">
        <v>0.89737559999999905</v>
      </c>
      <c r="AB2448">
        <v>18</v>
      </c>
      <c r="AC2448">
        <v>16.979500000000002</v>
      </c>
      <c r="AD2448">
        <v>2.2175E-2</v>
      </c>
      <c r="AE2448">
        <v>-100.47490000000001</v>
      </c>
      <c r="AF2448">
        <v>-45.007934264658402</v>
      </c>
      <c r="AG2448">
        <v>2.2175E-2</v>
      </c>
      <c r="AH2448">
        <v>91.420970351593795</v>
      </c>
      <c r="AI2448">
        <v>89.987531500166199</v>
      </c>
      <c r="AJ2448">
        <v>116.211724743592</v>
      </c>
      <c r="AK2448">
        <v>101.899501758003</v>
      </c>
    </row>
    <row r="2449" spans="1:37" x14ac:dyDescent="0.2">
      <c r="A2449" t="str">
        <f>"20200111155848041"</f>
        <v>20200111155848041</v>
      </c>
      <c r="B2449" t="str">
        <f>"1578729528034426"</f>
        <v>1578729528034426</v>
      </c>
      <c r="C2449" t="s">
        <v>37</v>
      </c>
      <c r="D2449">
        <v>5.3679649999999999</v>
      </c>
      <c r="E2449">
        <v>0.39693319999999999</v>
      </c>
      <c r="F2449" t="s">
        <v>60</v>
      </c>
      <c r="G2449">
        <v>-473.52499999999998</v>
      </c>
      <c r="H2449">
        <v>1.223382</v>
      </c>
      <c r="I2449">
        <v>165.81489999999999</v>
      </c>
      <c r="J2449">
        <v>-490.524</v>
      </c>
      <c r="K2449">
        <v>1.1120049999999999</v>
      </c>
      <c r="L2449">
        <v>275.19740000000002</v>
      </c>
      <c r="M2449">
        <v>-0.27631909999999998</v>
      </c>
      <c r="N2449">
        <v>0</v>
      </c>
      <c r="O2449">
        <v>-0.96093759999999995</v>
      </c>
      <c r="P2449">
        <v>-0.1077992</v>
      </c>
      <c r="Q2449">
        <v>-5.437198E-2</v>
      </c>
      <c r="R2449">
        <v>-0.99268489999999998</v>
      </c>
      <c r="S2449">
        <v>0.47756959999999998</v>
      </c>
      <c r="T2449">
        <v>3.132105E-3</v>
      </c>
      <c r="U2449">
        <v>-3.0794980000000001</v>
      </c>
      <c r="V2449">
        <v>-0.16999159999999999</v>
      </c>
      <c r="W2449">
        <v>-4.2020769999999999E-2</v>
      </c>
      <c r="X2449">
        <v>0.98454920000000001</v>
      </c>
      <c r="Y2449">
        <v>-0.4203691</v>
      </c>
      <c r="Z2449">
        <v>-9.0471210000000004E-4</v>
      </c>
      <c r="AA2449">
        <v>0.90735270000000001</v>
      </c>
      <c r="AB2449">
        <v>18</v>
      </c>
      <c r="AC2449">
        <v>16.998999999999999</v>
      </c>
      <c r="AD2449">
        <v>0.111377</v>
      </c>
      <c r="AE2449">
        <v>-109.38249999999999</v>
      </c>
      <c r="AF2449">
        <v>-46.565148873784104</v>
      </c>
      <c r="AG2449">
        <v>0.111377</v>
      </c>
      <c r="AH2449">
        <v>100.424894363786</v>
      </c>
      <c r="AI2449">
        <v>89.942351446918494</v>
      </c>
      <c r="AJ2449">
        <v>114.87627456578799</v>
      </c>
      <c r="AK2449">
        <v>110.69546017091901</v>
      </c>
    </row>
    <row r="2450" spans="1:37" x14ac:dyDescent="0.2">
      <c r="A2450" t="str">
        <f>"20200111155848054"</f>
        <v>20200111155848054</v>
      </c>
      <c r="B2450" t="str">
        <f>"1578729528044185"</f>
        <v>1578729528044185</v>
      </c>
      <c r="C2450" t="s">
        <v>37</v>
      </c>
      <c r="D2450">
        <v>5.345275</v>
      </c>
      <c r="E2450">
        <v>0.39827679999999999</v>
      </c>
      <c r="F2450" t="s">
        <v>60</v>
      </c>
      <c r="G2450">
        <v>-473.52499999999998</v>
      </c>
      <c r="H2450">
        <v>1.216917</v>
      </c>
      <c r="I2450">
        <v>167.39189999999999</v>
      </c>
      <c r="J2450">
        <v>-490.54</v>
      </c>
      <c r="K2450">
        <v>1.1119870000000001</v>
      </c>
      <c r="L2450">
        <v>275.10419999999999</v>
      </c>
      <c r="M2450">
        <v>-0.26782259999999902</v>
      </c>
      <c r="N2450">
        <v>0</v>
      </c>
      <c r="O2450">
        <v>-0.96334030000000004</v>
      </c>
      <c r="P2450">
        <v>-0.102574499999999</v>
      </c>
      <c r="Q2450">
        <v>-5.4706959999999999E-2</v>
      </c>
      <c r="R2450">
        <v>-0.99321999999999999</v>
      </c>
      <c r="S2450">
        <v>0.4848633</v>
      </c>
      <c r="T2450">
        <v>2.992392E-3</v>
      </c>
      <c r="U2450">
        <v>-3.074951</v>
      </c>
      <c r="V2450">
        <v>-0.16647049999999999</v>
      </c>
      <c r="W2450">
        <v>-4.2280860000000003E-2</v>
      </c>
      <c r="X2450">
        <v>0.98513949999999995</v>
      </c>
      <c r="Y2450">
        <v>-0.41465209999999902</v>
      </c>
      <c r="Z2450">
        <v>-8.7024879999999995E-4</v>
      </c>
      <c r="AA2450">
        <v>0.9099796</v>
      </c>
      <c r="AB2450">
        <v>18</v>
      </c>
      <c r="AC2450">
        <v>17.015000000000001</v>
      </c>
      <c r="AD2450">
        <v>0.104929999999999</v>
      </c>
      <c r="AE2450">
        <v>-107.7123</v>
      </c>
      <c r="AF2450">
        <v>-45.244558773702401</v>
      </c>
      <c r="AG2450">
        <v>0.104929999999999</v>
      </c>
      <c r="AH2450">
        <v>99.218736522310905</v>
      </c>
      <c r="AI2450">
        <v>89.944867819416103</v>
      </c>
      <c r="AJ2450">
        <v>114.51337538823</v>
      </c>
      <c r="AK2450">
        <v>109.047873826203</v>
      </c>
    </row>
    <row r="2451" spans="1:37" x14ac:dyDescent="0.2">
      <c r="A2451" t="str">
        <f>"20200111155848072"</f>
        <v>20200111155848072</v>
      </c>
      <c r="B2451" t="str">
        <f>"1578729528063704"</f>
        <v>1578729528063704</v>
      </c>
      <c r="C2451" t="s">
        <v>37</v>
      </c>
      <c r="D2451">
        <v>5.3552819999999999</v>
      </c>
      <c r="E2451">
        <v>0.40044159999999901</v>
      </c>
      <c r="F2451" t="s">
        <v>60</v>
      </c>
      <c r="G2451">
        <v>-473.87380000000002</v>
      </c>
      <c r="H2451">
        <v>1.218045</v>
      </c>
      <c r="I2451">
        <v>170.72409999999999</v>
      </c>
      <c r="J2451">
        <v>-490.56180000000001</v>
      </c>
      <c r="K2451">
        <v>1.11195</v>
      </c>
      <c r="L2451">
        <v>274.96980000000002</v>
      </c>
      <c r="M2451">
        <v>-0.25558350000000002</v>
      </c>
      <c r="N2451">
        <v>0</v>
      </c>
      <c r="O2451">
        <v>-0.96665949999999901</v>
      </c>
      <c r="P2451">
        <v>-9.7056089999999998E-2</v>
      </c>
      <c r="Q2451">
        <v>-5.5951309999999997E-2</v>
      </c>
      <c r="R2451">
        <v>-0.9937049</v>
      </c>
      <c r="S2451">
        <v>0.49038699999999902</v>
      </c>
      <c r="T2451">
        <v>3.1206609999999998E-3</v>
      </c>
      <c r="U2451">
        <v>-3.0712890000000002</v>
      </c>
      <c r="V2451">
        <v>-0.1594139</v>
      </c>
      <c r="W2451">
        <v>-4.3376850000000002E-2</v>
      </c>
      <c r="X2451">
        <v>0.98625839999999998</v>
      </c>
      <c r="Y2451">
        <v>-0.4048506</v>
      </c>
      <c r="Z2451">
        <v>-9.1579339999999995E-4</v>
      </c>
      <c r="AA2451">
        <v>0.91438240000000004</v>
      </c>
      <c r="AB2451">
        <v>18</v>
      </c>
      <c r="AC2451">
        <v>16.687999999999899</v>
      </c>
      <c r="AD2451">
        <v>0.10609499999999999</v>
      </c>
      <c r="AE2451">
        <v>-104.2457</v>
      </c>
      <c r="AF2451">
        <v>-42.7803240944328</v>
      </c>
      <c r="AG2451">
        <v>0.10609499999999999</v>
      </c>
      <c r="AH2451">
        <v>96.516717052546596</v>
      </c>
      <c r="AI2451">
        <v>89.9424208780394</v>
      </c>
      <c r="AJ2451">
        <v>113.90496290034901</v>
      </c>
      <c r="AK2451">
        <v>105.572932403978</v>
      </c>
    </row>
    <row r="2452" spans="1:37" x14ac:dyDescent="0.2">
      <c r="A2452" t="str">
        <f>"20200111155848088"</f>
        <v>20200111155848088</v>
      </c>
      <c r="B2452" t="str">
        <f>"1578729528084201"</f>
        <v>1578729528084201</v>
      </c>
      <c r="C2452" t="s">
        <v>37</v>
      </c>
      <c r="D2452">
        <v>5.3405399999999998</v>
      </c>
      <c r="E2452">
        <v>0.40241009999999999</v>
      </c>
      <c r="F2452" t="s">
        <v>60</v>
      </c>
      <c r="G2452">
        <v>-473.87380000000002</v>
      </c>
      <c r="H2452">
        <v>0.95088169999999905</v>
      </c>
      <c r="I2452">
        <v>170.62280000000001</v>
      </c>
      <c r="J2452">
        <v>-490.57920000000001</v>
      </c>
      <c r="K2452">
        <v>1.111915</v>
      </c>
      <c r="L2452">
        <v>274.85469999999998</v>
      </c>
      <c r="M2452">
        <v>-0.24510399999999999</v>
      </c>
      <c r="N2452">
        <v>0</v>
      </c>
      <c r="O2452">
        <v>-0.96937019999999996</v>
      </c>
      <c r="P2452">
        <v>-9.0055940000000001E-2</v>
      </c>
      <c r="Q2452">
        <v>-5.6204619999999997E-2</v>
      </c>
      <c r="R2452">
        <v>-0.99434979999999995</v>
      </c>
      <c r="S2452">
        <v>0.490447999999999</v>
      </c>
      <c r="T2452">
        <v>-4.7336820000000003E-3</v>
      </c>
      <c r="U2452">
        <v>-3.066681</v>
      </c>
      <c r="V2452">
        <v>-0.15567990000000001</v>
      </c>
      <c r="W2452">
        <v>-4.3550030000000003E-2</v>
      </c>
      <c r="X2452">
        <v>0.98684709999999998</v>
      </c>
      <c r="Y2452">
        <v>-0.39516069999999998</v>
      </c>
      <c r="Z2452">
        <v>1.4007539999999999E-3</v>
      </c>
      <c r="AA2452">
        <v>0.91861090000000001</v>
      </c>
      <c r="AB2452">
        <v>18</v>
      </c>
      <c r="AC2452">
        <v>16.705399999999901</v>
      </c>
      <c r="AD2452">
        <v>-0.16103329999999999</v>
      </c>
      <c r="AE2452">
        <v>-104.231899999999</v>
      </c>
      <c r="AF2452">
        <v>-41.746398947676099</v>
      </c>
      <c r="AG2452">
        <v>-0.16103329999999999</v>
      </c>
      <c r="AH2452">
        <v>96.956411228990206</v>
      </c>
      <c r="AI2452">
        <v>90.087403924014296</v>
      </c>
      <c r="AJ2452">
        <v>113.295200093085</v>
      </c>
      <c r="AK2452">
        <v>105.56198859072001</v>
      </c>
    </row>
    <row r="2453" spans="1:37" x14ac:dyDescent="0.2">
      <c r="A2453" t="str">
        <f>"20200111155848131"</f>
        <v>20200111155848131</v>
      </c>
      <c r="B2453" t="str">
        <f>"1578729528124217"</f>
        <v>1578729528124217</v>
      </c>
      <c r="C2453" t="s">
        <v>37</v>
      </c>
      <c r="D2453">
        <v>5.4385940000000002</v>
      </c>
      <c r="E2453">
        <v>0.4053756</v>
      </c>
      <c r="F2453" t="s">
        <v>60</v>
      </c>
      <c r="G2453">
        <v>-473.86989999999997</v>
      </c>
      <c r="H2453">
        <v>0.76454619999999995</v>
      </c>
      <c r="I2453">
        <v>171.7295</v>
      </c>
      <c r="J2453">
        <v>-490.62049999999999</v>
      </c>
      <c r="K2453">
        <v>1.1117760000000001</v>
      </c>
      <c r="L2453">
        <v>274.5367</v>
      </c>
      <c r="M2453">
        <v>-0.2163755</v>
      </c>
      <c r="N2453">
        <v>0</v>
      </c>
      <c r="O2453">
        <v>-0.97618499999999997</v>
      </c>
      <c r="P2453">
        <v>-7.4894730000000007E-2</v>
      </c>
      <c r="Q2453">
        <v>-5.0860620000000002E-2</v>
      </c>
      <c r="R2453">
        <v>-0.99589340000000004</v>
      </c>
      <c r="S2453">
        <v>0.49603269999999999</v>
      </c>
      <c r="T2453">
        <v>-1.031196E-2</v>
      </c>
      <c r="U2453">
        <v>-3.0613709999999998</v>
      </c>
      <c r="V2453">
        <v>-0.1417475</v>
      </c>
      <c r="W2453">
        <v>-3.7906080000000002E-2</v>
      </c>
      <c r="X2453">
        <v>0.98917679999999997</v>
      </c>
      <c r="Y2453">
        <v>-0.36976890000000001</v>
      </c>
      <c r="Z2453">
        <v>3.1083220000000002E-3</v>
      </c>
      <c r="AA2453">
        <v>0.92911860000000002</v>
      </c>
      <c r="AB2453">
        <v>17</v>
      </c>
      <c r="AC2453">
        <v>16.750599999999999</v>
      </c>
      <c r="AD2453">
        <v>-0.34722979999999998</v>
      </c>
      <c r="AE2453">
        <v>-102.80719999999999</v>
      </c>
      <c r="AF2453">
        <v>-38.600933903737598</v>
      </c>
      <c r="AG2453">
        <v>-0.34722979999999998</v>
      </c>
      <c r="AH2453">
        <v>96.745179419496793</v>
      </c>
      <c r="AI2453">
        <v>90.190998480715194</v>
      </c>
      <c r="AJ2453">
        <v>111.751798925073</v>
      </c>
      <c r="AK2453">
        <v>104.162288798227</v>
      </c>
    </row>
    <row r="2454" spans="1:37" x14ac:dyDescent="0.2">
      <c r="A2454" t="str">
        <f>"20200111155848143"</f>
        <v>20200111155848143</v>
      </c>
      <c r="B2454" t="str">
        <f>"1578729528133977"</f>
        <v>1578729528133977</v>
      </c>
      <c r="C2454" t="s">
        <v>37</v>
      </c>
      <c r="D2454">
        <v>5.6282899999999998</v>
      </c>
      <c r="E2454">
        <v>0.40588449999999998</v>
      </c>
      <c r="F2454" t="s">
        <v>60</v>
      </c>
      <c r="G2454">
        <v>-473.52499999999998</v>
      </c>
      <c r="H2454">
        <v>1.0673429999999999</v>
      </c>
      <c r="I2454">
        <v>174.16980000000001</v>
      </c>
      <c r="J2454">
        <v>-490.63199999999898</v>
      </c>
      <c r="K2454">
        <v>1.1117030000000001</v>
      </c>
      <c r="L2454">
        <v>274.43560000000002</v>
      </c>
      <c r="M2454">
        <v>-0.2073315</v>
      </c>
      <c r="N2454">
        <v>0</v>
      </c>
      <c r="O2454">
        <v>-0.97814630000000002</v>
      </c>
      <c r="P2454">
        <v>-6.8888759999999993E-2</v>
      </c>
      <c r="Q2454">
        <v>-4.8876799999999998E-2</v>
      </c>
      <c r="R2454">
        <v>-0.99642649999999999</v>
      </c>
      <c r="S2454">
        <v>0.51974489999999995</v>
      </c>
      <c r="T2454">
        <v>-1.35088E-3</v>
      </c>
      <c r="U2454">
        <v>-3.0513919999999999</v>
      </c>
      <c r="V2454">
        <v>-0.1386202</v>
      </c>
      <c r="W2454">
        <v>-3.5853870000000003E-2</v>
      </c>
      <c r="X2454">
        <v>0.98969640000000003</v>
      </c>
      <c r="Y2454">
        <v>-0.36867529999999998</v>
      </c>
      <c r="Z2454">
        <v>4.096476E-4</v>
      </c>
      <c r="AA2454">
        <v>0.9295582</v>
      </c>
      <c r="AB2454">
        <v>17</v>
      </c>
      <c r="AC2454">
        <v>17.1069999999999</v>
      </c>
      <c r="AD2454">
        <v>-4.4360000000000101E-2</v>
      </c>
      <c r="AE2454">
        <v>-100.2658</v>
      </c>
      <c r="AF2454">
        <v>-37.525968736413098</v>
      </c>
      <c r="AG2454">
        <v>-4.4360000000000101E-2</v>
      </c>
      <c r="AH2454">
        <v>94.539292537101502</v>
      </c>
      <c r="AI2454">
        <v>90.024987942877999</v>
      </c>
      <c r="AJ2454">
        <v>111.649868060043</v>
      </c>
      <c r="AK2454">
        <v>101.714689847787</v>
      </c>
    </row>
    <row r="2455" spans="1:37" x14ac:dyDescent="0.2">
      <c r="A2455" t="str">
        <f>"20200111155848161"</f>
        <v>20200111155848161</v>
      </c>
      <c r="B2455" t="str">
        <f>"1578729528153496"</f>
        <v>1578729528153496</v>
      </c>
      <c r="C2455" t="s">
        <v>37</v>
      </c>
      <c r="D2455">
        <v>5.7023839999999897</v>
      </c>
      <c r="E2455">
        <v>0.40767700000000001</v>
      </c>
      <c r="F2455" t="s">
        <v>60</v>
      </c>
      <c r="G2455">
        <v>-473.52499999999998</v>
      </c>
      <c r="H2455">
        <v>1.6393599999999999</v>
      </c>
      <c r="I2455">
        <v>176.59690000000001</v>
      </c>
      <c r="J2455">
        <v>-490.64550000000003</v>
      </c>
      <c r="K2455">
        <v>1.111578</v>
      </c>
      <c r="L2455">
        <v>274.30239999999998</v>
      </c>
      <c r="M2455">
        <v>-0.1955742</v>
      </c>
      <c r="N2455">
        <v>0</v>
      </c>
      <c r="O2455">
        <v>-0.98056540000000003</v>
      </c>
      <c r="P2455">
        <v>-6.2593419999999997E-2</v>
      </c>
      <c r="Q2455">
        <v>-4.6265290000000001E-2</v>
      </c>
      <c r="R2455">
        <v>-0.99696629999999997</v>
      </c>
      <c r="S2455">
        <v>0.53301999999999905</v>
      </c>
      <c r="T2455">
        <v>1.6440750000000001E-2</v>
      </c>
      <c r="U2455">
        <v>-3.0484619999999998</v>
      </c>
      <c r="V2455">
        <v>-0.13307369999999999</v>
      </c>
      <c r="W2455">
        <v>-3.3126290000000003E-2</v>
      </c>
      <c r="X2455">
        <v>0.990552399999999</v>
      </c>
      <c r="Y2455">
        <v>-0.3615815</v>
      </c>
      <c r="Z2455">
        <v>-5.015406E-3</v>
      </c>
      <c r="AA2455">
        <v>0.93232700000000002</v>
      </c>
      <c r="AB2455">
        <v>17</v>
      </c>
      <c r="AC2455">
        <v>17.1205</v>
      </c>
      <c r="AD2455">
        <v>0.52778199999999997</v>
      </c>
      <c r="AE2455">
        <v>-97.705499999999901</v>
      </c>
      <c r="AF2455">
        <v>-35.899776975535403</v>
      </c>
      <c r="AG2455">
        <v>0.52778199999999997</v>
      </c>
      <c r="AH2455">
        <v>92.466886935725796</v>
      </c>
      <c r="AI2455">
        <v>89.695140725188807</v>
      </c>
      <c r="AJ2455">
        <v>111.21843693243299</v>
      </c>
      <c r="AK2455">
        <v>99.192730178763597</v>
      </c>
    </row>
    <row r="2456" spans="1:37" x14ac:dyDescent="0.2">
      <c r="A2456" t="str">
        <f>"20200111155848174"</f>
        <v>20200111155848174</v>
      </c>
      <c r="B2456" t="str">
        <f>"1578729528164233"</f>
        <v>1578729528164233</v>
      </c>
      <c r="C2456" t="s">
        <v>37</v>
      </c>
      <c r="D2456">
        <v>5.7286979999999996</v>
      </c>
      <c r="E2456">
        <v>0.40877629999999998</v>
      </c>
      <c r="F2456" t="s">
        <v>60</v>
      </c>
      <c r="G2456">
        <v>-473.52499999999998</v>
      </c>
      <c r="H2456">
        <v>2.0470649999999999</v>
      </c>
      <c r="I2456">
        <v>177.3554</v>
      </c>
      <c r="J2456">
        <v>-490.65480000000002</v>
      </c>
      <c r="K2456">
        <v>1.111435</v>
      </c>
      <c r="L2456">
        <v>274.200999999999</v>
      </c>
      <c r="M2456">
        <v>-0.18678439999999999</v>
      </c>
      <c r="N2456">
        <v>0</v>
      </c>
      <c r="O2456">
        <v>-0.98227830000000005</v>
      </c>
      <c r="P2456">
        <v>-5.6377190000000001E-2</v>
      </c>
      <c r="Q2456">
        <v>-4.6150860000000002E-2</v>
      </c>
      <c r="R2456">
        <v>-0.99734239999999996</v>
      </c>
      <c r="S2456">
        <v>0.53759769999999996</v>
      </c>
      <c r="T2456">
        <v>2.9375080000000001E-2</v>
      </c>
      <c r="U2456">
        <v>-3.0442200000000001</v>
      </c>
      <c r="V2456">
        <v>-0.13039200000000001</v>
      </c>
      <c r="W2456">
        <v>-3.2954129999999998E-2</v>
      </c>
      <c r="X2456">
        <v>0.99091469999999904</v>
      </c>
      <c r="Y2456">
        <v>-0.35479690000000003</v>
      </c>
      <c r="Z2456">
        <v>-9.0092519999999902E-3</v>
      </c>
      <c r="AA2456">
        <v>0.93489999999999995</v>
      </c>
      <c r="AB2456">
        <v>17</v>
      </c>
      <c r="AC2456">
        <v>17.129799999999999</v>
      </c>
      <c r="AD2456">
        <v>0.93562999999999996</v>
      </c>
      <c r="AE2456">
        <v>-96.845599999999905</v>
      </c>
      <c r="AF2456">
        <v>-34.9165248544994</v>
      </c>
      <c r="AG2456">
        <v>0.93562999999999996</v>
      </c>
      <c r="AH2456">
        <v>91.932507907410695</v>
      </c>
      <c r="AI2456">
        <v>89.454890695129905</v>
      </c>
      <c r="AJ2456">
        <v>110.797081220744</v>
      </c>
      <c r="AK2456">
        <v>98.344420896957402</v>
      </c>
    </row>
    <row r="2457" spans="1:37" x14ac:dyDescent="0.2">
      <c r="A2457" t="str">
        <f>"20200111155848188"</f>
        <v>20200111155848188</v>
      </c>
      <c r="B2457" t="str">
        <f>"1578729528183753"</f>
        <v>1578729528183753</v>
      </c>
      <c r="C2457" t="s">
        <v>37</v>
      </c>
      <c r="D2457">
        <v>5.7070030000000003</v>
      </c>
      <c r="E2457">
        <v>0.41069359999999999</v>
      </c>
      <c r="F2457" t="s">
        <v>60</v>
      </c>
      <c r="G2457">
        <v>-473.86130000000003</v>
      </c>
      <c r="H2457">
        <v>1.916865</v>
      </c>
      <c r="I2457">
        <v>180.9991</v>
      </c>
      <c r="J2457">
        <v>-490.6635</v>
      </c>
      <c r="K2457">
        <v>1.1112599999999999</v>
      </c>
      <c r="L2457">
        <v>274.09989999999999</v>
      </c>
      <c r="M2457">
        <v>-0.1781517</v>
      </c>
      <c r="N2457">
        <v>0</v>
      </c>
      <c r="O2457">
        <v>-0.98388109999999995</v>
      </c>
      <c r="P2457">
        <v>-4.9371909999999998E-2</v>
      </c>
      <c r="Q2457">
        <v>-4.6279109999999998E-2</v>
      </c>
      <c r="R2457">
        <v>-0.99770769999999998</v>
      </c>
      <c r="S2457">
        <v>0.54779049999999996</v>
      </c>
      <c r="T2457">
        <v>2.6272420000000001E-2</v>
      </c>
      <c r="U2457">
        <v>-3.0401609999999999</v>
      </c>
      <c r="V2457">
        <v>-0.128660199999999</v>
      </c>
      <c r="W2457">
        <v>-3.304199E-2</v>
      </c>
      <c r="X2457">
        <v>0.99113809999999902</v>
      </c>
      <c r="Y2457">
        <v>-0.3498349</v>
      </c>
      <c r="Z2457">
        <v>-8.0947439999999992E-3</v>
      </c>
      <c r="AA2457">
        <v>0.93677639999999995</v>
      </c>
      <c r="AB2457">
        <v>17</v>
      </c>
      <c r="AC2457">
        <v>16.8021999999999</v>
      </c>
      <c r="AD2457">
        <v>0.80560499999999902</v>
      </c>
      <c r="AE2457">
        <v>-93.100800000000007</v>
      </c>
      <c r="AF2457">
        <v>-33.119005267451101</v>
      </c>
      <c r="AG2457">
        <v>0.80560499999999902</v>
      </c>
      <c r="AH2457">
        <v>88.610984183181998</v>
      </c>
      <c r="AI2457">
        <v>89.512075650470607</v>
      </c>
      <c r="AJ2457">
        <v>110.49359826903201</v>
      </c>
      <c r="AK2457">
        <v>94.601395482485401</v>
      </c>
    </row>
    <row r="2458" spans="1:37" x14ac:dyDescent="0.2">
      <c r="A2458" t="str">
        <f>"20200111155848206"</f>
        <v>20200111155848206</v>
      </c>
      <c r="B2458" t="str">
        <f>"1578729528193513"</f>
        <v>1578729528193513</v>
      </c>
      <c r="C2458" t="s">
        <v>37</v>
      </c>
      <c r="D2458">
        <v>5.804354</v>
      </c>
      <c r="E2458">
        <v>0.41069359999999999</v>
      </c>
      <c r="F2458" t="s">
        <v>60</v>
      </c>
      <c r="G2458">
        <v>-473.68459999999999</v>
      </c>
      <c r="H2458">
        <v>2.0053749999999999</v>
      </c>
      <c r="I2458">
        <v>180.9991</v>
      </c>
      <c r="J2458">
        <v>-490.67360000000002</v>
      </c>
      <c r="K2458">
        <v>1.110989</v>
      </c>
      <c r="L2458">
        <v>273.97269999999997</v>
      </c>
      <c r="M2458">
        <v>-0.16755</v>
      </c>
      <c r="N2458">
        <v>0</v>
      </c>
      <c r="O2458">
        <v>-0.98574300000000004</v>
      </c>
      <c r="P2458">
        <v>-4.4967939999999998E-2</v>
      </c>
      <c r="Q2458">
        <v>-4.6659659999999999E-2</v>
      </c>
      <c r="R2458">
        <v>-0.99789819999999996</v>
      </c>
      <c r="S2458">
        <v>0.55361939999999998</v>
      </c>
      <c r="T2458">
        <v>2.915382E-2</v>
      </c>
      <c r="U2458">
        <v>-3.0356749999999999</v>
      </c>
      <c r="V2458">
        <v>-0.1223775</v>
      </c>
      <c r="W2458">
        <v>-3.3299679999999998E-2</v>
      </c>
      <c r="X2458">
        <v>0.99192479999999905</v>
      </c>
      <c r="Y2458">
        <v>-0.34171839999999998</v>
      </c>
      <c r="Z2458">
        <v>-9.0350159999999999E-3</v>
      </c>
      <c r="AA2458">
        <v>0.93975900000000001</v>
      </c>
      <c r="AB2458">
        <v>17</v>
      </c>
      <c r="AC2458">
        <v>16.989000000000001</v>
      </c>
      <c r="AD2458">
        <v>0.89438599999999902</v>
      </c>
      <c r="AE2458">
        <v>-92.973599999999905</v>
      </c>
      <c r="AF2458">
        <v>-32.3254627829048</v>
      </c>
      <c r="AG2458">
        <v>0.89438599999999902</v>
      </c>
      <c r="AH2458">
        <v>88.804173528455294</v>
      </c>
      <c r="AI2458">
        <v>89.457772205928705</v>
      </c>
      <c r="AJ2458">
        <v>110.001929581203</v>
      </c>
      <c r="AK2458">
        <v>94.508818141578502</v>
      </c>
    </row>
    <row r="2459" spans="1:37" x14ac:dyDescent="0.2">
      <c r="A2459" t="str">
        <f>"20200111155848220"</f>
        <v>20200111155848220</v>
      </c>
      <c r="B2459" t="str">
        <f>"1578729528214009"</f>
        <v>1578729528214009</v>
      </c>
      <c r="C2459" t="s">
        <v>37</v>
      </c>
      <c r="D2459">
        <v>5.7357779999999998</v>
      </c>
      <c r="E2459">
        <v>0.43865090000000001</v>
      </c>
      <c r="F2459" t="s">
        <v>60</v>
      </c>
      <c r="G2459">
        <v>-473.30549999999999</v>
      </c>
      <c r="H2459">
        <v>2.0042529999999998</v>
      </c>
      <c r="I2459">
        <v>180.9991</v>
      </c>
      <c r="J2459">
        <v>-490.6816</v>
      </c>
      <c r="K2459">
        <v>1.1107039999999999</v>
      </c>
      <c r="L2459">
        <v>273.85809999999998</v>
      </c>
      <c r="M2459">
        <v>-0.15833169999999999</v>
      </c>
      <c r="N2459">
        <v>0</v>
      </c>
      <c r="O2459">
        <v>-0.98726700000000001</v>
      </c>
      <c r="P2459">
        <v>-3.8481590000000003E-2</v>
      </c>
      <c r="Q2459">
        <v>-4.6749329999999999E-2</v>
      </c>
      <c r="R2459">
        <v>-0.99816539999999998</v>
      </c>
      <c r="S2459">
        <v>0.56661989999999995</v>
      </c>
      <c r="T2459">
        <v>2.914214E-2</v>
      </c>
      <c r="U2459">
        <v>-3.0332029999999999</v>
      </c>
      <c r="V2459">
        <v>-0.1195758</v>
      </c>
      <c r="W2459">
        <v>-3.3336959999999999E-2</v>
      </c>
      <c r="X2459">
        <v>0.99226519999999996</v>
      </c>
      <c r="Y2459">
        <v>-0.33696209999999999</v>
      </c>
      <c r="Z2459">
        <v>-9.0652189999999994E-3</v>
      </c>
      <c r="AA2459">
        <v>0.94147459999999905</v>
      </c>
      <c r="AB2459">
        <v>17</v>
      </c>
      <c r="AC2459">
        <v>17.376100000000001</v>
      </c>
      <c r="AD2459">
        <v>0.89354899999999904</v>
      </c>
      <c r="AE2459">
        <v>-92.858999999999895</v>
      </c>
      <c r="AF2459">
        <v>-31.8582663231415</v>
      </c>
      <c r="AG2459">
        <v>0.89354899999999904</v>
      </c>
      <c r="AH2459">
        <v>88.927931234941497</v>
      </c>
      <c r="AI2459">
        <v>89.458037125208506</v>
      </c>
      <c r="AJ2459">
        <v>109.70996882952301</v>
      </c>
      <c r="AK2459">
        <v>94.466525905519006</v>
      </c>
    </row>
    <row r="2460" spans="1:37" x14ac:dyDescent="0.2">
      <c r="A2460" t="str">
        <f>"20200111155848233"</f>
        <v>20200111155848233</v>
      </c>
      <c r="B2460" t="str">
        <f>"1578729528223770"</f>
        <v>1578729528223770</v>
      </c>
      <c r="C2460" t="s">
        <v>37</v>
      </c>
      <c r="D2460">
        <v>5.8083980000000004</v>
      </c>
      <c r="E2460">
        <v>0.44031039999999999</v>
      </c>
      <c r="F2460" t="s">
        <v>39</v>
      </c>
      <c r="G2460">
        <v>-486.6644</v>
      </c>
      <c r="H2460" s="1">
        <v>-1.4504370000000001E-6</v>
      </c>
      <c r="I2460">
        <v>241.3022</v>
      </c>
      <c r="J2460">
        <v>-490.68770000000001</v>
      </c>
      <c r="K2460">
        <v>1.110457</v>
      </c>
      <c r="L2460">
        <v>273.76240000000001</v>
      </c>
      <c r="M2460">
        <v>-0.150819799999999</v>
      </c>
      <c r="N2460">
        <v>0</v>
      </c>
      <c r="O2460">
        <v>-0.98844339999999997</v>
      </c>
      <c r="P2460">
        <v>-3.381928E-2</v>
      </c>
      <c r="Q2460">
        <v>-4.703748E-2</v>
      </c>
      <c r="R2460">
        <v>-0.99832049999999894</v>
      </c>
      <c r="S2460">
        <v>0.37203979999999998</v>
      </c>
      <c r="T2460">
        <v>-0.102865</v>
      </c>
      <c r="U2460">
        <v>-3.0150759999999899</v>
      </c>
      <c r="V2460">
        <v>-0.1166782</v>
      </c>
      <c r="W2460">
        <v>-3.3576719999999997E-2</v>
      </c>
      <c r="X2460">
        <v>0.99260210000000004</v>
      </c>
      <c r="Y2460">
        <v>-0.27069720000000003</v>
      </c>
      <c r="Z2460">
        <v>3.2749510000000003E-2</v>
      </c>
      <c r="AA2460">
        <v>0.9621073</v>
      </c>
      <c r="AB2460">
        <v>17</v>
      </c>
      <c r="AC2460">
        <v>4.0232999999999999</v>
      </c>
      <c r="AD2460">
        <v>-1.1104584504370001</v>
      </c>
      <c r="AE2460">
        <v>-32.4602</v>
      </c>
      <c r="AF2460">
        <v>-8.8632633137032908</v>
      </c>
      <c r="AG2460">
        <v>-1.1104584504370001</v>
      </c>
      <c r="AH2460">
        <v>31.445701006308699</v>
      </c>
      <c r="AI2460">
        <v>91.946687833882905</v>
      </c>
      <c r="AJ2460">
        <v>105.74098403803301</v>
      </c>
      <c r="AK2460">
        <v>32.689794528512202</v>
      </c>
    </row>
    <row r="2461" spans="1:37" x14ac:dyDescent="0.2">
      <c r="A2461" t="str">
        <f>"20200111155848252"</f>
        <v>20200111155848252</v>
      </c>
      <c r="B2461" t="str">
        <f>"1578729528244265"</f>
        <v>1578729528244265</v>
      </c>
      <c r="C2461" t="s">
        <v>37</v>
      </c>
      <c r="D2461">
        <v>5.7661300000000004</v>
      </c>
      <c r="E2461">
        <v>0.44187280000000001</v>
      </c>
      <c r="F2461" t="s">
        <v>39</v>
      </c>
      <c r="G2461">
        <v>-487.13589999999999</v>
      </c>
      <c r="H2461" s="1">
        <v>-2.880009E-6</v>
      </c>
      <c r="I2461">
        <v>245.1619</v>
      </c>
      <c r="J2461">
        <v>-490.69580000000002</v>
      </c>
      <c r="K2461">
        <v>1.110087</v>
      </c>
      <c r="L2461">
        <v>273.625</v>
      </c>
      <c r="M2461">
        <v>-0.14037749999999999</v>
      </c>
      <c r="N2461">
        <v>0</v>
      </c>
      <c r="O2461">
        <v>-0.98998220000000003</v>
      </c>
      <c r="P2461">
        <v>-2.948431E-2</v>
      </c>
      <c r="Q2461">
        <v>-4.8147379999999997E-2</v>
      </c>
      <c r="R2461">
        <v>-0.99840549999999995</v>
      </c>
      <c r="S2461">
        <v>0.37408449999999999</v>
      </c>
      <c r="T2461">
        <v>-0.11695369999999999</v>
      </c>
      <c r="U2461">
        <v>-3.0122070000000001</v>
      </c>
      <c r="V2461">
        <v>-0.1105173</v>
      </c>
      <c r="W2461">
        <v>-3.4593249999999999E-2</v>
      </c>
      <c r="X2461">
        <v>0.99327199999999904</v>
      </c>
      <c r="Y2461">
        <v>-0.26125660000000001</v>
      </c>
      <c r="Z2461">
        <v>3.7402129999999999E-2</v>
      </c>
      <c r="AA2461">
        <v>0.96454449999999903</v>
      </c>
      <c r="AB2461">
        <v>17</v>
      </c>
      <c r="AC2461">
        <v>3.5599000000000198</v>
      </c>
      <c r="AD2461">
        <v>-1.110089880009</v>
      </c>
      <c r="AE2461">
        <v>-28.463100000000001</v>
      </c>
      <c r="AF2461">
        <v>-7.5094326121384301</v>
      </c>
      <c r="AG2461">
        <v>-1.110089880009</v>
      </c>
      <c r="AH2461">
        <v>27.6400126268618</v>
      </c>
      <c r="AI2461">
        <v>92.219528496227795</v>
      </c>
      <c r="AJ2461">
        <v>105.199628176201</v>
      </c>
      <c r="AK2461">
        <v>28.663464126149002</v>
      </c>
    </row>
    <row r="2462" spans="1:37" x14ac:dyDescent="0.2">
      <c r="A2462" t="str">
        <f>"20200111155848266"</f>
        <v>20200111155848266</v>
      </c>
      <c r="B2462" t="str">
        <f>"1578729528263785"</f>
        <v>1578729528263785</v>
      </c>
      <c r="C2462" t="s">
        <v>37</v>
      </c>
      <c r="D2462">
        <v>5.8452380000000002</v>
      </c>
      <c r="E2462">
        <v>0.44425479999999901</v>
      </c>
      <c r="F2462" t="s">
        <v>39</v>
      </c>
      <c r="G2462">
        <v>-487.46839999999997</v>
      </c>
      <c r="H2462" s="1">
        <v>-3.9193860000000002E-6</v>
      </c>
      <c r="I2462">
        <v>247.72219999999999</v>
      </c>
      <c r="J2462">
        <v>-490.70170000000002</v>
      </c>
      <c r="K2462">
        <v>1.1097889999999999</v>
      </c>
      <c r="L2462">
        <v>273.51670000000001</v>
      </c>
      <c r="M2462">
        <v>-0.13243489999999999</v>
      </c>
      <c r="N2462">
        <v>0</v>
      </c>
      <c r="O2462">
        <v>-0.99107690000000004</v>
      </c>
      <c r="P2462">
        <v>-2.464566E-2</v>
      </c>
      <c r="Q2462">
        <v>-4.8494199999999897E-2</v>
      </c>
      <c r="R2462">
        <v>-0.99851909999999899</v>
      </c>
      <c r="S2462">
        <v>0.375</v>
      </c>
      <c r="T2462">
        <v>-0.12898119999999999</v>
      </c>
      <c r="U2462">
        <v>-3.00964399999999</v>
      </c>
      <c r="V2462">
        <v>-0.1073844</v>
      </c>
      <c r="W2462">
        <v>-3.4898510000000001E-2</v>
      </c>
      <c r="X2462">
        <v>0.99360490000000001</v>
      </c>
      <c r="Y2462">
        <v>-0.25387889999999902</v>
      </c>
      <c r="Z2462">
        <v>4.138812E-2</v>
      </c>
      <c r="AA2462">
        <v>0.96635009999999999</v>
      </c>
      <c r="AB2462">
        <v>17</v>
      </c>
      <c r="AC2462">
        <v>3.2333000000000398</v>
      </c>
      <c r="AD2462">
        <v>-1.1097929193860001</v>
      </c>
      <c r="AE2462">
        <v>-25.794499999999999</v>
      </c>
      <c r="AF2462">
        <v>-6.6092493142107598</v>
      </c>
      <c r="AG2462">
        <v>-1.1097929193860001</v>
      </c>
      <c r="AH2462">
        <v>25.093260440404201</v>
      </c>
      <c r="AI2462">
        <v>92.448940941432099</v>
      </c>
      <c r="AJ2462">
        <v>104.755861632989</v>
      </c>
      <c r="AK2462">
        <v>25.972784532107202</v>
      </c>
    </row>
    <row r="2463" spans="1:37" x14ac:dyDescent="0.2">
      <c r="A2463" t="str">
        <f>"20200111155848283"</f>
        <v>20200111155848283</v>
      </c>
      <c r="B2463" t="str">
        <f>"1578729528273545"</f>
        <v>1578729528273545</v>
      </c>
      <c r="C2463" t="s">
        <v>37</v>
      </c>
      <c r="D2463">
        <v>5.8297290000000004</v>
      </c>
      <c r="E2463">
        <v>0.44544329999999999</v>
      </c>
      <c r="F2463" t="s">
        <v>39</v>
      </c>
      <c r="G2463">
        <v>-487.50850000000003</v>
      </c>
      <c r="H2463" s="1">
        <v>-3.852033E-6</v>
      </c>
      <c r="I2463">
        <v>247.58170000000001</v>
      </c>
      <c r="J2463">
        <v>-490.70800000000003</v>
      </c>
      <c r="K2463">
        <v>1.1094120000000001</v>
      </c>
      <c r="L2463">
        <v>273.38499999999999</v>
      </c>
      <c r="M2463">
        <v>-0.1232779</v>
      </c>
      <c r="N2463">
        <v>0</v>
      </c>
      <c r="O2463">
        <v>-0.99225940000000001</v>
      </c>
      <c r="P2463">
        <v>-2.2327900000000001E-2</v>
      </c>
      <c r="Q2463">
        <v>-4.8802419999999999E-2</v>
      </c>
      <c r="R2463">
        <v>-0.99855919999999898</v>
      </c>
      <c r="S2463">
        <v>0.37026979999999998</v>
      </c>
      <c r="T2463">
        <v>-0.12868750000000001</v>
      </c>
      <c r="U2463">
        <v>-3.0073240000000001</v>
      </c>
      <c r="V2463">
        <v>-0.10054159999999999</v>
      </c>
      <c r="W2463">
        <v>-3.5125499999999997E-2</v>
      </c>
      <c r="X2463">
        <v>0.99431259999999999</v>
      </c>
      <c r="Y2463">
        <v>-0.24352770000000001</v>
      </c>
      <c r="Z2463">
        <v>4.1461919999999999E-2</v>
      </c>
      <c r="AA2463">
        <v>0.96900730000000002</v>
      </c>
      <c r="AB2463">
        <v>17</v>
      </c>
      <c r="AC2463">
        <v>3.1995</v>
      </c>
      <c r="AD2463">
        <v>-1.109415852033</v>
      </c>
      <c r="AE2463">
        <v>-25.803299999999901</v>
      </c>
      <c r="AF2463">
        <v>-6.3448706475505103</v>
      </c>
      <c r="AG2463">
        <v>-1.109415852033</v>
      </c>
      <c r="AH2463">
        <v>25.166144055443699</v>
      </c>
      <c r="AI2463">
        <v>92.447677351912503</v>
      </c>
      <c r="AJ2463">
        <v>104.15047059284301</v>
      </c>
      <c r="AK2463">
        <v>25.977355402084999</v>
      </c>
    </row>
    <row r="2464" spans="1:37" x14ac:dyDescent="0.2">
      <c r="A2464" t="str">
        <f>"20200111155848308"</f>
        <v>20200111155848308</v>
      </c>
      <c r="B2464" t="str">
        <f>"1578729528303801"</f>
        <v>1578729528303801</v>
      </c>
      <c r="C2464" t="s">
        <v>37</v>
      </c>
      <c r="D2464">
        <v>5.8163089999999897</v>
      </c>
      <c r="E2464">
        <v>0.44786799999999999</v>
      </c>
      <c r="F2464" t="s">
        <v>39</v>
      </c>
      <c r="G2464">
        <v>-487.37509999999997</v>
      </c>
      <c r="H2464" s="1">
        <v>-3.2377649999999998E-6</v>
      </c>
      <c r="I2464">
        <v>246.09469999999999</v>
      </c>
      <c r="J2464">
        <v>-490.71570000000003</v>
      </c>
      <c r="K2464">
        <v>1.1089059999999999</v>
      </c>
      <c r="L2464">
        <v>273.20359999999999</v>
      </c>
      <c r="M2464">
        <v>-0.111508199999999</v>
      </c>
      <c r="N2464">
        <v>0</v>
      </c>
      <c r="O2464">
        <v>-0.99365309999999996</v>
      </c>
      <c r="P2464">
        <v>-1.7462229999999999E-2</v>
      </c>
      <c r="Q2464">
        <v>-4.8788610000000003E-2</v>
      </c>
      <c r="R2464">
        <v>-0.99865680000000001</v>
      </c>
      <c r="S2464">
        <v>0.3671875</v>
      </c>
      <c r="T2464">
        <v>-0.1222239</v>
      </c>
      <c r="U2464">
        <v>-3.006561</v>
      </c>
      <c r="V2464">
        <v>-9.3642779999999995E-2</v>
      </c>
      <c r="W2464">
        <v>-3.5060719999999997E-2</v>
      </c>
      <c r="X2464">
        <v>0.99498829999999905</v>
      </c>
      <c r="Y2464">
        <v>-0.23107320000000001</v>
      </c>
      <c r="Z2464">
        <v>3.9541609999999998E-2</v>
      </c>
      <c r="AA2464">
        <v>0.97213249999999995</v>
      </c>
      <c r="AB2464">
        <v>17</v>
      </c>
      <c r="AC2464">
        <v>3.34060000000005</v>
      </c>
      <c r="AD2464">
        <v>-1.1089092377650001</v>
      </c>
      <c r="AE2464">
        <v>-27.108899999999998</v>
      </c>
      <c r="AF2464">
        <v>-6.3325205988725104</v>
      </c>
      <c r="AG2464">
        <v>-1.1089092377650001</v>
      </c>
      <c r="AH2464">
        <v>26.523535928678999</v>
      </c>
      <c r="AI2464">
        <v>92.328681411796694</v>
      </c>
      <c r="AJ2464">
        <v>103.428048938722</v>
      </c>
      <c r="AK2464">
        <v>27.291545485601802</v>
      </c>
    </row>
    <row r="2465" spans="1:37" x14ac:dyDescent="0.2">
      <c r="A2465" t="str">
        <f>"20200111155848323"</f>
        <v>20200111155848323</v>
      </c>
      <c r="B2465" t="str">
        <f>"1578729528313561"</f>
        <v>1578729528313561</v>
      </c>
      <c r="C2465" t="s">
        <v>37</v>
      </c>
      <c r="D2465">
        <v>5.8191980000000001</v>
      </c>
      <c r="E2465">
        <v>0.4484785</v>
      </c>
      <c r="F2465" t="s">
        <v>39</v>
      </c>
      <c r="G2465">
        <v>-487.86590000000001</v>
      </c>
      <c r="H2465" s="1">
        <v>-5.7336659999999995E-7</v>
      </c>
      <c r="I2465">
        <v>249.6643</v>
      </c>
      <c r="J2465">
        <v>-490.7201</v>
      </c>
      <c r="K2465">
        <v>1.1085700000000001</v>
      </c>
      <c r="L2465">
        <v>273.08730000000003</v>
      </c>
      <c r="M2465">
        <v>-0.1044718</v>
      </c>
      <c r="N2465">
        <v>0</v>
      </c>
      <c r="O2465">
        <v>-0.99441889999999999</v>
      </c>
      <c r="P2465">
        <v>-1.4090770000000001E-2</v>
      </c>
      <c r="Q2465">
        <v>-4.8888960000000002E-2</v>
      </c>
      <c r="R2465">
        <v>-0.99870499999999995</v>
      </c>
      <c r="S2465">
        <v>0.36361690000000002</v>
      </c>
      <c r="T2465">
        <v>-0.14149149999999999</v>
      </c>
      <c r="U2465">
        <v>-3.0035099999999999</v>
      </c>
      <c r="V2465">
        <v>-8.9985789999999996E-2</v>
      </c>
      <c r="W2465">
        <v>-3.5147789999999998E-2</v>
      </c>
      <c r="X2465">
        <v>0.99532259999999995</v>
      </c>
      <c r="Y2465">
        <v>-0.2231255</v>
      </c>
      <c r="Z2465">
        <v>4.5908989999999997E-2</v>
      </c>
      <c r="AA2465">
        <v>0.97370800000000002</v>
      </c>
      <c r="AB2465">
        <v>17</v>
      </c>
      <c r="AC2465">
        <v>2.8541999999999899</v>
      </c>
      <c r="AD2465">
        <v>-1.1085705733666</v>
      </c>
      <c r="AE2465">
        <v>-23.422999999999998</v>
      </c>
      <c r="AF2465">
        <v>-5.2742448581927599</v>
      </c>
      <c r="AG2465">
        <v>-1.1085705733666</v>
      </c>
      <c r="AH2465">
        <v>22.9459361097399</v>
      </c>
      <c r="AI2465">
        <v>92.695750733131803</v>
      </c>
      <c r="AJ2465">
        <v>102.944889704697</v>
      </c>
      <c r="AK2465">
        <v>23.570374869580899</v>
      </c>
    </row>
    <row r="2466" spans="1:37" x14ac:dyDescent="0.2">
      <c r="A2466" t="str">
        <f>"20200111155848341"</f>
        <v>20200111155848341</v>
      </c>
      <c r="B2466" t="str">
        <f>"1578729528334056"</f>
        <v>1578729528334056</v>
      </c>
      <c r="C2466" t="s">
        <v>37</v>
      </c>
      <c r="D2466">
        <v>5.8320589999999903</v>
      </c>
      <c r="E2466">
        <v>0.44956750000000001</v>
      </c>
      <c r="F2466" t="s">
        <v>39</v>
      </c>
      <c r="G2466">
        <v>-487.9117</v>
      </c>
      <c r="H2466" s="1">
        <v>-7.6400639999999898E-7</v>
      </c>
      <c r="I2466">
        <v>250.2603</v>
      </c>
      <c r="J2466">
        <v>-490.72480000000002</v>
      </c>
      <c r="K2466">
        <v>1.10819</v>
      </c>
      <c r="L2466">
        <v>272.95</v>
      </c>
      <c r="M2466">
        <v>-9.667655E-2</v>
      </c>
      <c r="N2466">
        <v>0</v>
      </c>
      <c r="O2466">
        <v>-0.99520889999999995</v>
      </c>
      <c r="P2466">
        <v>-1.3489269999999999E-2</v>
      </c>
      <c r="Q2466">
        <v>-4.8113929999999999E-2</v>
      </c>
      <c r="R2466">
        <v>-0.9987511</v>
      </c>
      <c r="S2466">
        <v>0.36932369999999998</v>
      </c>
      <c r="T2466">
        <v>-0.14578369999999999</v>
      </c>
      <c r="U2466">
        <v>-3.0018919999999998</v>
      </c>
      <c r="V2466">
        <v>-8.2828780000000005E-2</v>
      </c>
      <c r="W2466">
        <v>-3.4338380000000002E-2</v>
      </c>
      <c r="X2466">
        <v>0.99597199999999997</v>
      </c>
      <c r="Y2466">
        <v>-0.21736159999999999</v>
      </c>
      <c r="Z2466">
        <v>4.7406990000000003E-2</v>
      </c>
      <c r="AA2466">
        <v>0.97493920000000001</v>
      </c>
      <c r="AB2466">
        <v>17</v>
      </c>
      <c r="AC2466">
        <v>2.8131000000000199</v>
      </c>
      <c r="AD2466">
        <v>-1.1081907640063999</v>
      </c>
      <c r="AE2466">
        <v>-22.689699999999899</v>
      </c>
      <c r="AF2466">
        <v>-4.9820111990590101</v>
      </c>
      <c r="AG2466">
        <v>-1.1081907640063999</v>
      </c>
      <c r="AH2466">
        <v>22.259111328506499</v>
      </c>
      <c r="AI2466">
        <v>92.781465665865099</v>
      </c>
      <c r="AJ2466">
        <v>102.615959394437</v>
      </c>
      <c r="AK2466">
        <v>22.836737058779299</v>
      </c>
    </row>
    <row r="2467" spans="1:37" x14ac:dyDescent="0.2">
      <c r="A2467" t="str">
        <f>"20200111155848355"</f>
        <v>20200111155848355</v>
      </c>
      <c r="B2467" t="str">
        <f>"1578729528343818"</f>
        <v>1578729528343818</v>
      </c>
      <c r="C2467" t="s">
        <v>37</v>
      </c>
      <c r="D2467">
        <v>5.8183930000000004</v>
      </c>
      <c r="E2467">
        <v>0.44956750000000001</v>
      </c>
      <c r="F2467" t="s">
        <v>39</v>
      </c>
      <c r="G2467">
        <v>-488.05790000000002</v>
      </c>
      <c r="H2467" s="1">
        <v>-9.4248650000000003E-7</v>
      </c>
      <c r="I2467">
        <v>250.8991</v>
      </c>
      <c r="J2467">
        <v>-490.72809999999998</v>
      </c>
      <c r="K2467">
        <v>1.1079049999999999</v>
      </c>
      <c r="L2467">
        <v>272.84500000000003</v>
      </c>
      <c r="M2467">
        <v>-9.1124479999999994E-2</v>
      </c>
      <c r="N2467">
        <v>0</v>
      </c>
      <c r="O2467">
        <v>-0.99573389999999995</v>
      </c>
      <c r="P2467">
        <v>-1.153536E-2</v>
      </c>
      <c r="Q2467">
        <v>-4.7670099999999903E-2</v>
      </c>
      <c r="R2467">
        <v>-0.99879649999999998</v>
      </c>
      <c r="S2467">
        <v>0.36300659999999901</v>
      </c>
      <c r="T2467">
        <v>-0.15084059999999999</v>
      </c>
      <c r="U2467">
        <v>-3.0014340000000002</v>
      </c>
      <c r="V2467">
        <v>-7.9251920000000003E-2</v>
      </c>
      <c r="W2467">
        <v>-3.3893479999999997E-2</v>
      </c>
      <c r="X2467">
        <v>0.99627829999999995</v>
      </c>
      <c r="Y2467">
        <v>-0.20989759999999999</v>
      </c>
      <c r="Z2467">
        <v>4.9141249999999997E-2</v>
      </c>
      <c r="AA2467">
        <v>0.97648760000000001</v>
      </c>
      <c r="AB2467">
        <v>17</v>
      </c>
      <c r="AC2467">
        <v>2.6701999999999599</v>
      </c>
      <c r="AD2467">
        <v>-1.1079059424865001</v>
      </c>
      <c r="AE2467">
        <v>-21.945900000000002</v>
      </c>
      <c r="AF2467">
        <v>-4.6474357905206203</v>
      </c>
      <c r="AG2467">
        <v>-1.1079059424865001</v>
      </c>
      <c r="AH2467">
        <v>21.557090279377</v>
      </c>
      <c r="AI2467">
        <v>92.876109126520205</v>
      </c>
      <c r="AJ2467">
        <v>102.16604164841399</v>
      </c>
      <c r="AK2467">
        <v>22.080177905026499</v>
      </c>
    </row>
    <row r="2468" spans="1:37" x14ac:dyDescent="0.2">
      <c r="A2468" t="str">
        <f>"20200111155848370"</f>
        <v>20200111155848370</v>
      </c>
      <c r="B2468" t="str">
        <f>"1578729528364313"</f>
        <v>1578729528364313</v>
      </c>
      <c r="C2468" t="s">
        <v>37</v>
      </c>
      <c r="D2468">
        <v>5.8564489999999996</v>
      </c>
      <c r="E2468">
        <v>0.45071229999999901</v>
      </c>
      <c r="F2468" t="s">
        <v>39</v>
      </c>
      <c r="G2468">
        <v>-488.00029999999998</v>
      </c>
      <c r="H2468" s="1">
        <v>-8.7325349999999995E-7</v>
      </c>
      <c r="I2468">
        <v>250.6506</v>
      </c>
      <c r="J2468">
        <v>-490.73149999999998</v>
      </c>
      <c r="K2468">
        <v>1.1075839999999999</v>
      </c>
      <c r="L2468">
        <v>272.72989999999999</v>
      </c>
      <c r="M2468">
        <v>-8.5366999999999998E-2</v>
      </c>
      <c r="N2468">
        <v>0</v>
      </c>
      <c r="O2468">
        <v>-0.99624550000000001</v>
      </c>
      <c r="P2468">
        <v>-9.1547150000000008E-3</v>
      </c>
      <c r="Q2468">
        <v>-4.6846520000000003E-2</v>
      </c>
      <c r="R2468">
        <v>-0.99886039999999998</v>
      </c>
      <c r="S2468">
        <v>0.36880489999999999</v>
      </c>
      <c r="T2468">
        <v>-0.14979020000000001</v>
      </c>
      <c r="U2468">
        <v>-3.000702</v>
      </c>
      <c r="V2468">
        <v>-7.5903419999999999E-2</v>
      </c>
      <c r="W2468">
        <v>-3.307616E-2</v>
      </c>
      <c r="X2468">
        <v>0.99656639999999996</v>
      </c>
      <c r="Y2468">
        <v>-0.2061337</v>
      </c>
      <c r="Z2468">
        <v>4.8863990000000003E-2</v>
      </c>
      <c r="AA2468">
        <v>0.97730300000000003</v>
      </c>
      <c r="AB2468">
        <v>17</v>
      </c>
      <c r="AC2468">
        <v>2.7311999999999999</v>
      </c>
      <c r="AD2468">
        <v>-1.1075848732535001</v>
      </c>
      <c r="AE2468">
        <v>-22.0792999999999</v>
      </c>
      <c r="AF2468">
        <v>-4.5948785671423904</v>
      </c>
      <c r="AG2468">
        <v>-1.1075848732535001</v>
      </c>
      <c r="AH2468">
        <v>21.711693526192299</v>
      </c>
      <c r="AI2468">
        <v>92.857141110680203</v>
      </c>
      <c r="AJ2468">
        <v>101.94928023356999</v>
      </c>
      <c r="AK2468">
        <v>22.220200023256801</v>
      </c>
    </row>
    <row r="2469" spans="1:37" x14ac:dyDescent="0.2">
      <c r="A2469" t="str">
        <f>"20200111155848385"</f>
        <v>20200111155848385</v>
      </c>
      <c r="B2469" t="str">
        <f>"1578729528374072"</f>
        <v>1578729528374072</v>
      </c>
      <c r="C2469" t="s">
        <v>37</v>
      </c>
      <c r="D2469">
        <v>5.8957449999999998</v>
      </c>
      <c r="E2469">
        <v>0.45118659999999999</v>
      </c>
      <c r="F2469" t="s">
        <v>39</v>
      </c>
      <c r="G2469">
        <v>-488.0607</v>
      </c>
      <c r="H2469" s="1">
        <v>-9.4407169999999898E-7</v>
      </c>
      <c r="I2469">
        <v>250.90599999999901</v>
      </c>
      <c r="J2469">
        <v>-490.7346</v>
      </c>
      <c r="K2469">
        <v>1.107273</v>
      </c>
      <c r="L2469">
        <v>272.6191</v>
      </c>
      <c r="M2469">
        <v>-8.0168439999999994E-2</v>
      </c>
      <c r="N2469">
        <v>0</v>
      </c>
      <c r="O2469">
        <v>-0.99667879999999998</v>
      </c>
      <c r="P2469">
        <v>-1.0552539999999999E-2</v>
      </c>
      <c r="Q2469">
        <v>-4.5232410000000001E-2</v>
      </c>
      <c r="R2469">
        <v>-0.99892099999999995</v>
      </c>
      <c r="S2469">
        <v>0.36709589999999998</v>
      </c>
      <c r="T2469">
        <v>-0.15223610000000001</v>
      </c>
      <c r="U2469">
        <v>-2.9996640000000001</v>
      </c>
      <c r="V2469">
        <v>-6.9353419999999999E-2</v>
      </c>
      <c r="W2469">
        <v>-3.1442619999999998E-2</v>
      </c>
      <c r="X2469">
        <v>0.99709650000000005</v>
      </c>
      <c r="Y2469">
        <v>-0.20051279999999999</v>
      </c>
      <c r="Z2469">
        <v>4.9740850000000003E-2</v>
      </c>
      <c r="AA2469">
        <v>0.97842750000000001</v>
      </c>
      <c r="AB2469">
        <v>17</v>
      </c>
      <c r="AC2469">
        <v>2.6739000000000002</v>
      </c>
      <c r="AD2469">
        <v>-1.1072739440716901</v>
      </c>
      <c r="AE2469">
        <v>-21.713100000000001</v>
      </c>
      <c r="AF2469">
        <v>-4.3949166143504099</v>
      </c>
      <c r="AG2469">
        <v>-1.1072739440716901</v>
      </c>
      <c r="AH2469">
        <v>21.374059977245999</v>
      </c>
      <c r="AI2469">
        <v>92.904867391969901</v>
      </c>
      <c r="AJ2469">
        <v>101.619167523454</v>
      </c>
      <c r="AK2469">
        <v>21.849297186528101</v>
      </c>
    </row>
    <row r="2470" spans="1:37" x14ac:dyDescent="0.2">
      <c r="A2470" t="str">
        <f>"20200111155848399"</f>
        <v>20200111155848399</v>
      </c>
      <c r="B2470" t="str">
        <f>"1578729528393593"</f>
        <v>1578729528393593</v>
      </c>
      <c r="C2470" t="s">
        <v>37</v>
      </c>
      <c r="D2470">
        <v>5.8459250000000003</v>
      </c>
      <c r="E2470">
        <v>0.4521869</v>
      </c>
      <c r="F2470" t="s">
        <v>39</v>
      </c>
      <c r="G2470">
        <v>-488.08699999999999</v>
      </c>
      <c r="H2470" s="1">
        <v>-7.9667509999999897E-7</v>
      </c>
      <c r="I2470">
        <v>250.49340000000001</v>
      </c>
      <c r="J2470">
        <v>-490.73759999999999</v>
      </c>
      <c r="K2470">
        <v>1.1069709999999999</v>
      </c>
      <c r="L2470">
        <v>272.50529999999998</v>
      </c>
      <c r="M2470">
        <v>-7.5331049999999997E-2</v>
      </c>
      <c r="N2470">
        <v>0</v>
      </c>
      <c r="O2470">
        <v>-0.99705719999999998</v>
      </c>
      <c r="P2470">
        <v>-8.5879279999999999E-3</v>
      </c>
      <c r="Q2470">
        <v>-4.4343170000000001E-2</v>
      </c>
      <c r="R2470">
        <v>-0.99897959999999997</v>
      </c>
      <c r="S2470">
        <v>0.35900879999999902</v>
      </c>
      <c r="T2470">
        <v>-0.150145</v>
      </c>
      <c r="U2470">
        <v>-3.0002140000000002</v>
      </c>
      <c r="V2470">
        <v>-6.6508399999999995E-2</v>
      </c>
      <c r="W2470">
        <v>-3.057056E-2</v>
      </c>
      <c r="X2470">
        <v>0.99731740000000002</v>
      </c>
      <c r="Y2470">
        <v>-0.1931361</v>
      </c>
      <c r="Z2470">
        <v>4.9123449999999999E-2</v>
      </c>
      <c r="AA2470">
        <v>0.97994150000000002</v>
      </c>
      <c r="AB2470">
        <v>17</v>
      </c>
      <c r="AC2470">
        <v>2.6505999999999901</v>
      </c>
      <c r="AD2470">
        <v>-1.10697179667509</v>
      </c>
      <c r="AE2470">
        <v>-22.011899999999901</v>
      </c>
      <c r="AF2470">
        <v>-4.2907178336282499</v>
      </c>
      <c r="AG2470">
        <v>-1.10697179667509</v>
      </c>
      <c r="AH2470">
        <v>21.6955645992314</v>
      </c>
      <c r="AI2470">
        <v>92.865461701548099</v>
      </c>
      <c r="AJ2470">
        <v>101.186989057647</v>
      </c>
      <c r="AK2470">
        <v>22.143467871267799</v>
      </c>
    </row>
    <row r="2471" spans="1:37" x14ac:dyDescent="0.2">
      <c r="A2471" t="str">
        <f>"20200111155848413"</f>
        <v>20200111155848413</v>
      </c>
      <c r="B2471" t="str">
        <f>"1578729528404328"</f>
        <v>1578729528404328</v>
      </c>
      <c r="C2471" t="s">
        <v>37</v>
      </c>
      <c r="D2471">
        <v>5.8931500000000003</v>
      </c>
      <c r="E2471">
        <v>0.45263300000000001</v>
      </c>
      <c r="F2471" t="s">
        <v>39</v>
      </c>
      <c r="G2471">
        <v>-488.12270000000001</v>
      </c>
      <c r="H2471" s="1">
        <v>-8.0716809999999998E-7</v>
      </c>
      <c r="I2471">
        <v>250.5522</v>
      </c>
      <c r="J2471">
        <v>-490.74009999999998</v>
      </c>
      <c r="K2471">
        <v>1.1067290000000001</v>
      </c>
      <c r="L2471">
        <v>272.40750000000003</v>
      </c>
      <c r="M2471">
        <v>-7.1416579999999993E-2</v>
      </c>
      <c r="N2471">
        <v>0</v>
      </c>
      <c r="O2471">
        <v>-0.99734619999999996</v>
      </c>
      <c r="P2471">
        <v>-7.2886890000000001E-3</v>
      </c>
      <c r="Q2471">
        <v>-4.4305030000000002E-2</v>
      </c>
      <c r="R2471">
        <v>-0.99899150000000003</v>
      </c>
      <c r="S2471">
        <v>0.35726929999999901</v>
      </c>
      <c r="T2471">
        <v>-0.15124509999999999</v>
      </c>
      <c r="U2471">
        <v>-2.9994509999999899</v>
      </c>
      <c r="V2471">
        <v>-6.3910259999999997E-2</v>
      </c>
      <c r="W2471">
        <v>-3.0548680000000002E-2</v>
      </c>
      <c r="X2471">
        <v>0.99748799999999904</v>
      </c>
      <c r="Y2471">
        <v>-0.18874949999999999</v>
      </c>
      <c r="Z2471">
        <v>4.9539760000000002E-2</v>
      </c>
      <c r="AA2471">
        <v>0.98077490000000001</v>
      </c>
      <c r="AB2471">
        <v>17</v>
      </c>
      <c r="AC2471">
        <v>2.6173999999999702</v>
      </c>
      <c r="AD2471">
        <v>-1.1067298071681</v>
      </c>
      <c r="AE2471">
        <v>-21.8553</v>
      </c>
      <c r="AF2471">
        <v>-4.1611827319394799</v>
      </c>
      <c r="AG2471">
        <v>-1.1067298071681</v>
      </c>
      <c r="AH2471">
        <v>21.5580387701382</v>
      </c>
      <c r="AI2471">
        <v>92.885653981081404</v>
      </c>
      <c r="AJ2471">
        <v>100.925006915512</v>
      </c>
      <c r="AK2471">
        <v>21.983842435057799</v>
      </c>
    </row>
    <row r="2472" spans="1:37" x14ac:dyDescent="0.2">
      <c r="A2472" t="str">
        <f>"20200111155848431"</f>
        <v>20200111155848431</v>
      </c>
      <c r="B2472" t="str">
        <f>"1578729528423849"</f>
        <v>1578729528423849</v>
      </c>
      <c r="C2472" t="s">
        <v>37</v>
      </c>
      <c r="D2472">
        <v>5.8022239999999998</v>
      </c>
      <c r="E2472">
        <v>0.45355439999999903</v>
      </c>
      <c r="F2472" t="s">
        <v>39</v>
      </c>
      <c r="G2472">
        <v>-488.16230000000002</v>
      </c>
      <c r="H2472" s="1">
        <v>-8.7582069999999996E-7</v>
      </c>
      <c r="I2472">
        <v>250.78489999999999</v>
      </c>
      <c r="J2472">
        <v>-490.74349999999998</v>
      </c>
      <c r="K2472">
        <v>1.1064069999999999</v>
      </c>
      <c r="L2472">
        <v>272.2713</v>
      </c>
      <c r="M2472">
        <v>-6.6371180000000002E-2</v>
      </c>
      <c r="N2472">
        <v>0</v>
      </c>
      <c r="O2472">
        <v>-0.99769599999999903</v>
      </c>
      <c r="P2472">
        <v>-7.1527530000000004E-3</v>
      </c>
      <c r="Q2472">
        <v>-4.4866349999999999E-2</v>
      </c>
      <c r="R2472">
        <v>-0.99896759999999996</v>
      </c>
      <c r="S2472">
        <v>0.35751339999999998</v>
      </c>
      <c r="T2472">
        <v>-0.1534925</v>
      </c>
      <c r="U2472">
        <v>-2.99884</v>
      </c>
      <c r="V2472">
        <v>-5.9021249999999997E-2</v>
      </c>
      <c r="W2472">
        <v>-3.112798E-2</v>
      </c>
      <c r="X2472">
        <v>0.99777130000000003</v>
      </c>
      <c r="Y2472">
        <v>-0.18387779999999901</v>
      </c>
      <c r="Z2472">
        <v>5.0334110000000001E-2</v>
      </c>
      <c r="AA2472">
        <v>0.98165949999999902</v>
      </c>
      <c r="AB2472">
        <v>17</v>
      </c>
      <c r="AC2472">
        <v>2.58119999999996</v>
      </c>
      <c r="AD2472">
        <v>-1.1064078758206899</v>
      </c>
      <c r="AE2472">
        <v>-21.4864</v>
      </c>
      <c r="AF2472">
        <v>-3.99129330720598</v>
      </c>
      <c r="AG2472">
        <v>-1.1064078758206899</v>
      </c>
      <c r="AH2472">
        <v>21.212233384349201</v>
      </c>
      <c r="AI2472">
        <v>92.934381638352804</v>
      </c>
      <c r="AJ2472">
        <v>100.65618045552699</v>
      </c>
      <c r="AK2472">
        <v>21.612806523076198</v>
      </c>
    </row>
    <row r="2473" spans="1:37" x14ac:dyDescent="0.2">
      <c r="A2473" t="str">
        <f>"20200111155848445"</f>
        <v>20200111155848445</v>
      </c>
      <c r="B2473" t="str">
        <f>"1578729528433608"</f>
        <v>1578729528433608</v>
      </c>
      <c r="C2473" t="s">
        <v>37</v>
      </c>
      <c r="D2473">
        <v>5.8959539999999997</v>
      </c>
      <c r="E2473">
        <v>0.45387070000000002</v>
      </c>
      <c r="F2473" t="s">
        <v>39</v>
      </c>
      <c r="G2473">
        <v>-488.2371</v>
      </c>
      <c r="H2473" s="1">
        <v>-8.6917950000000004E-7</v>
      </c>
      <c r="I2473">
        <v>250.82380000000001</v>
      </c>
      <c r="J2473">
        <v>-490.74619999999999</v>
      </c>
      <c r="K2473">
        <v>1.106147</v>
      </c>
      <c r="L2473">
        <v>272.1626</v>
      </c>
      <c r="M2473">
        <v>-6.2666410000000006E-2</v>
      </c>
      <c r="N2473">
        <v>0</v>
      </c>
      <c r="O2473">
        <v>-0.99793679999999996</v>
      </c>
      <c r="P2473">
        <v>-5.5074549999999996E-3</v>
      </c>
      <c r="Q2473">
        <v>-4.5424350000000002E-2</v>
      </c>
      <c r="R2473">
        <v>-0.99895299999999998</v>
      </c>
      <c r="S2473">
        <v>0.3504333</v>
      </c>
      <c r="T2473">
        <v>-0.15468789999999999</v>
      </c>
      <c r="U2473">
        <v>-2.998596</v>
      </c>
      <c r="V2473">
        <v>-5.6976159999999998E-2</v>
      </c>
      <c r="W2473">
        <v>-3.1712259999999999E-2</v>
      </c>
      <c r="X2473">
        <v>0.99787179999999998</v>
      </c>
      <c r="Y2473">
        <v>-0.17794579999999999</v>
      </c>
      <c r="Z2473">
        <v>5.0782649999999999E-2</v>
      </c>
      <c r="AA2473">
        <v>0.98272909999999902</v>
      </c>
      <c r="AB2473">
        <v>17</v>
      </c>
      <c r="AC2473">
        <v>2.5090999999999801</v>
      </c>
      <c r="AD2473">
        <v>-1.1061478691794999</v>
      </c>
      <c r="AE2473">
        <v>-21.3387999999999</v>
      </c>
      <c r="AF2473">
        <v>-3.83136897450956</v>
      </c>
      <c r="AG2473">
        <v>-1.1061478691794999</v>
      </c>
      <c r="AH2473">
        <v>21.083717618089601</v>
      </c>
      <c r="AI2473">
        <v>92.954938137899006</v>
      </c>
      <c r="AJ2473">
        <v>100.299495185179</v>
      </c>
      <c r="AK2473">
        <v>21.457541795990199</v>
      </c>
    </row>
    <row r="2474" spans="1:37" x14ac:dyDescent="0.2">
      <c r="A2474" t="str">
        <f>"20200111155848462"</f>
        <v>20200111155848462</v>
      </c>
      <c r="B2474" t="str">
        <f>"1578729528454104"</f>
        <v>1578729528454104</v>
      </c>
      <c r="C2474" t="s">
        <v>37</v>
      </c>
      <c r="D2474">
        <v>5.8087540000000004</v>
      </c>
      <c r="E2474">
        <v>0.45453389999999999</v>
      </c>
      <c r="F2474" t="s">
        <v>39</v>
      </c>
      <c r="G2474">
        <v>-488.27690000000001</v>
      </c>
      <c r="H2474" s="1">
        <v>-9.9453680000000005E-7</v>
      </c>
      <c r="I2474">
        <v>251.22329999999999</v>
      </c>
      <c r="J2474">
        <v>-490.74950000000001</v>
      </c>
      <c r="K2474">
        <v>1.1058410000000001</v>
      </c>
      <c r="L2474">
        <v>272.0265</v>
      </c>
      <c r="M2474">
        <v>-5.8574069999999999E-2</v>
      </c>
      <c r="N2474">
        <v>0</v>
      </c>
      <c r="O2474">
        <v>-0.99818629999999997</v>
      </c>
      <c r="P2474">
        <v>-4.6076290000000002E-3</v>
      </c>
      <c r="Q2474">
        <v>-4.7782539999999998E-2</v>
      </c>
      <c r="R2474">
        <v>-0.99884709999999999</v>
      </c>
      <c r="S2474">
        <v>0.35354609999999997</v>
      </c>
      <c r="T2474">
        <v>-0.15837119999999999</v>
      </c>
      <c r="U2474">
        <v>-2.9979550000000001</v>
      </c>
      <c r="V2474">
        <v>-5.3792670000000001E-2</v>
      </c>
      <c r="W2474">
        <v>-3.410121E-2</v>
      </c>
      <c r="X2474">
        <v>0.99796969999999996</v>
      </c>
      <c r="Y2474">
        <v>-0.17493349999999999</v>
      </c>
      <c r="Z2474">
        <v>5.2030239999999998E-2</v>
      </c>
      <c r="AA2474">
        <v>0.98320450000000004</v>
      </c>
      <c r="AB2474">
        <v>17</v>
      </c>
      <c r="AC2474">
        <v>2.4725999999999999</v>
      </c>
      <c r="AD2474">
        <v>-1.1058419945368001</v>
      </c>
      <c r="AE2474">
        <v>-20.8032</v>
      </c>
      <c r="AF2474">
        <v>-3.6767550225978498</v>
      </c>
      <c r="AG2474">
        <v>-1.1058419945368001</v>
      </c>
      <c r="AH2474">
        <v>20.565329191271498</v>
      </c>
      <c r="AI2474">
        <v>93.030000471343001</v>
      </c>
      <c r="AJ2474">
        <v>100.13648295531701</v>
      </c>
      <c r="AK2474">
        <v>20.920663917725999</v>
      </c>
    </row>
    <row r="2475" spans="1:37" x14ac:dyDescent="0.2">
      <c r="A2475" t="str">
        <f>"20200111155848476"</f>
        <v>20200111155848476</v>
      </c>
      <c r="B2475" t="str">
        <f>"1578729528473625"</f>
        <v>1578729528473625</v>
      </c>
      <c r="C2475" t="s">
        <v>37</v>
      </c>
      <c r="D2475">
        <v>5.9449540000000001</v>
      </c>
      <c r="E2475">
        <v>0.45497539999999997</v>
      </c>
      <c r="F2475" t="s">
        <v>39</v>
      </c>
      <c r="G2475">
        <v>-488.36059999999998</v>
      </c>
      <c r="H2475" s="1">
        <v>-1.1397770000000001E-6</v>
      </c>
      <c r="I2475">
        <v>251.61179999999999</v>
      </c>
      <c r="J2475">
        <v>-490.75189999999998</v>
      </c>
      <c r="K2475">
        <v>1.1056319999999999</v>
      </c>
      <c r="L2475">
        <v>271.92750000000001</v>
      </c>
      <c r="M2475">
        <v>-5.5926139999999999E-2</v>
      </c>
      <c r="N2475">
        <v>0</v>
      </c>
      <c r="O2475">
        <v>-0.99833890000000003</v>
      </c>
      <c r="P2475">
        <v>-2.79803E-3</v>
      </c>
      <c r="Q2475">
        <v>-4.8489610000000002E-2</v>
      </c>
      <c r="R2475">
        <v>-0.99881980000000004</v>
      </c>
      <c r="S2475">
        <v>0.35073850000000001</v>
      </c>
      <c r="T2475">
        <v>-0.16236110000000001</v>
      </c>
      <c r="U2475">
        <v>-2.9973139999999998</v>
      </c>
      <c r="V2475">
        <v>-5.2966630000000001E-2</v>
      </c>
      <c r="W2475">
        <v>-3.4835520000000002E-2</v>
      </c>
      <c r="X2475">
        <v>0.99798849999999995</v>
      </c>
      <c r="Y2475">
        <v>-0.17142850000000001</v>
      </c>
      <c r="Z2475">
        <v>5.3380399999999897E-2</v>
      </c>
      <c r="AA2475">
        <v>0.98374930000000005</v>
      </c>
      <c r="AB2475">
        <v>17</v>
      </c>
      <c r="AC2475">
        <v>2.3913000000000002</v>
      </c>
      <c r="AD2475">
        <v>-1.1056331397769901</v>
      </c>
      <c r="AE2475">
        <v>-20.3157</v>
      </c>
      <c r="AF2475">
        <v>-3.5135799086234201</v>
      </c>
      <c r="AG2475">
        <v>-1.1056331397769901</v>
      </c>
      <c r="AH2475">
        <v>20.0914549228422</v>
      </c>
      <c r="AI2475">
        <v>93.1028159205827</v>
      </c>
      <c r="AJ2475">
        <v>99.919536194514905</v>
      </c>
      <c r="AK2475">
        <v>20.4263121813668</v>
      </c>
    </row>
    <row r="2476" spans="1:37" x14ac:dyDescent="0.2">
      <c r="A2476" t="str">
        <f>"20200111155848491"</f>
        <v>20200111155848491</v>
      </c>
      <c r="B2476" t="str">
        <f>"1578729528484361"</f>
        <v>1578729528484361</v>
      </c>
      <c r="C2476" t="s">
        <v>37</v>
      </c>
      <c r="D2476">
        <v>5.8727830000000001</v>
      </c>
      <c r="E2476">
        <v>0.45526610000000001</v>
      </c>
      <c r="F2476" t="s">
        <v>39</v>
      </c>
      <c r="G2476">
        <v>-488.35079999999999</v>
      </c>
      <c r="H2476" s="1">
        <v>-1.0949299999999899E-6</v>
      </c>
      <c r="I2476">
        <v>251.50309999999999</v>
      </c>
      <c r="J2476">
        <v>-490.75459999999998</v>
      </c>
      <c r="K2476">
        <v>1.1053979999999901</v>
      </c>
      <c r="L2476">
        <v>271.81529999999998</v>
      </c>
      <c r="M2476">
        <v>-5.3171900000000001E-2</v>
      </c>
      <c r="N2476">
        <v>0</v>
      </c>
      <c r="O2476">
        <v>-0.99849030000000005</v>
      </c>
      <c r="P2476">
        <v>-4.5786449999999902E-4</v>
      </c>
      <c r="Q2476">
        <v>-4.8670089999999999E-2</v>
      </c>
      <c r="R2476">
        <v>-0.99881520000000001</v>
      </c>
      <c r="S2476">
        <v>0.35229490000000002</v>
      </c>
      <c r="T2476">
        <v>-0.162218899999999</v>
      </c>
      <c r="U2476">
        <v>-2.9966740000000001</v>
      </c>
      <c r="V2476">
        <v>-5.2570310000000002E-2</v>
      </c>
      <c r="W2476">
        <v>-3.5045489999999999E-2</v>
      </c>
      <c r="X2476">
        <v>0.9980021</v>
      </c>
      <c r="Y2476">
        <v>-0.16923879999999999</v>
      </c>
      <c r="Z2476">
        <v>5.3365879999999997E-2</v>
      </c>
      <c r="AA2476">
        <v>0.98412919999999904</v>
      </c>
      <c r="AB2476">
        <v>17</v>
      </c>
      <c r="AC2476">
        <v>2.40379999999998</v>
      </c>
      <c r="AD2476">
        <v>-1.1053990949299899</v>
      </c>
      <c r="AE2476">
        <v>-20.312199999999901</v>
      </c>
      <c r="AF2476">
        <v>-3.4704037470004399</v>
      </c>
      <c r="AG2476">
        <v>-1.1053990949299899</v>
      </c>
      <c r="AH2476">
        <v>20.096936872510501</v>
      </c>
      <c r="AI2476">
        <v>93.102462705152305</v>
      </c>
      <c r="AJ2476">
        <v>99.797397670472506</v>
      </c>
      <c r="AK2476">
        <v>20.424311028378401</v>
      </c>
    </row>
    <row r="2477" spans="1:37" x14ac:dyDescent="0.2">
      <c r="A2477" t="str">
        <f>"20200111155848507"</f>
        <v>20200111155848507</v>
      </c>
      <c r="B2477" t="str">
        <f>"1578729528503881"</f>
        <v>1578729528503881</v>
      </c>
      <c r="C2477" t="s">
        <v>37</v>
      </c>
      <c r="D2477">
        <v>5.8806339999999997</v>
      </c>
      <c r="E2477">
        <v>0.45590550000000002</v>
      </c>
      <c r="F2477" t="s">
        <v>39</v>
      </c>
      <c r="G2477">
        <v>-488.35860000000002</v>
      </c>
      <c r="H2477" s="1">
        <v>-1.1751410000000001E-6</v>
      </c>
      <c r="I2477">
        <v>251.69329999999999</v>
      </c>
      <c r="J2477">
        <v>-490.7577</v>
      </c>
      <c r="K2477">
        <v>1.105146</v>
      </c>
      <c r="L2477">
        <v>271.69369999999998</v>
      </c>
      <c r="M2477">
        <v>-5.0545710000000001E-2</v>
      </c>
      <c r="N2477">
        <v>0</v>
      </c>
      <c r="O2477">
        <v>-0.9986275</v>
      </c>
      <c r="P2477">
        <v>1.69738299999999E-3</v>
      </c>
      <c r="Q2477">
        <v>-4.796251E-2</v>
      </c>
      <c r="R2477">
        <v>-0.9988475</v>
      </c>
      <c r="S2477">
        <v>0.35671999999999998</v>
      </c>
      <c r="T2477">
        <v>-0.16456879999999999</v>
      </c>
      <c r="U2477">
        <v>-2.9956969999999998</v>
      </c>
      <c r="V2477">
        <v>-5.2123259999999998E-2</v>
      </c>
      <c r="W2477">
        <v>-3.4364510000000001E-2</v>
      </c>
      <c r="X2477">
        <v>0.99804919999999997</v>
      </c>
      <c r="Y2477">
        <v>-0.1681125</v>
      </c>
      <c r="Z2477">
        <v>5.4165890000000001E-2</v>
      </c>
      <c r="AA2477">
        <v>0.9842786</v>
      </c>
      <c r="AB2477">
        <v>17</v>
      </c>
      <c r="AC2477">
        <v>2.39909999999997</v>
      </c>
      <c r="AD2477">
        <v>-1.105147175141</v>
      </c>
      <c r="AE2477">
        <v>-20.0003999999999</v>
      </c>
      <c r="AF2477">
        <v>-3.3968380596535801</v>
      </c>
      <c r="AG2477">
        <v>-1.105147175141</v>
      </c>
      <c r="AH2477">
        <v>19.793975247645299</v>
      </c>
      <c r="AI2477">
        <v>93.149701050301005</v>
      </c>
      <c r="AJ2477">
        <v>99.737659608089302</v>
      </c>
      <c r="AK2477">
        <v>20.113709632651702</v>
      </c>
    </row>
    <row r="2478" spans="1:37" x14ac:dyDescent="0.2">
      <c r="A2478" t="str">
        <f>"20200111155848531"</f>
        <v>20200111155848531</v>
      </c>
      <c r="B2478" t="str">
        <f>"1578729528524377"</f>
        <v>1578729528524377</v>
      </c>
      <c r="C2478" t="s">
        <v>37</v>
      </c>
      <c r="D2478">
        <v>5.8652730000000002</v>
      </c>
      <c r="E2478">
        <v>0.45611689999999999</v>
      </c>
      <c r="F2478" t="s">
        <v>39</v>
      </c>
      <c r="G2478">
        <v>-488.37720000000002</v>
      </c>
      <c r="H2478" s="1">
        <v>-1.210228E-6</v>
      </c>
      <c r="I2478">
        <v>251.78280000000001</v>
      </c>
      <c r="J2478">
        <v>-490.76260000000002</v>
      </c>
      <c r="K2478">
        <v>1.104786</v>
      </c>
      <c r="L2478">
        <v>271.51060000000001</v>
      </c>
      <c r="M2478">
        <v>-4.7361140000000003E-2</v>
      </c>
      <c r="N2478">
        <v>0</v>
      </c>
      <c r="O2478">
        <v>-0.99878469999999997</v>
      </c>
      <c r="P2478">
        <v>4.7076799999999997E-3</v>
      </c>
      <c r="Q2478">
        <v>-4.7292430000000003E-2</v>
      </c>
      <c r="R2478">
        <v>-0.99887009999999898</v>
      </c>
      <c r="S2478">
        <v>0.35806270000000001</v>
      </c>
      <c r="T2478">
        <v>-0.16622970000000001</v>
      </c>
      <c r="U2478">
        <v>-2.9948730000000001</v>
      </c>
      <c r="V2478">
        <v>-5.1982090000000002E-2</v>
      </c>
      <c r="W2478">
        <v>-3.3726180000000001E-2</v>
      </c>
      <c r="X2478">
        <v>0.99807829999999997</v>
      </c>
      <c r="Y2478">
        <v>-0.16543169999999999</v>
      </c>
      <c r="Z2478">
        <v>5.4749829999999999E-2</v>
      </c>
      <c r="AA2478">
        <v>0.98470040000000003</v>
      </c>
      <c r="AB2478">
        <v>17</v>
      </c>
      <c r="AC2478">
        <v>2.3854000000000002</v>
      </c>
      <c r="AD2478">
        <v>-1.1047872102280001</v>
      </c>
      <c r="AE2478">
        <v>-19.727799999999998</v>
      </c>
      <c r="AF2478">
        <v>-3.30691908197063</v>
      </c>
      <c r="AG2478">
        <v>-1.1047872102280001</v>
      </c>
      <c r="AH2478">
        <v>19.532298233778299</v>
      </c>
      <c r="AI2478">
        <v>93.191989631645598</v>
      </c>
      <c r="AJ2478">
        <v>99.609348295078206</v>
      </c>
      <c r="AK2478">
        <v>19.841041880098999</v>
      </c>
    </row>
    <row r="2479" spans="1:37" x14ac:dyDescent="0.2">
      <c r="A2479" t="str">
        <f>"20200111155848545"</f>
        <v>20200111155848545</v>
      </c>
      <c r="B2479" t="str">
        <f>"1578729528534137"</f>
        <v>1578729528534137</v>
      </c>
      <c r="C2479" t="s">
        <v>37</v>
      </c>
      <c r="D2479">
        <v>5.8987160000000003</v>
      </c>
      <c r="E2479">
        <v>0.45611689999999999</v>
      </c>
      <c r="F2479" t="s">
        <v>39</v>
      </c>
      <c r="G2479">
        <v>-488.2586</v>
      </c>
      <c r="H2479" s="1">
        <v>-9.2412419999999998E-7</v>
      </c>
      <c r="I2479">
        <v>251.00210000000001</v>
      </c>
      <c r="J2479">
        <v>-490.76569999999998</v>
      </c>
      <c r="K2479">
        <v>1.1045830000000001</v>
      </c>
      <c r="L2479">
        <v>271.40120000000002</v>
      </c>
      <c r="M2479">
        <v>-4.5746259999999997E-2</v>
      </c>
      <c r="N2479">
        <v>0</v>
      </c>
      <c r="O2479">
        <v>-0.99886049999999904</v>
      </c>
      <c r="P2479">
        <v>6.1876300000000004E-3</v>
      </c>
      <c r="Q2479">
        <v>-4.7773860000000001E-2</v>
      </c>
      <c r="R2479">
        <v>-0.99883929999999999</v>
      </c>
      <c r="S2479">
        <v>0.36557009999999901</v>
      </c>
      <c r="T2479">
        <v>-0.16128870000000001</v>
      </c>
      <c r="U2479">
        <v>-2.994049</v>
      </c>
      <c r="V2479">
        <v>-5.1862709999999999E-2</v>
      </c>
      <c r="W2479">
        <v>-3.4223389999999999E-2</v>
      </c>
      <c r="X2479">
        <v>0.99806759999999906</v>
      </c>
      <c r="Y2479">
        <v>-0.166313299999999</v>
      </c>
      <c r="Z2479">
        <v>5.3135809999999999E-2</v>
      </c>
      <c r="AA2479">
        <v>0.98464030000000002</v>
      </c>
      <c r="AB2479">
        <v>17</v>
      </c>
      <c r="AC2479">
        <v>2.5070999999999799</v>
      </c>
      <c r="AD2479">
        <v>-1.1045839241241999</v>
      </c>
      <c r="AE2479">
        <v>-20.399100000000001</v>
      </c>
      <c r="AF2479">
        <v>-3.4278425231973499</v>
      </c>
      <c r="AG2479">
        <v>-1.1045839241241999</v>
      </c>
      <c r="AH2479">
        <v>20.204678854818699</v>
      </c>
      <c r="AI2479">
        <v>93.085229309107504</v>
      </c>
      <c r="AJ2479">
        <v>99.628881276602897</v>
      </c>
      <c r="AK2479">
        <v>20.523139565759202</v>
      </c>
    </row>
    <row r="2480" spans="1:37" x14ac:dyDescent="0.2">
      <c r="A2480" t="str">
        <f>"20200111155848565"</f>
        <v>20200111155848565</v>
      </c>
      <c r="B2480" t="str">
        <f>"1578729528553657"</f>
        <v>1578729528553657</v>
      </c>
      <c r="C2480" t="s">
        <v>37</v>
      </c>
      <c r="D2480">
        <v>5.8917469999999996</v>
      </c>
      <c r="E2480">
        <v>0.45678869999999999</v>
      </c>
      <c r="F2480" t="s">
        <v>39</v>
      </c>
      <c r="G2480">
        <v>-488.25900000000001</v>
      </c>
      <c r="H2480" s="1">
        <v>-9.6095320000000005E-7</v>
      </c>
      <c r="I2480">
        <v>251.11060000000001</v>
      </c>
      <c r="J2480">
        <v>-490.77030000000002</v>
      </c>
      <c r="K2480">
        <v>1.1043369999999999</v>
      </c>
      <c r="L2480">
        <v>271.2516</v>
      </c>
      <c r="M2480">
        <v>-4.39779E-2</v>
      </c>
      <c r="N2480">
        <v>0</v>
      </c>
      <c r="O2480">
        <v>-0.99894079999999996</v>
      </c>
      <c r="P2480">
        <v>8.0809969999999995E-3</v>
      </c>
      <c r="Q2480">
        <v>-5.0684010000000002E-2</v>
      </c>
      <c r="R2480">
        <v>-0.99868239999999997</v>
      </c>
      <c r="S2480">
        <v>0.36981199999999997</v>
      </c>
      <c r="T2480">
        <v>-0.16295779999999899</v>
      </c>
      <c r="U2480">
        <v>-2.993439</v>
      </c>
      <c r="V2480">
        <v>-5.2000989999999997E-2</v>
      </c>
      <c r="W2480">
        <v>-3.7154100000000002E-2</v>
      </c>
      <c r="X2480">
        <v>0.99795560000000005</v>
      </c>
      <c r="Y2480">
        <v>-0.16596269999999999</v>
      </c>
      <c r="Z2480">
        <v>5.3698389999999999E-2</v>
      </c>
      <c r="AA2480">
        <v>0.98466889999999996</v>
      </c>
      <c r="AB2480">
        <v>17</v>
      </c>
      <c r="AC2480">
        <v>2.5112999999999999</v>
      </c>
      <c r="AD2480">
        <v>-1.1043379609532</v>
      </c>
      <c r="AE2480">
        <v>-20.140999999999899</v>
      </c>
      <c r="AF2480">
        <v>-3.3846900777401299</v>
      </c>
      <c r="AG2480">
        <v>-1.1043379609532</v>
      </c>
      <c r="AH2480">
        <v>19.951993521449602</v>
      </c>
      <c r="AI2480">
        <v>93.123538764455802</v>
      </c>
      <c r="AJ2480">
        <v>99.628091623338705</v>
      </c>
      <c r="AK2480">
        <v>20.267159019811402</v>
      </c>
    </row>
    <row r="2481" spans="1:37" x14ac:dyDescent="0.2">
      <c r="A2481" t="str">
        <f>"20200111155848587"</f>
        <v>20200111155848587</v>
      </c>
      <c r="B2481" t="str">
        <f>"1578729528583913"</f>
        <v>1578729528583913</v>
      </c>
      <c r="C2481" t="s">
        <v>37</v>
      </c>
      <c r="D2481">
        <v>5.8755420000000003</v>
      </c>
      <c r="E2481">
        <v>0.4579143</v>
      </c>
      <c r="F2481" t="s">
        <v>39</v>
      </c>
      <c r="G2481">
        <v>-488.42579999999998</v>
      </c>
      <c r="H2481" s="1">
        <v>-1.415868E-6</v>
      </c>
      <c r="I2481">
        <v>252.28229999999999</v>
      </c>
      <c r="J2481">
        <v>-490.77569999999997</v>
      </c>
      <c r="K2481">
        <v>1.104101</v>
      </c>
      <c r="L2481">
        <v>271.0813</v>
      </c>
      <c r="M2481">
        <v>-4.254902E-2</v>
      </c>
      <c r="N2481">
        <v>0</v>
      </c>
      <c r="O2481">
        <v>-0.99900309999999903</v>
      </c>
      <c r="P2481">
        <v>9.9980509999999904E-3</v>
      </c>
      <c r="Q2481">
        <v>-5.2530859999999999E-2</v>
      </c>
      <c r="R2481">
        <v>-0.99856929999999999</v>
      </c>
      <c r="S2481">
        <v>0.36981199999999997</v>
      </c>
      <c r="T2481">
        <v>-0.17419289999999901</v>
      </c>
      <c r="U2481">
        <v>-2.9921259999999998</v>
      </c>
      <c r="V2481">
        <v>-5.2507850000000002E-2</v>
      </c>
      <c r="W2481">
        <v>-3.9020159999999998E-2</v>
      </c>
      <c r="X2481">
        <v>0.99785789999999996</v>
      </c>
      <c r="Y2481">
        <v>-0.16457910000000001</v>
      </c>
      <c r="Z2481">
        <v>5.7425579999999997E-2</v>
      </c>
      <c r="AA2481">
        <v>0.98469079999999998</v>
      </c>
      <c r="AB2481">
        <v>17</v>
      </c>
      <c r="AC2481">
        <v>2.3498999999999901</v>
      </c>
      <c r="AD2481">
        <v>-1.104102415868</v>
      </c>
      <c r="AE2481">
        <v>-18.798999999999999</v>
      </c>
      <c r="AF2481">
        <v>-3.1370688131517199</v>
      </c>
      <c r="AG2481">
        <v>-1.104102415868</v>
      </c>
      <c r="AH2481">
        <v>18.618740852865699</v>
      </c>
      <c r="AI2481">
        <v>93.346637868498902</v>
      </c>
      <c r="AJ2481">
        <v>99.563929388280798</v>
      </c>
      <c r="AK2481">
        <v>18.913427870942499</v>
      </c>
    </row>
    <row r="2482" spans="1:37" x14ac:dyDescent="0.2">
      <c r="A2482" t="str">
        <f>"20200111155848610"</f>
        <v>20200111155848610</v>
      </c>
      <c r="B2482" t="str">
        <f>"1578729528604410"</f>
        <v>1578729528604410</v>
      </c>
      <c r="C2482" t="s">
        <v>37</v>
      </c>
      <c r="D2482">
        <v>6.1216919999999897</v>
      </c>
      <c r="E2482">
        <v>0.45814659999999902</v>
      </c>
      <c r="F2482" t="s">
        <v>39</v>
      </c>
      <c r="G2482">
        <v>-488.57260000000002</v>
      </c>
      <c r="H2482" s="1">
        <v>-1.7541859999999999E-6</v>
      </c>
      <c r="I2482">
        <v>253.13159999999999</v>
      </c>
      <c r="J2482">
        <v>-490.78149999999999</v>
      </c>
      <c r="K2482">
        <v>1.103912</v>
      </c>
      <c r="L2482">
        <v>270.91579999999999</v>
      </c>
      <c r="M2482">
        <v>-4.1685279999999998E-2</v>
      </c>
      <c r="N2482">
        <v>0</v>
      </c>
      <c r="O2482">
        <v>-0.99904040000000005</v>
      </c>
      <c r="P2482">
        <v>1.202866E-2</v>
      </c>
      <c r="Q2482">
        <v>-5.2871139999999997E-2</v>
      </c>
      <c r="R2482">
        <v>-0.99852919999999901</v>
      </c>
      <c r="S2482">
        <v>0.36709589999999998</v>
      </c>
      <c r="T2482">
        <v>-0.1839739</v>
      </c>
      <c r="U2482">
        <v>-2.9909059999999998</v>
      </c>
      <c r="V2482">
        <v>-5.3690889999999998E-2</v>
      </c>
      <c r="W2482">
        <v>-3.9374270000000003E-2</v>
      </c>
      <c r="X2482">
        <v>0.99778099999999903</v>
      </c>
      <c r="Y2482">
        <v>-0.16287070000000001</v>
      </c>
      <c r="Z2482">
        <v>6.0678129999999997E-2</v>
      </c>
      <c r="AA2482">
        <v>0.98477979999999998</v>
      </c>
      <c r="AB2482">
        <v>17</v>
      </c>
      <c r="AC2482">
        <v>2.2088999999999701</v>
      </c>
      <c r="AD2482">
        <v>-1.103913754186</v>
      </c>
      <c r="AE2482">
        <v>-17.784199999999998</v>
      </c>
      <c r="AF2482">
        <v>-2.9372406551425998</v>
      </c>
      <c r="AG2482">
        <v>-1.103913754186</v>
      </c>
      <c r="AH2482">
        <v>17.609831837611399</v>
      </c>
      <c r="AI2482">
        <v>93.538272771416601</v>
      </c>
      <c r="AJ2482">
        <v>99.469503999484402</v>
      </c>
      <c r="AK2482">
        <v>17.887207316734901</v>
      </c>
    </row>
    <row r="2483" spans="1:37" x14ac:dyDescent="0.2">
      <c r="A2483" t="str">
        <f>"20200111155848631"</f>
        <v>20200111155848631</v>
      </c>
      <c r="B2483" t="str">
        <f>"1578729528623928"</f>
        <v>1578729528623928</v>
      </c>
      <c r="C2483" t="s">
        <v>37</v>
      </c>
      <c r="D2483">
        <v>5.8922919999999896</v>
      </c>
      <c r="E2483">
        <v>0.45881699999999997</v>
      </c>
      <c r="F2483" t="s">
        <v>39</v>
      </c>
      <c r="G2483">
        <v>-488.53519999999997</v>
      </c>
      <c r="H2483" s="1">
        <v>-1.6336609999999999E-6</v>
      </c>
      <c r="I2483">
        <v>252.83519999999999</v>
      </c>
      <c r="J2483">
        <v>-490.78769999999997</v>
      </c>
      <c r="K2483">
        <v>1.103756</v>
      </c>
      <c r="L2483">
        <v>270.74770000000001</v>
      </c>
      <c r="M2483">
        <v>-4.1293009999999998E-2</v>
      </c>
      <c r="N2483">
        <v>0</v>
      </c>
      <c r="O2483">
        <v>-0.99905679999999997</v>
      </c>
      <c r="P2483">
        <v>1.4289949999999999E-2</v>
      </c>
      <c r="Q2483">
        <v>-5.061802E-2</v>
      </c>
      <c r="R2483">
        <v>-0.99861599999999995</v>
      </c>
      <c r="S2483">
        <v>0.3714905</v>
      </c>
      <c r="T2483">
        <v>-0.18256910000000001</v>
      </c>
      <c r="U2483">
        <v>-2.9902340000000001</v>
      </c>
      <c r="V2483">
        <v>-5.5575859999999998E-2</v>
      </c>
      <c r="W2483">
        <v>-3.7126979999999997E-2</v>
      </c>
      <c r="X2483">
        <v>0.99776390000000004</v>
      </c>
      <c r="Y2483">
        <v>-0.1639389</v>
      </c>
      <c r="Z2483">
        <v>6.0220610000000001E-2</v>
      </c>
      <c r="AA2483">
        <v>0.98463060000000002</v>
      </c>
      <c r="AB2483">
        <v>17</v>
      </c>
      <c r="AC2483">
        <v>2.2524999999999902</v>
      </c>
      <c r="AD2483">
        <v>-1.103757633661</v>
      </c>
      <c r="AE2483">
        <v>-17.912500000000001</v>
      </c>
      <c r="AF2483">
        <v>-2.9791705419627998</v>
      </c>
      <c r="AG2483">
        <v>-1.103757633661</v>
      </c>
      <c r="AH2483">
        <v>17.737896916480299</v>
      </c>
      <c r="AI2483">
        <v>93.511634188537599</v>
      </c>
      <c r="AJ2483">
        <v>99.534134691025002</v>
      </c>
      <c r="AK2483">
        <v>18.020175500023502</v>
      </c>
    </row>
    <row r="2484" spans="1:37" x14ac:dyDescent="0.2">
      <c r="A2484" t="str">
        <f>"20200111155848653"</f>
        <v>20200111155848653</v>
      </c>
      <c r="B2484" t="str">
        <f>"1578729528643448"</f>
        <v>1578729528643448</v>
      </c>
      <c r="C2484" t="s">
        <v>37</v>
      </c>
      <c r="D2484">
        <v>5.880255</v>
      </c>
      <c r="E2484">
        <v>0.45922940000000001</v>
      </c>
      <c r="F2484" t="s">
        <v>39</v>
      </c>
      <c r="G2484">
        <v>-488.47649999999999</v>
      </c>
      <c r="H2484" s="1">
        <v>-1.378721E-6</v>
      </c>
      <c r="I2484">
        <v>252.2167</v>
      </c>
      <c r="J2484">
        <v>-490.79430000000002</v>
      </c>
      <c r="K2484">
        <v>1.103618</v>
      </c>
      <c r="L2484">
        <v>270.58319999999998</v>
      </c>
      <c r="M2484">
        <v>-4.1325069999999998E-2</v>
      </c>
      <c r="N2484">
        <v>0</v>
      </c>
      <c r="O2484">
        <v>-0.99905569999999899</v>
      </c>
      <c r="P2484">
        <v>1.6733720000000001E-2</v>
      </c>
      <c r="Q2484">
        <v>-4.7847929999999997E-2</v>
      </c>
      <c r="R2484">
        <v>-0.99871489999999996</v>
      </c>
      <c r="S2484">
        <v>0.37289429999999901</v>
      </c>
      <c r="T2484">
        <v>-0.17808060000000001</v>
      </c>
      <c r="U2484">
        <v>-2.9898069999999999</v>
      </c>
      <c r="V2484">
        <v>-5.806306E-2</v>
      </c>
      <c r="W2484">
        <v>-3.4354639999999999E-2</v>
      </c>
      <c r="X2484">
        <v>0.99772159999999999</v>
      </c>
      <c r="Y2484">
        <v>-0.16445389999999999</v>
      </c>
      <c r="Z2484">
        <v>5.8749309999999999E-2</v>
      </c>
      <c r="AA2484">
        <v>0.98463369999999995</v>
      </c>
      <c r="AB2484">
        <v>17</v>
      </c>
      <c r="AC2484">
        <v>2.3178000000000298</v>
      </c>
      <c r="AD2484">
        <v>-1.103619378721</v>
      </c>
      <c r="AE2484">
        <v>-18.366499999999899</v>
      </c>
      <c r="AF2484">
        <v>-3.06399526913349</v>
      </c>
      <c r="AG2484">
        <v>-1.103619378721</v>
      </c>
      <c r="AH2484">
        <v>18.190366285440099</v>
      </c>
      <c r="AI2484">
        <v>93.4237967445452</v>
      </c>
      <c r="AJ2484">
        <v>99.561182680523302</v>
      </c>
      <c r="AK2484">
        <v>18.4795960004768</v>
      </c>
    </row>
    <row r="2485" spans="1:37" x14ac:dyDescent="0.2">
      <c r="A2485" t="str">
        <f>"20200111155848666"</f>
        <v>20200111155848666</v>
      </c>
      <c r="B2485" t="str">
        <f>"1578729528663945"</f>
        <v>1578729528663945</v>
      </c>
      <c r="C2485" t="s">
        <v>37</v>
      </c>
      <c r="D2485">
        <v>5.9028929999999997</v>
      </c>
      <c r="E2485">
        <v>0.45982889999999998</v>
      </c>
      <c r="F2485" t="s">
        <v>39</v>
      </c>
      <c r="G2485">
        <v>-488.32209999999998</v>
      </c>
      <c r="H2485" s="1">
        <v>-8.942548E-7</v>
      </c>
      <c r="I2485">
        <v>250.964</v>
      </c>
      <c r="J2485">
        <v>-490.7987</v>
      </c>
      <c r="K2485">
        <v>1.103532</v>
      </c>
      <c r="L2485">
        <v>270.47859999999997</v>
      </c>
      <c r="M2485">
        <v>-4.1520260000000003E-2</v>
      </c>
      <c r="N2485">
        <v>0</v>
      </c>
      <c r="O2485">
        <v>-0.99904809999999999</v>
      </c>
      <c r="P2485">
        <v>1.7661610000000001E-2</v>
      </c>
      <c r="Q2485">
        <v>-4.6607030000000001E-2</v>
      </c>
      <c r="R2485">
        <v>-0.99875780000000003</v>
      </c>
      <c r="S2485">
        <v>0.37670900000000002</v>
      </c>
      <c r="T2485">
        <v>-0.16816689999999901</v>
      </c>
      <c r="U2485">
        <v>-2.9895320000000001</v>
      </c>
      <c r="V2485">
        <v>-5.9192090000000003E-2</v>
      </c>
      <c r="W2485">
        <v>-3.3110069999999998E-2</v>
      </c>
      <c r="X2485">
        <v>0.99769739999999996</v>
      </c>
      <c r="Y2485">
        <v>-0.16591789999999901</v>
      </c>
      <c r="Z2485">
        <v>5.5482410000000003E-2</v>
      </c>
      <c r="AA2485">
        <v>0.98457749999999999</v>
      </c>
      <c r="AB2485">
        <v>17</v>
      </c>
      <c r="AC2485">
        <v>2.4766000000000101</v>
      </c>
      <c r="AD2485">
        <v>-1.1035328942547999</v>
      </c>
      <c r="AE2485">
        <v>-19.514599999999898</v>
      </c>
      <c r="AF2485">
        <v>-3.2744825666828801</v>
      </c>
      <c r="AG2485">
        <v>-1.1035328942547999</v>
      </c>
      <c r="AH2485">
        <v>19.3340840073168</v>
      </c>
      <c r="AI2485">
        <v>93.220961310769795</v>
      </c>
      <c r="AJ2485">
        <v>99.612581126304505</v>
      </c>
      <c r="AK2485">
        <v>19.640438521840501</v>
      </c>
    </row>
    <row r="2486" spans="1:37" x14ac:dyDescent="0.2">
      <c r="A2486" t="str">
        <f>"20200111155848680"</f>
        <v>20200111155848680</v>
      </c>
      <c r="B2486" t="str">
        <f>"1578729528673706"</f>
        <v>1578729528673706</v>
      </c>
      <c r="C2486" t="s">
        <v>37</v>
      </c>
      <c r="D2486">
        <v>5.8993789999999997</v>
      </c>
      <c r="E2486">
        <v>0.46015220000000001</v>
      </c>
      <c r="F2486" t="s">
        <v>39</v>
      </c>
      <c r="G2486">
        <v>-488.30450000000002</v>
      </c>
      <c r="H2486" s="1">
        <v>-7.6812169999999899E-7</v>
      </c>
      <c r="I2486">
        <v>250.5796</v>
      </c>
      <c r="J2486">
        <v>-490.80329999999998</v>
      </c>
      <c r="K2486">
        <v>1.10345</v>
      </c>
      <c r="L2486">
        <v>270.37700000000001</v>
      </c>
      <c r="M2486">
        <v>-4.1886970000000003E-2</v>
      </c>
      <c r="N2486">
        <v>0</v>
      </c>
      <c r="O2486">
        <v>-0.99903280000000005</v>
      </c>
      <c r="P2486">
        <v>1.878409E-2</v>
      </c>
      <c r="Q2486">
        <v>-4.5280340000000002E-2</v>
      </c>
      <c r="R2486">
        <v>-0.99879779999999996</v>
      </c>
      <c r="S2486">
        <v>0.37469479999999999</v>
      </c>
      <c r="T2486">
        <v>-0.165778799999999</v>
      </c>
      <c r="U2486">
        <v>-2.9893489999999998</v>
      </c>
      <c r="V2486">
        <v>-6.0685139999999999E-2</v>
      </c>
      <c r="W2486">
        <v>-3.1776779999999998E-2</v>
      </c>
      <c r="X2486">
        <v>0.99765099999999995</v>
      </c>
      <c r="Y2486">
        <v>-0.1656395</v>
      </c>
      <c r="Z2486">
        <v>5.4702540000000001E-2</v>
      </c>
      <c r="AA2486">
        <v>0.98466810000000005</v>
      </c>
      <c r="AB2486">
        <v>17</v>
      </c>
      <c r="AC2486">
        <v>2.4987999999999602</v>
      </c>
      <c r="AD2486">
        <v>-1.1034507681217001</v>
      </c>
      <c r="AE2486">
        <v>-19.7974</v>
      </c>
      <c r="AF2486">
        <v>-3.3157944396889998</v>
      </c>
      <c r="AG2486">
        <v>-1.1034507681217001</v>
      </c>
      <c r="AH2486">
        <v>19.615363184311001</v>
      </c>
      <c r="AI2486">
        <v>93.174801031303105</v>
      </c>
      <c r="AJ2486">
        <v>99.594616054185906</v>
      </c>
      <c r="AK2486">
        <v>19.924220667729099</v>
      </c>
    </row>
    <row r="2487" spans="1:37" x14ac:dyDescent="0.2">
      <c r="A2487" t="str">
        <f>"20200111155848698"</f>
        <v>20200111155848698</v>
      </c>
      <c r="B2487" t="str">
        <f>"1578729528694201"</f>
        <v>1578729528694201</v>
      </c>
      <c r="C2487" t="s">
        <v>37</v>
      </c>
      <c r="D2487">
        <v>5.8070690000000003</v>
      </c>
      <c r="E2487">
        <v>0.46072370000000001</v>
      </c>
      <c r="F2487" t="s">
        <v>39</v>
      </c>
      <c r="G2487">
        <v>-488.24970000000002</v>
      </c>
      <c r="H2487" s="1">
        <v>-6.0925440000000001E-7</v>
      </c>
      <c r="I2487">
        <v>250.06989999999999</v>
      </c>
      <c r="J2487">
        <v>-490.80959999999999</v>
      </c>
      <c r="K2487">
        <v>1.103353</v>
      </c>
      <c r="L2487">
        <v>270.2439</v>
      </c>
      <c r="M2487">
        <v>-4.2558190000000003E-2</v>
      </c>
      <c r="N2487">
        <v>0</v>
      </c>
      <c r="O2487">
        <v>-0.99900449999999996</v>
      </c>
      <c r="P2487">
        <v>2.1060039999999999E-2</v>
      </c>
      <c r="Q2487">
        <v>-4.3080489999999999E-2</v>
      </c>
      <c r="R2487">
        <v>-0.99885000000000002</v>
      </c>
      <c r="S2487">
        <v>0.37588499999999903</v>
      </c>
      <c r="T2487">
        <v>-0.16242500000000001</v>
      </c>
      <c r="U2487">
        <v>-2.989166</v>
      </c>
      <c r="V2487">
        <v>-6.3633880000000004E-2</v>
      </c>
      <c r="W2487">
        <v>-2.9564190000000001E-2</v>
      </c>
      <c r="X2487">
        <v>0.99753530000000001</v>
      </c>
      <c r="Y2487">
        <v>-0.16670299999999999</v>
      </c>
      <c r="Z2487">
        <v>5.3593960000000003E-2</v>
      </c>
      <c r="AA2487">
        <v>0.98454949999999997</v>
      </c>
      <c r="AB2487">
        <v>17</v>
      </c>
      <c r="AC2487">
        <v>2.5598999999999701</v>
      </c>
      <c r="AD2487">
        <v>-1.1033536092543901</v>
      </c>
      <c r="AE2487">
        <v>-20.173999999999999</v>
      </c>
      <c r="AF2487">
        <v>-3.4061988150151898</v>
      </c>
      <c r="AG2487">
        <v>-1.1033536092543901</v>
      </c>
      <c r="AH2487">
        <v>19.987923966153598</v>
      </c>
      <c r="AI2487">
        <v>93.114765101034607</v>
      </c>
      <c r="AJ2487">
        <v>99.671033131796904</v>
      </c>
      <c r="AK2487">
        <v>20.3060750523385</v>
      </c>
    </row>
    <row r="2488" spans="1:37" x14ac:dyDescent="0.2">
      <c r="A2488" t="str">
        <f>"20200111155848712"</f>
        <v>20200111155848712</v>
      </c>
      <c r="B2488" t="str">
        <f>"1578729528703961"</f>
        <v>1578729528703961</v>
      </c>
      <c r="C2488" t="s">
        <v>37</v>
      </c>
      <c r="D2488">
        <v>5.8432040000000001</v>
      </c>
      <c r="E2488">
        <v>0.46101589999999998</v>
      </c>
      <c r="F2488" t="s">
        <v>39</v>
      </c>
      <c r="G2488">
        <v>-488.1173</v>
      </c>
      <c r="H2488" s="1">
        <v>-4.3388020000000003E-6</v>
      </c>
      <c r="I2488">
        <v>248.9682</v>
      </c>
      <c r="J2488">
        <v>-490.815</v>
      </c>
      <c r="K2488">
        <v>1.1032740000000001</v>
      </c>
      <c r="L2488">
        <v>270.13459999999998</v>
      </c>
      <c r="M2488">
        <v>-4.3262719999999998E-2</v>
      </c>
      <c r="N2488">
        <v>0</v>
      </c>
      <c r="O2488">
        <v>-0.99897449999999999</v>
      </c>
      <c r="P2488">
        <v>2.1839830000000001E-2</v>
      </c>
      <c r="Q2488">
        <v>-4.1685930000000003E-2</v>
      </c>
      <c r="R2488">
        <v>-0.99889219999999901</v>
      </c>
      <c r="S2488">
        <v>0.37820429999999999</v>
      </c>
      <c r="T2488">
        <v>-0.1549991</v>
      </c>
      <c r="U2488">
        <v>-2.9887999999999999</v>
      </c>
      <c r="V2488">
        <v>-6.5120049999999999E-2</v>
      </c>
      <c r="W2488">
        <v>-2.8159960000000001E-2</v>
      </c>
      <c r="X2488">
        <v>0.99747999999999903</v>
      </c>
      <c r="Y2488">
        <v>-0.16818129999999901</v>
      </c>
      <c r="Z2488">
        <v>5.114527E-2</v>
      </c>
      <c r="AA2488">
        <v>0.98442830000000003</v>
      </c>
      <c r="AB2488">
        <v>17</v>
      </c>
      <c r="AC2488">
        <v>2.69769999999999</v>
      </c>
      <c r="AD2488">
        <v>-1.103278338802</v>
      </c>
      <c r="AE2488">
        <v>-21.1663999999999</v>
      </c>
      <c r="AF2488">
        <v>-3.6013433044525001</v>
      </c>
      <c r="AG2488">
        <v>-1.103278338802</v>
      </c>
      <c r="AH2488">
        <v>20.973785601933201</v>
      </c>
      <c r="AI2488">
        <v>92.967786192152502</v>
      </c>
      <c r="AJ2488">
        <v>99.743068548602494</v>
      </c>
      <c r="AK2488">
        <v>21.309307336590098</v>
      </c>
    </row>
    <row r="2489" spans="1:37" x14ac:dyDescent="0.2">
      <c r="A2489" t="str">
        <f>"20200111155848726"</f>
        <v>20200111155848726</v>
      </c>
      <c r="B2489" t="str">
        <f>"1578729528713722"</f>
        <v>1578729528713722</v>
      </c>
      <c r="C2489" t="s">
        <v>37</v>
      </c>
      <c r="D2489">
        <v>5.9382640000000002</v>
      </c>
      <c r="E2489">
        <v>0.46126400000000001</v>
      </c>
      <c r="F2489" t="s">
        <v>39</v>
      </c>
      <c r="G2489">
        <v>-488.0136</v>
      </c>
      <c r="H2489" s="1">
        <v>-3.9340720000000002E-6</v>
      </c>
      <c r="I2489">
        <v>247.98179999999999</v>
      </c>
      <c r="J2489">
        <v>-490.82</v>
      </c>
      <c r="K2489">
        <v>1.1032109999999999</v>
      </c>
      <c r="L2489">
        <v>270.03620000000001</v>
      </c>
      <c r="M2489">
        <v>-4.3987430000000001E-2</v>
      </c>
      <c r="N2489">
        <v>0</v>
      </c>
      <c r="O2489">
        <v>-0.99894249999999996</v>
      </c>
      <c r="P2489">
        <v>2.2597329999999999E-2</v>
      </c>
      <c r="Q2489">
        <v>-4.0918110000000001E-2</v>
      </c>
      <c r="R2489">
        <v>-0.99890709999999905</v>
      </c>
      <c r="S2489">
        <v>0.37796020000000002</v>
      </c>
      <c r="T2489">
        <v>-0.1488546</v>
      </c>
      <c r="U2489">
        <v>-2.988861</v>
      </c>
      <c r="V2489">
        <v>-6.6603019999999999E-2</v>
      </c>
      <c r="W2489">
        <v>-2.7383040000000001E-2</v>
      </c>
      <c r="X2489">
        <v>0.9974037</v>
      </c>
      <c r="Y2489">
        <v>-0.16882749999999999</v>
      </c>
      <c r="Z2489">
        <v>4.9117000000000001E-2</v>
      </c>
      <c r="AA2489">
        <v>0.98442099999999899</v>
      </c>
      <c r="AB2489">
        <v>17</v>
      </c>
      <c r="AC2489">
        <v>2.8063999999999898</v>
      </c>
      <c r="AD2489">
        <v>-1.1032149340720001</v>
      </c>
      <c r="AE2489">
        <v>-22.054400000000001</v>
      </c>
      <c r="AF2489">
        <v>-3.7646164723590698</v>
      </c>
      <c r="AG2489">
        <v>-1.1032149340720001</v>
      </c>
      <c r="AH2489">
        <v>21.855774936295099</v>
      </c>
      <c r="AI2489">
        <v>92.847802114860599</v>
      </c>
      <c r="AJ2489">
        <v>99.773189271911093</v>
      </c>
      <c r="AK2489">
        <v>22.205051642378599</v>
      </c>
    </row>
    <row r="2490" spans="1:37" x14ac:dyDescent="0.2">
      <c r="A2490" t="str">
        <f>"20200111155848743"</f>
        <v>20200111155848743</v>
      </c>
      <c r="B2490" t="str">
        <f>"1578729528734216"</f>
        <v>1578729528734216</v>
      </c>
      <c r="C2490" t="s">
        <v>37</v>
      </c>
      <c r="D2490">
        <v>5.8975349999999898</v>
      </c>
      <c r="E2490">
        <v>0.46183439999999998</v>
      </c>
      <c r="F2490" t="s">
        <v>39</v>
      </c>
      <c r="G2490">
        <v>-487.92790000000002</v>
      </c>
      <c r="H2490" s="1">
        <v>-3.6110199999999999E-6</v>
      </c>
      <c r="I2490">
        <v>247.19329999999999</v>
      </c>
      <c r="J2490">
        <v>-490.82709999999997</v>
      </c>
      <c r="K2490">
        <v>1.103151</v>
      </c>
      <c r="L2490">
        <v>269.90440000000001</v>
      </c>
      <c r="M2490">
        <v>-4.514638E-2</v>
      </c>
      <c r="N2490">
        <v>0</v>
      </c>
      <c r="O2490">
        <v>-0.99889099999999997</v>
      </c>
      <c r="P2490">
        <v>2.4104799999999999E-2</v>
      </c>
      <c r="Q2490">
        <v>-3.884481E-2</v>
      </c>
      <c r="R2490">
        <v>-0.99895460000000003</v>
      </c>
      <c r="S2490">
        <v>0.37841799999999998</v>
      </c>
      <c r="T2490">
        <v>-0.14434810000000001</v>
      </c>
      <c r="U2490">
        <v>-2.9888309999999998</v>
      </c>
      <c r="V2490">
        <v>-6.9265670000000001E-2</v>
      </c>
      <c r="W2490">
        <v>-2.529675E-2</v>
      </c>
      <c r="X2490">
        <v>0.99727739999999998</v>
      </c>
      <c r="Y2490">
        <v>-0.17012959999999999</v>
      </c>
      <c r="Z2490">
        <v>4.7624409999999999E-2</v>
      </c>
      <c r="AA2490">
        <v>0.98427019999999998</v>
      </c>
      <c r="AB2490">
        <v>17</v>
      </c>
      <c r="AC2490">
        <v>2.8991999999999498</v>
      </c>
      <c r="AD2490">
        <v>-1.1031546110199999</v>
      </c>
      <c r="AE2490">
        <v>-22.711099999999998</v>
      </c>
      <c r="AF2490">
        <v>-3.9125757055371699</v>
      </c>
      <c r="AG2490">
        <v>-1.1031546110199999</v>
      </c>
      <c r="AH2490">
        <v>22.504793365938902</v>
      </c>
      <c r="AI2490">
        <v>92.764906898919506</v>
      </c>
      <c r="AJ2490">
        <v>99.862590896417103</v>
      </c>
      <c r="AK2490">
        <v>22.8689948006243</v>
      </c>
    </row>
    <row r="2491" spans="1:37" x14ac:dyDescent="0.2">
      <c r="A2491" t="str">
        <f>"20200111155848757"</f>
        <v>20200111155848757</v>
      </c>
      <c r="B2491" t="str">
        <f>"1578729528753737"</f>
        <v>1578729528753737</v>
      </c>
      <c r="C2491" t="s">
        <v>37</v>
      </c>
      <c r="D2491">
        <v>5.8864239999999999</v>
      </c>
      <c r="E2491">
        <v>0.46233599999999903</v>
      </c>
      <c r="F2491" t="s">
        <v>39</v>
      </c>
      <c r="G2491">
        <v>-487.82310000000001</v>
      </c>
      <c r="H2491" s="1">
        <v>-3.18555099999999E-6</v>
      </c>
      <c r="I2491">
        <v>246.15819999999999</v>
      </c>
      <c r="J2491">
        <v>-490.8331</v>
      </c>
      <c r="K2491">
        <v>1.1031200000000001</v>
      </c>
      <c r="L2491">
        <v>269.79939999999999</v>
      </c>
      <c r="M2491">
        <v>-4.6170990000000002E-2</v>
      </c>
      <c r="N2491">
        <v>0</v>
      </c>
      <c r="O2491">
        <v>-0.99884439999999997</v>
      </c>
      <c r="P2491">
        <v>2.455282E-2</v>
      </c>
      <c r="Q2491">
        <v>-3.8144780000000003E-2</v>
      </c>
      <c r="R2491">
        <v>-0.99897089999999999</v>
      </c>
      <c r="S2491">
        <v>0.37808229999999998</v>
      </c>
      <c r="T2491">
        <v>-0.1388394</v>
      </c>
      <c r="U2491">
        <v>-2.9886169999999899</v>
      </c>
      <c r="V2491">
        <v>-7.0736259999999995E-2</v>
      </c>
      <c r="W2491">
        <v>-2.459097E-2</v>
      </c>
      <c r="X2491">
        <v>0.99719190000000002</v>
      </c>
      <c r="Y2491">
        <v>-0.17105100000000001</v>
      </c>
      <c r="Z2491">
        <v>4.5807550000000002E-2</v>
      </c>
      <c r="AA2491">
        <v>0.98419669999999904</v>
      </c>
      <c r="AB2491">
        <v>17</v>
      </c>
      <c r="AC2491">
        <v>3.00999999999999</v>
      </c>
      <c r="AD2491">
        <v>-1.103123185551</v>
      </c>
      <c r="AE2491">
        <v>-23.641200000000001</v>
      </c>
      <c r="AF2491">
        <v>-4.0896620502957797</v>
      </c>
      <c r="AG2491">
        <v>-1.103123185551</v>
      </c>
      <c r="AH2491">
        <v>23.426803869237201</v>
      </c>
      <c r="AI2491">
        <v>92.655850328968995</v>
      </c>
      <c r="AJ2491">
        <v>99.902445233955603</v>
      </c>
      <c r="AK2491">
        <v>23.806666208770999</v>
      </c>
    </row>
    <row r="2492" spans="1:37" x14ac:dyDescent="0.2">
      <c r="A2492" t="str">
        <f>"20200111155848772"</f>
        <v>20200111155848772</v>
      </c>
      <c r="B2492" t="str">
        <f>"1578729528763496"</f>
        <v>1578729528763496</v>
      </c>
      <c r="C2492" t="s">
        <v>37</v>
      </c>
      <c r="D2492">
        <v>5.9123169999999998</v>
      </c>
      <c r="E2492">
        <v>0.4625898</v>
      </c>
      <c r="F2492" t="s">
        <v>39</v>
      </c>
      <c r="G2492">
        <v>-487.83659999999998</v>
      </c>
      <c r="H2492" s="1">
        <v>-3.0910390000000002E-6</v>
      </c>
      <c r="I2492">
        <v>245.9435</v>
      </c>
      <c r="J2492">
        <v>-490.83980000000003</v>
      </c>
      <c r="K2492">
        <v>1.1030959999999901</v>
      </c>
      <c r="L2492">
        <v>269.68459999999999</v>
      </c>
      <c r="M2492">
        <v>-4.7353689999999997E-2</v>
      </c>
      <c r="N2492">
        <v>0</v>
      </c>
      <c r="O2492">
        <v>-0.99878909999999999</v>
      </c>
      <c r="P2492">
        <v>2.448175E-2</v>
      </c>
      <c r="Q2492">
        <v>-3.7530279999999999E-2</v>
      </c>
      <c r="R2492">
        <v>-0.99899579999999999</v>
      </c>
      <c r="S2492">
        <v>0.37539670000000003</v>
      </c>
      <c r="T2492">
        <v>-0.13819579999999901</v>
      </c>
      <c r="U2492">
        <v>-2.9885860000000002</v>
      </c>
      <c r="V2492">
        <v>-7.184567E-2</v>
      </c>
      <c r="W2492">
        <v>-2.3973910000000001E-2</v>
      </c>
      <c r="X2492">
        <v>0.9971276</v>
      </c>
      <c r="Y2492">
        <v>-0.17134949999999999</v>
      </c>
      <c r="Z2492">
        <v>4.5593639999999998E-2</v>
      </c>
      <c r="AA2492">
        <v>0.9841548</v>
      </c>
      <c r="AB2492">
        <v>17</v>
      </c>
      <c r="AC2492">
        <v>3.0032000000000401</v>
      </c>
      <c r="AD2492">
        <v>-1.1030990910389999</v>
      </c>
      <c r="AE2492">
        <v>-23.7410999999999</v>
      </c>
      <c r="AF2492">
        <v>-4.1154143704522204</v>
      </c>
      <c r="AG2492">
        <v>-1.1030990910389999</v>
      </c>
      <c r="AH2492">
        <v>23.522255072455099</v>
      </c>
      <c r="AI2492">
        <v>92.644857695791501</v>
      </c>
      <c r="AJ2492">
        <v>99.923928695896095</v>
      </c>
      <c r="AK2492">
        <v>23.905019279197699</v>
      </c>
    </row>
    <row r="2493" spans="1:37" x14ac:dyDescent="0.2">
      <c r="A2493" t="str">
        <f>"20200111155848788"</f>
        <v>20200111155848788</v>
      </c>
      <c r="B2493" t="str">
        <f>"1578729528783992"</f>
        <v>1578729528783992</v>
      </c>
      <c r="C2493" t="s">
        <v>37</v>
      </c>
      <c r="D2493">
        <v>5.901529</v>
      </c>
      <c r="E2493">
        <v>0.46308830000000001</v>
      </c>
      <c r="F2493" t="s">
        <v>39</v>
      </c>
      <c r="G2493">
        <v>-487.79809999999998</v>
      </c>
      <c r="H2493" s="1">
        <v>-2.8394310000000001E-6</v>
      </c>
      <c r="I2493">
        <v>245.34110000000001</v>
      </c>
      <c r="J2493">
        <v>-490.84710000000001</v>
      </c>
      <c r="K2493">
        <v>1.103092</v>
      </c>
      <c r="L2493">
        <v>269.56459999999998</v>
      </c>
      <c r="M2493">
        <v>-4.8654009999999998E-2</v>
      </c>
      <c r="N2493">
        <v>0</v>
      </c>
      <c r="O2493">
        <v>-0.99872640000000001</v>
      </c>
      <c r="P2493">
        <v>2.5034150000000002E-2</v>
      </c>
      <c r="Q2493">
        <v>-3.6576450000000003E-2</v>
      </c>
      <c r="R2493">
        <v>-0.99901719999999905</v>
      </c>
      <c r="S2493">
        <v>0.37344359999999999</v>
      </c>
      <c r="T2493">
        <v>-0.13543160000000001</v>
      </c>
      <c r="U2493">
        <v>-2.9887389999999998</v>
      </c>
      <c r="V2493">
        <v>-7.3692960000000002E-2</v>
      </c>
      <c r="W2493">
        <v>-2.301897E-2</v>
      </c>
      <c r="X2493">
        <v>0.99701530000000005</v>
      </c>
      <c r="Y2493">
        <v>-0.17199779999999901</v>
      </c>
      <c r="Z2493">
        <v>4.4676300000000002E-2</v>
      </c>
      <c r="AA2493">
        <v>0.98408370000000001</v>
      </c>
      <c r="AB2493">
        <v>17</v>
      </c>
      <c r="AC2493">
        <v>3.0490000000000301</v>
      </c>
      <c r="AD2493">
        <v>-1.1030948394310001</v>
      </c>
      <c r="AE2493">
        <v>-24.223499999999898</v>
      </c>
      <c r="AF2493">
        <v>-4.2154585539538596</v>
      </c>
      <c r="AG2493">
        <v>-1.1030948394310001</v>
      </c>
      <c r="AH2493">
        <v>23.997459401740901</v>
      </c>
      <c r="AI2493">
        <v>92.592235541830505</v>
      </c>
      <c r="AJ2493">
        <v>99.963083092288002</v>
      </c>
      <c r="AK2493">
        <v>24.389853767152498</v>
      </c>
    </row>
    <row r="2494" spans="1:37" x14ac:dyDescent="0.2">
      <c r="A2494" t="str">
        <f>"20200111155848812"</f>
        <v>20200111155848812</v>
      </c>
      <c r="B2494" t="str">
        <f>"1578729528803513"</f>
        <v>1578729528803513</v>
      </c>
      <c r="C2494" t="s">
        <v>37</v>
      </c>
      <c r="D2494">
        <v>6.2000400000000004</v>
      </c>
      <c r="E2494">
        <v>0.46335379999999998</v>
      </c>
      <c r="F2494" t="s">
        <v>39</v>
      </c>
      <c r="G2494">
        <v>-487.75020000000001</v>
      </c>
      <c r="H2494" s="1">
        <v>-2.53597E-6</v>
      </c>
      <c r="I2494">
        <v>244.6139</v>
      </c>
      <c r="J2494">
        <v>-490.85829999999999</v>
      </c>
      <c r="K2494">
        <v>1.103137</v>
      </c>
      <c r="L2494">
        <v>269.38560000000001</v>
      </c>
      <c r="M2494">
        <v>-5.0682810000000002E-2</v>
      </c>
      <c r="N2494">
        <v>0</v>
      </c>
      <c r="O2494">
        <v>-0.998625599999999</v>
      </c>
      <c r="P2494">
        <v>2.3676369999999999E-2</v>
      </c>
      <c r="Q2494">
        <v>-3.6136830000000002E-2</v>
      </c>
      <c r="R2494">
        <v>-0.99906640000000002</v>
      </c>
      <c r="S2494">
        <v>0.37097170000000002</v>
      </c>
      <c r="T2494">
        <v>-0.13213929999999999</v>
      </c>
      <c r="U2494">
        <v>-2.9888309999999998</v>
      </c>
      <c r="V2494">
        <v>-7.4359250000000002E-2</v>
      </c>
      <c r="W2494">
        <v>-2.2590989999999998E-2</v>
      </c>
      <c r="X2494">
        <v>0.99697559999999996</v>
      </c>
      <c r="Y2494">
        <v>-0.17319970000000001</v>
      </c>
      <c r="Z2494">
        <v>4.3581950000000001E-2</v>
      </c>
      <c r="AA2494">
        <v>0.98392199999999996</v>
      </c>
      <c r="AB2494">
        <v>17</v>
      </c>
      <c r="AC2494">
        <v>3.1080999999999701</v>
      </c>
      <c r="AD2494">
        <v>-1.10313953597</v>
      </c>
      <c r="AE2494">
        <v>-24.771699999999999</v>
      </c>
      <c r="AF2494">
        <v>-4.3512207205473699</v>
      </c>
      <c r="AG2494">
        <v>-1.10313953597</v>
      </c>
      <c r="AH2494">
        <v>24.534415832304798</v>
      </c>
      <c r="AI2494">
        <v>92.534947708985598</v>
      </c>
      <c r="AJ2494">
        <v>100.05693253368</v>
      </c>
      <c r="AK2494">
        <v>24.941683961336501</v>
      </c>
    </row>
    <row r="2495" spans="1:37" x14ac:dyDescent="0.2">
      <c r="A2495" t="str">
        <f>"20200111155848833"</f>
        <v>20200111155848833</v>
      </c>
      <c r="B2495" t="str">
        <f>"1578729528824008"</f>
        <v>1578729528824008</v>
      </c>
      <c r="C2495" t="s">
        <v>37</v>
      </c>
      <c r="D2495">
        <v>6.2468399999999997</v>
      </c>
      <c r="E2495">
        <v>0.5122951</v>
      </c>
      <c r="F2495" t="s">
        <v>39</v>
      </c>
      <c r="G2495">
        <v>-487.79079999999999</v>
      </c>
      <c r="H2495" s="1">
        <v>-2.3835269999999998E-6</v>
      </c>
      <c r="I2495">
        <v>244.27529999999999</v>
      </c>
      <c r="J2495">
        <v>-490.86900000000003</v>
      </c>
      <c r="K2495">
        <v>1.1032090000000001</v>
      </c>
      <c r="L2495">
        <v>269.22199999999998</v>
      </c>
      <c r="M2495">
        <v>-5.2557920000000001E-2</v>
      </c>
      <c r="N2495">
        <v>0</v>
      </c>
      <c r="O2495">
        <v>-0.998529</v>
      </c>
      <c r="P2495">
        <v>2.1052290000000001E-2</v>
      </c>
      <c r="Q2495">
        <v>-3.5841600000000001E-2</v>
      </c>
      <c r="R2495">
        <v>-0.99913600000000002</v>
      </c>
      <c r="S2495">
        <v>0.36520390000000003</v>
      </c>
      <c r="T2495">
        <v>-0.1313318</v>
      </c>
      <c r="U2495">
        <v>-2.9894409999999998</v>
      </c>
      <c r="V2495">
        <v>-7.3609049999999995E-2</v>
      </c>
      <c r="W2495">
        <v>-2.2315140000000001E-2</v>
      </c>
      <c r="X2495">
        <v>0.99703750000000002</v>
      </c>
      <c r="Y2495">
        <v>-0.1731559</v>
      </c>
      <c r="Z2495">
        <v>4.3306270000000001E-2</v>
      </c>
      <c r="AA2495">
        <v>0.98394190000000004</v>
      </c>
      <c r="AB2495">
        <v>17</v>
      </c>
      <c r="AC2495">
        <v>3.07820000000003</v>
      </c>
      <c r="AD2495">
        <v>-1.1032113835270001</v>
      </c>
      <c r="AE2495">
        <v>-24.9467</v>
      </c>
      <c r="AF2495">
        <v>-4.3767767579782797</v>
      </c>
      <c r="AG2495">
        <v>-1.1032113835270001</v>
      </c>
      <c r="AH2495">
        <v>24.702830729324301</v>
      </c>
      <c r="AI2495">
        <v>92.517926889814504</v>
      </c>
      <c r="AJ2495">
        <v>100.04723454278999</v>
      </c>
      <c r="AK2495">
        <v>25.111811885795401</v>
      </c>
    </row>
    <row r="2496" spans="1:37" x14ac:dyDescent="0.2">
      <c r="A2496" t="str">
        <f>"20200111155848857"</f>
        <v>20200111155848857</v>
      </c>
      <c r="B2496" t="str">
        <f>"1578729528854264"</f>
        <v>1578729528854264</v>
      </c>
      <c r="C2496" t="s">
        <v>37</v>
      </c>
      <c r="D2496">
        <v>6.2059829999999998</v>
      </c>
      <c r="E2496">
        <v>0.57575220000000005</v>
      </c>
      <c r="F2496" t="s">
        <v>39</v>
      </c>
      <c r="G2496">
        <v>-491.19400000000002</v>
      </c>
      <c r="H2496" s="1">
        <v>-8.3050469999999898E-7</v>
      </c>
      <c r="I2496">
        <v>240.78450000000001</v>
      </c>
      <c r="J2496">
        <v>-490.88010000000003</v>
      </c>
      <c r="K2496">
        <v>1.103302</v>
      </c>
      <c r="L2496">
        <v>269.05680000000001</v>
      </c>
      <c r="M2496">
        <v>-5.442756E-2</v>
      </c>
      <c r="N2496">
        <v>0</v>
      </c>
      <c r="O2496">
        <v>-0.99842889999999995</v>
      </c>
      <c r="P2496">
        <v>1.6873030000000001E-2</v>
      </c>
      <c r="Q2496">
        <v>-3.5420519999999997E-2</v>
      </c>
      <c r="R2496">
        <v>-0.99923019999999996</v>
      </c>
      <c r="S2496">
        <v>-3.4271240000000001E-2</v>
      </c>
      <c r="T2496">
        <v>-0.1163468</v>
      </c>
      <c r="U2496">
        <v>-2.9990839999999999</v>
      </c>
      <c r="V2496">
        <v>-7.1300799999999998E-2</v>
      </c>
      <c r="W2496">
        <v>-2.1919580000000001E-2</v>
      </c>
      <c r="X2496">
        <v>0.99721399999999905</v>
      </c>
      <c r="Y2496">
        <v>-4.3027820000000001E-2</v>
      </c>
      <c r="Z2496">
        <v>3.8659579999999999E-2</v>
      </c>
      <c r="AA2496">
        <v>0.99832559999999904</v>
      </c>
      <c r="AB2496">
        <v>17</v>
      </c>
      <c r="AC2496">
        <v>-0.31389999999998902</v>
      </c>
      <c r="AD2496">
        <v>-1.1033028305046999</v>
      </c>
      <c r="AE2496">
        <v>-28.272300000000001</v>
      </c>
      <c r="AF2496">
        <v>-1.2236309422449101</v>
      </c>
      <c r="AG2496">
        <v>-1.1033028305046999</v>
      </c>
      <c r="AH2496">
        <v>28.2045245113659</v>
      </c>
      <c r="AI2496">
        <v>92.238047478274893</v>
      </c>
      <c r="AJ2496">
        <v>92.484174203364702</v>
      </c>
      <c r="AK2496">
        <v>28.252606122813798</v>
      </c>
    </row>
    <row r="2497" spans="1:37" x14ac:dyDescent="0.2">
      <c r="A2497" t="str">
        <f>"20200111155848877"</f>
        <v>20200111155848877</v>
      </c>
      <c r="B2497" t="str">
        <f>"1578729528873785"</f>
        <v>1578729528873785</v>
      </c>
      <c r="C2497" t="s">
        <v>37</v>
      </c>
      <c r="D2497">
        <v>5.9488070000000004</v>
      </c>
      <c r="E2497">
        <v>0.57789290000000004</v>
      </c>
      <c r="F2497" t="s">
        <v>39</v>
      </c>
      <c r="G2497">
        <v>-494.62560000000002</v>
      </c>
      <c r="H2497" s="1">
        <v>-4.7840969999999998E-6</v>
      </c>
      <c r="I2497">
        <v>248.63399999999999</v>
      </c>
      <c r="J2497">
        <v>-490.89109999999999</v>
      </c>
      <c r="K2497">
        <v>1.1033949999999999</v>
      </c>
      <c r="L2497">
        <v>268.89580000000001</v>
      </c>
      <c r="M2497">
        <v>-5.6190129999999998E-2</v>
      </c>
      <c r="N2497">
        <v>0</v>
      </c>
      <c r="O2497">
        <v>-0.99833119999999997</v>
      </c>
      <c r="P2497">
        <v>1.2078240000000001E-2</v>
      </c>
      <c r="Q2497">
        <v>-3.5623670000000003E-2</v>
      </c>
      <c r="R2497">
        <v>-0.99929259999999998</v>
      </c>
      <c r="S2497">
        <v>-0.55126949999999997</v>
      </c>
      <c r="T2497">
        <v>-0.1623849</v>
      </c>
      <c r="U2497">
        <v>-3.0058289999999999</v>
      </c>
      <c r="V2497">
        <v>-6.8272100000000002E-2</v>
      </c>
      <c r="W2497">
        <v>-2.2149450000000001E-2</v>
      </c>
      <c r="X2497">
        <v>0.9974208</v>
      </c>
      <c r="Y2497">
        <v>0.12457799999999999</v>
      </c>
      <c r="Z2497">
        <v>5.3165070000000002E-2</v>
      </c>
      <c r="AA2497">
        <v>0.99078440000000001</v>
      </c>
      <c r="AB2497">
        <v>17</v>
      </c>
      <c r="AC2497">
        <v>-3.7345000000000201</v>
      </c>
      <c r="AD2497">
        <v>-1.103399784097</v>
      </c>
      <c r="AE2497">
        <v>-20.261799999999901</v>
      </c>
      <c r="AF2497">
        <v>2.5825773307737201</v>
      </c>
      <c r="AG2497">
        <v>-1.103399784097</v>
      </c>
      <c r="AH2497">
        <v>20.381186853669501</v>
      </c>
      <c r="AI2497">
        <v>93.074327156063205</v>
      </c>
      <c r="AJ2497">
        <v>82.778322135154795</v>
      </c>
      <c r="AK2497">
        <v>20.573769083888401</v>
      </c>
    </row>
    <row r="2498" spans="1:37" x14ac:dyDescent="0.2">
      <c r="A2498" t="str">
        <f>"20200111155848892"</f>
        <v>20200111155848892</v>
      </c>
      <c r="B2498" t="str">
        <f>"1578729528884521"</f>
        <v>1578729528884521</v>
      </c>
      <c r="C2498" t="s">
        <v>37</v>
      </c>
      <c r="D2498">
        <v>5.9320680000000001</v>
      </c>
      <c r="E2498">
        <v>0.57885489999999995</v>
      </c>
      <c r="F2498" t="s">
        <v>39</v>
      </c>
      <c r="G2498">
        <v>-495.49290000000002</v>
      </c>
      <c r="H2498" s="1">
        <v>-3.7832110000000001E-6</v>
      </c>
      <c r="I2498">
        <v>245.2407</v>
      </c>
      <c r="J2498">
        <v>-490.89920000000001</v>
      </c>
      <c r="K2498">
        <v>1.1034649999999999</v>
      </c>
      <c r="L2498">
        <v>268.77870000000001</v>
      </c>
      <c r="M2498">
        <v>-5.7422559999999997E-2</v>
      </c>
      <c r="N2498">
        <v>0</v>
      </c>
      <c r="O2498">
        <v>-0.99826099999999995</v>
      </c>
      <c r="P2498">
        <v>8.4288319999999903E-3</v>
      </c>
      <c r="Q2498">
        <v>-3.5981640000000002E-2</v>
      </c>
      <c r="R2498">
        <v>-0.99931700000000001</v>
      </c>
      <c r="S2498">
        <v>-0.58444209999999996</v>
      </c>
      <c r="T2498">
        <v>-0.1401326</v>
      </c>
      <c r="U2498">
        <v>-3.0042110000000002</v>
      </c>
      <c r="V2498">
        <v>-6.5858570000000005E-2</v>
      </c>
      <c r="W2498">
        <v>-2.2526520000000001E-2</v>
      </c>
      <c r="X2498">
        <v>0.99757469999999904</v>
      </c>
      <c r="Y2498">
        <v>0.1340742</v>
      </c>
      <c r="Z2498">
        <v>4.584067E-2</v>
      </c>
      <c r="AA2498">
        <v>0.98991049999999903</v>
      </c>
      <c r="AB2498">
        <v>17</v>
      </c>
      <c r="AC2498">
        <v>-4.5937000000000099</v>
      </c>
      <c r="AD2498">
        <v>-1.1034687832109999</v>
      </c>
      <c r="AE2498">
        <v>-23.538</v>
      </c>
      <c r="AF2498">
        <v>3.2275534656612401</v>
      </c>
      <c r="AG2498">
        <v>-1.1034687832109999</v>
      </c>
      <c r="AH2498">
        <v>23.712757063411399</v>
      </c>
      <c r="AI2498">
        <v>92.640019048790805</v>
      </c>
      <c r="AJ2498">
        <v>82.249077499149195</v>
      </c>
      <c r="AK2498">
        <v>23.956827675583298</v>
      </c>
    </row>
    <row r="2499" spans="1:37" x14ac:dyDescent="0.2">
      <c r="A2499" t="str">
        <f>"20200111155848912"</f>
        <v>20200111155848912</v>
      </c>
      <c r="B2499" t="str">
        <f>"1578729528904041"</f>
        <v>1578729528904041</v>
      </c>
      <c r="C2499" t="s">
        <v>37</v>
      </c>
      <c r="D2499">
        <v>5.9562140000000001</v>
      </c>
      <c r="E2499">
        <v>0.57918440000000004</v>
      </c>
      <c r="F2499" t="s">
        <v>39</v>
      </c>
      <c r="G2499">
        <v>-496.08600000000001</v>
      </c>
      <c r="H2499" s="1">
        <v>-3.0748339999999999E-6</v>
      </c>
      <c r="I2499">
        <v>242.9819</v>
      </c>
      <c r="J2499">
        <v>-490.90929999999997</v>
      </c>
      <c r="K2499">
        <v>1.1035469999999901</v>
      </c>
      <c r="L2499">
        <v>268.6352</v>
      </c>
      <c r="M2499">
        <v>-5.8871359999999998E-2</v>
      </c>
      <c r="N2499">
        <v>0</v>
      </c>
      <c r="O2499">
        <v>-0.99817670000000003</v>
      </c>
      <c r="P2499">
        <v>2.8225579999999902E-3</v>
      </c>
      <c r="Q2499">
        <v>-3.616958E-2</v>
      </c>
      <c r="R2499">
        <v>-0.9993417</v>
      </c>
      <c r="S2499">
        <v>-0.60369869999999903</v>
      </c>
      <c r="T2499">
        <v>-0.1284344</v>
      </c>
      <c r="U2499">
        <v>-3.0025330000000001</v>
      </c>
      <c r="V2499">
        <v>-6.1705980000000001E-2</v>
      </c>
      <c r="W2499">
        <v>-2.2738149999999999E-2</v>
      </c>
      <c r="X2499">
        <v>0.99783529999999998</v>
      </c>
      <c r="Y2499">
        <v>0.1388809</v>
      </c>
      <c r="Z2499">
        <v>4.1998859999999999E-2</v>
      </c>
      <c r="AA2499">
        <v>0.98941809999999997</v>
      </c>
      <c r="AB2499">
        <v>17</v>
      </c>
      <c r="AC2499">
        <v>-5.1767000000000296</v>
      </c>
      <c r="AD2499">
        <v>-1.1035500748339999</v>
      </c>
      <c r="AE2499">
        <v>-25.653300000000002</v>
      </c>
      <c r="AF2499">
        <v>3.6508494733694699</v>
      </c>
      <c r="AG2499">
        <v>-1.1035500748339999</v>
      </c>
      <c r="AH2499">
        <v>25.867588935530001</v>
      </c>
      <c r="AI2499">
        <v>92.418898668406896</v>
      </c>
      <c r="AJ2499">
        <v>81.966559653583801</v>
      </c>
      <c r="AK2499">
        <v>26.1472499889075</v>
      </c>
    </row>
    <row r="2500" spans="1:37" x14ac:dyDescent="0.2">
      <c r="A2500" t="str">
        <f>"20200111155848933"</f>
        <v>20200111155848933</v>
      </c>
      <c r="B2500" t="str">
        <f>"1578729528923560"</f>
        <v>1578729528923560</v>
      </c>
      <c r="C2500" t="s">
        <v>37</v>
      </c>
      <c r="D2500">
        <v>5.9600039999999996</v>
      </c>
      <c r="E2500">
        <v>0.578793</v>
      </c>
      <c r="F2500" t="s">
        <v>39</v>
      </c>
      <c r="G2500">
        <v>-496.62979999999999</v>
      </c>
      <c r="H2500" s="1">
        <v>-2.4193669999999998E-6</v>
      </c>
      <c r="I2500">
        <v>241.11670000000001</v>
      </c>
      <c r="J2500">
        <v>-490.92079999999999</v>
      </c>
      <c r="K2500">
        <v>1.103634</v>
      </c>
      <c r="L2500">
        <v>268.47410000000002</v>
      </c>
      <c r="M2500">
        <v>-6.0415070000000001E-2</v>
      </c>
      <c r="N2500">
        <v>0</v>
      </c>
      <c r="O2500">
        <v>-0.99808469999999905</v>
      </c>
      <c r="P2500">
        <v>-3.7962690000000001E-3</v>
      </c>
      <c r="Q2500">
        <v>-3.5944379999999998E-2</v>
      </c>
      <c r="R2500">
        <v>-0.99934659999999997</v>
      </c>
      <c r="S2500">
        <v>-0.62350459999999996</v>
      </c>
      <c r="T2500">
        <v>-0.1202819</v>
      </c>
      <c r="U2500">
        <v>-2.99939</v>
      </c>
      <c r="V2500">
        <v>-5.6637199999999999E-2</v>
      </c>
      <c r="W2500">
        <v>-2.2537519999999998E-2</v>
      </c>
      <c r="X2500">
        <v>0.99814040000000004</v>
      </c>
      <c r="Y2500">
        <v>0.143841</v>
      </c>
      <c r="Z2500">
        <v>3.9332369999999998E-2</v>
      </c>
      <c r="AA2500">
        <v>0.9888188</v>
      </c>
      <c r="AB2500">
        <v>17</v>
      </c>
      <c r="AC2500">
        <v>-5.7089999999999996</v>
      </c>
      <c r="AD2500">
        <v>-1.1036364193670001</v>
      </c>
      <c r="AE2500">
        <v>-27.357399999999998</v>
      </c>
      <c r="AF2500">
        <v>4.0393248781560498</v>
      </c>
      <c r="AG2500">
        <v>-1.1036364193670001</v>
      </c>
      <c r="AH2500">
        <v>27.609301517871099</v>
      </c>
      <c r="AI2500">
        <v>92.264999034343802</v>
      </c>
      <c r="AJ2500">
        <v>81.676504750647396</v>
      </c>
      <c r="AK2500">
        <v>27.925036958295401</v>
      </c>
    </row>
    <row r="2501" spans="1:37" x14ac:dyDescent="0.2">
      <c r="A2501" t="str">
        <f>"20200111155848947"</f>
        <v>20200111155848947</v>
      </c>
      <c r="B2501" t="str">
        <f>"1578729528944057"</f>
        <v>1578729528944057</v>
      </c>
      <c r="C2501" t="s">
        <v>37</v>
      </c>
      <c r="D2501">
        <v>5.958609</v>
      </c>
      <c r="E2501">
        <v>0.57812030000000003</v>
      </c>
      <c r="F2501" t="s">
        <v>39</v>
      </c>
      <c r="G2501">
        <v>-496.23669999999998</v>
      </c>
      <c r="H2501" s="1">
        <v>-3.351254E-6</v>
      </c>
      <c r="I2501">
        <v>243.58369999999999</v>
      </c>
      <c r="J2501">
        <v>-490.92840000000001</v>
      </c>
      <c r="K2501">
        <v>1.103688</v>
      </c>
      <c r="L2501">
        <v>268.3682</v>
      </c>
      <c r="M2501">
        <v>-6.138967E-2</v>
      </c>
      <c r="N2501">
        <v>0</v>
      </c>
      <c r="O2501">
        <v>-0.9980253</v>
      </c>
      <c r="P2501">
        <v>-7.4365319999999896E-3</v>
      </c>
      <c r="Q2501">
        <v>-3.5528419999999998E-2</v>
      </c>
      <c r="R2501">
        <v>-0.99934120000000004</v>
      </c>
      <c r="S2501">
        <v>-0.63958740000000003</v>
      </c>
      <c r="T2501">
        <v>-0.132787299999999</v>
      </c>
      <c r="U2501">
        <v>-2.9947509999999999</v>
      </c>
      <c r="V2501">
        <v>-5.3974069999999999E-2</v>
      </c>
      <c r="W2501">
        <v>-2.2135160000000001E-2</v>
      </c>
      <c r="X2501">
        <v>0.99829699999999999</v>
      </c>
      <c r="Y2501">
        <v>0.1482271</v>
      </c>
      <c r="Z2501">
        <v>4.34381E-2</v>
      </c>
      <c r="AA2501">
        <v>0.98799890000000001</v>
      </c>
      <c r="AB2501">
        <v>17</v>
      </c>
      <c r="AC2501">
        <v>-5.3082999999999698</v>
      </c>
      <c r="AD2501">
        <v>-1.1036913512540001</v>
      </c>
      <c r="AE2501">
        <v>-24.784500000000001</v>
      </c>
      <c r="AF2501">
        <v>3.76949205803444</v>
      </c>
      <c r="AG2501">
        <v>-1.1036913512540001</v>
      </c>
      <c r="AH2501">
        <v>25.016215963389499</v>
      </c>
      <c r="AI2501">
        <v>92.498032900840002</v>
      </c>
      <c r="AJ2501">
        <v>81.431025479920706</v>
      </c>
      <c r="AK2501">
        <v>25.3226828377516</v>
      </c>
    </row>
    <row r="2502" spans="1:37" x14ac:dyDescent="0.2">
      <c r="A2502" t="str">
        <f>"20200111155848966"</f>
        <v>20200111155848966</v>
      </c>
      <c r="B2502" t="str">
        <f>"1578729528953817"</f>
        <v>1578729528953817</v>
      </c>
      <c r="C2502" t="s">
        <v>37</v>
      </c>
      <c r="D2502">
        <v>5.9612319999999999</v>
      </c>
      <c r="E2502">
        <v>0.57761149999999895</v>
      </c>
      <c r="F2502" t="s">
        <v>39</v>
      </c>
      <c r="G2502">
        <v>-495.60230000000001</v>
      </c>
      <c r="H2502" s="1">
        <v>-4.2829920000000001E-6</v>
      </c>
      <c r="I2502">
        <v>246.6524</v>
      </c>
      <c r="J2502">
        <v>-490.93830000000003</v>
      </c>
      <c r="K2502">
        <v>1.103753</v>
      </c>
      <c r="L2502">
        <v>268.23360000000002</v>
      </c>
      <c r="M2502">
        <v>-6.2582670000000007E-2</v>
      </c>
      <c r="N2502">
        <v>0</v>
      </c>
      <c r="O2502">
        <v>-0.99795100000000003</v>
      </c>
      <c r="P2502">
        <v>-1.423084E-2</v>
      </c>
      <c r="Q2502">
        <v>-3.4506219999999997E-2</v>
      </c>
      <c r="R2502">
        <v>-0.99930319999999995</v>
      </c>
      <c r="S2502">
        <v>-0.64392090000000002</v>
      </c>
      <c r="T2502">
        <v>-0.1520572</v>
      </c>
      <c r="U2502">
        <v>-2.9918209999999998</v>
      </c>
      <c r="V2502">
        <v>-4.8378629999999999E-2</v>
      </c>
      <c r="W2502">
        <v>-2.1130759999999998E-2</v>
      </c>
      <c r="X2502">
        <v>0.99860550000000003</v>
      </c>
      <c r="Y2502">
        <v>0.1485485</v>
      </c>
      <c r="Z2502">
        <v>4.9760239999999997E-2</v>
      </c>
      <c r="AA2502">
        <v>0.98765239999999999</v>
      </c>
      <c r="AB2502">
        <v>17</v>
      </c>
      <c r="AC2502">
        <v>-4.6639999999999802</v>
      </c>
      <c r="AD2502">
        <v>-1.1037572829919999</v>
      </c>
      <c r="AE2502">
        <v>-21.581199999999999</v>
      </c>
      <c r="AF2502">
        <v>3.29589059158672</v>
      </c>
      <c r="AG2502">
        <v>-1.1037572829919999</v>
      </c>
      <c r="AH2502">
        <v>21.776380268267999</v>
      </c>
      <c r="AI2502">
        <v>92.868991051249395</v>
      </c>
      <c r="AJ2502">
        <v>81.393511020293005</v>
      </c>
      <c r="AK2502">
        <v>22.052027401571898</v>
      </c>
    </row>
    <row r="2503" spans="1:37" x14ac:dyDescent="0.2">
      <c r="A2503" t="str">
        <f>"20200111155848989"</f>
        <v>20200111155848989</v>
      </c>
      <c r="B2503" t="str">
        <f>"1578729528984072"</f>
        <v>1578729528984072</v>
      </c>
      <c r="C2503" t="s">
        <v>37</v>
      </c>
      <c r="D2503">
        <v>5.9745629999999998</v>
      </c>
      <c r="E2503">
        <v>0.57675580000000004</v>
      </c>
      <c r="F2503" t="s">
        <v>39</v>
      </c>
      <c r="G2503">
        <v>-495.57400000000001</v>
      </c>
      <c r="H2503" s="1">
        <v>-4.4724139999999997E-6</v>
      </c>
      <c r="I2503">
        <v>247.22370000000001</v>
      </c>
      <c r="J2503">
        <v>-490.95069999999998</v>
      </c>
      <c r="K2503">
        <v>1.103817</v>
      </c>
      <c r="L2503">
        <v>268.0652</v>
      </c>
      <c r="M2503">
        <v>-6.4012970000000002E-2</v>
      </c>
      <c r="N2503">
        <v>0</v>
      </c>
      <c r="O2503">
        <v>-0.99786049999999904</v>
      </c>
      <c r="P2503">
        <v>-2.0870960000000001E-2</v>
      </c>
      <c r="Q2503">
        <v>-3.3203900000000001E-2</v>
      </c>
      <c r="R2503">
        <v>-0.99923099999999998</v>
      </c>
      <c r="S2503">
        <v>-0.65911869999999995</v>
      </c>
      <c r="T2503">
        <v>-0.156935299999999</v>
      </c>
      <c r="U2503">
        <v>-2.987244</v>
      </c>
      <c r="V2503">
        <v>-4.3173139999999999E-2</v>
      </c>
      <c r="W2503">
        <v>-1.9845580000000002E-2</v>
      </c>
      <c r="X2503">
        <v>0.99887049999999999</v>
      </c>
      <c r="Y2503">
        <v>0.1522203</v>
      </c>
      <c r="Z2503">
        <v>5.1380149999999999E-2</v>
      </c>
      <c r="AA2503">
        <v>0.98701019999999995</v>
      </c>
      <c r="AB2503">
        <v>17</v>
      </c>
      <c r="AC2503">
        <v>-4.6233000000000199</v>
      </c>
      <c r="AD2503">
        <v>-1.1038214724140001</v>
      </c>
      <c r="AE2503">
        <v>-20.8415</v>
      </c>
      <c r="AF2503">
        <v>3.27082749430416</v>
      </c>
      <c r="AG2503">
        <v>-1.1038214724140001</v>
      </c>
      <c r="AH2503">
        <v>21.0384791877411</v>
      </c>
      <c r="AI2503">
        <v>92.967784341059698</v>
      </c>
      <c r="AJ2503">
        <v>81.163037779757005</v>
      </c>
      <c r="AK2503">
        <v>21.319810995256798</v>
      </c>
    </row>
    <row r="2504" spans="1:37" x14ac:dyDescent="0.2">
      <c r="A2504" t="str">
        <f>"20200111155849003"</f>
        <v>20200111155849003</v>
      </c>
      <c r="B2504" t="str">
        <f>"1578729528993833"</f>
        <v>1578729528993833</v>
      </c>
      <c r="C2504" t="s">
        <v>37</v>
      </c>
      <c r="D2504">
        <v>6.1679149999999998</v>
      </c>
      <c r="E2504">
        <v>0.57640139999999995</v>
      </c>
      <c r="F2504" t="s">
        <v>39</v>
      </c>
      <c r="G2504">
        <v>-495.44099999999997</v>
      </c>
      <c r="H2504" s="1">
        <v>-4.7545720000000003E-6</v>
      </c>
      <c r="I2504">
        <v>248.12219999999999</v>
      </c>
      <c r="J2504">
        <v>-490.95929999999998</v>
      </c>
      <c r="K2504">
        <v>1.10385</v>
      </c>
      <c r="L2504">
        <v>267.9511</v>
      </c>
      <c r="M2504">
        <v>-6.4955429999999995E-2</v>
      </c>
      <c r="N2504">
        <v>0</v>
      </c>
      <c r="O2504">
        <v>-0.99779959999999901</v>
      </c>
      <c r="P2504">
        <v>-2.444259E-2</v>
      </c>
      <c r="Q2504">
        <v>-3.2713409999999998E-2</v>
      </c>
      <c r="R2504">
        <v>-0.9991662</v>
      </c>
      <c r="S2504">
        <v>-0.67160030000000004</v>
      </c>
      <c r="T2504">
        <v>-0.16509550000000001</v>
      </c>
      <c r="U2504">
        <v>-2.9828189999999899</v>
      </c>
      <c r="V2504">
        <v>-4.0545640000000001E-2</v>
      </c>
      <c r="W2504">
        <v>-1.9364510000000001E-2</v>
      </c>
      <c r="X2504">
        <v>0.99898999999999905</v>
      </c>
      <c r="Y2504">
        <v>0.1554972</v>
      </c>
      <c r="Z2504">
        <v>5.4078969999999997E-2</v>
      </c>
      <c r="AA2504">
        <v>0.98635490000000003</v>
      </c>
      <c r="AB2504">
        <v>17</v>
      </c>
      <c r="AC2504">
        <v>-4.4816999999999796</v>
      </c>
      <c r="AD2504">
        <v>-1.1038547545720001</v>
      </c>
      <c r="AE2504">
        <v>-19.828900000000001</v>
      </c>
      <c r="AF2504">
        <v>3.1747646188488199</v>
      </c>
      <c r="AG2504">
        <v>-1.1038547545720001</v>
      </c>
      <c r="AH2504">
        <v>20.019128971105602</v>
      </c>
      <c r="AI2504">
        <v>93.117216362742397</v>
      </c>
      <c r="AJ2504">
        <v>80.988703645528304</v>
      </c>
      <c r="AK2504">
        <v>20.299338670657299</v>
      </c>
    </row>
    <row r="2505" spans="1:37" x14ac:dyDescent="0.2">
      <c r="A2505" t="str">
        <f>"20200111155849023"</f>
        <v>20200111155849023</v>
      </c>
      <c r="B2505" t="str">
        <f>"1578729529014329"</f>
        <v>1578729529014329</v>
      </c>
      <c r="C2505" t="s">
        <v>37</v>
      </c>
      <c r="D2505">
        <v>6.0413410000000001</v>
      </c>
      <c r="E2505">
        <v>0.57585569999999997</v>
      </c>
      <c r="F2505" t="s">
        <v>39</v>
      </c>
      <c r="G2505">
        <v>-495.62380000000002</v>
      </c>
      <c r="H2505" s="1">
        <v>-4.5730890000000002E-6</v>
      </c>
      <c r="I2505">
        <v>247.49359999999999</v>
      </c>
      <c r="J2505">
        <v>-490.96969999999999</v>
      </c>
      <c r="K2505">
        <v>1.1038840000000001</v>
      </c>
      <c r="L2505">
        <v>267.81229999999999</v>
      </c>
      <c r="M2505">
        <v>-6.6077269999999994E-2</v>
      </c>
      <c r="N2505">
        <v>0</v>
      </c>
      <c r="O2505">
        <v>-0.9977258</v>
      </c>
      <c r="P2505">
        <v>-3.0208430000000001E-2</v>
      </c>
      <c r="Q2505">
        <v>-3.1883059999999998E-2</v>
      </c>
      <c r="R2505">
        <v>-0.99903489999999995</v>
      </c>
      <c r="S2505">
        <v>-0.67962650000000002</v>
      </c>
      <c r="T2505">
        <v>-0.16083120000000001</v>
      </c>
      <c r="U2505">
        <v>-2.9806520000000001</v>
      </c>
      <c r="V2505">
        <v>-3.590368E-2</v>
      </c>
      <c r="W2505">
        <v>-1.8545389999999998E-2</v>
      </c>
      <c r="X2505">
        <v>0.99918320000000005</v>
      </c>
      <c r="Y2505">
        <v>0.15708269999999999</v>
      </c>
      <c r="Z2505">
        <v>5.2695430000000001E-2</v>
      </c>
      <c r="AA2505">
        <v>0.98617860000000002</v>
      </c>
      <c r="AB2505">
        <v>17</v>
      </c>
      <c r="AC2505">
        <v>-4.6541000000000201</v>
      </c>
      <c r="AD2505">
        <v>-1.103888573089</v>
      </c>
      <c r="AE2505">
        <v>-20.3187</v>
      </c>
      <c r="AF2505">
        <v>3.2919713979430498</v>
      </c>
      <c r="AG2505">
        <v>-1.103888573089</v>
      </c>
      <c r="AH2505">
        <v>20.5242835434148</v>
      </c>
      <c r="AI2505">
        <v>93.039879465384601</v>
      </c>
      <c r="AJ2505">
        <v>80.887714839708295</v>
      </c>
      <c r="AK2505">
        <v>20.815904031224701</v>
      </c>
    </row>
    <row r="2506" spans="1:37" x14ac:dyDescent="0.2">
      <c r="A2506" t="str">
        <f>"20200111155849044"</f>
        <v>20200111155849044</v>
      </c>
      <c r="B2506" t="str">
        <f>"1578729529033849"</f>
        <v>1578729529033849</v>
      </c>
      <c r="C2506" t="s">
        <v>37</v>
      </c>
      <c r="D2506">
        <v>6.0424980000000001</v>
      </c>
      <c r="E2506">
        <v>0.56238159999999904</v>
      </c>
      <c r="F2506" t="s">
        <v>39</v>
      </c>
      <c r="G2506">
        <v>-496.1508</v>
      </c>
      <c r="H2506" s="1">
        <v>-4.0072910000000001E-6</v>
      </c>
      <c r="I2506">
        <v>245.55629999999999</v>
      </c>
      <c r="J2506">
        <v>-490.9819</v>
      </c>
      <c r="K2506">
        <v>1.103909</v>
      </c>
      <c r="L2506">
        <v>267.65190000000001</v>
      </c>
      <c r="M2506">
        <v>-6.7353730000000001E-2</v>
      </c>
      <c r="N2506">
        <v>0</v>
      </c>
      <c r="O2506">
        <v>-0.99764059999999899</v>
      </c>
      <c r="P2506">
        <v>-3.5666530000000002E-2</v>
      </c>
      <c r="Q2506">
        <v>-3.1056999999999901E-2</v>
      </c>
      <c r="R2506">
        <v>-0.99888120000000002</v>
      </c>
      <c r="S2506">
        <v>-0.6930847</v>
      </c>
      <c r="T2506">
        <v>-0.147671</v>
      </c>
      <c r="U2506">
        <v>-2.9772639999999999</v>
      </c>
      <c r="V2506">
        <v>-3.1723500000000002E-2</v>
      </c>
      <c r="W2506">
        <v>-1.7729379999999999E-2</v>
      </c>
      <c r="X2506">
        <v>0.99933939999999999</v>
      </c>
      <c r="Y2506">
        <v>0.16034370000000001</v>
      </c>
      <c r="Z2506">
        <v>4.8404570000000001E-2</v>
      </c>
      <c r="AA2506">
        <v>0.98587369999999996</v>
      </c>
      <c r="AB2506">
        <v>17</v>
      </c>
      <c r="AC2506">
        <v>-5.1688999999999998</v>
      </c>
      <c r="AD2506">
        <v>-1.1039130072909999</v>
      </c>
      <c r="AE2506">
        <v>-22.095600000000001</v>
      </c>
      <c r="AF2506">
        <v>3.6601456073048402</v>
      </c>
      <c r="AG2506">
        <v>-1.1039130072909999</v>
      </c>
      <c r="AH2506">
        <v>22.340720165116501</v>
      </c>
      <c r="AI2506">
        <v>92.791674633957101</v>
      </c>
      <c r="AJ2506">
        <v>80.695723118110806</v>
      </c>
      <c r="AK2506">
        <v>22.665459785549999</v>
      </c>
    </row>
    <row r="2507" spans="1:37" x14ac:dyDescent="0.2">
      <c r="A2507" t="str">
        <f>"20200111155849060"</f>
        <v>20200111155849060</v>
      </c>
      <c r="B2507" t="str">
        <f>"1578729529054345"</f>
        <v>1578729529054345</v>
      </c>
      <c r="C2507" t="s">
        <v>37</v>
      </c>
      <c r="D2507">
        <v>6.1025429999999998</v>
      </c>
      <c r="E2507">
        <v>0.56100319999999904</v>
      </c>
      <c r="F2507" t="s">
        <v>38</v>
      </c>
      <c r="G2507">
        <v>-491.12419999999997</v>
      </c>
      <c r="H2507">
        <v>1.033976</v>
      </c>
      <c r="I2507">
        <v>266.9366</v>
      </c>
      <c r="J2507">
        <v>-490.99079999999998</v>
      </c>
      <c r="K2507">
        <v>1.1039190000000001</v>
      </c>
      <c r="L2507">
        <v>267.53750000000002</v>
      </c>
      <c r="M2507">
        <v>-6.8256769999999994E-2</v>
      </c>
      <c r="N2507">
        <v>0</v>
      </c>
      <c r="O2507">
        <v>-0.99757949999999995</v>
      </c>
      <c r="P2507">
        <v>-3.8462259999999998E-2</v>
      </c>
      <c r="Q2507">
        <v>-3.0773310000000002E-2</v>
      </c>
      <c r="R2507">
        <v>-0.99878630000000002</v>
      </c>
      <c r="S2507">
        <v>-0.59109500000000004</v>
      </c>
      <c r="T2507">
        <v>-0.290664799999999</v>
      </c>
      <c r="U2507">
        <v>-2.9732669999999999</v>
      </c>
      <c r="V2507">
        <v>-2.983133E-2</v>
      </c>
      <c r="W2507">
        <v>-1.745085E-2</v>
      </c>
      <c r="X2507">
        <v>0.99940260000000003</v>
      </c>
      <c r="Y2507">
        <v>0.1266854</v>
      </c>
      <c r="Z2507">
        <v>9.5639000000000002E-2</v>
      </c>
      <c r="AA2507">
        <v>0.98732160000000002</v>
      </c>
      <c r="AB2507">
        <v>17</v>
      </c>
      <c r="AC2507">
        <v>-0.133399999999994</v>
      </c>
      <c r="AD2507">
        <v>-6.9943000000000005E-2</v>
      </c>
      <c r="AE2507">
        <v>-0.60090000000002397</v>
      </c>
      <c r="AF2507">
        <v>9.08960784712948E-2</v>
      </c>
      <c r="AG2507">
        <v>-6.9943000000000005E-2</v>
      </c>
      <c r="AH2507">
        <v>0.60084649639674503</v>
      </c>
      <c r="AI2507">
        <v>96.565729092292997</v>
      </c>
      <c r="AJ2507">
        <v>81.397521192318905</v>
      </c>
      <c r="AK2507">
        <v>0.61169488518599202</v>
      </c>
    </row>
    <row r="2508" spans="1:37" x14ac:dyDescent="0.2">
      <c r="A2508" t="str">
        <f>"20200111155849077"</f>
        <v>20200111155849077</v>
      </c>
      <c r="B2508" t="str">
        <f>"1578729529073864"</f>
        <v>1578729529073864</v>
      </c>
      <c r="C2508" t="s">
        <v>37</v>
      </c>
      <c r="D2508">
        <v>6.1085609999999999</v>
      </c>
      <c r="E2508">
        <v>0.55999359999999998</v>
      </c>
      <c r="F2508" t="s">
        <v>38</v>
      </c>
      <c r="G2508">
        <v>-491.13869999999997</v>
      </c>
      <c r="H2508">
        <v>1.029827</v>
      </c>
      <c r="I2508">
        <v>266.79140000000001</v>
      </c>
      <c r="J2508">
        <v>-491.00110000000001</v>
      </c>
      <c r="K2508">
        <v>1.1039239999999999</v>
      </c>
      <c r="L2508">
        <v>267.40530000000001</v>
      </c>
      <c r="M2508">
        <v>-6.9301109999999999E-2</v>
      </c>
      <c r="N2508">
        <v>0</v>
      </c>
      <c r="O2508">
        <v>-0.99750740000000004</v>
      </c>
      <c r="P2508">
        <v>-4.2556360000000001E-2</v>
      </c>
      <c r="Q2508">
        <v>-3.0082109999999999E-2</v>
      </c>
      <c r="R2508">
        <v>-0.99864109999999995</v>
      </c>
      <c r="S2508">
        <v>-0.58819580000000005</v>
      </c>
      <c r="T2508">
        <v>-0.29507519999999998</v>
      </c>
      <c r="U2508">
        <v>-2.971924</v>
      </c>
      <c r="V2508">
        <v>-2.6782050000000002E-2</v>
      </c>
      <c r="W2508">
        <v>-1.6765700000000001E-2</v>
      </c>
      <c r="X2508">
        <v>0.99950069999999902</v>
      </c>
      <c r="Y2508">
        <v>0.12477729999999999</v>
      </c>
      <c r="Z2508">
        <v>9.7129419999999994E-2</v>
      </c>
      <c r="AA2508">
        <v>0.98741909999999899</v>
      </c>
      <c r="AB2508">
        <v>17</v>
      </c>
      <c r="AC2508">
        <v>-0.137599999999963</v>
      </c>
      <c r="AD2508">
        <v>-7.4096999999999802E-2</v>
      </c>
      <c r="AE2508">
        <v>-0.613900000000001</v>
      </c>
      <c r="AF2508">
        <v>9.3425484064103406E-2</v>
      </c>
      <c r="AG2508">
        <v>-7.4096999999999802E-2</v>
      </c>
      <c r="AH2508">
        <v>0.61345109043359203</v>
      </c>
      <c r="AI2508">
        <v>96.809462702248098</v>
      </c>
      <c r="AJ2508">
        <v>81.340682122219505</v>
      </c>
      <c r="AK2508">
        <v>0.62493273784926195</v>
      </c>
    </row>
    <row r="2509" spans="1:37" x14ac:dyDescent="0.2">
      <c r="A2509" t="str">
        <f>"20200111155849092"</f>
        <v>20200111155849092</v>
      </c>
      <c r="B2509" t="str">
        <f>"1578729529083625"</f>
        <v>1578729529083625</v>
      </c>
      <c r="C2509" t="s">
        <v>37</v>
      </c>
      <c r="D2509">
        <v>6.1017700000000001</v>
      </c>
      <c r="E2509">
        <v>0.55969269999999904</v>
      </c>
      <c r="F2509" t="s">
        <v>38</v>
      </c>
      <c r="G2509">
        <v>-491.15249999999997</v>
      </c>
      <c r="H2509">
        <v>1.0276019999999999</v>
      </c>
      <c r="I2509">
        <v>266.6454</v>
      </c>
      <c r="J2509">
        <v>-491.0093</v>
      </c>
      <c r="K2509">
        <v>1.103923</v>
      </c>
      <c r="L2509">
        <v>267.30200000000002</v>
      </c>
      <c r="M2509">
        <v>-7.0119219999999996E-2</v>
      </c>
      <c r="N2509">
        <v>0</v>
      </c>
      <c r="O2509">
        <v>-0.99745010000000001</v>
      </c>
      <c r="P2509">
        <v>-4.4646520000000002E-2</v>
      </c>
      <c r="Q2509">
        <v>-2.9808970000000001E-2</v>
      </c>
      <c r="R2509">
        <v>-0.99855799999999995</v>
      </c>
      <c r="S2509">
        <v>-0.59185790000000005</v>
      </c>
      <c r="T2509">
        <v>-0.2983363</v>
      </c>
      <c r="U2509">
        <v>-2.96991</v>
      </c>
      <c r="V2509">
        <v>-2.5510100000000001E-2</v>
      </c>
      <c r="W2509">
        <v>-1.6495869999999999E-2</v>
      </c>
      <c r="X2509">
        <v>0.9995385</v>
      </c>
      <c r="Y2509">
        <v>0.1252412</v>
      </c>
      <c r="Z2509">
        <v>9.8234269999999999E-2</v>
      </c>
      <c r="AA2509">
        <v>0.98725099999999999</v>
      </c>
      <c r="AB2509">
        <v>16</v>
      </c>
      <c r="AC2509">
        <v>-0.14319999999997801</v>
      </c>
      <c r="AD2509">
        <v>-7.6320999999999806E-2</v>
      </c>
      <c r="AE2509">
        <v>-0.65660000000002505</v>
      </c>
      <c r="AF2509">
        <v>9.5570501740318295E-2</v>
      </c>
      <c r="AG2509">
        <v>-7.6320999999999806E-2</v>
      </c>
      <c r="AH2509">
        <v>0.65655757904906697</v>
      </c>
      <c r="AI2509">
        <v>96.561999714352396</v>
      </c>
      <c r="AJ2509">
        <v>81.718021096690407</v>
      </c>
      <c r="AK2509">
        <v>0.66785213217498096</v>
      </c>
    </row>
    <row r="2510" spans="1:37" x14ac:dyDescent="0.2">
      <c r="A2510" t="str">
        <f>"20200111155849107"</f>
        <v>20200111155849107</v>
      </c>
      <c r="B2510" t="str">
        <f>"1578729529104122"</f>
        <v>1578729529104122</v>
      </c>
      <c r="C2510" t="s">
        <v>37</v>
      </c>
      <c r="D2510">
        <v>6.1140780000000001</v>
      </c>
      <c r="E2510">
        <v>0.55916399999999999</v>
      </c>
      <c r="F2510" t="s">
        <v>38</v>
      </c>
      <c r="G2510">
        <v>-491.17</v>
      </c>
      <c r="H2510">
        <v>1.0228950000000001</v>
      </c>
      <c r="I2510">
        <v>266.50119999999998</v>
      </c>
      <c r="J2510">
        <v>-491.01799999999997</v>
      </c>
      <c r="K2510">
        <v>1.103917</v>
      </c>
      <c r="L2510">
        <v>267.19240000000002</v>
      </c>
      <c r="M2510">
        <v>-7.099076E-2</v>
      </c>
      <c r="N2510">
        <v>0</v>
      </c>
      <c r="O2510">
        <v>-0.99738869999999902</v>
      </c>
      <c r="P2510">
        <v>-4.654643E-2</v>
      </c>
      <c r="Q2510">
        <v>-2.9330769999999999E-2</v>
      </c>
      <c r="R2510">
        <v>-0.99848549999999903</v>
      </c>
      <c r="S2510">
        <v>-0.59533689999999995</v>
      </c>
      <c r="T2510">
        <v>-0.30033179999999998</v>
      </c>
      <c r="U2510">
        <v>-2.96875</v>
      </c>
      <c r="V2510">
        <v>-2.4482210000000001E-2</v>
      </c>
      <c r="W2510">
        <v>-1.6020510000000002E-2</v>
      </c>
      <c r="X2510">
        <v>0.99957189999999996</v>
      </c>
      <c r="Y2510">
        <v>0.12554779999999999</v>
      </c>
      <c r="Z2510">
        <v>9.8900180000000004E-2</v>
      </c>
      <c r="AA2510">
        <v>0.98714570000000001</v>
      </c>
      <c r="AB2510">
        <v>16</v>
      </c>
      <c r="AC2510">
        <v>-0.15199999999998601</v>
      </c>
      <c r="AD2510">
        <v>-8.10219999999999E-2</v>
      </c>
      <c r="AE2510">
        <v>-0.69120000000003701</v>
      </c>
      <c r="AF2510">
        <v>0.101216696581501</v>
      </c>
      <c r="AG2510">
        <v>-8.10219999999999E-2</v>
      </c>
      <c r="AH2510">
        <v>0.69118823034826604</v>
      </c>
      <c r="AI2510">
        <v>96.615851459816795</v>
      </c>
      <c r="AJ2510">
        <v>81.668896067679796</v>
      </c>
      <c r="AK2510">
        <v>0.70324288401863</v>
      </c>
    </row>
    <row r="2511" spans="1:37" x14ac:dyDescent="0.2">
      <c r="A2511" t="str">
        <f>"20200111155849123"</f>
        <v>20200111155849123</v>
      </c>
      <c r="B2511" t="str">
        <f>"1578729529113882"</f>
        <v>1578729529113882</v>
      </c>
      <c r="C2511" t="s">
        <v>37</v>
      </c>
      <c r="D2511">
        <v>6.0922529999999897</v>
      </c>
      <c r="E2511">
        <v>0.5587801</v>
      </c>
      <c r="F2511" t="s">
        <v>38</v>
      </c>
      <c r="G2511">
        <v>-491.18599999999998</v>
      </c>
      <c r="H2511">
        <v>1.019441</v>
      </c>
      <c r="I2511">
        <v>266.35640000000001</v>
      </c>
      <c r="J2511">
        <v>-491.02809999999999</v>
      </c>
      <c r="K2511">
        <v>1.103912</v>
      </c>
      <c r="L2511">
        <v>267.06700000000001</v>
      </c>
      <c r="M2511">
        <v>-7.1994959999999997E-2</v>
      </c>
      <c r="N2511">
        <v>0</v>
      </c>
      <c r="O2511">
        <v>-0.99731650000000005</v>
      </c>
      <c r="P2511">
        <v>-4.9517459999999999E-2</v>
      </c>
      <c r="Q2511">
        <v>-2.8313789999999998E-2</v>
      </c>
      <c r="R2511">
        <v>-0.99837189999999998</v>
      </c>
      <c r="S2511">
        <v>-0.59707639999999995</v>
      </c>
      <c r="T2511">
        <v>-0.2999368</v>
      </c>
      <c r="U2511">
        <v>-2.9678339999999999</v>
      </c>
      <c r="V2511">
        <v>-2.251593E-2</v>
      </c>
      <c r="W2511">
        <v>-1.500718E-2</v>
      </c>
      <c r="X2511">
        <v>0.99963380000000002</v>
      </c>
      <c r="Y2511">
        <v>0.125166</v>
      </c>
      <c r="Z2511">
        <v>9.8787089999999994E-2</v>
      </c>
      <c r="AA2511">
        <v>0.98720540000000001</v>
      </c>
      <c r="AB2511">
        <v>16</v>
      </c>
      <c r="AC2511">
        <v>-0.157899999999983</v>
      </c>
      <c r="AD2511">
        <v>-8.4470999999999893E-2</v>
      </c>
      <c r="AE2511">
        <v>-0.71059999999999901</v>
      </c>
      <c r="AF2511">
        <v>0.104913294875221</v>
      </c>
      <c r="AG2511">
        <v>-8.4470999999999893E-2</v>
      </c>
      <c r="AH2511">
        <v>0.71055642415567999</v>
      </c>
      <c r="AI2511">
        <v>96.707463738328101</v>
      </c>
      <c r="AJ2511">
        <v>81.600990301977404</v>
      </c>
      <c r="AK2511">
        <v>0.72320991502570098</v>
      </c>
    </row>
    <row r="2512" spans="1:37" x14ac:dyDescent="0.2">
      <c r="A2512" t="str">
        <f>"20200111155849145"</f>
        <v>20200111155849145</v>
      </c>
      <c r="B2512" t="str">
        <f>"1578729529134376"</f>
        <v>1578729529134376</v>
      </c>
      <c r="C2512" t="s">
        <v>37</v>
      </c>
      <c r="D2512">
        <v>6.0874980000000001</v>
      </c>
      <c r="E2512">
        <v>0.55791380000000002</v>
      </c>
      <c r="F2512" t="s">
        <v>38</v>
      </c>
      <c r="G2512">
        <v>-491.17360000000002</v>
      </c>
      <c r="H2512">
        <v>1.031979</v>
      </c>
      <c r="I2512">
        <v>266.34949999999998</v>
      </c>
      <c r="J2512">
        <v>-491.0403</v>
      </c>
      <c r="K2512">
        <v>1.103907</v>
      </c>
      <c r="L2512">
        <v>266.9171</v>
      </c>
      <c r="M2512">
        <v>-7.3206679999999996E-2</v>
      </c>
      <c r="N2512">
        <v>0</v>
      </c>
      <c r="O2512">
        <v>-0.99722860000000002</v>
      </c>
      <c r="P2512">
        <v>-5.1790849999999999E-2</v>
      </c>
      <c r="Q2512">
        <v>-2.753216E-2</v>
      </c>
      <c r="R2512">
        <v>-0.99827869999999996</v>
      </c>
      <c r="S2512">
        <v>-0.60241699999999998</v>
      </c>
      <c r="T2512">
        <v>-0.29743900000000001</v>
      </c>
      <c r="U2512">
        <v>-2.96655299999999</v>
      </c>
      <c r="V2512">
        <v>-2.1455579999999998E-2</v>
      </c>
      <c r="W2512">
        <v>-1.422849E-2</v>
      </c>
      <c r="X2512">
        <v>0.99966849999999996</v>
      </c>
      <c r="Y2512">
        <v>0.1257664</v>
      </c>
      <c r="Z2512">
        <v>9.7979720000000006E-2</v>
      </c>
      <c r="AA2512">
        <v>0.98720959999999902</v>
      </c>
      <c r="AB2512">
        <v>16</v>
      </c>
      <c r="AC2512">
        <v>-0.13330000000001899</v>
      </c>
      <c r="AD2512">
        <v>-7.1927999999999895E-2</v>
      </c>
      <c r="AE2512">
        <v>-0.56760000000002697</v>
      </c>
      <c r="AF2512">
        <v>9.0016508074618598E-2</v>
      </c>
      <c r="AG2512">
        <v>-7.1927999999999895E-2</v>
      </c>
      <c r="AH2512">
        <v>0.56720359470047399</v>
      </c>
      <c r="AI2512">
        <v>97.138791747239196</v>
      </c>
      <c r="AJ2512">
        <v>80.982235222017195</v>
      </c>
      <c r="AK2512">
        <v>0.57878884470166503</v>
      </c>
    </row>
    <row r="2513" spans="1:37" x14ac:dyDescent="0.2">
      <c r="A2513" t="str">
        <f>"20200111155849160"</f>
        <v>20200111155849160</v>
      </c>
      <c r="B2513" t="str">
        <f>"1578729529153897"</f>
        <v>1578729529153897</v>
      </c>
      <c r="C2513" t="s">
        <v>37</v>
      </c>
      <c r="D2513">
        <v>6.2193389999999997</v>
      </c>
      <c r="E2513">
        <v>0.55742659999999999</v>
      </c>
      <c r="F2513" t="s">
        <v>38</v>
      </c>
      <c r="G2513">
        <v>-491.1857</v>
      </c>
      <c r="H2513">
        <v>1.0321499999999999</v>
      </c>
      <c r="I2513">
        <v>266.2029</v>
      </c>
      <c r="J2513">
        <v>-491.05009999999999</v>
      </c>
      <c r="K2513">
        <v>1.1038969999999999</v>
      </c>
      <c r="L2513">
        <v>266.79989999999998</v>
      </c>
      <c r="M2513">
        <v>-7.4162119999999998E-2</v>
      </c>
      <c r="N2513">
        <v>0</v>
      </c>
      <c r="O2513">
        <v>-0.99715799999999999</v>
      </c>
      <c r="P2513">
        <v>-5.2980930000000002E-2</v>
      </c>
      <c r="Q2513">
        <v>-2.7333650000000001E-2</v>
      </c>
      <c r="R2513">
        <v>-0.99822180000000005</v>
      </c>
      <c r="S2513">
        <v>-0.6020508</v>
      </c>
      <c r="T2513">
        <v>-0.2978518</v>
      </c>
      <c r="U2513">
        <v>-2.9657290000000001</v>
      </c>
      <c r="V2513">
        <v>-2.1221589999999999E-2</v>
      </c>
      <c r="W2513">
        <v>-1.403166E-2</v>
      </c>
      <c r="X2513">
        <v>0.99967629999999996</v>
      </c>
      <c r="Y2513">
        <v>0.12474919999999901</v>
      </c>
      <c r="Z2513">
        <v>9.8137970000000005E-2</v>
      </c>
      <c r="AA2513">
        <v>0.987322899999999</v>
      </c>
      <c r="AB2513">
        <v>16</v>
      </c>
      <c r="AC2513">
        <v>-0.13560000000000999</v>
      </c>
      <c r="AD2513">
        <v>-7.1747000000000005E-2</v>
      </c>
      <c r="AE2513">
        <v>-0.59699999999997999</v>
      </c>
      <c r="AF2513">
        <v>8.9715641095660895E-2</v>
      </c>
      <c r="AG2513">
        <v>-7.1747000000000005E-2</v>
      </c>
      <c r="AH2513">
        <v>0.59721058372668501</v>
      </c>
      <c r="AI2513">
        <v>96.775198811857294</v>
      </c>
      <c r="AJ2513">
        <v>81.456656847692102</v>
      </c>
      <c r="AK2513">
        <v>0.60815870427165097</v>
      </c>
    </row>
    <row r="2514" spans="1:37" x14ac:dyDescent="0.2">
      <c r="A2514" t="str">
        <f>"20200111155849179"</f>
        <v>20200111155849179</v>
      </c>
      <c r="B2514" t="str">
        <f>"1578729529175371"</f>
        <v>1578729529175371</v>
      </c>
      <c r="C2514" t="s">
        <v>37</v>
      </c>
      <c r="D2514">
        <v>6.0785720000000003</v>
      </c>
      <c r="E2514">
        <v>0.55264999999999997</v>
      </c>
      <c r="F2514" t="s">
        <v>38</v>
      </c>
      <c r="G2514">
        <v>-491.20030000000003</v>
      </c>
      <c r="H2514">
        <v>1.029131</v>
      </c>
      <c r="I2514">
        <v>266.0582</v>
      </c>
      <c r="J2514">
        <v>-491.06150000000002</v>
      </c>
      <c r="K2514">
        <v>1.1038969999999999</v>
      </c>
      <c r="L2514">
        <v>266.66460000000001</v>
      </c>
      <c r="M2514">
        <v>-7.5272839999999994E-2</v>
      </c>
      <c r="N2514">
        <v>0</v>
      </c>
      <c r="O2514">
        <v>-0.99707469999999998</v>
      </c>
      <c r="P2514">
        <v>-5.4230809999999997E-2</v>
      </c>
      <c r="Q2514">
        <v>-2.7203560000000002E-2</v>
      </c>
      <c r="R2514">
        <v>-0.99815799999999999</v>
      </c>
      <c r="S2514">
        <v>-0.60140990000000005</v>
      </c>
      <c r="T2514">
        <v>-0.29900209999999999</v>
      </c>
      <c r="U2514">
        <v>-2.9652400000000001</v>
      </c>
      <c r="V2514">
        <v>-2.1083870000000001E-2</v>
      </c>
      <c r="W2514">
        <v>-1.3903449999999999E-2</v>
      </c>
      <c r="X2514">
        <v>0.99968109999999999</v>
      </c>
      <c r="Y2514">
        <v>0.123463</v>
      </c>
      <c r="Z2514">
        <v>9.8526730000000007E-2</v>
      </c>
      <c r="AA2514">
        <v>0.98744589999999999</v>
      </c>
      <c r="AB2514">
        <v>16</v>
      </c>
      <c r="AC2514">
        <v>-0.138800000000003</v>
      </c>
      <c r="AD2514">
        <v>-7.4765999999999805E-2</v>
      </c>
      <c r="AE2514">
        <v>-0.60640000000000704</v>
      </c>
      <c r="AF2514">
        <v>9.14359064909369E-2</v>
      </c>
      <c r="AG2514">
        <v>-7.4765999999999805E-2</v>
      </c>
      <c r="AH2514">
        <v>0.60636921159597601</v>
      </c>
      <c r="AI2514">
        <v>96.951349877055705</v>
      </c>
      <c r="AJ2514">
        <v>81.424833940804206</v>
      </c>
      <c r="AK2514">
        <v>0.61776540897281096</v>
      </c>
    </row>
    <row r="2515" spans="1:37" x14ac:dyDescent="0.2">
      <c r="A2515" t="str">
        <f>"20200111155849201"</f>
        <v>20200111155849201</v>
      </c>
      <c r="B2515" t="str">
        <f>"1578729529193914"</f>
        <v>1578729529193914</v>
      </c>
      <c r="C2515" t="s">
        <v>37</v>
      </c>
      <c r="D2515">
        <v>6.0231139999999996</v>
      </c>
      <c r="E2515">
        <v>0.55094370000000004</v>
      </c>
      <c r="F2515" t="s">
        <v>38</v>
      </c>
      <c r="G2515">
        <v>-491.20940000000002</v>
      </c>
      <c r="H2515">
        <v>1.0483819999999999</v>
      </c>
      <c r="I2515">
        <v>265.90030000000002</v>
      </c>
      <c r="J2515">
        <v>-491.07549999999998</v>
      </c>
      <c r="K2515">
        <v>1.1038950000000001</v>
      </c>
      <c r="L2515">
        <v>266.50009999999997</v>
      </c>
      <c r="M2515">
        <v>-7.6630359999999995E-2</v>
      </c>
      <c r="N2515">
        <v>0</v>
      </c>
      <c r="O2515">
        <v>-0.99697139999999995</v>
      </c>
      <c r="P2515">
        <v>-5.5317060000000001E-2</v>
      </c>
      <c r="Q2515">
        <v>-2.7078339999999999E-2</v>
      </c>
      <c r="R2515">
        <v>-0.99810189999999999</v>
      </c>
      <c r="S2515">
        <v>-0.57287600000000005</v>
      </c>
      <c r="T2515">
        <v>-0.21553739999999999</v>
      </c>
      <c r="U2515">
        <v>-2.9685060000000001</v>
      </c>
      <c r="V2515">
        <v>-2.1357520000000001E-2</v>
      </c>
      <c r="W2515">
        <v>-1.3779919999999999E-2</v>
      </c>
      <c r="X2515">
        <v>0.99967689999999998</v>
      </c>
      <c r="Y2515">
        <v>0.1132005</v>
      </c>
      <c r="Z2515">
        <v>7.1213380000000007E-2</v>
      </c>
      <c r="AA2515">
        <v>0.99101679999999903</v>
      </c>
      <c r="AB2515">
        <v>16</v>
      </c>
      <c r="AC2515">
        <v>-0.13390000000003899</v>
      </c>
      <c r="AD2515">
        <v>-5.5513000000000097E-2</v>
      </c>
      <c r="AE2515">
        <v>-0.59979999999995903</v>
      </c>
      <c r="AF2515">
        <v>8.6830794697203506E-2</v>
      </c>
      <c r="AG2515">
        <v>-5.5513000000000097E-2</v>
      </c>
      <c r="AH2515">
        <v>0.60337459185258502</v>
      </c>
      <c r="AI2515">
        <v>95.203348904044304</v>
      </c>
      <c r="AJ2515">
        <v>81.810867003244596</v>
      </c>
      <c r="AK2515">
        <v>0.61211288025169097</v>
      </c>
    </row>
    <row r="2516" spans="1:37" x14ac:dyDescent="0.2">
      <c r="A2516" t="str">
        <f>"20200111155849216"</f>
        <v>20200111155849216</v>
      </c>
      <c r="B2516" t="str">
        <f>"1578729529213942"</f>
        <v>1578729529213942</v>
      </c>
      <c r="C2516" t="s">
        <v>37</v>
      </c>
      <c r="D2516">
        <v>6.01755</v>
      </c>
      <c r="E2516">
        <v>0.55022760000000004</v>
      </c>
      <c r="F2516" t="s">
        <v>38</v>
      </c>
      <c r="G2516">
        <v>-491.21280000000002</v>
      </c>
      <c r="H2516">
        <v>1.0247569999999999</v>
      </c>
      <c r="I2516">
        <v>265.76749999999998</v>
      </c>
      <c r="J2516">
        <v>-491.08479999999997</v>
      </c>
      <c r="K2516">
        <v>1.103893</v>
      </c>
      <c r="L2516">
        <v>266.3922</v>
      </c>
      <c r="M2516">
        <v>-7.7524399999999993E-2</v>
      </c>
      <c r="N2516">
        <v>0</v>
      </c>
      <c r="O2516">
        <v>-0.99690219999999896</v>
      </c>
      <c r="P2516">
        <v>-5.5542679999999997E-2</v>
      </c>
      <c r="Q2516">
        <v>-2.6834110000000001E-2</v>
      </c>
      <c r="R2516">
        <v>-0.99809590000000004</v>
      </c>
      <c r="S2516">
        <v>-0.55560299999999996</v>
      </c>
      <c r="T2516">
        <v>-0.32042779999999998</v>
      </c>
      <c r="U2516">
        <v>-2.96624799999999</v>
      </c>
      <c r="V2516">
        <v>-2.2027809999999998E-2</v>
      </c>
      <c r="W2516">
        <v>-1.3536370000000001E-2</v>
      </c>
      <c r="X2516">
        <v>0.99966569999999899</v>
      </c>
      <c r="Y2516">
        <v>0.10631309999999999</v>
      </c>
      <c r="Z2516">
        <v>0.105706199999999</v>
      </c>
      <c r="AA2516">
        <v>0.98869799999999997</v>
      </c>
      <c r="AB2516">
        <v>16</v>
      </c>
      <c r="AC2516">
        <v>-0.128000000000042</v>
      </c>
      <c r="AD2516">
        <v>-7.9136000000000095E-2</v>
      </c>
      <c r="AE2516">
        <v>-0.62470000000001802</v>
      </c>
      <c r="AF2516">
        <v>7.7979998535502304E-2</v>
      </c>
      <c r="AG2516">
        <v>-7.9136000000000095E-2</v>
      </c>
      <c r="AH2516">
        <v>0.62314662095435103</v>
      </c>
      <c r="AI2516">
        <v>97.182064758296505</v>
      </c>
      <c r="AJ2516">
        <v>82.867137350253799</v>
      </c>
      <c r="AK2516">
        <v>0.63297322050338101</v>
      </c>
    </row>
    <row r="2517" spans="1:37" x14ac:dyDescent="0.2">
      <c r="A2517" t="str">
        <f>"20200111155849235"</f>
        <v>20200111155849235</v>
      </c>
      <c r="B2517" t="str">
        <f>"1578729529223702"</f>
        <v>1578729529223702</v>
      </c>
      <c r="C2517" t="s">
        <v>37</v>
      </c>
      <c r="D2517">
        <v>6.1211779999999996</v>
      </c>
      <c r="E2517">
        <v>0.55022760000000004</v>
      </c>
      <c r="F2517" t="s">
        <v>38</v>
      </c>
      <c r="G2517">
        <v>-491.22800000000001</v>
      </c>
      <c r="H2517">
        <v>1.0214159999999901</v>
      </c>
      <c r="I2517">
        <v>265.62369999999999</v>
      </c>
      <c r="J2517">
        <v>-491.09679999999997</v>
      </c>
      <c r="K2517">
        <v>1.103896</v>
      </c>
      <c r="L2517">
        <v>266.25540000000001</v>
      </c>
      <c r="M2517">
        <v>-7.8659409999999999E-2</v>
      </c>
      <c r="N2517">
        <v>0</v>
      </c>
      <c r="O2517">
        <v>-0.99681339999999996</v>
      </c>
      <c r="P2517">
        <v>-5.5434799999999999E-2</v>
      </c>
      <c r="Q2517">
        <v>-2.6257570000000001E-2</v>
      </c>
      <c r="R2517">
        <v>-0.99811729999999999</v>
      </c>
      <c r="S2517">
        <v>-0.55096440000000002</v>
      </c>
      <c r="T2517">
        <v>-0.3182046</v>
      </c>
      <c r="U2517">
        <v>-2.9664919999999899</v>
      </c>
      <c r="V2517">
        <v>-2.327448E-2</v>
      </c>
      <c r="W2517">
        <v>-1.296009E-2</v>
      </c>
      <c r="X2517">
        <v>0.99964509999999995</v>
      </c>
      <c r="Y2517">
        <v>0.10368579999999999</v>
      </c>
      <c r="Z2517">
        <v>0.104988</v>
      </c>
      <c r="AA2517">
        <v>0.98905350000000003</v>
      </c>
      <c r="AB2517">
        <v>16</v>
      </c>
      <c r="AC2517">
        <v>-0.13120000000003501</v>
      </c>
      <c r="AD2517">
        <v>-8.2480000000000095E-2</v>
      </c>
      <c r="AE2517">
        <v>-0.63170000000002302</v>
      </c>
      <c r="AF2517">
        <v>7.9795785174155601E-2</v>
      </c>
      <c r="AG2517">
        <v>-8.2480000000000095E-2</v>
      </c>
      <c r="AH2517">
        <v>0.62977097674264104</v>
      </c>
      <c r="AI2517">
        <v>97.402935795691107</v>
      </c>
      <c r="AJ2517">
        <v>82.778759008706402</v>
      </c>
      <c r="AK2517">
        <v>0.64014201617995703</v>
      </c>
    </row>
    <row r="2518" spans="1:37" x14ac:dyDescent="0.2">
      <c r="A2518" t="str">
        <f>"20200111155849250"</f>
        <v>20200111155849250</v>
      </c>
      <c r="B2518" t="str">
        <f>"1578729529244198"</f>
        <v>1578729529244198</v>
      </c>
      <c r="C2518" t="s">
        <v>37</v>
      </c>
      <c r="D2518">
        <v>9.2326369999999898</v>
      </c>
      <c r="E2518">
        <v>0.5502821</v>
      </c>
      <c r="F2518" t="s">
        <v>38</v>
      </c>
      <c r="G2518">
        <v>-491.24130000000002</v>
      </c>
      <c r="H2518">
        <v>1.02118</v>
      </c>
      <c r="I2518">
        <v>265.47840000000002</v>
      </c>
      <c r="J2518">
        <v>-491.10680000000002</v>
      </c>
      <c r="K2518">
        <v>1.1039000000000001</v>
      </c>
      <c r="L2518">
        <v>266.14249999999998</v>
      </c>
      <c r="M2518">
        <v>-7.959521E-2</v>
      </c>
      <c r="N2518">
        <v>0</v>
      </c>
      <c r="O2518">
        <v>-0.99673899999999904</v>
      </c>
      <c r="P2518">
        <v>-5.5602499999999999E-2</v>
      </c>
      <c r="Q2518">
        <v>-2.628279E-2</v>
      </c>
      <c r="R2518">
        <v>-0.99810699999999997</v>
      </c>
      <c r="S2518">
        <v>-0.55062869999999997</v>
      </c>
      <c r="T2518">
        <v>-0.31580530000000001</v>
      </c>
      <c r="U2518">
        <v>-2.966736</v>
      </c>
      <c r="V2518">
        <v>-2.4044759999999998E-2</v>
      </c>
      <c r="W2518">
        <v>-1.2986009999999999E-2</v>
      </c>
      <c r="X2518">
        <v>0.99962649999999997</v>
      </c>
      <c r="Y2518">
        <v>0.1026445</v>
      </c>
      <c r="Z2518">
        <v>0.1041918</v>
      </c>
      <c r="AA2518">
        <v>0.98924619999999996</v>
      </c>
      <c r="AB2518">
        <v>16</v>
      </c>
      <c r="AC2518">
        <v>-0.13450000000000201</v>
      </c>
      <c r="AD2518">
        <v>-8.2720000000000099E-2</v>
      </c>
      <c r="AE2518">
        <v>-0.66409999999996205</v>
      </c>
      <c r="AF2518">
        <v>8.0016810976274694E-2</v>
      </c>
      <c r="AG2518">
        <v>-8.2720000000000099E-2</v>
      </c>
      <c r="AH2518">
        <v>0.66282059874036303</v>
      </c>
      <c r="AI2518">
        <v>97.062975059221003</v>
      </c>
      <c r="AJ2518">
        <v>83.116468278680003</v>
      </c>
      <c r="AK2518">
        <v>0.67273801331078897</v>
      </c>
    </row>
    <row r="2519" spans="1:37" x14ac:dyDescent="0.2">
      <c r="A2519" t="str">
        <f>"20200111155849268"</f>
        <v>20200111155849268</v>
      </c>
      <c r="B2519" t="str">
        <f>"1578729529263718"</f>
        <v>1578729529263718</v>
      </c>
      <c r="C2519" t="s">
        <v>37</v>
      </c>
      <c r="D2519">
        <v>5.9131010000000002</v>
      </c>
      <c r="E2519">
        <v>0.55444209999999905</v>
      </c>
      <c r="F2519" t="s">
        <v>38</v>
      </c>
      <c r="G2519">
        <v>-491.25749999999999</v>
      </c>
      <c r="H2519">
        <v>1.0179830000000001</v>
      </c>
      <c r="I2519">
        <v>265.33510000000001</v>
      </c>
      <c r="J2519">
        <v>-491.11799999999999</v>
      </c>
      <c r="K2519">
        <v>1.1038969999999999</v>
      </c>
      <c r="L2519">
        <v>266.017</v>
      </c>
      <c r="M2519">
        <v>-8.0631949999999994E-2</v>
      </c>
      <c r="N2519">
        <v>0</v>
      </c>
      <c r="O2519">
        <v>-0.99665559999999997</v>
      </c>
      <c r="P2519">
        <v>-5.4657949999999997E-2</v>
      </c>
      <c r="Q2519">
        <v>-2.6213119999999999E-2</v>
      </c>
      <c r="R2519">
        <v>-0.99816109999999902</v>
      </c>
      <c r="S2519">
        <v>-0.55221560000000003</v>
      </c>
      <c r="T2519">
        <v>-0.31562489999999999</v>
      </c>
      <c r="U2519">
        <v>-2.966583</v>
      </c>
      <c r="V2519">
        <v>-2.6030020000000001E-2</v>
      </c>
      <c r="W2519">
        <v>-1.291605E-2</v>
      </c>
      <c r="X2519">
        <v>0.99957770000000001</v>
      </c>
      <c r="Y2519">
        <v>0.10213170000000001</v>
      </c>
      <c r="Z2519">
        <v>0.1041229</v>
      </c>
      <c r="AA2519">
        <v>0.98930659999999904</v>
      </c>
      <c r="AB2519">
        <v>16</v>
      </c>
      <c r="AC2519">
        <v>-0.139499999999941</v>
      </c>
      <c r="AD2519">
        <v>-8.5913999999999796E-2</v>
      </c>
      <c r="AE2519">
        <v>-0.68189999999998396</v>
      </c>
      <c r="AF2519">
        <v>8.2796416395272396E-2</v>
      </c>
      <c r="AG2519">
        <v>-8.5913999999999796E-2</v>
      </c>
      <c r="AH2519">
        <v>0.68055921491923899</v>
      </c>
      <c r="AI2519">
        <v>97.142859699589195</v>
      </c>
      <c r="AJ2519">
        <v>83.063518893773903</v>
      </c>
      <c r="AK2519">
        <v>0.69093943799394597</v>
      </c>
    </row>
    <row r="2520" spans="1:37" x14ac:dyDescent="0.2">
      <c r="A2520" t="str">
        <f>"20200111155849297"</f>
        <v>20200111155849297</v>
      </c>
      <c r="B2520" t="str">
        <f>"1578729529293974"</f>
        <v>1578729529293974</v>
      </c>
      <c r="C2520" t="s">
        <v>37</v>
      </c>
      <c r="D2520">
        <v>5.8546639999999996</v>
      </c>
      <c r="E2520">
        <v>0.56152539999999995</v>
      </c>
      <c r="F2520" t="s">
        <v>39</v>
      </c>
      <c r="G2520">
        <v>-495.4889</v>
      </c>
      <c r="H2520" s="1">
        <v>-3.4178239999999999E-6</v>
      </c>
      <c r="I2520">
        <v>244.16909999999999</v>
      </c>
      <c r="J2520">
        <v>-491.13749999999999</v>
      </c>
      <c r="K2520">
        <v>1.103907</v>
      </c>
      <c r="L2520">
        <v>265.80329999999998</v>
      </c>
      <c r="M2520">
        <v>-8.2383890000000001E-2</v>
      </c>
      <c r="N2520">
        <v>0</v>
      </c>
      <c r="O2520">
        <v>-0.99651250000000002</v>
      </c>
      <c r="P2520">
        <v>-5.4098649999999998E-2</v>
      </c>
      <c r="Q2520">
        <v>-2.6055890000000002E-2</v>
      </c>
      <c r="R2520">
        <v>-0.99819599999999897</v>
      </c>
      <c r="S2520">
        <v>-0.59399409999999997</v>
      </c>
      <c r="T2520">
        <v>-0.15001619999999999</v>
      </c>
      <c r="U2520">
        <v>-2.969055</v>
      </c>
      <c r="V2520">
        <v>-2.834646E-2</v>
      </c>
      <c r="W2520">
        <v>-1.275975E-2</v>
      </c>
      <c r="X2520">
        <v>0.99951669999999904</v>
      </c>
      <c r="Y2520">
        <v>0.1144756</v>
      </c>
      <c r="Z2520">
        <v>4.9550360000000002E-2</v>
      </c>
      <c r="AA2520">
        <v>0.99218949999999995</v>
      </c>
      <c r="AB2520">
        <v>16</v>
      </c>
      <c r="AC2520">
        <v>-4.3514000000000097</v>
      </c>
      <c r="AD2520">
        <v>-1.103910417824</v>
      </c>
      <c r="AE2520">
        <v>-21.6342</v>
      </c>
      <c r="AF2520">
        <v>2.5477637623144802</v>
      </c>
      <c r="AG2520">
        <v>-1.103910417824</v>
      </c>
      <c r="AH2520">
        <v>21.864447696964</v>
      </c>
      <c r="AI2520">
        <v>92.870950105331602</v>
      </c>
      <c r="AJ2520">
        <v>83.353559735980994</v>
      </c>
      <c r="AK2520">
        <v>22.040049716196599</v>
      </c>
    </row>
    <row r="2521" spans="1:37" x14ac:dyDescent="0.2">
      <c r="A2521" t="str">
        <f>"20200111155849314"</f>
        <v>20200111155849314</v>
      </c>
      <c r="B2521" t="str">
        <f>"1578729529304242"</f>
        <v>1578729529304242</v>
      </c>
      <c r="C2521" t="s">
        <v>37</v>
      </c>
      <c r="D2521">
        <v>5.8312739999999996</v>
      </c>
      <c r="E2521">
        <v>0.56162460000000003</v>
      </c>
      <c r="F2521" t="s">
        <v>38</v>
      </c>
      <c r="G2521">
        <v>-491.30489999999998</v>
      </c>
      <c r="H2521">
        <v>1.044157</v>
      </c>
      <c r="I2521">
        <v>265.03280000000001</v>
      </c>
      <c r="J2521">
        <v>-491.14830000000001</v>
      </c>
      <c r="K2521">
        <v>1.103917</v>
      </c>
      <c r="L2521">
        <v>265.68560000000002</v>
      </c>
      <c r="M2521">
        <v>-8.3333130000000005E-2</v>
      </c>
      <c r="N2521">
        <v>0</v>
      </c>
      <c r="O2521">
        <v>-0.99643359999999903</v>
      </c>
      <c r="P2521">
        <v>-5.2527070000000002E-2</v>
      </c>
      <c r="Q2521">
        <v>-2.588203E-2</v>
      </c>
      <c r="R2521">
        <v>-0.99828439999999996</v>
      </c>
      <c r="S2521">
        <v>-0.64382930000000005</v>
      </c>
      <c r="T2521">
        <v>-0.22984470000000001</v>
      </c>
      <c r="U2521">
        <v>-2.9645079999999999</v>
      </c>
      <c r="V2521">
        <v>-3.0871499999999899E-2</v>
      </c>
      <c r="W2521">
        <v>-1.258809E-2</v>
      </c>
      <c r="X2521">
        <v>0.99944409999999895</v>
      </c>
      <c r="Y2521">
        <v>0.12944140000000001</v>
      </c>
      <c r="Z2521">
        <v>7.5697139999999996E-2</v>
      </c>
      <c r="AA2521">
        <v>0.9886935</v>
      </c>
      <c r="AB2521">
        <v>16</v>
      </c>
      <c r="AC2521">
        <v>-0.15659999999996899</v>
      </c>
      <c r="AD2521">
        <v>-5.9760000000000001E-2</v>
      </c>
      <c r="AE2521">
        <v>-0.65280000000001304</v>
      </c>
      <c r="AF2521">
        <v>0.100851386239436</v>
      </c>
      <c r="AG2521">
        <v>-5.9760000000000001E-2</v>
      </c>
      <c r="AH2521">
        <v>0.65836304093943898</v>
      </c>
      <c r="AI2521">
        <v>95.127076198533999</v>
      </c>
      <c r="AJ2521">
        <v>81.290843140355705</v>
      </c>
      <c r="AK2521">
        <v>0.66871829149608397</v>
      </c>
    </row>
    <row r="2522" spans="1:37" x14ac:dyDescent="0.2">
      <c r="A2522" t="str">
        <f>"20200111155849335"</f>
        <v>20200111155849335</v>
      </c>
      <c r="B2522" t="str">
        <f>"1578729529323763"</f>
        <v>1578729529323763</v>
      </c>
      <c r="C2522" t="s">
        <v>37</v>
      </c>
      <c r="D2522">
        <v>6.0328629999999999</v>
      </c>
      <c r="E2522">
        <v>0.56142130000000001</v>
      </c>
      <c r="F2522" t="s">
        <v>38</v>
      </c>
      <c r="G2522">
        <v>-491.32049999999998</v>
      </c>
      <c r="H2522">
        <v>1.043202</v>
      </c>
      <c r="I2522">
        <v>264.88909999999998</v>
      </c>
      <c r="J2522">
        <v>-491.1628</v>
      </c>
      <c r="K2522">
        <v>1.1039219999999901</v>
      </c>
      <c r="L2522">
        <v>265.53019999999998</v>
      </c>
      <c r="M2522">
        <v>-8.4561189999999994E-2</v>
      </c>
      <c r="N2522">
        <v>0</v>
      </c>
      <c r="O2522">
        <v>-0.99633059999999996</v>
      </c>
      <c r="P2522">
        <v>-5.128796E-2</v>
      </c>
      <c r="Q2522">
        <v>-2.6513510000000001E-2</v>
      </c>
      <c r="R2522">
        <v>-0.99833229999999995</v>
      </c>
      <c r="S2522">
        <v>-0.64028929999999995</v>
      </c>
      <c r="T2522">
        <v>-0.22605709999999901</v>
      </c>
      <c r="U2522">
        <v>-2.965576</v>
      </c>
      <c r="V2522">
        <v>-3.3341669999999997E-2</v>
      </c>
      <c r="W2522">
        <v>-1.32417E-2</v>
      </c>
      <c r="X2522">
        <v>0.99935629999999998</v>
      </c>
      <c r="Y2522">
        <v>0.1270377</v>
      </c>
      <c r="Z2522">
        <v>7.4440049999999994E-2</v>
      </c>
      <c r="AA2522">
        <v>0.989100599999999</v>
      </c>
      <c r="AB2522">
        <v>16</v>
      </c>
      <c r="AC2522">
        <v>-0.157699999999977</v>
      </c>
      <c r="AD2522">
        <v>-6.0719999999999802E-2</v>
      </c>
      <c r="AE2522">
        <v>-0.64109999999999401</v>
      </c>
      <c r="AF2522">
        <v>0.102054908263711</v>
      </c>
      <c r="AG2522">
        <v>-6.0719999999999802E-2</v>
      </c>
      <c r="AH2522">
        <v>0.64666991053857203</v>
      </c>
      <c r="AI2522">
        <v>95.298940588930904</v>
      </c>
      <c r="AJ2522">
        <v>81.031770699975198</v>
      </c>
      <c r="AK2522">
        <v>0.65748315255729495</v>
      </c>
    </row>
    <row r="2523" spans="1:37" x14ac:dyDescent="0.2">
      <c r="A2523" t="str">
        <f>"20200111155849351"</f>
        <v>20200111155849351</v>
      </c>
      <c r="B2523" t="str">
        <f>"1578729529344258"</f>
        <v>1578729529344258</v>
      </c>
      <c r="C2523" t="s">
        <v>37</v>
      </c>
      <c r="D2523">
        <v>5.7924689999999996</v>
      </c>
      <c r="E2523">
        <v>0.56252899999999995</v>
      </c>
      <c r="F2523" t="s">
        <v>38</v>
      </c>
      <c r="G2523">
        <v>-491.33150000000001</v>
      </c>
      <c r="H2523">
        <v>1.0434429999999999</v>
      </c>
      <c r="I2523">
        <v>264.74470000000002</v>
      </c>
      <c r="J2523">
        <v>-491.17349999999999</v>
      </c>
      <c r="K2523">
        <v>1.103926</v>
      </c>
      <c r="L2523">
        <v>265.41629999999998</v>
      </c>
      <c r="M2523">
        <v>-8.5436490000000004E-2</v>
      </c>
      <c r="N2523">
        <v>0</v>
      </c>
      <c r="O2523">
        <v>-0.99625629999999998</v>
      </c>
      <c r="P2523">
        <v>-5.0769599999999998E-2</v>
      </c>
      <c r="Q2523">
        <v>-2.7277490000000001E-2</v>
      </c>
      <c r="R2523">
        <v>-0.9983379</v>
      </c>
      <c r="S2523">
        <v>-0.63531490000000002</v>
      </c>
      <c r="T2523">
        <v>-0.2283404</v>
      </c>
      <c r="U2523">
        <v>-2.9663390000000001</v>
      </c>
      <c r="V2523">
        <v>-3.4737009999999999E-2</v>
      </c>
      <c r="W2523">
        <v>-1.4050409999999999E-2</v>
      </c>
      <c r="X2523">
        <v>0.99929769999999896</v>
      </c>
      <c r="Y2523">
        <v>0.1245163</v>
      </c>
      <c r="Z2523">
        <v>7.5185539999999995E-2</v>
      </c>
      <c r="AA2523">
        <v>0.98936489999999999</v>
      </c>
      <c r="AB2523">
        <v>16</v>
      </c>
      <c r="AC2523">
        <v>-0.15800000000001499</v>
      </c>
      <c r="AD2523">
        <v>-6.0482999999999801E-2</v>
      </c>
      <c r="AE2523">
        <v>-0.67159999999995501</v>
      </c>
      <c r="AF2523">
        <v>9.9275111841611002E-2</v>
      </c>
      <c r="AG2523">
        <v>-6.0482999999999801E-2</v>
      </c>
      <c r="AH2523">
        <v>0.677437901538124</v>
      </c>
      <c r="AI2523">
        <v>95.048316874166105</v>
      </c>
      <c r="AJ2523">
        <v>81.662934832080396</v>
      </c>
      <c r="AK2523">
        <v>0.68733969153580898</v>
      </c>
    </row>
    <row r="2524" spans="1:37" x14ac:dyDescent="0.2">
      <c r="A2524" t="str">
        <f>"20200111155849368"</f>
        <v>20200111155849368</v>
      </c>
      <c r="B2524" t="str">
        <f>"1578729529363779"</f>
        <v>1578729529363779</v>
      </c>
      <c r="C2524" t="s">
        <v>37</v>
      </c>
      <c r="D2524">
        <v>5.7344369999999998</v>
      </c>
      <c r="E2524">
        <v>0.5633454</v>
      </c>
      <c r="F2524" t="s">
        <v>38</v>
      </c>
      <c r="G2524">
        <v>-491.35050000000001</v>
      </c>
      <c r="H2524">
        <v>1.041309</v>
      </c>
      <c r="I2524">
        <v>264.60210000000001</v>
      </c>
      <c r="J2524">
        <v>-491.18529999999998</v>
      </c>
      <c r="K2524">
        <v>1.103918</v>
      </c>
      <c r="L2524">
        <v>265.2912</v>
      </c>
      <c r="M2524">
        <v>-8.6366789999999999E-2</v>
      </c>
      <c r="N2524">
        <v>0</v>
      </c>
      <c r="O2524">
        <v>-0.9961776</v>
      </c>
      <c r="P2524">
        <v>-4.8510440000000002E-2</v>
      </c>
      <c r="Q2524">
        <v>-2.833749E-2</v>
      </c>
      <c r="R2524">
        <v>-0.99842120000000001</v>
      </c>
      <c r="S2524">
        <v>-0.64343260000000002</v>
      </c>
      <c r="T2524">
        <v>-0.22815089999999999</v>
      </c>
      <c r="U2524">
        <v>-2.9660340000000001</v>
      </c>
      <c r="V2524">
        <v>-3.7928280000000002E-2</v>
      </c>
      <c r="W2524">
        <v>-1.519816E-2</v>
      </c>
      <c r="X2524">
        <v>0.99916489999999902</v>
      </c>
      <c r="Y2524">
        <v>0.1261996</v>
      </c>
      <c r="Z2524">
        <v>7.5092660000000006E-2</v>
      </c>
      <c r="AA2524">
        <v>0.989158599999999</v>
      </c>
      <c r="AB2524">
        <v>16</v>
      </c>
      <c r="AC2524">
        <v>-0.16520000000002699</v>
      </c>
      <c r="AD2524">
        <v>-6.2608999999999901E-2</v>
      </c>
      <c r="AE2524">
        <v>-0.68909999999999605</v>
      </c>
      <c r="AF2524">
        <v>0.104248381294013</v>
      </c>
      <c r="AG2524">
        <v>-6.2608999999999901E-2</v>
      </c>
      <c r="AH2524">
        <v>0.69536551782685296</v>
      </c>
      <c r="AI2524">
        <v>95.088337490632199</v>
      </c>
      <c r="AJ2524">
        <v>81.473783091478097</v>
      </c>
      <c r="AK2524">
        <v>0.70591841969595104</v>
      </c>
    </row>
    <row r="2525" spans="1:37" x14ac:dyDescent="0.2">
      <c r="A2525" t="str">
        <f>"20200111155849382"</f>
        <v>20200111155849382</v>
      </c>
      <c r="B2525" t="str">
        <f>"1578729529373539"</f>
        <v>1578729529373539</v>
      </c>
      <c r="C2525" t="s">
        <v>37</v>
      </c>
      <c r="D2525">
        <v>5.6990749999999997</v>
      </c>
      <c r="E2525">
        <v>0.56387869999999995</v>
      </c>
      <c r="F2525" t="s">
        <v>38</v>
      </c>
      <c r="G2525">
        <v>-491.36610000000002</v>
      </c>
      <c r="H2525">
        <v>1.03966</v>
      </c>
      <c r="I2525">
        <v>264.45890000000003</v>
      </c>
      <c r="J2525">
        <v>-491.19529999999997</v>
      </c>
      <c r="K2525">
        <v>1.1039190000000001</v>
      </c>
      <c r="L2525">
        <v>265.18709999999999</v>
      </c>
      <c r="M2525">
        <v>-8.7106619999999996E-2</v>
      </c>
      <c r="N2525">
        <v>0</v>
      </c>
      <c r="O2525">
        <v>-0.99611430000000001</v>
      </c>
      <c r="P2525">
        <v>-4.7520809999999997E-2</v>
      </c>
      <c r="Q2525">
        <v>-2.8342920000000001E-2</v>
      </c>
      <c r="R2525">
        <v>-0.99846809999999997</v>
      </c>
      <c r="S2525">
        <v>-0.64266969999999901</v>
      </c>
      <c r="T2525">
        <v>-0.22903850000000001</v>
      </c>
      <c r="U2525">
        <v>-2.9670099999999899</v>
      </c>
      <c r="V2525">
        <v>-3.9659060000000003E-2</v>
      </c>
      <c r="W2525">
        <v>-1.5314909999999999E-2</v>
      </c>
      <c r="X2525">
        <v>0.99909590000000004</v>
      </c>
      <c r="Y2525">
        <v>0.12514829999999999</v>
      </c>
      <c r="Z2525">
        <v>7.535878E-2</v>
      </c>
      <c r="AA2525">
        <v>0.98927189999999998</v>
      </c>
      <c r="AB2525">
        <v>16</v>
      </c>
      <c r="AC2525">
        <v>-0.170800000000042</v>
      </c>
      <c r="AD2525">
        <v>-6.4258999999999997E-2</v>
      </c>
      <c r="AE2525">
        <v>-0.72819999999995799</v>
      </c>
      <c r="AF2525">
        <v>0.105932410838154</v>
      </c>
      <c r="AG2525">
        <v>-6.4258999999999997E-2</v>
      </c>
      <c r="AH2525">
        <v>0.73488659427603897</v>
      </c>
      <c r="AI2525">
        <v>94.946404902573903</v>
      </c>
      <c r="AJ2525">
        <v>81.797431004831296</v>
      </c>
      <c r="AK2525">
        <v>0.74525780854253298</v>
      </c>
    </row>
    <row r="2526" spans="1:37" x14ac:dyDescent="0.2">
      <c r="A2526" t="str">
        <f>"20200111155849397"</f>
        <v>20200111155849397</v>
      </c>
      <c r="B2526" t="str">
        <f>"1578729529394034"</f>
        <v>1578729529394034</v>
      </c>
      <c r="C2526" t="s">
        <v>37</v>
      </c>
      <c r="D2526">
        <v>5.8846239999999996</v>
      </c>
      <c r="E2526">
        <v>0.56403009999999998</v>
      </c>
      <c r="F2526" t="s">
        <v>38</v>
      </c>
      <c r="G2526">
        <v>-491.3553</v>
      </c>
      <c r="H2526">
        <v>1.047186</v>
      </c>
      <c r="I2526">
        <v>264.45260000000002</v>
      </c>
      <c r="J2526">
        <v>-491.20530000000002</v>
      </c>
      <c r="K2526">
        <v>1.103925</v>
      </c>
      <c r="L2526">
        <v>265.0822</v>
      </c>
      <c r="M2526">
        <v>-8.7813189999999999E-2</v>
      </c>
      <c r="N2526">
        <v>0</v>
      </c>
      <c r="O2526">
        <v>-0.99605409999999905</v>
      </c>
      <c r="P2526">
        <v>-4.666915E-2</v>
      </c>
      <c r="Q2526">
        <v>-2.8123120000000001E-2</v>
      </c>
      <c r="R2526">
        <v>-0.99851460000000003</v>
      </c>
      <c r="S2526">
        <v>-0.64456179999999996</v>
      </c>
      <c r="T2526">
        <v>-0.229121299999999</v>
      </c>
      <c r="U2526">
        <v>-2.9674070000000001</v>
      </c>
      <c r="V2526">
        <v>-4.1218329999999997E-2</v>
      </c>
      <c r="W2526">
        <v>-1.5230459999999999E-2</v>
      </c>
      <c r="X2526">
        <v>0.99903399999999998</v>
      </c>
      <c r="Y2526">
        <v>0.12501960000000001</v>
      </c>
      <c r="Z2526">
        <v>7.5364639999999997E-2</v>
      </c>
      <c r="AA2526">
        <v>0.98928769999999999</v>
      </c>
      <c r="AB2526">
        <v>16</v>
      </c>
      <c r="AC2526">
        <v>-0.14999999999997701</v>
      </c>
      <c r="AD2526">
        <v>-5.6739000000000102E-2</v>
      </c>
      <c r="AE2526">
        <v>-0.62959999999998195</v>
      </c>
      <c r="AF2526">
        <v>9.3410816193212606E-2</v>
      </c>
      <c r="AG2526">
        <v>-5.6739000000000102E-2</v>
      </c>
      <c r="AH2526">
        <v>0.63545686035759297</v>
      </c>
      <c r="AI2526">
        <v>95.048357461383105</v>
      </c>
      <c r="AJ2526">
        <v>81.637531365141498</v>
      </c>
      <c r="AK2526">
        <v>0.64478703156810702</v>
      </c>
    </row>
    <row r="2527" spans="1:37" x14ac:dyDescent="0.2">
      <c r="A2527" t="str">
        <f>"20200111155849414"</f>
        <v>20200111155849414</v>
      </c>
      <c r="B2527" t="str">
        <f>"1578729529404301"</f>
        <v>1578729529404301</v>
      </c>
      <c r="C2527" t="s">
        <v>37</v>
      </c>
      <c r="D2527">
        <v>5.686852</v>
      </c>
      <c r="E2527">
        <v>0.56403009999999998</v>
      </c>
      <c r="F2527" t="s">
        <v>38</v>
      </c>
      <c r="G2527">
        <v>-491.37270000000001</v>
      </c>
      <c r="H2527">
        <v>1.044522</v>
      </c>
      <c r="I2527">
        <v>264.31020000000001</v>
      </c>
      <c r="J2527">
        <v>-491.2167</v>
      </c>
      <c r="K2527">
        <v>1.103944</v>
      </c>
      <c r="L2527">
        <v>264.9633</v>
      </c>
      <c r="M2527">
        <v>-8.8562689999999999E-2</v>
      </c>
      <c r="N2527">
        <v>0</v>
      </c>
      <c r="O2527">
        <v>-0.99598999999999904</v>
      </c>
      <c r="P2527">
        <v>-4.4629530000000001E-2</v>
      </c>
      <c r="Q2527">
        <v>-2.686914E-2</v>
      </c>
      <c r="R2527">
        <v>-0.99864259999999905</v>
      </c>
      <c r="S2527">
        <v>-0.64318850000000005</v>
      </c>
      <c r="T2527">
        <v>-0.228429299999999</v>
      </c>
      <c r="U2527">
        <v>-2.9679570000000002</v>
      </c>
      <c r="V2527">
        <v>-4.4009960000000001E-2</v>
      </c>
      <c r="W2527">
        <v>-1.415083E-2</v>
      </c>
      <c r="X2527">
        <v>0.99893089999999995</v>
      </c>
      <c r="Y2527">
        <v>0.1238018</v>
      </c>
      <c r="Z2527">
        <v>7.5126719999999994E-2</v>
      </c>
      <c r="AA2527">
        <v>0.98945899999999998</v>
      </c>
      <c r="AB2527">
        <v>16</v>
      </c>
      <c r="AC2527">
        <v>-0.156000000000005</v>
      </c>
      <c r="AD2527">
        <v>-5.9422000000000003E-2</v>
      </c>
      <c r="AE2527">
        <v>-0.65309999999999402</v>
      </c>
      <c r="AF2527">
        <v>9.6784027022764604E-2</v>
      </c>
      <c r="AG2527">
        <v>-5.9422000000000003E-2</v>
      </c>
      <c r="AH2527">
        <v>0.65918784365620398</v>
      </c>
      <c r="AI2527">
        <v>95.0966148466037</v>
      </c>
      <c r="AJ2527">
        <v>81.647332316168004</v>
      </c>
      <c r="AK2527">
        <v>0.66889964508501598</v>
      </c>
    </row>
    <row r="2528" spans="1:37" x14ac:dyDescent="0.2">
      <c r="A2528" t="str">
        <f>"20200111155849435"</f>
        <v>20200111155849435</v>
      </c>
      <c r="B2528" t="str">
        <f>"1578729529423822"</f>
        <v>1578729529423822</v>
      </c>
      <c r="C2528" t="s">
        <v>37</v>
      </c>
      <c r="D2528">
        <v>5.5270349999999997</v>
      </c>
      <c r="E2528">
        <v>0.59852709999999998</v>
      </c>
      <c r="F2528" t="s">
        <v>38</v>
      </c>
      <c r="G2528">
        <v>-491.38819999999998</v>
      </c>
      <c r="H2528">
        <v>1.0438559999999999</v>
      </c>
      <c r="I2528">
        <v>264.16609999999997</v>
      </c>
      <c r="J2528">
        <v>-491.23160000000001</v>
      </c>
      <c r="K2528">
        <v>1.10399</v>
      </c>
      <c r="L2528">
        <v>264.80739999999997</v>
      </c>
      <c r="M2528">
        <v>-8.9428850000000004E-2</v>
      </c>
      <c r="N2528">
        <v>0</v>
      </c>
      <c r="O2528">
        <v>-0.99591589999999997</v>
      </c>
      <c r="P2528">
        <v>-4.3829970000000003E-2</v>
      </c>
      <c r="Q2528">
        <v>-2.5382930000000001E-2</v>
      </c>
      <c r="R2528">
        <v>-0.99871679999999996</v>
      </c>
      <c r="S2528">
        <v>-0.63757319999999995</v>
      </c>
      <c r="T2528">
        <v>-0.2238868</v>
      </c>
      <c r="U2528">
        <v>-2.9695429999999998</v>
      </c>
      <c r="V2528">
        <v>-4.5676840000000003E-2</v>
      </c>
      <c r="W2528">
        <v>-1.293036E-2</v>
      </c>
      <c r="X2528">
        <v>0.9988726</v>
      </c>
      <c r="Y2528">
        <v>0.121064899999999</v>
      </c>
      <c r="Z2528">
        <v>7.3621220000000001E-2</v>
      </c>
      <c r="AA2528">
        <v>0.98991070000000003</v>
      </c>
      <c r="AB2528">
        <v>16</v>
      </c>
      <c r="AC2528">
        <v>-0.15659999999996899</v>
      </c>
      <c r="AD2528">
        <v>-6.0134000000000097E-2</v>
      </c>
      <c r="AE2528">
        <v>-0.64130000000000098</v>
      </c>
      <c r="AF2528">
        <v>9.7805728601889699E-2</v>
      </c>
      <c r="AG2528">
        <v>-6.0134000000000097E-2</v>
      </c>
      <c r="AH2528">
        <v>0.64736398182314003</v>
      </c>
      <c r="AI2528">
        <v>95.247790472340299</v>
      </c>
      <c r="AJ2528">
        <v>81.408555029255098</v>
      </c>
      <c r="AK2528">
        <v>0.65746648847318201</v>
      </c>
    </row>
    <row r="2529" spans="1:37" x14ac:dyDescent="0.2">
      <c r="A2529" t="str">
        <f>"20200111155849449"</f>
        <v>20200111155849449</v>
      </c>
      <c r="B2529" t="str">
        <f>"1578729529444320"</f>
        <v>1578729529444320</v>
      </c>
      <c r="C2529" t="s">
        <v>37</v>
      </c>
      <c r="D2529">
        <v>5.6846189999999996</v>
      </c>
      <c r="E2529">
        <v>0.61069340000000005</v>
      </c>
      <c r="F2529" t="s">
        <v>39</v>
      </c>
      <c r="G2529">
        <v>-497.27609999999999</v>
      </c>
      <c r="H2529" s="1">
        <v>-4.0882540000000003E-6</v>
      </c>
      <c r="I2529">
        <v>245.20760000000001</v>
      </c>
      <c r="J2529">
        <v>-491.24149999999997</v>
      </c>
      <c r="K2529">
        <v>1.104023</v>
      </c>
      <c r="L2529">
        <v>264.70420000000001</v>
      </c>
      <c r="M2529">
        <v>-8.9925850000000002E-2</v>
      </c>
      <c r="N2529">
        <v>0</v>
      </c>
      <c r="O2529">
        <v>-0.99587320000000001</v>
      </c>
      <c r="P2529">
        <v>-4.3950110000000001E-2</v>
      </c>
      <c r="Q2529">
        <v>-2.453557E-2</v>
      </c>
      <c r="R2529">
        <v>-0.99873239999999996</v>
      </c>
      <c r="S2529">
        <v>-0.91271970000000002</v>
      </c>
      <c r="T2529">
        <v>-0.1667033</v>
      </c>
      <c r="U2529">
        <v>-2.9595639999999999</v>
      </c>
      <c r="V2529">
        <v>-4.6054449999999997E-2</v>
      </c>
      <c r="W2529">
        <v>-1.2277410000000001E-2</v>
      </c>
      <c r="X2529">
        <v>0.99886350000000002</v>
      </c>
      <c r="Y2529">
        <v>0.20713690000000001</v>
      </c>
      <c r="Z2529">
        <v>5.4036710000000002E-2</v>
      </c>
      <c r="AA2529">
        <v>0.97681839999999998</v>
      </c>
      <c r="AB2529">
        <v>16</v>
      </c>
      <c r="AC2529">
        <v>-6.03460000000001</v>
      </c>
      <c r="AD2529">
        <v>-1.104027088254</v>
      </c>
      <c r="AE2529">
        <v>-19.496600000000001</v>
      </c>
      <c r="AF2529">
        <v>4.2443472083582696</v>
      </c>
      <c r="AG2529">
        <v>-1.104027088254</v>
      </c>
      <c r="AH2529">
        <v>19.902066034129799</v>
      </c>
      <c r="AI2529">
        <v>93.105422309602602</v>
      </c>
      <c r="AJ2529">
        <v>77.961353922828494</v>
      </c>
      <c r="AK2529">
        <v>20.379538548837601</v>
      </c>
    </row>
    <row r="2530" spans="1:37" x14ac:dyDescent="0.2">
      <c r="A2530" t="str">
        <f>"20200111155849463"</f>
        <v>20200111155849463</v>
      </c>
      <c r="B2530" t="str">
        <f>"1578729529454078"</f>
        <v>1578729529454078</v>
      </c>
      <c r="C2530" t="s">
        <v>37</v>
      </c>
      <c r="D2530">
        <v>5.6461230000000002</v>
      </c>
      <c r="E2530">
        <v>0.61401340000000004</v>
      </c>
      <c r="F2530" t="s">
        <v>39</v>
      </c>
      <c r="G2530">
        <v>-497.69839999999999</v>
      </c>
      <c r="H2530" s="1">
        <v>-4.36921299999999E-6</v>
      </c>
      <c r="I2530">
        <v>245.81309999999999</v>
      </c>
      <c r="J2530">
        <v>-491.25189999999998</v>
      </c>
      <c r="K2530">
        <v>1.104063</v>
      </c>
      <c r="L2530">
        <v>264.59519999999998</v>
      </c>
      <c r="M2530">
        <v>-9.0375269999999994E-2</v>
      </c>
      <c r="N2530">
        <v>0</v>
      </c>
      <c r="O2530">
        <v>-0.99583529999999998</v>
      </c>
      <c r="P2530">
        <v>-4.4073540000000001E-2</v>
      </c>
      <c r="Q2530">
        <v>-2.455129E-2</v>
      </c>
      <c r="R2530">
        <v>-0.99872689999999997</v>
      </c>
      <c r="S2530">
        <v>-1.01004</v>
      </c>
      <c r="T2530">
        <v>-0.17270150000000001</v>
      </c>
      <c r="U2530">
        <v>-2.9551090000000002</v>
      </c>
      <c r="V2530">
        <v>-4.6379629999999998E-2</v>
      </c>
      <c r="W2530">
        <v>-1.2513710000000001E-2</v>
      </c>
      <c r="X2530">
        <v>0.99884549999999905</v>
      </c>
      <c r="Y2530">
        <v>0.23607649999999999</v>
      </c>
      <c r="Z2530">
        <v>5.5588680000000001E-2</v>
      </c>
      <c r="AA2530">
        <v>0.97014319999999898</v>
      </c>
      <c r="AB2530">
        <v>16</v>
      </c>
      <c r="AC2530">
        <v>-6.4465000000000101</v>
      </c>
      <c r="AD2530">
        <v>-1.1040673692130001</v>
      </c>
      <c r="AE2530">
        <v>-18.7820999999999</v>
      </c>
      <c r="AF2530">
        <v>4.7080020875942097</v>
      </c>
      <c r="AG2530">
        <v>-1.1040673692130001</v>
      </c>
      <c r="AH2530">
        <v>19.2284343494902</v>
      </c>
      <c r="AI2530">
        <v>93.192140707731696</v>
      </c>
      <c r="AJ2530">
        <v>76.242032371161898</v>
      </c>
      <c r="AK2530">
        <v>19.827176701315999</v>
      </c>
    </row>
    <row r="2531" spans="1:37" x14ac:dyDescent="0.2">
      <c r="A2531" t="str">
        <f>"20200111155849481"</f>
        <v>20200111155849481</v>
      </c>
      <c r="B2531" t="str">
        <f>"1578729529473598"</f>
        <v>1578729529473598</v>
      </c>
      <c r="C2531" t="s">
        <v>37</v>
      </c>
      <c r="D2531">
        <v>5.6571800000000003</v>
      </c>
      <c r="E2531">
        <v>0.61787619999999999</v>
      </c>
      <c r="F2531" t="s">
        <v>39</v>
      </c>
      <c r="G2531">
        <v>-497.80009999999999</v>
      </c>
      <c r="H2531" s="1">
        <v>-4.4282810000000001E-6</v>
      </c>
      <c r="I2531">
        <v>245.93369999999999</v>
      </c>
      <c r="J2531">
        <v>-491.26350000000002</v>
      </c>
      <c r="K2531">
        <v>1.1041110000000001</v>
      </c>
      <c r="L2531">
        <v>264.4726</v>
      </c>
      <c r="M2531">
        <v>-9.0754870000000001E-2</v>
      </c>
      <c r="N2531">
        <v>0</v>
      </c>
      <c r="O2531">
        <v>-0.99580389999999996</v>
      </c>
      <c r="P2531">
        <v>-4.4892260000000003E-2</v>
      </c>
      <c r="Q2531">
        <v>-2.4766389999999999E-2</v>
      </c>
      <c r="R2531">
        <v>-0.99868509999999999</v>
      </c>
      <c r="S2531">
        <v>-1.0364990000000001</v>
      </c>
      <c r="T2531">
        <v>-0.17475859999999999</v>
      </c>
      <c r="U2531">
        <v>-2.9538570000000002</v>
      </c>
      <c r="V2531">
        <v>-4.593829E-2</v>
      </c>
      <c r="W2531">
        <v>-1.3000019999999999E-2</v>
      </c>
      <c r="X2531">
        <v>0.99885970000000002</v>
      </c>
      <c r="Y2531">
        <v>0.24357379999999901</v>
      </c>
      <c r="Z2531">
        <v>5.6135280000000003E-2</v>
      </c>
      <c r="AA2531">
        <v>0.96825649999999996</v>
      </c>
      <c r="AB2531">
        <v>16</v>
      </c>
      <c r="AC2531">
        <v>-6.53659999999996</v>
      </c>
      <c r="AD2531">
        <v>-1.104115428281</v>
      </c>
      <c r="AE2531">
        <v>-18.538900000000002</v>
      </c>
      <c r="AF2531">
        <v>4.8118293882231997</v>
      </c>
      <c r="AG2531">
        <v>-1.104115428281</v>
      </c>
      <c r="AH2531">
        <v>18.9957257923671</v>
      </c>
      <c r="AI2531">
        <v>93.224908962658802</v>
      </c>
      <c r="AJ2531">
        <v>75.785340204809202</v>
      </c>
      <c r="AK2531">
        <v>19.626776895841498</v>
      </c>
    </row>
    <row r="2532" spans="1:37" x14ac:dyDescent="0.2">
      <c r="A2532" t="str">
        <f>"20200111155849495"</f>
        <v>20200111155849495</v>
      </c>
      <c r="B2532" t="str">
        <f>"1578729529484334"</f>
        <v>1578729529484334</v>
      </c>
      <c r="C2532" t="s">
        <v>37</v>
      </c>
      <c r="D2532">
        <v>5.597054</v>
      </c>
      <c r="E2532">
        <v>0.61934769999999995</v>
      </c>
      <c r="F2532" t="s">
        <v>39</v>
      </c>
      <c r="G2532">
        <v>-497.84370000000001</v>
      </c>
      <c r="H2532" s="1">
        <v>-4.5639609999999998E-6</v>
      </c>
      <c r="I2532">
        <v>246.30969999999999</v>
      </c>
      <c r="J2532">
        <v>-491.27319999999997</v>
      </c>
      <c r="K2532">
        <v>1.1041479999999999</v>
      </c>
      <c r="L2532">
        <v>264.37020000000001</v>
      </c>
      <c r="M2532">
        <v>-9.0974840000000001E-2</v>
      </c>
      <c r="N2532">
        <v>0</v>
      </c>
      <c r="O2532">
        <v>-0.99578670000000002</v>
      </c>
      <c r="P2532">
        <v>-4.5543939999999998E-2</v>
      </c>
      <c r="Q2532">
        <v>-2.5171840000000001E-2</v>
      </c>
      <c r="R2532">
        <v>-0.99864540000000002</v>
      </c>
      <c r="S2532">
        <v>-1.069275</v>
      </c>
      <c r="T2532">
        <v>-0.17941699999999999</v>
      </c>
      <c r="U2532">
        <v>-2.9514469999999999</v>
      </c>
      <c r="V2532">
        <v>-4.5503500000000002E-2</v>
      </c>
      <c r="W2532">
        <v>-1.365623E-2</v>
      </c>
      <c r="X2532">
        <v>0.99887079999999995</v>
      </c>
      <c r="Y2532">
        <v>0.25310719999999998</v>
      </c>
      <c r="Z2532">
        <v>5.7493379999999997E-2</v>
      </c>
      <c r="AA2532">
        <v>0.96572829999999998</v>
      </c>
      <c r="AB2532">
        <v>16</v>
      </c>
      <c r="AC2532">
        <v>-6.5705000000000302</v>
      </c>
      <c r="AD2532">
        <v>-1.1041525639609999</v>
      </c>
      <c r="AE2532">
        <v>-18.060500000000001</v>
      </c>
      <c r="AF2532">
        <v>4.8839689764124499</v>
      </c>
      <c r="AG2532">
        <v>-1.1041525639609999</v>
      </c>
      <c r="AH2532">
        <v>18.522248549148699</v>
      </c>
      <c r="AI2532">
        <v>93.298995093258398</v>
      </c>
      <c r="AJ2532">
        <v>75.228398780190801</v>
      </c>
      <c r="AK2532">
        <v>19.187131030029001</v>
      </c>
    </row>
    <row r="2533" spans="1:37" x14ac:dyDescent="0.2">
      <c r="A2533" t="str">
        <f>"20200111155849514"</f>
        <v>20200111155849514</v>
      </c>
      <c r="B2533" t="str">
        <f>"1578729529503854"</f>
        <v>1578729529503854</v>
      </c>
      <c r="C2533" t="s">
        <v>37</v>
      </c>
      <c r="D2533">
        <v>5.6019579999999998</v>
      </c>
      <c r="E2533">
        <v>0.62134959999999995</v>
      </c>
      <c r="F2533" t="s">
        <v>39</v>
      </c>
      <c r="G2533">
        <v>-497.91989999999998</v>
      </c>
      <c r="H2533" s="1">
        <v>-4.5610539999999901E-6</v>
      </c>
      <c r="I2533">
        <v>246.26140000000001</v>
      </c>
      <c r="J2533">
        <v>-491.28629999999998</v>
      </c>
      <c r="K2533">
        <v>1.104198</v>
      </c>
      <c r="L2533">
        <v>264.22949999999997</v>
      </c>
      <c r="M2533">
        <v>-9.1141459999999994E-2</v>
      </c>
      <c r="N2533">
        <v>0</v>
      </c>
      <c r="O2533">
        <v>-0.99577530000000003</v>
      </c>
      <c r="P2533">
        <v>-4.5493499999999999E-2</v>
      </c>
      <c r="Q2533">
        <v>-2.580942E-2</v>
      </c>
      <c r="R2533">
        <v>-0.99863139999999995</v>
      </c>
      <c r="S2533">
        <v>-1.0828549999999999</v>
      </c>
      <c r="T2533">
        <v>-0.17988289999999901</v>
      </c>
      <c r="U2533">
        <v>-2.9501949999999999</v>
      </c>
      <c r="V2533">
        <v>-4.5715749999999999E-2</v>
      </c>
      <c r="W2533">
        <v>-1.466924E-2</v>
      </c>
      <c r="X2533">
        <v>0.99884680000000003</v>
      </c>
      <c r="Y2533">
        <v>0.25699650000000002</v>
      </c>
      <c r="Z2533">
        <v>5.7589620000000001E-2</v>
      </c>
      <c r="AA2533">
        <v>0.96469490000000002</v>
      </c>
      <c r="AB2533">
        <v>16</v>
      </c>
      <c r="AC2533">
        <v>-6.6336000000000004</v>
      </c>
      <c r="AD2533">
        <v>-1.1042025610540001</v>
      </c>
      <c r="AE2533">
        <v>-17.9680999999999</v>
      </c>
      <c r="AF2533">
        <v>4.9517887090055703</v>
      </c>
      <c r="AG2533">
        <v>-1.1042025610540001</v>
      </c>
      <c r="AH2533">
        <v>18.436665417238899</v>
      </c>
      <c r="AI2533">
        <v>93.310397808538895</v>
      </c>
      <c r="AJ2533">
        <v>74.966083478727995</v>
      </c>
      <c r="AK2533">
        <v>19.121979667954999</v>
      </c>
    </row>
    <row r="2534" spans="1:37" x14ac:dyDescent="0.2">
      <c r="A2534" t="str">
        <f>"20200111155849529"</f>
        <v>20200111155849529</v>
      </c>
      <c r="B2534" t="str">
        <f>"1578729529524350"</f>
        <v>1578729529524350</v>
      </c>
      <c r="C2534" t="s">
        <v>37</v>
      </c>
      <c r="D2534">
        <v>5.5589399999999998</v>
      </c>
      <c r="E2534">
        <v>0.62306799999999996</v>
      </c>
      <c r="F2534" t="s">
        <v>39</v>
      </c>
      <c r="G2534">
        <v>-497.9273</v>
      </c>
      <c r="H2534" s="1">
        <v>-4.612619E-6</v>
      </c>
      <c r="I2534">
        <v>246.4091</v>
      </c>
      <c r="J2534">
        <v>-491.29629999999997</v>
      </c>
      <c r="K2534">
        <v>1.104233</v>
      </c>
      <c r="L2534">
        <v>264.1207</v>
      </c>
      <c r="M2534">
        <v>-9.1166220000000006E-2</v>
      </c>
      <c r="N2534">
        <v>0</v>
      </c>
      <c r="O2534">
        <v>-0.99577669999999996</v>
      </c>
      <c r="P2534">
        <v>-4.5407780000000002E-2</v>
      </c>
      <c r="Q2534">
        <v>-2.549622E-2</v>
      </c>
      <c r="R2534">
        <v>-0.99864359999999996</v>
      </c>
      <c r="S2534">
        <v>-1.099091</v>
      </c>
      <c r="T2534">
        <v>-0.18274749999999901</v>
      </c>
      <c r="U2534">
        <v>-2.9493099999999899</v>
      </c>
      <c r="V2534">
        <v>-4.5823870000000003E-2</v>
      </c>
      <c r="W2534">
        <v>-1.46629E-2</v>
      </c>
      <c r="X2534">
        <v>0.99884189999999995</v>
      </c>
      <c r="Y2534">
        <v>0.26171759999999999</v>
      </c>
      <c r="Z2534">
        <v>5.8427970000000003E-2</v>
      </c>
      <c r="AA2534">
        <v>0.96337430000000002</v>
      </c>
      <c r="AB2534">
        <v>17</v>
      </c>
      <c r="AC2534">
        <v>-6.6310000000000198</v>
      </c>
      <c r="AD2534">
        <v>-1.1042376126190001</v>
      </c>
      <c r="AE2534">
        <v>-17.711600000000001</v>
      </c>
      <c r="AF2534">
        <v>4.97163984103166</v>
      </c>
      <c r="AG2534">
        <v>-1.1042376126190001</v>
      </c>
      <c r="AH2534">
        <v>18.180414340929602</v>
      </c>
      <c r="AI2534">
        <v>93.352935749233097</v>
      </c>
      <c r="AJ2534">
        <v>74.705743250411501</v>
      </c>
      <c r="AK2534">
        <v>18.880254474501498</v>
      </c>
    </row>
    <row r="2535" spans="1:37" x14ac:dyDescent="0.2">
      <c r="A2535" t="str">
        <f>"20200111155849547"</f>
        <v>20200111155849547</v>
      </c>
      <c r="B2535" t="str">
        <f>"1578729529543871"</f>
        <v>1578729529543871</v>
      </c>
      <c r="C2535" t="s">
        <v>37</v>
      </c>
      <c r="D2535">
        <v>5.5805220000000002</v>
      </c>
      <c r="E2535">
        <v>0.62452959999999902</v>
      </c>
      <c r="F2535" t="s">
        <v>39</v>
      </c>
      <c r="G2535">
        <v>-498.09629999999999</v>
      </c>
      <c r="H2535" s="1">
        <v>-4.5359969999999902E-6</v>
      </c>
      <c r="I2535">
        <v>246.0958</v>
      </c>
      <c r="J2535">
        <v>-491.30889999999999</v>
      </c>
      <c r="K2535">
        <v>1.1042730000000001</v>
      </c>
      <c r="L2535">
        <v>263.9821</v>
      </c>
      <c r="M2535">
        <v>-9.1056789999999999E-2</v>
      </c>
      <c r="N2535">
        <v>0</v>
      </c>
      <c r="O2535">
        <v>-0.99579069999999903</v>
      </c>
      <c r="P2535">
        <v>-4.4255450000000002E-2</v>
      </c>
      <c r="Q2535">
        <v>-2.4869820000000001E-2</v>
      </c>
      <c r="R2535">
        <v>-0.99871100000000002</v>
      </c>
      <c r="S2535">
        <v>-1.1124879999999999</v>
      </c>
      <c r="T2535">
        <v>-0.18065419999999999</v>
      </c>
      <c r="U2535">
        <v>-2.9488829999999999</v>
      </c>
      <c r="V2535">
        <v>-4.6864210000000003E-2</v>
      </c>
      <c r="W2535">
        <v>-1.443682E-2</v>
      </c>
      <c r="X2535">
        <v>0.99879689999999999</v>
      </c>
      <c r="Y2535">
        <v>0.2657197</v>
      </c>
      <c r="Z2535">
        <v>5.7693019999999998E-2</v>
      </c>
      <c r="AA2535">
        <v>0.96232249999999997</v>
      </c>
      <c r="AB2535">
        <v>17</v>
      </c>
      <c r="AC2535">
        <v>-6.7873999999999901</v>
      </c>
      <c r="AD2535">
        <v>-1.1042775359970001</v>
      </c>
      <c r="AE2535">
        <v>-17.886299999999999</v>
      </c>
      <c r="AF2535">
        <v>5.1134045067602196</v>
      </c>
      <c r="AG2535">
        <v>-1.1042775359970001</v>
      </c>
      <c r="AH2535">
        <v>18.368856744083399</v>
      </c>
      <c r="AI2535">
        <v>93.314567680346499</v>
      </c>
      <c r="AJ2535">
        <v>74.444201989410601</v>
      </c>
      <c r="AK2535">
        <v>19.099246912140899</v>
      </c>
    </row>
    <row r="2536" spans="1:37" x14ac:dyDescent="0.2">
      <c r="A2536" t="str">
        <f>"20200111155849572"</f>
        <v>20200111155849572</v>
      </c>
      <c r="B2536" t="str">
        <f>"1578729529564366"</f>
        <v>1578729529564366</v>
      </c>
      <c r="C2536" t="s">
        <v>37</v>
      </c>
      <c r="D2536">
        <v>5.5572949999999999</v>
      </c>
      <c r="E2536">
        <v>0.62547180000000002</v>
      </c>
      <c r="F2536" t="s">
        <v>39</v>
      </c>
      <c r="G2536">
        <v>-498.366999999999</v>
      </c>
      <c r="H2536" s="1">
        <v>-4.3501720000000004E-6</v>
      </c>
      <c r="I2536">
        <v>245.40870000000001</v>
      </c>
      <c r="J2536">
        <v>-491.32499999999999</v>
      </c>
      <c r="K2536">
        <v>1.1043209999999899</v>
      </c>
      <c r="L2536">
        <v>263.803</v>
      </c>
      <c r="M2536">
        <v>-9.0692999999999996E-2</v>
      </c>
      <c r="N2536">
        <v>0</v>
      </c>
      <c r="O2536">
        <v>-0.99582929999999903</v>
      </c>
      <c r="P2536">
        <v>-4.230283E-2</v>
      </c>
      <c r="Q2536">
        <v>-2.2874820000000001E-2</v>
      </c>
      <c r="R2536">
        <v>-0.99884319999999904</v>
      </c>
      <c r="S2536">
        <v>-1.1209719999999901</v>
      </c>
      <c r="T2536">
        <v>-0.17538139999999999</v>
      </c>
      <c r="U2536">
        <v>-2.9498289999999998</v>
      </c>
      <c r="V2536">
        <v>-4.8452990000000001E-2</v>
      </c>
      <c r="W2536">
        <v>-1.296257E-2</v>
      </c>
      <c r="X2536">
        <v>0.99874130000000005</v>
      </c>
      <c r="Y2536">
        <v>0.26842549999999998</v>
      </c>
      <c r="Z2536">
        <v>5.5951830000000001E-2</v>
      </c>
      <c r="AA2536">
        <v>0.96167420000000003</v>
      </c>
      <c r="AB2536">
        <v>17</v>
      </c>
      <c r="AC2536">
        <v>-7.0419999999999696</v>
      </c>
      <c r="AD2536">
        <v>-1.1043253501719901</v>
      </c>
      <c r="AE2536">
        <v>-18.394299999999902</v>
      </c>
      <c r="AF2536">
        <v>5.3279107681856104</v>
      </c>
      <c r="AG2536">
        <v>-1.1043253501719901</v>
      </c>
      <c r="AH2536">
        <v>18.897772027507099</v>
      </c>
      <c r="AI2536">
        <v>93.219164444785704</v>
      </c>
      <c r="AJ2536">
        <v>74.255089561942398</v>
      </c>
      <c r="AK2536">
        <v>19.6655016522948</v>
      </c>
    </row>
    <row r="2537" spans="1:37" x14ac:dyDescent="0.2">
      <c r="A2537" t="str">
        <f>"20200111155849593"</f>
        <v>20200111155849593</v>
      </c>
      <c r="B2537" t="str">
        <f>"1578729529583885"</f>
        <v>1578729529583885</v>
      </c>
      <c r="C2537" t="s">
        <v>37</v>
      </c>
      <c r="D2537">
        <v>5.6439059999999897</v>
      </c>
      <c r="E2537">
        <v>0.62606629999999996</v>
      </c>
      <c r="F2537" t="s">
        <v>39</v>
      </c>
      <c r="G2537">
        <v>-498.7826</v>
      </c>
      <c r="H2537" s="1">
        <v>-4.0129149999999902E-6</v>
      </c>
      <c r="I2537">
        <v>244.20099999999999</v>
      </c>
      <c r="J2537">
        <v>-491.33949999999999</v>
      </c>
      <c r="K2537">
        <v>1.1043510000000001</v>
      </c>
      <c r="L2537">
        <v>263.63780000000003</v>
      </c>
      <c r="M2537">
        <v>-9.0176279999999998E-2</v>
      </c>
      <c r="N2537">
        <v>0</v>
      </c>
      <c r="O2537">
        <v>-0.99588049999999995</v>
      </c>
      <c r="P2537">
        <v>-3.9804600000000002E-2</v>
      </c>
      <c r="Q2537">
        <v>-2.1743309999999998E-2</v>
      </c>
      <c r="R2537">
        <v>-0.99897089999999999</v>
      </c>
      <c r="S2537">
        <v>-1.123138</v>
      </c>
      <c r="T2537">
        <v>-0.16631599999999999</v>
      </c>
      <c r="U2537">
        <v>-2.95214799999999</v>
      </c>
      <c r="V2537">
        <v>-5.0431589999999998E-2</v>
      </c>
      <c r="W2537">
        <v>-1.231661E-2</v>
      </c>
      <c r="X2537">
        <v>0.99865159999999997</v>
      </c>
      <c r="Y2537">
        <v>0.26934809999999998</v>
      </c>
      <c r="Z2537">
        <v>5.3019669999999998E-2</v>
      </c>
      <c r="AA2537">
        <v>0.9615823</v>
      </c>
      <c r="AB2537">
        <v>17</v>
      </c>
      <c r="AC2537">
        <v>-7.44310000000001</v>
      </c>
      <c r="AD2537">
        <v>-1.1043550129149999</v>
      </c>
      <c r="AE2537">
        <v>-19.436800000000002</v>
      </c>
      <c r="AF2537">
        <v>5.6440649943598897</v>
      </c>
      <c r="AG2537">
        <v>-1.1043550129149999</v>
      </c>
      <c r="AH2537">
        <v>19.9725943395412</v>
      </c>
      <c r="AI2537">
        <v>93.045820398887599</v>
      </c>
      <c r="AJ2537">
        <v>74.220213255323102</v>
      </c>
      <c r="AK2537">
        <v>20.7841188003481</v>
      </c>
    </row>
    <row r="2538" spans="1:37" x14ac:dyDescent="0.2">
      <c r="A2538" t="str">
        <f>"20200111155849632"</f>
        <v>20200111155849632</v>
      </c>
      <c r="B2538" t="str">
        <f>"1578729529623902"</f>
        <v>1578729529623902</v>
      </c>
      <c r="C2538" t="s">
        <v>37</v>
      </c>
      <c r="D2538">
        <v>6.7534859999999997</v>
      </c>
      <c r="E2538">
        <v>0.62686609999999998</v>
      </c>
      <c r="F2538" t="s">
        <v>39</v>
      </c>
      <c r="G2538">
        <v>-499.02</v>
      </c>
      <c r="H2538" s="1">
        <v>-3.7788510000000001E-6</v>
      </c>
      <c r="I2538">
        <v>243.3895</v>
      </c>
      <c r="J2538">
        <v>-491.36500000000001</v>
      </c>
      <c r="K2538">
        <v>1.1043670000000001</v>
      </c>
      <c r="L2538">
        <v>263.34100000000001</v>
      </c>
      <c r="M2538">
        <v>-8.8855989999999996E-2</v>
      </c>
      <c r="N2538">
        <v>0</v>
      </c>
      <c r="O2538">
        <v>-0.99600739999999999</v>
      </c>
      <c r="P2538">
        <v>-3.5014320000000002E-2</v>
      </c>
      <c r="Q2538">
        <v>-2.000569E-2</v>
      </c>
      <c r="R2538">
        <v>-0.99918680000000004</v>
      </c>
      <c r="S2538">
        <v>-1.1208499999999999</v>
      </c>
      <c r="T2538">
        <v>-0.16116520000000001</v>
      </c>
      <c r="U2538">
        <v>-2.9549560000000001</v>
      </c>
      <c r="V2538">
        <v>-5.3895190000000003E-2</v>
      </c>
      <c r="W2538">
        <v>-1.147522E-2</v>
      </c>
      <c r="X2538">
        <v>0.998480699999999</v>
      </c>
      <c r="Y2538">
        <v>0.26970169999999999</v>
      </c>
      <c r="Z2538">
        <v>5.1350189999999997E-2</v>
      </c>
      <c r="AA2538">
        <v>0.96157380000000003</v>
      </c>
      <c r="AB2538">
        <v>17</v>
      </c>
      <c r="AC2538">
        <v>-7.6549999999999701</v>
      </c>
      <c r="AD2538">
        <v>-1.104370778851</v>
      </c>
      <c r="AE2538">
        <v>-19.951499999999999</v>
      </c>
      <c r="AF2538">
        <v>5.8362552496445002</v>
      </c>
      <c r="AG2538">
        <v>-1.104370778851</v>
      </c>
      <c r="AH2538">
        <v>20.498047947660901</v>
      </c>
      <c r="AI2538">
        <v>92.966268781415096</v>
      </c>
      <c r="AJ2538">
        <v>74.107154833195594</v>
      </c>
      <c r="AK2538">
        <v>21.34130923399</v>
      </c>
    </row>
    <row r="2539" spans="1:37" x14ac:dyDescent="0.2">
      <c r="A2539" t="str">
        <f>"20200111155849648"</f>
        <v>20200111155849648</v>
      </c>
      <c r="B2539" t="str">
        <f>"1578729529644398"</f>
        <v>1578729529644398</v>
      </c>
      <c r="C2539" t="s">
        <v>37</v>
      </c>
      <c r="D2539">
        <v>5.4796829999999996</v>
      </c>
      <c r="E2539">
        <v>0.62686609999999998</v>
      </c>
      <c r="F2539" t="s">
        <v>39</v>
      </c>
      <c r="G2539">
        <v>-499.45260000000002</v>
      </c>
      <c r="H2539" s="1">
        <v>-3.3241079999999999E-6</v>
      </c>
      <c r="I2539">
        <v>241.82769999999999</v>
      </c>
      <c r="J2539">
        <v>-491.37479999999999</v>
      </c>
      <c r="K2539">
        <v>1.1043769999999999</v>
      </c>
      <c r="L2539">
        <v>263.22340000000003</v>
      </c>
      <c r="M2539">
        <v>-8.8218169999999999E-2</v>
      </c>
      <c r="N2539">
        <v>0</v>
      </c>
      <c r="O2539">
        <v>-0.99606709999999998</v>
      </c>
      <c r="P2539">
        <v>-3.158238E-2</v>
      </c>
      <c r="Q2539">
        <v>-1.8516250000000001E-2</v>
      </c>
      <c r="R2539">
        <v>-0.99932999999999905</v>
      </c>
      <c r="S2539">
        <v>-1.1129149999999901</v>
      </c>
      <c r="T2539">
        <v>-0.1519692</v>
      </c>
      <c r="U2539">
        <v>-2.960388</v>
      </c>
      <c r="V2539">
        <v>-5.6687120000000001E-2</v>
      </c>
      <c r="W2539">
        <v>-1.034759E-2</v>
      </c>
      <c r="X2539">
        <v>0.99833830000000001</v>
      </c>
      <c r="Y2539">
        <v>0.2675284</v>
      </c>
      <c r="Z2539">
        <v>4.8385890000000001E-2</v>
      </c>
      <c r="AA2539">
        <v>0.96233429999999998</v>
      </c>
      <c r="AB2539">
        <v>17</v>
      </c>
      <c r="AC2539">
        <v>-8.0778000000000194</v>
      </c>
      <c r="AD2539">
        <v>-1.1043803241079999</v>
      </c>
      <c r="AE2539">
        <v>-21.395700000000001</v>
      </c>
      <c r="AF2539">
        <v>6.1444220819118804</v>
      </c>
      <c r="AG2539">
        <v>-1.1043803241079999</v>
      </c>
      <c r="AH2539">
        <v>21.9736683958516</v>
      </c>
      <c r="AI2539">
        <v>92.771099096123606</v>
      </c>
      <c r="AJ2539">
        <v>74.377594586375295</v>
      </c>
      <c r="AK2539">
        <v>22.843285258294401</v>
      </c>
    </row>
    <row r="2540" spans="1:37" x14ac:dyDescent="0.2">
      <c r="A2540" t="str">
        <f>"20200111155849662"</f>
        <v>20200111155849662</v>
      </c>
      <c r="B2540" t="str">
        <f>"1578729529654158"</f>
        <v>1578729529654158</v>
      </c>
      <c r="C2540" t="s">
        <v>37</v>
      </c>
      <c r="D2540">
        <v>6.1138379999999897</v>
      </c>
      <c r="E2540">
        <v>0.52323809999999904</v>
      </c>
      <c r="F2540" t="s">
        <v>39</v>
      </c>
      <c r="G2540">
        <v>-499.73500000000001</v>
      </c>
      <c r="H2540" s="1">
        <v>-3.009048E-6</v>
      </c>
      <c r="I2540">
        <v>240.75470000000001</v>
      </c>
      <c r="J2540">
        <v>-491.3843</v>
      </c>
      <c r="K2540">
        <v>1.104384</v>
      </c>
      <c r="L2540">
        <v>263.1071</v>
      </c>
      <c r="M2540">
        <v>-8.7527240000000006E-2</v>
      </c>
      <c r="N2540">
        <v>0</v>
      </c>
      <c r="O2540">
        <v>-0.99613090000000004</v>
      </c>
      <c r="P2540">
        <v>-2.9622929999999999E-2</v>
      </c>
      <c r="Q2540">
        <v>-1.739402E-2</v>
      </c>
      <c r="R2540">
        <v>-0.99941019999999903</v>
      </c>
      <c r="S2540">
        <v>-1.103027</v>
      </c>
      <c r="T2540">
        <v>-0.14570939999999999</v>
      </c>
      <c r="U2540">
        <v>-2.96447799999999</v>
      </c>
      <c r="V2540">
        <v>-5.7954279999999997E-2</v>
      </c>
      <c r="W2540">
        <v>-9.5756319999999902E-3</v>
      </c>
      <c r="X2540">
        <v>0.99827330000000003</v>
      </c>
      <c r="Y2540">
        <v>0.26497540000000003</v>
      </c>
      <c r="Z2540">
        <v>4.6384759999999997E-2</v>
      </c>
      <c r="AA2540">
        <v>0.96313890000000002</v>
      </c>
      <c r="AB2540">
        <v>17</v>
      </c>
      <c r="AC2540">
        <v>-8.3507000000000104</v>
      </c>
      <c r="AD2540">
        <v>-1.1043870090479999</v>
      </c>
      <c r="AE2540">
        <v>-22.3523999999999</v>
      </c>
      <c r="AF2540">
        <v>6.3485447121568201</v>
      </c>
      <c r="AG2540">
        <v>-1.1043870090479999</v>
      </c>
      <c r="AH2540">
        <v>22.948386235854699</v>
      </c>
      <c r="AI2540">
        <v>92.655627232881798</v>
      </c>
      <c r="AJ2540">
        <v>74.536187632288005</v>
      </c>
      <c r="AK2540">
        <v>23.835941799265498</v>
      </c>
    </row>
    <row r="2541" spans="1:37" x14ac:dyDescent="0.2">
      <c r="A2541" t="str">
        <f>"20200111155849677"</f>
        <v>20200111155849677</v>
      </c>
      <c r="B2541" t="str">
        <f>"1578729529673678"</f>
        <v>1578729529673678</v>
      </c>
      <c r="C2541" t="s">
        <v>37</v>
      </c>
      <c r="D2541">
        <v>5.6195490000000001</v>
      </c>
      <c r="E2541">
        <v>0.50047810000000004</v>
      </c>
      <c r="F2541" t="s">
        <v>39</v>
      </c>
      <c r="G2541">
        <v>-498.30610000000001</v>
      </c>
      <c r="H2541" s="1">
        <v>-5.110385E-6</v>
      </c>
      <c r="I2541">
        <v>187.67439999999999</v>
      </c>
      <c r="J2541">
        <v>-491.39359999999999</v>
      </c>
      <c r="K2541">
        <v>1.1043829999999999</v>
      </c>
      <c r="L2541">
        <v>262.99340000000001</v>
      </c>
      <c r="M2541">
        <v>-8.6807389999999998E-2</v>
      </c>
      <c r="N2541">
        <v>0</v>
      </c>
      <c r="O2541">
        <v>-0.99619619999999998</v>
      </c>
      <c r="P2541">
        <v>-2.7582510000000001E-2</v>
      </c>
      <c r="Q2541">
        <v>-1.6393109999999999E-2</v>
      </c>
      <c r="R2541">
        <v>-0.99948559999999997</v>
      </c>
      <c r="S2541">
        <v>-0.27462769999999997</v>
      </c>
      <c r="T2541">
        <v>-4.3818000000000003E-2</v>
      </c>
      <c r="U2541">
        <v>-2.9928889999999999</v>
      </c>
      <c r="V2541">
        <v>-5.9272199999999997E-2</v>
      </c>
      <c r="W2541">
        <v>-8.9062109999999903E-3</v>
      </c>
      <c r="X2541">
        <v>0.99820209999999998</v>
      </c>
      <c r="Y2541">
        <v>4.5748170000000001E-3</v>
      </c>
      <c r="Z2541">
        <v>1.452577E-2</v>
      </c>
      <c r="AA2541">
        <v>0.999884</v>
      </c>
      <c r="AB2541">
        <v>17</v>
      </c>
      <c r="AC2541">
        <v>-6.9125000000000201</v>
      </c>
      <c r="AD2541">
        <v>-1.104388110385</v>
      </c>
      <c r="AE2541">
        <v>-75.319000000000003</v>
      </c>
      <c r="AF2541">
        <v>0.34789627595328199</v>
      </c>
      <c r="AG2541">
        <v>-1.104388110385</v>
      </c>
      <c r="AH2541">
        <v>75.618614236996393</v>
      </c>
      <c r="AI2541">
        <v>90.836720038378999</v>
      </c>
      <c r="AJ2541">
        <v>89.736402896450898</v>
      </c>
      <c r="AK2541">
        <v>75.627478630725605</v>
      </c>
    </row>
    <row r="2542" spans="1:37" x14ac:dyDescent="0.2">
      <c r="A2542" t="str">
        <f>"20200111155849693"</f>
        <v>20200111155849693</v>
      </c>
      <c r="B2542" t="str">
        <f>"1578729529683438"</f>
        <v>1578729529683438</v>
      </c>
      <c r="C2542" t="s">
        <v>37</v>
      </c>
      <c r="D2542">
        <v>5.627796</v>
      </c>
      <c r="E2542">
        <v>0.49413940000000001</v>
      </c>
      <c r="F2542" t="s">
        <v>39</v>
      </c>
      <c r="G2542">
        <v>-494.05009999999999</v>
      </c>
      <c r="H2542" s="1">
        <v>-2.0900299999999999E-6</v>
      </c>
      <c r="I2542">
        <v>171.94900000000001</v>
      </c>
      <c r="J2542">
        <v>-491.40339999999998</v>
      </c>
      <c r="K2542">
        <v>1.1043810000000001</v>
      </c>
      <c r="L2542">
        <v>262.86989999999997</v>
      </c>
      <c r="M2542">
        <v>-8.5994189999999998E-2</v>
      </c>
      <c r="N2542">
        <v>0</v>
      </c>
      <c r="O2542">
        <v>-0.99626930000000002</v>
      </c>
      <c r="P2542">
        <v>-2.412657E-2</v>
      </c>
      <c r="Q2542">
        <v>-1.477204E-2</v>
      </c>
      <c r="R2542">
        <v>-0.99959989999999999</v>
      </c>
      <c r="S2542">
        <v>-8.7493899999999999E-2</v>
      </c>
      <c r="T2542">
        <v>-3.637278E-2</v>
      </c>
      <c r="U2542">
        <v>-2.998535</v>
      </c>
      <c r="V2542">
        <v>-6.1911939999999999E-2</v>
      </c>
      <c r="W2542">
        <v>-7.6375990000000001E-3</v>
      </c>
      <c r="X2542">
        <v>0.99805239999999995</v>
      </c>
      <c r="Y2542">
        <v>-5.6903580000000002E-2</v>
      </c>
      <c r="Z2542">
        <v>1.2049529999999999E-2</v>
      </c>
      <c r="AA2542">
        <v>0.99830699999999895</v>
      </c>
      <c r="AB2542">
        <v>17</v>
      </c>
      <c r="AC2542">
        <v>-2.6467000000000098</v>
      </c>
      <c r="AD2542">
        <v>-1.10438309003</v>
      </c>
      <c r="AE2542">
        <v>-90.920899999999904</v>
      </c>
      <c r="AF2542">
        <v>-5.1812153799181697</v>
      </c>
      <c r="AG2542">
        <v>-1.10438309003</v>
      </c>
      <c r="AH2542">
        <v>90.798300095069706</v>
      </c>
      <c r="AI2542">
        <v>90.695724658551995</v>
      </c>
      <c r="AJ2542">
        <v>93.265922273534102</v>
      </c>
      <c r="AK2542">
        <v>90.952712741165499</v>
      </c>
    </row>
    <row r="2543" spans="1:37" x14ac:dyDescent="0.2">
      <c r="A2543" t="str">
        <f>"20200111155849709"</f>
        <v>20200111155849709</v>
      </c>
      <c r="B2543" t="str">
        <f>"1578729529703934"</f>
        <v>1578729529703934</v>
      </c>
      <c r="C2543" t="s">
        <v>37</v>
      </c>
      <c r="D2543">
        <v>5.5754650000000003</v>
      </c>
      <c r="E2543">
        <v>0.48771179999999997</v>
      </c>
      <c r="F2543" t="s">
        <v>49</v>
      </c>
      <c r="G2543">
        <v>-491.84089999999998</v>
      </c>
      <c r="H2543" s="1">
        <v>2.7908149999999998E-6</v>
      </c>
      <c r="I2543">
        <v>210.2337</v>
      </c>
      <c r="J2543">
        <v>-491.41370000000001</v>
      </c>
      <c r="K2543">
        <v>1.1043689999999999</v>
      </c>
      <c r="L2543">
        <v>262.73899999999998</v>
      </c>
      <c r="M2543">
        <v>-8.5100620000000002E-2</v>
      </c>
      <c r="N2543">
        <v>0</v>
      </c>
      <c r="O2543">
        <v>-0.99634840000000002</v>
      </c>
      <c r="P2543">
        <v>-2.2046400000000001E-2</v>
      </c>
      <c r="Q2543">
        <v>-1.383729E-2</v>
      </c>
      <c r="R2543">
        <v>-0.99966109999999897</v>
      </c>
      <c r="S2543">
        <v>-2.4932860000000001E-2</v>
      </c>
      <c r="T2543">
        <v>-6.2936309999999995E-2</v>
      </c>
      <c r="U2543">
        <v>-2.9996339999999999</v>
      </c>
      <c r="V2543">
        <v>-6.3094789999999998E-2</v>
      </c>
      <c r="W2543">
        <v>-7.0599779999999997E-3</v>
      </c>
      <c r="X2543">
        <v>0.99798259999999905</v>
      </c>
      <c r="Y2543">
        <v>-7.6819970000000001E-2</v>
      </c>
      <c r="Z2543">
        <v>2.0831229999999999E-2</v>
      </c>
      <c r="AA2543">
        <v>0.99682739999999903</v>
      </c>
      <c r="AB2543">
        <v>18</v>
      </c>
      <c r="AC2543">
        <v>-0.42719999999996999</v>
      </c>
      <c r="AD2543">
        <v>-1.1043662091849999</v>
      </c>
      <c r="AE2543">
        <v>-52.505299999999998</v>
      </c>
      <c r="AF2543">
        <v>-4.0409024710496499</v>
      </c>
      <c r="AG2543">
        <v>-1.1043662091849999</v>
      </c>
      <c r="AH2543">
        <v>52.328027894657303</v>
      </c>
      <c r="AI2543">
        <v>91.205441717768906</v>
      </c>
      <c r="AJ2543">
        <v>94.415761182037102</v>
      </c>
      <c r="AK2543">
        <v>52.495438095596</v>
      </c>
    </row>
    <row r="2544" spans="1:37" x14ac:dyDescent="0.2">
      <c r="A2544" t="str">
        <f>"20200111155849726"</f>
        <v>20200111155849726</v>
      </c>
      <c r="B2544" t="str">
        <f>"1578729529723456"</f>
        <v>1578729529723456</v>
      </c>
      <c r="C2544" t="s">
        <v>37</v>
      </c>
      <c r="D2544">
        <v>5.6012919999999999</v>
      </c>
      <c r="E2544">
        <v>0.4846588</v>
      </c>
      <c r="F2544" t="s">
        <v>49</v>
      </c>
      <c r="G2544">
        <v>-491.02960000000002</v>
      </c>
      <c r="H2544" s="1">
        <v>5.99111E-6</v>
      </c>
      <c r="I2544">
        <v>228.31200000000001</v>
      </c>
      <c r="J2544">
        <v>-491.42349999999999</v>
      </c>
      <c r="K2544">
        <v>1.1043529999999999</v>
      </c>
      <c r="L2544">
        <v>262.61250000000001</v>
      </c>
      <c r="M2544">
        <v>-8.4215129999999999E-2</v>
      </c>
      <c r="N2544">
        <v>0</v>
      </c>
      <c r="O2544">
        <v>-0.99642580000000003</v>
      </c>
      <c r="P2544">
        <v>-1.8432489999999999E-2</v>
      </c>
      <c r="Q2544">
        <v>-1.286325E-2</v>
      </c>
      <c r="R2544">
        <v>-0.99974730000000001</v>
      </c>
      <c r="S2544">
        <v>3.3477779999999999E-2</v>
      </c>
      <c r="T2544">
        <v>-9.624982E-2</v>
      </c>
      <c r="U2544">
        <v>-3.0004580000000001</v>
      </c>
      <c r="V2544">
        <v>-6.5816849999999996E-2</v>
      </c>
      <c r="W2544">
        <v>-6.4207450000000003E-3</v>
      </c>
      <c r="X2544">
        <v>0.99781109999999995</v>
      </c>
      <c r="Y2544">
        <v>-9.5323179999999993E-2</v>
      </c>
      <c r="Z2544">
        <v>3.1817049999999999E-2</v>
      </c>
      <c r="AA2544">
        <v>0.99493779999999998</v>
      </c>
      <c r="AB2544">
        <v>18</v>
      </c>
      <c r="AC2544">
        <v>0.39389999999997299</v>
      </c>
      <c r="AD2544">
        <v>-1.10434700889</v>
      </c>
      <c r="AE2544">
        <v>-34.3005</v>
      </c>
      <c r="AF2544">
        <v>-3.2777871539108498</v>
      </c>
      <c r="AG2544">
        <v>-1.10434700889</v>
      </c>
      <c r="AH2544">
        <v>34.110118603079599</v>
      </c>
      <c r="AI2544">
        <v>91.845859815809007</v>
      </c>
      <c r="AJ2544">
        <v>95.488942690770898</v>
      </c>
      <c r="AK2544">
        <v>34.285035541159097</v>
      </c>
    </row>
    <row r="2545" spans="1:37" x14ac:dyDescent="0.2">
      <c r="A2545" t="str">
        <f>"20200111155849741"</f>
        <v>20200111155849741</v>
      </c>
      <c r="B2545" t="str">
        <f>"1578729529734190"</f>
        <v>1578729529734190</v>
      </c>
      <c r="C2545" t="s">
        <v>37</v>
      </c>
      <c r="D2545">
        <v>5.571834</v>
      </c>
      <c r="E2545">
        <v>0.48365720000000001</v>
      </c>
      <c r="F2545" t="s">
        <v>39</v>
      </c>
      <c r="G2545">
        <v>-490.77339999999998</v>
      </c>
      <c r="H2545" s="1">
        <v>-2.43451E-6</v>
      </c>
      <c r="I2545">
        <v>234.7843</v>
      </c>
      <c r="J2545">
        <v>-491.43279999999999</v>
      </c>
      <c r="K2545">
        <v>1.1043240000000001</v>
      </c>
      <c r="L2545">
        <v>262.49079999999998</v>
      </c>
      <c r="M2545">
        <v>-8.3347850000000001E-2</v>
      </c>
      <c r="N2545">
        <v>0</v>
      </c>
      <c r="O2545">
        <v>-0.99650090000000002</v>
      </c>
      <c r="P2545">
        <v>-1.6213299999999899E-2</v>
      </c>
      <c r="Q2545">
        <v>-1.229909E-2</v>
      </c>
      <c r="R2545">
        <v>-0.99979319999999905</v>
      </c>
      <c r="S2545">
        <v>7.0098880000000002E-2</v>
      </c>
      <c r="T2545">
        <v>-0.1190763</v>
      </c>
      <c r="U2545">
        <v>-3.0005489999999999</v>
      </c>
      <c r="V2545">
        <v>-6.7164349999999998E-2</v>
      </c>
      <c r="W2545">
        <v>-6.15453599999999E-3</v>
      </c>
      <c r="X2545">
        <v>0.99772289999999997</v>
      </c>
      <c r="Y2545">
        <v>-0.10658279999999901</v>
      </c>
      <c r="Z2545">
        <v>3.932832E-2</v>
      </c>
      <c r="AA2545">
        <v>0.99352569999999996</v>
      </c>
      <c r="AB2545">
        <v>18</v>
      </c>
      <c r="AC2545">
        <v>0.65940000000000498</v>
      </c>
      <c r="AD2545">
        <v>-1.1043264345099999</v>
      </c>
      <c r="AE2545">
        <v>-27.706499999999899</v>
      </c>
      <c r="AF2545">
        <v>-2.9617253641648098</v>
      </c>
      <c r="AG2545">
        <v>-1.1043264345099999</v>
      </c>
      <c r="AH2545">
        <v>27.511449552187401</v>
      </c>
      <c r="AI2545">
        <v>92.285462283964407</v>
      </c>
      <c r="AJ2545">
        <v>96.144471950078099</v>
      </c>
      <c r="AK2545">
        <v>27.692439590423401</v>
      </c>
    </row>
    <row r="2546" spans="1:37" x14ac:dyDescent="0.2">
      <c r="A2546" t="str">
        <f>"20200111155849755"</f>
        <v>20200111155849755</v>
      </c>
      <c r="B2546" t="str">
        <f>"1578729529743950"</f>
        <v>1578729529743950</v>
      </c>
      <c r="C2546" t="s">
        <v>37</v>
      </c>
      <c r="D2546">
        <v>5.5820780000000001</v>
      </c>
      <c r="E2546">
        <v>0.48283229999999999</v>
      </c>
      <c r="F2546" t="s">
        <v>39</v>
      </c>
      <c r="G2546">
        <v>-490.68959999999998</v>
      </c>
      <c r="H2546" s="1">
        <v>-3.0467629999999998E-6</v>
      </c>
      <c r="I2546">
        <v>236.26349999999999</v>
      </c>
      <c r="J2546">
        <v>-491.44150000000002</v>
      </c>
      <c r="K2546">
        <v>1.104295</v>
      </c>
      <c r="L2546">
        <v>262.37520000000001</v>
      </c>
      <c r="M2546">
        <v>-8.2521460000000005E-2</v>
      </c>
      <c r="N2546">
        <v>0</v>
      </c>
      <c r="O2546">
        <v>-0.99657129999999905</v>
      </c>
      <c r="P2546">
        <v>-1.3705999999999999E-2</v>
      </c>
      <c r="Q2546">
        <v>-1.212947E-2</v>
      </c>
      <c r="R2546">
        <v>-0.99983269999999902</v>
      </c>
      <c r="S2546">
        <v>8.5021970000000002E-2</v>
      </c>
      <c r="T2546">
        <v>-0.1263359</v>
      </c>
      <c r="U2546">
        <v>-3.0004270000000002</v>
      </c>
      <c r="V2546">
        <v>-6.8838389999999999E-2</v>
      </c>
      <c r="W2546">
        <v>-6.2533569999999898E-3</v>
      </c>
      <c r="X2546">
        <v>0.99760819999999995</v>
      </c>
      <c r="Y2546">
        <v>-0.1106935</v>
      </c>
      <c r="Z2546">
        <v>4.1715780000000001E-2</v>
      </c>
      <c r="AA2546">
        <v>0.99297880000000005</v>
      </c>
      <c r="AB2546">
        <v>18</v>
      </c>
      <c r="AC2546">
        <v>0.75190000000003399</v>
      </c>
      <c r="AD2546">
        <v>-1.1042980467629999</v>
      </c>
      <c r="AE2546">
        <v>-26.111699999999999</v>
      </c>
      <c r="AF2546">
        <v>-2.8989689588892298</v>
      </c>
      <c r="AG2546">
        <v>-1.1042980467629999</v>
      </c>
      <c r="AH2546">
        <v>25.914277598435401</v>
      </c>
      <c r="AI2546">
        <v>92.424989168421106</v>
      </c>
      <c r="AJ2546">
        <v>96.383005228243903</v>
      </c>
      <c r="AK2546">
        <v>26.099296516371101</v>
      </c>
    </row>
    <row r="2547" spans="1:37" x14ac:dyDescent="0.2">
      <c r="A2547" t="str">
        <f>"20200111155849771"</f>
        <v>20200111155849771</v>
      </c>
      <c r="B2547" t="str">
        <f>"1578729529763470"</f>
        <v>1578729529763470</v>
      </c>
      <c r="C2547" t="s">
        <v>37</v>
      </c>
      <c r="D2547">
        <v>5.5851379999999997</v>
      </c>
      <c r="E2547">
        <v>0.48174689999999998</v>
      </c>
      <c r="F2547" t="s">
        <v>39</v>
      </c>
      <c r="G2547">
        <v>-490.6225</v>
      </c>
      <c r="H2547" s="1">
        <v>-3.5990409999999998E-6</v>
      </c>
      <c r="I2547">
        <v>237.5925</v>
      </c>
      <c r="J2547">
        <v>-491.45080000000002</v>
      </c>
      <c r="K2547">
        <v>1.104263</v>
      </c>
      <c r="L2547">
        <v>262.25049999999999</v>
      </c>
      <c r="M2547">
        <v>-8.1631640000000005E-2</v>
      </c>
      <c r="N2547">
        <v>0</v>
      </c>
      <c r="O2547">
        <v>-0.99664629999999998</v>
      </c>
      <c r="P2547">
        <v>-9.4219549999999992E-3</v>
      </c>
      <c r="Q2547">
        <v>-1.186398E-2</v>
      </c>
      <c r="R2547">
        <v>-0.99988549999999998</v>
      </c>
      <c r="S2547">
        <v>9.9151610000000001E-2</v>
      </c>
      <c r="T2547">
        <v>-0.13368729999999901</v>
      </c>
      <c r="U2547">
        <v>-3.0002140000000002</v>
      </c>
      <c r="V2547">
        <v>-7.2222079999999994E-2</v>
      </c>
      <c r="W2547">
        <v>-6.2650780000000003E-3</v>
      </c>
      <c r="X2547">
        <v>0.9973689</v>
      </c>
      <c r="Y2547">
        <v>-0.1144758</v>
      </c>
      <c r="Z2547">
        <v>4.4133829999999999E-2</v>
      </c>
      <c r="AA2547">
        <v>0.99244519999999903</v>
      </c>
      <c r="AB2547">
        <v>18</v>
      </c>
      <c r="AC2547">
        <v>0.82830000000001203</v>
      </c>
      <c r="AD2547">
        <v>-1.1042665990410001</v>
      </c>
      <c r="AE2547">
        <v>-24.657999999999902</v>
      </c>
      <c r="AF2547">
        <v>-2.83276629855636</v>
      </c>
      <c r="AG2547">
        <v>-1.1042665990410001</v>
      </c>
      <c r="AH2547">
        <v>24.459087870531199</v>
      </c>
      <c r="AI2547">
        <v>92.5678642528502</v>
      </c>
      <c r="AJ2547">
        <v>96.606364304425099</v>
      </c>
      <c r="AK2547">
        <v>24.647331479946399</v>
      </c>
    </row>
    <row r="2548" spans="1:37" x14ac:dyDescent="0.2">
      <c r="A2548" t="str">
        <f>"20200111155849791"</f>
        <v>20200111155849791</v>
      </c>
      <c r="B2548" t="str">
        <f>"1578729529783966"</f>
        <v>1578729529783966</v>
      </c>
      <c r="C2548" t="s">
        <v>37</v>
      </c>
      <c r="D2548">
        <v>5.6210620000000002</v>
      </c>
      <c r="E2548">
        <v>0.48193770000000002</v>
      </c>
      <c r="F2548" t="s">
        <v>39</v>
      </c>
      <c r="G2548">
        <v>-490.5265</v>
      </c>
      <c r="H2548" s="1">
        <v>-4.2901319999999998E-6</v>
      </c>
      <c r="I2548">
        <v>239.31909999999999</v>
      </c>
      <c r="J2548">
        <v>-491.46339999999998</v>
      </c>
      <c r="K2548">
        <v>1.1042160000000001</v>
      </c>
      <c r="L2548">
        <v>262.07889999999998</v>
      </c>
      <c r="M2548">
        <v>-8.0414139999999995E-2</v>
      </c>
      <c r="N2548">
        <v>0</v>
      </c>
      <c r="O2548">
        <v>-0.99674719999999895</v>
      </c>
      <c r="P2548">
        <v>-4.4787669999999998E-3</v>
      </c>
      <c r="Q2548">
        <v>-1.105183E-2</v>
      </c>
      <c r="R2548">
        <v>-0.99992919999999996</v>
      </c>
      <c r="S2548">
        <v>0.12091059999999999</v>
      </c>
      <c r="T2548">
        <v>-0.14445379999999899</v>
      </c>
      <c r="U2548">
        <v>-2.9997560000000001</v>
      </c>
      <c r="V2548">
        <v>-7.5935610000000001E-2</v>
      </c>
      <c r="W2548">
        <v>-5.8011769999999898E-3</v>
      </c>
      <c r="X2548">
        <v>0.99709579999999998</v>
      </c>
      <c r="Y2548">
        <v>-0.120447499999999</v>
      </c>
      <c r="Z2548">
        <v>4.7671310000000001E-2</v>
      </c>
      <c r="AA2548">
        <v>0.99157439999999997</v>
      </c>
      <c r="AB2548">
        <v>18</v>
      </c>
      <c r="AC2548">
        <v>0.93689999999997997</v>
      </c>
      <c r="AD2548">
        <v>-1.104220290132</v>
      </c>
      <c r="AE2548">
        <v>-22.759799999999899</v>
      </c>
      <c r="AF2548">
        <v>-2.75762171771891</v>
      </c>
      <c r="AG2548">
        <v>-1.104220290132</v>
      </c>
      <c r="AH2548">
        <v>22.557742880835502</v>
      </c>
      <c r="AI2548">
        <v>92.781763241135295</v>
      </c>
      <c r="AJ2548">
        <v>96.969668827186894</v>
      </c>
      <c r="AK2548">
        <v>22.752484344903099</v>
      </c>
    </row>
    <row r="2549" spans="1:37" x14ac:dyDescent="0.2">
      <c r="A2549" t="str">
        <f>"20200111155849817"</f>
        <v>20200111155849817</v>
      </c>
      <c r="B2549" t="str">
        <f>"1578729529814222"</f>
        <v>1578729529814222</v>
      </c>
      <c r="C2549" t="s">
        <v>37</v>
      </c>
      <c r="D2549">
        <v>5.7730829999999997</v>
      </c>
      <c r="E2549">
        <v>0.4827535</v>
      </c>
      <c r="F2549" t="s">
        <v>39</v>
      </c>
      <c r="G2549">
        <v>-490.45010000000002</v>
      </c>
      <c r="H2549" s="1">
        <v>-4.2984869999999999E-6</v>
      </c>
      <c r="I2549">
        <v>239.3835</v>
      </c>
      <c r="J2549">
        <v>-491.4776</v>
      </c>
      <c r="K2549">
        <v>1.1041639999999999</v>
      </c>
      <c r="L2549">
        <v>261.88229999999999</v>
      </c>
      <c r="M2549">
        <v>-7.9039390000000001E-2</v>
      </c>
      <c r="N2549">
        <v>0</v>
      </c>
      <c r="O2549">
        <v>-0.99685869999999999</v>
      </c>
      <c r="P2549">
        <v>3.6600119999999998E-4</v>
      </c>
      <c r="Q2549">
        <v>-1.057046E-2</v>
      </c>
      <c r="R2549">
        <v>-0.99994419999999995</v>
      </c>
      <c r="S2549">
        <v>0.13391110000000001</v>
      </c>
      <c r="T2549">
        <v>-0.14592179999999999</v>
      </c>
      <c r="U2549">
        <v>-2.9991759999999998</v>
      </c>
      <c r="V2549">
        <v>-7.939127E-2</v>
      </c>
      <c r="W2549">
        <v>-5.6743200000000001E-3</v>
      </c>
      <c r="X2549">
        <v>0.99682739999999903</v>
      </c>
      <c r="Y2549">
        <v>-0.12337480000000001</v>
      </c>
      <c r="Z2549">
        <v>4.8158760000000002E-2</v>
      </c>
      <c r="AA2549">
        <v>0.99119089999999999</v>
      </c>
      <c r="AB2549">
        <v>18</v>
      </c>
      <c r="AC2549">
        <v>1.0274999999999701</v>
      </c>
      <c r="AD2549">
        <v>-1.1041682984869901</v>
      </c>
      <c r="AE2549">
        <v>-22.4987999999999</v>
      </c>
      <c r="AF2549">
        <v>-2.7958795444954601</v>
      </c>
      <c r="AG2549">
        <v>-1.1041682984869901</v>
      </c>
      <c r="AH2549">
        <v>22.293613500780602</v>
      </c>
      <c r="AI2549">
        <v>92.813451634025697</v>
      </c>
      <c r="AJ2549">
        <v>97.148239868321198</v>
      </c>
      <c r="AK2549">
        <v>22.4953624772062</v>
      </c>
    </row>
    <row r="2550" spans="1:37" x14ac:dyDescent="0.2">
      <c r="A2550" t="str">
        <f>"20200111155849831"</f>
        <v>20200111155849831</v>
      </c>
      <c r="B2550" t="str">
        <f>"1578729529823982"</f>
        <v>1578729529823982</v>
      </c>
      <c r="C2550" t="s">
        <v>37</v>
      </c>
      <c r="D2550">
        <v>5.6662879999999998</v>
      </c>
      <c r="E2550">
        <v>0.48300310000000002</v>
      </c>
      <c r="F2550" t="s">
        <v>39</v>
      </c>
      <c r="G2550">
        <v>-490.41449999999998</v>
      </c>
      <c r="H2550" s="1">
        <v>-4.3409899999999998E-6</v>
      </c>
      <c r="I2550">
        <v>239.52690000000001</v>
      </c>
      <c r="J2550">
        <v>-491.48680000000002</v>
      </c>
      <c r="K2550">
        <v>1.104136</v>
      </c>
      <c r="L2550">
        <v>261.75330000000002</v>
      </c>
      <c r="M2550">
        <v>-7.8149490000000002E-2</v>
      </c>
      <c r="N2550">
        <v>0</v>
      </c>
      <c r="O2550">
        <v>-0.99693019999999999</v>
      </c>
      <c r="P2550">
        <v>2.7508839999999999E-3</v>
      </c>
      <c r="Q2550">
        <v>-1.023287E-2</v>
      </c>
      <c r="R2550">
        <v>-0.99994430000000001</v>
      </c>
      <c r="S2550">
        <v>0.1426086</v>
      </c>
      <c r="T2550">
        <v>-0.14810599999999999</v>
      </c>
      <c r="U2550">
        <v>-2.998596</v>
      </c>
      <c r="V2550">
        <v>-8.0879469999999995E-2</v>
      </c>
      <c r="W2550">
        <v>-5.5450930000000001E-3</v>
      </c>
      <c r="X2550">
        <v>0.996708499999999</v>
      </c>
      <c r="Y2550">
        <v>-0.12536430000000001</v>
      </c>
      <c r="Z2550">
        <v>4.8883070000000001E-2</v>
      </c>
      <c r="AA2550">
        <v>0.99090579999999995</v>
      </c>
      <c r="AB2550">
        <v>18</v>
      </c>
      <c r="AC2550">
        <v>1.07230000000004</v>
      </c>
      <c r="AD2550">
        <v>-1.1041403409899999</v>
      </c>
      <c r="AE2550">
        <v>-22.226400000000002</v>
      </c>
      <c r="AF2550">
        <v>-2.7991304547984299</v>
      </c>
      <c r="AG2550">
        <v>-1.1041403409899999</v>
      </c>
      <c r="AH2550">
        <v>22.020405909455999</v>
      </c>
      <c r="AI2550">
        <v>92.8476270550902</v>
      </c>
      <c r="AJ2550">
        <v>97.244318174067701</v>
      </c>
      <c r="AK2550">
        <v>22.225042938378898</v>
      </c>
    </row>
    <row r="2551" spans="1:37" x14ac:dyDescent="0.2">
      <c r="A2551" t="str">
        <f>"20200111155849849"</f>
        <v>20200111155849849</v>
      </c>
      <c r="B2551" t="str">
        <f>"1578729529843502"</f>
        <v>1578729529843502</v>
      </c>
      <c r="C2551" t="s">
        <v>37</v>
      </c>
      <c r="D2551">
        <v>5.6124679999999998</v>
      </c>
      <c r="E2551">
        <v>0.48302600000000001</v>
      </c>
      <c r="F2551" t="s">
        <v>39</v>
      </c>
      <c r="G2551">
        <v>-490.38440000000003</v>
      </c>
      <c r="H2551" s="1">
        <v>-4.2809059999999997E-6</v>
      </c>
      <c r="I2551">
        <v>239.36599999999899</v>
      </c>
      <c r="J2551">
        <v>-491.49740000000003</v>
      </c>
      <c r="K2551">
        <v>1.104098</v>
      </c>
      <c r="L2551">
        <v>261.60390000000001</v>
      </c>
      <c r="M2551">
        <v>-7.7130409999999996E-2</v>
      </c>
      <c r="N2551">
        <v>0</v>
      </c>
      <c r="O2551">
        <v>-0.99701049999999902</v>
      </c>
      <c r="P2551">
        <v>6.3911649999999999E-3</v>
      </c>
      <c r="Q2551">
        <v>-1.0706129999999999E-2</v>
      </c>
      <c r="R2551">
        <v>-0.99992259999999999</v>
      </c>
      <c r="S2551">
        <v>0.147644</v>
      </c>
      <c r="T2551">
        <v>-0.14787549999999999</v>
      </c>
      <c r="U2551">
        <v>-2.998291</v>
      </c>
      <c r="V2551">
        <v>-8.3487599999999995E-2</v>
      </c>
      <c r="W2551">
        <v>-6.2404209999999899E-3</v>
      </c>
      <c r="X2551">
        <v>0.99648930000000002</v>
      </c>
      <c r="Y2551">
        <v>-0.1260153</v>
      </c>
      <c r="Z2551">
        <v>4.8813990000000002E-2</v>
      </c>
      <c r="AA2551">
        <v>0.9908266</v>
      </c>
      <c r="AB2551">
        <v>19</v>
      </c>
      <c r="AC2551">
        <v>1.11299999999999</v>
      </c>
      <c r="AD2551">
        <v>-1.1041022809059999</v>
      </c>
      <c r="AE2551">
        <v>-22.2379</v>
      </c>
      <c r="AF2551">
        <v>-2.8179914226318101</v>
      </c>
      <c r="AG2551">
        <v>-1.1041022809059999</v>
      </c>
      <c r="AH2551">
        <v>22.0316311072989</v>
      </c>
      <c r="AI2551">
        <v>92.845798515245505</v>
      </c>
      <c r="AJ2551">
        <v>97.288932096550596</v>
      </c>
      <c r="AK2551">
        <v>22.238545068255402</v>
      </c>
    </row>
    <row r="2552" spans="1:37" x14ac:dyDescent="0.2">
      <c r="A2552" t="str">
        <f>"20200111155849863"</f>
        <v>20200111155849863</v>
      </c>
      <c r="B2552" t="str">
        <f>"1578729529854238"</f>
        <v>1578729529854238</v>
      </c>
      <c r="C2552" t="s">
        <v>37</v>
      </c>
      <c r="D2552">
        <v>5.6651360000000004</v>
      </c>
      <c r="E2552">
        <v>0.48283609999999999</v>
      </c>
      <c r="F2552" t="s">
        <v>39</v>
      </c>
      <c r="G2552">
        <v>-490.36340000000001</v>
      </c>
      <c r="H2552" s="1">
        <v>-3.3183599999999998E-7</v>
      </c>
      <c r="I2552">
        <v>240.13720000000001</v>
      </c>
      <c r="J2552">
        <v>-491.5059</v>
      </c>
      <c r="K2552">
        <v>1.1040700000000001</v>
      </c>
      <c r="L2552">
        <v>261.4821</v>
      </c>
      <c r="M2552">
        <v>-7.630787E-2</v>
      </c>
      <c r="N2552">
        <v>0</v>
      </c>
      <c r="O2552">
        <v>-0.99707459999999903</v>
      </c>
      <c r="P2552">
        <v>8.4520529999999993E-3</v>
      </c>
      <c r="Q2552">
        <v>-1.113607E-2</v>
      </c>
      <c r="R2552">
        <v>-0.99990270000000003</v>
      </c>
      <c r="S2552">
        <v>0.15835569999999999</v>
      </c>
      <c r="T2552">
        <v>-0.15417410000000001</v>
      </c>
      <c r="U2552">
        <v>-2.9975589999999999</v>
      </c>
      <c r="V2552">
        <v>-8.4717410000000007E-2</v>
      </c>
      <c r="W2552">
        <v>-6.8349069999999899E-3</v>
      </c>
      <c r="X2552">
        <v>0.99638159999999898</v>
      </c>
      <c r="Y2552">
        <v>-0.12873419999999999</v>
      </c>
      <c r="Z2552">
        <v>5.0891459999999999E-2</v>
      </c>
      <c r="AA2552">
        <v>0.99037240000000004</v>
      </c>
      <c r="AB2552">
        <v>19</v>
      </c>
      <c r="AC2552">
        <v>1.1424999999999801</v>
      </c>
      <c r="AD2552">
        <v>-1.1040703318359999</v>
      </c>
      <c r="AE2552">
        <v>-21.344899999999999</v>
      </c>
      <c r="AF2552">
        <v>-2.76060346763748</v>
      </c>
      <c r="AG2552">
        <v>-1.1040703318359999</v>
      </c>
      <c r="AH2552">
        <v>21.1390848831883</v>
      </c>
      <c r="AI2552">
        <v>92.964648979715406</v>
      </c>
      <c r="AJ2552">
        <v>97.440286567631603</v>
      </c>
      <c r="AK2552">
        <v>21.347149985462</v>
      </c>
    </row>
    <row r="2553" spans="1:37" x14ac:dyDescent="0.2">
      <c r="A2553" t="str">
        <f>"20200111155849878"</f>
        <v>20200111155849878</v>
      </c>
      <c r="B2553" t="str">
        <f>"1578729529873758"</f>
        <v>1578729529873758</v>
      </c>
      <c r="C2553" t="s">
        <v>37</v>
      </c>
      <c r="D2553">
        <v>5.6563980000000003</v>
      </c>
      <c r="E2553">
        <v>0.48261799999999999</v>
      </c>
      <c r="F2553" t="s">
        <v>39</v>
      </c>
      <c r="G2553">
        <v>-490.35559999999998</v>
      </c>
      <c r="H2553" s="1">
        <v>-5.7938080000000003E-7</v>
      </c>
      <c r="I2553">
        <v>240.7191</v>
      </c>
      <c r="J2553">
        <v>-491.51400000000001</v>
      </c>
      <c r="K2553">
        <v>1.10405</v>
      </c>
      <c r="L2553">
        <v>261.36309999999997</v>
      </c>
      <c r="M2553">
        <v>-7.5512010000000004E-2</v>
      </c>
      <c r="N2553">
        <v>0</v>
      </c>
      <c r="O2553">
        <v>-0.99713589999999996</v>
      </c>
      <c r="P2553">
        <v>1.046829E-2</v>
      </c>
      <c r="Q2553">
        <v>-1.1420319999999999E-2</v>
      </c>
      <c r="R2553">
        <v>-0.9998804</v>
      </c>
      <c r="S2553">
        <v>0.1660461</v>
      </c>
      <c r="T2553">
        <v>-0.15937279999999901</v>
      </c>
      <c r="U2553">
        <v>-2.997131</v>
      </c>
      <c r="V2553">
        <v>-8.5930530000000005E-2</v>
      </c>
      <c r="W2553">
        <v>-7.2649069999999897E-3</v>
      </c>
      <c r="X2553">
        <v>0.99627469999999996</v>
      </c>
      <c r="Y2553">
        <v>-0.1304787</v>
      </c>
      <c r="Z2553">
        <v>5.2605350000000002E-2</v>
      </c>
      <c r="AA2553">
        <v>0.99005449999999995</v>
      </c>
      <c r="AB2553">
        <v>19</v>
      </c>
      <c r="AC2553">
        <v>1.1584000000000201</v>
      </c>
      <c r="AD2553">
        <v>-1.1040505793808</v>
      </c>
      <c r="AE2553">
        <v>-20.643999999999899</v>
      </c>
      <c r="AF2553">
        <v>-2.7062604554378602</v>
      </c>
      <c r="AG2553">
        <v>-1.1040505793808</v>
      </c>
      <c r="AH2553">
        <v>20.439308016720801</v>
      </c>
      <c r="AI2553">
        <v>93.065187143738697</v>
      </c>
      <c r="AJ2553">
        <v>97.542359653270296</v>
      </c>
      <c r="AK2553">
        <v>20.647229488163401</v>
      </c>
    </row>
    <row r="2554" spans="1:37" x14ac:dyDescent="0.2">
      <c r="A2554" t="str">
        <f>"20200111155849894"</f>
        <v>20200111155849894</v>
      </c>
      <c r="B2554" t="str">
        <f>"1578729529883519"</f>
        <v>1578729529883519</v>
      </c>
      <c r="C2554" t="s">
        <v>37</v>
      </c>
      <c r="D2554">
        <v>5.6427209999999999</v>
      </c>
      <c r="E2554">
        <v>0.4825448</v>
      </c>
      <c r="F2554" t="s">
        <v>39</v>
      </c>
      <c r="G2554">
        <v>-490.35919999999999</v>
      </c>
      <c r="H2554" s="1">
        <v>-9.2734009999999998E-7</v>
      </c>
      <c r="I2554">
        <v>241.52799999999999</v>
      </c>
      <c r="J2554">
        <v>-491.52339999999998</v>
      </c>
      <c r="K2554">
        <v>1.1040289999999999</v>
      </c>
      <c r="L2554">
        <v>261.226</v>
      </c>
      <c r="M2554">
        <v>-7.4600089999999994E-2</v>
      </c>
      <c r="N2554">
        <v>0</v>
      </c>
      <c r="O2554">
        <v>-0.99720509999999996</v>
      </c>
      <c r="P2554">
        <v>1.3639480000000001E-2</v>
      </c>
      <c r="Q2554">
        <v>-1.254999E-2</v>
      </c>
      <c r="R2554">
        <v>-0.99982850000000001</v>
      </c>
      <c r="S2554">
        <v>0.17446900000000001</v>
      </c>
      <c r="T2554">
        <v>-0.16679730000000001</v>
      </c>
      <c r="U2554">
        <v>-2.9966430000000002</v>
      </c>
      <c r="V2554">
        <v>-8.8175959999999998E-2</v>
      </c>
      <c r="W2554">
        <v>-8.5530459999999999E-3</v>
      </c>
      <c r="X2554">
        <v>0.99606819999999896</v>
      </c>
      <c r="Y2554">
        <v>-0.13234679999999999</v>
      </c>
      <c r="Z2554">
        <v>5.5052030000000002E-2</v>
      </c>
      <c r="AA2554">
        <v>0.98967349999999998</v>
      </c>
      <c r="AB2554">
        <v>19</v>
      </c>
      <c r="AC2554">
        <v>1.1641999999999899</v>
      </c>
      <c r="AD2554">
        <v>-1.1040299273401</v>
      </c>
      <c r="AE2554">
        <v>-19.698</v>
      </c>
      <c r="AF2554">
        <v>-2.6222321698199398</v>
      </c>
      <c r="AG2554">
        <v>-1.1040299273401</v>
      </c>
      <c r="AH2554">
        <v>19.495232729687402</v>
      </c>
      <c r="AI2554">
        <v>93.212374402735094</v>
      </c>
      <c r="AJ2554">
        <v>97.660666910169496</v>
      </c>
      <c r="AK2554">
        <v>19.701753292983199</v>
      </c>
    </row>
    <row r="2555" spans="1:37" x14ac:dyDescent="0.2">
      <c r="A2555" t="str">
        <f>"20200111155849910"</f>
        <v>20200111155849910</v>
      </c>
      <c r="B2555" t="str">
        <f>"1578729529904014"</f>
        <v>1578729529904014</v>
      </c>
      <c r="C2555" t="s">
        <v>37</v>
      </c>
      <c r="D2555">
        <v>5.7636039999999999</v>
      </c>
      <c r="E2555">
        <v>0.48233219999999999</v>
      </c>
      <c r="F2555" t="s">
        <v>39</v>
      </c>
      <c r="G2555">
        <v>-490.34750000000003</v>
      </c>
      <c r="H2555" s="1">
        <v>-1.1842419999999999E-6</v>
      </c>
      <c r="I2555">
        <v>242.13409999999999</v>
      </c>
      <c r="J2555">
        <v>-491.53289999999998</v>
      </c>
      <c r="K2555">
        <v>1.1040110000000001</v>
      </c>
      <c r="L2555">
        <v>261.08499999999998</v>
      </c>
      <c r="M2555">
        <v>-7.3666919999999997E-2</v>
      </c>
      <c r="N2555">
        <v>0</v>
      </c>
      <c r="O2555">
        <v>-0.99727520000000003</v>
      </c>
      <c r="P2555">
        <v>1.5415130000000001E-2</v>
      </c>
      <c r="Q2555">
        <v>-1.285471E-2</v>
      </c>
      <c r="R2555">
        <v>-0.99979879999999999</v>
      </c>
      <c r="S2555">
        <v>0.18450929999999999</v>
      </c>
      <c r="T2555">
        <v>-0.1732389</v>
      </c>
      <c r="U2555">
        <v>-2.995819</v>
      </c>
      <c r="V2555">
        <v>-8.9011989999999999E-2</v>
      </c>
      <c r="W2555">
        <v>-9.0048699999999999E-3</v>
      </c>
      <c r="X2555">
        <v>0.99598989999999998</v>
      </c>
      <c r="Y2555">
        <v>-0.1347322</v>
      </c>
      <c r="Z2555">
        <v>5.7177810000000003E-2</v>
      </c>
      <c r="AA2555">
        <v>0.98923099999999997</v>
      </c>
      <c r="AB2555">
        <v>19</v>
      </c>
      <c r="AC2555">
        <v>1.18539999999995</v>
      </c>
      <c r="AD2555">
        <v>-1.1040121842420001</v>
      </c>
      <c r="AE2555">
        <v>-18.950899999999901</v>
      </c>
      <c r="AF2555">
        <v>-2.5695576443489698</v>
      </c>
      <c r="AG2555">
        <v>-1.1040121842420001</v>
      </c>
      <c r="AH2555">
        <v>18.748700685839001</v>
      </c>
      <c r="AI2555">
        <v>93.338815431318906</v>
      </c>
      <c r="AJ2555">
        <v>97.803914919749005</v>
      </c>
      <c r="AK2555">
        <v>18.956140081719301</v>
      </c>
    </row>
    <row r="2556" spans="1:37" x14ac:dyDescent="0.2">
      <c r="A2556" t="str">
        <f>"20200111155849927"</f>
        <v>20200111155849927</v>
      </c>
      <c r="B2556" t="str">
        <f>"1578729529913773"</f>
        <v>1578729529913773</v>
      </c>
      <c r="C2556" t="s">
        <v>37</v>
      </c>
      <c r="D2556">
        <v>5.6852830000000001</v>
      </c>
      <c r="E2556">
        <v>0.48239870000000001</v>
      </c>
      <c r="F2556" t="s">
        <v>39</v>
      </c>
      <c r="G2556">
        <v>-490.35329999999999</v>
      </c>
      <c r="H2556" s="1">
        <v>-1.3966290000000001E-6</v>
      </c>
      <c r="I2556">
        <v>242.62549999999999</v>
      </c>
      <c r="J2556">
        <v>-491.54230000000001</v>
      </c>
      <c r="K2556">
        <v>1.10399</v>
      </c>
      <c r="L2556">
        <v>260.94369999999998</v>
      </c>
      <c r="M2556">
        <v>-7.2734939999999998E-2</v>
      </c>
      <c r="N2556">
        <v>0</v>
      </c>
      <c r="O2556">
        <v>-0.99734400000000001</v>
      </c>
      <c r="P2556">
        <v>1.7791250000000002E-2</v>
      </c>
      <c r="Q2556">
        <v>-1.3809689999999999E-2</v>
      </c>
      <c r="R2556">
        <v>-0.99974680000000005</v>
      </c>
      <c r="S2556">
        <v>0.191406299999999</v>
      </c>
      <c r="T2556">
        <v>-0.1791449</v>
      </c>
      <c r="U2556">
        <v>-2.9953609999999999</v>
      </c>
      <c r="V2556">
        <v>-9.0445230000000001E-2</v>
      </c>
      <c r="W2556">
        <v>-1.009583E-2</v>
      </c>
      <c r="X2556">
        <v>0.99585029999999997</v>
      </c>
      <c r="Y2556">
        <v>-0.1360769</v>
      </c>
      <c r="Z2556">
        <v>5.9125659999999997E-2</v>
      </c>
      <c r="AA2556">
        <v>0.98893240000000004</v>
      </c>
      <c r="AB2556">
        <v>19</v>
      </c>
      <c r="AC2556">
        <v>1.18900000000002</v>
      </c>
      <c r="AD2556">
        <v>-1.103991396629</v>
      </c>
      <c r="AE2556">
        <v>-18.318199999999901</v>
      </c>
      <c r="AF2556">
        <v>-2.5091580992307301</v>
      </c>
      <c r="AG2556">
        <v>-1.103991396629</v>
      </c>
      <c r="AH2556">
        <v>18.1176672140523</v>
      </c>
      <c r="AI2556">
        <v>93.454092802543201</v>
      </c>
      <c r="AJ2556">
        <v>97.884870821393704</v>
      </c>
      <c r="AK2556">
        <v>18.3238788647467</v>
      </c>
    </row>
    <row r="2557" spans="1:37" x14ac:dyDescent="0.2">
      <c r="A2557" t="str">
        <f>"20200111155849950"</f>
        <v>20200111155849950</v>
      </c>
      <c r="B2557" t="str">
        <f>"1578729529944030"</f>
        <v>1578729529944030</v>
      </c>
      <c r="C2557" t="s">
        <v>37</v>
      </c>
      <c r="D2557">
        <v>5.9488500000000002</v>
      </c>
      <c r="E2557">
        <v>0.48260589999999998</v>
      </c>
      <c r="F2557" t="s">
        <v>39</v>
      </c>
      <c r="G2557">
        <v>-490.35539999999997</v>
      </c>
      <c r="H2557" s="1">
        <v>-1.5589410000000001E-6</v>
      </c>
      <c r="I2557">
        <v>243.0026</v>
      </c>
      <c r="J2557">
        <v>-491.55540000000002</v>
      </c>
      <c r="K2557">
        <v>1.1039729999999901</v>
      </c>
      <c r="L2557">
        <v>260.74329999999998</v>
      </c>
      <c r="M2557">
        <v>-7.1417739999999993E-2</v>
      </c>
      <c r="N2557">
        <v>0</v>
      </c>
      <c r="O2557">
        <v>-0.99743959999999998</v>
      </c>
      <c r="P2557">
        <v>2.035559E-2</v>
      </c>
      <c r="Q2557">
        <v>-1.4357440000000001E-2</v>
      </c>
      <c r="R2557">
        <v>-0.99968979999999996</v>
      </c>
      <c r="S2557">
        <v>0.19812009999999999</v>
      </c>
      <c r="T2557">
        <v>-0.18427650000000001</v>
      </c>
      <c r="U2557">
        <v>-2.9946899999999999</v>
      </c>
      <c r="V2557">
        <v>-9.1682429999999995E-2</v>
      </c>
      <c r="W2557">
        <v>-1.08071E-2</v>
      </c>
      <c r="X2557">
        <v>0.99572959999999999</v>
      </c>
      <c r="Y2557">
        <v>-0.13698350000000001</v>
      </c>
      <c r="Z2557">
        <v>6.082709E-2</v>
      </c>
      <c r="AA2557">
        <v>0.98870400000000003</v>
      </c>
      <c r="AB2557">
        <v>19</v>
      </c>
      <c r="AC2557">
        <v>1.2000000000000399</v>
      </c>
      <c r="AD2557">
        <v>-1.1039745589409999</v>
      </c>
      <c r="AE2557">
        <v>-17.740699999999901</v>
      </c>
      <c r="AF2557">
        <v>-2.4544837848631902</v>
      </c>
      <c r="AG2557">
        <v>-1.1039745589409999</v>
      </c>
      <c r="AH2557">
        <v>17.542076503969501</v>
      </c>
      <c r="AI2557">
        <v>93.566392758326003</v>
      </c>
      <c r="AJ2557">
        <v>97.965103392357605</v>
      </c>
      <c r="AK2557">
        <v>17.747329335651202</v>
      </c>
    </row>
    <row r="2558" spans="1:37" x14ac:dyDescent="0.2">
      <c r="A2558" t="str">
        <f>"20200111155849973"</f>
        <v>20200111155849973</v>
      </c>
      <c r="B2558" t="str">
        <f>"1578729529963550"</f>
        <v>1578729529963550</v>
      </c>
      <c r="C2558" t="s">
        <v>37</v>
      </c>
      <c r="D2558">
        <v>5.6901619999999999</v>
      </c>
      <c r="E2558">
        <v>0.48266769999999998</v>
      </c>
      <c r="F2558" t="s">
        <v>39</v>
      </c>
      <c r="G2558">
        <v>-490.37790000000001</v>
      </c>
      <c r="H2558" s="1">
        <v>-1.7660779999999999E-6</v>
      </c>
      <c r="I2558">
        <v>243.47149999999999</v>
      </c>
      <c r="J2558">
        <v>-491.56819999999999</v>
      </c>
      <c r="K2558">
        <v>1.10397099999999</v>
      </c>
      <c r="L2558">
        <v>260.54239999999999</v>
      </c>
      <c r="M2558">
        <v>-7.0097279999999998E-2</v>
      </c>
      <c r="N2558">
        <v>0</v>
      </c>
      <c r="O2558">
        <v>-0.99753389999999997</v>
      </c>
      <c r="P2558">
        <v>2.2536400000000002E-2</v>
      </c>
      <c r="Q2558">
        <v>-1.474408E-2</v>
      </c>
      <c r="R2558">
        <v>-0.99963780000000002</v>
      </c>
      <c r="S2558">
        <v>0.20410159999999999</v>
      </c>
      <c r="T2558">
        <v>-0.1913705</v>
      </c>
      <c r="U2558">
        <v>-2.99401899999999</v>
      </c>
      <c r="V2558">
        <v>-9.2535099999999995E-2</v>
      </c>
      <c r="W2558">
        <v>-1.132175E-2</v>
      </c>
      <c r="X2558">
        <v>0.995645</v>
      </c>
      <c r="Y2558">
        <v>-0.13764319999999999</v>
      </c>
      <c r="Z2558">
        <v>6.3175309999999998E-2</v>
      </c>
      <c r="AA2558">
        <v>0.98846509999999999</v>
      </c>
      <c r="AB2558">
        <v>20</v>
      </c>
      <c r="AC2558">
        <v>1.1902999999999699</v>
      </c>
      <c r="AD2558">
        <v>-1.1039727660780001</v>
      </c>
      <c r="AE2558">
        <v>-17.070899999999899</v>
      </c>
      <c r="AF2558">
        <v>-2.37412215307064</v>
      </c>
      <c r="AG2558">
        <v>-1.1039727660780001</v>
      </c>
      <c r="AH2558">
        <v>16.875236483822501</v>
      </c>
      <c r="AI2558">
        <v>93.706540362238599</v>
      </c>
      <c r="AJ2558">
        <v>98.008198155641395</v>
      </c>
      <c r="AK2558">
        <v>17.077143152497101</v>
      </c>
    </row>
    <row r="2559" spans="1:37" x14ac:dyDescent="0.2">
      <c r="A2559" t="str">
        <f>"20200111155849988"</f>
        <v>20200111155849988</v>
      </c>
      <c r="B2559" t="str">
        <f>"1578729529984046"</f>
        <v>1578729529984046</v>
      </c>
      <c r="C2559" t="s">
        <v>37</v>
      </c>
      <c r="D2559">
        <v>6.488092</v>
      </c>
      <c r="E2559">
        <v>0.482435</v>
      </c>
      <c r="F2559" t="s">
        <v>39</v>
      </c>
      <c r="G2559">
        <v>-490.38459999999998</v>
      </c>
      <c r="H2559" s="1">
        <v>-1.8533169999999999E-6</v>
      </c>
      <c r="I2559">
        <v>243.67070000000001</v>
      </c>
      <c r="J2559">
        <v>-491.57679999999999</v>
      </c>
      <c r="K2559">
        <v>1.103974</v>
      </c>
      <c r="L2559">
        <v>260.40480000000002</v>
      </c>
      <c r="M2559">
        <v>-6.9193320000000003E-2</v>
      </c>
      <c r="N2559">
        <v>0</v>
      </c>
      <c r="O2559">
        <v>-0.99759709999999902</v>
      </c>
      <c r="P2559">
        <v>2.3665459999999999E-2</v>
      </c>
      <c r="Q2559">
        <v>-1.466923E-2</v>
      </c>
      <c r="R2559">
        <v>-0.99961250000000001</v>
      </c>
      <c r="S2559">
        <v>0.2099915</v>
      </c>
      <c r="T2559">
        <v>-0.19587279999999899</v>
      </c>
      <c r="U2559">
        <v>-2.9934689999999899</v>
      </c>
      <c r="V2559">
        <v>-9.2757279999999998E-2</v>
      </c>
      <c r="W2559">
        <v>-1.131192E-2</v>
      </c>
      <c r="X2559">
        <v>0.99562450000000002</v>
      </c>
      <c r="Y2559">
        <v>-0.1386868</v>
      </c>
      <c r="Z2559">
        <v>6.466421E-2</v>
      </c>
      <c r="AA2559">
        <v>0.98822289999999902</v>
      </c>
      <c r="AB2559">
        <v>20</v>
      </c>
      <c r="AC2559">
        <v>1.1922000000000099</v>
      </c>
      <c r="AD2559">
        <v>-1.1039758533170001</v>
      </c>
      <c r="AE2559">
        <v>-16.734100000000002</v>
      </c>
      <c r="AF2559">
        <v>-2.3371172817805301</v>
      </c>
      <c r="AG2559">
        <v>-1.1039758533170001</v>
      </c>
      <c r="AH2559">
        <v>16.539877354750999</v>
      </c>
      <c r="AI2559">
        <v>93.781167381726803</v>
      </c>
      <c r="AJ2559">
        <v>98.042760756172598</v>
      </c>
      <c r="AK2559">
        <v>16.740621935391399</v>
      </c>
    </row>
    <row r="2560" spans="1:37" x14ac:dyDescent="0.2">
      <c r="A2560" t="str">
        <f>"20200111155850005"</f>
        <v>20200111155850005</v>
      </c>
      <c r="B2560" t="str">
        <f>"1578729529993806"</f>
        <v>1578729529993806</v>
      </c>
      <c r="C2560" t="s">
        <v>37</v>
      </c>
      <c r="D2560">
        <v>5.6986439999999998</v>
      </c>
      <c r="E2560">
        <v>0.4528297</v>
      </c>
      <c r="F2560" t="s">
        <v>39</v>
      </c>
      <c r="G2560">
        <v>-490.36489999999998</v>
      </c>
      <c r="H2560" s="1">
        <v>-1.7969220000000001E-6</v>
      </c>
      <c r="I2560">
        <v>243.5514</v>
      </c>
      <c r="J2560">
        <v>-491.58620000000002</v>
      </c>
      <c r="K2560">
        <v>1.103982</v>
      </c>
      <c r="L2560">
        <v>260.25470000000001</v>
      </c>
      <c r="M2560">
        <v>-6.8206009999999997E-2</v>
      </c>
      <c r="N2560">
        <v>0</v>
      </c>
      <c r="O2560">
        <v>-0.99766529999999998</v>
      </c>
      <c r="P2560">
        <v>2.4899149999999998E-2</v>
      </c>
      <c r="Q2560">
        <v>-1.463179E-2</v>
      </c>
      <c r="R2560">
        <v>-0.99958320000000001</v>
      </c>
      <c r="S2560">
        <v>0.2152405</v>
      </c>
      <c r="T2560">
        <v>-0.1960701</v>
      </c>
      <c r="U2560">
        <v>-2.9932249999999998</v>
      </c>
      <c r="V2560">
        <v>-9.3000810000000003E-2</v>
      </c>
      <c r="W2560">
        <v>-1.1320200000000001E-2</v>
      </c>
      <c r="X2560">
        <v>0.99560170000000003</v>
      </c>
      <c r="Y2560">
        <v>-0.13943629999999901</v>
      </c>
      <c r="Z2560">
        <v>6.4733540000000006E-2</v>
      </c>
      <c r="AA2560">
        <v>0.98811289999999996</v>
      </c>
      <c r="AB2560">
        <v>20</v>
      </c>
      <c r="AC2560">
        <v>1.22130000000004</v>
      </c>
      <c r="AD2560">
        <v>-1.1039837969220001</v>
      </c>
      <c r="AE2560">
        <v>-16.703299999999999</v>
      </c>
      <c r="AF2560">
        <v>-2.3475277230977198</v>
      </c>
      <c r="AG2560">
        <v>-1.1039837969220001</v>
      </c>
      <c r="AH2560">
        <v>16.509365631056301</v>
      </c>
      <c r="AI2560">
        <v>93.787694385141194</v>
      </c>
      <c r="AJ2560">
        <v>98.092846466611306</v>
      </c>
      <c r="AK2560">
        <v>16.711936457947701</v>
      </c>
    </row>
    <row r="2561" spans="1:37" x14ac:dyDescent="0.2">
      <c r="A2561" t="str">
        <f>"20200111155850029"</f>
        <v>20200111155850029</v>
      </c>
      <c r="B2561" t="str">
        <f>"1578729530023767"</f>
        <v>1578729530023767</v>
      </c>
      <c r="C2561" t="s">
        <v>37</v>
      </c>
      <c r="D2561">
        <v>5.6647439999999998</v>
      </c>
      <c r="E2561">
        <v>0.4601017</v>
      </c>
      <c r="F2561" t="s">
        <v>61</v>
      </c>
      <c r="G2561">
        <v>-470.39589999999998</v>
      </c>
      <c r="H2561">
        <v>1.039606</v>
      </c>
      <c r="I2561">
        <v>119.395</v>
      </c>
      <c r="J2561">
        <v>-491.59890000000001</v>
      </c>
      <c r="K2561">
        <v>1.104007</v>
      </c>
      <c r="L2561">
        <v>260.04590000000002</v>
      </c>
      <c r="M2561">
        <v>-6.6832210000000003E-2</v>
      </c>
      <c r="N2561">
        <v>0</v>
      </c>
      <c r="O2561">
        <v>-0.99775840000000005</v>
      </c>
      <c r="P2561">
        <v>2.6759519999999998E-2</v>
      </c>
      <c r="Q2561">
        <v>-1.420855E-2</v>
      </c>
      <c r="R2561">
        <v>-0.99954120000000002</v>
      </c>
      <c r="S2561">
        <v>0.44979859999999999</v>
      </c>
      <c r="T2561">
        <v>-1.3659E-3</v>
      </c>
      <c r="U2561">
        <v>-2.9899900000000001</v>
      </c>
      <c r="V2561">
        <v>-9.34831E-2</v>
      </c>
      <c r="W2561">
        <v>-1.090286E-2</v>
      </c>
      <c r="X2561">
        <v>0.99556119999999904</v>
      </c>
      <c r="Y2561">
        <v>-0.21451729999999899</v>
      </c>
      <c r="Z2561">
        <v>4.4745480000000002E-4</v>
      </c>
      <c r="AA2561">
        <v>0.97672009999999898</v>
      </c>
      <c r="AB2561">
        <v>20</v>
      </c>
      <c r="AC2561">
        <v>21.202999999999999</v>
      </c>
      <c r="AD2561">
        <v>-6.4400999999999903E-2</v>
      </c>
      <c r="AE2561">
        <v>-140.65090000000001</v>
      </c>
      <c r="AF2561">
        <v>-30.5556532729391</v>
      </c>
      <c r="AG2561">
        <v>-6.4400999999999903E-2</v>
      </c>
      <c r="AH2561">
        <v>138.91935299985701</v>
      </c>
      <c r="AI2561">
        <v>90.025941392684601</v>
      </c>
      <c r="AJ2561">
        <v>102.404820344523</v>
      </c>
      <c r="AK2561">
        <v>142.24007428402001</v>
      </c>
    </row>
    <row r="2562" spans="1:37" x14ac:dyDescent="0.2">
      <c r="A2562" t="str">
        <f>"20200111155850051"</f>
        <v>20200111155850051</v>
      </c>
      <c r="B2562" t="str">
        <f>"1578729530044263"</f>
        <v>1578729530044263</v>
      </c>
      <c r="C2562" t="s">
        <v>37</v>
      </c>
      <c r="D2562">
        <v>5.7515720000000004</v>
      </c>
      <c r="E2562">
        <v>0.46023779999999997</v>
      </c>
      <c r="F2562" t="s">
        <v>39</v>
      </c>
      <c r="G2562">
        <v>-489.4896</v>
      </c>
      <c r="H2562" s="1">
        <v>-2.1412949999999998E-6</v>
      </c>
      <c r="I2562">
        <v>244.41309999999999</v>
      </c>
      <c r="J2562">
        <v>-491.61079999999998</v>
      </c>
      <c r="K2562">
        <v>1.104034</v>
      </c>
      <c r="L2562">
        <v>259.84559999999999</v>
      </c>
      <c r="M2562">
        <v>-6.5513719999999998E-2</v>
      </c>
      <c r="N2562">
        <v>0</v>
      </c>
      <c r="O2562">
        <v>-0.99784549999999905</v>
      </c>
      <c r="P2562">
        <v>2.7750509999999999E-2</v>
      </c>
      <c r="Q2562">
        <v>-1.4926149999999999E-2</v>
      </c>
      <c r="R2562">
        <v>-0.99950360000000005</v>
      </c>
      <c r="S2562">
        <v>0.40310669999999998</v>
      </c>
      <c r="T2562">
        <v>-0.2109896</v>
      </c>
      <c r="U2562">
        <v>-2.9876099999999899</v>
      </c>
      <c r="V2562">
        <v>-9.3152929999999995E-2</v>
      </c>
      <c r="W2562">
        <v>-1.156808E-2</v>
      </c>
      <c r="X2562">
        <v>0.99558459999999904</v>
      </c>
      <c r="Y2562">
        <v>-0.19803009999999999</v>
      </c>
      <c r="Z2562">
        <v>6.920896E-2</v>
      </c>
      <c r="AA2562">
        <v>0.97774950000000005</v>
      </c>
      <c r="AB2562">
        <v>20</v>
      </c>
      <c r="AC2562">
        <v>2.12119999999998</v>
      </c>
      <c r="AD2562">
        <v>-1.1040361412949999</v>
      </c>
      <c r="AE2562">
        <v>-15.432499999999999</v>
      </c>
      <c r="AF2562">
        <v>-3.11205765690758</v>
      </c>
      <c r="AG2562">
        <v>-1.1040361412949999</v>
      </c>
      <c r="AH2562">
        <v>15.1841067114434</v>
      </c>
      <c r="AI2562">
        <v>94.074258540787099</v>
      </c>
      <c r="AJ2562">
        <v>101.582648493669</v>
      </c>
      <c r="AK2562">
        <v>15.539012043424901</v>
      </c>
    </row>
    <row r="2563" spans="1:37" x14ac:dyDescent="0.2">
      <c r="A2563" t="str">
        <f>"20200111155850074"</f>
        <v>20200111155850074</v>
      </c>
      <c r="B2563" t="str">
        <f>"1578729530063782"</f>
        <v>1578729530063782</v>
      </c>
      <c r="C2563" t="s">
        <v>37</v>
      </c>
      <c r="D2563">
        <v>5.6345339999999897</v>
      </c>
      <c r="E2563">
        <v>0.46075129999999997</v>
      </c>
      <c r="F2563" t="s">
        <v>39</v>
      </c>
      <c r="G2563">
        <v>-489.48719999999997</v>
      </c>
      <c r="H2563" s="1">
        <v>-2.0429759999999999E-6</v>
      </c>
      <c r="I2563">
        <v>244.18299999999999</v>
      </c>
      <c r="J2563">
        <v>-491.62279999999998</v>
      </c>
      <c r="K2563">
        <v>1.1040719999999999</v>
      </c>
      <c r="L2563">
        <v>259.6379</v>
      </c>
      <c r="M2563">
        <v>-6.4147999999999997E-2</v>
      </c>
      <c r="N2563">
        <v>0</v>
      </c>
      <c r="O2563">
        <v>-0.99793390000000004</v>
      </c>
      <c r="P2563">
        <v>2.877443E-2</v>
      </c>
      <c r="Q2563">
        <v>-1.6245579999999999E-2</v>
      </c>
      <c r="R2563">
        <v>-0.99945430000000002</v>
      </c>
      <c r="S2563">
        <v>0.40499879999999999</v>
      </c>
      <c r="T2563">
        <v>-0.2105554</v>
      </c>
      <c r="U2563">
        <v>-2.9870909999999999</v>
      </c>
      <c r="V2563">
        <v>-9.2806920000000001E-2</v>
      </c>
      <c r="W2563">
        <v>-1.2763979999999999E-2</v>
      </c>
      <c r="X2563">
        <v>0.99560230000000005</v>
      </c>
      <c r="Y2563">
        <v>-0.19732060000000001</v>
      </c>
      <c r="Z2563">
        <v>6.9090509999999994E-2</v>
      </c>
      <c r="AA2563">
        <v>0.97790129999999997</v>
      </c>
      <c r="AB2563">
        <v>20</v>
      </c>
      <c r="AC2563">
        <v>2.1356000000000099</v>
      </c>
      <c r="AD2563">
        <v>-1.1040740429760001</v>
      </c>
      <c r="AE2563">
        <v>-15.4549</v>
      </c>
      <c r="AF2563">
        <v>-3.1070492312362501</v>
      </c>
      <c r="AG2563">
        <v>-1.1040740429760001</v>
      </c>
      <c r="AH2563">
        <v>15.2099046435609</v>
      </c>
      <c r="AI2563">
        <v>94.068049422340295</v>
      </c>
      <c r="AJ2563">
        <v>101.545422592308</v>
      </c>
      <c r="AK2563">
        <v>15.563223756147501</v>
      </c>
    </row>
    <row r="2564" spans="1:37" x14ac:dyDescent="0.2">
      <c r="A2564" t="str">
        <f>"20200111155850095"</f>
        <v>20200111155850095</v>
      </c>
      <c r="B2564" t="str">
        <f>"1578729530084278"</f>
        <v>1578729530084278</v>
      </c>
      <c r="C2564" t="s">
        <v>37</v>
      </c>
      <c r="D2564">
        <v>5.6420820000000003</v>
      </c>
      <c r="E2564">
        <v>0.46047299999999902</v>
      </c>
      <c r="F2564" t="s">
        <v>39</v>
      </c>
      <c r="G2564">
        <v>-489.55810000000002</v>
      </c>
      <c r="H2564" s="1">
        <v>-2.1190349999999999E-6</v>
      </c>
      <c r="I2564">
        <v>244.3896</v>
      </c>
      <c r="J2564">
        <v>-491.63369999999998</v>
      </c>
      <c r="K2564">
        <v>1.1041069999999999</v>
      </c>
      <c r="L2564">
        <v>259.44729999999998</v>
      </c>
      <c r="M2564">
        <v>-6.2900399999999995E-2</v>
      </c>
      <c r="N2564">
        <v>0</v>
      </c>
      <c r="O2564">
        <v>-0.99801260000000003</v>
      </c>
      <c r="P2564">
        <v>2.94735E-2</v>
      </c>
      <c r="Q2564">
        <v>-1.70312E-2</v>
      </c>
      <c r="R2564">
        <v>-0.9994208</v>
      </c>
      <c r="S2564">
        <v>0.40438839999999998</v>
      </c>
      <c r="T2564">
        <v>-0.21623800000000001</v>
      </c>
      <c r="U2564">
        <v>-2.98645</v>
      </c>
      <c r="V2564">
        <v>-9.2256439999999995E-2</v>
      </c>
      <c r="W2564">
        <v>-1.33607E-2</v>
      </c>
      <c r="X2564">
        <v>0.99564560000000002</v>
      </c>
      <c r="Y2564">
        <v>-0.19590879999999999</v>
      </c>
      <c r="Z2564">
        <v>7.0980370000000001E-2</v>
      </c>
      <c r="AA2564">
        <v>0.97804990000000003</v>
      </c>
      <c r="AB2564">
        <v>20</v>
      </c>
      <c r="AC2564">
        <v>2.0755999999999499</v>
      </c>
      <c r="AD2564">
        <v>-1.1041091190350001</v>
      </c>
      <c r="AE2564">
        <v>-15.057699999999899</v>
      </c>
      <c r="AF2564">
        <v>-3.0027883126593502</v>
      </c>
      <c r="AG2564">
        <v>-1.1041091190350001</v>
      </c>
      <c r="AH2564">
        <v>14.8191347485348</v>
      </c>
      <c r="AI2564">
        <v>94.176419074044901</v>
      </c>
      <c r="AJ2564">
        <v>101.454702995449</v>
      </c>
      <c r="AK2564">
        <v>15.1605590033023</v>
      </c>
    </row>
    <row r="2565" spans="1:37" x14ac:dyDescent="0.2">
      <c r="A2565" t="str">
        <f>"20200111155850118"</f>
        <v>20200111155850118</v>
      </c>
      <c r="B2565" t="str">
        <f>"1578729530114290"</f>
        <v>1578729530114290</v>
      </c>
      <c r="C2565" t="s">
        <v>37</v>
      </c>
      <c r="D2565">
        <v>5.6230019999999996</v>
      </c>
      <c r="E2565">
        <v>0.46101160000000002</v>
      </c>
      <c r="F2565" t="s">
        <v>39</v>
      </c>
      <c r="G2565">
        <v>-489.54199999999997</v>
      </c>
      <c r="H2565" s="1">
        <v>-2.0251279999999998E-6</v>
      </c>
      <c r="I2565">
        <v>244.16399999999999</v>
      </c>
      <c r="J2565">
        <v>-491.64510000000001</v>
      </c>
      <c r="K2565">
        <v>1.1041540000000001</v>
      </c>
      <c r="L2565">
        <v>259.2414</v>
      </c>
      <c r="M2565">
        <v>-6.1560610000000002E-2</v>
      </c>
      <c r="N2565">
        <v>0</v>
      </c>
      <c r="O2565">
        <v>-0.99809490000000001</v>
      </c>
      <c r="P2565">
        <v>3.0114599999999901E-2</v>
      </c>
      <c r="Q2565">
        <v>-1.751902E-2</v>
      </c>
      <c r="R2565">
        <v>-0.99939290000000003</v>
      </c>
      <c r="S2565">
        <v>0.40866089999999999</v>
      </c>
      <c r="T2565">
        <v>-0.21571650000000001</v>
      </c>
      <c r="U2565">
        <v>-2.985992</v>
      </c>
      <c r="V2565">
        <v>-9.1557799999999995E-2</v>
      </c>
      <c r="W2565">
        <v>-1.356157E-2</v>
      </c>
      <c r="X2565">
        <v>0.99570740000000002</v>
      </c>
      <c r="Y2565">
        <v>-0.1959881</v>
      </c>
      <c r="Z2565">
        <v>7.0822430000000006E-2</v>
      </c>
      <c r="AA2565">
        <v>0.97804539999999995</v>
      </c>
      <c r="AB2565">
        <v>20</v>
      </c>
      <c r="AC2565">
        <v>2.1031000000000399</v>
      </c>
      <c r="AD2565">
        <v>-1.104156025128</v>
      </c>
      <c r="AE2565">
        <v>-15.0773999999999</v>
      </c>
      <c r="AF2565">
        <v>-3.0114506667065299</v>
      </c>
      <c r="AG2565">
        <v>-1.104156025128</v>
      </c>
      <c r="AH2565">
        <v>14.841259072024901</v>
      </c>
      <c r="AI2565">
        <v>94.170163763729207</v>
      </c>
      <c r="AJ2565">
        <v>101.47020039096</v>
      </c>
      <c r="AK2565">
        <v>15.1839048498334</v>
      </c>
    </row>
    <row r="2566" spans="1:37" x14ac:dyDescent="0.2">
      <c r="A2566" t="str">
        <f>"20200111155850140"</f>
        <v>20200111155850140</v>
      </c>
      <c r="B2566" t="str">
        <f>"1578729530133810"</f>
        <v>1578729530133810</v>
      </c>
      <c r="C2566" t="s">
        <v>37</v>
      </c>
      <c r="D2566">
        <v>5.6642000000000001</v>
      </c>
      <c r="E2566">
        <v>0.46136909999999998</v>
      </c>
      <c r="F2566" t="s">
        <v>39</v>
      </c>
      <c r="G2566">
        <v>-489.58339999999998</v>
      </c>
      <c r="H2566" s="1">
        <v>-1.9922799999999998E-6</v>
      </c>
      <c r="I2566">
        <v>244.1046</v>
      </c>
      <c r="J2566">
        <v>-491.65640000000002</v>
      </c>
      <c r="K2566">
        <v>1.1042000000000001</v>
      </c>
      <c r="L2566">
        <v>259.0333</v>
      </c>
      <c r="M2566">
        <v>-6.0220709999999997E-2</v>
      </c>
      <c r="N2566">
        <v>0</v>
      </c>
      <c r="O2566">
        <v>-0.99817529999999999</v>
      </c>
      <c r="P2566">
        <v>3.0616979999999999E-2</v>
      </c>
      <c r="Q2566">
        <v>-1.8683430000000001E-2</v>
      </c>
      <c r="R2566">
        <v>-0.99935659999999904</v>
      </c>
      <c r="S2566">
        <v>0.40667720000000002</v>
      </c>
      <c r="T2566">
        <v>-0.2177955</v>
      </c>
      <c r="U2566">
        <v>-2.9857480000000001</v>
      </c>
      <c r="V2566">
        <v>-9.0718720000000003E-2</v>
      </c>
      <c r="W2566">
        <v>-1.438498E-2</v>
      </c>
      <c r="X2566">
        <v>0.99577269999999896</v>
      </c>
      <c r="Y2566">
        <v>-0.1940376</v>
      </c>
      <c r="Z2566">
        <v>7.1533330000000006E-2</v>
      </c>
      <c r="AA2566">
        <v>0.97838250000000004</v>
      </c>
      <c r="AB2566">
        <v>20</v>
      </c>
      <c r="AC2566">
        <v>2.0730000000000302</v>
      </c>
      <c r="AD2566">
        <v>-1.1042019922799999</v>
      </c>
      <c r="AE2566">
        <v>-14.9286999999999</v>
      </c>
      <c r="AF2566">
        <v>-2.95241669701515</v>
      </c>
      <c r="AG2566">
        <v>-1.1042019922799999</v>
      </c>
      <c r="AH2566">
        <v>14.697877984825601</v>
      </c>
      <c r="AI2566">
        <v>94.212531997299806</v>
      </c>
      <c r="AJ2566">
        <v>101.35805670712401</v>
      </c>
      <c r="AK2566">
        <v>15.032087135504099</v>
      </c>
    </row>
    <row r="2567" spans="1:37" x14ac:dyDescent="0.2">
      <c r="A2567" t="str">
        <f>"20200111155850162"</f>
        <v>20200111155850162</v>
      </c>
      <c r="B2567" t="str">
        <f>"1578729530154306"</f>
        <v>1578729530154306</v>
      </c>
      <c r="C2567" t="s">
        <v>37</v>
      </c>
      <c r="D2567">
        <v>5.650169</v>
      </c>
      <c r="E2567">
        <v>0.46149629999999903</v>
      </c>
      <c r="F2567" t="s">
        <v>39</v>
      </c>
      <c r="G2567">
        <v>-489.63220000000001</v>
      </c>
      <c r="H2567" s="1">
        <v>-1.9887729999999998E-6</v>
      </c>
      <c r="I2567">
        <v>244.11660000000001</v>
      </c>
      <c r="J2567">
        <v>-491.6671</v>
      </c>
      <c r="K2567">
        <v>1.1042379999999901</v>
      </c>
      <c r="L2567">
        <v>258.8313</v>
      </c>
      <c r="M2567">
        <v>-5.8936379999999997E-2</v>
      </c>
      <c r="N2567">
        <v>0</v>
      </c>
      <c r="O2567">
        <v>-0.99825019999999998</v>
      </c>
      <c r="P2567">
        <v>3.1042480000000001E-2</v>
      </c>
      <c r="Q2567">
        <v>-1.9293790000000002E-2</v>
      </c>
      <c r="R2567">
        <v>-0.99933189999999905</v>
      </c>
      <c r="S2567">
        <v>0.4051208</v>
      </c>
      <c r="T2567">
        <v>-0.22099079999999999</v>
      </c>
      <c r="U2567">
        <v>-2.985382</v>
      </c>
      <c r="V2567">
        <v>-8.9860789999999996E-2</v>
      </c>
      <c r="W2567">
        <v>-1.466891E-2</v>
      </c>
      <c r="X2567">
        <v>0.99584629999999996</v>
      </c>
      <c r="Y2567">
        <v>-0.19228000000000001</v>
      </c>
      <c r="Z2567">
        <v>7.2609629999999994E-2</v>
      </c>
      <c r="AA2567">
        <v>0.97865020000000003</v>
      </c>
      <c r="AB2567">
        <v>21</v>
      </c>
      <c r="AC2567">
        <v>2.0348999999999902</v>
      </c>
      <c r="AD2567">
        <v>-1.1042399887729999</v>
      </c>
      <c r="AE2567">
        <v>-14.714699999999899</v>
      </c>
      <c r="AF2567">
        <v>-2.8826747253148102</v>
      </c>
      <c r="AG2567">
        <v>-1.1042399887729999</v>
      </c>
      <c r="AH2567">
        <v>14.489126073921099</v>
      </c>
      <c r="AI2567">
        <v>94.274718325954098</v>
      </c>
      <c r="AJ2567">
        <v>101.252314105304</v>
      </c>
      <c r="AK2567">
        <v>14.8143151684698</v>
      </c>
    </row>
    <row r="2568" spans="1:37" x14ac:dyDescent="0.2">
      <c r="A2568" t="str">
        <f>"20200111155850184"</f>
        <v>20200111155850184</v>
      </c>
      <c r="B2568" t="str">
        <f>"1578729530173826"</f>
        <v>1578729530173826</v>
      </c>
      <c r="C2568" t="s">
        <v>37</v>
      </c>
      <c r="D2568">
        <v>5.6566199999999904</v>
      </c>
      <c r="E2568">
        <v>0.46164909999999998</v>
      </c>
      <c r="F2568" t="s">
        <v>39</v>
      </c>
      <c r="G2568">
        <v>-489.67520000000002</v>
      </c>
      <c r="H2568" s="1">
        <v>-2.009277E-6</v>
      </c>
      <c r="I2568">
        <v>244.18219999999999</v>
      </c>
      <c r="J2568">
        <v>-491.67779999999999</v>
      </c>
      <c r="K2568">
        <v>1.1042540000000001</v>
      </c>
      <c r="L2568">
        <v>258.62549999999999</v>
      </c>
      <c r="M2568">
        <v>-5.7654030000000002E-2</v>
      </c>
      <c r="N2568">
        <v>0</v>
      </c>
      <c r="O2568">
        <v>-0.99832389999999904</v>
      </c>
      <c r="P2568">
        <v>3.2035319999999999E-2</v>
      </c>
      <c r="Q2568">
        <v>-1.9745599999999999E-2</v>
      </c>
      <c r="R2568">
        <v>-0.99929190000000001</v>
      </c>
      <c r="S2568">
        <v>0.40588379999999902</v>
      </c>
      <c r="T2568">
        <v>-0.22501089999999899</v>
      </c>
      <c r="U2568">
        <v>-2.9850460000000001</v>
      </c>
      <c r="V2568">
        <v>-8.9570910000000004E-2</v>
      </c>
      <c r="W2568">
        <v>-1.482958E-2</v>
      </c>
      <c r="X2568">
        <v>0.99587009999999898</v>
      </c>
      <c r="Y2568">
        <v>-0.19126660000000001</v>
      </c>
      <c r="Z2568">
        <v>7.3945940000000002E-2</v>
      </c>
      <c r="AA2568">
        <v>0.97874869999999903</v>
      </c>
      <c r="AB2568">
        <v>21</v>
      </c>
      <c r="AC2568">
        <v>2.00259999999997</v>
      </c>
      <c r="AD2568">
        <v>-1.104256009277</v>
      </c>
      <c r="AE2568">
        <v>-14.443299999999899</v>
      </c>
      <c r="AF2568">
        <v>-2.8158448687058399</v>
      </c>
      <c r="AG2568">
        <v>-1.104256009277</v>
      </c>
      <c r="AH2568">
        <v>14.222250067898401</v>
      </c>
      <c r="AI2568">
        <v>94.355489224437207</v>
      </c>
      <c r="AJ2568">
        <v>101.199083263446</v>
      </c>
      <c r="AK2568">
        <v>14.540315012147399</v>
      </c>
    </row>
    <row r="2569" spans="1:37" x14ac:dyDescent="0.2">
      <c r="A2569" t="str">
        <f>"20200111155850205"</f>
        <v>20200111155850205</v>
      </c>
      <c r="B2569" t="str">
        <f>"1578729530194323"</f>
        <v>1578729530194323</v>
      </c>
      <c r="C2569" t="s">
        <v>37</v>
      </c>
      <c r="D2569">
        <v>5.6423350000000001</v>
      </c>
      <c r="E2569">
        <v>0.46157229999999999</v>
      </c>
      <c r="F2569" t="s">
        <v>39</v>
      </c>
      <c r="G2569">
        <v>-489.68430000000001</v>
      </c>
      <c r="H2569" s="1">
        <v>-1.9383129999999999E-6</v>
      </c>
      <c r="I2569">
        <v>244.0205</v>
      </c>
      <c r="J2569">
        <v>-491.68759999999997</v>
      </c>
      <c r="K2569">
        <v>1.104255</v>
      </c>
      <c r="L2569">
        <v>258.43239999999997</v>
      </c>
      <c r="M2569">
        <v>-5.6481690000000001E-2</v>
      </c>
      <c r="N2569">
        <v>0</v>
      </c>
      <c r="O2569">
        <v>-0.99838959999999999</v>
      </c>
      <c r="P2569">
        <v>3.3476159999999998E-2</v>
      </c>
      <c r="Q2569">
        <v>-1.9460760000000001E-2</v>
      </c>
      <c r="R2569">
        <v>-0.99925039999999998</v>
      </c>
      <c r="S2569">
        <v>0.4073792</v>
      </c>
      <c r="T2569">
        <v>-0.22565679999999899</v>
      </c>
      <c r="U2569">
        <v>-2.9845730000000001</v>
      </c>
      <c r="V2569">
        <v>-8.9838940000000006E-2</v>
      </c>
      <c r="W2569">
        <v>-1.4309830000000001E-2</v>
      </c>
      <c r="X2569">
        <v>0.99585349999999995</v>
      </c>
      <c r="Y2569">
        <v>-0.1906139</v>
      </c>
      <c r="Z2569">
        <v>7.4178419999999995E-2</v>
      </c>
      <c r="AA2569">
        <v>0.97885849999999996</v>
      </c>
      <c r="AB2569">
        <v>21</v>
      </c>
      <c r="AC2569">
        <v>2.0032999999999599</v>
      </c>
      <c r="AD2569">
        <v>-1.1042569383130001</v>
      </c>
      <c r="AE2569">
        <v>-14.4118999999999</v>
      </c>
      <c r="AF2569">
        <v>-2.7980066066606999</v>
      </c>
      <c r="AG2569">
        <v>-1.1042569383130001</v>
      </c>
      <c r="AH2569">
        <v>14.1939907465365</v>
      </c>
      <c r="AI2569">
        <v>94.3648439455757</v>
      </c>
      <c r="AJ2569">
        <v>101.151518355798</v>
      </c>
      <c r="AK2569">
        <v>14.509224571612799</v>
      </c>
    </row>
    <row r="2570" spans="1:37" x14ac:dyDescent="0.2">
      <c r="A2570" t="str">
        <f>"20200111155850228"</f>
        <v>20200111155850228</v>
      </c>
      <c r="B2570" t="str">
        <f>"1578729530223602"</f>
        <v>1578729530223602</v>
      </c>
      <c r="C2570" t="s">
        <v>37</v>
      </c>
      <c r="D2570">
        <v>5.802562</v>
      </c>
      <c r="E2570">
        <v>0.46177399999999902</v>
      </c>
      <c r="F2570" t="s">
        <v>39</v>
      </c>
      <c r="G2570">
        <v>-489.65600000000001</v>
      </c>
      <c r="H2570" s="1">
        <v>-1.820369E-6</v>
      </c>
      <c r="I2570">
        <v>243.73390000000001</v>
      </c>
      <c r="J2570">
        <v>-491.69839999999999</v>
      </c>
      <c r="K2570">
        <v>1.104249</v>
      </c>
      <c r="L2570">
        <v>258.21559999999999</v>
      </c>
      <c r="M2570">
        <v>-5.5210919999999997E-2</v>
      </c>
      <c r="N2570">
        <v>0</v>
      </c>
      <c r="O2570">
        <v>-0.99845949999999895</v>
      </c>
      <c r="P2570">
        <v>3.5097009999999998E-2</v>
      </c>
      <c r="Q2570">
        <v>-1.9372070000000002E-2</v>
      </c>
      <c r="R2570">
        <v>-0.99919659999999999</v>
      </c>
      <c r="S2570">
        <v>0.41244510000000001</v>
      </c>
      <c r="T2570">
        <v>-0.22418579999999899</v>
      </c>
      <c r="U2570">
        <v>-2.9841000000000002</v>
      </c>
      <c r="V2570">
        <v>-9.0188370000000004E-2</v>
      </c>
      <c r="W2570">
        <v>-1.3984130000000001E-2</v>
      </c>
      <c r="X2570">
        <v>0.99582649999999995</v>
      </c>
      <c r="Y2570">
        <v>-0.1910213</v>
      </c>
      <c r="Z2570">
        <v>7.3705670000000001E-2</v>
      </c>
      <c r="AA2570">
        <v>0.97881479999999998</v>
      </c>
      <c r="AB2570">
        <v>21</v>
      </c>
      <c r="AC2570">
        <v>2.0423999999999798</v>
      </c>
      <c r="AD2570">
        <v>-1.104250820369</v>
      </c>
      <c r="AE2570">
        <v>-14.481699999999901</v>
      </c>
      <c r="AF2570">
        <v>-2.8227525768201001</v>
      </c>
      <c r="AG2570">
        <v>-1.104250820369</v>
      </c>
      <c r="AH2570">
        <v>14.2655198953886</v>
      </c>
      <c r="AI2570">
        <v>94.342404370267204</v>
      </c>
      <c r="AJ2570">
        <v>101.192670399364</v>
      </c>
      <c r="AK2570">
        <v>14.583976133755799</v>
      </c>
    </row>
    <row r="2571" spans="1:37" x14ac:dyDescent="0.2">
      <c r="A2571" t="str">
        <f>"20200111155850252"</f>
        <v>20200111155850252</v>
      </c>
      <c r="B2571" t="str">
        <f>"1578729530244098"</f>
        <v>1578729530244098</v>
      </c>
      <c r="C2571" t="s">
        <v>37</v>
      </c>
      <c r="D2571">
        <v>5.6444989999999997</v>
      </c>
      <c r="E2571">
        <v>0.461893</v>
      </c>
      <c r="F2571" t="s">
        <v>39</v>
      </c>
      <c r="G2571">
        <v>-489.6309</v>
      </c>
      <c r="H2571" s="1">
        <v>-1.669128E-6</v>
      </c>
      <c r="I2571">
        <v>243.37090000000001</v>
      </c>
      <c r="J2571">
        <v>-491.70920000000001</v>
      </c>
      <c r="K2571">
        <v>1.104233</v>
      </c>
      <c r="L2571">
        <v>257.9923</v>
      </c>
      <c r="M2571">
        <v>-5.3950480000000002E-2</v>
      </c>
      <c r="N2571">
        <v>0</v>
      </c>
      <c r="O2571">
        <v>-0.99852680000000005</v>
      </c>
      <c r="P2571">
        <v>3.6979739999999997E-2</v>
      </c>
      <c r="Q2571">
        <v>-1.901212E-2</v>
      </c>
      <c r="R2571">
        <v>-0.99913490000000005</v>
      </c>
      <c r="S2571">
        <v>0.41552729999999999</v>
      </c>
      <c r="T2571">
        <v>-0.22193550000000001</v>
      </c>
      <c r="U2571">
        <v>-2.9835210000000001</v>
      </c>
      <c r="V2571">
        <v>-9.0809699999999993E-2</v>
      </c>
      <c r="W2571">
        <v>-1.3402519999999999E-2</v>
      </c>
      <c r="X2571">
        <v>0.995778099999999</v>
      </c>
      <c r="Y2571">
        <v>-0.1908077</v>
      </c>
      <c r="Z2571">
        <v>7.2987880000000005E-2</v>
      </c>
      <c r="AA2571">
        <v>0.97891019999999895</v>
      </c>
      <c r="AB2571">
        <v>21</v>
      </c>
      <c r="AC2571">
        <v>2.0783000000000098</v>
      </c>
      <c r="AD2571">
        <v>-1.1042346691280001</v>
      </c>
      <c r="AE2571">
        <v>-14.6213999999999</v>
      </c>
      <c r="AF2571">
        <v>-2.8481947842381601</v>
      </c>
      <c r="AG2571">
        <v>-1.1042346691280001</v>
      </c>
      <c r="AH2571">
        <v>14.407431621575199</v>
      </c>
      <c r="AI2571">
        <v>94.2998799797804</v>
      </c>
      <c r="AJ2571">
        <v>101.182573683238</v>
      </c>
      <c r="AK2571">
        <v>14.7277165122035</v>
      </c>
    </row>
    <row r="2572" spans="1:37" x14ac:dyDescent="0.2">
      <c r="A2572" t="str">
        <f>"20200111155850274"</f>
        <v>20200111155850274</v>
      </c>
      <c r="B2572" t="str">
        <f>"1578729530263618"</f>
        <v>1578729530263618</v>
      </c>
      <c r="C2572" t="s">
        <v>37</v>
      </c>
      <c r="D2572">
        <v>5.6894010000000002</v>
      </c>
      <c r="E2572">
        <v>0.46195209999999998</v>
      </c>
      <c r="F2572" t="s">
        <v>39</v>
      </c>
      <c r="G2572">
        <v>-489.59699999999998</v>
      </c>
      <c r="H2572" s="1">
        <v>-1.522091E-6</v>
      </c>
      <c r="I2572">
        <v>243.01419999999999</v>
      </c>
      <c r="J2572">
        <v>-491.71899999999999</v>
      </c>
      <c r="K2572">
        <v>1.1042160000000001</v>
      </c>
      <c r="L2572">
        <v>257.78660000000002</v>
      </c>
      <c r="M2572">
        <v>-5.2825879999999999E-2</v>
      </c>
      <c r="N2572">
        <v>0</v>
      </c>
      <c r="O2572">
        <v>-0.99858609999999903</v>
      </c>
      <c r="P2572">
        <v>3.8289089999999998E-2</v>
      </c>
      <c r="Q2572">
        <v>-1.8581520000000001E-2</v>
      </c>
      <c r="R2572">
        <v>-0.99909409999999899</v>
      </c>
      <c r="S2572">
        <v>0.42062379999999999</v>
      </c>
      <c r="T2572">
        <v>-0.21990009999999999</v>
      </c>
      <c r="U2572">
        <v>-2.9827880000000002</v>
      </c>
      <c r="V2572">
        <v>-9.0995619999999999E-2</v>
      </c>
      <c r="W2572">
        <v>-1.2792090000000001E-2</v>
      </c>
      <c r="X2572">
        <v>0.99576909999999896</v>
      </c>
      <c r="Y2572">
        <v>-0.1913821</v>
      </c>
      <c r="Z2572">
        <v>7.2333640000000005E-2</v>
      </c>
      <c r="AA2572">
        <v>0.97884660000000001</v>
      </c>
      <c r="AB2572">
        <v>21</v>
      </c>
      <c r="AC2572">
        <v>2.1220000000000101</v>
      </c>
      <c r="AD2572">
        <v>-1.104217522091</v>
      </c>
      <c r="AE2572">
        <v>-14.772399999999999</v>
      </c>
      <c r="AF2572">
        <v>-2.8836296438131099</v>
      </c>
      <c r="AG2572">
        <v>-1.104217522091</v>
      </c>
      <c r="AH2572">
        <v>14.5599674712513</v>
      </c>
      <c r="AI2572">
        <v>94.254640527444195</v>
      </c>
      <c r="AJ2572">
        <v>101.202569064077</v>
      </c>
      <c r="AK2572">
        <v>14.8837921586761</v>
      </c>
    </row>
    <row r="2573" spans="1:37" x14ac:dyDescent="0.2">
      <c r="A2573" t="str">
        <f>"20200111155850294"</f>
        <v>20200111155850294</v>
      </c>
      <c r="B2573" t="str">
        <f>"1578729530284114"</f>
        <v>1578729530284114</v>
      </c>
      <c r="C2573" t="s">
        <v>37</v>
      </c>
      <c r="D2573">
        <v>5.7161059999999999</v>
      </c>
      <c r="E2573">
        <v>0.46199519999999999</v>
      </c>
      <c r="F2573" t="s">
        <v>39</v>
      </c>
      <c r="G2573">
        <v>-489.56920000000002</v>
      </c>
      <c r="H2573" s="1">
        <v>-1.3754659999999999E-6</v>
      </c>
      <c r="I2573">
        <v>242.6609</v>
      </c>
      <c r="J2573">
        <v>-491.72789999999998</v>
      </c>
      <c r="K2573">
        <v>1.1041989999999999</v>
      </c>
      <c r="L2573">
        <v>257.59679999999997</v>
      </c>
      <c r="M2573">
        <v>-5.182105E-2</v>
      </c>
      <c r="N2573">
        <v>0</v>
      </c>
      <c r="O2573">
        <v>-0.99863799999999903</v>
      </c>
      <c r="P2573">
        <v>3.9317089999999999E-2</v>
      </c>
      <c r="Q2573">
        <v>-1.7659810000000001E-2</v>
      </c>
      <c r="R2573">
        <v>-0.99907109999999899</v>
      </c>
      <c r="S2573">
        <v>0.42388919999999902</v>
      </c>
      <c r="T2573">
        <v>-0.21772429999999901</v>
      </c>
      <c r="U2573">
        <v>-2.9824220000000001</v>
      </c>
      <c r="V2573">
        <v>-9.1021009999999999E-2</v>
      </c>
      <c r="W2573">
        <v>-1.1730030000000001E-2</v>
      </c>
      <c r="X2573">
        <v>0.99577990000000005</v>
      </c>
      <c r="Y2573">
        <v>-0.19146920000000001</v>
      </c>
      <c r="Z2573">
        <v>7.1630050000000001E-2</v>
      </c>
      <c r="AA2573">
        <v>0.97888140000000001</v>
      </c>
      <c r="AB2573">
        <v>21</v>
      </c>
      <c r="AC2573">
        <v>2.1586999999999499</v>
      </c>
      <c r="AD2573">
        <v>-1.1042003754659999</v>
      </c>
      <c r="AE2573">
        <v>-14.935899999999901</v>
      </c>
      <c r="AF2573">
        <v>-2.9142058721163</v>
      </c>
      <c r="AG2573">
        <v>-1.1042003754659999</v>
      </c>
      <c r="AH2573">
        <v>14.725129048249</v>
      </c>
      <c r="AI2573">
        <v>94.207142144207793</v>
      </c>
      <c r="AJ2573">
        <v>101.194577535782</v>
      </c>
      <c r="AK2573">
        <v>15.051288311033201</v>
      </c>
    </row>
    <row r="2574" spans="1:37" x14ac:dyDescent="0.2">
      <c r="A2574" t="str">
        <f>"20200111155850318"</f>
        <v>20200111155850318</v>
      </c>
      <c r="B2574" t="str">
        <f>"1578729530313763"</f>
        <v>1578729530313763</v>
      </c>
      <c r="C2574" t="s">
        <v>37</v>
      </c>
      <c r="D2574">
        <v>5.4871970000000001</v>
      </c>
      <c r="E2574">
        <v>0.39424480000000001</v>
      </c>
      <c r="F2574" t="s">
        <v>39</v>
      </c>
      <c r="G2574">
        <v>-489.52699999999999</v>
      </c>
      <c r="H2574" s="1">
        <v>-1.1967829999999899E-6</v>
      </c>
      <c r="I2574">
        <v>242.2269</v>
      </c>
      <c r="J2574">
        <v>-491.73820000000001</v>
      </c>
      <c r="K2574">
        <v>1.104182</v>
      </c>
      <c r="L2574">
        <v>257.37130000000002</v>
      </c>
      <c r="M2574">
        <v>-5.0672910000000002E-2</v>
      </c>
      <c r="N2574">
        <v>0</v>
      </c>
      <c r="O2574">
        <v>-0.99869609999999998</v>
      </c>
      <c r="P2574">
        <v>3.9387890000000002E-2</v>
      </c>
      <c r="Q2574">
        <v>-1.6489650000000002E-2</v>
      </c>
      <c r="R2574">
        <v>-0.99908829999999904</v>
      </c>
      <c r="S2574">
        <v>0.42703249999999998</v>
      </c>
      <c r="T2574">
        <v>-0.21424679999999999</v>
      </c>
      <c r="U2574">
        <v>-2.9821930000000001</v>
      </c>
      <c r="V2574">
        <v>-8.9950589999999997E-2</v>
      </c>
      <c r="W2574">
        <v>-1.041769E-2</v>
      </c>
      <c r="X2574">
        <v>0.99589169999999905</v>
      </c>
      <c r="Y2574">
        <v>-0.19137399999999999</v>
      </c>
      <c r="Z2574">
        <v>7.0498950000000005E-2</v>
      </c>
      <c r="AA2574">
        <v>0.97898209999999997</v>
      </c>
      <c r="AB2574">
        <v>21</v>
      </c>
      <c r="AC2574">
        <v>2.2112000000000198</v>
      </c>
      <c r="AD2574">
        <v>-1.104183196783</v>
      </c>
      <c r="AE2574">
        <v>-15.144399999999999</v>
      </c>
      <c r="AF2574">
        <v>-2.9603760788553699</v>
      </c>
      <c r="AG2574">
        <v>-1.104183196783</v>
      </c>
      <c r="AH2574">
        <v>14.935156373655101</v>
      </c>
      <c r="AI2574">
        <v>94.1478795483563</v>
      </c>
      <c r="AJ2574">
        <v>101.211574391528</v>
      </c>
      <c r="AK2574">
        <v>15.2657113481766</v>
      </c>
    </row>
    <row r="2575" spans="1:37" x14ac:dyDescent="0.2">
      <c r="A2575" t="str">
        <f>"20200111155850689"</f>
        <v>20200111155850689</v>
      </c>
      <c r="B2575" t="str">
        <f>"1578729530683667"</f>
        <v>1578729530683667</v>
      </c>
      <c r="C2575" t="s">
        <v>37</v>
      </c>
      <c r="D2575">
        <v>5.2777859999999999</v>
      </c>
      <c r="E2575">
        <v>0.39424480000000001</v>
      </c>
      <c r="F2575" t="s">
        <v>62</v>
      </c>
      <c r="G2575">
        <v>-472.14120000000003</v>
      </c>
      <c r="H2575">
        <v>2.9714499999999999</v>
      </c>
      <c r="I2575">
        <v>196.565</v>
      </c>
      <c r="J2575">
        <v>-491.88409999999999</v>
      </c>
      <c r="K2575">
        <v>1.103998</v>
      </c>
      <c r="L2575">
        <v>253.71899999999999</v>
      </c>
      <c r="M2575">
        <v>-3.8290850000000001E-2</v>
      </c>
      <c r="N2575">
        <v>0</v>
      </c>
      <c r="O2575">
        <v>-0.99923770000000001</v>
      </c>
      <c r="P2575">
        <v>5.8487860000000003E-2</v>
      </c>
      <c r="Q2575">
        <v>-1.3296880000000001E-2</v>
      </c>
      <c r="R2575">
        <v>-0.99819959999999996</v>
      </c>
      <c r="S2575">
        <v>0.95608519999999897</v>
      </c>
      <c r="T2575">
        <v>9.1099979999999997E-2</v>
      </c>
      <c r="U2575">
        <v>-2.96655299999999</v>
      </c>
      <c r="V2575">
        <v>-9.6665000000000001E-2</v>
      </c>
      <c r="W2575">
        <v>-5.7646279999999999E-3</v>
      </c>
      <c r="X2575">
        <v>0.99530030000000003</v>
      </c>
      <c r="Y2575">
        <v>-0.34284209999999998</v>
      </c>
      <c r="Z2575">
        <v>-2.8996839999999999E-2</v>
      </c>
      <c r="AA2575">
        <v>0.93894539999999904</v>
      </c>
      <c r="AB2575">
        <v>23</v>
      </c>
      <c r="AC2575">
        <v>19.742899999999899</v>
      </c>
      <c r="AD2575">
        <v>1.8674519999999999</v>
      </c>
      <c r="AE2575">
        <v>-57.154000000000003</v>
      </c>
      <c r="AF2575">
        <v>-21.896074851701801</v>
      </c>
      <c r="AG2575">
        <v>1.8674519999999999</v>
      </c>
      <c r="AH2575">
        <v>56.302388355072402</v>
      </c>
      <c r="AI2575">
        <v>88.229388655014205</v>
      </c>
      <c r="AJ2575">
        <v>111.251125692188</v>
      </c>
      <c r="AK2575">
        <v>60.439096662417398</v>
      </c>
    </row>
    <row r="2576" spans="1:37" x14ac:dyDescent="0.2">
      <c r="A2576" t="str">
        <f>"20200111155850702"</f>
        <v>20200111155850702</v>
      </c>
      <c r="B2576" t="str">
        <f>"1578729530694403"</f>
        <v>1578729530694403</v>
      </c>
      <c r="C2576" t="s">
        <v>37</v>
      </c>
      <c r="D2576">
        <v>5.8191569999999997</v>
      </c>
      <c r="E2576">
        <v>0.487523499999999</v>
      </c>
      <c r="F2576" t="s">
        <v>62</v>
      </c>
      <c r="G2576">
        <v>-472.24770000000001</v>
      </c>
      <c r="H2576">
        <v>3.00411899999999</v>
      </c>
      <c r="I2576">
        <v>196.565</v>
      </c>
      <c r="J2576">
        <v>-491.88900000000001</v>
      </c>
      <c r="K2576">
        <v>1.104031</v>
      </c>
      <c r="L2576">
        <v>253.58179999999999</v>
      </c>
      <c r="M2576">
        <v>-3.8029889999999997E-2</v>
      </c>
      <c r="N2576">
        <v>0</v>
      </c>
      <c r="O2576">
        <v>-0.99924650000000004</v>
      </c>
      <c r="P2576">
        <v>5.8829439999999997E-2</v>
      </c>
      <c r="Q2576">
        <v>-1.3105210000000001E-2</v>
      </c>
      <c r="R2576">
        <v>-0.99818209999999996</v>
      </c>
      <c r="S2576">
        <v>1.012634</v>
      </c>
      <c r="T2576">
        <v>9.7989080000000006E-2</v>
      </c>
      <c r="U2576">
        <v>-2.9473720000000001</v>
      </c>
      <c r="V2576">
        <v>-9.6745880000000006E-2</v>
      </c>
      <c r="W2576">
        <v>-5.4157459999999999E-3</v>
      </c>
      <c r="X2576">
        <v>0.99529439999999902</v>
      </c>
      <c r="Y2576">
        <v>-0.36050279999999901</v>
      </c>
      <c r="Z2576">
        <v>-3.118102E-2</v>
      </c>
      <c r="AA2576">
        <v>0.93223679999999998</v>
      </c>
      <c r="AB2576">
        <v>23</v>
      </c>
      <c r="AC2576">
        <v>19.641300000000001</v>
      </c>
      <c r="AD2576">
        <v>1.900088</v>
      </c>
      <c r="AE2576">
        <v>-57.016799999999897</v>
      </c>
      <c r="AF2576">
        <v>-21.773882480217399</v>
      </c>
      <c r="AG2576">
        <v>1.900088</v>
      </c>
      <c r="AH2576">
        <v>56.1728071145494</v>
      </c>
      <c r="AI2576">
        <v>88.193533829880195</v>
      </c>
      <c r="AJ2576">
        <v>111.18748585370599</v>
      </c>
      <c r="AK2576">
        <v>60.275173594096202</v>
      </c>
    </row>
    <row r="2577" spans="1:37" x14ac:dyDescent="0.2">
      <c r="A2577" t="str">
        <f>"20200111155850747"</f>
        <v>20200111155850747</v>
      </c>
      <c r="B2577" t="str">
        <f>"1578729530744178"</f>
        <v>1578729530744178</v>
      </c>
      <c r="C2577" t="s">
        <v>37</v>
      </c>
      <c r="D2577">
        <v>5.6963669999999897</v>
      </c>
      <c r="E2577">
        <v>0.48948019999999998</v>
      </c>
      <c r="F2577" t="s">
        <v>39</v>
      </c>
      <c r="G2577">
        <v>-491.00540000000001</v>
      </c>
      <c r="H2577" s="1">
        <v>-2.33468199999999E-6</v>
      </c>
      <c r="I2577">
        <v>244.40770000000001</v>
      </c>
      <c r="J2577">
        <v>-491.90480000000002</v>
      </c>
      <c r="K2577">
        <v>1.104177</v>
      </c>
      <c r="L2577">
        <v>253.13839999999999</v>
      </c>
      <c r="M2577">
        <v>-3.7208140000000001E-2</v>
      </c>
      <c r="N2577">
        <v>0</v>
      </c>
      <c r="O2577">
        <v>-0.99927129999999997</v>
      </c>
      <c r="P2577">
        <v>5.9802130000000002E-2</v>
      </c>
      <c r="Q2577">
        <v>-1.444636E-2</v>
      </c>
      <c r="R2577">
        <v>-0.99810599999999905</v>
      </c>
      <c r="S2577">
        <v>0.28738399999999997</v>
      </c>
      <c r="T2577">
        <v>-0.3590758</v>
      </c>
      <c r="U2577">
        <v>-2.9837799999999999</v>
      </c>
      <c r="V2577">
        <v>-9.6896449999999995E-2</v>
      </c>
      <c r="W2577">
        <v>-6.0260139999999997E-3</v>
      </c>
      <c r="X2577">
        <v>0.99527619999999895</v>
      </c>
      <c r="Y2577">
        <v>-0.13216559999999999</v>
      </c>
      <c r="Z2577">
        <v>0.1185614</v>
      </c>
      <c r="AA2577">
        <v>0.98411150000000003</v>
      </c>
      <c r="AB2577">
        <v>23</v>
      </c>
      <c r="AC2577">
        <v>0.89940000000001397</v>
      </c>
      <c r="AD2577">
        <v>-1.1041793346819999</v>
      </c>
      <c r="AE2577">
        <v>-8.7306999999999793</v>
      </c>
      <c r="AF2577">
        <v>-1.20457727212534</v>
      </c>
      <c r="AG2577">
        <v>-1.1041793346819999</v>
      </c>
      <c r="AH2577">
        <v>8.5557760417901196</v>
      </c>
      <c r="AI2577">
        <v>97.282708174023497</v>
      </c>
      <c r="AJ2577">
        <v>98.014061920086604</v>
      </c>
      <c r="AK2577">
        <v>8.7104260564526701</v>
      </c>
    </row>
    <row r="2578" spans="1:37" x14ac:dyDescent="0.2">
      <c r="A2578" t="str">
        <f>"20200111155850762"</f>
        <v>20200111155850762</v>
      </c>
      <c r="B2578" t="str">
        <f>"1578729530753939"</f>
        <v>1578729530753939</v>
      </c>
      <c r="C2578" t="s">
        <v>37</v>
      </c>
      <c r="D2578">
        <v>5.6819329999999999</v>
      </c>
      <c r="E2578">
        <v>0.48878749999999999</v>
      </c>
      <c r="F2578" t="s">
        <v>39</v>
      </c>
      <c r="G2578">
        <v>-490.80689999999998</v>
      </c>
      <c r="H2578" s="1">
        <v>-8.3781629999999999E-7</v>
      </c>
      <c r="I2578">
        <v>241.04159999999999</v>
      </c>
      <c r="J2578">
        <v>-491.91070000000002</v>
      </c>
      <c r="K2578">
        <v>1.1042459999999901</v>
      </c>
      <c r="L2578">
        <v>252.9684</v>
      </c>
      <c r="M2578">
        <v>-3.6895200000000003E-2</v>
      </c>
      <c r="N2578">
        <v>0</v>
      </c>
      <c r="O2578">
        <v>-0.99927969999999899</v>
      </c>
      <c r="P2578">
        <v>6.009519E-2</v>
      </c>
      <c r="Q2578">
        <v>-1.542863E-2</v>
      </c>
      <c r="R2578">
        <v>-0.99807349999999995</v>
      </c>
      <c r="S2578">
        <v>0.27096559999999997</v>
      </c>
      <c r="T2578">
        <v>-0.27251570000000003</v>
      </c>
      <c r="U2578">
        <v>-2.985519</v>
      </c>
      <c r="V2578">
        <v>-9.6875680000000006E-2</v>
      </c>
      <c r="W2578">
        <v>-6.6267950000000004E-3</v>
      </c>
      <c r="X2578">
        <v>0.9952744</v>
      </c>
      <c r="Y2578">
        <v>-0.1267027</v>
      </c>
      <c r="Z2578">
        <v>9.0257920000000005E-2</v>
      </c>
      <c r="AA2578">
        <v>0.98782590000000003</v>
      </c>
      <c r="AB2578">
        <v>23</v>
      </c>
      <c r="AC2578">
        <v>1.1038000000000301</v>
      </c>
      <c r="AD2578">
        <v>-1.10424683781629</v>
      </c>
      <c r="AE2578">
        <v>-11.9268</v>
      </c>
      <c r="AF2578">
        <v>-1.5301027007108401</v>
      </c>
      <c r="AG2578">
        <v>-1.10424683781629</v>
      </c>
      <c r="AH2578">
        <v>11.777849488663399</v>
      </c>
      <c r="AI2578">
        <v>95.311800260289203</v>
      </c>
      <c r="AJ2578">
        <v>97.402043384274904</v>
      </c>
      <c r="AK2578">
        <v>11.9280473645588</v>
      </c>
    </row>
    <row r="2579" spans="1:37" x14ac:dyDescent="0.2">
      <c r="A2579" t="str">
        <f>"20200111155850790"</f>
        <v>20200111155850790</v>
      </c>
      <c r="B2579" t="str">
        <f>"1578729530784195"</f>
        <v>1578729530784195</v>
      </c>
      <c r="C2579" t="s">
        <v>37</v>
      </c>
      <c r="D2579">
        <v>5.662204</v>
      </c>
      <c r="E2579">
        <v>0.48872929999999998</v>
      </c>
      <c r="F2579" t="s">
        <v>39</v>
      </c>
      <c r="G2579">
        <v>-490.75699999999898</v>
      </c>
      <c r="H2579" s="1">
        <v>-6.0418729999999996E-7</v>
      </c>
      <c r="I2579">
        <v>240.52799999999999</v>
      </c>
      <c r="J2579">
        <v>-491.92009999999999</v>
      </c>
      <c r="K2579">
        <v>1.104341</v>
      </c>
      <c r="L2579">
        <v>252.697</v>
      </c>
      <c r="M2579">
        <v>-3.6377970000000003E-2</v>
      </c>
      <c r="N2579">
        <v>0</v>
      </c>
      <c r="O2579">
        <v>-0.99929299999999999</v>
      </c>
      <c r="P2579">
        <v>6.102573E-2</v>
      </c>
      <c r="Q2579">
        <v>-1.589904E-2</v>
      </c>
      <c r="R2579">
        <v>-0.9980097</v>
      </c>
      <c r="S2579">
        <v>0.27682499999999999</v>
      </c>
      <c r="T2579">
        <v>-0.2649608</v>
      </c>
      <c r="U2579">
        <v>-2.9850310000000002</v>
      </c>
      <c r="V2579">
        <v>-9.7289130000000001E-2</v>
      </c>
      <c r="W2579">
        <v>-6.4822309999999998E-3</v>
      </c>
      <c r="X2579">
        <v>0.99523499999999998</v>
      </c>
      <c r="Y2579">
        <v>-0.12814729999999999</v>
      </c>
      <c r="Z2579">
        <v>8.7776179999999995E-2</v>
      </c>
      <c r="AA2579">
        <v>0.98786319999999905</v>
      </c>
      <c r="AB2579">
        <v>23</v>
      </c>
      <c r="AC2579">
        <v>1.16310000000004</v>
      </c>
      <c r="AD2579">
        <v>-1.1043416041873</v>
      </c>
      <c r="AE2579">
        <v>-12.169</v>
      </c>
      <c r="AF2579">
        <v>-1.5920407752159</v>
      </c>
      <c r="AG2579">
        <v>-1.1043416041873</v>
      </c>
      <c r="AH2579">
        <v>12.0205309962786</v>
      </c>
      <c r="AI2579">
        <v>95.203911372989495</v>
      </c>
      <c r="AJ2579">
        <v>97.5445424158289</v>
      </c>
      <c r="AK2579">
        <v>12.1756860028988</v>
      </c>
    </row>
    <row r="2580" spans="1:37" x14ac:dyDescent="0.2">
      <c r="A2580" t="str">
        <f>"20200111155850803"</f>
        <v>20200111155850803</v>
      </c>
      <c r="B2580" t="str">
        <f>"1578729530793957"</f>
        <v>1578729530793957</v>
      </c>
      <c r="C2580" t="s">
        <v>37</v>
      </c>
      <c r="D2580">
        <v>5.6613819999999997</v>
      </c>
      <c r="E2580">
        <v>0.48876709999999901</v>
      </c>
      <c r="F2580" t="s">
        <v>39</v>
      </c>
      <c r="G2580">
        <v>-490.71300000000002</v>
      </c>
      <c r="H2580" s="1">
        <v>-2.8245209999999999E-7</v>
      </c>
      <c r="I2580">
        <v>239.80529999999999</v>
      </c>
      <c r="J2580">
        <v>-491.9246</v>
      </c>
      <c r="K2580">
        <v>1.1043780000000001</v>
      </c>
      <c r="L2580">
        <v>252.56549999999999</v>
      </c>
      <c r="M2580">
        <v>-3.6121649999999998E-2</v>
      </c>
      <c r="N2580">
        <v>0</v>
      </c>
      <c r="O2580">
        <v>-0.99929950000000001</v>
      </c>
      <c r="P2580">
        <v>6.132696E-2</v>
      </c>
      <c r="Q2580">
        <v>-1.624252E-2</v>
      </c>
      <c r="R2580">
        <v>-0.99798569999999998</v>
      </c>
      <c r="S2580">
        <v>0.27948000000000001</v>
      </c>
      <c r="T2580">
        <v>-0.25568989999999903</v>
      </c>
      <c r="U2580">
        <v>-2.9848330000000001</v>
      </c>
      <c r="V2580">
        <v>-9.7334180000000006E-2</v>
      </c>
      <c r="W2580">
        <v>-6.5452219999999998E-3</v>
      </c>
      <c r="X2580">
        <v>0.99523030000000001</v>
      </c>
      <c r="Y2580">
        <v>-0.12879479999999999</v>
      </c>
      <c r="Z2580">
        <v>8.472731E-2</v>
      </c>
      <c r="AA2580">
        <v>0.98804519999999996</v>
      </c>
      <c r="AB2580">
        <v>23</v>
      </c>
      <c r="AC2580">
        <v>1.21159999999997</v>
      </c>
      <c r="AD2580">
        <v>-1.1043782824521</v>
      </c>
      <c r="AE2580">
        <v>-12.7601999999999</v>
      </c>
      <c r="AF2580">
        <v>-1.65943158781103</v>
      </c>
      <c r="AG2580">
        <v>-1.1043782824521</v>
      </c>
      <c r="AH2580">
        <v>12.6144583456591</v>
      </c>
      <c r="AI2580">
        <v>94.960883654748002</v>
      </c>
      <c r="AJ2580">
        <v>97.494225477947793</v>
      </c>
      <c r="AK2580">
        <v>12.770979756453499</v>
      </c>
    </row>
    <row r="2581" spans="1:37" x14ac:dyDescent="0.2">
      <c r="A2581" t="str">
        <f>"20200111155850821"</f>
        <v>20200111155850821</v>
      </c>
      <c r="B2581" t="str">
        <f>"1578729530814450"</f>
        <v>1578729530814450</v>
      </c>
      <c r="C2581" t="s">
        <v>37</v>
      </c>
      <c r="D2581">
        <v>5.540832</v>
      </c>
      <c r="E2581">
        <v>0.48853239999999998</v>
      </c>
      <c r="F2581" t="s">
        <v>39</v>
      </c>
      <c r="G2581">
        <v>-490.71859999999998</v>
      </c>
      <c r="H2581" s="1">
        <v>-2.4521410000000001E-7</v>
      </c>
      <c r="I2581">
        <v>239.715</v>
      </c>
      <c r="J2581">
        <v>-491.9307</v>
      </c>
      <c r="K2581">
        <v>1.10442</v>
      </c>
      <c r="L2581">
        <v>252.38480000000001</v>
      </c>
      <c r="M2581">
        <v>-3.5765030000000003E-2</v>
      </c>
      <c r="N2581">
        <v>0</v>
      </c>
      <c r="O2581">
        <v>-0.9993088</v>
      </c>
      <c r="P2581">
        <v>6.161995E-2</v>
      </c>
      <c r="Q2581">
        <v>-1.703696E-2</v>
      </c>
      <c r="R2581">
        <v>-0.99795460000000002</v>
      </c>
      <c r="S2581">
        <v>0.28009029999999902</v>
      </c>
      <c r="T2581">
        <v>-0.25650429999999902</v>
      </c>
      <c r="U2581">
        <v>-2.98468</v>
      </c>
      <c r="V2581">
        <v>-9.7269830000000002E-2</v>
      </c>
      <c r="W2581">
        <v>-6.9865819999999999E-3</v>
      </c>
      <c r="X2581">
        <v>0.99523349999999899</v>
      </c>
      <c r="Y2581">
        <v>-0.12864389999999901</v>
      </c>
      <c r="Z2581">
        <v>8.5001190000000004E-2</v>
      </c>
      <c r="AA2581">
        <v>0.98804130000000001</v>
      </c>
      <c r="AB2581">
        <v>23</v>
      </c>
      <c r="AC2581">
        <v>1.2121000000000199</v>
      </c>
      <c r="AD2581">
        <v>-1.1044202452141001</v>
      </c>
      <c r="AE2581">
        <v>-12.6698</v>
      </c>
      <c r="AF2581">
        <v>-1.6520442703467</v>
      </c>
      <c r="AG2581">
        <v>-1.1044202452141001</v>
      </c>
      <c r="AH2581">
        <v>12.524039227701</v>
      </c>
      <c r="AI2581">
        <v>94.996476039819399</v>
      </c>
      <c r="AJ2581">
        <v>97.514494113182295</v>
      </c>
      <c r="AK2581">
        <v>12.6807157891902</v>
      </c>
    </row>
    <row r="2582" spans="1:37" x14ac:dyDescent="0.2">
      <c r="A2582" t="str">
        <f>"20200111155851236"</f>
        <v>20200111155851236</v>
      </c>
      <c r="B2582" t="str">
        <f>"1578729531224371"</f>
        <v>1578729531224371</v>
      </c>
      <c r="C2582" t="s">
        <v>37</v>
      </c>
      <c r="D2582">
        <v>5.7547430000000004</v>
      </c>
      <c r="E2582">
        <v>0.48599979999999998</v>
      </c>
      <c r="F2582" t="s">
        <v>39</v>
      </c>
      <c r="G2582">
        <v>-490.6343</v>
      </c>
      <c r="H2582" s="1">
        <v>-4.070262E-6</v>
      </c>
      <c r="I2582">
        <v>238.68360000000001</v>
      </c>
      <c r="J2582">
        <v>-492.05180000000001</v>
      </c>
      <c r="K2582">
        <v>1.1046419999999999</v>
      </c>
      <c r="L2582">
        <v>248.2902</v>
      </c>
      <c r="M2582">
        <v>-2.7691E-2</v>
      </c>
      <c r="N2582">
        <v>0</v>
      </c>
      <c r="O2582">
        <v>-0.99952700000000005</v>
      </c>
      <c r="P2582">
        <v>7.9906089999999999E-2</v>
      </c>
      <c r="Q2582">
        <v>-2.2275940000000001E-2</v>
      </c>
      <c r="R2582">
        <v>-0.99655369999999999</v>
      </c>
      <c r="S2582">
        <v>0.28240969999999999</v>
      </c>
      <c r="T2582">
        <v>-0.24058089999999999</v>
      </c>
      <c r="U2582">
        <v>-2.9845890000000002</v>
      </c>
      <c r="V2582">
        <v>-0.1074683</v>
      </c>
      <c r="W2582">
        <v>-9.0248210000000006E-3</v>
      </c>
      <c r="X2582">
        <v>0.99416759999999904</v>
      </c>
      <c r="Y2582">
        <v>-0.121434999999999</v>
      </c>
      <c r="Z2582">
        <v>7.9826320000000006E-2</v>
      </c>
      <c r="AA2582">
        <v>0.98938429999999999</v>
      </c>
      <c r="AB2582">
        <v>22</v>
      </c>
      <c r="AC2582">
        <v>1.41750000000001</v>
      </c>
      <c r="AD2582">
        <v>-1.104646070262</v>
      </c>
      <c r="AE2582">
        <v>-9.6065999999999807</v>
      </c>
      <c r="AF2582">
        <v>-1.6614958364383701</v>
      </c>
      <c r="AG2582">
        <v>-1.104646070262</v>
      </c>
      <c r="AH2582">
        <v>9.4414820350617106</v>
      </c>
      <c r="AI2582">
        <v>96.573123333372095</v>
      </c>
      <c r="AJ2582">
        <v>99.980622605142898</v>
      </c>
      <c r="AK2582">
        <v>9.6499945271197092</v>
      </c>
    </row>
    <row r="2583" spans="1:37" x14ac:dyDescent="0.2">
      <c r="A2583" t="str">
        <f>"20200111155851249"</f>
        <v>20200111155851249</v>
      </c>
      <c r="B2583" t="str">
        <f>"1578729531243891"</f>
        <v>1578729531243891</v>
      </c>
      <c r="C2583" t="s">
        <v>37</v>
      </c>
      <c r="D2583">
        <v>5.7751419999999998</v>
      </c>
      <c r="E2583">
        <v>0.48463289999999998</v>
      </c>
      <c r="F2583" t="s">
        <v>39</v>
      </c>
      <c r="G2583">
        <v>-490.34449999999998</v>
      </c>
      <c r="H2583" s="1">
        <v>-1.9648459999999998E-6</v>
      </c>
      <c r="I2583">
        <v>233.9555</v>
      </c>
      <c r="J2583">
        <v>-492.05529999999999</v>
      </c>
      <c r="K2583">
        <v>1.1046469999999999</v>
      </c>
      <c r="L2583">
        <v>248.15379999999999</v>
      </c>
      <c r="M2583">
        <v>-2.7421649999999999E-2</v>
      </c>
      <c r="N2583">
        <v>0</v>
      </c>
      <c r="O2583">
        <v>-0.99953400000000003</v>
      </c>
      <c r="P2583">
        <v>8.0625150000000007E-2</v>
      </c>
      <c r="Q2583">
        <v>-2.1505090000000001E-2</v>
      </c>
      <c r="R2583">
        <v>-0.99651270000000003</v>
      </c>
      <c r="S2583">
        <v>0.35455320000000001</v>
      </c>
      <c r="T2583">
        <v>-0.22939879999999899</v>
      </c>
      <c r="U2583">
        <v>-2.97683699999999</v>
      </c>
      <c r="V2583">
        <v>-0.107918899999999</v>
      </c>
      <c r="W2583">
        <v>-8.2341299999999992E-3</v>
      </c>
      <c r="X2583">
        <v>0.99412559999999905</v>
      </c>
      <c r="Y2583">
        <v>-0.14511160000000001</v>
      </c>
      <c r="Z2583">
        <v>7.6115909999999995E-2</v>
      </c>
      <c r="AA2583">
        <v>0.9864832</v>
      </c>
      <c r="AB2583">
        <v>22</v>
      </c>
      <c r="AC2583">
        <v>1.7108000000000001</v>
      </c>
      <c r="AD2583">
        <v>-1.1046489648459901</v>
      </c>
      <c r="AE2583">
        <v>-14.1982999999999</v>
      </c>
      <c r="AF2583">
        <v>-2.0870799209208801</v>
      </c>
      <c r="AG2583">
        <v>-1.1046489648459901</v>
      </c>
      <c r="AH2583">
        <v>14.062141638294399</v>
      </c>
      <c r="AI2583">
        <v>94.443163192965997</v>
      </c>
      <c r="AJ2583">
        <v>98.442117611670994</v>
      </c>
      <c r="AK2583">
        <v>14.2590315024303</v>
      </c>
    </row>
    <row r="2584" spans="1:37" x14ac:dyDescent="0.2">
      <c r="A2584" t="str">
        <f>"20200111155851266"</f>
        <v>20200111155851266</v>
      </c>
      <c r="B2584" t="str">
        <f>"1578729531264387"</f>
        <v>1578729531264387</v>
      </c>
      <c r="C2584" t="s">
        <v>37</v>
      </c>
      <c r="D2584">
        <v>5.7828280000000003</v>
      </c>
      <c r="E2584">
        <v>0.48352479999999998</v>
      </c>
      <c r="F2584" t="s">
        <v>39</v>
      </c>
      <c r="G2584">
        <v>-490.28120000000001</v>
      </c>
      <c r="H2584" s="1">
        <v>-1.8785479999999999E-6</v>
      </c>
      <c r="I2584">
        <v>233.7936</v>
      </c>
      <c r="J2584">
        <v>-492.05930000000001</v>
      </c>
      <c r="K2584">
        <v>1.1046559999999901</v>
      </c>
      <c r="L2584">
        <v>247.99209999999999</v>
      </c>
      <c r="M2584">
        <v>-2.710255E-2</v>
      </c>
      <c r="N2584">
        <v>0</v>
      </c>
      <c r="O2584">
        <v>-0.999542499999999</v>
      </c>
      <c r="P2584">
        <v>8.1623609999999999E-2</v>
      </c>
      <c r="Q2584">
        <v>-2.1129129999999999E-2</v>
      </c>
      <c r="R2584">
        <v>-0.99643959999999998</v>
      </c>
      <c r="S2584">
        <v>0.36764530000000001</v>
      </c>
      <c r="T2584">
        <v>-0.2289138</v>
      </c>
      <c r="U2584">
        <v>-2.9758149999999999</v>
      </c>
      <c r="V2584">
        <v>-0.108598</v>
      </c>
      <c r="W2584">
        <v>-7.8375019999999997E-3</v>
      </c>
      <c r="X2584">
        <v>0.99405489999999996</v>
      </c>
      <c r="Y2584">
        <v>-0.149113</v>
      </c>
      <c r="Z2584">
        <v>7.5939999999999994E-2</v>
      </c>
      <c r="AA2584">
        <v>0.98589979999999999</v>
      </c>
      <c r="AB2584">
        <v>22</v>
      </c>
      <c r="AC2584">
        <v>1.77809999999999</v>
      </c>
      <c r="AD2584">
        <v>-1.1046578785479999</v>
      </c>
      <c r="AE2584">
        <v>-14.1984999999999</v>
      </c>
      <c r="AF2584">
        <v>-2.1494870063437301</v>
      </c>
      <c r="AG2584">
        <v>-1.1046578785479999</v>
      </c>
      <c r="AH2584">
        <v>14.0612892030599</v>
      </c>
      <c r="AI2584">
        <v>94.440569001250694</v>
      </c>
      <c r="AJ2584">
        <v>98.691269979382497</v>
      </c>
      <c r="AK2584">
        <v>14.267460091802199</v>
      </c>
    </row>
    <row r="2585" spans="1:37" x14ac:dyDescent="0.2">
      <c r="A2585" t="str">
        <f>"20200111155851279"</f>
        <v>20200111155851279</v>
      </c>
      <c r="B2585" t="str">
        <f>"1578729531274147"</f>
        <v>1578729531274147</v>
      </c>
      <c r="C2585" t="s">
        <v>37</v>
      </c>
      <c r="D2585">
        <v>5.7828759999999999</v>
      </c>
      <c r="E2585">
        <v>0.48318840000000002</v>
      </c>
      <c r="F2585" t="s">
        <v>39</v>
      </c>
      <c r="G2585">
        <v>-490.23329999999999</v>
      </c>
      <c r="H2585" s="1">
        <v>-1.810183E-6</v>
      </c>
      <c r="I2585">
        <v>233.66399999999999</v>
      </c>
      <c r="J2585">
        <v>-492.0625</v>
      </c>
      <c r="K2585">
        <v>1.1046579999999999</v>
      </c>
      <c r="L2585">
        <v>247.86670000000001</v>
      </c>
      <c r="M2585">
        <v>-2.685452E-2</v>
      </c>
      <c r="N2585">
        <v>0</v>
      </c>
      <c r="O2585">
        <v>-0.99954869999999996</v>
      </c>
      <c r="P2585">
        <v>8.2121600000000003E-2</v>
      </c>
      <c r="Q2585">
        <v>-2.1165639999999999E-2</v>
      </c>
      <c r="R2585">
        <v>-0.99639759999999999</v>
      </c>
      <c r="S2585">
        <v>0.37911990000000001</v>
      </c>
      <c r="T2585">
        <v>-0.22934940000000001</v>
      </c>
      <c r="U2585">
        <v>-2.9748079999999999</v>
      </c>
      <c r="V2585">
        <v>-0.10884779999999999</v>
      </c>
      <c r="W2585">
        <v>-7.8595829999999998E-3</v>
      </c>
      <c r="X2585">
        <v>0.99402739999999901</v>
      </c>
      <c r="Y2585">
        <v>-0.15265000000000001</v>
      </c>
      <c r="Z2585">
        <v>7.6071079999999999E-2</v>
      </c>
      <c r="AA2585">
        <v>0.98534829999999995</v>
      </c>
      <c r="AB2585">
        <v>22</v>
      </c>
      <c r="AC2585">
        <v>1.8292000000000099</v>
      </c>
      <c r="AD2585">
        <v>-1.1046598101830001</v>
      </c>
      <c r="AE2585">
        <v>-14.202699999999901</v>
      </c>
      <c r="AF2585">
        <v>-2.1969082250110898</v>
      </c>
      <c r="AG2585">
        <v>-1.1046598101830001</v>
      </c>
      <c r="AH2585">
        <v>14.0647545511472</v>
      </c>
      <c r="AI2585">
        <v>94.437262597378094</v>
      </c>
      <c r="AJ2585">
        <v>98.877837021020099</v>
      </c>
      <c r="AK2585">
        <v>14.2780950980644</v>
      </c>
    </row>
    <row r="2586" spans="1:37" x14ac:dyDescent="0.2">
      <c r="A2586" t="str">
        <f>"20200111155851293"</f>
        <v>20200111155851293</v>
      </c>
      <c r="B2586" t="str">
        <f>"1578729531283907"</f>
        <v>1578729531283907</v>
      </c>
      <c r="C2586" t="s">
        <v>37</v>
      </c>
      <c r="D2586">
        <v>5.9156300000000002</v>
      </c>
      <c r="E2586">
        <v>0.48260920000000002</v>
      </c>
      <c r="F2586" t="s">
        <v>39</v>
      </c>
      <c r="G2586">
        <v>-490.22899999999998</v>
      </c>
      <c r="H2586" s="1">
        <v>-1.789541E-6</v>
      </c>
      <c r="I2586">
        <v>233.61850000000001</v>
      </c>
      <c r="J2586">
        <v>-492.06569999999999</v>
      </c>
      <c r="K2586">
        <v>1.104662</v>
      </c>
      <c r="L2586">
        <v>247.73249999999999</v>
      </c>
      <c r="M2586">
        <v>-2.6589229999999998E-2</v>
      </c>
      <c r="N2586">
        <v>0</v>
      </c>
      <c r="O2586">
        <v>-0.99955559999999999</v>
      </c>
      <c r="P2586">
        <v>8.2320980000000002E-2</v>
      </c>
      <c r="Q2586">
        <v>-2.1476740000000001E-2</v>
      </c>
      <c r="R2586">
        <v>-0.99637450000000005</v>
      </c>
      <c r="S2586">
        <v>0.38275149999999902</v>
      </c>
      <c r="T2586">
        <v>-0.230604799999999</v>
      </c>
      <c r="U2586">
        <v>-2.974396</v>
      </c>
      <c r="V2586">
        <v>-0.10878210000000001</v>
      </c>
      <c r="W2586">
        <v>-8.1557809999999904E-3</v>
      </c>
      <c r="X2586">
        <v>0.99403209999999997</v>
      </c>
      <c r="Y2586">
        <v>-0.15358429999999901</v>
      </c>
      <c r="Z2586">
        <v>7.648481E-2</v>
      </c>
      <c r="AA2586">
        <v>0.98517099999999902</v>
      </c>
      <c r="AB2586">
        <v>22</v>
      </c>
      <c r="AC2586">
        <v>1.83669999999995</v>
      </c>
      <c r="AD2586">
        <v>-1.1046637895410001</v>
      </c>
      <c r="AE2586">
        <v>-14.1139999999999</v>
      </c>
      <c r="AF2586">
        <v>-2.1981240303679499</v>
      </c>
      <c r="AG2586">
        <v>-1.1046637895410001</v>
      </c>
      <c r="AH2586">
        <v>13.975980312478301</v>
      </c>
      <c r="AI2586">
        <v>94.464615955220196</v>
      </c>
      <c r="AJ2586">
        <v>98.938185660722993</v>
      </c>
      <c r="AK2586">
        <v>14.1908441269569</v>
      </c>
    </row>
    <row r="2587" spans="1:37" x14ac:dyDescent="0.2">
      <c r="A2587" t="str">
        <f>"20200111155851312"</f>
        <v>20200111155851312</v>
      </c>
      <c r="B2587" t="str">
        <f>"1578729531304402"</f>
        <v>1578729531304402</v>
      </c>
      <c r="C2587" t="s">
        <v>37</v>
      </c>
      <c r="D2587">
        <v>5.9001589999999897</v>
      </c>
      <c r="E2587">
        <v>0.482413599999999</v>
      </c>
      <c r="F2587" t="s">
        <v>39</v>
      </c>
      <c r="G2587">
        <v>-490.22199999999998</v>
      </c>
      <c r="H2587" s="1">
        <v>-1.7892279999999899E-6</v>
      </c>
      <c r="I2587">
        <v>233.62219999999999</v>
      </c>
      <c r="J2587">
        <v>-492.07040000000001</v>
      </c>
      <c r="K2587">
        <v>1.1046659999999999</v>
      </c>
      <c r="L2587">
        <v>247.5419</v>
      </c>
      <c r="M2587">
        <v>-2.6212929999999999E-2</v>
      </c>
      <c r="N2587">
        <v>0</v>
      </c>
      <c r="O2587">
        <v>-0.99956540000000005</v>
      </c>
      <c r="P2587">
        <v>8.2191910000000007E-2</v>
      </c>
      <c r="Q2587">
        <v>-2.2252439999999998E-2</v>
      </c>
      <c r="R2587">
        <v>-0.99636829999999998</v>
      </c>
      <c r="S2587">
        <v>0.38858029999999999</v>
      </c>
      <c r="T2587">
        <v>-0.2328131</v>
      </c>
      <c r="U2587">
        <v>-2.9738159999999998</v>
      </c>
      <c r="V2587">
        <v>-0.1082785</v>
      </c>
      <c r="W2587">
        <v>-8.9118830000000007E-3</v>
      </c>
      <c r="X2587">
        <v>0.99408069999999904</v>
      </c>
      <c r="Y2587">
        <v>-0.1551283</v>
      </c>
      <c r="Z2587">
        <v>7.7209840000000002E-2</v>
      </c>
      <c r="AA2587">
        <v>0.98487250000000004</v>
      </c>
      <c r="AB2587">
        <v>22</v>
      </c>
      <c r="AC2587">
        <v>1.84840000000002</v>
      </c>
      <c r="AD2587">
        <v>-1.1046677892279999</v>
      </c>
      <c r="AE2587">
        <v>-13.919700000000001</v>
      </c>
      <c r="AF2587">
        <v>-2.1990642977287398</v>
      </c>
      <c r="AG2587">
        <v>-1.1046677892279999</v>
      </c>
      <c r="AH2587">
        <v>13.7811696241054</v>
      </c>
      <c r="AI2587">
        <v>94.5258871083184</v>
      </c>
      <c r="AJ2587">
        <v>99.066265503664695</v>
      </c>
      <c r="AK2587">
        <v>13.9991717940194</v>
      </c>
    </row>
    <row r="2588" spans="1:37" x14ac:dyDescent="0.2">
      <c r="A2588" t="str">
        <f>"20200111155851326"</f>
        <v>20200111155851326</v>
      </c>
      <c r="B2588" t="str">
        <f>"1578729531323923"</f>
        <v>1578729531323923</v>
      </c>
      <c r="C2588" t="s">
        <v>37</v>
      </c>
      <c r="D2588">
        <v>5.8056219999999996</v>
      </c>
      <c r="E2588">
        <v>0.48198220000000003</v>
      </c>
      <c r="F2588" t="s">
        <v>39</v>
      </c>
      <c r="G2588">
        <v>-490.16269999999997</v>
      </c>
      <c r="H2588" s="1">
        <v>-1.4944499999999999E-6</v>
      </c>
      <c r="I2588">
        <v>232.9718</v>
      </c>
      <c r="J2588">
        <v>-492.07380000000001</v>
      </c>
      <c r="K2588">
        <v>1.104668</v>
      </c>
      <c r="L2588">
        <v>247.3997</v>
      </c>
      <c r="M2588">
        <v>-2.5932190000000001E-2</v>
      </c>
      <c r="N2588">
        <v>0</v>
      </c>
      <c r="O2588">
        <v>-0.99957260000000003</v>
      </c>
      <c r="P2588">
        <v>8.1934069999999998E-2</v>
      </c>
      <c r="Q2588">
        <v>-2.227635E-2</v>
      </c>
      <c r="R2588">
        <v>-0.99638879999999996</v>
      </c>
      <c r="S2588">
        <v>0.38937379999999999</v>
      </c>
      <c r="T2588">
        <v>-0.2254642</v>
      </c>
      <c r="U2588">
        <v>-2.9737849999999999</v>
      </c>
      <c r="V2588">
        <v>-0.1077424</v>
      </c>
      <c r="W2588">
        <v>-8.9222620000000002E-3</v>
      </c>
      <c r="X2588">
        <v>0.99413879999999999</v>
      </c>
      <c r="Y2588">
        <v>-0.15513450000000001</v>
      </c>
      <c r="Z2588">
        <v>7.4786969999999994E-2</v>
      </c>
      <c r="AA2588">
        <v>0.98505849999999995</v>
      </c>
      <c r="AB2588">
        <v>22</v>
      </c>
      <c r="AC2588">
        <v>1.91110000000003</v>
      </c>
      <c r="AD2588">
        <v>-1.10466949445</v>
      </c>
      <c r="AE2588">
        <v>-14.4278999999999</v>
      </c>
      <c r="AF2588">
        <v>-2.2715516943828198</v>
      </c>
      <c r="AG2588">
        <v>-1.10466949445</v>
      </c>
      <c r="AH2588">
        <v>14.291150932419299</v>
      </c>
      <c r="AI2588">
        <v>94.365442862131999</v>
      </c>
      <c r="AJ2588">
        <v>99.031503842012697</v>
      </c>
      <c r="AK2588">
        <v>14.5126578119038</v>
      </c>
    </row>
    <row r="2589" spans="1:37" x14ac:dyDescent="0.2">
      <c r="A2589" t="str">
        <f>"20200111155851345"</f>
        <v>20200111155851345</v>
      </c>
      <c r="B2589" t="str">
        <f>"1578729531333682"</f>
        <v>1578729531333682</v>
      </c>
      <c r="C2589" t="s">
        <v>37</v>
      </c>
      <c r="D2589">
        <v>6.1275550000000001</v>
      </c>
      <c r="E2589">
        <v>0.481325</v>
      </c>
      <c r="F2589" t="s">
        <v>39</v>
      </c>
      <c r="G2589">
        <v>-490.1422</v>
      </c>
      <c r="H2589" s="1">
        <v>-1.3959719999999999E-6</v>
      </c>
      <c r="I2589">
        <v>232.755</v>
      </c>
      <c r="J2589">
        <v>-492.0779</v>
      </c>
      <c r="K2589">
        <v>1.1046609999999999</v>
      </c>
      <c r="L2589">
        <v>247.226</v>
      </c>
      <c r="M2589">
        <v>-2.5588610000000001E-2</v>
      </c>
      <c r="N2589">
        <v>0</v>
      </c>
      <c r="O2589">
        <v>-0.99958139999999995</v>
      </c>
      <c r="P2589">
        <v>8.1488279999999996E-2</v>
      </c>
      <c r="Q2589">
        <v>-2.2677639999999999E-2</v>
      </c>
      <c r="R2589">
        <v>-0.99641650000000004</v>
      </c>
      <c r="S2589">
        <v>0.3922119</v>
      </c>
      <c r="T2589">
        <v>-0.224301899999999</v>
      </c>
      <c r="U2589">
        <v>-2.9736020000000001</v>
      </c>
      <c r="V2589">
        <v>-0.1069555</v>
      </c>
      <c r="W2589">
        <v>-9.3085979999999995E-3</v>
      </c>
      <c r="X2589">
        <v>0.99422029999999995</v>
      </c>
      <c r="Y2589">
        <v>-0.1557308</v>
      </c>
      <c r="Z2589">
        <v>7.4401040000000002E-2</v>
      </c>
      <c r="AA2589">
        <v>0.98499360000000002</v>
      </c>
      <c r="AB2589">
        <v>22</v>
      </c>
      <c r="AC2589">
        <v>1.93569999999999</v>
      </c>
      <c r="AD2589">
        <v>-1.1046623959720001</v>
      </c>
      <c r="AE2589">
        <v>-14.471</v>
      </c>
      <c r="AF2589">
        <v>-2.2922698007543199</v>
      </c>
      <c r="AG2589">
        <v>-1.1046623959720001</v>
      </c>
      <c r="AH2589">
        <v>14.3346613264314</v>
      </c>
      <c r="AI2589">
        <v>94.351566456165102</v>
      </c>
      <c r="AJ2589">
        <v>99.085303928446294</v>
      </c>
      <c r="AK2589">
        <v>14.5587532155749</v>
      </c>
    </row>
    <row r="2590" spans="1:37" x14ac:dyDescent="0.2">
      <c r="A2590" t="str">
        <f>"20200111155851674"</f>
        <v>20200111155851674</v>
      </c>
      <c r="B2590" t="str">
        <f>"1578729531664080"</f>
        <v>1578729531664080</v>
      </c>
      <c r="C2590" t="s">
        <v>37</v>
      </c>
      <c r="D2590">
        <v>5.7386739999999996</v>
      </c>
      <c r="E2590">
        <v>0.48017280000000001</v>
      </c>
      <c r="F2590" t="s">
        <v>39</v>
      </c>
      <c r="G2590">
        <v>-490.09140000000002</v>
      </c>
      <c r="H2590" s="1">
        <v>-1.1909469999999999E-6</v>
      </c>
      <c r="I2590">
        <v>232.30860000000001</v>
      </c>
      <c r="J2590">
        <v>-492.142</v>
      </c>
      <c r="K2590">
        <v>1.1046659999999999</v>
      </c>
      <c r="L2590">
        <v>244.06659999999999</v>
      </c>
      <c r="M2590">
        <v>-1.931795E-2</v>
      </c>
      <c r="N2590">
        <v>0</v>
      </c>
      <c r="O2590">
        <v>-0.99972129999999904</v>
      </c>
      <c r="P2590">
        <v>8.539977E-2</v>
      </c>
      <c r="Q2590">
        <v>-2.6556299999999901E-2</v>
      </c>
      <c r="R2590">
        <v>-0.99599329999999997</v>
      </c>
      <c r="S2590">
        <v>0.39596559999999997</v>
      </c>
      <c r="T2590">
        <v>-0.22018279999999901</v>
      </c>
      <c r="U2590">
        <v>-2.973373</v>
      </c>
      <c r="V2590">
        <v>-0.1046188</v>
      </c>
      <c r="W2590">
        <v>-1.311119E-2</v>
      </c>
      <c r="X2590">
        <v>0.99442600000000003</v>
      </c>
      <c r="Y2590">
        <v>-0.15077779999999999</v>
      </c>
      <c r="Z2590">
        <v>7.3085520000000001E-2</v>
      </c>
      <c r="AA2590">
        <v>0.98586240000000003</v>
      </c>
      <c r="AB2590">
        <v>21</v>
      </c>
      <c r="AC2590">
        <v>2.05059999999997</v>
      </c>
      <c r="AD2590">
        <v>-1.1046671909469901</v>
      </c>
      <c r="AE2590">
        <v>-11.7579999999999</v>
      </c>
      <c r="AF2590">
        <v>-2.25803605696193</v>
      </c>
      <c r="AG2590">
        <v>-1.1046671909469901</v>
      </c>
      <c r="AH2590">
        <v>11.6166786711148</v>
      </c>
      <c r="AI2590">
        <v>95.332884044689905</v>
      </c>
      <c r="AJ2590">
        <v>100.999916666055</v>
      </c>
      <c r="AK2590">
        <v>11.8855475172677</v>
      </c>
    </row>
    <row r="2591" spans="1:37" x14ac:dyDescent="0.2">
      <c r="A2591" t="str">
        <f>"20200111155851692"</f>
        <v>20200111155851692</v>
      </c>
      <c r="B2591" t="str">
        <f>"1578729531684576"</f>
        <v>1578729531684576</v>
      </c>
      <c r="C2591" t="s">
        <v>37</v>
      </c>
      <c r="D2591">
        <v>5.691173</v>
      </c>
      <c r="E2591">
        <v>0.47891440000000002</v>
      </c>
      <c r="F2591" t="s">
        <v>39</v>
      </c>
      <c r="G2591">
        <v>-490.18849999999998</v>
      </c>
      <c r="H2591" s="1">
        <v>-2.7077059999999898E-7</v>
      </c>
      <c r="I2591">
        <v>230.10329999999999</v>
      </c>
      <c r="J2591">
        <v>-492.14479999999998</v>
      </c>
      <c r="K2591">
        <v>1.104662</v>
      </c>
      <c r="L2591">
        <v>243.90010000000001</v>
      </c>
      <c r="M2591">
        <v>-1.8966569999999999E-2</v>
      </c>
      <c r="N2591">
        <v>0</v>
      </c>
      <c r="O2591">
        <v>-0.99972799999999995</v>
      </c>
      <c r="P2591">
        <v>8.6996420000000005E-2</v>
      </c>
      <c r="Q2591">
        <v>-2.8240910000000001E-2</v>
      </c>
      <c r="R2591">
        <v>-0.99580859999999904</v>
      </c>
      <c r="S2591">
        <v>0.41552729999999999</v>
      </c>
      <c r="T2591">
        <v>-0.2349755</v>
      </c>
      <c r="U2591">
        <v>-2.9701390000000001</v>
      </c>
      <c r="V2591">
        <v>-0.10586139999999999</v>
      </c>
      <c r="W2591">
        <v>-1.4800600000000001E-2</v>
      </c>
      <c r="X2591">
        <v>0.99427069999999995</v>
      </c>
      <c r="Y2591">
        <v>-0.15689049999999999</v>
      </c>
      <c r="Z2591">
        <v>7.7979069999999998E-2</v>
      </c>
      <c r="AA2591">
        <v>0.98453269999999904</v>
      </c>
      <c r="AB2591">
        <v>21</v>
      </c>
      <c r="AC2591">
        <v>1.9562999999999899</v>
      </c>
      <c r="AD2591">
        <v>-1.1046622707706</v>
      </c>
      <c r="AE2591">
        <v>-13.796799999999999</v>
      </c>
      <c r="AF2591">
        <v>-2.2038007537850399</v>
      </c>
      <c r="AG2591">
        <v>-1.1046622707706</v>
      </c>
      <c r="AH2591">
        <v>13.6712954487912</v>
      </c>
      <c r="AI2591">
        <v>94.560928458390507</v>
      </c>
      <c r="AJ2591">
        <v>99.157253771911201</v>
      </c>
      <c r="AK2591">
        <v>13.891772231899999</v>
      </c>
    </row>
    <row r="2592" spans="1:37" x14ac:dyDescent="0.2">
      <c r="A2592" t="str">
        <f>"20200111155851707"</f>
        <v>20200111155851707</v>
      </c>
      <c r="B2592" t="str">
        <f>"1578729531704095"</f>
        <v>1578729531704095</v>
      </c>
      <c r="C2592" t="s">
        <v>37</v>
      </c>
      <c r="D2592">
        <v>5.597143</v>
      </c>
      <c r="E2592">
        <v>0.47801099999999902</v>
      </c>
      <c r="F2592" t="s">
        <v>39</v>
      </c>
      <c r="G2592">
        <v>-490.19170000000003</v>
      </c>
      <c r="H2592" s="1">
        <v>-4.0790240000000002E-7</v>
      </c>
      <c r="I2592">
        <v>230.4211</v>
      </c>
      <c r="J2592">
        <v>-492.14690000000002</v>
      </c>
      <c r="K2592">
        <v>1.104665</v>
      </c>
      <c r="L2592">
        <v>243.7662</v>
      </c>
      <c r="M2592">
        <v>-1.8675549999999999E-2</v>
      </c>
      <c r="N2592">
        <v>0</v>
      </c>
      <c r="O2592">
        <v>-0.99973339999999999</v>
      </c>
      <c r="P2592">
        <v>8.8334179999999998E-2</v>
      </c>
      <c r="Q2592">
        <v>-2.873071E-2</v>
      </c>
      <c r="R2592">
        <v>-0.99567680000000003</v>
      </c>
      <c r="S2592">
        <v>0.43008420000000003</v>
      </c>
      <c r="T2592">
        <v>-0.24325140000000001</v>
      </c>
      <c r="U2592">
        <v>-2.96814</v>
      </c>
      <c r="V2592">
        <v>-0.106906399999999</v>
      </c>
      <c r="W2592">
        <v>-1.529492E-2</v>
      </c>
      <c r="X2592">
        <v>0.99415140000000002</v>
      </c>
      <c r="Y2592">
        <v>-0.1613936</v>
      </c>
      <c r="Z2592">
        <v>8.0704739999999997E-2</v>
      </c>
      <c r="AA2592">
        <v>0.98358469999999998</v>
      </c>
      <c r="AB2592">
        <v>21</v>
      </c>
      <c r="AC2592">
        <v>1.9551999999999901</v>
      </c>
      <c r="AD2592">
        <v>-1.1046654079024001</v>
      </c>
      <c r="AE2592">
        <v>-13.3451</v>
      </c>
      <c r="AF2592">
        <v>-2.1894223188224502</v>
      </c>
      <c r="AG2592">
        <v>-1.1046654079024001</v>
      </c>
      <c r="AH2592">
        <v>13.2175905108934</v>
      </c>
      <c r="AI2592">
        <v>94.713483432655593</v>
      </c>
      <c r="AJ2592">
        <v>99.405334645525599</v>
      </c>
      <c r="AK2592">
        <v>13.443160144372101</v>
      </c>
    </row>
    <row r="2593" spans="1:37" x14ac:dyDescent="0.2">
      <c r="A2593" t="str">
        <f>"20200111155851724"</f>
        <v>20200111155851724</v>
      </c>
      <c r="B2593" t="str">
        <f>"1578729531713855"</f>
        <v>1578729531713855</v>
      </c>
      <c r="C2593" t="s">
        <v>37</v>
      </c>
      <c r="D2593">
        <v>5.5644150000000003</v>
      </c>
      <c r="E2593">
        <v>0.47768159999999998</v>
      </c>
      <c r="F2593" t="s">
        <v>39</v>
      </c>
      <c r="G2593">
        <v>-490.16669999999999</v>
      </c>
      <c r="H2593" s="1">
        <v>-4.1304659999999901E-7</v>
      </c>
      <c r="I2593">
        <v>230.4485</v>
      </c>
      <c r="J2593">
        <v>-492.1497</v>
      </c>
      <c r="K2593">
        <v>1.104679</v>
      </c>
      <c r="L2593">
        <v>243.59270000000001</v>
      </c>
      <c r="M2593">
        <v>-1.8279179999999999E-2</v>
      </c>
      <c r="N2593">
        <v>0</v>
      </c>
      <c r="O2593">
        <v>-0.99974089999999904</v>
      </c>
      <c r="P2593">
        <v>9.0932789999999999E-2</v>
      </c>
      <c r="Q2593">
        <v>-2.9759799999999999E-2</v>
      </c>
      <c r="R2593">
        <v>-0.99541259999999998</v>
      </c>
      <c r="S2593">
        <v>0.44113159999999901</v>
      </c>
      <c r="T2593">
        <v>-0.246086</v>
      </c>
      <c r="U2593">
        <v>-2.9667819999999998</v>
      </c>
      <c r="V2593">
        <v>-0.109104399999999</v>
      </c>
      <c r="W2593">
        <v>-1.6333190000000001E-2</v>
      </c>
      <c r="X2593">
        <v>0.99389609999999995</v>
      </c>
      <c r="Y2593">
        <v>-0.16463949999999999</v>
      </c>
      <c r="Z2593">
        <v>8.1632650000000001E-2</v>
      </c>
      <c r="AA2593">
        <v>0.98296989999999995</v>
      </c>
      <c r="AB2593">
        <v>21</v>
      </c>
      <c r="AC2593">
        <v>1.9830000000000001</v>
      </c>
      <c r="AD2593">
        <v>-1.1046794130466</v>
      </c>
      <c r="AE2593">
        <v>-13.1442</v>
      </c>
      <c r="AF2593">
        <v>-2.2077093549892499</v>
      </c>
      <c r="AG2593">
        <v>-1.1046794130466</v>
      </c>
      <c r="AH2593">
        <v>13.0158641956758</v>
      </c>
      <c r="AI2593">
        <v>94.783174432856896</v>
      </c>
      <c r="AJ2593">
        <v>99.626705438856405</v>
      </c>
      <c r="AK2593">
        <v>13.247906172750101</v>
      </c>
    </row>
    <row r="2594" spans="1:37" x14ac:dyDescent="0.2">
      <c r="A2594" t="str">
        <f>"20200111155851737"</f>
        <v>20200111155851737</v>
      </c>
      <c r="B2594" t="str">
        <f>"1578729531734352"</f>
        <v>1578729531734352</v>
      </c>
      <c r="C2594" t="s">
        <v>37</v>
      </c>
      <c r="D2594">
        <v>5.5318949999999996</v>
      </c>
      <c r="E2594">
        <v>0.47712169999999998</v>
      </c>
      <c r="F2594" t="s">
        <v>39</v>
      </c>
      <c r="G2594">
        <v>-490.15159999999997</v>
      </c>
      <c r="H2594" s="1">
        <v>-4.1853949999999997E-7</v>
      </c>
      <c r="I2594">
        <v>230.47069999999999</v>
      </c>
      <c r="J2594">
        <v>-492.15159999999997</v>
      </c>
      <c r="K2594">
        <v>1.1046910000000001</v>
      </c>
      <c r="L2594">
        <v>243.47120000000001</v>
      </c>
      <c r="M2594">
        <v>-1.798311E-2</v>
      </c>
      <c r="N2594">
        <v>0</v>
      </c>
      <c r="O2594">
        <v>-0.99974609999999997</v>
      </c>
      <c r="P2594">
        <v>9.2736830000000006E-2</v>
      </c>
      <c r="Q2594">
        <v>-2.9736749999999999E-2</v>
      </c>
      <c r="R2594">
        <v>-0.99524669999999904</v>
      </c>
      <c r="S2594">
        <v>0.45150760000000001</v>
      </c>
      <c r="T2594">
        <v>-0.2496207</v>
      </c>
      <c r="U2594">
        <v>-2.9651339999999999</v>
      </c>
      <c r="V2594">
        <v>-0.1106105</v>
      </c>
      <c r="W2594">
        <v>-1.6317430000000001E-2</v>
      </c>
      <c r="X2594">
        <v>0.99372990000000005</v>
      </c>
      <c r="Y2594">
        <v>-0.16777510000000001</v>
      </c>
      <c r="Z2594">
        <v>8.2799609999999996E-2</v>
      </c>
      <c r="AA2594">
        <v>0.98234189999999999</v>
      </c>
      <c r="AB2594">
        <v>21</v>
      </c>
      <c r="AC2594">
        <v>2</v>
      </c>
      <c r="AD2594">
        <v>-1.1046914185395</v>
      </c>
      <c r="AE2594">
        <v>-13.000500000000001</v>
      </c>
      <c r="AF2594">
        <v>-2.2178439848476801</v>
      </c>
      <c r="AG2594">
        <v>-1.1046914185395</v>
      </c>
      <c r="AH2594">
        <v>12.871637980487201</v>
      </c>
      <c r="AI2594">
        <v>94.834420495397396</v>
      </c>
      <c r="AJ2594">
        <v>99.776337932128399</v>
      </c>
      <c r="AK2594">
        <v>13.1079456579603</v>
      </c>
    </row>
    <row r="2595" spans="1:37" x14ac:dyDescent="0.2">
      <c r="A2595" t="str">
        <f>"20200111155851750"</f>
        <v>20200111155851750</v>
      </c>
      <c r="B2595" t="str">
        <f>"1578729531744111"</f>
        <v>1578729531744111</v>
      </c>
      <c r="C2595" t="s">
        <v>37</v>
      </c>
      <c r="D2595">
        <v>5.4820679999999999</v>
      </c>
      <c r="E2595">
        <v>0.4768425</v>
      </c>
      <c r="F2595" t="s">
        <v>39</v>
      </c>
      <c r="G2595">
        <v>-490.11180000000002</v>
      </c>
      <c r="H2595" s="1">
        <v>-3.649756E-7</v>
      </c>
      <c r="I2595">
        <v>230.37049999999999</v>
      </c>
      <c r="J2595">
        <v>-492.15359999999998</v>
      </c>
      <c r="K2595">
        <v>1.1047089999999999</v>
      </c>
      <c r="L2595">
        <v>243.34190000000001</v>
      </c>
      <c r="M2595">
        <v>-1.765245E-2</v>
      </c>
      <c r="N2595">
        <v>0</v>
      </c>
      <c r="O2595">
        <v>-0.99975219999999898</v>
      </c>
      <c r="P2595">
        <v>9.5036250000000003E-2</v>
      </c>
      <c r="Q2595">
        <v>-2.9987050000000001E-2</v>
      </c>
      <c r="R2595">
        <v>-0.99502239999999997</v>
      </c>
      <c r="S2595">
        <v>0.46148679999999997</v>
      </c>
      <c r="T2595">
        <v>-0.24992139999999999</v>
      </c>
      <c r="U2595">
        <v>-2.9638369999999998</v>
      </c>
      <c r="V2595">
        <v>-0.1125762</v>
      </c>
      <c r="W2595">
        <v>-1.657751E-2</v>
      </c>
      <c r="X2595">
        <v>0.99350479999999997</v>
      </c>
      <c r="Y2595">
        <v>-0.170742</v>
      </c>
      <c r="Z2595">
        <v>8.2892779999999999E-2</v>
      </c>
      <c r="AA2595">
        <v>0.9818228</v>
      </c>
      <c r="AB2595">
        <v>21</v>
      </c>
      <c r="AC2595">
        <v>2.0417999999999599</v>
      </c>
      <c r="AD2595">
        <v>-1.1047093649755999</v>
      </c>
      <c r="AE2595">
        <v>-12.971399999999999</v>
      </c>
      <c r="AF2595">
        <v>-2.25452298081035</v>
      </c>
      <c r="AG2595">
        <v>-1.1047093649755999</v>
      </c>
      <c r="AH2595">
        <v>12.8424373049307</v>
      </c>
      <c r="AI2595">
        <v>94.842795469008394</v>
      </c>
      <c r="AJ2595">
        <v>99.956962239006401</v>
      </c>
      <c r="AK2595">
        <v>13.0855436487424</v>
      </c>
    </row>
    <row r="2596" spans="1:37" x14ac:dyDescent="0.2">
      <c r="A2596" t="str">
        <f>"20200111155851764"</f>
        <v>20200111155851764</v>
      </c>
      <c r="B2596" t="str">
        <f>"1578729531753872"</f>
        <v>1578729531753872</v>
      </c>
      <c r="C2596" t="s">
        <v>37</v>
      </c>
      <c r="D2596">
        <v>5.5332869999999996</v>
      </c>
      <c r="E2596">
        <v>0.47660849999999999</v>
      </c>
      <c r="F2596" t="s">
        <v>39</v>
      </c>
      <c r="G2596">
        <v>-490.08479999999997</v>
      </c>
      <c r="H2596" s="1">
        <v>-3.3012879999999899E-7</v>
      </c>
      <c r="I2596">
        <v>230.30609999999999</v>
      </c>
      <c r="J2596">
        <v>-492.15539999999999</v>
      </c>
      <c r="K2596">
        <v>1.104733</v>
      </c>
      <c r="L2596">
        <v>243.2139</v>
      </c>
      <c r="M2596">
        <v>-1.7306530000000001E-2</v>
      </c>
      <c r="N2596">
        <v>0</v>
      </c>
      <c r="O2596">
        <v>-0.99975820000000004</v>
      </c>
      <c r="P2596">
        <v>9.6687399999999896E-2</v>
      </c>
      <c r="Q2596">
        <v>-3.0138669999999999E-2</v>
      </c>
      <c r="R2596">
        <v>-0.99485859999999904</v>
      </c>
      <c r="S2596">
        <v>0.47015379999999901</v>
      </c>
      <c r="T2596">
        <v>-0.251056</v>
      </c>
      <c r="U2596">
        <v>-2.9625240000000002</v>
      </c>
      <c r="V2596">
        <v>-0.11387949999999999</v>
      </c>
      <c r="W2596">
        <v>-1.673871E-2</v>
      </c>
      <c r="X2596">
        <v>0.9933535</v>
      </c>
      <c r="Y2596">
        <v>-0.1732648</v>
      </c>
      <c r="Z2596">
        <v>8.3266220000000002E-2</v>
      </c>
      <c r="AA2596">
        <v>0.98134909999999997</v>
      </c>
      <c r="AB2596">
        <v>21</v>
      </c>
      <c r="AC2596">
        <v>2.07060000000001</v>
      </c>
      <c r="AD2596">
        <v>-1.1047333301288</v>
      </c>
      <c r="AE2596">
        <v>-12.9078</v>
      </c>
      <c r="AF2596">
        <v>-2.2774358045664802</v>
      </c>
      <c r="AG2596">
        <v>-1.1047333301288</v>
      </c>
      <c r="AH2596">
        <v>12.7787714420116</v>
      </c>
      <c r="AI2596">
        <v>94.864696816942399</v>
      </c>
      <c r="AJ2596">
        <v>100.105171050051</v>
      </c>
      <c r="AK2596">
        <v>13.027054507515899</v>
      </c>
    </row>
    <row r="2597" spans="1:37" x14ac:dyDescent="0.2">
      <c r="A2597" t="str">
        <f>"20200111155851781"</f>
        <v>20200111155851781</v>
      </c>
      <c r="B2597" t="str">
        <f>"1578729531763631"</f>
        <v>1578729531763631</v>
      </c>
      <c r="C2597" t="s">
        <v>37</v>
      </c>
      <c r="D2597">
        <v>5.5043009999999999</v>
      </c>
      <c r="E2597">
        <v>0.476412</v>
      </c>
      <c r="F2597" t="s">
        <v>39</v>
      </c>
      <c r="G2597">
        <v>-490.06220000000002</v>
      </c>
      <c r="H2597" s="1">
        <v>-2.8940959999999997E-7</v>
      </c>
      <c r="I2597">
        <v>230.2252</v>
      </c>
      <c r="J2597">
        <v>-492.1576</v>
      </c>
      <c r="K2597">
        <v>1.1047719999999901</v>
      </c>
      <c r="L2597">
        <v>243.05680000000001</v>
      </c>
      <c r="M2597">
        <v>-1.6830979999999999E-2</v>
      </c>
      <c r="N2597">
        <v>0</v>
      </c>
      <c r="O2597">
        <v>-0.99976609999999999</v>
      </c>
      <c r="P2597">
        <v>0.1003761</v>
      </c>
      <c r="Q2597">
        <v>-3.062643E-2</v>
      </c>
      <c r="R2597">
        <v>-0.99447819999999998</v>
      </c>
      <c r="S2597">
        <v>0.47726439999999998</v>
      </c>
      <c r="T2597">
        <v>-0.25188299999999902</v>
      </c>
      <c r="U2597">
        <v>-2.961487</v>
      </c>
      <c r="V2597">
        <v>-0.117086999999999</v>
      </c>
      <c r="W2597">
        <v>-1.7244880000000001E-2</v>
      </c>
      <c r="X2597">
        <v>0.99297190000000002</v>
      </c>
      <c r="Y2597">
        <v>-0.1751431</v>
      </c>
      <c r="Z2597">
        <v>8.3538639999999997E-2</v>
      </c>
      <c r="AA2597">
        <v>0.98099239999999999</v>
      </c>
      <c r="AB2597">
        <v>21</v>
      </c>
      <c r="AC2597">
        <v>2.0953999999999802</v>
      </c>
      <c r="AD2597">
        <v>-1.1047722894095999</v>
      </c>
      <c r="AE2597">
        <v>-12.8316</v>
      </c>
      <c r="AF2597">
        <v>-2.29452433403184</v>
      </c>
      <c r="AG2597">
        <v>-1.1047722894095999</v>
      </c>
      <c r="AH2597">
        <v>12.7027933733889</v>
      </c>
      <c r="AI2597">
        <v>94.891783617660394</v>
      </c>
      <c r="AJ2597">
        <v>100.23901537402401</v>
      </c>
      <c r="AK2597">
        <v>12.955551829927</v>
      </c>
    </row>
    <row r="2598" spans="1:37" x14ac:dyDescent="0.2">
      <c r="A2598" t="str">
        <f>"20200111155851794"</f>
        <v>20200111155851794</v>
      </c>
      <c r="B2598" t="str">
        <f>"1578729531763631"</f>
        <v>1578729531763631</v>
      </c>
      <c r="C2598" t="s">
        <v>37</v>
      </c>
      <c r="D2598">
        <v>5.5043009999999999</v>
      </c>
      <c r="E2598">
        <v>0.476412</v>
      </c>
      <c r="F2598" t="s">
        <v>39</v>
      </c>
      <c r="G2598">
        <v>-490.02440000000001</v>
      </c>
      <c r="H2598" s="1">
        <v>-2.4969590000000002E-7</v>
      </c>
      <c r="I2598">
        <v>230.15599999999901</v>
      </c>
      <c r="J2598">
        <v>-492.1592</v>
      </c>
      <c r="K2598">
        <v>1.104808</v>
      </c>
      <c r="L2598">
        <v>242.9325</v>
      </c>
      <c r="M2598">
        <v>-1.641424E-2</v>
      </c>
      <c r="N2598">
        <v>0</v>
      </c>
      <c r="O2598">
        <v>-0.99977329999999998</v>
      </c>
      <c r="P2598">
        <v>0.10261480000000001</v>
      </c>
      <c r="Q2598">
        <v>-3.0677280000000001E-2</v>
      </c>
      <c r="R2598">
        <v>-0.99424840000000003</v>
      </c>
      <c r="S2598">
        <v>0.48934939999999999</v>
      </c>
      <c r="T2598">
        <v>-0.25343539999999998</v>
      </c>
      <c r="U2598">
        <v>-2.959457</v>
      </c>
      <c r="V2598">
        <v>-0.11890589999999999</v>
      </c>
      <c r="W2598">
        <v>-1.7310860000000001E-2</v>
      </c>
      <c r="X2598">
        <v>0.99275460000000004</v>
      </c>
      <c r="Y2598">
        <v>-0.1787319</v>
      </c>
      <c r="Z2598">
        <v>8.4052559999999998E-2</v>
      </c>
      <c r="AA2598">
        <v>0.98030099999999998</v>
      </c>
      <c r="AB2598">
        <v>21</v>
      </c>
      <c r="AC2598">
        <v>2.1347999999999798</v>
      </c>
      <c r="AD2598">
        <v>-1.1048082496959</v>
      </c>
      <c r="AE2598">
        <v>-12.7765</v>
      </c>
      <c r="AF2598">
        <v>-2.3273185468554001</v>
      </c>
      <c r="AG2598">
        <v>-1.1048082496959</v>
      </c>
      <c r="AH2598">
        <v>12.64773063352</v>
      </c>
      <c r="AI2598">
        <v>94.910220978359106</v>
      </c>
      <c r="AJ2598">
        <v>100.42640492925899</v>
      </c>
      <c r="AK2598">
        <v>12.9074437076136</v>
      </c>
    </row>
    <row r="2599" spans="1:37" x14ac:dyDescent="0.2">
      <c r="A2599" t="str">
        <f>"20200111155851808"</f>
        <v>20200111155851808</v>
      </c>
      <c r="B2599" t="str">
        <f>"1578729531763631"</f>
        <v>1578729531763631</v>
      </c>
      <c r="C2599" t="s">
        <v>37</v>
      </c>
      <c r="D2599">
        <v>5.5043009999999999</v>
      </c>
      <c r="E2599">
        <v>0.476412</v>
      </c>
      <c r="F2599" t="s">
        <v>39</v>
      </c>
      <c r="G2599">
        <v>-489.99770000000001</v>
      </c>
      <c r="H2599" s="1">
        <v>-1.962405E-7</v>
      </c>
      <c r="I2599">
        <v>230.048</v>
      </c>
      <c r="J2599">
        <v>-492.16079999999999</v>
      </c>
      <c r="K2599">
        <v>1.1048549999999999</v>
      </c>
      <c r="L2599">
        <v>242.80289999999999</v>
      </c>
      <c r="M2599">
        <v>-1.5947099999999999E-2</v>
      </c>
      <c r="N2599">
        <v>0</v>
      </c>
      <c r="O2599">
        <v>-0.99978080000000003</v>
      </c>
      <c r="P2599">
        <v>0.1044371</v>
      </c>
      <c r="Q2599">
        <v>-3.0541869999999999E-2</v>
      </c>
      <c r="R2599">
        <v>-0.99406269999999997</v>
      </c>
      <c r="S2599">
        <v>0.49630740000000001</v>
      </c>
      <c r="T2599">
        <v>-0.25366650000000002</v>
      </c>
      <c r="U2599">
        <v>-2.958313</v>
      </c>
      <c r="V2599">
        <v>-0.1202598</v>
      </c>
      <c r="W2599">
        <v>-1.719161E-2</v>
      </c>
      <c r="X2599">
        <v>0.99259359999999996</v>
      </c>
      <c r="Y2599">
        <v>-0.1805754</v>
      </c>
      <c r="Z2599">
        <v>8.4131200000000003E-2</v>
      </c>
      <c r="AA2599">
        <v>0.97995639999999995</v>
      </c>
      <c r="AB2599">
        <v>21</v>
      </c>
      <c r="AC2599">
        <v>2.16309999999998</v>
      </c>
      <c r="AD2599">
        <v>-1.1048551962405</v>
      </c>
      <c r="AE2599">
        <v>-12.7548999999999</v>
      </c>
      <c r="AF2599">
        <v>-2.3491137602276</v>
      </c>
      <c r="AG2599">
        <v>-1.1048551962405</v>
      </c>
      <c r="AH2599">
        <v>12.6266853437969</v>
      </c>
      <c r="AI2599">
        <v>94.916793182234102</v>
      </c>
      <c r="AJ2599">
        <v>100.539021445374</v>
      </c>
      <c r="AK2599">
        <v>12.8907805517899</v>
      </c>
    </row>
    <row r="2600" spans="1:37" x14ac:dyDescent="0.2">
      <c r="A2600" t="str">
        <f>"20200111155851827"</f>
        <v>20200111155851827</v>
      </c>
      <c r="B2600" t="str">
        <f>"1578729531763631"</f>
        <v>1578729531763631</v>
      </c>
      <c r="C2600" t="s">
        <v>37</v>
      </c>
      <c r="D2600">
        <v>5.5043009999999999</v>
      </c>
      <c r="E2600">
        <v>0.476412</v>
      </c>
      <c r="F2600" t="s">
        <v>39</v>
      </c>
      <c r="G2600">
        <v>-489.97590000000002</v>
      </c>
      <c r="H2600" s="1">
        <v>-1.31472299999999E-7</v>
      </c>
      <c r="I2600">
        <v>229.91050000000001</v>
      </c>
      <c r="J2600">
        <v>-492.16269999999997</v>
      </c>
      <c r="K2600">
        <v>1.104932</v>
      </c>
      <c r="L2600">
        <v>242.64259999999999</v>
      </c>
      <c r="M2600">
        <v>-1.530105E-2</v>
      </c>
      <c r="N2600">
        <v>0</v>
      </c>
      <c r="O2600">
        <v>-0.99979099999999999</v>
      </c>
      <c r="P2600">
        <v>0.10781399999999999</v>
      </c>
      <c r="Q2600">
        <v>-2.912698E-2</v>
      </c>
      <c r="R2600">
        <v>-0.99374479999999998</v>
      </c>
      <c r="S2600">
        <v>0.50122069999999996</v>
      </c>
      <c r="T2600">
        <v>-0.25345099999999998</v>
      </c>
      <c r="U2600">
        <v>-2.9574889999999998</v>
      </c>
      <c r="V2600">
        <v>-0.1229894</v>
      </c>
      <c r="W2600">
        <v>-1.5802480000000001E-2</v>
      </c>
      <c r="X2600">
        <v>0.9922822</v>
      </c>
      <c r="Y2600">
        <v>-0.18156829999999999</v>
      </c>
      <c r="Z2600">
        <v>8.4065280000000006E-2</v>
      </c>
      <c r="AA2600">
        <v>0.9797785</v>
      </c>
      <c r="AB2600">
        <v>21</v>
      </c>
      <c r="AC2600">
        <v>2.1867999999999399</v>
      </c>
      <c r="AD2600">
        <v>-1.1049321314723</v>
      </c>
      <c r="AE2600">
        <v>-12.7320999999999</v>
      </c>
      <c r="AF2600">
        <v>-2.3640818810250401</v>
      </c>
      <c r="AG2600">
        <v>-1.1049321314723</v>
      </c>
      <c r="AH2600">
        <v>12.604934211919501</v>
      </c>
      <c r="AI2600">
        <v>94.924242806405303</v>
      </c>
      <c r="AJ2600">
        <v>100.62253897451799</v>
      </c>
      <c r="AK2600">
        <v>12.8722229875873</v>
      </c>
    </row>
    <row r="2601" spans="1:37" x14ac:dyDescent="0.2">
      <c r="A2601" t="str">
        <f>"20200111155851859"</f>
        <v>20200111155851859</v>
      </c>
      <c r="B2601" t="str">
        <f>"1578729531854399"</f>
        <v>1578729531854399</v>
      </c>
      <c r="C2601" t="s">
        <v>37</v>
      </c>
      <c r="D2601">
        <v>5.4038570000000004</v>
      </c>
      <c r="E2601">
        <v>0.47632959999999902</v>
      </c>
      <c r="F2601" t="s">
        <v>49</v>
      </c>
      <c r="G2601">
        <v>-489.90190000000001</v>
      </c>
      <c r="H2601" s="1">
        <v>6.5999069999999899E-6</v>
      </c>
      <c r="I2601">
        <v>229.55799999999999</v>
      </c>
      <c r="J2601">
        <v>-492.16570000000002</v>
      </c>
      <c r="K2601">
        <v>1.105116</v>
      </c>
      <c r="L2601">
        <v>242.32640000000001</v>
      </c>
      <c r="M2601">
        <v>-1.376614E-2</v>
      </c>
      <c r="N2601">
        <v>0</v>
      </c>
      <c r="O2601">
        <v>-0.99981319999999996</v>
      </c>
      <c r="P2601">
        <v>0.11017249999999899</v>
      </c>
      <c r="Q2601">
        <v>-2.5912069999999999E-2</v>
      </c>
      <c r="R2601">
        <v>-0.99357499999999999</v>
      </c>
      <c r="S2601">
        <v>0.51077269999999997</v>
      </c>
      <c r="T2601">
        <v>-0.24963369999999999</v>
      </c>
      <c r="U2601">
        <v>-2.9561769999999998</v>
      </c>
      <c r="V2601">
        <v>-0.123821499999999</v>
      </c>
      <c r="W2601">
        <v>-1.2631409999999999E-2</v>
      </c>
      <c r="X2601">
        <v>0.99222410000000005</v>
      </c>
      <c r="Y2601">
        <v>-0.18322379999999999</v>
      </c>
      <c r="Z2601">
        <v>8.281173E-2</v>
      </c>
      <c r="AA2601">
        <v>0.97957709999999998</v>
      </c>
      <c r="AB2601">
        <v>21</v>
      </c>
      <c r="AC2601">
        <v>2.2637999999999998</v>
      </c>
      <c r="AD2601">
        <v>-1.105109400093</v>
      </c>
      <c r="AE2601">
        <v>-12.7684</v>
      </c>
      <c r="AF2601">
        <v>-2.4217845969148302</v>
      </c>
      <c r="AG2601">
        <v>-1.105109400093</v>
      </c>
      <c r="AH2601">
        <v>12.644192674887501</v>
      </c>
      <c r="AI2601">
        <v>94.906254506575394</v>
      </c>
      <c r="AJ2601">
        <v>100.842736700131</v>
      </c>
      <c r="AK2601">
        <v>12.9213743781266</v>
      </c>
    </row>
    <row r="2602" spans="1:37" x14ac:dyDescent="0.2">
      <c r="A2602" t="str">
        <f>"20200111155851873"</f>
        <v>20200111155851873</v>
      </c>
      <c r="B2602" t="str">
        <f>"1578729531864160"</f>
        <v>1578729531864160</v>
      </c>
      <c r="C2602" t="s">
        <v>37</v>
      </c>
      <c r="D2602">
        <v>5.416817</v>
      </c>
      <c r="E2602">
        <v>0.47628329999999902</v>
      </c>
      <c r="F2602" t="s">
        <v>49</v>
      </c>
      <c r="G2602">
        <v>-489.77710000000002</v>
      </c>
      <c r="H2602" s="1">
        <v>6.3050760000000002E-6</v>
      </c>
      <c r="I2602">
        <v>228.71350000000001</v>
      </c>
      <c r="J2602">
        <v>-492.16669999999999</v>
      </c>
      <c r="K2602">
        <v>1.1052</v>
      </c>
      <c r="L2602">
        <v>242.18809999999999</v>
      </c>
      <c r="M2602">
        <v>-1.2972279999999999E-2</v>
      </c>
      <c r="N2602">
        <v>0</v>
      </c>
      <c r="O2602">
        <v>-0.99982369999999898</v>
      </c>
      <c r="P2602">
        <v>0.110419499999999</v>
      </c>
      <c r="Q2602">
        <v>-2.4094930000000001E-2</v>
      </c>
      <c r="R2602">
        <v>-0.99359310000000001</v>
      </c>
      <c r="S2602">
        <v>0.51861570000000001</v>
      </c>
      <c r="T2602">
        <v>-0.239940299999999</v>
      </c>
      <c r="U2602">
        <v>-2.9556119999999999</v>
      </c>
      <c r="V2602">
        <v>-0.1232819</v>
      </c>
      <c r="W2602">
        <v>-1.083313E-2</v>
      </c>
      <c r="X2602">
        <v>0.99231259999999999</v>
      </c>
      <c r="Y2602">
        <v>-0.1850426</v>
      </c>
      <c r="Z2602">
        <v>7.9601889999999995E-2</v>
      </c>
      <c r="AA2602">
        <v>0.97950130000000002</v>
      </c>
      <c r="AB2602">
        <v>21</v>
      </c>
      <c r="AC2602">
        <v>2.38959999999997</v>
      </c>
      <c r="AD2602">
        <v>-1.105193694924</v>
      </c>
      <c r="AE2602">
        <v>-13.474599999999899</v>
      </c>
      <c r="AF2602">
        <v>-2.5475952533247801</v>
      </c>
      <c r="AG2602">
        <v>-1.105193694924</v>
      </c>
      <c r="AH2602">
        <v>13.3553576971096</v>
      </c>
      <c r="AI2602">
        <v>94.647192320646397</v>
      </c>
      <c r="AJ2602">
        <v>100.79968754598001</v>
      </c>
      <c r="AK2602">
        <v>13.6410144012755</v>
      </c>
    </row>
    <row r="2603" spans="1:37" x14ac:dyDescent="0.2">
      <c r="A2603" t="str">
        <f>"20200111155851887"</f>
        <v>20200111155851887</v>
      </c>
      <c r="B2603" t="str">
        <f>"1578729531883680"</f>
        <v>1578729531883680</v>
      </c>
      <c r="C2603" t="s">
        <v>37</v>
      </c>
      <c r="D2603">
        <v>5.4010739999999897</v>
      </c>
      <c r="E2603">
        <v>0.47620499999999999</v>
      </c>
      <c r="F2603" t="s">
        <v>49</v>
      </c>
      <c r="G2603">
        <v>-489.71440000000001</v>
      </c>
      <c r="H2603" s="1">
        <v>6.1432650000000002E-6</v>
      </c>
      <c r="I2603">
        <v>228.245</v>
      </c>
      <c r="J2603">
        <v>-492.16759999999999</v>
      </c>
      <c r="K2603">
        <v>1.1052879999999901</v>
      </c>
      <c r="L2603">
        <v>242.06360000000001</v>
      </c>
      <c r="M2603">
        <v>-1.219114E-2</v>
      </c>
      <c r="N2603">
        <v>0</v>
      </c>
      <c r="O2603">
        <v>-0.99983359999999899</v>
      </c>
      <c r="P2603">
        <v>0.11030959999999999</v>
      </c>
      <c r="Q2603">
        <v>-2.2229949999999998E-2</v>
      </c>
      <c r="R2603">
        <v>-0.99364889999999995</v>
      </c>
      <c r="S2603">
        <v>0.51989750000000001</v>
      </c>
      <c r="T2603">
        <v>-0.234298799999999</v>
      </c>
      <c r="U2603">
        <v>-2.9559169999999999</v>
      </c>
      <c r="V2603">
        <v>-0.122399299999999</v>
      </c>
      <c r="W2603">
        <v>-8.9854770000000004E-3</v>
      </c>
      <c r="X2603">
        <v>0.99244030000000005</v>
      </c>
      <c r="Y2603">
        <v>-0.1846952</v>
      </c>
      <c r="Z2603">
        <v>7.7734919999999999E-2</v>
      </c>
      <c r="AA2603">
        <v>0.97971679999999906</v>
      </c>
      <c r="AB2603">
        <v>21</v>
      </c>
      <c r="AC2603">
        <v>2.4531999999999798</v>
      </c>
      <c r="AD2603">
        <v>-1.10528185673499</v>
      </c>
      <c r="AE2603">
        <v>-13.8186</v>
      </c>
      <c r="AF2603">
        <v>-2.6053389717628699</v>
      </c>
      <c r="AG2603">
        <v>-1.10528185673499</v>
      </c>
      <c r="AH2603">
        <v>13.7026768575037</v>
      </c>
      <c r="AI2603">
        <v>94.530772113926901</v>
      </c>
      <c r="AJ2603">
        <v>100.76535367024999</v>
      </c>
      <c r="AK2603">
        <v>13.991883082765501</v>
      </c>
    </row>
    <row r="2604" spans="1:37" x14ac:dyDescent="0.2">
      <c r="A2604" t="str">
        <f>"20200111155851903"</f>
        <v>20200111155851903</v>
      </c>
      <c r="B2604" t="str">
        <f>"1578729531894415"</f>
        <v>1578729531894415</v>
      </c>
      <c r="C2604" t="s">
        <v>37</v>
      </c>
      <c r="D2604">
        <v>5.3896489999999897</v>
      </c>
      <c r="E2604">
        <v>0.4761725</v>
      </c>
      <c r="F2604" t="s">
        <v>49</v>
      </c>
      <c r="G2604">
        <v>-489.65710000000001</v>
      </c>
      <c r="H2604" s="1">
        <v>5.99335799999999E-6</v>
      </c>
      <c r="I2604">
        <v>227.81030000000001</v>
      </c>
      <c r="J2604">
        <v>-492.16820000000001</v>
      </c>
      <c r="K2604">
        <v>1.1054139999999999</v>
      </c>
      <c r="L2604">
        <v>241.91419999999999</v>
      </c>
      <c r="M2604">
        <v>-1.1125090000000001E-2</v>
      </c>
      <c r="N2604">
        <v>0</v>
      </c>
      <c r="O2604">
        <v>-0.99984599999999901</v>
      </c>
      <c r="P2604">
        <v>0.107339899999999</v>
      </c>
      <c r="Q2604">
        <v>-1.7769360000000001E-2</v>
      </c>
      <c r="R2604">
        <v>-0.994063699999999</v>
      </c>
      <c r="S2604">
        <v>0.52069089999999996</v>
      </c>
      <c r="T2604">
        <v>-0.22924159999999999</v>
      </c>
      <c r="U2604">
        <v>-2.956207</v>
      </c>
      <c r="V2604">
        <v>-0.11838410000000001</v>
      </c>
      <c r="W2604">
        <v>-4.5375770000000001E-3</v>
      </c>
      <c r="X2604">
        <v>0.99295750000000005</v>
      </c>
      <c r="Y2604">
        <v>-0.1839085</v>
      </c>
      <c r="Z2604">
        <v>7.6065140000000003E-2</v>
      </c>
      <c r="AA2604">
        <v>0.97999579999999997</v>
      </c>
      <c r="AB2604">
        <v>21</v>
      </c>
      <c r="AC2604">
        <v>2.5110999999999901</v>
      </c>
      <c r="AD2604">
        <v>-1.105408006642</v>
      </c>
      <c r="AE2604">
        <v>-14.1038999999999</v>
      </c>
      <c r="AF2604">
        <v>-2.6520755481442402</v>
      </c>
      <c r="AG2604">
        <v>-1.105408006642</v>
      </c>
      <c r="AH2604">
        <v>13.9917802402235</v>
      </c>
      <c r="AI2604">
        <v>94.438514440002905</v>
      </c>
      <c r="AJ2604">
        <v>100.73281781457101</v>
      </c>
      <c r="AK2604">
        <v>14.283744112274</v>
      </c>
    </row>
    <row r="2605" spans="1:37" x14ac:dyDescent="0.2">
      <c r="A2605" t="str">
        <f>"20200111155851916"</f>
        <v>20200111155851916</v>
      </c>
      <c r="B2605" t="str">
        <f>"1578729531913935"</f>
        <v>1578729531913935</v>
      </c>
      <c r="C2605" t="s">
        <v>37</v>
      </c>
      <c r="D2605">
        <v>5.5070249999999996</v>
      </c>
      <c r="E2605">
        <v>0.47624460000000002</v>
      </c>
      <c r="F2605" t="s">
        <v>49</v>
      </c>
      <c r="G2605">
        <v>-489.54090000000002</v>
      </c>
      <c r="H2605" s="1">
        <v>5.6329639999999898E-6</v>
      </c>
      <c r="I2605">
        <v>226.7467</v>
      </c>
      <c r="J2605">
        <v>-492.16849999999999</v>
      </c>
      <c r="K2605">
        <v>1.105513</v>
      </c>
      <c r="L2605">
        <v>241.79310000000001</v>
      </c>
      <c r="M2605">
        <v>-1.014612E-2</v>
      </c>
      <c r="N2605">
        <v>0</v>
      </c>
      <c r="O2605">
        <v>-0.99985630000000003</v>
      </c>
      <c r="P2605">
        <v>0.10603750000000001</v>
      </c>
      <c r="Q2605">
        <v>-1.596964E-2</v>
      </c>
      <c r="R2605">
        <v>-0.99423399999999995</v>
      </c>
      <c r="S2605">
        <v>0.51251219999999997</v>
      </c>
      <c r="T2605">
        <v>-0.21563060000000001</v>
      </c>
      <c r="U2605">
        <v>-2.95871</v>
      </c>
      <c r="V2605">
        <v>-0.116114699999999</v>
      </c>
      <c r="W2605">
        <v>-2.7527559999999999E-3</v>
      </c>
      <c r="X2605">
        <v>0.993232</v>
      </c>
      <c r="Y2605">
        <v>-0.18023139999999899</v>
      </c>
      <c r="Z2605">
        <v>7.1556289999999995E-2</v>
      </c>
      <c r="AA2605">
        <v>0.98101799999999995</v>
      </c>
      <c r="AB2605">
        <v>21</v>
      </c>
      <c r="AC2605">
        <v>2.62759999999997</v>
      </c>
      <c r="AD2605">
        <v>-1.1055073670360001</v>
      </c>
      <c r="AE2605">
        <v>-15.0464</v>
      </c>
      <c r="AF2605">
        <v>-2.7656533586579002</v>
      </c>
      <c r="AG2605">
        <v>-1.1055073670360001</v>
      </c>
      <c r="AH2605">
        <v>14.9406953219763</v>
      </c>
      <c r="AI2605">
        <v>94.161337359333203</v>
      </c>
      <c r="AJ2605">
        <v>100.487242463155</v>
      </c>
      <c r="AK2605">
        <v>15.2346762926867</v>
      </c>
    </row>
    <row r="2606" spans="1:37" x14ac:dyDescent="0.2">
      <c r="A2606" t="str">
        <f>"20200111155851930"</f>
        <v>20200111155851930</v>
      </c>
      <c r="B2606" t="str">
        <f>"1578729531923695"</f>
        <v>1578729531923695</v>
      </c>
      <c r="C2606" t="s">
        <v>37</v>
      </c>
      <c r="D2606">
        <v>5.3563210000000003</v>
      </c>
      <c r="E2606">
        <v>0.47625529999999999</v>
      </c>
      <c r="F2606" t="s">
        <v>49</v>
      </c>
      <c r="G2606">
        <v>-489.50049999999999</v>
      </c>
      <c r="H2606" s="1">
        <v>5.4726750000000001E-6</v>
      </c>
      <c r="I2606">
        <v>226.26400000000001</v>
      </c>
      <c r="J2606">
        <v>-492.1687</v>
      </c>
      <c r="K2606">
        <v>1.105623</v>
      </c>
      <c r="L2606">
        <v>241.66120000000001</v>
      </c>
      <c r="M2606">
        <v>-9.0005250000000005E-3</v>
      </c>
      <c r="N2606">
        <v>0</v>
      </c>
      <c r="O2606">
        <v>-0.99986739999999996</v>
      </c>
      <c r="P2606">
        <v>0.1046681</v>
      </c>
      <c r="Q2606">
        <v>-1.4923489999999999E-2</v>
      </c>
      <c r="R2606">
        <v>-0.99439539999999904</v>
      </c>
      <c r="S2606">
        <v>0.50851440000000003</v>
      </c>
      <c r="T2606">
        <v>-0.21070429999999901</v>
      </c>
      <c r="U2606">
        <v>-2.9597630000000001</v>
      </c>
      <c r="V2606">
        <v>-0.11361060000000001</v>
      </c>
      <c r="W2606">
        <v>-1.723081E-3</v>
      </c>
      <c r="X2606">
        <v>0.99352379999999996</v>
      </c>
      <c r="Y2606">
        <v>-0.17777799999999999</v>
      </c>
      <c r="Z2606">
        <v>6.9930199999999998E-2</v>
      </c>
      <c r="AA2606">
        <v>0.98158279999999998</v>
      </c>
      <c r="AB2606">
        <v>21</v>
      </c>
      <c r="AC2606">
        <v>2.6682000000000099</v>
      </c>
      <c r="AD2606">
        <v>-1.105617527325</v>
      </c>
      <c r="AE2606">
        <v>-15.3971999999999</v>
      </c>
      <c r="AF2606">
        <v>-2.7927077165822398</v>
      </c>
      <c r="AG2606">
        <v>-1.105617527325</v>
      </c>
      <c r="AH2606">
        <v>15.295989603255901</v>
      </c>
      <c r="AI2606">
        <v>94.067233719288197</v>
      </c>
      <c r="AJ2606">
        <v>100.34696951123099</v>
      </c>
      <c r="AK2606">
        <v>15.5881013741219</v>
      </c>
    </row>
    <row r="2607" spans="1:37" x14ac:dyDescent="0.2">
      <c r="A2607" t="str">
        <f>"20200111155851949"</f>
        <v>20200111155851949</v>
      </c>
      <c r="B2607" t="str">
        <f>"1578729531944191"</f>
        <v>1578729531944191</v>
      </c>
      <c r="C2607" t="s">
        <v>37</v>
      </c>
      <c r="D2607">
        <v>5.4495370000000003</v>
      </c>
      <c r="E2607">
        <v>0.47639569999999998</v>
      </c>
      <c r="F2607" t="s">
        <v>49</v>
      </c>
      <c r="G2607">
        <v>-489.48599999999999</v>
      </c>
      <c r="H2607" s="1">
        <v>5.358905E-6</v>
      </c>
      <c r="I2607">
        <v>225.9093</v>
      </c>
      <c r="J2607">
        <v>-492.16849999999999</v>
      </c>
      <c r="K2607">
        <v>1.105758</v>
      </c>
      <c r="L2607">
        <v>241.49340000000001</v>
      </c>
      <c r="M2607">
        <v>-7.3798819999999999E-3</v>
      </c>
      <c r="N2607">
        <v>0</v>
      </c>
      <c r="O2607">
        <v>-0.99988060000000001</v>
      </c>
      <c r="P2607">
        <v>9.9376699999999998E-2</v>
      </c>
      <c r="Q2607">
        <v>-1.4617349999999999E-2</v>
      </c>
      <c r="R2607">
        <v>-0.99494280000000002</v>
      </c>
      <c r="S2607">
        <v>0.50424190000000002</v>
      </c>
      <c r="T2607">
        <v>-0.2078112</v>
      </c>
      <c r="U2607">
        <v>-2.9607239999999999</v>
      </c>
      <c r="V2607">
        <v>-0.1067135</v>
      </c>
      <c r="W2607">
        <v>-1.421732E-3</v>
      </c>
      <c r="X2607">
        <v>0.99428879999999997</v>
      </c>
      <c r="Y2607">
        <v>-0.174764</v>
      </c>
      <c r="Z2607">
        <v>6.8981180000000003E-2</v>
      </c>
      <c r="AA2607">
        <v>0.98219100000000004</v>
      </c>
      <c r="AB2607">
        <v>21</v>
      </c>
      <c r="AC2607">
        <v>2.6825000000000001</v>
      </c>
      <c r="AD2607">
        <v>-1.105752641095</v>
      </c>
      <c r="AE2607">
        <v>-15.584099999999999</v>
      </c>
      <c r="AF2607">
        <v>-2.7838345685763302</v>
      </c>
      <c r="AG2607">
        <v>-1.105752641095</v>
      </c>
      <c r="AH2607">
        <v>15.488146611048199</v>
      </c>
      <c r="AI2607">
        <v>94.019422068748796</v>
      </c>
      <c r="AJ2607">
        <v>100.189526106239</v>
      </c>
      <c r="AK2607">
        <v>15.7751421310178</v>
      </c>
    </row>
    <row r="2608" spans="1:37" x14ac:dyDescent="0.2">
      <c r="A2608" t="str">
        <f>"20200111155851962"</f>
        <v>20200111155851962</v>
      </c>
      <c r="B2608" t="str">
        <f>"1578729531953952"</f>
        <v>1578729531953952</v>
      </c>
      <c r="C2608" t="s">
        <v>37</v>
      </c>
      <c r="D2608">
        <v>5.3798209999999997</v>
      </c>
      <c r="E2608">
        <v>0.47644969999999998</v>
      </c>
      <c r="F2608" t="s">
        <v>49</v>
      </c>
      <c r="G2608">
        <v>-489.55220000000003</v>
      </c>
      <c r="H2608" s="1">
        <v>5.2753990000000001E-6</v>
      </c>
      <c r="I2608">
        <v>225.58279999999999</v>
      </c>
      <c r="J2608">
        <v>-492.16789999999997</v>
      </c>
      <c r="K2608">
        <v>1.105869</v>
      </c>
      <c r="L2608">
        <v>241.36019999999999</v>
      </c>
      <c r="M2608">
        <v>-5.9647149999999998E-3</v>
      </c>
      <c r="N2608">
        <v>0</v>
      </c>
      <c r="O2608">
        <v>-0.99988999999999995</v>
      </c>
      <c r="P2608">
        <v>9.7413910000000006E-2</v>
      </c>
      <c r="Q2608">
        <v>-1.4758510000000001E-2</v>
      </c>
      <c r="R2608">
        <v>-0.99513469999999904</v>
      </c>
      <c r="S2608">
        <v>0.48730469999999998</v>
      </c>
      <c r="T2608">
        <v>-0.20595839999999899</v>
      </c>
      <c r="U2608">
        <v>-2.9635310000000001</v>
      </c>
      <c r="V2608">
        <v>-0.1033438</v>
      </c>
      <c r="W2608">
        <v>-1.5734E-3</v>
      </c>
      <c r="X2608">
        <v>0.99464449999999904</v>
      </c>
      <c r="Y2608">
        <v>-0.1677583</v>
      </c>
      <c r="Z2608">
        <v>6.8380280000000002E-2</v>
      </c>
      <c r="AA2608">
        <v>0.98345380000000004</v>
      </c>
      <c r="AB2608">
        <v>21</v>
      </c>
      <c r="AC2608">
        <v>2.61569999999994</v>
      </c>
      <c r="AD2608">
        <v>-1.1058637246009999</v>
      </c>
      <c r="AE2608">
        <v>-15.7774</v>
      </c>
      <c r="AF2608">
        <v>-2.6968749498714102</v>
      </c>
      <c r="AG2608">
        <v>-1.1058637246009999</v>
      </c>
      <c r="AH2608">
        <v>15.686512184362501</v>
      </c>
      <c r="AI2608">
        <v>93.974432955227101</v>
      </c>
      <c r="AJ2608">
        <v>99.755105839295794</v>
      </c>
      <c r="AK2608">
        <v>15.95502220565</v>
      </c>
    </row>
    <row r="2609" spans="1:37" x14ac:dyDescent="0.2">
      <c r="A2609" t="str">
        <f>"20200111155851976"</f>
        <v>20200111155851976</v>
      </c>
      <c r="B2609" t="str">
        <f>"1578729531963711"</f>
        <v>1578729531963711</v>
      </c>
      <c r="C2609" t="s">
        <v>37</v>
      </c>
      <c r="D2609">
        <v>5.4329369999999999</v>
      </c>
      <c r="E2609">
        <v>0.47643669999999999</v>
      </c>
      <c r="F2609" t="s">
        <v>49</v>
      </c>
      <c r="G2609">
        <v>-489.58929999999998</v>
      </c>
      <c r="H2609" s="1">
        <v>5.250203E-6</v>
      </c>
      <c r="I2609">
        <v>225.46960000000001</v>
      </c>
      <c r="J2609">
        <v>-492.1671</v>
      </c>
      <c r="K2609">
        <v>1.1059619999999999</v>
      </c>
      <c r="L2609">
        <v>241.2381</v>
      </c>
      <c r="M2609">
        <v>-4.5549170000000003E-3</v>
      </c>
      <c r="N2609">
        <v>0</v>
      </c>
      <c r="O2609">
        <v>-0.99989719999999904</v>
      </c>
      <c r="P2609">
        <v>9.532061E-2</v>
      </c>
      <c r="Q2609">
        <v>-1.5587780000000001E-2</v>
      </c>
      <c r="R2609">
        <v>-0.99532480000000001</v>
      </c>
      <c r="S2609">
        <v>0.48107909999999998</v>
      </c>
      <c r="T2609">
        <v>-0.20630960000000001</v>
      </c>
      <c r="U2609">
        <v>-2.9645389999999998</v>
      </c>
      <c r="V2609">
        <v>-9.984614E-2</v>
      </c>
      <c r="W2609">
        <v>-2.4069109999999999E-3</v>
      </c>
      <c r="X2609">
        <v>0.995</v>
      </c>
      <c r="Y2609">
        <v>-0.1643009</v>
      </c>
      <c r="Z2609">
        <v>6.8505800000000006E-2</v>
      </c>
      <c r="AA2609">
        <v>0.98402849999999997</v>
      </c>
      <c r="AB2609">
        <v>21</v>
      </c>
      <c r="AC2609">
        <v>2.5778000000000199</v>
      </c>
      <c r="AD2609">
        <v>-1.105956749797</v>
      </c>
      <c r="AE2609">
        <v>-15.7684999999999</v>
      </c>
      <c r="AF2609">
        <v>-2.6369699358773402</v>
      </c>
      <c r="AG2609">
        <v>-1.105956749797</v>
      </c>
      <c r="AH2609">
        <v>15.681461129403001</v>
      </c>
      <c r="AI2609">
        <v>93.978508985353798</v>
      </c>
      <c r="AJ2609">
        <v>99.545463918674997</v>
      </c>
      <c r="AK2609">
        <v>15.940043096808701</v>
      </c>
    </row>
    <row r="2610" spans="1:37" x14ac:dyDescent="0.2">
      <c r="A2610" t="str">
        <f>"20200111155851992"</f>
        <v>20200111155851992</v>
      </c>
      <c r="B2610" t="str">
        <f>"1578729531984207"</f>
        <v>1578729531984207</v>
      </c>
      <c r="C2610" t="s">
        <v>37</v>
      </c>
      <c r="D2610">
        <v>5.3421789999999998</v>
      </c>
      <c r="E2610">
        <v>0.47612759999999998</v>
      </c>
      <c r="F2610" t="s">
        <v>49</v>
      </c>
      <c r="G2610">
        <v>-489.65190000000001</v>
      </c>
      <c r="H2610" s="1">
        <v>5.2905480000000001E-6</v>
      </c>
      <c r="I2610">
        <v>225.54599999999999</v>
      </c>
      <c r="J2610">
        <v>-492.16579999999999</v>
      </c>
      <c r="K2610">
        <v>1.106063</v>
      </c>
      <c r="L2610">
        <v>241.08410000000001</v>
      </c>
      <c r="M2610">
        <v>-2.6673349999999998E-3</v>
      </c>
      <c r="N2610">
        <v>0</v>
      </c>
      <c r="O2610">
        <v>-0.99990419999999902</v>
      </c>
      <c r="P2610">
        <v>9.0631970000000006E-2</v>
      </c>
      <c r="Q2610">
        <v>-1.7394239999999998E-2</v>
      </c>
      <c r="R2610">
        <v>-0.99573279999999997</v>
      </c>
      <c r="S2610">
        <v>0.4752808</v>
      </c>
      <c r="T2610">
        <v>-0.2089888</v>
      </c>
      <c r="U2610">
        <v>-2.9652859999999999</v>
      </c>
      <c r="V2610">
        <v>-9.3272759999999996E-2</v>
      </c>
      <c r="W2610">
        <v>-4.2042429999999999E-3</v>
      </c>
      <c r="X2610">
        <v>0.99563169999999901</v>
      </c>
      <c r="Y2610">
        <v>-0.160513299999999</v>
      </c>
      <c r="Z2610">
        <v>6.9407129999999997E-2</v>
      </c>
      <c r="AA2610">
        <v>0.98459039999999998</v>
      </c>
      <c r="AB2610">
        <v>21</v>
      </c>
      <c r="AC2610">
        <v>2.5138999999999698</v>
      </c>
      <c r="AD2610">
        <v>-1.1060577094520001</v>
      </c>
      <c r="AE2610">
        <v>-15.5381</v>
      </c>
      <c r="AF2610">
        <v>-2.5427843069732798</v>
      </c>
      <c r="AG2610">
        <v>-1.1060577094520001</v>
      </c>
      <c r="AH2610">
        <v>15.455024078117001</v>
      </c>
      <c r="AI2610">
        <v>94.039340611710401</v>
      </c>
      <c r="AJ2610">
        <v>99.343056623628698</v>
      </c>
      <c r="AK2610">
        <v>15.7018115178983</v>
      </c>
    </row>
    <row r="2611" spans="1:37" x14ac:dyDescent="0.2">
      <c r="A2611" t="str">
        <f>"20200111155852010"</f>
        <v>20200111155852010</v>
      </c>
      <c r="B2611" t="str">
        <f>"1578729532003728"</f>
        <v>1578729532003728</v>
      </c>
      <c r="C2611" t="s">
        <v>37</v>
      </c>
      <c r="D2611">
        <v>5.3848370000000001</v>
      </c>
      <c r="E2611">
        <v>0.4757844</v>
      </c>
      <c r="F2611" t="s">
        <v>49</v>
      </c>
      <c r="G2611">
        <v>-489.80430000000001</v>
      </c>
      <c r="H2611" s="1">
        <v>5.4551749999999998E-6</v>
      </c>
      <c r="I2611">
        <v>225.94659999999999</v>
      </c>
      <c r="J2611">
        <v>-492.16379999999998</v>
      </c>
      <c r="K2611">
        <v>1.1061719999999999</v>
      </c>
      <c r="L2611">
        <v>240.92019999999999</v>
      </c>
      <c r="M2611">
        <v>-5.0600069999999996E-4</v>
      </c>
      <c r="N2611">
        <v>0</v>
      </c>
      <c r="O2611">
        <v>-0.9999074</v>
      </c>
      <c r="P2611">
        <v>9.0055579999999996E-2</v>
      </c>
      <c r="Q2611">
        <v>-1.8205120000000002E-2</v>
      </c>
      <c r="R2611">
        <v>-0.99577019999999905</v>
      </c>
      <c r="S2611">
        <v>0.462860099999999</v>
      </c>
      <c r="T2611">
        <v>-0.21678890000000001</v>
      </c>
      <c r="U2611">
        <v>-2.9669650000000001</v>
      </c>
      <c r="V2611">
        <v>-9.0539869999999995E-2</v>
      </c>
      <c r="W2611">
        <v>-5.0219409999999898E-3</v>
      </c>
      <c r="X2611">
        <v>0.99588019999999999</v>
      </c>
      <c r="Y2611">
        <v>-0.15424009999999999</v>
      </c>
      <c r="Z2611">
        <v>7.2004090000000007E-2</v>
      </c>
      <c r="AA2611">
        <v>0.98540620000000001</v>
      </c>
      <c r="AB2611">
        <v>21</v>
      </c>
      <c r="AC2611">
        <v>2.3594999999999602</v>
      </c>
      <c r="AD2611">
        <v>-1.106166544825</v>
      </c>
      <c r="AE2611">
        <v>-14.973599999999999</v>
      </c>
      <c r="AF2611">
        <v>-2.3545386450295398</v>
      </c>
      <c r="AG2611">
        <v>-1.106166544825</v>
      </c>
      <c r="AH2611">
        <v>14.893095248897</v>
      </c>
      <c r="AI2611">
        <v>94.195851670884807</v>
      </c>
      <c r="AJ2611">
        <v>98.983876767903993</v>
      </c>
      <c r="AK2611">
        <v>15.118589310797001</v>
      </c>
    </row>
    <row r="2612" spans="1:37" x14ac:dyDescent="0.2">
      <c r="A2612" t="str">
        <f>"20200111155852026"</f>
        <v>20200111155852026</v>
      </c>
      <c r="B2612" t="str">
        <f>"1578729532014464"</f>
        <v>1578729532014464</v>
      </c>
      <c r="C2612" t="s">
        <v>37</v>
      </c>
      <c r="D2612">
        <v>5.3675090000000001</v>
      </c>
      <c r="E2612">
        <v>0.47559249999999997</v>
      </c>
      <c r="F2612" t="s">
        <v>49</v>
      </c>
      <c r="G2612">
        <v>-489.83449999999999</v>
      </c>
      <c r="H2612" s="1">
        <v>5.4940750000000004E-6</v>
      </c>
      <c r="I2612">
        <v>226.0462</v>
      </c>
      <c r="J2612">
        <v>-492.1617</v>
      </c>
      <c r="K2612">
        <v>1.1062479999999999</v>
      </c>
      <c r="L2612">
        <v>240.7766</v>
      </c>
      <c r="M2612">
        <v>1.499046E-3</v>
      </c>
      <c r="N2612">
        <v>0</v>
      </c>
      <c r="O2612">
        <v>-0.99990630000000003</v>
      </c>
      <c r="P2612">
        <v>8.859156E-2</v>
      </c>
      <c r="Q2612">
        <v>-2.0120820000000001E-2</v>
      </c>
      <c r="R2612">
        <v>-0.99586479999999999</v>
      </c>
      <c r="S2612">
        <v>0.4645996</v>
      </c>
      <c r="T2612">
        <v>-0.2206342</v>
      </c>
      <c r="U2612">
        <v>-2.966736</v>
      </c>
      <c r="V2612">
        <v>-8.7069869999999994E-2</v>
      </c>
      <c r="W2612">
        <v>-6.9346659999999999E-3</v>
      </c>
      <c r="X2612">
        <v>0.99617809999999996</v>
      </c>
      <c r="Y2612">
        <v>-0.15282000000000001</v>
      </c>
      <c r="Z2612">
        <v>7.3284719999999998E-2</v>
      </c>
      <c r="AA2612">
        <v>0.98553310000000005</v>
      </c>
      <c r="AB2612">
        <v>21</v>
      </c>
      <c r="AC2612">
        <v>2.3271999999999999</v>
      </c>
      <c r="AD2612">
        <v>-1.1062425059249901</v>
      </c>
      <c r="AE2612">
        <v>-14.730399999999999</v>
      </c>
      <c r="AF2612">
        <v>-2.2924991773641898</v>
      </c>
      <c r="AG2612">
        <v>-1.1062425059249901</v>
      </c>
      <c r="AH2612">
        <v>14.653241996337901</v>
      </c>
      <c r="AI2612">
        <v>94.2656458863013</v>
      </c>
      <c r="AJ2612">
        <v>98.891842833765907</v>
      </c>
      <c r="AK2612">
        <v>14.8726872475478</v>
      </c>
    </row>
    <row r="2613" spans="1:37" x14ac:dyDescent="0.2">
      <c r="A2613" t="str">
        <f>"20200111155852048"</f>
        <v>20200111155852048</v>
      </c>
      <c r="B2613" t="str">
        <f>"1578729532043744"</f>
        <v>1578729532043744</v>
      </c>
      <c r="C2613" t="s">
        <v>37</v>
      </c>
      <c r="D2613">
        <v>5.3561540000000001</v>
      </c>
      <c r="E2613">
        <v>0.47504249999999998</v>
      </c>
      <c r="F2613" t="s">
        <v>49</v>
      </c>
      <c r="G2613">
        <v>-489.91849999999999</v>
      </c>
      <c r="H2613" s="1">
        <v>5.6066330000000001E-6</v>
      </c>
      <c r="I2613">
        <v>226.3374</v>
      </c>
      <c r="J2613">
        <v>-492.15789999999998</v>
      </c>
      <c r="K2613">
        <v>1.1063479999999899</v>
      </c>
      <c r="L2613">
        <v>240.56979999999999</v>
      </c>
      <c r="M2613">
        <v>4.5780150000000004E-3</v>
      </c>
      <c r="N2613">
        <v>0</v>
      </c>
      <c r="O2613">
        <v>-0.99989680000000003</v>
      </c>
      <c r="P2613">
        <v>8.9814710000000006E-2</v>
      </c>
      <c r="Q2613">
        <v>-2.1240459999999999E-2</v>
      </c>
      <c r="R2613">
        <v>-0.99573219999999996</v>
      </c>
      <c r="S2613">
        <v>0.4609375</v>
      </c>
      <c r="T2613">
        <v>-0.22730339999999999</v>
      </c>
      <c r="U2613">
        <v>-2.9668580000000002</v>
      </c>
      <c r="V2613">
        <v>-8.521927E-2</v>
      </c>
      <c r="W2613">
        <v>-8.0597669999999903E-3</v>
      </c>
      <c r="X2613">
        <v>0.99632960000000004</v>
      </c>
      <c r="Y2613">
        <v>-0.14855639999999901</v>
      </c>
      <c r="Z2613">
        <v>7.5515020000000002E-2</v>
      </c>
      <c r="AA2613">
        <v>0.98601649999999996</v>
      </c>
      <c r="AB2613">
        <v>21</v>
      </c>
      <c r="AC2613">
        <v>2.2393999999999799</v>
      </c>
      <c r="AD2613">
        <v>-1.10634239336699</v>
      </c>
      <c r="AE2613">
        <v>-14.232399999999901</v>
      </c>
      <c r="AF2613">
        <v>-2.16146902647787</v>
      </c>
      <c r="AG2613">
        <v>-1.10634239336699</v>
      </c>
      <c r="AH2613">
        <v>14.1590137368608</v>
      </c>
      <c r="AI2613">
        <v>94.416877331532604</v>
      </c>
      <c r="AJ2613">
        <v>98.679578266501693</v>
      </c>
      <c r="AK2613">
        <v>14.3657095837413</v>
      </c>
    </row>
    <row r="2614" spans="1:37" x14ac:dyDescent="0.2">
      <c r="A2614" t="str">
        <f>"20200111155852061"</f>
        <v>20200111155852061</v>
      </c>
      <c r="B2614" t="str">
        <f>"1578729532054479"</f>
        <v>1578729532054479</v>
      </c>
      <c r="C2614" t="s">
        <v>37</v>
      </c>
      <c r="D2614">
        <v>5.3546550000000002</v>
      </c>
      <c r="E2614">
        <v>0.4748289</v>
      </c>
      <c r="F2614" t="s">
        <v>49</v>
      </c>
      <c r="G2614">
        <v>-489.93079999999998</v>
      </c>
      <c r="H2614" s="1">
        <v>5.6517469999999998E-6</v>
      </c>
      <c r="I2614">
        <v>226.4725</v>
      </c>
      <c r="J2614">
        <v>-492.15519999999998</v>
      </c>
      <c r="K2614">
        <v>1.106403</v>
      </c>
      <c r="L2614">
        <v>240.4462</v>
      </c>
      <c r="M2614">
        <v>6.4917400000000002E-3</v>
      </c>
      <c r="N2614">
        <v>0</v>
      </c>
      <c r="O2614">
        <v>-0.99988639999999995</v>
      </c>
      <c r="P2614">
        <v>9.1376280000000004E-2</v>
      </c>
      <c r="Q2614">
        <v>-2.147959E-2</v>
      </c>
      <c r="R2614">
        <v>-0.99558500000000005</v>
      </c>
      <c r="S2614">
        <v>0.46850589999999998</v>
      </c>
      <c r="T2614">
        <v>-0.232738099999999</v>
      </c>
      <c r="U2614">
        <v>-2.9656220000000002</v>
      </c>
      <c r="V2614">
        <v>-8.4873240000000003E-2</v>
      </c>
      <c r="W2614">
        <v>-8.3037960000000004E-3</v>
      </c>
      <c r="X2614">
        <v>0.9963571</v>
      </c>
      <c r="Y2614">
        <v>-0.1491606</v>
      </c>
      <c r="Z2614">
        <v>7.7321559999999998E-2</v>
      </c>
      <c r="AA2614">
        <v>0.98578519999999903</v>
      </c>
      <c r="AB2614">
        <v>21</v>
      </c>
      <c r="AC2614">
        <v>2.2244000000000002</v>
      </c>
      <c r="AD2614">
        <v>-1.1063973482529901</v>
      </c>
      <c r="AE2614">
        <v>-13.973699999999999</v>
      </c>
      <c r="AF2614">
        <v>-2.12066516702644</v>
      </c>
      <c r="AG2614">
        <v>-1.1063973482529901</v>
      </c>
      <c r="AH2614">
        <v>13.9028438638389</v>
      </c>
      <c r="AI2614">
        <v>94.498234594044106</v>
      </c>
      <c r="AJ2614">
        <v>98.672740591062393</v>
      </c>
      <c r="AK2614">
        <v>14.1071047116389</v>
      </c>
    </row>
    <row r="2615" spans="1:37" x14ac:dyDescent="0.2">
      <c r="A2615" t="str">
        <f>"20200111155852074"</f>
        <v>20200111155852074</v>
      </c>
      <c r="B2615" t="str">
        <f>"1578729532064240"</f>
        <v>1578729532064240</v>
      </c>
      <c r="C2615" t="s">
        <v>37</v>
      </c>
      <c r="D2615">
        <v>5.3671230000000003</v>
      </c>
      <c r="E2615">
        <v>0.47458019999999901</v>
      </c>
      <c r="F2615" t="s">
        <v>49</v>
      </c>
      <c r="G2615">
        <v>-489.91050000000001</v>
      </c>
      <c r="H2615" s="1">
        <v>5.6288789999999996E-6</v>
      </c>
      <c r="I2615">
        <v>226.4161</v>
      </c>
      <c r="J2615">
        <v>-492.1524</v>
      </c>
      <c r="K2615">
        <v>1.1064430000000001</v>
      </c>
      <c r="L2615">
        <v>240.3296</v>
      </c>
      <c r="M2615">
        <v>8.3458950000000007E-3</v>
      </c>
      <c r="N2615">
        <v>0</v>
      </c>
      <c r="O2615">
        <v>-0.99987239999999999</v>
      </c>
      <c r="P2615">
        <v>9.3675640000000004E-2</v>
      </c>
      <c r="Q2615">
        <v>-2.1344559999999999E-2</v>
      </c>
      <c r="R2615">
        <v>-0.99537430000000005</v>
      </c>
      <c r="S2615">
        <v>0.4743347</v>
      </c>
      <c r="T2615">
        <v>-0.23379610000000001</v>
      </c>
      <c r="U2615">
        <v>-2.9647519999999998</v>
      </c>
      <c r="V2615">
        <v>-8.5326579999999999E-2</v>
      </c>
      <c r="W2615">
        <v>-8.1762320000000003E-3</v>
      </c>
      <c r="X2615">
        <v>0.99631950000000002</v>
      </c>
      <c r="Y2615">
        <v>-0.14925759999999999</v>
      </c>
      <c r="Z2615">
        <v>7.7679250000000005E-2</v>
      </c>
      <c r="AA2615">
        <v>0.98574240000000002</v>
      </c>
      <c r="AB2615">
        <v>21</v>
      </c>
      <c r="AC2615">
        <v>2.2418999999999798</v>
      </c>
      <c r="AD2615">
        <v>-1.106437371121</v>
      </c>
      <c r="AE2615">
        <v>-13.913500000000001</v>
      </c>
      <c r="AF2615">
        <v>-2.1126684404696401</v>
      </c>
      <c r="AG2615">
        <v>-1.106437371121</v>
      </c>
      <c r="AH2615">
        <v>13.8463813054454</v>
      </c>
      <c r="AI2615">
        <v>94.516634568591897</v>
      </c>
      <c r="AJ2615">
        <v>98.675230665836295</v>
      </c>
      <c r="AK2615">
        <v>14.0502614513523</v>
      </c>
    </row>
    <row r="2616" spans="1:37" x14ac:dyDescent="0.2">
      <c r="A2616" t="str">
        <f>"20200111155852088"</f>
        <v>20200111155852088</v>
      </c>
      <c r="B2616" t="str">
        <f>"1578729532083760"</f>
        <v>1578729532083760</v>
      </c>
      <c r="C2616" t="s">
        <v>37</v>
      </c>
      <c r="D2616">
        <v>5.3546309999999897</v>
      </c>
      <c r="E2616">
        <v>0.474118599999999</v>
      </c>
      <c r="F2616" t="s">
        <v>49</v>
      </c>
      <c r="G2616">
        <v>-489.8621</v>
      </c>
      <c r="H2616" s="1">
        <v>5.5780599999999997E-6</v>
      </c>
      <c r="I2616">
        <v>226.2936</v>
      </c>
      <c r="J2616">
        <v>-492.14920000000001</v>
      </c>
      <c r="K2616">
        <v>1.106481</v>
      </c>
      <c r="L2616">
        <v>240.2055</v>
      </c>
      <c r="M2616">
        <v>1.0350959999999999E-2</v>
      </c>
      <c r="N2616">
        <v>0</v>
      </c>
      <c r="O2616">
        <v>-0.99985349999999995</v>
      </c>
      <c r="P2616">
        <v>9.5788230000000002E-2</v>
      </c>
      <c r="Q2616">
        <v>-2.145617E-2</v>
      </c>
      <c r="R2616">
        <v>-0.99517060000000002</v>
      </c>
      <c r="S2616">
        <v>0.48355100000000001</v>
      </c>
      <c r="T2616">
        <v>-0.2336018</v>
      </c>
      <c r="U2616">
        <v>-2.963409</v>
      </c>
      <c r="V2616">
        <v>-8.5441939999999994E-2</v>
      </c>
      <c r="W2616">
        <v>-8.2930959999999998E-3</v>
      </c>
      <c r="X2616">
        <v>0.99630859999999899</v>
      </c>
      <c r="Y2616">
        <v>-0.15033289999999999</v>
      </c>
      <c r="Z2616">
        <v>7.7622060000000007E-2</v>
      </c>
      <c r="AA2616">
        <v>0.98558349999999995</v>
      </c>
      <c r="AB2616">
        <v>21</v>
      </c>
      <c r="AC2616">
        <v>2.2871000000000001</v>
      </c>
      <c r="AD2616">
        <v>-1.1064754219399999</v>
      </c>
      <c r="AE2616">
        <v>-13.911899999999999</v>
      </c>
      <c r="AF2616">
        <v>-2.1298442761032299</v>
      </c>
      <c r="AG2616">
        <v>-1.1064754219399999</v>
      </c>
      <c r="AH2616">
        <v>13.849527552775101</v>
      </c>
      <c r="AI2616">
        <v>94.514956070956401</v>
      </c>
      <c r="AJ2616">
        <v>98.742717893044897</v>
      </c>
      <c r="AK2616">
        <v>14.055957382365801</v>
      </c>
    </row>
    <row r="2617" spans="1:37" x14ac:dyDescent="0.2">
      <c r="A2617" t="str">
        <f>"20200111155852106"</f>
        <v>20200111155852106</v>
      </c>
      <c r="B2617" t="str">
        <f>"1578729532094495"</f>
        <v>1578729532094495</v>
      </c>
      <c r="C2617" t="s">
        <v>37</v>
      </c>
      <c r="D2617">
        <v>5.3419540000000003</v>
      </c>
      <c r="E2617">
        <v>0.4738773</v>
      </c>
      <c r="F2617" t="s">
        <v>49</v>
      </c>
      <c r="G2617">
        <v>-489.81909999999999</v>
      </c>
      <c r="H2617" s="1">
        <v>5.5453650000000004E-6</v>
      </c>
      <c r="I2617">
        <v>226.22499999999999</v>
      </c>
      <c r="J2617">
        <v>-492.14460000000003</v>
      </c>
      <c r="K2617">
        <v>1.10653</v>
      </c>
      <c r="L2617">
        <v>240.04730000000001</v>
      </c>
      <c r="M2617">
        <v>1.2974940000000001E-2</v>
      </c>
      <c r="N2617">
        <v>0</v>
      </c>
      <c r="O2617">
        <v>-0.99982289999999996</v>
      </c>
      <c r="P2617">
        <v>0.10043049999999901</v>
      </c>
      <c r="Q2617">
        <v>-2.1782369999999999E-2</v>
      </c>
      <c r="R2617">
        <v>-0.99470590000000003</v>
      </c>
      <c r="S2617">
        <v>0.49368289999999998</v>
      </c>
      <c r="T2617">
        <v>-0.2344272</v>
      </c>
      <c r="U2617">
        <v>-2.962021</v>
      </c>
      <c r="V2617">
        <v>-8.7472939999999999E-2</v>
      </c>
      <c r="W2617">
        <v>-8.6369250000000002E-3</v>
      </c>
      <c r="X2617">
        <v>0.9961295</v>
      </c>
      <c r="Y2617">
        <v>-0.15109029999999901</v>
      </c>
      <c r="Z2617">
        <v>7.7900949999999997E-2</v>
      </c>
      <c r="AA2617">
        <v>0.98544569999999998</v>
      </c>
      <c r="AB2617">
        <v>21</v>
      </c>
      <c r="AC2617">
        <v>2.3255000000000301</v>
      </c>
      <c r="AD2617">
        <v>-1.1065244546349999</v>
      </c>
      <c r="AE2617">
        <v>-13.8223</v>
      </c>
      <c r="AF2617">
        <v>-2.1326529758102599</v>
      </c>
      <c r="AG2617">
        <v>-1.1065244546349999</v>
      </c>
      <c r="AH2617">
        <v>13.7655232109451</v>
      </c>
      <c r="AI2617">
        <v>94.5418150424142</v>
      </c>
      <c r="AJ2617">
        <v>98.806655637368095</v>
      </c>
      <c r="AK2617">
        <v>13.973626385266099</v>
      </c>
    </row>
    <row r="2618" spans="1:37" x14ac:dyDescent="0.2">
      <c r="A2618" t="str">
        <f>"20200111155852121"</f>
        <v>20200111155852121</v>
      </c>
      <c r="B2618" t="str">
        <f>"1578729532114992"</f>
        <v>1578729532114992</v>
      </c>
      <c r="C2618" t="s">
        <v>37</v>
      </c>
      <c r="D2618">
        <v>5.4051239999999998</v>
      </c>
      <c r="E2618">
        <v>0.47349469999999999</v>
      </c>
      <c r="F2618" t="s">
        <v>49</v>
      </c>
      <c r="G2618">
        <v>-489.74529999999999</v>
      </c>
      <c r="H2618" s="1">
        <v>5.4937480000000001E-6</v>
      </c>
      <c r="I2618">
        <v>226.12180000000001</v>
      </c>
      <c r="J2618">
        <v>-492.13979999999998</v>
      </c>
      <c r="K2618">
        <v>1.1065700000000001</v>
      </c>
      <c r="L2618">
        <v>239.89830000000001</v>
      </c>
      <c r="M2618">
        <v>1.5517700000000001E-2</v>
      </c>
      <c r="N2618">
        <v>0</v>
      </c>
      <c r="O2618">
        <v>-0.99978679999999998</v>
      </c>
      <c r="P2618">
        <v>0.10367460000000001</v>
      </c>
      <c r="Q2618">
        <v>-2.1523009999999999E-2</v>
      </c>
      <c r="R2618">
        <v>-0.99437849999999905</v>
      </c>
      <c r="S2618">
        <v>0.50988770000000005</v>
      </c>
      <c r="T2618">
        <v>-0.235148999999999</v>
      </c>
      <c r="U2618">
        <v>-2.9593349999999998</v>
      </c>
      <c r="V2618">
        <v>-8.8189379999999998E-2</v>
      </c>
      <c r="W2618">
        <v>-8.3862239999999994E-3</v>
      </c>
      <c r="X2618">
        <v>0.99606839999999996</v>
      </c>
      <c r="Y2618">
        <v>-0.15396279999999901</v>
      </c>
      <c r="Z2618">
        <v>7.8151880000000007E-2</v>
      </c>
      <c r="AA2618">
        <v>0.98498109999999905</v>
      </c>
      <c r="AB2618">
        <v>21</v>
      </c>
      <c r="AC2618">
        <v>2.3944999999999901</v>
      </c>
      <c r="AD2618">
        <v>-1.106564506252</v>
      </c>
      <c r="AE2618">
        <v>-13.7765</v>
      </c>
      <c r="AF2618">
        <v>-2.16684228489579</v>
      </c>
      <c r="AG2618">
        <v>-1.106564506252</v>
      </c>
      <c r="AH2618">
        <v>13.726041728182899</v>
      </c>
      <c r="AI2618">
        <v>94.552955478299495</v>
      </c>
      <c r="AJ2618">
        <v>98.970885681941894</v>
      </c>
      <c r="AK2618">
        <v>13.9400111914563</v>
      </c>
    </row>
    <row r="2619" spans="1:37" x14ac:dyDescent="0.2">
      <c r="A2619" t="str">
        <f>"20200111155852139"</f>
        <v>20200111155852139</v>
      </c>
      <c r="B2619" t="str">
        <f>"1578729532134511"</f>
        <v>1578729532134511</v>
      </c>
      <c r="C2619" t="s">
        <v>37</v>
      </c>
      <c r="D2619">
        <v>5.4025239999999997</v>
      </c>
      <c r="E2619">
        <v>0.473103</v>
      </c>
      <c r="F2619" t="s">
        <v>49</v>
      </c>
      <c r="G2619">
        <v>-489.67380000000003</v>
      </c>
      <c r="H2619" s="1">
        <v>5.4213799999999998E-6</v>
      </c>
      <c r="I2619">
        <v>225.9496</v>
      </c>
      <c r="J2619">
        <v>-492.13420000000002</v>
      </c>
      <c r="K2619">
        <v>1.106619</v>
      </c>
      <c r="L2619">
        <v>239.7396</v>
      </c>
      <c r="M2619">
        <v>1.8277399999999999E-2</v>
      </c>
      <c r="N2619">
        <v>0</v>
      </c>
      <c r="O2619">
        <v>-0.99974010000000002</v>
      </c>
      <c r="P2619">
        <v>0.1082176</v>
      </c>
      <c r="Q2619">
        <v>-2.1031370000000001E-2</v>
      </c>
      <c r="R2619">
        <v>-0.99390480000000003</v>
      </c>
      <c r="S2619">
        <v>0.52282709999999999</v>
      </c>
      <c r="T2619">
        <v>-0.23460980000000001</v>
      </c>
      <c r="U2619">
        <v>-2.9573669999999899</v>
      </c>
      <c r="V2619">
        <v>-8.9992550000000004E-2</v>
      </c>
      <c r="W2619">
        <v>-7.9100739999999996E-3</v>
      </c>
      <c r="X2619">
        <v>0.99591099999999999</v>
      </c>
      <c r="Y2619">
        <v>-0.15552959999999999</v>
      </c>
      <c r="Z2619">
        <v>7.7980579999999994E-2</v>
      </c>
      <c r="AA2619">
        <v>0.98474850000000003</v>
      </c>
      <c r="AB2619">
        <v>21</v>
      </c>
      <c r="AC2619">
        <v>2.4603999999999902</v>
      </c>
      <c r="AD2619">
        <v>-1.10661357862</v>
      </c>
      <c r="AE2619">
        <v>-13.7899999999999</v>
      </c>
      <c r="AF2619">
        <v>-2.1942260217871801</v>
      </c>
      <c r="AG2619">
        <v>-1.10661357862</v>
      </c>
      <c r="AH2619">
        <v>13.7468757118217</v>
      </c>
      <c r="AI2619">
        <v>94.545056491503104</v>
      </c>
      <c r="AJ2619">
        <v>99.068842374377894</v>
      </c>
      <c r="AK2619">
        <v>13.964806238661099</v>
      </c>
    </row>
    <row r="2620" spans="1:37" x14ac:dyDescent="0.2">
      <c r="A2620" t="str">
        <f>"20200111155852154"</f>
        <v>20200111155852154</v>
      </c>
      <c r="B2620" t="str">
        <f>"1578729532144271"</f>
        <v>1578729532144271</v>
      </c>
      <c r="C2620" t="s">
        <v>37</v>
      </c>
      <c r="D2620">
        <v>5.4507789999999998</v>
      </c>
      <c r="E2620">
        <v>0.47289379999999998</v>
      </c>
      <c r="F2620" t="s">
        <v>49</v>
      </c>
      <c r="G2620">
        <v>-489.57319999999999</v>
      </c>
      <c r="H2620" s="1">
        <v>5.3225329999999997E-6</v>
      </c>
      <c r="I2620">
        <v>225.71690000000001</v>
      </c>
      <c r="J2620">
        <v>-492.12900000000002</v>
      </c>
      <c r="K2620">
        <v>1.1066579999999999</v>
      </c>
      <c r="L2620">
        <v>239.6036</v>
      </c>
      <c r="M2620">
        <v>2.0696340000000001E-2</v>
      </c>
      <c r="N2620">
        <v>0</v>
      </c>
      <c r="O2620">
        <v>-0.99969279999999905</v>
      </c>
      <c r="P2620">
        <v>0.1113088</v>
      </c>
      <c r="Q2620">
        <v>-2.0676739999999999E-2</v>
      </c>
      <c r="R2620">
        <v>-0.99357090000000003</v>
      </c>
      <c r="S2620">
        <v>0.53961179999999997</v>
      </c>
      <c r="T2620">
        <v>-0.2331715</v>
      </c>
      <c r="U2620">
        <v>-2.9546969999999999</v>
      </c>
      <c r="V2620">
        <v>-9.0681819999999996E-2</v>
      </c>
      <c r="W2620">
        <v>-7.5640179999999996E-3</v>
      </c>
      <c r="X2620">
        <v>0.99585119999999905</v>
      </c>
      <c r="Y2620">
        <v>-0.15871679999999999</v>
      </c>
      <c r="Z2620">
        <v>7.7510280000000001E-2</v>
      </c>
      <c r="AA2620">
        <v>0.98427699999999996</v>
      </c>
      <c r="AB2620">
        <v>21</v>
      </c>
      <c r="AC2620">
        <v>2.5558000000000298</v>
      </c>
      <c r="AD2620">
        <v>-1.106652677467</v>
      </c>
      <c r="AE2620">
        <v>-13.8866999999999</v>
      </c>
      <c r="AF2620">
        <v>-2.2539764359947001</v>
      </c>
      <c r="AG2620">
        <v>-1.106652677467</v>
      </c>
      <c r="AH2620">
        <v>13.8515401833849</v>
      </c>
      <c r="AI2620">
        <v>94.508821818292304</v>
      </c>
      <c r="AJ2620">
        <v>99.242383466705206</v>
      </c>
      <c r="AK2620">
        <v>14.0772957408193</v>
      </c>
    </row>
    <row r="2621" spans="1:37" x14ac:dyDescent="0.2">
      <c r="A2621" t="str">
        <f>"20200111155852172"</f>
        <v>20200111155852172</v>
      </c>
      <c r="B2621" t="str">
        <f>"1578729532163791"</f>
        <v>1578729532163791</v>
      </c>
      <c r="C2621" t="s">
        <v>37</v>
      </c>
      <c r="D2621">
        <v>5.5278309999999999</v>
      </c>
      <c r="E2621">
        <v>0.47241349999999999</v>
      </c>
      <c r="F2621" t="s">
        <v>49</v>
      </c>
      <c r="G2621">
        <v>-489.50450000000001</v>
      </c>
      <c r="H2621" s="1">
        <v>5.2473879999999996E-6</v>
      </c>
      <c r="I2621">
        <v>225.5333</v>
      </c>
      <c r="J2621">
        <v>-492.12189999999998</v>
      </c>
      <c r="K2621">
        <v>1.1067149999999999</v>
      </c>
      <c r="L2621">
        <v>239.43379999999999</v>
      </c>
      <c r="M2621">
        <v>2.3792899999999999E-2</v>
      </c>
      <c r="N2621">
        <v>0</v>
      </c>
      <c r="O2621">
        <v>-0.99962399999999996</v>
      </c>
      <c r="P2621">
        <v>0.1160819</v>
      </c>
      <c r="Q2621">
        <v>-1.9371030000000001E-2</v>
      </c>
      <c r="R2621">
        <v>-0.99305100000000002</v>
      </c>
      <c r="S2621">
        <v>0.55078130000000003</v>
      </c>
      <c r="T2621">
        <v>-0.23224989999999901</v>
      </c>
      <c r="U2621">
        <v>-2.952896</v>
      </c>
      <c r="V2621">
        <v>-9.2387259999999999E-2</v>
      </c>
      <c r="W2621">
        <v>-6.2757150000000003E-3</v>
      </c>
      <c r="X2621">
        <v>0.99570340000000002</v>
      </c>
      <c r="Y2621">
        <v>-0.15936939999999999</v>
      </c>
      <c r="Z2621">
        <v>7.7213589999999999E-2</v>
      </c>
      <c r="AA2621">
        <v>0.98419480000000004</v>
      </c>
      <c r="AB2621">
        <v>21</v>
      </c>
      <c r="AC2621">
        <v>2.6173999999999702</v>
      </c>
      <c r="AD2621">
        <v>-1.106709752612</v>
      </c>
      <c r="AE2621">
        <v>-13.9004999999999</v>
      </c>
      <c r="AF2621">
        <v>-2.2719864460573298</v>
      </c>
      <c r="AG2621">
        <v>-1.106709752612</v>
      </c>
      <c r="AH2621">
        <v>13.8739129052443</v>
      </c>
      <c r="AI2621">
        <v>94.501073859889701</v>
      </c>
      <c r="AJ2621">
        <v>99.300185322562697</v>
      </c>
      <c r="AK2621">
        <v>14.1022050825359</v>
      </c>
    </row>
    <row r="2622" spans="1:37" x14ac:dyDescent="0.2">
      <c r="A2622" t="str">
        <f>"20200111155852188"</f>
        <v>20200111155852188</v>
      </c>
      <c r="B2622" t="str">
        <f>"1578729532184288"</f>
        <v>1578729532184288</v>
      </c>
      <c r="C2622" t="s">
        <v>37</v>
      </c>
      <c r="D2622">
        <v>5.4926789999999999</v>
      </c>
      <c r="E2622">
        <v>0.47215629999999997</v>
      </c>
      <c r="F2622" t="s">
        <v>49</v>
      </c>
      <c r="G2622">
        <v>-489.36959999999999</v>
      </c>
      <c r="H2622" s="1">
        <v>5.09784E-6</v>
      </c>
      <c r="I2622">
        <v>225.16650000000001</v>
      </c>
      <c r="J2622">
        <v>-492.11579999999998</v>
      </c>
      <c r="K2622">
        <v>1.106765</v>
      </c>
      <c r="L2622">
        <v>239.29820000000001</v>
      </c>
      <c r="M2622">
        <v>2.6325029999999999E-2</v>
      </c>
      <c r="N2622">
        <v>0</v>
      </c>
      <c r="O2622">
        <v>-0.99956019999999901</v>
      </c>
      <c r="P2622">
        <v>0.1198222</v>
      </c>
      <c r="Q2622">
        <v>-1.8318520000000001E-2</v>
      </c>
      <c r="R2622">
        <v>-0.99262619999999901</v>
      </c>
      <c r="S2622">
        <v>0.56909180000000004</v>
      </c>
      <c r="T2622">
        <v>-0.2288337</v>
      </c>
      <c r="U2622">
        <v>-2.950043</v>
      </c>
      <c r="V2622">
        <v>-9.3620289999999995E-2</v>
      </c>
      <c r="W2622">
        <v>-5.2374700000000001E-3</v>
      </c>
      <c r="X2622">
        <v>0.99559419999999899</v>
      </c>
      <c r="Y2622">
        <v>-0.16295209999999999</v>
      </c>
      <c r="Z2622">
        <v>7.6083369999999997E-2</v>
      </c>
      <c r="AA2622">
        <v>0.98369599999999902</v>
      </c>
      <c r="AB2622">
        <v>21</v>
      </c>
      <c r="AC2622">
        <v>2.74619999999998</v>
      </c>
      <c r="AD2622">
        <v>-1.1067599021600001</v>
      </c>
      <c r="AE2622">
        <v>-14.131699999999899</v>
      </c>
      <c r="AF2622">
        <v>-2.3592517800652302</v>
      </c>
      <c r="AG2622">
        <v>-1.1067599021600001</v>
      </c>
      <c r="AH2622">
        <v>14.115672314445</v>
      </c>
      <c r="AI2622">
        <v>94.422095994982001</v>
      </c>
      <c r="AJ2622">
        <v>99.488542586206606</v>
      </c>
      <c r="AK2622">
        <v>14.3542046568787</v>
      </c>
    </row>
    <row r="2623" spans="1:37" x14ac:dyDescent="0.2">
      <c r="A2623" t="str">
        <f>"20200111155852204"</f>
        <v>20200111155852204</v>
      </c>
      <c r="B2623" t="str">
        <f>"1578729532194047"</f>
        <v>1578729532194047</v>
      </c>
      <c r="C2623" t="s">
        <v>37</v>
      </c>
      <c r="D2623">
        <v>5.1020469999999998</v>
      </c>
      <c r="E2623">
        <v>0.40540959999999998</v>
      </c>
      <c r="F2623" t="s">
        <v>49</v>
      </c>
      <c r="G2623">
        <v>-489.26350000000002</v>
      </c>
      <c r="H2623" s="1">
        <v>4.9837040000000004E-6</v>
      </c>
      <c r="I2623">
        <v>224.85939999999999</v>
      </c>
      <c r="J2623">
        <v>-492.10840000000002</v>
      </c>
      <c r="K2623">
        <v>1.1068309999999999</v>
      </c>
      <c r="L2623">
        <v>239.14349999999999</v>
      </c>
      <c r="M2623">
        <v>2.9296949999999999E-2</v>
      </c>
      <c r="N2623">
        <v>0</v>
      </c>
      <c r="O2623">
        <v>-0.99947770000000002</v>
      </c>
      <c r="P2623">
        <v>0.1251535</v>
      </c>
      <c r="Q2623">
        <v>-1.6440550000000002E-2</v>
      </c>
      <c r="R2623">
        <v>-0.99200149999999998</v>
      </c>
      <c r="S2623">
        <v>0.58233639999999998</v>
      </c>
      <c r="T2623">
        <v>-0.2259533</v>
      </c>
      <c r="U2623">
        <v>-2.9478</v>
      </c>
      <c r="V2623">
        <v>-9.6017259999999993E-2</v>
      </c>
      <c r="W2623">
        <v>-3.3834490000000002E-3</v>
      </c>
      <c r="X2623">
        <v>0.99537389999999903</v>
      </c>
      <c r="Y2623">
        <v>-0.1644292</v>
      </c>
      <c r="Z2623">
        <v>7.5136560000000005E-2</v>
      </c>
      <c r="AA2623">
        <v>0.98352299999999904</v>
      </c>
      <c r="AB2623">
        <v>21</v>
      </c>
      <c r="AC2623">
        <v>2.8448999999999902</v>
      </c>
      <c r="AD2623">
        <v>-1.106826016296</v>
      </c>
      <c r="AE2623">
        <v>-14.284099999999899</v>
      </c>
      <c r="AF2623">
        <v>-2.4112340219821702</v>
      </c>
      <c r="AG2623">
        <v>-1.106826016296</v>
      </c>
      <c r="AH2623">
        <v>14.278860386991701</v>
      </c>
      <c r="AI2623">
        <v>94.370783503153703</v>
      </c>
      <c r="AJ2623">
        <v>99.584963047794503</v>
      </c>
      <c r="AK2623">
        <v>14.523256084305499</v>
      </c>
    </row>
    <row r="2624" spans="1:37" x14ac:dyDescent="0.2">
      <c r="A2624" t="str">
        <f>"20200111155853627"</f>
        <v>20200111155853627</v>
      </c>
      <c r="B2624" t="str">
        <f>"1578729533624191"</f>
        <v>1578729533624191</v>
      </c>
      <c r="C2624" t="s">
        <v>37</v>
      </c>
      <c r="D2624">
        <v>5.9372470000000002</v>
      </c>
      <c r="E2624">
        <v>0.30876439999999999</v>
      </c>
      <c r="F2624" t="s">
        <v>49</v>
      </c>
      <c r="G2624">
        <v>-478.47399999999999</v>
      </c>
      <c r="H2624">
        <v>7.9999609999999999E-2</v>
      </c>
      <c r="I2624">
        <v>204.21729999999999</v>
      </c>
      <c r="J2624">
        <v>-488.73930000000001</v>
      </c>
      <c r="K2624">
        <v>1.1085719999999999</v>
      </c>
      <c r="L2624">
        <v>227.5582</v>
      </c>
      <c r="M2624">
        <v>0.47885329999999898</v>
      </c>
      <c r="N2624">
        <v>0</v>
      </c>
      <c r="O2624">
        <v>-0.87778330000000004</v>
      </c>
      <c r="P2624">
        <v>0.64487299999999903</v>
      </c>
      <c r="Q2624">
        <v>-3.4779009999999999E-2</v>
      </c>
      <c r="R2624">
        <v>-0.76349820000000002</v>
      </c>
      <c r="S2624">
        <v>1.1246339999999999</v>
      </c>
      <c r="T2624">
        <v>-8.4698200000000001E-2</v>
      </c>
      <c r="U2624">
        <v>-2.88089</v>
      </c>
      <c r="V2624">
        <v>-0.20025580000000001</v>
      </c>
      <c r="W2624">
        <v>-2.305594E-2</v>
      </c>
      <c r="X2624">
        <v>0.97947229999999996</v>
      </c>
      <c r="Y2624">
        <v>0.12698579999999901</v>
      </c>
      <c r="Z2624">
        <v>2.3198400000000001E-2</v>
      </c>
      <c r="AA2624">
        <v>0.99163319999999999</v>
      </c>
      <c r="AB2624">
        <v>19</v>
      </c>
      <c r="AC2624">
        <v>10.2653</v>
      </c>
      <c r="AD2624">
        <v>-1.0285723899999999</v>
      </c>
      <c r="AE2624">
        <v>-23.340900000000001</v>
      </c>
      <c r="AF2624">
        <v>2.1628510054974202</v>
      </c>
      <c r="AG2624">
        <v>-1.0285723899999999</v>
      </c>
      <c r="AH2624">
        <v>25.3650409709206</v>
      </c>
      <c r="AI2624">
        <v>92.313729819569801</v>
      </c>
      <c r="AJ2624">
        <v>85.126236930356896</v>
      </c>
      <c r="AK2624">
        <v>25.477856838634001</v>
      </c>
    </row>
    <row r="2625" spans="1:37" x14ac:dyDescent="0.2">
      <c r="A2625" t="str">
        <f>"20200111155853806"</f>
        <v>20200111155853806</v>
      </c>
      <c r="B2625" t="str">
        <f>"1578729533794521"</f>
        <v>1578729533794521</v>
      </c>
      <c r="C2625" t="s">
        <v>37</v>
      </c>
      <c r="D2625">
        <v>5.9081950000000001</v>
      </c>
      <c r="E2625">
        <v>0.31372509999999998</v>
      </c>
      <c r="F2625" t="s">
        <v>63</v>
      </c>
      <c r="G2625">
        <v>-348.7407</v>
      </c>
      <c r="H2625">
        <v>2.3945669999999999</v>
      </c>
      <c r="I2625">
        <v>168.33109999999999</v>
      </c>
      <c r="J2625">
        <v>-487.945999999999</v>
      </c>
      <c r="K2625">
        <v>1.108519</v>
      </c>
      <c r="L2625">
        <v>226.35149999999999</v>
      </c>
      <c r="M2625">
        <v>0.53474069999999996</v>
      </c>
      <c r="N2625">
        <v>0</v>
      </c>
      <c r="O2625">
        <v>-0.84490089999999995</v>
      </c>
      <c r="P2625">
        <v>0.69421519999999903</v>
      </c>
      <c r="Q2625">
        <v>-2.857898E-2</v>
      </c>
      <c r="R2625">
        <v>-0.71920019999999996</v>
      </c>
      <c r="S2625">
        <v>3.1005250000000002</v>
      </c>
      <c r="T2625">
        <v>2.8481010000000001E-2</v>
      </c>
      <c r="U2625">
        <v>-1.3116909999999999</v>
      </c>
      <c r="V2625">
        <v>-0.20182369999999999</v>
      </c>
      <c r="W2625">
        <v>-1.6850859999999999E-2</v>
      </c>
      <c r="X2625">
        <v>0.97927690000000001</v>
      </c>
      <c r="Y2625">
        <v>-0.56980259999999905</v>
      </c>
      <c r="Z2625">
        <v>-8.563378E-3</v>
      </c>
      <c r="AA2625">
        <v>0.82173689999999999</v>
      </c>
      <c r="AB2625">
        <v>18</v>
      </c>
      <c r="AC2625">
        <v>139.205299999999</v>
      </c>
      <c r="AD2625">
        <v>1.2860479999999901</v>
      </c>
      <c r="AE2625">
        <v>-58.020400000000002</v>
      </c>
      <c r="AF2625">
        <v>-86.590954551676106</v>
      </c>
      <c r="AG2625">
        <v>1.2860479999999901</v>
      </c>
      <c r="AH2625">
        <v>123.46327986868801</v>
      </c>
      <c r="AI2625">
        <v>89.511389457143196</v>
      </c>
      <c r="AJ2625">
        <v>125.043894343524</v>
      </c>
      <c r="AK2625">
        <v>150.807257138251</v>
      </c>
    </row>
    <row r="2626" spans="1:37" x14ac:dyDescent="0.2">
      <c r="A2626" t="str">
        <f>"20200111155854018"</f>
        <v>20200111155854018</v>
      </c>
      <c r="B2626" t="str">
        <f>"1578729534014122"</f>
        <v>1578729534014122</v>
      </c>
      <c r="C2626" t="s">
        <v>37</v>
      </c>
      <c r="D2626">
        <v>5.8304199999999904</v>
      </c>
      <c r="E2626">
        <v>0.31410149999999998</v>
      </c>
      <c r="F2626" t="s">
        <v>64</v>
      </c>
      <c r="G2626">
        <v>-357.29059999999998</v>
      </c>
      <c r="H2626">
        <v>1.5006740000000001</v>
      </c>
      <c r="I2626">
        <v>179.53059999999999</v>
      </c>
      <c r="J2626">
        <v>-486.92</v>
      </c>
      <c r="K2626">
        <v>1.1083889999999901</v>
      </c>
      <c r="L2626">
        <v>225.0078</v>
      </c>
      <c r="M2626">
        <v>0.59724709999999903</v>
      </c>
      <c r="N2626">
        <v>0</v>
      </c>
      <c r="O2626">
        <v>-0.80193610000000004</v>
      </c>
      <c r="P2626">
        <v>0.75349650000000001</v>
      </c>
      <c r="Q2626">
        <v>-2.8427999999999998E-2</v>
      </c>
      <c r="R2626">
        <v>-0.65683709999999995</v>
      </c>
      <c r="S2626">
        <v>3.1517029999999999</v>
      </c>
      <c r="T2626">
        <v>9.4606880000000001E-3</v>
      </c>
      <c r="U2626">
        <v>-1.1294249999999999</v>
      </c>
      <c r="V2626">
        <v>-0.21183539999999901</v>
      </c>
      <c r="W2626">
        <v>-1.6790599999999999E-2</v>
      </c>
      <c r="X2626">
        <v>0.97716109999999901</v>
      </c>
      <c r="Y2626">
        <v>-0.55349669999999995</v>
      </c>
      <c r="Z2626">
        <v>-2.7760440000000001E-3</v>
      </c>
      <c r="AA2626">
        <v>0.83284669999999905</v>
      </c>
      <c r="AB2626">
        <v>18</v>
      </c>
      <c r="AC2626">
        <v>129.6294</v>
      </c>
      <c r="AD2626">
        <v>0.39228499999999999</v>
      </c>
      <c r="AE2626">
        <v>-45.477200000000003</v>
      </c>
      <c r="AF2626">
        <v>-76.800208550989893</v>
      </c>
      <c r="AG2626">
        <v>0.39228499999999999</v>
      </c>
      <c r="AH2626">
        <v>113.900734235765</v>
      </c>
      <c r="AI2626">
        <v>89.836386842684902</v>
      </c>
      <c r="AJ2626">
        <v>123.99073092626899</v>
      </c>
      <c r="AK2626">
        <v>137.37468173008901</v>
      </c>
    </row>
    <row r="2627" spans="1:37" x14ac:dyDescent="0.2">
      <c r="A2627" t="str">
        <f>"20200111155854041"</f>
        <v>20200111155854041</v>
      </c>
      <c r="B2627" t="str">
        <f>"1578729534034618"</f>
        <v>1578729534034618</v>
      </c>
      <c r="C2627" t="s">
        <v>37</v>
      </c>
      <c r="D2627">
        <v>5.9243610000000002</v>
      </c>
      <c r="E2627">
        <v>0.3143939</v>
      </c>
      <c r="F2627" t="s">
        <v>41</v>
      </c>
      <c r="G2627">
        <v>-391.59449999999998</v>
      </c>
      <c r="H2627">
        <v>-0.05</v>
      </c>
      <c r="I2627">
        <v>199.82769999999999</v>
      </c>
      <c r="J2627">
        <v>-486.80110000000002</v>
      </c>
      <c r="K2627">
        <v>1.1083670000000001</v>
      </c>
      <c r="L2627">
        <v>224.8648</v>
      </c>
      <c r="M2627">
        <v>0.60388379999999997</v>
      </c>
      <c r="N2627">
        <v>0</v>
      </c>
      <c r="O2627">
        <v>-0.79695090000000002</v>
      </c>
      <c r="P2627">
        <v>0.75850119999999999</v>
      </c>
      <c r="Q2627">
        <v>-2.890098E-2</v>
      </c>
      <c r="R2627">
        <v>-0.65103059999999902</v>
      </c>
      <c r="S2627">
        <v>3.2349549999999998</v>
      </c>
      <c r="T2627">
        <v>-3.9310930000000001E-2</v>
      </c>
      <c r="U2627">
        <v>-0.85450740000000003</v>
      </c>
      <c r="V2627">
        <v>-0.211210799999999</v>
      </c>
      <c r="W2627">
        <v>-1.7250680000000001E-2</v>
      </c>
      <c r="X2627">
        <v>0.9772883</v>
      </c>
      <c r="Y2627">
        <v>-0.61627769999999904</v>
      </c>
      <c r="Z2627">
        <v>1.1810080000000001E-2</v>
      </c>
      <c r="AA2627">
        <v>0.78744040000000004</v>
      </c>
      <c r="AB2627">
        <v>18</v>
      </c>
      <c r="AC2627">
        <v>95.206599999999995</v>
      </c>
      <c r="AD2627">
        <v>-1.1583669999999999</v>
      </c>
      <c r="AE2627">
        <v>-25.037099999999999</v>
      </c>
      <c r="AF2627">
        <v>-60.752957321484402</v>
      </c>
      <c r="AG2627">
        <v>-1.1583669999999999</v>
      </c>
      <c r="AH2627">
        <v>77.443838784636995</v>
      </c>
      <c r="AI2627">
        <v>90.674250320841395</v>
      </c>
      <c r="AJ2627">
        <v>128.11338994708501</v>
      </c>
      <c r="AK2627">
        <v>98.436841696153806</v>
      </c>
    </row>
    <row r="2628" spans="1:37" x14ac:dyDescent="0.2">
      <c r="A2628" t="str">
        <f>"20200111155854063"</f>
        <v>20200111155854063</v>
      </c>
      <c r="B2628" t="str">
        <f>"1578729534054138"</f>
        <v>1578729534054138</v>
      </c>
      <c r="C2628" t="s">
        <v>37</v>
      </c>
      <c r="D2628">
        <v>6.0136589999999996</v>
      </c>
      <c r="E2628">
        <v>0.31532080000000001</v>
      </c>
      <c r="F2628" t="s">
        <v>41</v>
      </c>
      <c r="G2628">
        <v>-393.2482</v>
      </c>
      <c r="H2628">
        <v>-0.05</v>
      </c>
      <c r="I2628">
        <v>200.8664</v>
      </c>
      <c r="J2628">
        <v>-486.68799999999999</v>
      </c>
      <c r="K2628">
        <v>1.1083369999999999</v>
      </c>
      <c r="L2628">
        <v>224.73089999999999</v>
      </c>
      <c r="M2628">
        <v>0.6100892</v>
      </c>
      <c r="N2628">
        <v>0</v>
      </c>
      <c r="O2628">
        <v>-0.79221039999999998</v>
      </c>
      <c r="P2628">
        <v>0.76342290000000002</v>
      </c>
      <c r="Q2628">
        <v>-2.960658E-2</v>
      </c>
      <c r="R2628">
        <v>-0.64522029999999997</v>
      </c>
      <c r="S2628">
        <v>3.2402340000000001</v>
      </c>
      <c r="T2628">
        <v>-4.0120360000000001E-2</v>
      </c>
      <c r="U2628">
        <v>-0.83119200000000004</v>
      </c>
      <c r="V2628">
        <v>-0.21101329999999999</v>
      </c>
      <c r="W2628">
        <v>-1.7948080000000002E-2</v>
      </c>
      <c r="X2628">
        <v>0.97731840000000003</v>
      </c>
      <c r="Y2628">
        <v>-0.61574830000000003</v>
      </c>
      <c r="Z2628">
        <v>1.2022049999999999E-2</v>
      </c>
      <c r="AA2628">
        <v>0.78785130000000003</v>
      </c>
      <c r="AB2628">
        <v>18</v>
      </c>
      <c r="AC2628">
        <v>93.439800000000005</v>
      </c>
      <c r="AD2628">
        <v>-1.158337</v>
      </c>
      <c r="AE2628">
        <v>-23.8644999999999</v>
      </c>
      <c r="AF2628">
        <v>-59.461693778756597</v>
      </c>
      <c r="AG2628">
        <v>-1.158337</v>
      </c>
      <c r="AH2628">
        <v>75.908725773995897</v>
      </c>
      <c r="AI2628">
        <v>90.688249533422507</v>
      </c>
      <c r="AJ2628">
        <v>128.072715726213</v>
      </c>
      <c r="AK2628">
        <v>96.432201158512896</v>
      </c>
    </row>
    <row r="2629" spans="1:37" x14ac:dyDescent="0.2">
      <c r="A2629" t="str">
        <f>"20200111155854132"</f>
        <v>20200111155854132</v>
      </c>
      <c r="B2629" t="str">
        <f>"1578729534124411"</f>
        <v>1578729534124411</v>
      </c>
      <c r="C2629" t="s">
        <v>37</v>
      </c>
      <c r="D2629">
        <v>5.8666700000000001</v>
      </c>
      <c r="E2629">
        <v>0.31696299999999999</v>
      </c>
      <c r="F2629" t="s">
        <v>57</v>
      </c>
      <c r="G2629">
        <v>-408.64370000000002</v>
      </c>
      <c r="H2629">
        <v>0.20043129999999901</v>
      </c>
      <c r="I2629">
        <v>205.16970000000001</v>
      </c>
      <c r="J2629">
        <v>-486.33589999999998</v>
      </c>
      <c r="K2629">
        <v>1.1082350000000001</v>
      </c>
      <c r="L2629">
        <v>224.32749999999999</v>
      </c>
      <c r="M2629">
        <v>0.62869649999999999</v>
      </c>
      <c r="N2629">
        <v>0</v>
      </c>
      <c r="O2629">
        <v>-0.77752639999999995</v>
      </c>
      <c r="P2629">
        <v>0.77998690000000004</v>
      </c>
      <c r="Q2629">
        <v>-3.1616470000000001E-2</v>
      </c>
      <c r="R2629">
        <v>-0.62499700000000002</v>
      </c>
      <c r="S2629">
        <v>3.2415470000000002</v>
      </c>
      <c r="T2629">
        <v>-3.7709590000000001E-2</v>
      </c>
      <c r="U2629">
        <v>-0.81246949999999996</v>
      </c>
      <c r="V2629">
        <v>-0.2133766</v>
      </c>
      <c r="W2629">
        <v>-1.9962299999999999E-2</v>
      </c>
      <c r="X2629">
        <v>0.97676600000000002</v>
      </c>
      <c r="Y2629">
        <v>-0.60133239999999999</v>
      </c>
      <c r="Z2629">
        <v>1.114572E-2</v>
      </c>
      <c r="AA2629">
        <v>0.7989212</v>
      </c>
      <c r="AB2629">
        <v>18</v>
      </c>
      <c r="AC2629">
        <v>77.6921999999999</v>
      </c>
      <c r="AD2629">
        <v>-0.90780369999999999</v>
      </c>
      <c r="AE2629">
        <v>-19.157799999999899</v>
      </c>
      <c r="AF2629">
        <v>-48.361747999953202</v>
      </c>
      <c r="AG2629">
        <v>-0.90780369999999999</v>
      </c>
      <c r="AH2629">
        <v>63.738470919045</v>
      </c>
      <c r="AI2629">
        <v>90.650064905535302</v>
      </c>
      <c r="AJ2629">
        <v>127.189513246316</v>
      </c>
      <c r="AK2629">
        <v>80.014220312808504</v>
      </c>
    </row>
    <row r="2630" spans="1:37" x14ac:dyDescent="0.2">
      <c r="A2630" t="str">
        <f>"20200111155854153"</f>
        <v>20200111155854153</v>
      </c>
      <c r="B2630" t="str">
        <f>"1578729534143930"</f>
        <v>1578729534143930</v>
      </c>
      <c r="C2630" t="s">
        <v>37</v>
      </c>
      <c r="D2630">
        <v>5.8901690000000002</v>
      </c>
      <c r="E2630">
        <v>0.31827290000000003</v>
      </c>
      <c r="F2630" t="s">
        <v>41</v>
      </c>
      <c r="G2630">
        <v>-364.09809999999999</v>
      </c>
      <c r="H2630">
        <v>-0.05</v>
      </c>
      <c r="I2630">
        <v>196.5873</v>
      </c>
      <c r="J2630">
        <v>-486.22190000000001</v>
      </c>
      <c r="K2630">
        <v>1.1082110000000001</v>
      </c>
      <c r="L2630">
        <v>224.20079999999999</v>
      </c>
      <c r="M2630">
        <v>0.6345132</v>
      </c>
      <c r="N2630">
        <v>0</v>
      </c>
      <c r="O2630">
        <v>-0.77278709999999995</v>
      </c>
      <c r="P2630">
        <v>0.78501929999999998</v>
      </c>
      <c r="Q2630">
        <v>-3.1629289999999997E-2</v>
      </c>
      <c r="R2630">
        <v>-0.61866319999999997</v>
      </c>
      <c r="S2630">
        <v>3.253387</v>
      </c>
      <c r="T2630">
        <v>-3.082669E-2</v>
      </c>
      <c r="U2630">
        <v>-0.73831179999999996</v>
      </c>
      <c r="V2630">
        <v>-0.21395310000000001</v>
      </c>
      <c r="W2630">
        <v>-1.997469E-2</v>
      </c>
      <c r="X2630">
        <v>0.976639699999999</v>
      </c>
      <c r="Y2630">
        <v>-0.6132109</v>
      </c>
      <c r="Z2630">
        <v>9.1500869999999995E-3</v>
      </c>
      <c r="AA2630">
        <v>0.78986630000000002</v>
      </c>
      <c r="AB2630">
        <v>18</v>
      </c>
      <c r="AC2630">
        <v>122.1238</v>
      </c>
      <c r="AD2630">
        <v>-1.1582110000000001</v>
      </c>
      <c r="AE2630">
        <v>-27.613499999999899</v>
      </c>
      <c r="AF2630">
        <v>-76.855411772917407</v>
      </c>
      <c r="AG2630">
        <v>-1.1582110000000001</v>
      </c>
      <c r="AH2630">
        <v>98.829606033759106</v>
      </c>
      <c r="AI2630">
        <v>90.530038454640803</v>
      </c>
      <c r="AJ2630">
        <v>127.87062717495699</v>
      </c>
      <c r="AK2630">
        <v>125.20138497753599</v>
      </c>
    </row>
    <row r="2631" spans="1:37" x14ac:dyDescent="0.2">
      <c r="A2631" t="str">
        <f>"20200111155854175"</f>
        <v>20200111155854175</v>
      </c>
      <c r="B2631" t="str">
        <f>"1578729534164426"</f>
        <v>1578729534164426</v>
      </c>
      <c r="C2631" t="s">
        <v>37</v>
      </c>
      <c r="D2631">
        <v>5.8816040000000003</v>
      </c>
      <c r="E2631">
        <v>0.31952819999999998</v>
      </c>
      <c r="F2631" t="s">
        <v>41</v>
      </c>
      <c r="G2631">
        <v>-386.2688</v>
      </c>
      <c r="H2631">
        <v>-0.05</v>
      </c>
      <c r="I2631">
        <v>202.0855</v>
      </c>
      <c r="J2631">
        <v>-486.10910000000001</v>
      </c>
      <c r="K2631">
        <v>1.108185</v>
      </c>
      <c r="L2631">
        <v>224.07730000000001</v>
      </c>
      <c r="M2631">
        <v>0.64016280000000003</v>
      </c>
      <c r="N2631">
        <v>0</v>
      </c>
      <c r="O2631">
        <v>-0.76811370000000001</v>
      </c>
      <c r="P2631">
        <v>0.79008159999999905</v>
      </c>
      <c r="Q2631">
        <v>-3.1203660000000001E-2</v>
      </c>
      <c r="R2631">
        <v>-0.61220750000000002</v>
      </c>
      <c r="S2631">
        <v>3.2528990000000002</v>
      </c>
      <c r="T2631">
        <v>-3.769314E-2</v>
      </c>
      <c r="U2631">
        <v>-0.71972659999999999</v>
      </c>
      <c r="V2631">
        <v>-0.21481549999999999</v>
      </c>
      <c r="W2631">
        <v>-1.955235E-2</v>
      </c>
      <c r="X2631">
        <v>0.97645890000000002</v>
      </c>
      <c r="Y2631">
        <v>-0.61166450000000006</v>
      </c>
      <c r="Z2631">
        <v>1.1164429999999999E-2</v>
      </c>
      <c r="AA2631">
        <v>0.79103849999999998</v>
      </c>
      <c r="AB2631">
        <v>18</v>
      </c>
      <c r="AC2631">
        <v>99.840299999999999</v>
      </c>
      <c r="AD2631">
        <v>-1.158185</v>
      </c>
      <c r="AE2631">
        <v>-21.991800000000001</v>
      </c>
      <c r="AF2631">
        <v>-62.608375398418097</v>
      </c>
      <c r="AG2631">
        <v>-1.158185</v>
      </c>
      <c r="AH2631">
        <v>80.803674623706598</v>
      </c>
      <c r="AI2631">
        <v>90.649148020939805</v>
      </c>
      <c r="AJ2631">
        <v>127.769272487843</v>
      </c>
      <c r="AK2631">
        <v>102.227119176945</v>
      </c>
    </row>
    <row r="2632" spans="1:37" x14ac:dyDescent="0.2">
      <c r="A2632" t="str">
        <f>"20200111155854431"</f>
        <v>20200111155854431</v>
      </c>
      <c r="B2632" t="str">
        <f>"1578729534424446"</f>
        <v>1578729534424446</v>
      </c>
      <c r="C2632" t="s">
        <v>37</v>
      </c>
      <c r="D2632">
        <v>5.861256</v>
      </c>
      <c r="E2632">
        <v>0.32054250000000001</v>
      </c>
      <c r="F2632" t="s">
        <v>52</v>
      </c>
      <c r="G2632">
        <v>-402.36939999999998</v>
      </c>
      <c r="H2632">
        <v>8.0001660000000002E-2</v>
      </c>
      <c r="I2632">
        <v>206.03649999999999</v>
      </c>
      <c r="J2632">
        <v>-484.7045</v>
      </c>
      <c r="K2632">
        <v>1.1077379999999999</v>
      </c>
      <c r="L2632">
        <v>222.67150000000001</v>
      </c>
      <c r="M2632">
        <v>0.70261600000000002</v>
      </c>
      <c r="N2632">
        <v>0</v>
      </c>
      <c r="O2632">
        <v>-0.7114357</v>
      </c>
      <c r="P2632">
        <v>0.83976309999999998</v>
      </c>
      <c r="Q2632">
        <v>-3.1183470000000001E-2</v>
      </c>
      <c r="R2632">
        <v>-0.54205700000000001</v>
      </c>
      <c r="S2632">
        <v>3.2525629999999999</v>
      </c>
      <c r="T2632">
        <v>-3.9936069999999997E-2</v>
      </c>
      <c r="U2632">
        <v>-0.70072939999999995</v>
      </c>
      <c r="V2632">
        <v>-0.21645509999999901</v>
      </c>
      <c r="W2632">
        <v>-1.941683E-2</v>
      </c>
      <c r="X2632">
        <v>0.97609939999999995</v>
      </c>
      <c r="Y2632">
        <v>-0.54747639999999997</v>
      </c>
      <c r="Z2632">
        <v>1.105356E-2</v>
      </c>
      <c r="AA2632">
        <v>0.83674809999999999</v>
      </c>
      <c r="AB2632">
        <v>18</v>
      </c>
      <c r="AC2632">
        <v>82.335099999999997</v>
      </c>
      <c r="AD2632">
        <v>-1.0277363399999999</v>
      </c>
      <c r="AE2632">
        <v>-16.635000000000002</v>
      </c>
      <c r="AF2632">
        <v>-46.885548679547</v>
      </c>
      <c r="AG2632">
        <v>-1.0277363399999999</v>
      </c>
      <c r="AH2632">
        <v>69.680881397394799</v>
      </c>
      <c r="AI2632">
        <v>90.701091651332902</v>
      </c>
      <c r="AJ2632">
        <v>123.935072565208</v>
      </c>
      <c r="AK2632">
        <v>83.992476742173395</v>
      </c>
    </row>
    <row r="2633" spans="1:37" x14ac:dyDescent="0.2">
      <c r="A2633" t="str">
        <f>"20200111155854477"</f>
        <v>20200111155854477</v>
      </c>
      <c r="B2633" t="str">
        <f>"1578729534474221"</f>
        <v>1578729534474221</v>
      </c>
      <c r="C2633" t="s">
        <v>37</v>
      </c>
      <c r="D2633">
        <v>6.0848170000000001</v>
      </c>
      <c r="E2633">
        <v>0.32047150000000002</v>
      </c>
      <c r="F2633" t="s">
        <v>50</v>
      </c>
      <c r="G2633">
        <v>-395.7552</v>
      </c>
      <c r="H2633" s="1">
        <v>1.5258719999999999E-6</v>
      </c>
      <c r="I2633">
        <v>211.19229999999999</v>
      </c>
      <c r="J2633">
        <v>-484.44470000000001</v>
      </c>
      <c r="K2633">
        <v>1.1075900000000001</v>
      </c>
      <c r="L2633">
        <v>222.4341</v>
      </c>
      <c r="M2633">
        <v>0.71246790000000004</v>
      </c>
      <c r="N2633">
        <v>0</v>
      </c>
      <c r="O2633">
        <v>-0.70156969999999996</v>
      </c>
      <c r="P2633">
        <v>0.84506139999999996</v>
      </c>
      <c r="Q2633">
        <v>-3.1143999999999901E-2</v>
      </c>
      <c r="R2633">
        <v>-0.53376190000000001</v>
      </c>
      <c r="S2633">
        <v>3.2963260000000001</v>
      </c>
      <c r="T2633">
        <v>-4.1051030000000002E-2</v>
      </c>
      <c r="U2633">
        <v>-0.425399799999999</v>
      </c>
      <c r="V2633">
        <v>-0.21246370000000001</v>
      </c>
      <c r="W2633">
        <v>-1.9287160000000001E-2</v>
      </c>
      <c r="X2633">
        <v>0.97697860000000003</v>
      </c>
      <c r="Y2633">
        <v>-0.60457859999999997</v>
      </c>
      <c r="Z2633">
        <v>1.1627159999999999E-2</v>
      </c>
      <c r="AA2633">
        <v>0.79646059999999996</v>
      </c>
      <c r="AB2633">
        <v>17</v>
      </c>
      <c r="AC2633">
        <v>88.689499999999995</v>
      </c>
      <c r="AD2633">
        <v>-1.107588474128</v>
      </c>
      <c r="AE2633">
        <v>-11.2418</v>
      </c>
      <c r="AF2633">
        <v>-54.209259432733496</v>
      </c>
      <c r="AG2633">
        <v>-1.107588474128</v>
      </c>
      <c r="AH2633">
        <v>71.071152583651894</v>
      </c>
      <c r="AI2633">
        <v>90.709924509609493</v>
      </c>
      <c r="AJ2633">
        <v>127.33444348407301</v>
      </c>
      <c r="AK2633">
        <v>89.392277574979403</v>
      </c>
    </row>
    <row r="2634" spans="1:37" x14ac:dyDescent="0.2">
      <c r="A2634" t="str">
        <f>"20200111155854521"</f>
        <v>20200111155854521</v>
      </c>
      <c r="B2634" t="str">
        <f>"1578729534514238"</f>
        <v>1578729534514238</v>
      </c>
      <c r="C2634" t="s">
        <v>37</v>
      </c>
      <c r="D2634">
        <v>5.8208099999999998</v>
      </c>
      <c r="E2634">
        <v>0.32068249999999998</v>
      </c>
      <c r="F2634" t="s">
        <v>50</v>
      </c>
      <c r="G2634">
        <v>-369.97989999999999</v>
      </c>
      <c r="H2634">
        <v>8.0001470000000005E-2</v>
      </c>
      <c r="I2634">
        <v>208.80449999999999</v>
      </c>
      <c r="J2634">
        <v>-484.19589999999999</v>
      </c>
      <c r="K2634">
        <v>1.1074569999999999</v>
      </c>
      <c r="L2634">
        <v>222.2122</v>
      </c>
      <c r="M2634">
        <v>0.72136009999999995</v>
      </c>
      <c r="N2634">
        <v>0</v>
      </c>
      <c r="O2634">
        <v>-0.69242419999999905</v>
      </c>
      <c r="P2634">
        <v>0.85041160000000005</v>
      </c>
      <c r="Q2634">
        <v>-3.0315709999999999E-2</v>
      </c>
      <c r="R2634">
        <v>-0.52524409999999999</v>
      </c>
      <c r="S2634">
        <v>3.3006899999999999</v>
      </c>
      <c r="T2634">
        <v>-2.9631379999999999E-2</v>
      </c>
      <c r="U2634">
        <v>-0.393020599999999</v>
      </c>
      <c r="V2634">
        <v>-0.20984929999999999</v>
      </c>
      <c r="W2634">
        <v>-1.8389470000000002E-2</v>
      </c>
      <c r="X2634">
        <v>0.97756080000000001</v>
      </c>
      <c r="Y2634">
        <v>-0.60228630000000005</v>
      </c>
      <c r="Z2634">
        <v>8.3268419999999992E-3</v>
      </c>
      <c r="AA2634">
        <v>0.79823669999999902</v>
      </c>
      <c r="AB2634">
        <v>17</v>
      </c>
      <c r="AC2634">
        <v>114.21599999999999</v>
      </c>
      <c r="AD2634">
        <v>-1.0274555299999999</v>
      </c>
      <c r="AE2634">
        <v>-13.4077</v>
      </c>
      <c r="AF2634">
        <v>-69.415139109054905</v>
      </c>
      <c r="AG2634">
        <v>-1.0274555299999999</v>
      </c>
      <c r="AH2634">
        <v>91.675997190107495</v>
      </c>
      <c r="AI2634">
        <v>90.511929234739597</v>
      </c>
      <c r="AJ2634">
        <v>127.13224038493099</v>
      </c>
      <c r="AK2634">
        <v>114.99567671523999</v>
      </c>
    </row>
    <row r="2635" spans="1:37" x14ac:dyDescent="0.2">
      <c r="A2635" t="str">
        <f>"20200111155854543"</f>
        <v>20200111155854543</v>
      </c>
      <c r="B2635" t="str">
        <f>"1578729534533758"</f>
        <v>1578729534533758</v>
      </c>
      <c r="C2635" t="s">
        <v>37</v>
      </c>
      <c r="D2635">
        <v>5.8259610000000004</v>
      </c>
      <c r="E2635">
        <v>0.3209998</v>
      </c>
      <c r="F2635" t="s">
        <v>52</v>
      </c>
      <c r="G2635">
        <v>-293.35469999999998</v>
      </c>
      <c r="H2635" s="1">
        <v>3.261369E-6</v>
      </c>
      <c r="I2635">
        <v>201.32579999999999</v>
      </c>
      <c r="J2635">
        <v>-484.06450000000001</v>
      </c>
      <c r="K2635">
        <v>1.10738799999999</v>
      </c>
      <c r="L2635">
        <v>222.09700000000001</v>
      </c>
      <c r="M2635">
        <v>0.72585789999999994</v>
      </c>
      <c r="N2635">
        <v>0</v>
      </c>
      <c r="O2635">
        <v>-0.68770790000000004</v>
      </c>
      <c r="P2635">
        <v>0.85386269999999997</v>
      </c>
      <c r="Q2635">
        <v>-2.9090520000000002E-2</v>
      </c>
      <c r="R2635">
        <v>-0.5196847</v>
      </c>
      <c r="S2635">
        <v>3.3037109999999998</v>
      </c>
      <c r="T2635">
        <v>-1.9171480000000001E-2</v>
      </c>
      <c r="U2635">
        <v>-0.36157230000000001</v>
      </c>
      <c r="V2635">
        <v>-0.20989679999999999</v>
      </c>
      <c r="W2635">
        <v>-1.7144119999999999E-2</v>
      </c>
      <c r="X2635">
        <v>0.97757320000000003</v>
      </c>
      <c r="Y2635">
        <v>-0.60469399999999995</v>
      </c>
      <c r="Z2635">
        <v>5.3769619999999999E-3</v>
      </c>
      <c r="AA2635">
        <v>0.79643980000000003</v>
      </c>
      <c r="AB2635">
        <v>17</v>
      </c>
      <c r="AC2635">
        <v>190.7098</v>
      </c>
      <c r="AD2635">
        <v>-1.1073847386309901</v>
      </c>
      <c r="AE2635">
        <v>-20.7712</v>
      </c>
      <c r="AF2635">
        <v>-116.08274991216101</v>
      </c>
      <c r="AG2635">
        <v>-1.1073847386309901</v>
      </c>
      <c r="AH2635">
        <v>152.72201301375799</v>
      </c>
      <c r="AI2635">
        <v>90.330747863053602</v>
      </c>
      <c r="AJ2635">
        <v>127.238167889292</v>
      </c>
      <c r="AK2635">
        <v>191.834419192967</v>
      </c>
    </row>
    <row r="2636" spans="1:37" x14ac:dyDescent="0.2">
      <c r="A2636" t="str">
        <f>"20200111155854589"</f>
        <v>20200111155854589</v>
      </c>
      <c r="B2636" t="str">
        <f>"1578729534584510"</f>
        <v>1578729534584510</v>
      </c>
      <c r="C2636" t="s">
        <v>37</v>
      </c>
      <c r="D2636">
        <v>5.7324580000000003</v>
      </c>
      <c r="E2636">
        <v>0.32147789999999998</v>
      </c>
      <c r="F2636" t="s">
        <v>52</v>
      </c>
      <c r="G2636">
        <v>-289.83789999999999</v>
      </c>
      <c r="H2636">
        <v>7.9999239999999999E-2</v>
      </c>
      <c r="I2636">
        <v>201.9975</v>
      </c>
      <c r="J2636">
        <v>-483.80119999999999</v>
      </c>
      <c r="K2636">
        <v>1.1072709999999999</v>
      </c>
      <c r="L2636">
        <v>221.87029999999999</v>
      </c>
      <c r="M2636">
        <v>0.73448849999999999</v>
      </c>
      <c r="N2636">
        <v>0</v>
      </c>
      <c r="O2636">
        <v>-0.67848330000000001</v>
      </c>
      <c r="P2636">
        <v>0.86095549999999998</v>
      </c>
      <c r="Q2636">
        <v>-2.9010709999999999E-2</v>
      </c>
      <c r="R2636">
        <v>-0.50785259999999999</v>
      </c>
      <c r="S2636">
        <v>3.3047789999999999</v>
      </c>
      <c r="T2636">
        <v>-1.7481090000000001E-2</v>
      </c>
      <c r="U2636">
        <v>-0.3419952</v>
      </c>
      <c r="V2636">
        <v>-0.211042799999999</v>
      </c>
      <c r="W2636">
        <v>-1.704437E-2</v>
      </c>
      <c r="X2636">
        <v>0.97732819999999898</v>
      </c>
      <c r="Y2636">
        <v>-0.59931449999999997</v>
      </c>
      <c r="Z2636">
        <v>4.8566290000000003E-3</v>
      </c>
      <c r="AA2636">
        <v>0.80049890000000001</v>
      </c>
      <c r="AB2636">
        <v>17</v>
      </c>
      <c r="AC2636">
        <v>193.9633</v>
      </c>
      <c r="AD2636">
        <v>-1.0272717600000001</v>
      </c>
      <c r="AE2636">
        <v>-19.872799999999899</v>
      </c>
      <c r="AF2636">
        <v>-117.012213388302</v>
      </c>
      <c r="AG2636">
        <v>-1.0272717600000001</v>
      </c>
      <c r="AH2636">
        <v>155.95743444298799</v>
      </c>
      <c r="AI2636">
        <v>90.301876195547294</v>
      </c>
      <c r="AJ2636">
        <v>126.880274024432</v>
      </c>
      <c r="AK2636">
        <v>194.97598500158301</v>
      </c>
    </row>
    <row r="2637" spans="1:37" x14ac:dyDescent="0.2">
      <c r="A2637" t="str">
        <f>"20200111155854611"</f>
        <v>20200111155854611</v>
      </c>
      <c r="B2637" t="str">
        <f>"1578729534604030"</f>
        <v>1578729534604030</v>
      </c>
      <c r="C2637" t="s">
        <v>37</v>
      </c>
      <c r="D2637">
        <v>5.7429329999999998</v>
      </c>
      <c r="E2637">
        <v>0.3217874</v>
      </c>
      <c r="F2637" t="s">
        <v>41</v>
      </c>
      <c r="G2637">
        <v>-258.82429999999999</v>
      </c>
      <c r="H2637">
        <v>-0.05</v>
      </c>
      <c r="I2637">
        <v>201.4837</v>
      </c>
      <c r="J2637">
        <v>-483.67090000000002</v>
      </c>
      <c r="K2637">
        <v>1.107235</v>
      </c>
      <c r="L2637">
        <v>221.75989999999999</v>
      </c>
      <c r="M2637">
        <v>0.73861290000000002</v>
      </c>
      <c r="N2637">
        <v>0</v>
      </c>
      <c r="O2637">
        <v>-0.67399119999999901</v>
      </c>
      <c r="P2637">
        <v>0.86442019999999997</v>
      </c>
      <c r="Q2637">
        <v>-2.8422800000000002E-2</v>
      </c>
      <c r="R2637">
        <v>-0.50196640000000003</v>
      </c>
      <c r="S2637">
        <v>3.3071589999999902</v>
      </c>
      <c r="T2637">
        <v>-1.701188E-2</v>
      </c>
      <c r="U2637">
        <v>-0.29968259999999902</v>
      </c>
      <c r="V2637">
        <v>-0.21176900000000001</v>
      </c>
      <c r="W2637">
        <v>-1.6455669999999999E-2</v>
      </c>
      <c r="X2637">
        <v>0.97718119999999997</v>
      </c>
      <c r="Y2637">
        <v>-0.60462499999999997</v>
      </c>
      <c r="Z2637">
        <v>4.726732E-3</v>
      </c>
      <c r="AA2637">
        <v>0.79649630000000005</v>
      </c>
      <c r="AB2637">
        <v>17</v>
      </c>
      <c r="AC2637">
        <v>224.8466</v>
      </c>
      <c r="AD2637">
        <v>-1.157235</v>
      </c>
      <c r="AE2637">
        <v>-20.2761999999999</v>
      </c>
      <c r="AF2637">
        <v>-136.577538640433</v>
      </c>
      <c r="AG2637">
        <v>-1.157235</v>
      </c>
      <c r="AH2637">
        <v>179.75265081992799</v>
      </c>
      <c r="AI2637">
        <v>90.2937019042771</v>
      </c>
      <c r="AJ2637">
        <v>127.22786760073799</v>
      </c>
      <c r="AK2637">
        <v>225.75601593471501</v>
      </c>
    </row>
    <row r="2638" spans="1:37" x14ac:dyDescent="0.2">
      <c r="A2638" t="str">
        <f>"20200111155854635"</f>
        <v>20200111155854635</v>
      </c>
      <c r="B2638" t="str">
        <f>"1578729534624526"</f>
        <v>1578729534624526</v>
      </c>
      <c r="C2638" t="s">
        <v>37</v>
      </c>
      <c r="D2638">
        <v>5.7895260000000004</v>
      </c>
      <c r="E2638">
        <v>0.3221946</v>
      </c>
      <c r="F2638" t="s">
        <v>65</v>
      </c>
      <c r="G2638">
        <v>-221.04259999999999</v>
      </c>
      <c r="H2638">
        <v>0.48527369999999997</v>
      </c>
      <c r="I2638">
        <v>199.57599999999999</v>
      </c>
      <c r="J2638">
        <v>-483.53649999999999</v>
      </c>
      <c r="K2638">
        <v>1.107208</v>
      </c>
      <c r="L2638">
        <v>221.64750000000001</v>
      </c>
      <c r="M2638">
        <v>0.74278029999999995</v>
      </c>
      <c r="N2638">
        <v>0</v>
      </c>
      <c r="O2638">
        <v>-0.66939559999999998</v>
      </c>
      <c r="P2638">
        <v>0.86714740000000001</v>
      </c>
      <c r="Q2638">
        <v>-2.7630950000000001E-2</v>
      </c>
      <c r="R2638">
        <v>-0.49728479999999903</v>
      </c>
      <c r="S2638">
        <v>3.3079529999999999</v>
      </c>
      <c r="T2638">
        <v>-7.8339580000000002E-3</v>
      </c>
      <c r="U2638">
        <v>-0.27941890000000003</v>
      </c>
      <c r="V2638">
        <v>-0.2110136</v>
      </c>
      <c r="W2638">
        <v>-1.56548E-2</v>
      </c>
      <c r="X2638">
        <v>0.977357699999999</v>
      </c>
      <c r="Y2638">
        <v>-0.60455449999999999</v>
      </c>
      <c r="Z2638">
        <v>2.1696860000000001E-3</v>
      </c>
      <c r="AA2638">
        <v>0.79656090000000002</v>
      </c>
      <c r="AB2638">
        <v>17</v>
      </c>
      <c r="AC2638">
        <v>262.4939</v>
      </c>
      <c r="AD2638">
        <v>-0.62193429999999905</v>
      </c>
      <c r="AE2638">
        <v>-22.0715</v>
      </c>
      <c r="AF2638">
        <v>-159.33199299560201</v>
      </c>
      <c r="AG2638">
        <v>-0.62193429999999905</v>
      </c>
      <c r="AH2638">
        <v>209.76830327632999</v>
      </c>
      <c r="AI2638">
        <v>90.135275668867806</v>
      </c>
      <c r="AJ2638">
        <v>127.218916449926</v>
      </c>
      <c r="AK2638">
        <v>263.41945989932998</v>
      </c>
    </row>
    <row r="2639" spans="1:37" x14ac:dyDescent="0.2">
      <c r="A2639" t="str">
        <f>"20200111155854656"</f>
        <v>20200111155854656</v>
      </c>
      <c r="B2639" t="str">
        <f>"1578729534654783"</f>
        <v>1578729534654783</v>
      </c>
      <c r="C2639" t="s">
        <v>37</v>
      </c>
      <c r="D2639">
        <v>5.7354859999999999</v>
      </c>
      <c r="E2639">
        <v>0.32262489999999999</v>
      </c>
      <c r="F2639" t="s">
        <v>57</v>
      </c>
      <c r="G2639">
        <v>-285.74520000000001</v>
      </c>
      <c r="H2639">
        <v>0.64533790000000002</v>
      </c>
      <c r="I2639">
        <v>205.8416</v>
      </c>
      <c r="J2639">
        <v>-483.40780000000001</v>
      </c>
      <c r="K2639">
        <v>1.1071979999999999</v>
      </c>
      <c r="L2639">
        <v>221.541</v>
      </c>
      <c r="M2639">
        <v>0.74670609999999904</v>
      </c>
      <c r="N2639">
        <v>0</v>
      </c>
      <c r="O2639">
        <v>-0.6650142</v>
      </c>
      <c r="P2639">
        <v>0.86918340000000005</v>
      </c>
      <c r="Q2639">
        <v>-2.8587209999999998E-2</v>
      </c>
      <c r="R2639">
        <v>-0.49366290000000002</v>
      </c>
      <c r="S2639">
        <v>3.30773899999999</v>
      </c>
      <c r="T2639">
        <v>-7.72404699999999E-3</v>
      </c>
      <c r="U2639">
        <v>-0.26432800000000001</v>
      </c>
      <c r="V2639">
        <v>-0.2093141</v>
      </c>
      <c r="W2639">
        <v>-1.659915E-2</v>
      </c>
      <c r="X2639">
        <v>0.97770759999999901</v>
      </c>
      <c r="Y2639">
        <v>-0.60347280000000003</v>
      </c>
      <c r="Z2639">
        <v>2.1317409999999999E-3</v>
      </c>
      <c r="AA2639">
        <v>0.79738069999999905</v>
      </c>
      <c r="AB2639">
        <v>17</v>
      </c>
      <c r="AC2639">
        <v>197.6626</v>
      </c>
      <c r="AD2639">
        <v>-0.461860099999999</v>
      </c>
      <c r="AE2639">
        <v>-15.699399999999899</v>
      </c>
      <c r="AF2639">
        <v>-119.73609129452601</v>
      </c>
      <c r="AG2639">
        <v>-0.461860099999999</v>
      </c>
      <c r="AH2639">
        <v>158.050044019598</v>
      </c>
      <c r="AI2639">
        <v>90.133457997019505</v>
      </c>
      <c r="AJ2639">
        <v>127.146965268776</v>
      </c>
      <c r="AK2639">
        <v>198.28454626581399</v>
      </c>
    </row>
    <row r="2640" spans="1:37" x14ac:dyDescent="0.2">
      <c r="A2640" t="str">
        <f>"20200111155854679"</f>
        <v>20200111155854679</v>
      </c>
      <c r="B2640" t="str">
        <f>"1578729534674302"</f>
        <v>1578729534674302</v>
      </c>
      <c r="C2640" t="s">
        <v>37</v>
      </c>
      <c r="D2640">
        <v>5.7903609999999999</v>
      </c>
      <c r="E2640">
        <v>0.32311899999999999</v>
      </c>
      <c r="F2640" t="s">
        <v>66</v>
      </c>
      <c r="G2640">
        <v>-168.4135</v>
      </c>
      <c r="H2640">
        <v>0.12740899999999999</v>
      </c>
      <c r="I2640">
        <v>197.38939999999999</v>
      </c>
      <c r="J2640">
        <v>-483.27730000000003</v>
      </c>
      <c r="K2640">
        <v>1.107191</v>
      </c>
      <c r="L2640">
        <v>221.4342</v>
      </c>
      <c r="M2640">
        <v>0.75063570000000002</v>
      </c>
      <c r="N2640">
        <v>0</v>
      </c>
      <c r="O2640">
        <v>-0.66057540000000003</v>
      </c>
      <c r="P2640">
        <v>0.87054849999999995</v>
      </c>
      <c r="Q2640">
        <v>-3.0911560000000001E-2</v>
      </c>
      <c r="R2640">
        <v>-0.49111070000000001</v>
      </c>
      <c r="S2640">
        <v>3.3071589999999902</v>
      </c>
      <c r="T2640">
        <v>-1.028657E-2</v>
      </c>
      <c r="U2640">
        <v>-0.25357059999999998</v>
      </c>
      <c r="V2640">
        <v>-0.20631820000000001</v>
      </c>
      <c r="W2640">
        <v>-1.890387E-2</v>
      </c>
      <c r="X2640">
        <v>0.97830239999999902</v>
      </c>
      <c r="Y2640">
        <v>-0.60130749999999999</v>
      </c>
      <c r="Z2640">
        <v>2.8269889999999998E-3</v>
      </c>
      <c r="AA2640">
        <v>0.79901269999999902</v>
      </c>
      <c r="AB2640">
        <v>17</v>
      </c>
      <c r="AC2640">
        <v>314.86380000000003</v>
      </c>
      <c r="AD2640">
        <v>-0.97978200000000004</v>
      </c>
      <c r="AE2640">
        <v>-24.044799999999999</v>
      </c>
      <c r="AF2640">
        <v>-189.95825148805699</v>
      </c>
      <c r="AG2640">
        <v>-0.97978200000000004</v>
      </c>
      <c r="AH2640">
        <v>252.252468236228</v>
      </c>
      <c r="AI2640">
        <v>90.177774505543795</v>
      </c>
      <c r="AJ2640">
        <v>126.981507287721</v>
      </c>
      <c r="AK2640">
        <v>315.77904460625098</v>
      </c>
    </row>
    <row r="2641" spans="1:37" x14ac:dyDescent="0.2">
      <c r="A2641" t="str">
        <f>"20200111155855035"</f>
        <v>20200111155855035</v>
      </c>
      <c r="B2641" t="str">
        <f>"1578729535024686"</f>
        <v>1578729535024686</v>
      </c>
      <c r="C2641" t="s">
        <v>37</v>
      </c>
      <c r="D2641">
        <v>5.896585</v>
      </c>
      <c r="E2641">
        <v>0.32416780000000001</v>
      </c>
      <c r="F2641" t="s">
        <v>52</v>
      </c>
      <c r="G2641">
        <v>-289.84699999999998</v>
      </c>
      <c r="H2641">
        <v>1.515536E-2</v>
      </c>
      <c r="I2641">
        <v>206.96629999999999</v>
      </c>
      <c r="J2641">
        <v>-481.12869999999998</v>
      </c>
      <c r="K2641">
        <v>1.1078190000000001</v>
      </c>
      <c r="L2641">
        <v>219.8631</v>
      </c>
      <c r="M2641">
        <v>0.81302919999999901</v>
      </c>
      <c r="N2641">
        <v>0</v>
      </c>
      <c r="O2641">
        <v>-0.58206219999999997</v>
      </c>
      <c r="P2641">
        <v>0.90651700000000002</v>
      </c>
      <c r="Q2641">
        <v>-2.8064169999999999E-2</v>
      </c>
      <c r="R2641">
        <v>-0.42123539999999998</v>
      </c>
      <c r="S2641">
        <v>3.3058779999999999</v>
      </c>
      <c r="T2641">
        <v>-1.8663760000000001E-2</v>
      </c>
      <c r="U2641">
        <v>-0.24726869999999901</v>
      </c>
      <c r="V2641">
        <v>-0.1850697</v>
      </c>
      <c r="W2641">
        <v>-1.607244E-2</v>
      </c>
      <c r="X2641">
        <v>0.98259399999999997</v>
      </c>
      <c r="Y2641">
        <v>-0.51983069999999998</v>
      </c>
      <c r="Z2641">
        <v>4.56055099999999E-3</v>
      </c>
      <c r="AA2641">
        <v>0.85425709999999999</v>
      </c>
      <c r="AB2641">
        <v>17</v>
      </c>
      <c r="AC2641">
        <v>191.2817</v>
      </c>
      <c r="AD2641">
        <v>-1.09266364</v>
      </c>
      <c r="AE2641">
        <v>-12.896800000000001</v>
      </c>
      <c r="AF2641">
        <v>-100.85853277991001</v>
      </c>
      <c r="AG2641">
        <v>-1.09266364</v>
      </c>
      <c r="AH2641">
        <v>163.03430577425701</v>
      </c>
      <c r="AI2641">
        <v>90.326557918364202</v>
      </c>
      <c r="AJ2641">
        <v>121.742335854731</v>
      </c>
      <c r="AK2641">
        <v>191.71286448133901</v>
      </c>
    </row>
    <row r="2642" spans="1:37" x14ac:dyDescent="0.2">
      <c r="A2642" t="str">
        <f>"20200111155855057"</f>
        <v>20200111155855057</v>
      </c>
      <c r="B2642" t="str">
        <f>"1578729535053966"</f>
        <v>1578729535053966</v>
      </c>
      <c r="C2642" t="s">
        <v>37</v>
      </c>
      <c r="D2642">
        <v>5.9244009999999996</v>
      </c>
      <c r="E2642">
        <v>0.32575989999999999</v>
      </c>
      <c r="F2642" t="s">
        <v>67</v>
      </c>
      <c r="G2642">
        <v>-157.8382</v>
      </c>
      <c r="H2642">
        <v>2.461808</v>
      </c>
      <c r="I2642">
        <v>220.24599999999899</v>
      </c>
      <c r="J2642">
        <v>-480.99119999999999</v>
      </c>
      <c r="K2642">
        <v>1.107847</v>
      </c>
      <c r="L2642">
        <v>219.7749</v>
      </c>
      <c r="M2642">
        <v>0.81706630000000002</v>
      </c>
      <c r="N2642">
        <v>0</v>
      </c>
      <c r="O2642">
        <v>-0.57638129999999999</v>
      </c>
      <c r="P2642">
        <v>0.90860399999999997</v>
      </c>
      <c r="Q2642">
        <v>-3.206531E-2</v>
      </c>
      <c r="R2642">
        <v>-0.41642629999999897</v>
      </c>
      <c r="S2642">
        <v>3.3116150000000002</v>
      </c>
      <c r="T2642">
        <v>1.387012E-2</v>
      </c>
      <c r="U2642">
        <v>3.9215090000000001E-3</v>
      </c>
      <c r="V2642">
        <v>-0.18331789999999901</v>
      </c>
      <c r="W2642">
        <v>-2.0068269999999999E-2</v>
      </c>
      <c r="X2642">
        <v>0.98284879999999997</v>
      </c>
      <c r="Y2642">
        <v>-0.57739289999999999</v>
      </c>
      <c r="Z2642">
        <v>-3.5021649999999998E-3</v>
      </c>
      <c r="AA2642">
        <v>0.81645889999999999</v>
      </c>
      <c r="AB2642">
        <v>17</v>
      </c>
      <c r="AC2642">
        <v>323.15300000000002</v>
      </c>
      <c r="AD2642">
        <v>1.353961</v>
      </c>
      <c r="AE2642">
        <v>0.47109999999997798</v>
      </c>
      <c r="AF2642">
        <v>-186.65846723681199</v>
      </c>
      <c r="AG2642">
        <v>1.353961</v>
      </c>
      <c r="AH2642">
        <v>263.78596177351301</v>
      </c>
      <c r="AI2642">
        <v>89.759937007054006</v>
      </c>
      <c r="AJ2642">
        <v>125.28373444185</v>
      </c>
      <c r="AK2642">
        <v>323.15050708665598</v>
      </c>
    </row>
    <row r="2643" spans="1:37" x14ac:dyDescent="0.2">
      <c r="A2643" t="str">
        <f>"20200111155855080"</f>
        <v>20200111155855080</v>
      </c>
      <c r="B2643" t="str">
        <f>"1578729535074462"</f>
        <v>1578729535074462</v>
      </c>
      <c r="C2643" t="s">
        <v>37</v>
      </c>
      <c r="D2643">
        <v>5.9425400000000002</v>
      </c>
      <c r="E2643">
        <v>0.32667679999999999</v>
      </c>
      <c r="F2643" t="s">
        <v>67</v>
      </c>
      <c r="G2643">
        <v>-157.8382</v>
      </c>
      <c r="H2643">
        <v>1.7760929999999999</v>
      </c>
      <c r="I2643">
        <v>220.6936</v>
      </c>
      <c r="J2643">
        <v>-480.85199999999998</v>
      </c>
      <c r="K2643">
        <v>1.107883</v>
      </c>
      <c r="L2643">
        <v>219.68700000000001</v>
      </c>
      <c r="M2643">
        <v>0.82117309999999999</v>
      </c>
      <c r="N2643">
        <v>0</v>
      </c>
      <c r="O2643">
        <v>-0.57051459999999998</v>
      </c>
      <c r="P2643">
        <v>0.91013239999999995</v>
      </c>
      <c r="Q2643">
        <v>-3.284364E-2</v>
      </c>
      <c r="R2643">
        <v>-0.41301379999999999</v>
      </c>
      <c r="S2643">
        <v>3.3063349999999998</v>
      </c>
      <c r="T2643">
        <v>6.8377259999999997E-3</v>
      </c>
      <c r="U2643">
        <v>9.399414E-3</v>
      </c>
      <c r="V2643">
        <v>-0.17994199999999999</v>
      </c>
      <c r="W2643">
        <v>-2.0824470000000001E-2</v>
      </c>
      <c r="X2643">
        <v>0.98345680000000002</v>
      </c>
      <c r="Y2643">
        <v>-0.57289829999999997</v>
      </c>
      <c r="Z2643">
        <v>-1.7146959999999999E-3</v>
      </c>
      <c r="AA2643">
        <v>0.81962469999999998</v>
      </c>
      <c r="AB2643">
        <v>17</v>
      </c>
      <c r="AC2643">
        <v>323.01379999999898</v>
      </c>
      <c r="AD2643">
        <v>0.66820999999999997</v>
      </c>
      <c r="AE2643">
        <v>1.0065999999999899</v>
      </c>
      <c r="AF2643">
        <v>-185.12727673012699</v>
      </c>
      <c r="AG2643">
        <v>0.66820999999999997</v>
      </c>
      <c r="AH2643">
        <v>264.69969142598302</v>
      </c>
      <c r="AI2643">
        <v>89.881473992271907</v>
      </c>
      <c r="AJ2643">
        <v>124.96840557794501</v>
      </c>
      <c r="AK2643">
        <v>323.014677275086</v>
      </c>
    </row>
    <row r="2644" spans="1:37" x14ac:dyDescent="0.2">
      <c r="A2644" t="str">
        <f>"20200111155855103"</f>
        <v>20200111155855103</v>
      </c>
      <c r="B2644" t="str">
        <f>"1578729535093982"</f>
        <v>1578729535093982</v>
      </c>
      <c r="C2644" t="s">
        <v>37</v>
      </c>
      <c r="D2644">
        <v>5.8734250000000001</v>
      </c>
      <c r="E2644">
        <v>0.32747540000000003</v>
      </c>
      <c r="F2644" t="s">
        <v>67</v>
      </c>
      <c r="G2644">
        <v>-157.8382</v>
      </c>
      <c r="H2644">
        <v>1.9825090000000001</v>
      </c>
      <c r="I2644">
        <v>221.1105</v>
      </c>
      <c r="J2644">
        <v>-480.70929999999998</v>
      </c>
      <c r="K2644">
        <v>1.1079490000000001</v>
      </c>
      <c r="L2644">
        <v>219.5986</v>
      </c>
      <c r="M2644">
        <v>0.82539459999999998</v>
      </c>
      <c r="N2644">
        <v>0</v>
      </c>
      <c r="O2644">
        <v>-0.56438959999999905</v>
      </c>
      <c r="P2644">
        <v>0.91191599999999995</v>
      </c>
      <c r="Q2644">
        <v>-3.110711E-2</v>
      </c>
      <c r="R2644">
        <v>-0.40919650000000002</v>
      </c>
      <c r="S2644">
        <v>3.3031919999999899</v>
      </c>
      <c r="T2644">
        <v>8.9446309999999998E-3</v>
      </c>
      <c r="U2644">
        <v>1.4556879999999999E-2</v>
      </c>
      <c r="V2644">
        <v>-0.17679259999999999</v>
      </c>
      <c r="W2644">
        <v>-1.90683E-2</v>
      </c>
      <c r="X2644">
        <v>0.98406340000000003</v>
      </c>
      <c r="Y2644">
        <v>-0.56807109999999905</v>
      </c>
      <c r="Z2644">
        <v>-2.2249639999999998E-3</v>
      </c>
      <c r="AA2644">
        <v>0.822976499999999</v>
      </c>
      <c r="AB2644">
        <v>17</v>
      </c>
      <c r="AC2644">
        <v>322.87110000000001</v>
      </c>
      <c r="AD2644">
        <v>0.87456</v>
      </c>
      <c r="AE2644">
        <v>1.51189999999999</v>
      </c>
      <c r="AF2644">
        <v>-183.48892000380101</v>
      </c>
      <c r="AG2644">
        <v>0.87456</v>
      </c>
      <c r="AH2644">
        <v>265.66580434656203</v>
      </c>
      <c r="AI2644">
        <v>89.844804032778001</v>
      </c>
      <c r="AJ2644">
        <v>124.631895677</v>
      </c>
      <c r="AK2644">
        <v>322.87345542559098</v>
      </c>
    </row>
    <row r="2645" spans="1:37" x14ac:dyDescent="0.2">
      <c r="A2645" t="str">
        <f>"20200111155855358"</f>
        <v>20200111155855358</v>
      </c>
      <c r="B2645" t="str">
        <f>"1578729535354574"</f>
        <v>1578729535354574</v>
      </c>
      <c r="C2645" t="s">
        <v>37</v>
      </c>
      <c r="D2645">
        <v>5.5428410000000001</v>
      </c>
      <c r="E2645">
        <v>0.32747540000000003</v>
      </c>
      <c r="F2645" t="s">
        <v>67</v>
      </c>
      <c r="G2645">
        <v>-168.35059999999999</v>
      </c>
      <c r="H2645">
        <v>2.724847</v>
      </c>
      <c r="I2645">
        <v>221.72720000000001</v>
      </c>
      <c r="J2645">
        <v>-479.09379999999999</v>
      </c>
      <c r="K2645">
        <v>1.1083319999999901</v>
      </c>
      <c r="L2645">
        <v>218.71080000000001</v>
      </c>
      <c r="M2645">
        <v>0.87221870000000001</v>
      </c>
      <c r="N2645">
        <v>0</v>
      </c>
      <c r="O2645">
        <v>-0.488921099999999</v>
      </c>
      <c r="P2645">
        <v>0.93981870000000001</v>
      </c>
      <c r="Q2645">
        <v>-2.89288E-3</v>
      </c>
      <c r="R2645">
        <v>-0.34166180000000002</v>
      </c>
      <c r="S2645">
        <v>3.300446</v>
      </c>
      <c r="T2645">
        <v>1.7085079999999999E-2</v>
      </c>
      <c r="U2645">
        <v>2.2491460000000001E-2</v>
      </c>
      <c r="V2645">
        <v>-0.1615973</v>
      </c>
      <c r="W2645">
        <v>9.3261490000000006E-3</v>
      </c>
      <c r="X2645">
        <v>0.98681269999999999</v>
      </c>
      <c r="Y2645">
        <v>-0.49488799999999999</v>
      </c>
      <c r="Z2645">
        <v>-3.7267699999999999E-3</v>
      </c>
      <c r="AA2645">
        <v>0.86894879999999997</v>
      </c>
      <c r="AB2645">
        <v>16</v>
      </c>
      <c r="AC2645">
        <v>310.7432</v>
      </c>
      <c r="AD2645">
        <v>1.6165149999999999</v>
      </c>
      <c r="AE2645">
        <v>3.0164</v>
      </c>
      <c r="AF2645">
        <v>-154.57042427921201</v>
      </c>
      <c r="AG2645">
        <v>1.6165149999999999</v>
      </c>
      <c r="AH2645">
        <v>269.57965970000998</v>
      </c>
      <c r="AI2645">
        <v>89.701950696324303</v>
      </c>
      <c r="AJ2645">
        <v>119.82891123870699</v>
      </c>
      <c r="AK2645">
        <v>310.75363570934098</v>
      </c>
    </row>
    <row r="2646" spans="1:37" x14ac:dyDescent="0.2">
      <c r="A2646" t="str">
        <f>"20200111155855405"</f>
        <v>20200111155855405</v>
      </c>
      <c r="B2646" t="str">
        <f>"1578729535394590"</f>
        <v>1578729535394590</v>
      </c>
      <c r="C2646" t="s">
        <v>37</v>
      </c>
      <c r="D2646">
        <v>5.608994</v>
      </c>
      <c r="E2646">
        <v>0.38671309999999998</v>
      </c>
      <c r="F2646" t="s">
        <v>68</v>
      </c>
      <c r="G2646">
        <v>-344.37650000000002</v>
      </c>
      <c r="H2646">
        <v>5.5779909999999999</v>
      </c>
      <c r="I2646">
        <v>229.51230000000001</v>
      </c>
      <c r="J2646">
        <v>-478.79489999999998</v>
      </c>
      <c r="K2646">
        <v>1.108284</v>
      </c>
      <c r="L2646">
        <v>218.5676</v>
      </c>
      <c r="M2646">
        <v>0.88025399999999998</v>
      </c>
      <c r="N2646">
        <v>0</v>
      </c>
      <c r="O2646">
        <v>-0.47430129999999998</v>
      </c>
      <c r="P2646">
        <v>0.94386610000000004</v>
      </c>
      <c r="Q2646">
        <v>-6.1124269999999897E-3</v>
      </c>
      <c r="R2646">
        <v>-0.33027190000000001</v>
      </c>
      <c r="S2646">
        <v>3.2883300000000002</v>
      </c>
      <c r="T2646">
        <v>0.1091015</v>
      </c>
      <c r="U2646">
        <v>0.26365659999999902</v>
      </c>
      <c r="V2646">
        <v>-0.15702849999999999</v>
      </c>
      <c r="W2646">
        <v>6.1729200000000001E-3</v>
      </c>
      <c r="X2646">
        <v>0.98757479999999997</v>
      </c>
      <c r="Y2646">
        <v>-0.54264369999999995</v>
      </c>
      <c r="Z2646">
        <v>-2.4268720000000001E-2</v>
      </c>
      <c r="AA2646">
        <v>0.83961229999999998</v>
      </c>
      <c r="AB2646">
        <v>16</v>
      </c>
      <c r="AC2646">
        <v>134.418399999999</v>
      </c>
      <c r="AD2646">
        <v>4.4697069999999997</v>
      </c>
      <c r="AE2646">
        <v>10.944699999999999</v>
      </c>
      <c r="AF2646">
        <v>-73.315422196691799</v>
      </c>
      <c r="AG2646">
        <v>4.4697069999999997</v>
      </c>
      <c r="AH2646">
        <v>113.017922300685</v>
      </c>
      <c r="AI2646">
        <v>88.0996849871715</v>
      </c>
      <c r="AJ2646">
        <v>122.971723091369</v>
      </c>
      <c r="AK2646">
        <v>134.78939191831401</v>
      </c>
    </row>
    <row r="2647" spans="1:37" x14ac:dyDescent="0.2">
      <c r="A2647" t="str">
        <f>"20200111155855450"</f>
        <v>20200111155855450</v>
      </c>
      <c r="B2647" t="str">
        <f>"1578729535444366"</f>
        <v>1578729535444366</v>
      </c>
      <c r="C2647" t="s">
        <v>37</v>
      </c>
      <c r="D2647">
        <v>5.4544009999999998</v>
      </c>
      <c r="E2647">
        <v>0.38908359999999997</v>
      </c>
      <c r="F2647" t="s">
        <v>50</v>
      </c>
      <c r="G2647">
        <v>-243.29560000000001</v>
      </c>
      <c r="H2647">
        <v>8.0000769999999999E-2</v>
      </c>
      <c r="I2647">
        <v>208.3058</v>
      </c>
      <c r="J2647">
        <v>-478.50319999999999</v>
      </c>
      <c r="K2647">
        <v>1.10822</v>
      </c>
      <c r="L2647">
        <v>218.4341</v>
      </c>
      <c r="M2647">
        <v>0.88781359999999998</v>
      </c>
      <c r="N2647">
        <v>0</v>
      </c>
      <c r="O2647">
        <v>-0.45999579999999901</v>
      </c>
      <c r="P2647">
        <v>0.94767179999999995</v>
      </c>
      <c r="Q2647">
        <v>-7.4992139999999997E-3</v>
      </c>
      <c r="R2647">
        <v>-0.31915859999999902</v>
      </c>
      <c r="S2647">
        <v>3.130585</v>
      </c>
      <c r="T2647">
        <v>-1.366937E-2</v>
      </c>
      <c r="U2647">
        <v>-0.1364136</v>
      </c>
      <c r="V2647">
        <v>-0.15263399999999999</v>
      </c>
      <c r="W2647">
        <v>4.8501940000000004E-3</v>
      </c>
      <c r="X2647">
        <v>0.98827089999999995</v>
      </c>
      <c r="Y2647">
        <v>-0.4209425</v>
      </c>
      <c r="Z2647">
        <v>2.8617199999999999E-3</v>
      </c>
      <c r="AA2647">
        <v>0.90708279999999997</v>
      </c>
      <c r="AB2647">
        <v>16</v>
      </c>
      <c r="AC2647">
        <v>235.20760000000001</v>
      </c>
      <c r="AD2647">
        <v>-1.0282192299999999</v>
      </c>
      <c r="AE2647">
        <v>-10.1282999999999</v>
      </c>
      <c r="AF2647">
        <v>-99.210042235687496</v>
      </c>
      <c r="AG2647">
        <v>-1.0282192299999999</v>
      </c>
      <c r="AH2647">
        <v>213.49578606888599</v>
      </c>
      <c r="AI2647">
        <v>90.250242028590407</v>
      </c>
      <c r="AJ2647">
        <v>114.923973248743</v>
      </c>
      <c r="AK2647">
        <v>235.42332166623501</v>
      </c>
    </row>
    <row r="2648" spans="1:37" x14ac:dyDescent="0.2">
      <c r="A2648" t="str">
        <f>"20200111155855471"</f>
        <v>20200111155855471</v>
      </c>
      <c r="B2648" t="str">
        <f>"1578729535463886"</f>
        <v>1578729535463886</v>
      </c>
      <c r="C2648" t="s">
        <v>37</v>
      </c>
      <c r="D2648">
        <v>8.3587500000000006</v>
      </c>
      <c r="E2648">
        <v>0.390580599999999</v>
      </c>
      <c r="F2648" t="s">
        <v>66</v>
      </c>
      <c r="G2648">
        <v>-168.41159999999999</v>
      </c>
      <c r="H2648">
        <v>3.33699999999999</v>
      </c>
      <c r="I2648">
        <v>206.4872</v>
      </c>
      <c r="J2648">
        <v>-478.36509999999998</v>
      </c>
      <c r="K2648">
        <v>1.108193</v>
      </c>
      <c r="L2648">
        <v>218.37270000000001</v>
      </c>
      <c r="M2648">
        <v>0.89129269999999905</v>
      </c>
      <c r="N2648">
        <v>0</v>
      </c>
      <c r="O2648">
        <v>-0.45321790000000001</v>
      </c>
      <c r="P2648">
        <v>0.949241</v>
      </c>
      <c r="Q2648">
        <v>-8.7825079999999996E-3</v>
      </c>
      <c r="R2648">
        <v>-0.31442759999999997</v>
      </c>
      <c r="S2648">
        <v>3.1252749999999998</v>
      </c>
      <c r="T2648">
        <v>2.2463199999999999E-2</v>
      </c>
      <c r="U2648">
        <v>-0.1204071</v>
      </c>
      <c r="V2648">
        <v>-0.1500165</v>
      </c>
      <c r="W2648">
        <v>3.6018459999999902E-3</v>
      </c>
      <c r="X2648">
        <v>0.98867689999999997</v>
      </c>
      <c r="Y2648">
        <v>-0.41858689999999998</v>
      </c>
      <c r="Z2648">
        <v>-4.659781E-3</v>
      </c>
      <c r="AA2648">
        <v>0.90816479999999999</v>
      </c>
      <c r="AB2648">
        <v>16</v>
      </c>
      <c r="AC2648">
        <v>309.95350000000002</v>
      </c>
      <c r="AD2648">
        <v>2.22880699999999</v>
      </c>
      <c r="AE2648">
        <v>-11.8855</v>
      </c>
      <c r="AF2648">
        <v>-129.888705032806</v>
      </c>
      <c r="AG2648">
        <v>2.22880699999999</v>
      </c>
      <c r="AH2648">
        <v>281.65835188311002</v>
      </c>
      <c r="AI2648">
        <v>89.588287137778394</v>
      </c>
      <c r="AJ2648">
        <v>114.75711736052401</v>
      </c>
      <c r="AK2648">
        <v>310.17329101850902</v>
      </c>
    </row>
    <row r="2649" spans="1:37" x14ac:dyDescent="0.2">
      <c r="A2649" t="str">
        <f>"20200111155855494"</f>
        <v>20200111155855494</v>
      </c>
      <c r="B2649" t="str">
        <f>"1578729535484382"</f>
        <v>1578729535484382</v>
      </c>
      <c r="C2649" t="s">
        <v>37</v>
      </c>
      <c r="D2649">
        <v>5.4200299999999997</v>
      </c>
      <c r="E2649">
        <v>0.39170139999999998</v>
      </c>
      <c r="F2649" t="s">
        <v>66</v>
      </c>
      <c r="G2649">
        <v>-168.4119</v>
      </c>
      <c r="H2649">
        <v>4.4502280000000001</v>
      </c>
      <c r="I2649">
        <v>206.761</v>
      </c>
      <c r="J2649">
        <v>-478.21820000000002</v>
      </c>
      <c r="K2649">
        <v>1.1081669999999999</v>
      </c>
      <c r="L2649">
        <v>218.30889999999999</v>
      </c>
      <c r="M2649">
        <v>0.89491759999999998</v>
      </c>
      <c r="N2649">
        <v>0</v>
      </c>
      <c r="O2649">
        <v>-0.44601740000000001</v>
      </c>
      <c r="P2649">
        <v>0.950851</v>
      </c>
      <c r="Q2649">
        <v>-9.7709000000000008E-3</v>
      </c>
      <c r="R2649">
        <v>-0.30949479999999902</v>
      </c>
      <c r="S2649">
        <v>3.1220089999999998</v>
      </c>
      <c r="T2649">
        <v>3.3663029999999997E-2</v>
      </c>
      <c r="U2649">
        <v>-0.1169586</v>
      </c>
      <c r="V2649">
        <v>-0.14716560000000001</v>
      </c>
      <c r="W2649">
        <v>2.650084E-3</v>
      </c>
      <c r="X2649">
        <v>0.98910830000000005</v>
      </c>
      <c r="Y2649">
        <v>-0.41219349999999999</v>
      </c>
      <c r="Z2649">
        <v>-6.886044E-3</v>
      </c>
      <c r="AA2649">
        <v>0.9110703</v>
      </c>
      <c r="AB2649">
        <v>16</v>
      </c>
      <c r="AC2649">
        <v>309.80630000000002</v>
      </c>
      <c r="AD2649">
        <v>3.3420610000000002</v>
      </c>
      <c r="AE2649">
        <v>-11.547899999999901</v>
      </c>
      <c r="AF2649">
        <v>-127.841933772581</v>
      </c>
      <c r="AG2649">
        <v>3.3420610000000002</v>
      </c>
      <c r="AH2649">
        <v>282.39582616129701</v>
      </c>
      <c r="AI2649">
        <v>89.382298143682107</v>
      </c>
      <c r="AJ2649">
        <v>114.356488921335</v>
      </c>
      <c r="AK2649">
        <v>310.00343874828599</v>
      </c>
    </row>
    <row r="2650" spans="1:37" x14ac:dyDescent="0.2">
      <c r="A2650" t="str">
        <f>"20200111155855516"</f>
        <v>20200111155855516</v>
      </c>
      <c r="B2650" t="str">
        <f>"1578729535503902"</f>
        <v>1578729535503902</v>
      </c>
      <c r="C2650" t="s">
        <v>37</v>
      </c>
      <c r="D2650">
        <v>5.3779570000000003</v>
      </c>
      <c r="E2650">
        <v>0.39281729999999998</v>
      </c>
      <c r="F2650" t="s">
        <v>66</v>
      </c>
      <c r="G2650">
        <v>-168.41139999999999</v>
      </c>
      <c r="H2650">
        <v>3.884636</v>
      </c>
      <c r="I2650">
        <v>207.4674</v>
      </c>
      <c r="J2650">
        <v>-478.07400000000001</v>
      </c>
      <c r="K2650">
        <v>1.108141</v>
      </c>
      <c r="L2650">
        <v>218.24760000000001</v>
      </c>
      <c r="M2650">
        <v>0.89840219999999904</v>
      </c>
      <c r="N2650">
        <v>0</v>
      </c>
      <c r="O2650">
        <v>-0.43895679999999998</v>
      </c>
      <c r="P2650">
        <v>0.95230729999999997</v>
      </c>
      <c r="Q2650">
        <v>-1.1441710000000001E-2</v>
      </c>
      <c r="R2650">
        <v>-0.30492649999999999</v>
      </c>
      <c r="S2650">
        <v>3.1198429999999999</v>
      </c>
      <c r="T2650">
        <v>2.7960180000000001E-2</v>
      </c>
      <c r="U2650">
        <v>-0.1091766</v>
      </c>
      <c r="V2650">
        <v>-0.14410239999999999</v>
      </c>
      <c r="W2650">
        <v>1.016442E-3</v>
      </c>
      <c r="X2650">
        <v>0.98956230000000001</v>
      </c>
      <c r="Y2650">
        <v>-0.40727449999999998</v>
      </c>
      <c r="Z2650">
        <v>-5.6448059999999996E-3</v>
      </c>
      <c r="AA2650">
        <v>0.9132884</v>
      </c>
      <c r="AB2650">
        <v>16</v>
      </c>
      <c r="AC2650">
        <v>309.6626</v>
      </c>
      <c r="AD2650">
        <v>2.7764950000000002</v>
      </c>
      <c r="AE2650">
        <v>-10.780200000000001</v>
      </c>
      <c r="AF2650">
        <v>-126.245432695899</v>
      </c>
      <c r="AG2650">
        <v>2.7764950000000002</v>
      </c>
      <c r="AH2650">
        <v>282.93782582402798</v>
      </c>
      <c r="AI2650">
        <v>89.486558450762701</v>
      </c>
      <c r="AJ2650">
        <v>114.046187969298</v>
      </c>
      <c r="AK2650">
        <v>309.83775025501302</v>
      </c>
    </row>
    <row r="2651" spans="1:37" x14ac:dyDescent="0.2">
      <c r="A2651" t="str">
        <f>"20200111155855539"</f>
        <v>20200111155855539</v>
      </c>
      <c r="B2651" t="str">
        <f>"1578729535534158"</f>
        <v>1578729535534158</v>
      </c>
      <c r="C2651" t="s">
        <v>37</v>
      </c>
      <c r="D2651">
        <v>5.3576629999999996</v>
      </c>
      <c r="E2651">
        <v>0.39373029999999998</v>
      </c>
      <c r="F2651" t="s">
        <v>66</v>
      </c>
      <c r="G2651">
        <v>-168.4109</v>
      </c>
      <c r="H2651">
        <v>3.013369</v>
      </c>
      <c r="I2651">
        <v>208.08109999999999</v>
      </c>
      <c r="J2651">
        <v>-477.9282</v>
      </c>
      <c r="K2651">
        <v>1.1081000000000001</v>
      </c>
      <c r="L2651">
        <v>218.18690000000001</v>
      </c>
      <c r="M2651">
        <v>0.90184779999999998</v>
      </c>
      <c r="N2651">
        <v>0</v>
      </c>
      <c r="O2651">
        <v>-0.43183290000000002</v>
      </c>
      <c r="P2651">
        <v>0.953831599999999</v>
      </c>
      <c r="Q2651">
        <v>-1.2804329999999999E-2</v>
      </c>
      <c r="R2651">
        <v>-0.30006919999999998</v>
      </c>
      <c r="S2651">
        <v>3.1177060000000001</v>
      </c>
      <c r="T2651">
        <v>1.9182319999999999E-2</v>
      </c>
      <c r="U2651">
        <v>-0.102355999999999</v>
      </c>
      <c r="V2651">
        <v>-0.14129529999999901</v>
      </c>
      <c r="W2651">
        <v>-3.1240659999999998E-4</v>
      </c>
      <c r="X2651">
        <v>0.989967499999999</v>
      </c>
      <c r="Y2651">
        <v>-0.40203129999999998</v>
      </c>
      <c r="Z2651">
        <v>-3.8197359999999998E-3</v>
      </c>
      <c r="AA2651">
        <v>0.91561800000000004</v>
      </c>
      <c r="AB2651">
        <v>16</v>
      </c>
      <c r="AC2651">
        <v>309.51729999999998</v>
      </c>
      <c r="AD2651">
        <v>1.9052689999999901</v>
      </c>
      <c r="AE2651">
        <v>-10.1058</v>
      </c>
      <c r="AF2651">
        <v>-124.553034389465</v>
      </c>
      <c r="AG2651">
        <v>1.9052689999999901</v>
      </c>
      <c r="AH2651">
        <v>283.51784446409499</v>
      </c>
      <c r="AI2651">
        <v>89.647488247609104</v>
      </c>
      <c r="AJ2651">
        <v>113.716501581608</v>
      </c>
      <c r="AK2651">
        <v>309.67637390532701</v>
      </c>
    </row>
    <row r="2652" spans="1:37" x14ac:dyDescent="0.2">
      <c r="A2652" t="str">
        <f>"20200111155855561"</f>
        <v>20200111155855561</v>
      </c>
      <c r="B2652" t="str">
        <f>"1578729535554654"</f>
        <v>1578729535554654</v>
      </c>
      <c r="C2652" t="s">
        <v>37</v>
      </c>
      <c r="D2652">
        <v>5.3743509999999999</v>
      </c>
      <c r="E2652">
        <v>0.3950323</v>
      </c>
      <c r="F2652" t="s">
        <v>66</v>
      </c>
      <c r="G2652">
        <v>-169.39320000000001</v>
      </c>
      <c r="H2652">
        <v>2.5641880000000001</v>
      </c>
      <c r="I2652">
        <v>208.9374</v>
      </c>
      <c r="J2652">
        <v>-477.78030000000001</v>
      </c>
      <c r="K2652">
        <v>1.1080589999999999</v>
      </c>
      <c r="L2652">
        <v>218.1267</v>
      </c>
      <c r="M2652">
        <v>0.905259499999999</v>
      </c>
      <c r="N2652">
        <v>0</v>
      </c>
      <c r="O2652">
        <v>-0.42463479999999998</v>
      </c>
      <c r="P2652">
        <v>0.95556939999999901</v>
      </c>
      <c r="Q2652">
        <v>-1.323351E-2</v>
      </c>
      <c r="R2652">
        <v>-0.29446909999999998</v>
      </c>
      <c r="S2652">
        <v>3.116028</v>
      </c>
      <c r="T2652">
        <v>1.470602E-2</v>
      </c>
      <c r="U2652">
        <v>-9.341431E-2</v>
      </c>
      <c r="V2652">
        <v>-0.1392089</v>
      </c>
      <c r="W2652">
        <v>-7.1484360000000004E-4</v>
      </c>
      <c r="X2652">
        <v>0.99026270000000005</v>
      </c>
      <c r="Y2652">
        <v>-0.3973468</v>
      </c>
      <c r="Z2652">
        <v>-2.8882589999999998E-3</v>
      </c>
      <c r="AA2652">
        <v>0.91766399999999904</v>
      </c>
      <c r="AB2652">
        <v>16</v>
      </c>
      <c r="AC2652">
        <v>308.38709999999998</v>
      </c>
      <c r="AD2652">
        <v>1.456129</v>
      </c>
      <c r="AE2652">
        <v>-9.1892999999999994</v>
      </c>
      <c r="AF2652">
        <v>-122.642145498472</v>
      </c>
      <c r="AG2652">
        <v>1.456129</v>
      </c>
      <c r="AH2652">
        <v>283.09311250326999</v>
      </c>
      <c r="AI2652">
        <v>89.729579253949396</v>
      </c>
      <c r="AJ2652">
        <v>113.423318897819</v>
      </c>
      <c r="AK2652">
        <v>308.520544714484</v>
      </c>
    </row>
    <row r="2653" spans="1:37" x14ac:dyDescent="0.2">
      <c r="A2653" t="str">
        <f>"20200111155855584"</f>
        <v>20200111155855584</v>
      </c>
      <c r="B2653" t="str">
        <f>"1578729535574174"</f>
        <v>1578729535574174</v>
      </c>
      <c r="C2653" t="s">
        <v>37</v>
      </c>
      <c r="D2653">
        <v>5.7654589999999999</v>
      </c>
      <c r="E2653">
        <v>0.39523839999999999</v>
      </c>
      <c r="F2653" t="s">
        <v>66</v>
      </c>
      <c r="G2653">
        <v>-169.39269999999999</v>
      </c>
      <c r="H2653">
        <v>1.9775849999999999</v>
      </c>
      <c r="I2653">
        <v>209.71879999999999</v>
      </c>
      <c r="J2653">
        <v>-477.62569999999999</v>
      </c>
      <c r="K2653">
        <v>1.1080159999999999</v>
      </c>
      <c r="L2653">
        <v>218.0651</v>
      </c>
      <c r="M2653">
        <v>0.90873440000000005</v>
      </c>
      <c r="N2653">
        <v>0</v>
      </c>
      <c r="O2653">
        <v>-0.4171472</v>
      </c>
      <c r="P2653">
        <v>0.95743250000000002</v>
      </c>
      <c r="Q2653">
        <v>-1.151806E-2</v>
      </c>
      <c r="R2653">
        <v>-0.28842849999999998</v>
      </c>
      <c r="S2653">
        <v>3.1134339999999998</v>
      </c>
      <c r="T2653">
        <v>8.7789300000000008E-3</v>
      </c>
      <c r="U2653">
        <v>-8.4884639999999997E-2</v>
      </c>
      <c r="V2653">
        <v>-0.1373114</v>
      </c>
      <c r="W2653">
        <v>1.027409E-3</v>
      </c>
      <c r="X2653">
        <v>0.99052739999999995</v>
      </c>
      <c r="Y2653">
        <v>-0.39225989999999999</v>
      </c>
      <c r="Z2653">
        <v>-1.699288E-3</v>
      </c>
      <c r="AA2653">
        <v>0.91985289999999997</v>
      </c>
      <c r="AB2653">
        <v>16</v>
      </c>
      <c r="AC2653">
        <v>308.233</v>
      </c>
      <c r="AD2653">
        <v>0.86956900000000004</v>
      </c>
      <c r="AE2653">
        <v>-8.34630000000001</v>
      </c>
      <c r="AF2653">
        <v>-121.004496918903</v>
      </c>
      <c r="AG2653">
        <v>0.86956900000000004</v>
      </c>
      <c r="AH2653">
        <v>283.60825526708902</v>
      </c>
      <c r="AI2653">
        <v>89.838418850313403</v>
      </c>
      <c r="AJ2653">
        <v>113.10603767712</v>
      </c>
      <c r="AK2653">
        <v>308.34475328840102</v>
      </c>
    </row>
    <row r="2654" spans="1:37" x14ac:dyDescent="0.2">
      <c r="A2654" t="str">
        <f>"20200111155855607"</f>
        <v>20200111155855607</v>
      </c>
      <c r="B2654" t="str">
        <f>"1578729535594670"</f>
        <v>1578729535594670</v>
      </c>
      <c r="C2654" t="s">
        <v>37</v>
      </c>
      <c r="D2654">
        <v>5.3509080000000004</v>
      </c>
      <c r="E2654">
        <v>0.39614870000000002</v>
      </c>
      <c r="F2654" t="s">
        <v>69</v>
      </c>
      <c r="G2654">
        <v>-107.39749999999999</v>
      </c>
      <c r="H2654">
        <v>4.4920390000000001</v>
      </c>
      <c r="I2654">
        <v>209.98660000000001</v>
      </c>
      <c r="J2654">
        <v>-477.48599999999999</v>
      </c>
      <c r="K2654">
        <v>1.1079699999999999</v>
      </c>
      <c r="L2654">
        <v>218.01070000000001</v>
      </c>
      <c r="M2654">
        <v>0.91177529999999996</v>
      </c>
      <c r="N2654">
        <v>0</v>
      </c>
      <c r="O2654">
        <v>-0.41045809999999999</v>
      </c>
      <c r="P2654">
        <v>0.95942099999999897</v>
      </c>
      <c r="Q2654">
        <v>-8.2581300000000007E-3</v>
      </c>
      <c r="R2654">
        <v>-0.28185640000000001</v>
      </c>
      <c r="S2654">
        <v>3.113251</v>
      </c>
      <c r="T2654">
        <v>2.845669E-2</v>
      </c>
      <c r="U2654">
        <v>-6.7932129999999993E-2</v>
      </c>
      <c r="V2654">
        <v>-0.136864299999999</v>
      </c>
      <c r="W2654">
        <v>4.3023139999999998E-3</v>
      </c>
      <c r="X2654">
        <v>0.99058040000000003</v>
      </c>
      <c r="Y2654">
        <v>-0.3904744</v>
      </c>
      <c r="Z2654">
        <v>-5.4452839999999999E-3</v>
      </c>
      <c r="AA2654">
        <v>0.92059769999999896</v>
      </c>
      <c r="AB2654">
        <v>16</v>
      </c>
      <c r="AC2654">
        <v>370.08850000000001</v>
      </c>
      <c r="AD2654">
        <v>3.3840690000000002</v>
      </c>
      <c r="AE2654">
        <v>-8.0241000000000007</v>
      </c>
      <c r="AF2654">
        <v>-144.591296899507</v>
      </c>
      <c r="AG2654">
        <v>3.3840690000000002</v>
      </c>
      <c r="AH2654">
        <v>340.73499952141799</v>
      </c>
      <c r="AI2654">
        <v>89.476184445459694</v>
      </c>
      <c r="AJ2654">
        <v>112.993997079065</v>
      </c>
      <c r="AK2654">
        <v>370.16001264444901</v>
      </c>
    </row>
    <row r="2655" spans="1:37" x14ac:dyDescent="0.2">
      <c r="A2655" t="str">
        <f>"20200111155855629"</f>
        <v>20200111155855629</v>
      </c>
      <c r="B2655" t="str">
        <f>"1578729535623949"</f>
        <v>1578729535623949</v>
      </c>
      <c r="C2655" t="s">
        <v>37</v>
      </c>
      <c r="D2655">
        <v>5.3867139999999996</v>
      </c>
      <c r="E2655">
        <v>0.3968177</v>
      </c>
      <c r="F2655" t="s">
        <v>69</v>
      </c>
      <c r="G2655">
        <v>-107.39749999999999</v>
      </c>
      <c r="H2655">
        <v>5.6425599999999996</v>
      </c>
      <c r="I2655">
        <v>211.655</v>
      </c>
      <c r="J2655">
        <v>-477.3383</v>
      </c>
      <c r="K2655">
        <v>1.1078859999999999</v>
      </c>
      <c r="L2655">
        <v>217.95439999999999</v>
      </c>
      <c r="M2655">
        <v>0.91487489999999905</v>
      </c>
      <c r="N2655">
        <v>0</v>
      </c>
      <c r="O2655">
        <v>-0.40350269999999999</v>
      </c>
      <c r="P2655">
        <v>0.96164869999999902</v>
      </c>
      <c r="Q2655">
        <v>-5.2255089999999997E-3</v>
      </c>
      <c r="R2655">
        <v>-0.27423500000000001</v>
      </c>
      <c r="S2655">
        <v>3.1115719999999998</v>
      </c>
      <c r="T2655">
        <v>3.8125630000000001E-2</v>
      </c>
      <c r="U2655">
        <v>-5.3436280000000003E-2</v>
      </c>
      <c r="V2655">
        <v>-0.1372119</v>
      </c>
      <c r="W2655">
        <v>7.3459119999999996E-3</v>
      </c>
      <c r="X2655">
        <v>0.99051449999999996</v>
      </c>
      <c r="Y2655">
        <v>-0.38771279999999902</v>
      </c>
      <c r="Z2655">
        <v>-7.204963E-3</v>
      </c>
      <c r="AA2655">
        <v>0.92175200000000002</v>
      </c>
      <c r="AB2655">
        <v>16</v>
      </c>
      <c r="AC2655">
        <v>369.94080000000002</v>
      </c>
      <c r="AD2655">
        <v>4.5346739999999901</v>
      </c>
      <c r="AE2655">
        <v>-6.2993999999999897</v>
      </c>
      <c r="AF2655">
        <v>-143.50099184218499</v>
      </c>
      <c r="AG2655">
        <v>4.5346739999999901</v>
      </c>
      <c r="AH2655">
        <v>340.97247104915698</v>
      </c>
      <c r="AI2655">
        <v>89.297709169386707</v>
      </c>
      <c r="AJ2655">
        <v>112.82418119146701</v>
      </c>
      <c r="AK2655">
        <v>369.96665247201099</v>
      </c>
    </row>
    <row r="2656" spans="1:37" x14ac:dyDescent="0.2">
      <c r="A2656" t="str">
        <f>"20200111155855649"</f>
        <v>20200111155855649</v>
      </c>
      <c r="B2656" t="str">
        <f>"1578729535643978"</f>
        <v>1578729535643978</v>
      </c>
      <c r="C2656" t="s">
        <v>37</v>
      </c>
      <c r="D2656">
        <v>5.5868330000000004</v>
      </c>
      <c r="E2656">
        <v>0.39688950000000001</v>
      </c>
      <c r="F2656" t="s">
        <v>69</v>
      </c>
      <c r="G2656">
        <v>-107.39749999999999</v>
      </c>
      <c r="H2656">
        <v>7.0355249999999998</v>
      </c>
      <c r="I2656">
        <v>213.9162</v>
      </c>
      <c r="J2656">
        <v>-477.20420000000001</v>
      </c>
      <c r="K2656">
        <v>1.1077969999999999</v>
      </c>
      <c r="L2656">
        <v>217.9042</v>
      </c>
      <c r="M2656">
        <v>0.91759590000000002</v>
      </c>
      <c r="N2656">
        <v>0</v>
      </c>
      <c r="O2656">
        <v>-0.39727639999999997</v>
      </c>
      <c r="P2656">
        <v>0.96403649999999996</v>
      </c>
      <c r="Q2656">
        <v>-4.7020730000000002E-3</v>
      </c>
      <c r="R2656">
        <v>-0.26572899999999999</v>
      </c>
      <c r="S2656">
        <v>3.1102599999999998</v>
      </c>
      <c r="T2656">
        <v>4.9836749999999999E-2</v>
      </c>
      <c r="U2656">
        <v>-3.3950809999999998E-2</v>
      </c>
      <c r="V2656">
        <v>-0.13923440000000001</v>
      </c>
      <c r="W2656">
        <v>7.8651740000000008E-3</v>
      </c>
      <c r="X2656">
        <v>0.990228199999999</v>
      </c>
      <c r="Y2656">
        <v>-0.387175299999999</v>
      </c>
      <c r="Z2656">
        <v>-9.3272549999999996E-3</v>
      </c>
      <c r="AA2656">
        <v>0.92195890000000003</v>
      </c>
      <c r="AB2656">
        <v>16</v>
      </c>
      <c r="AC2656">
        <v>369.80669999999998</v>
      </c>
      <c r="AD2656">
        <v>5.9277280000000001</v>
      </c>
      <c r="AE2656">
        <v>-3.988</v>
      </c>
      <c r="AF2656">
        <v>-143.23286028760401</v>
      </c>
      <c r="AG2656">
        <v>5.9277280000000001</v>
      </c>
      <c r="AH2656">
        <v>340.86213986971399</v>
      </c>
      <c r="AI2656">
        <v>89.081487172427998</v>
      </c>
      <c r="AJ2656">
        <v>112.79251579551401</v>
      </c>
      <c r="AK2656">
        <v>369.78073046329899</v>
      </c>
    </row>
    <row r="2657" spans="1:37" x14ac:dyDescent="0.2">
      <c r="A2657" t="str">
        <f>"20200111155855683"</f>
        <v>20200111155855683</v>
      </c>
      <c r="B2657" t="str">
        <f>"1578729535674233"</f>
        <v>1578729535674233</v>
      </c>
      <c r="C2657" t="s">
        <v>37</v>
      </c>
      <c r="D2657">
        <v>5.4796930000000001</v>
      </c>
      <c r="E2657">
        <v>0.43288500000000002</v>
      </c>
      <c r="F2657" t="s">
        <v>69</v>
      </c>
      <c r="G2657">
        <v>-109.68</v>
      </c>
      <c r="H2657">
        <v>7.8772759999999904</v>
      </c>
      <c r="I2657">
        <v>217.01519999999999</v>
      </c>
      <c r="J2657">
        <v>-476.9778</v>
      </c>
      <c r="K2657">
        <v>1.1076090000000001</v>
      </c>
      <c r="L2657">
        <v>217.82130000000001</v>
      </c>
      <c r="M2657">
        <v>0.92195720000000003</v>
      </c>
      <c r="N2657">
        <v>0</v>
      </c>
      <c r="O2657">
        <v>-0.38704840000000001</v>
      </c>
      <c r="P2657">
        <v>0.96762269999999995</v>
      </c>
      <c r="Q2657">
        <v>-6.3961299999999999E-3</v>
      </c>
      <c r="R2657">
        <v>-0.25232009999999999</v>
      </c>
      <c r="S2657">
        <v>3.1101070000000002</v>
      </c>
      <c r="T2657">
        <v>5.7285900000000001E-2</v>
      </c>
      <c r="U2657">
        <v>-7.5225830000000002E-3</v>
      </c>
      <c r="V2657">
        <v>-0.14194970000000001</v>
      </c>
      <c r="W2657">
        <v>6.17673599999999E-3</v>
      </c>
      <c r="X2657">
        <v>0.98985460000000003</v>
      </c>
      <c r="Y2657">
        <v>-0.3847254</v>
      </c>
      <c r="Z2657">
        <v>-1.052666E-2</v>
      </c>
      <c r="AA2657">
        <v>0.92297109999999905</v>
      </c>
      <c r="AB2657">
        <v>16</v>
      </c>
      <c r="AC2657">
        <v>367.2978</v>
      </c>
      <c r="AD2657">
        <v>6.7696669999999903</v>
      </c>
      <c r="AE2657">
        <v>-0.80610000000001403</v>
      </c>
      <c r="AF2657">
        <v>-141.384135487105</v>
      </c>
      <c r="AG2657">
        <v>6.7696669999999903</v>
      </c>
      <c r="AH2657">
        <v>338.86168242313101</v>
      </c>
      <c r="AI2657">
        <v>88.943744781145995</v>
      </c>
      <c r="AJ2657">
        <v>112.64748753728</v>
      </c>
      <c r="AK2657">
        <v>367.23635709630099</v>
      </c>
    </row>
    <row r="2658" spans="1:37" x14ac:dyDescent="0.2">
      <c r="A2658" t="str">
        <f>"20200111155855706"</f>
        <v>20200111155855706</v>
      </c>
      <c r="B2658" t="str">
        <f>"1578729535694730"</f>
        <v>1578729535694730</v>
      </c>
      <c r="C2658" t="s">
        <v>37</v>
      </c>
      <c r="D2658">
        <v>5.5493709999999998</v>
      </c>
      <c r="E2658">
        <v>0.4382007</v>
      </c>
      <c r="F2658" t="s">
        <v>70</v>
      </c>
      <c r="G2658">
        <v>-234.37469999999999</v>
      </c>
      <c r="H2658">
        <v>3.0050379999999999</v>
      </c>
      <c r="I2658">
        <v>198.5959</v>
      </c>
      <c r="J2658">
        <v>-476.83390000000003</v>
      </c>
      <c r="K2658">
        <v>1.107467</v>
      </c>
      <c r="L2658">
        <v>217.7698</v>
      </c>
      <c r="M2658">
        <v>0.92455180000000003</v>
      </c>
      <c r="N2658">
        <v>0</v>
      </c>
      <c r="O2658">
        <v>-0.38081019999999999</v>
      </c>
      <c r="P2658">
        <v>0.96989939999999997</v>
      </c>
      <c r="Q2658">
        <v>-7.3450919999999897E-3</v>
      </c>
      <c r="R2658">
        <v>-0.2433951</v>
      </c>
      <c r="S2658">
        <v>3.0378419999999999</v>
      </c>
      <c r="T2658">
        <v>2.3760440000000001E-2</v>
      </c>
      <c r="U2658">
        <v>-0.24073789999999901</v>
      </c>
      <c r="V2658">
        <v>-0.144369</v>
      </c>
      <c r="W2658">
        <v>5.2321349999999997E-3</v>
      </c>
      <c r="X2658">
        <v>0.98951009999999995</v>
      </c>
      <c r="Y2658">
        <v>-0.30659019999999998</v>
      </c>
      <c r="Z2658">
        <v>-4.1018490000000003E-3</v>
      </c>
      <c r="AA2658">
        <v>0.95183280000000003</v>
      </c>
      <c r="AB2658">
        <v>16</v>
      </c>
      <c r="AC2658">
        <v>242.45920000000001</v>
      </c>
      <c r="AD2658">
        <v>1.8975709999999999</v>
      </c>
      <c r="AE2658">
        <v>-19.1739</v>
      </c>
      <c r="AF2658">
        <v>-74.606128670751403</v>
      </c>
      <c r="AG2658">
        <v>1.8975709999999999</v>
      </c>
      <c r="AH2658">
        <v>231.475326496604</v>
      </c>
      <c r="AI2658">
        <v>89.552960543959898</v>
      </c>
      <c r="AJ2658">
        <v>107.864496857471</v>
      </c>
      <c r="AK2658">
        <v>243.20876215228299</v>
      </c>
    </row>
    <row r="2659" spans="1:37" x14ac:dyDescent="0.2">
      <c r="A2659" t="str">
        <f>"20200111155855728"</f>
        <v>20200111155855728</v>
      </c>
      <c r="B2659" t="str">
        <f>"1578729535724010"</f>
        <v>1578729535724010</v>
      </c>
      <c r="C2659" t="s">
        <v>37</v>
      </c>
      <c r="D2659">
        <v>5.4124410000000003</v>
      </c>
      <c r="E2659">
        <v>0.4418126</v>
      </c>
      <c r="F2659" t="s">
        <v>52</v>
      </c>
      <c r="G2659">
        <v>-417.1884</v>
      </c>
      <c r="H2659" s="1">
        <v>3.6326420000000001E-6</v>
      </c>
      <c r="I2659">
        <v>212.88</v>
      </c>
      <c r="J2659">
        <v>-476.6841</v>
      </c>
      <c r="K2659">
        <v>1.1072629999999899</v>
      </c>
      <c r="L2659">
        <v>217.71700000000001</v>
      </c>
      <c r="M2659">
        <v>0.92706250000000001</v>
      </c>
      <c r="N2659">
        <v>0</v>
      </c>
      <c r="O2659">
        <v>-0.37465749999999998</v>
      </c>
      <c r="P2659">
        <v>0.97202639999999996</v>
      </c>
      <c r="Q2659">
        <v>-6.8140630000000004E-3</v>
      </c>
      <c r="R2659">
        <v>-0.2347728</v>
      </c>
      <c r="S2659">
        <v>3.0303339999999999</v>
      </c>
      <c r="T2659">
        <v>-5.6265469999999998E-2</v>
      </c>
      <c r="U2659">
        <v>-0.24842829999999999</v>
      </c>
      <c r="V2659">
        <v>-0.14658109999999999</v>
      </c>
      <c r="W2659">
        <v>5.7823980000000002E-3</v>
      </c>
      <c r="X2659">
        <v>0.9891818</v>
      </c>
      <c r="Y2659">
        <v>-0.2975738</v>
      </c>
      <c r="Z2659">
        <v>9.5449019999999992E-3</v>
      </c>
      <c r="AA2659">
        <v>0.95465109999999997</v>
      </c>
      <c r="AB2659">
        <v>16</v>
      </c>
      <c r="AC2659">
        <v>59.495699999999999</v>
      </c>
      <c r="AD2659">
        <v>-1.10725936735799</v>
      </c>
      <c r="AE2659">
        <v>-4.8370000000000104</v>
      </c>
      <c r="AF2659">
        <v>-17.801847595277799</v>
      </c>
      <c r="AG2659">
        <v>-1.10725936735799</v>
      </c>
      <c r="AH2659">
        <v>56.954177441709398</v>
      </c>
      <c r="AI2659">
        <v>91.063054264874495</v>
      </c>
      <c r="AJ2659">
        <v>107.35738549906699</v>
      </c>
      <c r="AK2659">
        <v>59.681740332984702</v>
      </c>
    </row>
    <row r="2660" spans="1:37" x14ac:dyDescent="0.2">
      <c r="A2660" t="str">
        <f>"20200111155855750"</f>
        <v>20200111155855750</v>
      </c>
      <c r="B2660" t="str">
        <f>"1578729535743928"</f>
        <v>1578729535743928</v>
      </c>
      <c r="C2660" t="s">
        <v>37</v>
      </c>
      <c r="D2660">
        <v>5.4328959999999897</v>
      </c>
      <c r="E2660">
        <v>0.44394220000000001</v>
      </c>
      <c r="F2660" t="s">
        <v>52</v>
      </c>
      <c r="G2660">
        <v>-434.45519999999999</v>
      </c>
      <c r="H2660" s="1">
        <v>4.2243299999999999E-6</v>
      </c>
      <c r="I2660">
        <v>214.2542</v>
      </c>
      <c r="J2660">
        <v>-476.53629999999998</v>
      </c>
      <c r="K2660">
        <v>1.1070420000000001</v>
      </c>
      <c r="L2660">
        <v>217.66560000000001</v>
      </c>
      <c r="M2660">
        <v>0.92937610000000004</v>
      </c>
      <c r="N2660">
        <v>0</v>
      </c>
      <c r="O2660">
        <v>-0.36888259999999901</v>
      </c>
      <c r="P2660">
        <v>0.97389289999999995</v>
      </c>
      <c r="Q2660">
        <v>-6.9139659999999997E-3</v>
      </c>
      <c r="R2660">
        <v>-0.22690299999999999</v>
      </c>
      <c r="S2660">
        <v>3.0258479999999999</v>
      </c>
      <c r="T2660">
        <v>-7.9338790000000006E-2</v>
      </c>
      <c r="U2660">
        <v>-0.24812319999999999</v>
      </c>
      <c r="V2660">
        <v>-0.14842330000000001</v>
      </c>
      <c r="W2660">
        <v>5.7089649999999999E-3</v>
      </c>
      <c r="X2660">
        <v>0.98890750000000005</v>
      </c>
      <c r="Y2660">
        <v>-0.29150159999999897</v>
      </c>
      <c r="Z2660">
        <v>1.325722E-2</v>
      </c>
      <c r="AA2660">
        <v>0.95647850000000001</v>
      </c>
      <c r="AB2660">
        <v>16</v>
      </c>
      <c r="AC2660">
        <v>42.0810999999999</v>
      </c>
      <c r="AD2660">
        <v>-1.1070377756700001</v>
      </c>
      <c r="AE2660">
        <v>-3.4114000000000102</v>
      </c>
      <c r="AF2660">
        <v>-12.345171039332101</v>
      </c>
      <c r="AG2660">
        <v>-1.1070377756700001</v>
      </c>
      <c r="AH2660">
        <v>40.343584861103601</v>
      </c>
      <c r="AI2660">
        <v>91.503053518843501</v>
      </c>
      <c r="AJ2660">
        <v>107.014154953743</v>
      </c>
      <c r="AK2660">
        <v>42.204663487252098</v>
      </c>
    </row>
    <row r="2661" spans="1:37" x14ac:dyDescent="0.2">
      <c r="A2661" t="str">
        <f>"20200111155855773"</f>
        <v>20200111155855773</v>
      </c>
      <c r="B2661" t="str">
        <f>"1578729535764424"</f>
        <v>1578729535764424</v>
      </c>
      <c r="C2661" t="s">
        <v>37</v>
      </c>
      <c r="D2661">
        <v>5.4358409999999999</v>
      </c>
      <c r="E2661">
        <v>0.445493999999999</v>
      </c>
      <c r="F2661" t="s">
        <v>50</v>
      </c>
      <c r="G2661">
        <v>-442.03879999999998</v>
      </c>
      <c r="H2661" s="1">
        <v>-4.6590559999999899E-7</v>
      </c>
      <c r="I2661">
        <v>214.9375</v>
      </c>
      <c r="J2661">
        <v>-476.3854</v>
      </c>
      <c r="K2661">
        <v>1.1068069999999901</v>
      </c>
      <c r="L2661">
        <v>217.61359999999999</v>
      </c>
      <c r="M2661">
        <v>0.93156700000000003</v>
      </c>
      <c r="N2661">
        <v>0</v>
      </c>
      <c r="O2661">
        <v>-0.36331570000000002</v>
      </c>
      <c r="P2661">
        <v>0.97536029999999996</v>
      </c>
      <c r="Q2661">
        <v>-6.6570989999999997E-3</v>
      </c>
      <c r="R2661">
        <v>-0.22051789999999999</v>
      </c>
      <c r="S2661">
        <v>3.023987</v>
      </c>
      <c r="T2661">
        <v>-9.7041130000000003E-2</v>
      </c>
      <c r="U2661">
        <v>-0.23913570000000001</v>
      </c>
      <c r="V2661">
        <v>-0.14898420000000001</v>
      </c>
      <c r="W2661">
        <v>6.0065079999999998E-3</v>
      </c>
      <c r="X2661">
        <v>0.98882130000000001</v>
      </c>
      <c r="Y2661">
        <v>-0.2884485</v>
      </c>
      <c r="Z2661">
        <v>1.601139E-2</v>
      </c>
      <c r="AA2661">
        <v>0.95736149999999998</v>
      </c>
      <c r="AB2661">
        <v>16</v>
      </c>
      <c r="AC2661">
        <v>34.346600000000002</v>
      </c>
      <c r="AD2661">
        <v>-1.1068074659056</v>
      </c>
      <c r="AE2661">
        <v>-2.6760999999999902</v>
      </c>
      <c r="AF2661">
        <v>-9.9763173303313906</v>
      </c>
      <c r="AG2661">
        <v>-1.1068074659056</v>
      </c>
      <c r="AH2661">
        <v>32.937475279932599</v>
      </c>
      <c r="AI2661">
        <v>91.842023147147501</v>
      </c>
      <c r="AJ2661">
        <v>106.850853274421</v>
      </c>
      <c r="AK2661">
        <v>34.432966878534103</v>
      </c>
    </row>
    <row r="2662" spans="1:37" x14ac:dyDescent="0.2">
      <c r="A2662" t="str">
        <f>"20200111155855795"</f>
        <v>20200111155855795</v>
      </c>
      <c r="B2662" t="str">
        <f>"1578729535783944"</f>
        <v>1578729535783944</v>
      </c>
      <c r="C2662" t="s">
        <v>37</v>
      </c>
      <c r="D2662">
        <v>5.4709699999999897</v>
      </c>
      <c r="E2662">
        <v>0.44702359999999902</v>
      </c>
      <c r="F2662" t="s">
        <v>50</v>
      </c>
      <c r="G2662">
        <v>-444.5532</v>
      </c>
      <c r="H2662" s="1">
        <v>8.6150379999999899E-7</v>
      </c>
      <c r="I2662">
        <v>215.18099999999899</v>
      </c>
      <c r="J2662">
        <v>-476.24239999999998</v>
      </c>
      <c r="K2662">
        <v>1.106581</v>
      </c>
      <c r="L2662">
        <v>217.56479999999999</v>
      </c>
      <c r="M2662">
        <v>0.93346790000000002</v>
      </c>
      <c r="N2662">
        <v>0</v>
      </c>
      <c r="O2662">
        <v>-0.35840459999999902</v>
      </c>
      <c r="P2662">
        <v>0.97653539999999905</v>
      </c>
      <c r="Q2662">
        <v>-6.1337800000000001E-3</v>
      </c>
      <c r="R2662">
        <v>-0.21526999999999999</v>
      </c>
      <c r="S2662">
        <v>3.0228269999999999</v>
      </c>
      <c r="T2662">
        <v>-0.10510369999999999</v>
      </c>
      <c r="U2662">
        <v>-0.23100279999999901</v>
      </c>
      <c r="V2662">
        <v>-0.14909349999999999</v>
      </c>
      <c r="W2662">
        <v>6.5744089999999998E-3</v>
      </c>
      <c r="X2662">
        <v>0.98880119999999905</v>
      </c>
      <c r="Y2662">
        <v>-0.28588419999999998</v>
      </c>
      <c r="Z2662">
        <v>1.7146370000000001E-2</v>
      </c>
      <c r="AA2662">
        <v>0.95811069999999998</v>
      </c>
      <c r="AB2662">
        <v>16</v>
      </c>
      <c r="AC2662">
        <v>31.6891999999999</v>
      </c>
      <c r="AD2662">
        <v>-1.1065801384962</v>
      </c>
      <c r="AE2662">
        <v>-2.3837999999999999</v>
      </c>
      <c r="AF2662">
        <v>-9.1221328896759708</v>
      </c>
      <c r="AG2662">
        <v>-1.1065801384962</v>
      </c>
      <c r="AH2662">
        <v>30.401151269778399</v>
      </c>
      <c r="AI2662">
        <v>91.996729941640297</v>
      </c>
      <c r="AJ2662">
        <v>106.702334865661</v>
      </c>
      <c r="AK2662">
        <v>31.7595312715376</v>
      </c>
    </row>
    <row r="2663" spans="1:37" x14ac:dyDescent="0.2">
      <c r="A2663" t="str">
        <f>"20200111155855818"</f>
        <v>20200111155855818</v>
      </c>
      <c r="B2663" t="str">
        <f>"1578729535814200"</f>
        <v>1578729535814200</v>
      </c>
      <c r="C2663" t="s">
        <v>37</v>
      </c>
      <c r="D2663">
        <v>5.4605489999999897</v>
      </c>
      <c r="E2663">
        <v>0.44839409999999902</v>
      </c>
      <c r="F2663" t="s">
        <v>50</v>
      </c>
      <c r="G2663">
        <v>-446.02319999999997</v>
      </c>
      <c r="H2663" s="1">
        <v>1.6385380000000001E-6</v>
      </c>
      <c r="I2663">
        <v>215.3006</v>
      </c>
      <c r="J2663">
        <v>-476.09679999999997</v>
      </c>
      <c r="K2663">
        <v>1.1063240000000001</v>
      </c>
      <c r="L2663">
        <v>217.5154</v>
      </c>
      <c r="M2663">
        <v>0.93521650000000001</v>
      </c>
      <c r="N2663">
        <v>0</v>
      </c>
      <c r="O2663">
        <v>-0.35381799999999902</v>
      </c>
      <c r="P2663">
        <v>0.97759859999999899</v>
      </c>
      <c r="Q2663">
        <v>-6.9696940000000002E-3</v>
      </c>
      <c r="R2663">
        <v>-0.21036299999999999</v>
      </c>
      <c r="S2663">
        <v>3.021423</v>
      </c>
      <c r="T2663">
        <v>-0.11063959999999901</v>
      </c>
      <c r="U2663">
        <v>-0.22637939999999901</v>
      </c>
      <c r="V2663">
        <v>-0.1491961</v>
      </c>
      <c r="W2663">
        <v>5.7881199999999999E-3</v>
      </c>
      <c r="X2663">
        <v>0.98879069999999902</v>
      </c>
      <c r="Y2663">
        <v>-0.2825664</v>
      </c>
      <c r="Z2663">
        <v>1.7840829999999998E-2</v>
      </c>
      <c r="AA2663">
        <v>0.95908179999999998</v>
      </c>
      <c r="AB2663">
        <v>16</v>
      </c>
      <c r="AC2663">
        <v>30.073599999999999</v>
      </c>
      <c r="AD2663">
        <v>-1.1063223614619999</v>
      </c>
      <c r="AE2663">
        <v>-2.2147999999999901</v>
      </c>
      <c r="AF2663">
        <v>-8.5585276228285192</v>
      </c>
      <c r="AG2663">
        <v>-1.1063223614619999</v>
      </c>
      <c r="AH2663">
        <v>28.872744864794001</v>
      </c>
      <c r="AI2663">
        <v>92.103939463425405</v>
      </c>
      <c r="AJ2663">
        <v>106.51100195924001</v>
      </c>
      <c r="AK2663">
        <v>30.134826036758199</v>
      </c>
    </row>
    <row r="2664" spans="1:37" x14ac:dyDescent="0.2">
      <c r="A2664" t="str">
        <f>"20200111155855839"</f>
        <v>20200111155855839</v>
      </c>
      <c r="B2664" t="str">
        <f>"1578729535834226"</f>
        <v>1578729535834226</v>
      </c>
      <c r="C2664" t="s">
        <v>37</v>
      </c>
      <c r="D2664">
        <v>5.4622209999999898</v>
      </c>
      <c r="E2664">
        <v>0.44941799999999998</v>
      </c>
      <c r="F2664" t="s">
        <v>50</v>
      </c>
      <c r="G2664">
        <v>-447.1653</v>
      </c>
      <c r="H2664" s="1">
        <v>2.2424449999999899E-6</v>
      </c>
      <c r="I2664">
        <v>215.38890000000001</v>
      </c>
      <c r="J2664">
        <v>-475.95159999999998</v>
      </c>
      <c r="K2664">
        <v>1.1060509999999999</v>
      </c>
      <c r="L2664">
        <v>217.46639999999999</v>
      </c>
      <c r="M2664">
        <v>0.93676440000000005</v>
      </c>
      <c r="N2664">
        <v>0</v>
      </c>
      <c r="O2664">
        <v>-0.34970119999999999</v>
      </c>
      <c r="P2664">
        <v>0.97862359999999904</v>
      </c>
      <c r="Q2664">
        <v>-8.88031699999999E-3</v>
      </c>
      <c r="R2664">
        <v>-0.20546900000000001</v>
      </c>
      <c r="S2664">
        <v>3.020111</v>
      </c>
      <c r="T2664">
        <v>-0.11548699999999899</v>
      </c>
      <c r="U2664">
        <v>-0.22198490000000001</v>
      </c>
      <c r="V2664">
        <v>-0.1497783</v>
      </c>
      <c r="W2664">
        <v>3.9303849999999998E-3</v>
      </c>
      <c r="X2664">
        <v>0.98871180000000003</v>
      </c>
      <c r="Y2664">
        <v>-0.27967039999999999</v>
      </c>
      <c r="Z2664">
        <v>1.8428509999999999E-2</v>
      </c>
      <c r="AA2664">
        <v>0.95991919999999897</v>
      </c>
      <c r="AB2664">
        <v>16</v>
      </c>
      <c r="AC2664">
        <v>28.786299999999901</v>
      </c>
      <c r="AD2664">
        <v>-1.106048757555</v>
      </c>
      <c r="AE2664">
        <v>-2.0774999999999801</v>
      </c>
      <c r="AF2664">
        <v>-8.1093029726816592</v>
      </c>
      <c r="AG2664">
        <v>-1.106048757555</v>
      </c>
      <c r="AH2664">
        <v>27.654384300057401</v>
      </c>
      <c r="AI2664">
        <v>92.197896566087195</v>
      </c>
      <c r="AJ2664">
        <v>106.343116467107</v>
      </c>
      <c r="AK2664">
        <v>28.840060845499199</v>
      </c>
    </row>
    <row r="2665" spans="1:37" x14ac:dyDescent="0.2">
      <c r="A2665" t="str">
        <f>"20200111155855862"</f>
        <v>20200111155855862</v>
      </c>
      <c r="B2665" t="str">
        <f>"1578729535854722"</f>
        <v>1578729535854722</v>
      </c>
      <c r="C2665" t="s">
        <v>37</v>
      </c>
      <c r="D2665">
        <v>5.4206399999999997</v>
      </c>
      <c r="E2665">
        <v>0.45062340000000001</v>
      </c>
      <c r="F2665" t="s">
        <v>50</v>
      </c>
      <c r="G2665">
        <v>-450.0059</v>
      </c>
      <c r="H2665" s="1">
        <v>-1.577618E-6</v>
      </c>
      <c r="I2665">
        <v>215.62209999999999</v>
      </c>
      <c r="J2665">
        <v>-475.79719999999998</v>
      </c>
      <c r="K2665">
        <v>1.1057360000000001</v>
      </c>
      <c r="L2665">
        <v>217.4144</v>
      </c>
      <c r="M2665">
        <v>0.93820269999999995</v>
      </c>
      <c r="N2665">
        <v>0</v>
      </c>
      <c r="O2665">
        <v>-0.34582499999999999</v>
      </c>
      <c r="P2665">
        <v>0.97984280000000001</v>
      </c>
      <c r="Q2665">
        <v>-1.222237E-2</v>
      </c>
      <c r="R2665">
        <v>-0.19939670000000001</v>
      </c>
      <c r="S2665">
        <v>3.0193479999999999</v>
      </c>
      <c r="T2665">
        <v>-0.12871340000000001</v>
      </c>
      <c r="U2665">
        <v>-0.21463009999999999</v>
      </c>
      <c r="V2665">
        <v>-0.15179599999999999</v>
      </c>
      <c r="W2665">
        <v>6.4546340000000001E-4</v>
      </c>
      <c r="X2665">
        <v>0.9884117</v>
      </c>
      <c r="Y2665">
        <v>-0.27790529999999902</v>
      </c>
      <c r="Z2665">
        <v>2.035257E-2</v>
      </c>
      <c r="AA2665">
        <v>0.96039279999999905</v>
      </c>
      <c r="AB2665">
        <v>16</v>
      </c>
      <c r="AC2665">
        <v>25.7912999999999</v>
      </c>
      <c r="AD2665">
        <v>-1.1057375776180001</v>
      </c>
      <c r="AE2665">
        <v>-1.79230000000001</v>
      </c>
      <c r="AF2665">
        <v>-7.2251734536035199</v>
      </c>
      <c r="AG2665">
        <v>-1.1057375776180001</v>
      </c>
      <c r="AH2665">
        <v>24.774215336667499</v>
      </c>
      <c r="AI2665">
        <v>92.453485377700005</v>
      </c>
      <c r="AJ2665">
        <v>106.258841981317</v>
      </c>
      <c r="AK2665">
        <v>25.829973530237801</v>
      </c>
    </row>
    <row r="2666" spans="1:37" x14ac:dyDescent="0.2">
      <c r="A2666" t="str">
        <f>"20200111155855887"</f>
        <v>20200111155855887</v>
      </c>
      <c r="B2666" t="str">
        <f>"1578729535884002"</f>
        <v>1578729535884002</v>
      </c>
      <c r="C2666" t="s">
        <v>37</v>
      </c>
      <c r="D2666">
        <v>5.5507239999999998</v>
      </c>
      <c r="E2666">
        <v>0.45197799999999999</v>
      </c>
      <c r="F2666" t="s">
        <v>50</v>
      </c>
      <c r="G2666">
        <v>-451.60320000000002</v>
      </c>
      <c r="H2666" s="1">
        <v>-7.3399559999999895E-7</v>
      </c>
      <c r="I2666">
        <v>215.76779999999999</v>
      </c>
      <c r="J2666">
        <v>-475.63729999999998</v>
      </c>
      <c r="K2666">
        <v>1.1054090000000001</v>
      </c>
      <c r="L2666">
        <v>217.3605</v>
      </c>
      <c r="M2666">
        <v>0.93946149999999995</v>
      </c>
      <c r="N2666">
        <v>0</v>
      </c>
      <c r="O2666">
        <v>-0.34239380000000003</v>
      </c>
      <c r="P2666">
        <v>0.98114259999999998</v>
      </c>
      <c r="Q2666">
        <v>-1.407745E-2</v>
      </c>
      <c r="R2666">
        <v>-0.19277320000000001</v>
      </c>
      <c r="S2666">
        <v>3.0181879999999999</v>
      </c>
      <c r="T2666">
        <v>-0.13794000000000001</v>
      </c>
      <c r="U2666">
        <v>-0.20541379999999901</v>
      </c>
      <c r="V2666">
        <v>-0.15484600000000001</v>
      </c>
      <c r="W2666">
        <v>-1.172123E-3</v>
      </c>
      <c r="X2666">
        <v>0.98793790000000004</v>
      </c>
      <c r="Y2666">
        <v>-0.27720850000000002</v>
      </c>
      <c r="Z2666">
        <v>2.165887E-2</v>
      </c>
      <c r="AA2666">
        <v>0.96056559999999902</v>
      </c>
      <c r="AB2666">
        <v>16</v>
      </c>
      <c r="AC2666">
        <v>24.034099999999899</v>
      </c>
      <c r="AD2666">
        <v>-1.1054097339955999</v>
      </c>
      <c r="AE2666">
        <v>-1.5927</v>
      </c>
      <c r="AF2666">
        <v>-6.71929594274454</v>
      </c>
      <c r="AG2666">
        <v>-1.1054097339955999</v>
      </c>
      <c r="AH2666">
        <v>23.0779018940441</v>
      </c>
      <c r="AI2666">
        <v>92.633142505562702</v>
      </c>
      <c r="AJ2666">
        <v>106.233296154385</v>
      </c>
      <c r="AK2666">
        <v>24.061596465682001</v>
      </c>
    </row>
    <row r="2667" spans="1:37" x14ac:dyDescent="0.2">
      <c r="A2667" t="str">
        <f>"20200111155855910"</f>
        <v>20200111155855910</v>
      </c>
      <c r="B2667" t="str">
        <f>"1578729535904497"</f>
        <v>1578729535904497</v>
      </c>
      <c r="C2667" t="s">
        <v>37</v>
      </c>
      <c r="D2667">
        <v>5.4360900000000001</v>
      </c>
      <c r="E2667">
        <v>0.45303869999999902</v>
      </c>
      <c r="F2667" t="s">
        <v>50</v>
      </c>
      <c r="G2667">
        <v>-451.2004</v>
      </c>
      <c r="H2667" s="1">
        <v>-9.4838530000000003E-7</v>
      </c>
      <c r="I2667">
        <v>215.76949999999999</v>
      </c>
      <c r="J2667">
        <v>-475.48779999999999</v>
      </c>
      <c r="K2667">
        <v>1.1050799999999901</v>
      </c>
      <c r="L2667">
        <v>217.3099</v>
      </c>
      <c r="M2667">
        <v>0.94042979999999998</v>
      </c>
      <c r="N2667">
        <v>0</v>
      </c>
      <c r="O2667">
        <v>-0.33973709999999901</v>
      </c>
      <c r="P2667">
        <v>0.9822495</v>
      </c>
      <c r="Q2667">
        <v>-1.582911E-2</v>
      </c>
      <c r="R2667">
        <v>-0.1869094</v>
      </c>
      <c r="S2667">
        <v>3.0171509999999899</v>
      </c>
      <c r="T2667">
        <v>-0.13648179999999999</v>
      </c>
      <c r="U2667">
        <v>-0.1964264</v>
      </c>
      <c r="V2667">
        <v>-0.157941</v>
      </c>
      <c r="W2667">
        <v>-3.153136E-3</v>
      </c>
      <c r="X2667">
        <v>0.98744349999999903</v>
      </c>
      <c r="Y2667">
        <v>-0.277333099999999</v>
      </c>
      <c r="Z2667">
        <v>2.1330740000000001E-2</v>
      </c>
      <c r="AA2667">
        <v>0.96053699999999997</v>
      </c>
      <c r="AB2667">
        <v>16</v>
      </c>
      <c r="AC2667">
        <v>24.287399999999899</v>
      </c>
      <c r="AD2667">
        <v>-1.1050809483852999</v>
      </c>
      <c r="AE2667">
        <v>-1.5404</v>
      </c>
      <c r="AF2667">
        <v>-6.7892734742762402</v>
      </c>
      <c r="AG2667">
        <v>-1.1050809483852999</v>
      </c>
      <c r="AH2667">
        <v>23.317836999898301</v>
      </c>
      <c r="AI2667">
        <v>92.6053080077251</v>
      </c>
      <c r="AJ2667">
        <v>106.233565053756</v>
      </c>
      <c r="AK2667">
        <v>24.311251727642901</v>
      </c>
    </row>
    <row r="2668" spans="1:37" x14ac:dyDescent="0.2">
      <c r="A2668" t="str">
        <f>"20200111155855930"</f>
        <v>20200111155855930</v>
      </c>
      <c r="B2668" t="str">
        <f>"1578729535924018"</f>
        <v>1578729535924018</v>
      </c>
      <c r="C2668" t="s">
        <v>37</v>
      </c>
      <c r="D2668">
        <v>5.3822830000000002</v>
      </c>
      <c r="E2668">
        <v>0.45411949999999901</v>
      </c>
      <c r="F2668" t="s">
        <v>50</v>
      </c>
      <c r="G2668">
        <v>-451.69630000000001</v>
      </c>
      <c r="H2668" s="1">
        <v>-6.8735969999999905E-7</v>
      </c>
      <c r="I2668">
        <v>215.83449999999999</v>
      </c>
      <c r="J2668">
        <v>-475.3503</v>
      </c>
      <c r="K2668">
        <v>1.1048279999999999</v>
      </c>
      <c r="L2668">
        <v>217.26329999999999</v>
      </c>
      <c r="M2668">
        <v>0.94116650000000002</v>
      </c>
      <c r="N2668">
        <v>0</v>
      </c>
      <c r="O2668">
        <v>-0.33770279999999903</v>
      </c>
      <c r="P2668">
        <v>0.98310429999999904</v>
      </c>
      <c r="Q2668">
        <v>-1.8357289999999998E-2</v>
      </c>
      <c r="R2668">
        <v>-0.18212439999999999</v>
      </c>
      <c r="S2668">
        <v>3.0163570000000002</v>
      </c>
      <c r="T2668">
        <v>-0.14010549999999999</v>
      </c>
      <c r="U2668">
        <v>-0.18705749999999999</v>
      </c>
      <c r="V2668">
        <v>-0.1605954</v>
      </c>
      <c r="W2668">
        <v>-5.9172929999999997E-3</v>
      </c>
      <c r="X2668">
        <v>0.98700259999999995</v>
      </c>
      <c r="Y2668">
        <v>-0.2781769</v>
      </c>
      <c r="Z2668">
        <v>2.1836540000000002E-2</v>
      </c>
      <c r="AA2668">
        <v>0.96028159999999896</v>
      </c>
      <c r="AB2668">
        <v>16</v>
      </c>
      <c r="AC2668">
        <v>23.654</v>
      </c>
      <c r="AD2668">
        <v>-1.1048286873597</v>
      </c>
      <c r="AE2668">
        <v>-1.4287999999999901</v>
      </c>
      <c r="AF2668">
        <v>-6.6294126292705702</v>
      </c>
      <c r="AG2668">
        <v>-1.1048286873597</v>
      </c>
      <c r="AH2668">
        <v>22.697372484776398</v>
      </c>
      <c r="AI2668">
        <v>92.675157655611102</v>
      </c>
      <c r="AJ2668">
        <v>106.28194428843599</v>
      </c>
      <c r="AK2668">
        <v>23.671511906725101</v>
      </c>
    </row>
    <row r="2669" spans="1:37" x14ac:dyDescent="0.2">
      <c r="A2669" t="str">
        <f>"20200111155855952"</f>
        <v>20200111155855952</v>
      </c>
      <c r="B2669" t="str">
        <f>"1578729535944047"</f>
        <v>1578729535944047</v>
      </c>
      <c r="C2669" t="s">
        <v>37</v>
      </c>
      <c r="D2669">
        <v>5.369974</v>
      </c>
      <c r="E2669">
        <v>0.4709718</v>
      </c>
      <c r="F2669" t="s">
        <v>50</v>
      </c>
      <c r="G2669">
        <v>-453.29419999999999</v>
      </c>
      <c r="H2669" s="1">
        <v>1.5812639999999999E-7</v>
      </c>
      <c r="I2669">
        <v>215.94560000000001</v>
      </c>
      <c r="J2669">
        <v>-475.20030000000003</v>
      </c>
      <c r="K2669">
        <v>1.1046129999999901</v>
      </c>
      <c r="L2669">
        <v>217.2122</v>
      </c>
      <c r="M2669">
        <v>0.9418029</v>
      </c>
      <c r="N2669">
        <v>0</v>
      </c>
      <c r="O2669">
        <v>-0.33592959999999999</v>
      </c>
      <c r="P2669">
        <v>0.98389629999999995</v>
      </c>
      <c r="Q2669">
        <v>-2.182626E-2</v>
      </c>
      <c r="R2669">
        <v>-0.17740320000000001</v>
      </c>
      <c r="S2669">
        <v>3.0153810000000001</v>
      </c>
      <c r="T2669">
        <v>-0.1510457</v>
      </c>
      <c r="U2669">
        <v>-0.18014530000000001</v>
      </c>
      <c r="V2669">
        <v>-0.16344979999999901</v>
      </c>
      <c r="W2669">
        <v>-9.4706719999999994E-3</v>
      </c>
      <c r="X2669">
        <v>0.9865062</v>
      </c>
      <c r="Y2669">
        <v>-0.27843759999999901</v>
      </c>
      <c r="Z2669">
        <v>2.347283E-2</v>
      </c>
      <c r="AA2669">
        <v>0.96016749999999995</v>
      </c>
      <c r="AB2669">
        <v>16</v>
      </c>
      <c r="AC2669">
        <v>21.906099999999999</v>
      </c>
      <c r="AD2669">
        <v>-1.1046128418736001</v>
      </c>
      <c r="AE2669">
        <v>-1.26659999999998</v>
      </c>
      <c r="AF2669">
        <v>-6.1509212317780797</v>
      </c>
      <c r="AG2669">
        <v>-1.1046128418736001</v>
      </c>
      <c r="AH2669">
        <v>21.0051557223068</v>
      </c>
      <c r="AI2669">
        <v>92.889174672494406</v>
      </c>
      <c r="AJ2669">
        <v>106.321567368109</v>
      </c>
      <c r="AK2669">
        <v>21.9150762820559</v>
      </c>
    </row>
    <row r="2670" spans="1:37" x14ac:dyDescent="0.2">
      <c r="A2670" t="str">
        <f>"20200111155855973"</f>
        <v>20200111155855973</v>
      </c>
      <c r="B2670" t="str">
        <f>"1578729535964543"</f>
        <v>1578729535964543</v>
      </c>
      <c r="C2670" t="s">
        <v>37</v>
      </c>
      <c r="D2670">
        <v>5.4552649999999998</v>
      </c>
      <c r="E2670">
        <v>0.47168009999999899</v>
      </c>
      <c r="F2670" t="s">
        <v>50</v>
      </c>
      <c r="G2670">
        <v>-440.81729999999999</v>
      </c>
      <c r="H2670" s="1">
        <v>-1.0636390000000001E-6</v>
      </c>
      <c r="I2670">
        <v>213.74189999999999</v>
      </c>
      <c r="J2670">
        <v>-475.05840000000001</v>
      </c>
      <c r="K2670">
        <v>1.104452</v>
      </c>
      <c r="L2670">
        <v>217.16370000000001</v>
      </c>
      <c r="M2670">
        <v>0.94225890000000001</v>
      </c>
      <c r="N2670">
        <v>0</v>
      </c>
      <c r="O2670">
        <v>-0.33465020000000001</v>
      </c>
      <c r="P2670">
        <v>0.98461339999999997</v>
      </c>
      <c r="Q2670">
        <v>-2.3958070000000001E-2</v>
      </c>
      <c r="R2670">
        <v>-0.173098799999999</v>
      </c>
      <c r="S2670">
        <v>2.99246199999999</v>
      </c>
      <c r="T2670">
        <v>-9.6138119999999994E-2</v>
      </c>
      <c r="U2670">
        <v>-0.30203249999999998</v>
      </c>
      <c r="V2670">
        <v>-0.1664099</v>
      </c>
      <c r="W2670">
        <v>-1.157617E-2</v>
      </c>
      <c r="X2670">
        <v>0.98598869999999905</v>
      </c>
      <c r="Y2670">
        <v>-0.2380698</v>
      </c>
      <c r="Z2670">
        <v>1.4331699999999999E-2</v>
      </c>
      <c r="AA2670">
        <v>0.97114230000000001</v>
      </c>
      <c r="AB2670">
        <v>16</v>
      </c>
      <c r="AC2670">
        <v>34.241100000000003</v>
      </c>
      <c r="AD2670">
        <v>-1.104453063639</v>
      </c>
      <c r="AE2670">
        <v>-3.4218000000000099</v>
      </c>
      <c r="AF2670">
        <v>-8.2267431842799397</v>
      </c>
      <c r="AG2670">
        <v>-1.104453063639</v>
      </c>
      <c r="AH2670">
        <v>33.377334710169102</v>
      </c>
      <c r="AI2670">
        <v>91.840187931501603</v>
      </c>
      <c r="AJ2670">
        <v>103.846103761912</v>
      </c>
      <c r="AK2670">
        <v>34.393976105482999</v>
      </c>
    </row>
    <row r="2671" spans="1:37" x14ac:dyDescent="0.2">
      <c r="A2671" t="str">
        <f>"20200111155855996"</f>
        <v>20200111155855996</v>
      </c>
      <c r="B2671" t="str">
        <f>"1578729535994799"</f>
        <v>1578729535994799</v>
      </c>
      <c r="C2671" t="s">
        <v>37</v>
      </c>
      <c r="D2671">
        <v>5.3388499999999999</v>
      </c>
      <c r="E2671">
        <v>0.47741139999999999</v>
      </c>
      <c r="F2671" t="s">
        <v>50</v>
      </c>
      <c r="G2671">
        <v>-444.46510000000001</v>
      </c>
      <c r="H2671" s="1">
        <v>8.5937269999999899E-7</v>
      </c>
      <c r="I2671">
        <v>214.15819999999999</v>
      </c>
      <c r="J2671">
        <v>-474.90679999999998</v>
      </c>
      <c r="K2671">
        <v>1.104284</v>
      </c>
      <c r="L2671">
        <v>217.11160000000001</v>
      </c>
      <c r="M2671">
        <v>0.94260089999999996</v>
      </c>
      <c r="N2671">
        <v>0</v>
      </c>
      <c r="O2671">
        <v>-0.33368779999999998</v>
      </c>
      <c r="P2671">
        <v>0.98538969999999904</v>
      </c>
      <c r="Q2671">
        <v>-2.2571150000000002E-2</v>
      </c>
      <c r="R2671">
        <v>-0.16881350000000001</v>
      </c>
      <c r="S2671">
        <v>2.9925540000000002</v>
      </c>
      <c r="T2671">
        <v>-0.10803459999999999</v>
      </c>
      <c r="U2671">
        <v>-0.29399109999999901</v>
      </c>
      <c r="V2671">
        <v>-0.16970689999999999</v>
      </c>
      <c r="W2671">
        <v>-1.0180669999999999E-2</v>
      </c>
      <c r="X2671">
        <v>0.98544200000000004</v>
      </c>
      <c r="Y2671">
        <v>-0.2395891</v>
      </c>
      <c r="Z2671">
        <v>1.6101600000000001E-2</v>
      </c>
      <c r="AA2671">
        <v>0.97074090000000002</v>
      </c>
      <c r="AB2671">
        <v>16</v>
      </c>
      <c r="AC2671">
        <v>30.441699999999901</v>
      </c>
      <c r="AD2671">
        <v>-1.1042831406272999</v>
      </c>
      <c r="AE2671">
        <v>-2.95340000000001</v>
      </c>
      <c r="AF2671">
        <v>-7.3651202445777599</v>
      </c>
      <c r="AG2671">
        <v>-1.1042831406272999</v>
      </c>
      <c r="AH2671">
        <v>29.643558365158501</v>
      </c>
      <c r="AI2671">
        <v>92.070506082283103</v>
      </c>
      <c r="AJ2671">
        <v>103.952952948378</v>
      </c>
      <c r="AK2671">
        <v>30.564767135057998</v>
      </c>
    </row>
    <row r="2672" spans="1:37" x14ac:dyDescent="0.2">
      <c r="A2672" t="str">
        <f>"20200111155856018"</f>
        <v>20200111155856018</v>
      </c>
      <c r="B2672" t="str">
        <f>"1578729536014320"</f>
        <v>1578729536014320</v>
      </c>
      <c r="C2672" t="s">
        <v>37</v>
      </c>
      <c r="D2672">
        <v>5.2179679999999999</v>
      </c>
      <c r="E2672">
        <v>0.47858059999999902</v>
      </c>
      <c r="F2672" t="s">
        <v>50</v>
      </c>
      <c r="G2672">
        <v>-457.62270000000001</v>
      </c>
      <c r="H2672" s="1">
        <v>2.4916480000000001E-6</v>
      </c>
      <c r="I2672">
        <v>215.25710000000001</v>
      </c>
      <c r="J2672">
        <v>-474.7604</v>
      </c>
      <c r="K2672">
        <v>1.1041069999999999</v>
      </c>
      <c r="L2672">
        <v>217.0608</v>
      </c>
      <c r="M2672">
        <v>0.94280129999999995</v>
      </c>
      <c r="N2672">
        <v>0</v>
      </c>
      <c r="O2672">
        <v>-0.33312559999999902</v>
      </c>
      <c r="P2672">
        <v>0.9861103</v>
      </c>
      <c r="Q2672">
        <v>-1.843243E-2</v>
      </c>
      <c r="R2672">
        <v>-0.1650681</v>
      </c>
      <c r="S2672">
        <v>2.9852910000000001</v>
      </c>
      <c r="T2672">
        <v>-0.19073039999999999</v>
      </c>
      <c r="U2672">
        <v>-0.3202972</v>
      </c>
      <c r="V2672">
        <v>-0.17289109999999999</v>
      </c>
      <c r="W2672">
        <v>-6.0790790000000003E-3</v>
      </c>
      <c r="X2672">
        <v>0.98492219999999997</v>
      </c>
      <c r="Y2672">
        <v>-0.22956009999999999</v>
      </c>
      <c r="Z2672">
        <v>2.8102200000000001E-2</v>
      </c>
      <c r="AA2672">
        <v>0.97288869999999905</v>
      </c>
      <c r="AB2672">
        <v>16</v>
      </c>
      <c r="AC2672">
        <v>17.137699999999899</v>
      </c>
      <c r="AD2672">
        <v>-1.104104508352</v>
      </c>
      <c r="AE2672">
        <v>-1.8036999999999901</v>
      </c>
      <c r="AF2672">
        <v>-3.9923932116771801</v>
      </c>
      <c r="AG2672">
        <v>-1.104104508352</v>
      </c>
      <c r="AH2672">
        <v>16.6910673510097</v>
      </c>
      <c r="AI2672">
        <v>93.681029159109897</v>
      </c>
      <c r="AJ2672">
        <v>103.45202770838</v>
      </c>
      <c r="AK2672">
        <v>17.197382929909701</v>
      </c>
    </row>
    <row r="2673" spans="1:37" x14ac:dyDescent="0.2">
      <c r="A2673" t="str">
        <f>"20200111155856040"</f>
        <v>20200111155856040</v>
      </c>
      <c r="B2673" t="str">
        <f>"1578729536034106"</f>
        <v>1578729536034106</v>
      </c>
      <c r="C2673" t="s">
        <v>37</v>
      </c>
      <c r="D2673">
        <v>5.2314689999999997</v>
      </c>
      <c r="E2673">
        <v>0.47964220000000002</v>
      </c>
      <c r="F2673" t="s">
        <v>50</v>
      </c>
      <c r="G2673">
        <v>-455.9588</v>
      </c>
      <c r="H2673" s="1">
        <v>1.6150509999999999E-6</v>
      </c>
      <c r="I2673">
        <v>215.05430000000001</v>
      </c>
      <c r="J2673">
        <v>-474.61020000000002</v>
      </c>
      <c r="K2673">
        <v>1.103936</v>
      </c>
      <c r="L2673">
        <v>217.00829999999999</v>
      </c>
      <c r="M2673">
        <v>0.94288340000000004</v>
      </c>
      <c r="N2673">
        <v>0</v>
      </c>
      <c r="O2673">
        <v>-0.33289639999999998</v>
      </c>
      <c r="P2673">
        <v>0.98668739999999999</v>
      </c>
      <c r="Q2673">
        <v>-1.3454580000000001E-2</v>
      </c>
      <c r="R2673">
        <v>-0.16207089999999999</v>
      </c>
      <c r="S2673">
        <v>2.9856259999999999</v>
      </c>
      <c r="T2673">
        <v>-0.17532779999999901</v>
      </c>
      <c r="U2673">
        <v>-0.31863399999999997</v>
      </c>
      <c r="V2673">
        <v>-0.17566579999999901</v>
      </c>
      <c r="W2673">
        <v>-1.127921E-3</v>
      </c>
      <c r="X2673">
        <v>0.98444920000000002</v>
      </c>
      <c r="Y2673">
        <v>-0.23004139999999901</v>
      </c>
      <c r="Z2673">
        <v>2.5836560000000001E-2</v>
      </c>
      <c r="AA2673">
        <v>0.97283779999999997</v>
      </c>
      <c r="AB2673">
        <v>16</v>
      </c>
      <c r="AC2673">
        <v>18.651399999999999</v>
      </c>
      <c r="AD2673">
        <v>-1.103934384949</v>
      </c>
      <c r="AE2673">
        <v>-1.95399999999997</v>
      </c>
      <c r="AF2673">
        <v>-4.35183939651915</v>
      </c>
      <c r="AG2673">
        <v>-1.103934384949</v>
      </c>
      <c r="AH2673">
        <v>18.174971800739101</v>
      </c>
      <c r="AI2673">
        <v>93.380508834539597</v>
      </c>
      <c r="AJ2673">
        <v>103.465463268531</v>
      </c>
      <c r="AK2673">
        <v>18.7212920819325</v>
      </c>
    </row>
    <row r="2674" spans="1:37" x14ac:dyDescent="0.2">
      <c r="A2674" t="str">
        <f>"20200111155856063"</f>
        <v>20200111155856063</v>
      </c>
      <c r="B2674" t="str">
        <f>"1578729536054602"</f>
        <v>1578729536054602</v>
      </c>
      <c r="C2674" t="s">
        <v>37</v>
      </c>
      <c r="D2674">
        <v>5.2565999999999997</v>
      </c>
      <c r="E2674">
        <v>0.48053309999999999</v>
      </c>
      <c r="F2674" t="s">
        <v>50</v>
      </c>
      <c r="G2674">
        <v>-453.85419999999999</v>
      </c>
      <c r="H2674" s="1">
        <v>5.0633610000000001E-7</v>
      </c>
      <c r="I2674">
        <v>214.79669999999999</v>
      </c>
      <c r="J2674">
        <v>-474.46</v>
      </c>
      <c r="K2674">
        <v>1.103801</v>
      </c>
      <c r="L2674">
        <v>216.95529999999999</v>
      </c>
      <c r="M2674">
        <v>0.94284299999999999</v>
      </c>
      <c r="N2674">
        <v>0</v>
      </c>
      <c r="O2674">
        <v>-0.3330128</v>
      </c>
      <c r="P2674">
        <v>0.98695299999999997</v>
      </c>
      <c r="Q2674">
        <v>-9.5401719999999995E-3</v>
      </c>
      <c r="R2674">
        <v>-0.16072620000000001</v>
      </c>
      <c r="S2674">
        <v>2.986084</v>
      </c>
      <c r="T2674">
        <v>-0.1588186</v>
      </c>
      <c r="U2674">
        <v>-0.31817629999999902</v>
      </c>
      <c r="V2674">
        <v>-0.17713709999999999</v>
      </c>
      <c r="W2674">
        <v>2.8026700000000002E-3</v>
      </c>
      <c r="X2674">
        <v>0.98418220000000001</v>
      </c>
      <c r="Y2674">
        <v>-0.23049130000000001</v>
      </c>
      <c r="Z2674">
        <v>2.3421839999999999E-2</v>
      </c>
      <c r="AA2674">
        <v>0.9727924</v>
      </c>
      <c r="AB2674">
        <v>16</v>
      </c>
      <c r="AC2674">
        <v>20.605799999999899</v>
      </c>
      <c r="AD2674">
        <v>-1.1038004936639001</v>
      </c>
      <c r="AE2674">
        <v>-2.1585999999999999</v>
      </c>
      <c r="AF2674">
        <v>-4.8134730189819299</v>
      </c>
      <c r="AG2674">
        <v>-1.1038004936639001</v>
      </c>
      <c r="AH2674">
        <v>20.091356583186698</v>
      </c>
      <c r="AI2674">
        <v>93.058242703907197</v>
      </c>
      <c r="AJ2674">
        <v>103.47293922102401</v>
      </c>
      <c r="AK2674">
        <v>20.689381512917201</v>
      </c>
    </row>
    <row r="2675" spans="1:37" x14ac:dyDescent="0.2">
      <c r="A2675" t="str">
        <f>"20200111155856085"</f>
        <v>20200111155856085</v>
      </c>
      <c r="B2675" t="str">
        <f>"1578729536074122"</f>
        <v>1578729536074122</v>
      </c>
      <c r="C2675" t="s">
        <v>37</v>
      </c>
      <c r="D2675">
        <v>5.3641239999999897</v>
      </c>
      <c r="E2675">
        <v>0.480508299999999</v>
      </c>
      <c r="F2675" t="s">
        <v>50</v>
      </c>
      <c r="G2675">
        <v>-452.23129999999998</v>
      </c>
      <c r="H2675" s="1">
        <v>-3.4709789999999998E-7</v>
      </c>
      <c r="I2675">
        <v>214.56389999999999</v>
      </c>
      <c r="J2675">
        <v>-474.3159</v>
      </c>
      <c r="K2675">
        <v>1.1036979999999901</v>
      </c>
      <c r="L2675">
        <v>216.904</v>
      </c>
      <c r="M2675">
        <v>0.94268809999999903</v>
      </c>
      <c r="N2675">
        <v>0</v>
      </c>
      <c r="O2675">
        <v>-0.33345159999999902</v>
      </c>
      <c r="P2675">
        <v>0.98690069999999996</v>
      </c>
      <c r="Q2675">
        <v>-6.5605809999999898E-3</v>
      </c>
      <c r="R2675">
        <v>-0.16119600000000001</v>
      </c>
      <c r="S2675">
        <v>2.9859309999999999</v>
      </c>
      <c r="T2675">
        <v>-0.1482716</v>
      </c>
      <c r="U2675">
        <v>-0.32124330000000001</v>
      </c>
      <c r="V2675">
        <v>-0.17712829999999999</v>
      </c>
      <c r="W2675">
        <v>5.8143459999999998E-3</v>
      </c>
      <c r="X2675">
        <v>0.98417060000000001</v>
      </c>
      <c r="Y2675">
        <v>-0.23004949999999999</v>
      </c>
      <c r="Z2675">
        <v>2.1877219999999999E-2</v>
      </c>
      <c r="AA2675">
        <v>0.97293300000000005</v>
      </c>
      <c r="AB2675">
        <v>16</v>
      </c>
      <c r="AC2675">
        <v>22.084599999999998</v>
      </c>
      <c r="AD2675">
        <v>-1.1036983470978901</v>
      </c>
      <c r="AE2675">
        <v>-2.3401000000000298</v>
      </c>
      <c r="AF2675">
        <v>-5.1458360568605004</v>
      </c>
      <c r="AG2675">
        <v>-1.1036983470978901</v>
      </c>
      <c r="AH2675">
        <v>21.547591343807898</v>
      </c>
      <c r="AI2675">
        <v>92.852143729846901</v>
      </c>
      <c r="AJ2675">
        <v>103.431387595239</v>
      </c>
      <c r="AK2675">
        <v>22.1809934738104</v>
      </c>
    </row>
    <row r="2676" spans="1:37" x14ac:dyDescent="0.2">
      <c r="A2676" t="str">
        <f>"20200111155856109"</f>
        <v>20200111155856109</v>
      </c>
      <c r="B2676" t="str">
        <f>"1578729536104378"</f>
        <v>1578729536104378</v>
      </c>
      <c r="C2676" t="s">
        <v>37</v>
      </c>
      <c r="D2676">
        <v>5.0058360000000004</v>
      </c>
      <c r="E2676">
        <v>0.48087390000000002</v>
      </c>
      <c r="F2676" t="s">
        <v>50</v>
      </c>
      <c r="G2676">
        <v>-450.66329999999999</v>
      </c>
      <c r="H2676" s="1">
        <v>-1.1722289999999999E-6</v>
      </c>
      <c r="I2676">
        <v>214.35140000000001</v>
      </c>
      <c r="J2676">
        <v>-474.15989999999999</v>
      </c>
      <c r="K2676">
        <v>1.1036139999999901</v>
      </c>
      <c r="L2676">
        <v>216.84790000000001</v>
      </c>
      <c r="M2676">
        <v>0.94239830000000002</v>
      </c>
      <c r="N2676">
        <v>0</v>
      </c>
      <c r="O2676">
        <v>-0.33427129999999999</v>
      </c>
      <c r="P2676">
        <v>0.98668849999999997</v>
      </c>
      <c r="Q2676">
        <v>-3.9726759999999996E-3</v>
      </c>
      <c r="R2676">
        <v>-0.16257339999999901</v>
      </c>
      <c r="S2676">
        <v>2.986237</v>
      </c>
      <c r="T2676">
        <v>-0.1393462</v>
      </c>
      <c r="U2676">
        <v>-0.32228089999999998</v>
      </c>
      <c r="V2676">
        <v>-0.17660689999999901</v>
      </c>
      <c r="W2676">
        <v>8.4154250000000007E-3</v>
      </c>
      <c r="X2676">
        <v>0.9842455</v>
      </c>
      <c r="Y2676">
        <v>-0.23064850000000001</v>
      </c>
      <c r="Z2676">
        <v>2.0609039999999999E-2</v>
      </c>
      <c r="AA2676">
        <v>0.97281890000000004</v>
      </c>
      <c r="AB2676">
        <v>16</v>
      </c>
      <c r="AC2676">
        <v>23.496600000000001</v>
      </c>
      <c r="AD2676">
        <v>-1.103615172229</v>
      </c>
      <c r="AE2676">
        <v>-2.4964999999999899</v>
      </c>
      <c r="AF2676">
        <v>-5.4899729892532303</v>
      </c>
      <c r="AG2676">
        <v>-1.103615172229</v>
      </c>
      <c r="AH2676">
        <v>22.929346594599</v>
      </c>
      <c r="AI2676">
        <v>92.679952729293106</v>
      </c>
      <c r="AJ2676">
        <v>103.464848276496</v>
      </c>
      <c r="AK2676">
        <v>23.6032350563721</v>
      </c>
    </row>
    <row r="2677" spans="1:37" x14ac:dyDescent="0.2">
      <c r="A2677" t="str">
        <f>"20200111155856131"</f>
        <v>20200111155856131</v>
      </c>
      <c r="B2677" t="str">
        <f>"1578729536123898"</f>
        <v>1578729536123898</v>
      </c>
      <c r="C2677" t="s">
        <v>37</v>
      </c>
      <c r="D2677">
        <v>5.0234550000000002</v>
      </c>
      <c r="E2677">
        <v>0.48098779999999902</v>
      </c>
      <c r="F2677" t="s">
        <v>50</v>
      </c>
      <c r="G2677">
        <v>-449.49549999999999</v>
      </c>
      <c r="H2677" s="1">
        <v>3.537475E-6</v>
      </c>
      <c r="I2677">
        <v>214.1302</v>
      </c>
      <c r="J2677">
        <v>-474.01319999999998</v>
      </c>
      <c r="K2677">
        <v>1.103567</v>
      </c>
      <c r="L2677">
        <v>216.79470000000001</v>
      </c>
      <c r="M2677">
        <v>0.94205360000000005</v>
      </c>
      <c r="N2677">
        <v>0</v>
      </c>
      <c r="O2677">
        <v>-0.33524330000000002</v>
      </c>
      <c r="P2677">
        <v>0.98651339999999998</v>
      </c>
      <c r="Q2677">
        <v>-1.5544739999999999E-3</v>
      </c>
      <c r="R2677">
        <v>-0.1636736</v>
      </c>
      <c r="S2677">
        <v>2.9857480000000001</v>
      </c>
      <c r="T2677">
        <v>-0.1335973</v>
      </c>
      <c r="U2677">
        <v>-0.32899479999999998</v>
      </c>
      <c r="V2677">
        <v>-0.17652019999999999</v>
      </c>
      <c r="W2677">
        <v>1.082144E-2</v>
      </c>
      <c r="X2677">
        <v>0.98423760000000005</v>
      </c>
      <c r="Y2677">
        <v>-0.22952110000000001</v>
      </c>
      <c r="Z2677">
        <v>1.9774880000000002E-2</v>
      </c>
      <c r="AA2677">
        <v>0.97310269999999999</v>
      </c>
      <c r="AB2677">
        <v>16</v>
      </c>
      <c r="AC2677">
        <v>24.517699999999898</v>
      </c>
      <c r="AD2677">
        <v>-1.1035634625249999</v>
      </c>
      <c r="AE2677">
        <v>-2.6644999999999999</v>
      </c>
      <c r="AF2677">
        <v>-5.6983024704342302</v>
      </c>
      <c r="AG2677">
        <v>-1.1035634625249999</v>
      </c>
      <c r="AH2677">
        <v>23.944062186961901</v>
      </c>
      <c r="AI2677">
        <v>92.567252363255605</v>
      </c>
      <c r="AJ2677">
        <v>103.386463279414</v>
      </c>
      <c r="AK2677">
        <v>24.637504284595799</v>
      </c>
    </row>
    <row r="2678" spans="1:37" x14ac:dyDescent="0.2">
      <c r="A2678" t="str">
        <f>"20200111155856152"</f>
        <v>20200111155856152</v>
      </c>
      <c r="B2678" t="str">
        <f>"1578729536143925"</f>
        <v>1578729536143925</v>
      </c>
      <c r="C2678" t="s">
        <v>37</v>
      </c>
      <c r="D2678">
        <v>5.038373</v>
      </c>
      <c r="E2678">
        <v>0.481239999999999</v>
      </c>
      <c r="F2678" t="s">
        <v>50</v>
      </c>
      <c r="G2678">
        <v>-448.16250000000002</v>
      </c>
      <c r="H2678" s="1">
        <v>2.83759099999999E-6</v>
      </c>
      <c r="I2678">
        <v>213.9135</v>
      </c>
      <c r="J2678">
        <v>-473.86619999999999</v>
      </c>
      <c r="K2678">
        <v>1.103559</v>
      </c>
      <c r="L2678">
        <v>216.74090000000001</v>
      </c>
      <c r="M2678">
        <v>0.94165710000000002</v>
      </c>
      <c r="N2678">
        <v>0</v>
      </c>
      <c r="O2678">
        <v>-0.33635559999999998</v>
      </c>
      <c r="P2678">
        <v>0.98614480000000004</v>
      </c>
      <c r="Q2678">
        <v>1.324043E-4</v>
      </c>
      <c r="R2678">
        <v>-0.16588610000000001</v>
      </c>
      <c r="S2678">
        <v>2.9856259999999999</v>
      </c>
      <c r="T2678">
        <v>-0.12745570000000001</v>
      </c>
      <c r="U2678">
        <v>-0.3327637</v>
      </c>
      <c r="V2678">
        <v>-0.17547009999999999</v>
      </c>
      <c r="W2678">
        <v>1.248405E-2</v>
      </c>
      <c r="X2678">
        <v>0.98440559999999999</v>
      </c>
      <c r="Y2678">
        <v>-0.2295005</v>
      </c>
      <c r="Z2678">
        <v>1.890963E-2</v>
      </c>
      <c r="AA2678">
        <v>0.97312480000000001</v>
      </c>
      <c r="AB2678">
        <v>16</v>
      </c>
      <c r="AC2678">
        <v>25.703699999999898</v>
      </c>
      <c r="AD2678">
        <v>-1.103556162409</v>
      </c>
      <c r="AE2678">
        <v>-2.8274000000000101</v>
      </c>
      <c r="AF2678">
        <v>-5.9727035089359299</v>
      </c>
      <c r="AG2678">
        <v>-1.103556162409</v>
      </c>
      <c r="AH2678">
        <v>25.111195963931898</v>
      </c>
      <c r="AI2678">
        <v>92.448136165271904</v>
      </c>
      <c r="AJ2678">
        <v>103.379211709093</v>
      </c>
      <c r="AK2678">
        <v>25.835308903673599</v>
      </c>
    </row>
    <row r="2679" spans="1:37" x14ac:dyDescent="0.2">
      <c r="A2679" t="str">
        <f>"20200111155856175"</f>
        <v>20200111155856175</v>
      </c>
      <c r="B2679" t="str">
        <f>"1578729536164421"</f>
        <v>1578729536164421</v>
      </c>
      <c r="C2679" t="s">
        <v>37</v>
      </c>
      <c r="D2679">
        <v>5.0672759999999997</v>
      </c>
      <c r="E2679">
        <v>0.48171140000000001</v>
      </c>
      <c r="F2679" t="s">
        <v>50</v>
      </c>
      <c r="G2679">
        <v>-447.31560000000002</v>
      </c>
      <c r="H2679" s="1">
        <v>2.3959709999999998E-6</v>
      </c>
      <c r="I2679">
        <v>213.70590000000001</v>
      </c>
      <c r="J2679">
        <v>-473.71800000000002</v>
      </c>
      <c r="K2679">
        <v>1.103572</v>
      </c>
      <c r="L2679">
        <v>216.68629999999999</v>
      </c>
      <c r="M2679">
        <v>0.94122090000000003</v>
      </c>
      <c r="N2679">
        <v>0</v>
      </c>
      <c r="O2679">
        <v>-0.33757540000000003</v>
      </c>
      <c r="P2679">
        <v>0.98556299999999997</v>
      </c>
      <c r="Q2679">
        <v>1.670737E-3</v>
      </c>
      <c r="R2679">
        <v>-0.16930139999999999</v>
      </c>
      <c r="S2679">
        <v>2.984772</v>
      </c>
      <c r="T2679">
        <v>-0.12405960000000001</v>
      </c>
      <c r="U2679">
        <v>-0.3411865</v>
      </c>
      <c r="V2679">
        <v>-0.1733314</v>
      </c>
      <c r="W2679">
        <v>1.399454E-2</v>
      </c>
      <c r="X2679">
        <v>0.98476409999999903</v>
      </c>
      <c r="Y2679">
        <v>-0.2280452</v>
      </c>
      <c r="Z2679">
        <v>1.842444E-2</v>
      </c>
      <c r="AA2679">
        <v>0.97347619999999901</v>
      </c>
      <c r="AB2679">
        <v>16</v>
      </c>
      <c r="AC2679">
        <v>26.4024</v>
      </c>
      <c r="AD2679">
        <v>-1.103569604029</v>
      </c>
      <c r="AE2679">
        <v>-2.9803999999999702</v>
      </c>
      <c r="AF2679">
        <v>-6.0975132752417602</v>
      </c>
      <c r="AG2679">
        <v>-1.103569604029</v>
      </c>
      <c r="AH2679">
        <v>25.813957433537901</v>
      </c>
      <c r="AI2679">
        <v>92.382470526872794</v>
      </c>
      <c r="AJ2679">
        <v>103.29022971037099</v>
      </c>
      <c r="AK2679">
        <v>26.547277306593902</v>
      </c>
    </row>
    <row r="2680" spans="1:37" x14ac:dyDescent="0.2">
      <c r="A2680" t="str">
        <f>"20200111155856198"</f>
        <v>20200111155856198</v>
      </c>
      <c r="B2680" t="str">
        <f>"1578729536194677"</f>
        <v>1578729536194677</v>
      </c>
      <c r="C2680" t="s">
        <v>37</v>
      </c>
      <c r="D2680">
        <v>5.2322369999999996</v>
      </c>
      <c r="E2680">
        <v>0.489288099999999</v>
      </c>
      <c r="F2680" t="s">
        <v>50</v>
      </c>
      <c r="G2680">
        <v>-446.85449999999997</v>
      </c>
      <c r="H2680" s="1">
        <v>2.16004799999999E-6</v>
      </c>
      <c r="I2680">
        <v>213.49090000000001</v>
      </c>
      <c r="J2680">
        <v>-473.56920000000002</v>
      </c>
      <c r="K2680">
        <v>1.103599</v>
      </c>
      <c r="L2680">
        <v>216.63120000000001</v>
      </c>
      <c r="M2680">
        <v>0.94075880000000001</v>
      </c>
      <c r="N2680">
        <v>0</v>
      </c>
      <c r="O2680">
        <v>-0.33886169999999999</v>
      </c>
      <c r="P2680">
        <v>0.98486859999999998</v>
      </c>
      <c r="Q2680">
        <v>1.962643E-3</v>
      </c>
      <c r="R2680">
        <v>-0.17329269999999999</v>
      </c>
      <c r="S2680">
        <v>2.983215</v>
      </c>
      <c r="T2680">
        <v>-0.12255249999999999</v>
      </c>
      <c r="U2680">
        <v>-0.35485840000000002</v>
      </c>
      <c r="V2680">
        <v>-0.17068739999999999</v>
      </c>
      <c r="W2680">
        <v>1.426059E-2</v>
      </c>
      <c r="X2680">
        <v>0.98522199999999904</v>
      </c>
      <c r="Y2680">
        <v>-0.22492880000000001</v>
      </c>
      <c r="Z2680">
        <v>1.8188659999999999E-2</v>
      </c>
      <c r="AA2680">
        <v>0.9742054</v>
      </c>
      <c r="AB2680">
        <v>16</v>
      </c>
      <c r="AC2680">
        <v>26.714700000000001</v>
      </c>
      <c r="AD2680">
        <v>-1.103596839952</v>
      </c>
      <c r="AE2680">
        <v>-3.1402999999999901</v>
      </c>
      <c r="AF2680">
        <v>-6.0885191143319304</v>
      </c>
      <c r="AG2680">
        <v>-1.103596839952</v>
      </c>
      <c r="AH2680">
        <v>26.154099101611799</v>
      </c>
      <c r="AI2680">
        <v>92.353362946646499</v>
      </c>
      <c r="AJ2680">
        <v>103.104716509002</v>
      </c>
      <c r="AK2680">
        <v>26.8761025970595</v>
      </c>
    </row>
    <row r="2681" spans="1:37" x14ac:dyDescent="0.2">
      <c r="A2681" t="str">
        <f>"20200111155856220"</f>
        <v>20200111155856220</v>
      </c>
      <c r="B2681" t="str">
        <f>"1578729536214197"</f>
        <v>1578729536214197</v>
      </c>
      <c r="C2681" t="s">
        <v>37</v>
      </c>
      <c r="D2681">
        <v>5.0904299999999996</v>
      </c>
      <c r="E2681">
        <v>0.48859619999999998</v>
      </c>
      <c r="F2681" t="s">
        <v>50</v>
      </c>
      <c r="G2681">
        <v>-453.6438</v>
      </c>
      <c r="H2681" s="1">
        <v>4.38282299999999E-7</v>
      </c>
      <c r="I2681">
        <v>213.792</v>
      </c>
      <c r="J2681">
        <v>-473.42630000000003</v>
      </c>
      <c r="K2681">
        <v>1.103869</v>
      </c>
      <c r="L2681">
        <v>216.578</v>
      </c>
      <c r="M2681">
        <v>0.94032819999999995</v>
      </c>
      <c r="N2681">
        <v>0</v>
      </c>
      <c r="O2681">
        <v>-0.34002969999999999</v>
      </c>
      <c r="P2681">
        <v>0.98402440000000002</v>
      </c>
      <c r="Q2681">
        <v>-2.5416909999999998E-4</v>
      </c>
      <c r="R2681">
        <v>-0.17803389999999999</v>
      </c>
      <c r="S2681">
        <v>2.9718629999999999</v>
      </c>
      <c r="T2681">
        <v>-0.16460089999999999</v>
      </c>
      <c r="U2681">
        <v>-0.4234619</v>
      </c>
      <c r="V2681">
        <v>-0.16717389999999999</v>
      </c>
      <c r="W2681">
        <v>1.269575E-2</v>
      </c>
      <c r="X2681">
        <v>0.98584570000000005</v>
      </c>
      <c r="Y2681">
        <v>-0.20320750000000001</v>
      </c>
      <c r="Z2681">
        <v>2.392172E-2</v>
      </c>
      <c r="AA2681">
        <v>0.97884349999999998</v>
      </c>
      <c r="AB2681">
        <v>16</v>
      </c>
      <c r="AC2681">
        <v>19.782499999999999</v>
      </c>
      <c r="AD2681">
        <v>-1.1038685617177</v>
      </c>
      <c r="AE2681">
        <v>-2.786</v>
      </c>
      <c r="AF2681">
        <v>-4.09471563264501</v>
      </c>
      <c r="AG2681">
        <v>-1.1038685617177</v>
      </c>
      <c r="AH2681">
        <v>19.491446076932199</v>
      </c>
      <c r="AI2681">
        <v>93.172298281074902</v>
      </c>
      <c r="AJ2681">
        <v>101.86403578124499</v>
      </c>
      <c r="AK2681">
        <v>19.947473325805699</v>
      </c>
    </row>
    <row r="2682" spans="1:37" x14ac:dyDescent="0.2">
      <c r="A2682" t="str">
        <f>"20200111155856241"</f>
        <v>20200111155856241</v>
      </c>
      <c r="B2682" t="str">
        <f>"1578729536234693"</f>
        <v>1578729536234693</v>
      </c>
      <c r="C2682" t="s">
        <v>37</v>
      </c>
      <c r="D2682">
        <v>5.1519589999999997</v>
      </c>
      <c r="E2682">
        <v>0.48858789999999902</v>
      </c>
      <c r="F2682" t="s">
        <v>50</v>
      </c>
      <c r="G2682">
        <v>-453.88319999999999</v>
      </c>
      <c r="H2682" s="1">
        <v>5.6828999999999996E-7</v>
      </c>
      <c r="I2682">
        <v>213.73259999999999</v>
      </c>
      <c r="J2682">
        <v>-473.286</v>
      </c>
      <c r="K2682">
        <v>1.1043620000000001</v>
      </c>
      <c r="L2682">
        <v>216.5256</v>
      </c>
      <c r="M2682">
        <v>0.93992629999999999</v>
      </c>
      <c r="N2682">
        <v>0</v>
      </c>
      <c r="O2682">
        <v>-0.34108070000000001</v>
      </c>
      <c r="P2682">
        <v>0.9830605</v>
      </c>
      <c r="Q2682">
        <v>-2.734233E-3</v>
      </c>
      <c r="R2682">
        <v>-0.18326129999999999</v>
      </c>
      <c r="S2682">
        <v>2.970367</v>
      </c>
      <c r="T2682">
        <v>-0.16777790000000001</v>
      </c>
      <c r="U2682">
        <v>-0.43247989999999997</v>
      </c>
      <c r="V2682">
        <v>-0.16304679999999999</v>
      </c>
      <c r="W2682">
        <v>1.159815E-2</v>
      </c>
      <c r="X2682">
        <v>0.98655020000000004</v>
      </c>
      <c r="Y2682">
        <v>-0.201298799999999</v>
      </c>
      <c r="Z2682">
        <v>2.4389419999999998E-2</v>
      </c>
      <c r="AA2682">
        <v>0.97922619999999905</v>
      </c>
      <c r="AB2682">
        <v>16</v>
      </c>
      <c r="AC2682">
        <v>19.402799999999999</v>
      </c>
      <c r="AD2682">
        <v>-1.1043614317099999</v>
      </c>
      <c r="AE2682">
        <v>-2.7930000000000001</v>
      </c>
      <c r="AF2682">
        <v>-3.9804773438223999</v>
      </c>
      <c r="AG2682">
        <v>-1.1043614317099999</v>
      </c>
      <c r="AH2682">
        <v>19.131064588384501</v>
      </c>
      <c r="AI2682">
        <v>93.234672873346099</v>
      </c>
      <c r="AJ2682">
        <v>101.753474050531</v>
      </c>
      <c r="AK2682">
        <v>19.571955608509601</v>
      </c>
    </row>
    <row r="2683" spans="1:37" x14ac:dyDescent="0.2">
      <c r="A2683" t="str">
        <f>"20200111155856263"</f>
        <v>20200111155856263</v>
      </c>
      <c r="B2683" t="str">
        <f>"1578729536254213"</f>
        <v>1578729536254213</v>
      </c>
      <c r="C2683" t="s">
        <v>37</v>
      </c>
      <c r="D2683">
        <v>5.0154209999999999</v>
      </c>
      <c r="E2683">
        <v>0.48793419999999998</v>
      </c>
      <c r="F2683" t="s">
        <v>50</v>
      </c>
      <c r="G2683">
        <v>-454.82319999999999</v>
      </c>
      <c r="H2683" s="1">
        <v>1.068231E-6</v>
      </c>
      <c r="I2683">
        <v>213.7389</v>
      </c>
      <c r="J2683">
        <v>-473.14819999999997</v>
      </c>
      <c r="K2683">
        <v>1.1048770000000001</v>
      </c>
      <c r="L2683">
        <v>216.47409999999999</v>
      </c>
      <c r="M2683">
        <v>0.93955059999999901</v>
      </c>
      <c r="N2683">
        <v>0</v>
      </c>
      <c r="O2683">
        <v>-0.34203629999999902</v>
      </c>
      <c r="P2683">
        <v>0.98203549999999995</v>
      </c>
      <c r="Q2683">
        <v>-5.3020080000000004E-3</v>
      </c>
      <c r="R2683">
        <v>-0.18862219999999999</v>
      </c>
      <c r="S2683">
        <v>2.9677119999999899</v>
      </c>
      <c r="T2683">
        <v>-0.17751500000000001</v>
      </c>
      <c r="U2683">
        <v>-0.44793699999999997</v>
      </c>
      <c r="V2683">
        <v>-0.15867699999999901</v>
      </c>
      <c r="W2683">
        <v>1.071654E-2</v>
      </c>
      <c r="X2683">
        <v>0.98727240000000005</v>
      </c>
      <c r="Y2683">
        <v>-0.19709460000000001</v>
      </c>
      <c r="Z2683">
        <v>2.5739959999999999E-2</v>
      </c>
      <c r="AA2683">
        <v>0.98004650000000004</v>
      </c>
      <c r="AB2683">
        <v>15</v>
      </c>
      <c r="AC2683">
        <v>18.3249999999999</v>
      </c>
      <c r="AD2683">
        <v>-1.104875931769</v>
      </c>
      <c r="AE2683">
        <v>-2.7351999999999901</v>
      </c>
      <c r="AF2683">
        <v>-3.68532427471688</v>
      </c>
      <c r="AG2683">
        <v>-1.104875931769</v>
      </c>
      <c r="AH2683">
        <v>18.0907929377098</v>
      </c>
      <c r="AI2683">
        <v>93.424770581448797</v>
      </c>
      <c r="AJ2683">
        <v>101.514326097614</v>
      </c>
      <c r="AK2683">
        <v>18.4953819898241</v>
      </c>
    </row>
    <row r="2684" spans="1:37" x14ac:dyDescent="0.2">
      <c r="A2684" t="str">
        <f>"20200111155856287"</f>
        <v>20200111155856287</v>
      </c>
      <c r="B2684" t="str">
        <f>"1578729536284470"</f>
        <v>1578729536284470</v>
      </c>
      <c r="C2684" t="s">
        <v>37</v>
      </c>
      <c r="D2684">
        <v>5.001271</v>
      </c>
      <c r="E2684">
        <v>0.48744999999999999</v>
      </c>
      <c r="F2684" t="s">
        <v>50</v>
      </c>
      <c r="G2684">
        <v>-455.75720000000001</v>
      </c>
      <c r="H2684" s="1">
        <v>1.5633999999999999E-6</v>
      </c>
      <c r="I2684">
        <v>213.78139999999999</v>
      </c>
      <c r="J2684">
        <v>-473.01440000000002</v>
      </c>
      <c r="K2684">
        <v>1.10531</v>
      </c>
      <c r="L2684">
        <v>216.42400000000001</v>
      </c>
      <c r="M2684">
        <v>0.93921619999999995</v>
      </c>
      <c r="N2684">
        <v>0</v>
      </c>
      <c r="O2684">
        <v>-0.34286290000000003</v>
      </c>
      <c r="P2684">
        <v>0.98109749999999996</v>
      </c>
      <c r="Q2684">
        <v>-8.1811139999999997E-3</v>
      </c>
      <c r="R2684">
        <v>-0.1933415</v>
      </c>
      <c r="S2684">
        <v>2.9656370000000001</v>
      </c>
      <c r="T2684">
        <v>-0.18841089999999999</v>
      </c>
      <c r="U2684">
        <v>-0.4591827</v>
      </c>
      <c r="V2684">
        <v>-0.15480639999999901</v>
      </c>
      <c r="W2684">
        <v>9.6179600000000001E-3</v>
      </c>
      <c r="X2684">
        <v>0.98789799999999905</v>
      </c>
      <c r="Y2684">
        <v>-0.1941234</v>
      </c>
      <c r="Z2684">
        <v>2.728034E-2</v>
      </c>
      <c r="AA2684">
        <v>0.98059769999999902</v>
      </c>
      <c r="AB2684">
        <v>15</v>
      </c>
      <c r="AC2684">
        <v>17.257200000000001</v>
      </c>
      <c r="AD2684">
        <v>-1.1053084366000001</v>
      </c>
      <c r="AE2684">
        <v>-2.6426000000000101</v>
      </c>
      <c r="AF2684">
        <v>-3.4217118724302402</v>
      </c>
      <c r="AG2684">
        <v>-1.1053084366000001</v>
      </c>
      <c r="AH2684">
        <v>17.048676598448601</v>
      </c>
      <c r="AI2684">
        <v>93.637107261701203</v>
      </c>
      <c r="AJ2684">
        <v>101.34862897695901</v>
      </c>
      <c r="AK2684">
        <v>17.423753689616898</v>
      </c>
    </row>
    <row r="2685" spans="1:37" x14ac:dyDescent="0.2">
      <c r="A2685" t="str">
        <f>"20200111155856309"</f>
        <v>20200111155856309</v>
      </c>
      <c r="B2685" t="str">
        <f>"1578729536303989"</f>
        <v>1578729536303989</v>
      </c>
      <c r="C2685" t="s">
        <v>37</v>
      </c>
      <c r="D2685">
        <v>5.0086170000000001</v>
      </c>
      <c r="E2685">
        <v>0.48650779999999899</v>
      </c>
      <c r="F2685" t="s">
        <v>50</v>
      </c>
      <c r="G2685">
        <v>-456.59719999999999</v>
      </c>
      <c r="H2685" s="1">
        <v>2.008619E-6</v>
      </c>
      <c r="I2685">
        <v>213.82220000000001</v>
      </c>
      <c r="J2685">
        <v>-472.88049999999998</v>
      </c>
      <c r="K2685">
        <v>1.1056319999999999</v>
      </c>
      <c r="L2685">
        <v>216.37379999999999</v>
      </c>
      <c r="M2685">
        <v>0.93888189999999905</v>
      </c>
      <c r="N2685">
        <v>0</v>
      </c>
      <c r="O2685">
        <v>-0.34368119999999902</v>
      </c>
      <c r="P2685">
        <v>0.98042339999999994</v>
      </c>
      <c r="Q2685">
        <v>-1.0467219999999999E-2</v>
      </c>
      <c r="R2685">
        <v>-0.19662299999999999</v>
      </c>
      <c r="S2685">
        <v>2.963562</v>
      </c>
      <c r="T2685">
        <v>-0.19952490000000001</v>
      </c>
      <c r="U2685">
        <v>-0.46966549999999901</v>
      </c>
      <c r="V2685">
        <v>-0.15236749999999999</v>
      </c>
      <c r="W2685">
        <v>9.0534080000000006E-3</v>
      </c>
      <c r="X2685">
        <v>0.98828240000000001</v>
      </c>
      <c r="Y2685">
        <v>-0.19137960000000001</v>
      </c>
      <c r="Z2685">
        <v>2.8855059999999998E-2</v>
      </c>
      <c r="AA2685">
        <v>0.98109190000000002</v>
      </c>
      <c r="AB2685">
        <v>14</v>
      </c>
      <c r="AC2685">
        <v>16.283299999999901</v>
      </c>
      <c r="AD2685">
        <v>-1.1056299913809999</v>
      </c>
      <c r="AE2685">
        <v>-2.5515999999999699</v>
      </c>
      <c r="AF2685">
        <v>-3.18688717753533</v>
      </c>
      <c r="AG2685">
        <v>-1.1056299913809999</v>
      </c>
      <c r="AH2685">
        <v>16.095708741762401</v>
      </c>
      <c r="AI2685">
        <v>93.854927814310699</v>
      </c>
      <c r="AJ2685">
        <v>101.199489697991</v>
      </c>
      <c r="AK2685">
        <v>16.445379517050601</v>
      </c>
    </row>
    <row r="2686" spans="1:37" x14ac:dyDescent="0.2">
      <c r="A2686" t="str">
        <f>"20200111155856331"</f>
        <v>20200111155856331</v>
      </c>
      <c r="B2686" t="str">
        <f>"1578729536324485"</f>
        <v>1578729536324485</v>
      </c>
      <c r="C2686" t="s">
        <v>37</v>
      </c>
      <c r="D2686">
        <v>5.0644229999999997</v>
      </c>
      <c r="E2686">
        <v>0.485904</v>
      </c>
      <c r="F2686" t="s">
        <v>50</v>
      </c>
      <c r="G2686">
        <v>-457.08</v>
      </c>
      <c r="H2686" s="1">
        <v>2.2640799999999999E-6</v>
      </c>
      <c r="I2686">
        <v>213.85579999999999</v>
      </c>
      <c r="J2686">
        <v>-472.75369999999998</v>
      </c>
      <c r="K2686">
        <v>1.1056330000000001</v>
      </c>
      <c r="L2686">
        <v>216.3261</v>
      </c>
      <c r="M2686">
        <v>0.93853410000000004</v>
      </c>
      <c r="N2686">
        <v>0</v>
      </c>
      <c r="O2686">
        <v>-0.34458459999999902</v>
      </c>
      <c r="P2686">
        <v>0.9800179</v>
      </c>
      <c r="Q2686">
        <v>-1.1181409999999999E-2</v>
      </c>
      <c r="R2686">
        <v>-0.19859560000000001</v>
      </c>
      <c r="S2686">
        <v>2.962952</v>
      </c>
      <c r="T2686">
        <v>-0.20733119999999999</v>
      </c>
      <c r="U2686">
        <v>-0.47218320000000003</v>
      </c>
      <c r="V2686">
        <v>-0.15133389999999999</v>
      </c>
      <c r="W2686">
        <v>9.1049040000000005E-3</v>
      </c>
      <c r="X2686">
        <v>0.98844080000000001</v>
      </c>
      <c r="Y2686">
        <v>-0.19139210000000001</v>
      </c>
      <c r="Z2686">
        <v>3.0044189999999998E-2</v>
      </c>
      <c r="AA2686">
        <v>0.98105370000000003</v>
      </c>
      <c r="AB2686">
        <v>14</v>
      </c>
      <c r="AC2686">
        <v>15.673699999999901</v>
      </c>
      <c r="AD2686">
        <v>-1.1056307359199999</v>
      </c>
      <c r="AE2686">
        <v>-2.4702999999999999</v>
      </c>
      <c r="AF2686">
        <v>-3.0681977809033598</v>
      </c>
      <c r="AG2686">
        <v>-1.1056307359199999</v>
      </c>
      <c r="AH2686">
        <v>15.4895535368567</v>
      </c>
      <c r="AI2686">
        <v>94.005239053383306</v>
      </c>
      <c r="AJ2686">
        <v>101.204212860417</v>
      </c>
      <c r="AK2686">
        <v>15.829166930641099</v>
      </c>
    </row>
    <row r="2687" spans="1:37" x14ac:dyDescent="0.2">
      <c r="A2687" t="str">
        <f>"20200111155856353"</f>
        <v>20200111155856353</v>
      </c>
      <c r="B2687" t="str">
        <f>"1578729536344006"</f>
        <v>1578729536344006</v>
      </c>
      <c r="C2687" t="s">
        <v>37</v>
      </c>
      <c r="D2687">
        <v>5.0437669999999999</v>
      </c>
      <c r="E2687">
        <v>0.48510219999999998</v>
      </c>
      <c r="F2687" t="s">
        <v>50</v>
      </c>
      <c r="G2687">
        <v>-457.14830000000001</v>
      </c>
      <c r="H2687" s="1">
        <v>2.3015139999999999E-6</v>
      </c>
      <c r="I2687">
        <v>213.83099999999999</v>
      </c>
      <c r="J2687">
        <v>-472.62369999999999</v>
      </c>
      <c r="K2687">
        <v>1.1051759999999999</v>
      </c>
      <c r="L2687">
        <v>216.27719999999999</v>
      </c>
      <c r="M2687">
        <v>0.93819419999999898</v>
      </c>
      <c r="N2687">
        <v>0</v>
      </c>
      <c r="O2687">
        <v>-0.34555949999999902</v>
      </c>
      <c r="P2687">
        <v>0.97975509999999999</v>
      </c>
      <c r="Q2687">
        <v>-9.3487109999999991E-3</v>
      </c>
      <c r="R2687">
        <v>-0.19998279999999999</v>
      </c>
      <c r="S2687">
        <v>2.96276899999999</v>
      </c>
      <c r="T2687">
        <v>-0.2099106</v>
      </c>
      <c r="U2687">
        <v>-0.47372439999999999</v>
      </c>
      <c r="V2687">
        <v>-0.15096019999999999</v>
      </c>
      <c r="W2687">
        <v>1.0093339999999999E-2</v>
      </c>
      <c r="X2687">
        <v>0.98848829999999999</v>
      </c>
      <c r="Y2687">
        <v>-0.19186410000000001</v>
      </c>
      <c r="Z2687">
        <v>3.049758E-2</v>
      </c>
      <c r="AA2687">
        <v>0.98094760000000003</v>
      </c>
      <c r="AB2687">
        <v>14</v>
      </c>
      <c r="AC2687">
        <v>15.475399999999899</v>
      </c>
      <c r="AD2687">
        <v>-1.1051736984859999</v>
      </c>
      <c r="AE2687">
        <v>-2.4462000000000002</v>
      </c>
      <c r="AF2687">
        <v>-3.0381244515001602</v>
      </c>
      <c r="AG2687">
        <v>-1.1051736984859999</v>
      </c>
      <c r="AH2687">
        <v>15.291075622904801</v>
      </c>
      <c r="AI2687">
        <v>94.054916785275793</v>
      </c>
      <c r="AJ2687">
        <v>101.23752969107299</v>
      </c>
      <c r="AK2687">
        <v>15.6290947528007</v>
      </c>
    </row>
    <row r="2688" spans="1:37" x14ac:dyDescent="0.2">
      <c r="A2688" t="str">
        <f>"20200111155856377"</f>
        <v>20200111155856377</v>
      </c>
      <c r="B2688" t="str">
        <f>"1578729536374261"</f>
        <v>1578729536374261</v>
      </c>
      <c r="C2688" t="s">
        <v>37</v>
      </c>
      <c r="D2688">
        <v>5.0729790000000001</v>
      </c>
      <c r="E2688">
        <v>0.48411769999999998</v>
      </c>
      <c r="F2688" t="s">
        <v>50</v>
      </c>
      <c r="G2688">
        <v>-456.64909999999998</v>
      </c>
      <c r="H2688" s="1">
        <v>2.0401059999999999E-6</v>
      </c>
      <c r="I2688">
        <v>213.73410000000001</v>
      </c>
      <c r="J2688">
        <v>-472.48070000000001</v>
      </c>
      <c r="K2688">
        <v>1.104603</v>
      </c>
      <c r="L2688">
        <v>216.22309999999999</v>
      </c>
      <c r="M2688">
        <v>0.93787339999999997</v>
      </c>
      <c r="N2688">
        <v>0</v>
      </c>
      <c r="O2688">
        <v>-0.34652050000000001</v>
      </c>
      <c r="P2688">
        <v>0.97960639999999999</v>
      </c>
      <c r="Q2688">
        <v>-5.4262950000000003E-3</v>
      </c>
      <c r="R2688">
        <v>-0.20085320000000001</v>
      </c>
      <c r="S2688">
        <v>2.9637150000000001</v>
      </c>
      <c r="T2688">
        <v>-0.2050392</v>
      </c>
      <c r="U2688">
        <v>-0.47181699999999999</v>
      </c>
      <c r="V2688">
        <v>-0.15109069999999999</v>
      </c>
      <c r="W2688">
        <v>1.232718E-2</v>
      </c>
      <c r="X2688">
        <v>0.98844299999999996</v>
      </c>
      <c r="Y2688">
        <v>-0.19357489999999999</v>
      </c>
      <c r="Z2688">
        <v>2.9904179999999999E-2</v>
      </c>
      <c r="AA2688">
        <v>0.98062959999999999</v>
      </c>
      <c r="AB2688">
        <v>14</v>
      </c>
      <c r="AC2688">
        <v>15.8316</v>
      </c>
      <c r="AD2688">
        <v>-1.1046009598940001</v>
      </c>
      <c r="AE2688">
        <v>-2.4889999999999701</v>
      </c>
      <c r="AF2688">
        <v>-3.1372028543281698</v>
      </c>
      <c r="AG2688">
        <v>-1.1046009598940001</v>
      </c>
      <c r="AH2688">
        <v>15.638722177221901</v>
      </c>
      <c r="AI2688">
        <v>93.961564094694097</v>
      </c>
      <c r="AJ2688">
        <v>101.34324871646901</v>
      </c>
      <c r="AK2688">
        <v>15.988490121526</v>
      </c>
    </row>
    <row r="2689" spans="1:37" x14ac:dyDescent="0.2">
      <c r="A2689" t="str">
        <f>"20200111155856399"</f>
        <v>20200111155856399</v>
      </c>
      <c r="B2689" t="str">
        <f>"1578729536394757"</f>
        <v>1578729536394757</v>
      </c>
      <c r="C2689" t="s">
        <v>37</v>
      </c>
      <c r="D2689">
        <v>5.0802969999999998</v>
      </c>
      <c r="E2689">
        <v>0.48366779999999998</v>
      </c>
      <c r="F2689" t="s">
        <v>50</v>
      </c>
      <c r="G2689">
        <v>-455.54579999999999</v>
      </c>
      <c r="H2689" s="1">
        <v>1.4607499999999999E-6</v>
      </c>
      <c r="I2689">
        <v>213.55670000000001</v>
      </c>
      <c r="J2689">
        <v>-472.34379999999999</v>
      </c>
      <c r="K2689">
        <v>1.1042799999999999</v>
      </c>
      <c r="L2689">
        <v>216.1713</v>
      </c>
      <c r="M2689">
        <v>0.93761149999999904</v>
      </c>
      <c r="N2689">
        <v>0</v>
      </c>
      <c r="O2689">
        <v>-0.34730369999999999</v>
      </c>
      <c r="P2689">
        <v>0.97941579999999995</v>
      </c>
      <c r="Q2689">
        <v>-2.0940300000000002E-3</v>
      </c>
      <c r="R2689">
        <v>-0.20184299999999999</v>
      </c>
      <c r="S2689">
        <v>2.965668</v>
      </c>
      <c r="T2689">
        <v>-0.19344</v>
      </c>
      <c r="U2689">
        <v>-0.46694949999999902</v>
      </c>
      <c r="V2689">
        <v>-0.1509122</v>
      </c>
      <c r="W2689">
        <v>1.412709E-2</v>
      </c>
      <c r="X2689">
        <v>0.98844619999999905</v>
      </c>
      <c r="Y2689">
        <v>-0.19618250000000001</v>
      </c>
      <c r="Z2689">
        <v>2.8334399999999999E-2</v>
      </c>
      <c r="AA2689">
        <v>0.98015799999999997</v>
      </c>
      <c r="AB2689">
        <v>14</v>
      </c>
      <c r="AC2689">
        <v>16.797999999999998</v>
      </c>
      <c r="AD2689">
        <v>-1.1042785392500001</v>
      </c>
      <c r="AE2689">
        <v>-2.61459999999999</v>
      </c>
      <c r="AF2689">
        <v>-3.3687624835155301</v>
      </c>
      <c r="AG2689">
        <v>-1.1042785392500001</v>
      </c>
      <c r="AH2689">
        <v>16.5902641196069</v>
      </c>
      <c r="AI2689">
        <v>93.732152392510201</v>
      </c>
      <c r="AJ2689">
        <v>101.478227094216</v>
      </c>
      <c r="AK2689">
        <v>16.964812268955601</v>
      </c>
    </row>
    <row r="2690" spans="1:37" x14ac:dyDescent="0.2">
      <c r="A2690" t="str">
        <f>"20200111155856422"</f>
        <v>20200111155856422</v>
      </c>
      <c r="B2690" t="str">
        <f>"1578729536414277"</f>
        <v>1578729536414277</v>
      </c>
      <c r="C2690" t="s">
        <v>37</v>
      </c>
      <c r="D2690">
        <v>5.1423069999999997</v>
      </c>
      <c r="E2690">
        <v>0.48343149999999901</v>
      </c>
      <c r="F2690" t="s">
        <v>50</v>
      </c>
      <c r="G2690">
        <v>-454.47309999999999</v>
      </c>
      <c r="H2690" s="1">
        <v>8.9822829999999999E-7</v>
      </c>
      <c r="I2690">
        <v>213.36529999999999</v>
      </c>
      <c r="J2690">
        <v>-472.20549999999997</v>
      </c>
      <c r="K2690">
        <v>1.1041780000000001</v>
      </c>
      <c r="L2690">
        <v>216.1191</v>
      </c>
      <c r="M2690">
        <v>0.93742119999999995</v>
      </c>
      <c r="N2690">
        <v>0</v>
      </c>
      <c r="O2690">
        <v>-0.34787570000000001</v>
      </c>
      <c r="P2690">
        <v>0.97924109999999998</v>
      </c>
      <c r="Q2690">
        <v>7.3778630000000003E-4</v>
      </c>
      <c r="R2690">
        <v>-0.20269760000000001</v>
      </c>
      <c r="S2690">
        <v>2.966675</v>
      </c>
      <c r="T2690">
        <v>-0.18331889999999901</v>
      </c>
      <c r="U2690">
        <v>-0.46582029999999902</v>
      </c>
      <c r="V2690">
        <v>-0.15065010000000001</v>
      </c>
      <c r="W2690">
        <v>1.561513E-2</v>
      </c>
      <c r="X2690">
        <v>0.9884638</v>
      </c>
      <c r="Y2690">
        <v>-0.19729669999999999</v>
      </c>
      <c r="Z2690">
        <v>2.6913590000000001E-2</v>
      </c>
      <c r="AA2690">
        <v>0.97997429999999996</v>
      </c>
      <c r="AB2690">
        <v>15</v>
      </c>
      <c r="AC2690">
        <v>17.732399999999899</v>
      </c>
      <c r="AD2690">
        <v>-1.1041771017716999</v>
      </c>
      <c r="AE2690">
        <v>-2.7538000000000098</v>
      </c>
      <c r="AF2690">
        <v>-3.5740705720919599</v>
      </c>
      <c r="AG2690">
        <v>-1.1041771017716999</v>
      </c>
      <c r="AH2690">
        <v>17.516358301975799</v>
      </c>
      <c r="AI2690">
        <v>93.534344048446798</v>
      </c>
      <c r="AJ2690">
        <v>101.532433712572</v>
      </c>
      <c r="AK2690">
        <v>17.911337071518901</v>
      </c>
    </row>
    <row r="2691" spans="1:37" x14ac:dyDescent="0.2">
      <c r="A2691" t="str">
        <f>"20200111155856443"</f>
        <v>20200111155856443</v>
      </c>
      <c r="B2691" t="str">
        <f>"1578729536434774"</f>
        <v>1578729536434774</v>
      </c>
      <c r="C2691" t="s">
        <v>37</v>
      </c>
      <c r="D2691">
        <v>5.105175</v>
      </c>
      <c r="E2691">
        <v>0.47704269999999999</v>
      </c>
      <c r="F2691" t="s">
        <v>50</v>
      </c>
      <c r="G2691">
        <v>-453.40260000000001</v>
      </c>
      <c r="H2691" s="1">
        <v>3.3737940000000001E-7</v>
      </c>
      <c r="I2691">
        <v>213.16399999999999</v>
      </c>
      <c r="J2691">
        <v>-472.07569999999998</v>
      </c>
      <c r="K2691">
        <v>1.1042069999999999</v>
      </c>
      <c r="L2691">
        <v>216.07040000000001</v>
      </c>
      <c r="M2691">
        <v>0.93733750000000005</v>
      </c>
      <c r="N2691">
        <v>0</v>
      </c>
      <c r="O2691">
        <v>-0.34814809999999902</v>
      </c>
      <c r="P2691">
        <v>0.97906090000000001</v>
      </c>
      <c r="Q2691">
        <v>2.121445E-3</v>
      </c>
      <c r="R2691">
        <v>-0.20355599999999999</v>
      </c>
      <c r="S2691">
        <v>2.9671939999999899</v>
      </c>
      <c r="T2691">
        <v>-0.17424489999999901</v>
      </c>
      <c r="U2691">
        <v>-0.46633909999999901</v>
      </c>
      <c r="V2691">
        <v>-0.15007179999999901</v>
      </c>
      <c r="W2691">
        <v>1.5793450000000001E-2</v>
      </c>
      <c r="X2691">
        <v>0.98854889999999995</v>
      </c>
      <c r="Y2691">
        <v>-0.1975287</v>
      </c>
      <c r="Z2691">
        <v>2.560018E-2</v>
      </c>
      <c r="AA2691">
        <v>0.97996280000000002</v>
      </c>
      <c r="AB2691">
        <v>15</v>
      </c>
      <c r="AC2691">
        <v>18.673099999999899</v>
      </c>
      <c r="AD2691">
        <v>-1.1042066626206</v>
      </c>
      <c r="AE2691">
        <v>-2.9063999999999899</v>
      </c>
      <c r="AF2691">
        <v>-3.7642365339777002</v>
      </c>
      <c r="AG2691">
        <v>-1.1042066626206</v>
      </c>
      <c r="AH2691">
        <v>18.453623888278099</v>
      </c>
      <c r="AI2691">
        <v>93.355382439039701</v>
      </c>
      <c r="AJ2691">
        <v>101.529227979789</v>
      </c>
      <c r="AK2691">
        <v>18.865974230013599</v>
      </c>
    </row>
    <row r="2692" spans="1:37" x14ac:dyDescent="0.2">
      <c r="A2692" t="str">
        <f>"20200111155856466"</f>
        <v>20200111155856466</v>
      </c>
      <c r="B2692" t="str">
        <f>"1578729536454294"</f>
        <v>1578729536454294</v>
      </c>
      <c r="C2692" t="s">
        <v>37</v>
      </c>
      <c r="D2692">
        <v>5.1925109999999997</v>
      </c>
      <c r="E2692">
        <v>0.4768831</v>
      </c>
      <c r="F2692" t="s">
        <v>50</v>
      </c>
      <c r="G2692">
        <v>-453.04939999999999</v>
      </c>
      <c r="H2692" s="1">
        <v>1.3940369999999999E-7</v>
      </c>
      <c r="I2692">
        <v>213.39400000000001</v>
      </c>
      <c r="J2692">
        <v>-471.93699999999899</v>
      </c>
      <c r="K2692">
        <v>1.1042829999999999</v>
      </c>
      <c r="L2692">
        <v>216.0187</v>
      </c>
      <c r="M2692">
        <v>0.93736830000000004</v>
      </c>
      <c r="N2692">
        <v>0</v>
      </c>
      <c r="O2692">
        <v>-0.34811160000000002</v>
      </c>
      <c r="P2692">
        <v>0.97883489999999995</v>
      </c>
      <c r="Q2692">
        <v>1.07722E-3</v>
      </c>
      <c r="R2692">
        <v>-0.2046481</v>
      </c>
      <c r="S2692">
        <v>2.977417</v>
      </c>
      <c r="T2692">
        <v>-0.17279739999999999</v>
      </c>
      <c r="U2692">
        <v>-0.41882320000000001</v>
      </c>
      <c r="V2692">
        <v>-0.14893380000000001</v>
      </c>
      <c r="W2692">
        <v>1.3448130000000001E-2</v>
      </c>
      <c r="X2692">
        <v>0.98875569999999902</v>
      </c>
      <c r="Y2692">
        <v>-0.21326719999999999</v>
      </c>
      <c r="Z2692">
        <v>2.5796969999999999E-2</v>
      </c>
      <c r="AA2692">
        <v>0.97665329999999995</v>
      </c>
      <c r="AB2692">
        <v>15</v>
      </c>
      <c r="AC2692">
        <v>18.8875999999999</v>
      </c>
      <c r="AD2692">
        <v>-1.1042828605963</v>
      </c>
      <c r="AE2692">
        <v>-2.62469999999999</v>
      </c>
      <c r="AF2692">
        <v>-4.1012555765814698</v>
      </c>
      <c r="AG2692">
        <v>-1.1042828605963</v>
      </c>
      <c r="AH2692">
        <v>18.557573087218898</v>
      </c>
      <c r="AI2692">
        <v>93.325360852577802</v>
      </c>
      <c r="AJ2692">
        <v>102.462151706611</v>
      </c>
      <c r="AK2692">
        <v>19.037417283552902</v>
      </c>
    </row>
    <row r="2693" spans="1:37" x14ac:dyDescent="0.2">
      <c r="A2693" t="str">
        <f>"20200111155856487"</f>
        <v>20200111155856487</v>
      </c>
      <c r="B2693" t="str">
        <f>"1578729536474789"</f>
        <v>1578729536474789</v>
      </c>
      <c r="C2693" t="s">
        <v>37</v>
      </c>
      <c r="D2693">
        <v>5.253412</v>
      </c>
      <c r="E2693">
        <v>0.4732807</v>
      </c>
      <c r="F2693" t="s">
        <v>50</v>
      </c>
      <c r="G2693">
        <v>-453.404</v>
      </c>
      <c r="H2693" s="1">
        <v>3.2794379999999998E-7</v>
      </c>
      <c r="I2693">
        <v>213.39699999999999</v>
      </c>
      <c r="J2693">
        <v>-471.80040000000002</v>
      </c>
      <c r="K2693">
        <v>1.1044209999999901</v>
      </c>
      <c r="L2693">
        <v>215.9684</v>
      </c>
      <c r="M2693">
        <v>0.93753729999999902</v>
      </c>
      <c r="N2693">
        <v>0</v>
      </c>
      <c r="O2693">
        <v>-0.34769509999999998</v>
      </c>
      <c r="P2693">
        <v>0.97833959999999998</v>
      </c>
      <c r="Q2693">
        <v>-4.7200919999999997E-4</v>
      </c>
      <c r="R2693">
        <v>-0.20700669999999999</v>
      </c>
      <c r="S2693">
        <v>2.97702</v>
      </c>
      <c r="T2693">
        <v>-0.17738480000000001</v>
      </c>
      <c r="U2693">
        <v>-0.42114259999999898</v>
      </c>
      <c r="V2693">
        <v>-0.14611099999999999</v>
      </c>
      <c r="W2693">
        <v>1.071511E-2</v>
      </c>
      <c r="X2693">
        <v>0.98921019999999904</v>
      </c>
      <c r="Y2693">
        <v>-0.2120186</v>
      </c>
      <c r="Z2693">
        <v>2.6421630000000002E-2</v>
      </c>
      <c r="AA2693">
        <v>0.97690840000000001</v>
      </c>
      <c r="AB2693">
        <v>15</v>
      </c>
      <c r="AC2693">
        <v>18.3964</v>
      </c>
      <c r="AD2693">
        <v>-1.1044206720562</v>
      </c>
      <c r="AE2693">
        <v>-2.5713999999999801</v>
      </c>
      <c r="AF2693">
        <v>-3.9717770782067601</v>
      </c>
      <c r="AG2693">
        <v>-1.1044206720562</v>
      </c>
      <c r="AH2693">
        <v>18.078661530353401</v>
      </c>
      <c r="AI2693">
        <v>93.414606345139404</v>
      </c>
      <c r="AJ2693">
        <v>102.39070526410001</v>
      </c>
      <c r="AK2693">
        <v>18.5427279791543</v>
      </c>
    </row>
    <row r="2694" spans="1:37" x14ac:dyDescent="0.2">
      <c r="A2694" t="str">
        <f>"20200111155856511"</f>
        <v>20200111155856511</v>
      </c>
      <c r="B2694" t="str">
        <f>"1578729536504070"</f>
        <v>1578729536504070</v>
      </c>
      <c r="C2694" t="s">
        <v>37</v>
      </c>
      <c r="D2694">
        <v>5.2241900000000001</v>
      </c>
      <c r="E2694">
        <v>0.47489749999999997</v>
      </c>
      <c r="F2694" t="s">
        <v>50</v>
      </c>
      <c r="G2694">
        <v>-445.66149999999999</v>
      </c>
      <c r="H2694" s="1">
        <v>1.571686E-6</v>
      </c>
      <c r="I2694">
        <v>212.42670000000001</v>
      </c>
      <c r="J2694">
        <v>-471.64089999999999</v>
      </c>
      <c r="K2694">
        <v>1.104617</v>
      </c>
      <c r="L2694">
        <v>215.91040000000001</v>
      </c>
      <c r="M2694">
        <v>0.93787489999999996</v>
      </c>
      <c r="N2694">
        <v>0</v>
      </c>
      <c r="O2694">
        <v>-0.34681679999999998</v>
      </c>
      <c r="P2694">
        <v>0.9776707</v>
      </c>
      <c r="Q2694">
        <v>-1.6602539999999999E-3</v>
      </c>
      <c r="R2694">
        <v>-0.21013689999999999</v>
      </c>
      <c r="S2694">
        <v>2.980896</v>
      </c>
      <c r="T2694">
        <v>-0.1259488</v>
      </c>
      <c r="U2694">
        <v>-0.40390009999999998</v>
      </c>
      <c r="V2694">
        <v>-0.1420148</v>
      </c>
      <c r="W2694">
        <v>8.4058880000000002E-3</v>
      </c>
      <c r="X2694">
        <v>0.98982879999999995</v>
      </c>
      <c r="Y2694">
        <v>-0.21728149999999999</v>
      </c>
      <c r="Z2694">
        <v>1.8831069999999998E-2</v>
      </c>
      <c r="AA2694">
        <v>0.97592730000000005</v>
      </c>
      <c r="AB2694">
        <v>15</v>
      </c>
      <c r="AC2694">
        <v>25.979399999999998</v>
      </c>
      <c r="AD2694">
        <v>-1.1046154283139999</v>
      </c>
      <c r="AE2694">
        <v>-3.48369999999999</v>
      </c>
      <c r="AF2694">
        <v>-5.7329486842334996</v>
      </c>
      <c r="AG2694">
        <v>-1.1046154283139999</v>
      </c>
      <c r="AH2694">
        <v>25.529685160568899</v>
      </c>
      <c r="AI2694">
        <v>92.417394248752402</v>
      </c>
      <c r="AJ2694">
        <v>102.656391376963</v>
      </c>
      <c r="AK2694">
        <v>26.188770499171898</v>
      </c>
    </row>
    <row r="2695" spans="1:37" x14ac:dyDescent="0.2">
      <c r="A2695" t="str">
        <f>"20200111155856533"</f>
        <v>20200111155856533</v>
      </c>
      <c r="B2695" t="str">
        <f>"1578729536524565"</f>
        <v>1578729536524565</v>
      </c>
      <c r="C2695" t="s">
        <v>37</v>
      </c>
      <c r="D2695">
        <v>5.2598940000000001</v>
      </c>
      <c r="E2695">
        <v>0.47424070000000002</v>
      </c>
      <c r="F2695" t="s">
        <v>50</v>
      </c>
      <c r="G2695">
        <v>-450.5949</v>
      </c>
      <c r="H2695" s="1">
        <v>-1.1456919999999899E-6</v>
      </c>
      <c r="I2695">
        <v>212.91210000000001</v>
      </c>
      <c r="J2695">
        <v>-471.50369999999998</v>
      </c>
      <c r="K2695">
        <v>1.1047769999999999</v>
      </c>
      <c r="L2695">
        <v>215.86109999999999</v>
      </c>
      <c r="M2695">
        <v>0.93828339999999999</v>
      </c>
      <c r="N2695">
        <v>0</v>
      </c>
      <c r="O2695">
        <v>-0.34573140000000002</v>
      </c>
      <c r="P2695">
        <v>0.97702829999999996</v>
      </c>
      <c r="Q2695">
        <v>-2.2385310000000002E-3</v>
      </c>
      <c r="R2695">
        <v>-0.21309789999999901</v>
      </c>
      <c r="S2695">
        <v>2.97702</v>
      </c>
      <c r="T2695">
        <v>-0.15625220000000001</v>
      </c>
      <c r="U2695">
        <v>-0.42411799999999999</v>
      </c>
      <c r="V2695">
        <v>-0.13786679999999901</v>
      </c>
      <c r="W2695">
        <v>7.0488510000000001E-3</v>
      </c>
      <c r="X2695">
        <v>0.99042569999999996</v>
      </c>
      <c r="Y2695">
        <v>-0.2092251</v>
      </c>
      <c r="Z2695">
        <v>2.310678E-2</v>
      </c>
      <c r="AA2695">
        <v>0.97759449999999903</v>
      </c>
      <c r="AB2695">
        <v>15</v>
      </c>
      <c r="AC2695">
        <v>20.9087999999999</v>
      </c>
      <c r="AD2695">
        <v>-1.1047781456919901</v>
      </c>
      <c r="AE2695">
        <v>-2.9489999999999799</v>
      </c>
      <c r="AF2695">
        <v>-4.4498597805387003</v>
      </c>
      <c r="AG2695">
        <v>-1.1047781456919901</v>
      </c>
      <c r="AH2695">
        <v>20.582569899558301</v>
      </c>
      <c r="AI2695">
        <v>93.0031748283469</v>
      </c>
      <c r="AJ2695">
        <v>102.19933688232101</v>
      </c>
      <c r="AK2695">
        <v>21.087056942301398</v>
      </c>
    </row>
    <row r="2696" spans="1:37" x14ac:dyDescent="0.2">
      <c r="A2696" t="str">
        <f>"20200111155856554"</f>
        <v>20200111155856554</v>
      </c>
      <c r="B2696" t="str">
        <f>"1578729536544085"</f>
        <v>1578729536544085</v>
      </c>
      <c r="C2696" t="s">
        <v>37</v>
      </c>
      <c r="D2696">
        <v>5.1938079999999998</v>
      </c>
      <c r="E2696">
        <v>0.45070320000000003</v>
      </c>
      <c r="F2696" t="s">
        <v>50</v>
      </c>
      <c r="G2696">
        <v>-451.1112</v>
      </c>
      <c r="H2696" s="1">
        <v>-8.7165379999999997E-7</v>
      </c>
      <c r="I2696">
        <v>212.9281</v>
      </c>
      <c r="J2696">
        <v>-471.36250000000001</v>
      </c>
      <c r="K2696">
        <v>1.104924</v>
      </c>
      <c r="L2696">
        <v>215.81099999999901</v>
      </c>
      <c r="M2696">
        <v>0.93882940000000004</v>
      </c>
      <c r="N2696">
        <v>0</v>
      </c>
      <c r="O2696">
        <v>-0.34426390000000001</v>
      </c>
      <c r="P2696">
        <v>0.97671409999999903</v>
      </c>
      <c r="Q2696">
        <v>-3.2013859999999901E-3</v>
      </c>
      <c r="R2696">
        <v>-0.21452170000000001</v>
      </c>
      <c r="S2696">
        <v>2.97683699999999</v>
      </c>
      <c r="T2696">
        <v>-0.16127259999999999</v>
      </c>
      <c r="U2696">
        <v>-0.42816159999999998</v>
      </c>
      <c r="V2696">
        <v>-0.13486909999999999</v>
      </c>
      <c r="W2696">
        <v>5.3899669999999998E-3</v>
      </c>
      <c r="X2696">
        <v>0.99084879999999997</v>
      </c>
      <c r="Y2696">
        <v>-0.20634240000000001</v>
      </c>
      <c r="Z2696">
        <v>2.3694360000000001E-2</v>
      </c>
      <c r="AA2696">
        <v>0.97819290000000003</v>
      </c>
      <c r="AB2696">
        <v>15</v>
      </c>
      <c r="AC2696">
        <v>20.251300000000001</v>
      </c>
      <c r="AD2696">
        <v>-1.1049248716538</v>
      </c>
      <c r="AE2696">
        <v>-2.88289999999997</v>
      </c>
      <c r="AF2696">
        <v>-4.2530053764217399</v>
      </c>
      <c r="AG2696">
        <v>-1.1049248716538</v>
      </c>
      <c r="AH2696">
        <v>19.9476097928558</v>
      </c>
      <c r="AI2696">
        <v>93.100893935329395</v>
      </c>
      <c r="AJ2696">
        <v>102.03574876484601</v>
      </c>
      <c r="AK2696">
        <v>20.425867182372201</v>
      </c>
    </row>
    <row r="2697" spans="1:37" x14ac:dyDescent="0.2">
      <c r="A2697" t="str">
        <f>"20200111155856580"</f>
        <v>20200111155856580</v>
      </c>
      <c r="B2697" t="str">
        <f>"1578729536574341"</f>
        <v>1578729536574341</v>
      </c>
      <c r="C2697" t="s">
        <v>37</v>
      </c>
      <c r="D2697">
        <v>5.2446070000000002</v>
      </c>
      <c r="E2697">
        <v>0.44756220000000002</v>
      </c>
      <c r="F2697" t="s">
        <v>50</v>
      </c>
      <c r="G2697">
        <v>-455.66050000000001</v>
      </c>
      <c r="H2697" s="1">
        <v>1.479326E-6</v>
      </c>
      <c r="I2697">
        <v>214.52780000000001</v>
      </c>
      <c r="J2697">
        <v>-471.19850000000002</v>
      </c>
      <c r="K2697">
        <v>1.105084</v>
      </c>
      <c r="L2697">
        <v>215.7535</v>
      </c>
      <c r="M2697">
        <v>0.93961879999999998</v>
      </c>
      <c r="N2697">
        <v>0</v>
      </c>
      <c r="O2697">
        <v>-0.34212159999999903</v>
      </c>
      <c r="P2697">
        <v>0.97684400000000005</v>
      </c>
      <c r="Q2697">
        <v>-3.3119130000000001E-3</v>
      </c>
      <c r="R2697">
        <v>-0.2139279</v>
      </c>
      <c r="S2697">
        <v>3.016632</v>
      </c>
      <c r="T2697">
        <v>-0.21227470000000001</v>
      </c>
      <c r="U2697">
        <v>-0.24653629999999899</v>
      </c>
      <c r="V2697">
        <v>-0.13320870000000001</v>
      </c>
      <c r="W2697">
        <v>4.5388219999999996E-3</v>
      </c>
      <c r="X2697">
        <v>0.9910776</v>
      </c>
      <c r="Y2697">
        <v>-0.26300809999999902</v>
      </c>
      <c r="Z2697">
        <v>3.2775770000000003E-2</v>
      </c>
      <c r="AA2697">
        <v>0.96423669999999995</v>
      </c>
      <c r="AB2697">
        <v>16</v>
      </c>
      <c r="AC2697">
        <v>15.538</v>
      </c>
      <c r="AD2697">
        <v>-1.105082520674</v>
      </c>
      <c r="AE2697">
        <v>-1.22569999999998</v>
      </c>
      <c r="AF2697">
        <v>-4.1435097582552602</v>
      </c>
      <c r="AG2697">
        <v>-1.105082520674</v>
      </c>
      <c r="AH2697">
        <v>14.9445304648646</v>
      </c>
      <c r="AI2697">
        <v>94.075861641420303</v>
      </c>
      <c r="AJ2697">
        <v>105.49652764335799</v>
      </c>
      <c r="AK2697">
        <v>15.5476323377395</v>
      </c>
    </row>
    <row r="2698" spans="1:37" x14ac:dyDescent="0.2">
      <c r="A2698" t="str">
        <f>"20200111155856600"</f>
        <v>20200111155856600</v>
      </c>
      <c r="B2698" t="str">
        <f>"1578729536594837"</f>
        <v>1578729536594837</v>
      </c>
      <c r="C2698" t="s">
        <v>37</v>
      </c>
      <c r="D2698">
        <v>5.2444129999999998</v>
      </c>
      <c r="E2698">
        <v>0.446772</v>
      </c>
      <c r="F2698" t="s">
        <v>50</v>
      </c>
      <c r="G2698">
        <v>-455.71589999999998</v>
      </c>
      <c r="H2698" s="1">
        <v>1.5047430000000001E-6</v>
      </c>
      <c r="I2698">
        <v>214.6198</v>
      </c>
      <c r="J2698">
        <v>-471.06199999999899</v>
      </c>
      <c r="K2698">
        <v>1.105221</v>
      </c>
      <c r="L2698">
        <v>215.7064</v>
      </c>
      <c r="M2698">
        <v>0.94038729999999904</v>
      </c>
      <c r="N2698">
        <v>0</v>
      </c>
      <c r="O2698">
        <v>-0.34001529999999902</v>
      </c>
      <c r="P2698">
        <v>0.97708119999999998</v>
      </c>
      <c r="Q2698">
        <v>-4.5680440000000003E-3</v>
      </c>
      <c r="R2698">
        <v>-0.21281739999999999</v>
      </c>
      <c r="S2698">
        <v>3.0219119999999999</v>
      </c>
      <c r="T2698">
        <v>-0.21569059999999901</v>
      </c>
      <c r="U2698">
        <v>-0.22128299999999901</v>
      </c>
      <c r="V2698">
        <v>-0.132106</v>
      </c>
      <c r="W2698">
        <v>2.7292379999999902E-3</v>
      </c>
      <c r="X2698">
        <v>0.99123189999999906</v>
      </c>
      <c r="Y2698">
        <v>-0.26893359999999999</v>
      </c>
      <c r="Z2698">
        <v>3.3332390000000003E-2</v>
      </c>
      <c r="AA2698">
        <v>0.96258180000000004</v>
      </c>
      <c r="AB2698">
        <v>16</v>
      </c>
      <c r="AC2698">
        <v>15.3460999999999</v>
      </c>
      <c r="AD2698">
        <v>-1.105219495257</v>
      </c>
      <c r="AE2698">
        <v>-1.0866</v>
      </c>
      <c r="AF2698">
        <v>-4.1746673934419496</v>
      </c>
      <c r="AG2698">
        <v>-1.105219495257</v>
      </c>
      <c r="AH2698">
        <v>14.725196086529699</v>
      </c>
      <c r="AI2698">
        <v>94.130186309176096</v>
      </c>
      <c r="AJ2698">
        <v>105.828300833222</v>
      </c>
      <c r="AK2698">
        <v>15.3453822945313</v>
      </c>
    </row>
    <row r="2699" spans="1:37" x14ac:dyDescent="0.2">
      <c r="A2699" t="str">
        <f>"20200111155856624"</f>
        <v>20200111155856624</v>
      </c>
      <c r="B2699" t="str">
        <f>"1578729536615334"</f>
        <v>1578729536615334</v>
      </c>
      <c r="C2699" t="s">
        <v>37</v>
      </c>
      <c r="D2699">
        <v>5.2084000000000001</v>
      </c>
      <c r="E2699">
        <v>0.44634430000000003</v>
      </c>
      <c r="F2699" t="s">
        <v>50</v>
      </c>
      <c r="G2699">
        <v>-456.233</v>
      </c>
      <c r="H2699" s="1">
        <v>1.7779749999999999E-6</v>
      </c>
      <c r="I2699">
        <v>214.6651</v>
      </c>
      <c r="J2699">
        <v>-470.9033</v>
      </c>
      <c r="K2699">
        <v>1.1053850000000001</v>
      </c>
      <c r="L2699">
        <v>215.6524</v>
      </c>
      <c r="M2699">
        <v>0.94138230000000001</v>
      </c>
      <c r="N2699">
        <v>0</v>
      </c>
      <c r="O2699">
        <v>-0.33726230000000001</v>
      </c>
      <c r="P2699">
        <v>0.97770270000000004</v>
      </c>
      <c r="Q2699">
        <v>-6.56436E-3</v>
      </c>
      <c r="R2699">
        <v>-0.20989169999999999</v>
      </c>
      <c r="S2699">
        <v>3.0230410000000001</v>
      </c>
      <c r="T2699">
        <v>-0.22531089999999901</v>
      </c>
      <c r="U2699">
        <v>-0.21228029999999901</v>
      </c>
      <c r="V2699">
        <v>-0.13215940000000001</v>
      </c>
      <c r="W2699">
        <v>1.6814869999999901E-4</v>
      </c>
      <c r="X2699">
        <v>0.99122849999999996</v>
      </c>
      <c r="Y2699">
        <v>-0.26886379999999999</v>
      </c>
      <c r="Z2699">
        <v>3.4612570000000002E-2</v>
      </c>
      <c r="AA2699">
        <v>0.96255609999999903</v>
      </c>
      <c r="AB2699">
        <v>16</v>
      </c>
      <c r="AC2699">
        <v>14.6702999999999</v>
      </c>
      <c r="AD2699">
        <v>-1.1053832220249999</v>
      </c>
      <c r="AE2699">
        <v>-0.98730000000000395</v>
      </c>
      <c r="AF2699">
        <v>-3.995836297151</v>
      </c>
      <c r="AG2699">
        <v>-1.1053832220249999</v>
      </c>
      <c r="AH2699">
        <v>14.064230293943901</v>
      </c>
      <c r="AI2699">
        <v>94.323519689277703</v>
      </c>
      <c r="AJ2699">
        <v>105.86055869557801</v>
      </c>
      <c r="AK2699">
        <v>14.662576633806699</v>
      </c>
    </row>
    <row r="2700" spans="1:37" x14ac:dyDescent="0.2">
      <c r="A2700" t="str">
        <f>"20200111155856644"</f>
        <v>20200111155856644</v>
      </c>
      <c r="B2700" t="str">
        <f>"1578729536634854"</f>
        <v>1578729536634854</v>
      </c>
      <c r="C2700" t="s">
        <v>37</v>
      </c>
      <c r="D2700">
        <v>5.2352030000000003</v>
      </c>
      <c r="E2700">
        <v>0.4458684</v>
      </c>
      <c r="F2700" t="s">
        <v>50</v>
      </c>
      <c r="G2700">
        <v>-456.6465</v>
      </c>
      <c r="H2700" s="1">
        <v>1.9961019999999999E-6</v>
      </c>
      <c r="I2700">
        <v>214.70910000000001</v>
      </c>
      <c r="J2700">
        <v>-470.76350000000002</v>
      </c>
      <c r="K2700">
        <v>1.105545</v>
      </c>
      <c r="L2700">
        <v>215.60570000000001</v>
      </c>
      <c r="M2700">
        <v>0.94234509999999905</v>
      </c>
      <c r="N2700">
        <v>0</v>
      </c>
      <c r="O2700">
        <v>-0.33457049999999999</v>
      </c>
      <c r="P2700">
        <v>0.97854430000000003</v>
      </c>
      <c r="Q2700">
        <v>-7.8393909999999994E-3</v>
      </c>
      <c r="R2700">
        <v>-0.20588789999999901</v>
      </c>
      <c r="S2700">
        <v>3.0238649999999998</v>
      </c>
      <c r="T2700">
        <v>-0.23445149999999901</v>
      </c>
      <c r="U2700">
        <v>-0.2000885</v>
      </c>
      <c r="V2700">
        <v>-0.13337289999999999</v>
      </c>
      <c r="W2700">
        <v>-1.524648E-3</v>
      </c>
      <c r="X2700">
        <v>0.99106469999999902</v>
      </c>
      <c r="Y2700">
        <v>-0.26986169999999998</v>
      </c>
      <c r="Z2700">
        <v>3.5853389999999999E-2</v>
      </c>
      <c r="AA2700">
        <v>0.96223130000000001</v>
      </c>
      <c r="AB2700">
        <v>16</v>
      </c>
      <c r="AC2700">
        <v>14.117000000000001</v>
      </c>
      <c r="AD2700">
        <v>-1.1055430038980001</v>
      </c>
      <c r="AE2700">
        <v>-0.89660000000000595</v>
      </c>
      <c r="AF2700">
        <v>-3.8547727932843499</v>
      </c>
      <c r="AG2700">
        <v>-1.1055430038980001</v>
      </c>
      <c r="AH2700">
        <v>13.5208014784686</v>
      </c>
      <c r="AI2700">
        <v>94.496076629096606</v>
      </c>
      <c r="AJ2700">
        <v>105.912820736028</v>
      </c>
      <c r="AK2700">
        <v>14.1029632078323</v>
      </c>
    </row>
    <row r="2701" spans="1:37" x14ac:dyDescent="0.2">
      <c r="A2701" t="str">
        <f>"20200111155856667"</f>
        <v>20200111155856667</v>
      </c>
      <c r="B2701" t="str">
        <f>"1578729536664133"</f>
        <v>1578729536664133</v>
      </c>
      <c r="C2701" t="s">
        <v>37</v>
      </c>
      <c r="D2701">
        <v>5.2196309999999997</v>
      </c>
      <c r="E2701">
        <v>0.44518180000000002</v>
      </c>
      <c r="F2701" t="s">
        <v>50</v>
      </c>
      <c r="G2701">
        <v>-456.87090000000001</v>
      </c>
      <c r="H2701" s="1">
        <v>2.1133300000000001E-6</v>
      </c>
      <c r="I2701">
        <v>214.75899999999999</v>
      </c>
      <c r="J2701">
        <v>-470.61009999999999</v>
      </c>
      <c r="K2701">
        <v>1.105726</v>
      </c>
      <c r="L2701">
        <v>215.55539999999999</v>
      </c>
      <c r="M2701">
        <v>0.94348690000000002</v>
      </c>
      <c r="N2701">
        <v>0</v>
      </c>
      <c r="O2701">
        <v>-0.33134330000000001</v>
      </c>
      <c r="P2701">
        <v>0.97985879999999903</v>
      </c>
      <c r="Q2701">
        <v>-7.4203109999999997E-3</v>
      </c>
      <c r="R2701">
        <v>-0.1995536</v>
      </c>
      <c r="S2701">
        <v>3.0250240000000002</v>
      </c>
      <c r="T2701">
        <v>-0.24072470000000001</v>
      </c>
      <c r="U2701">
        <v>-0.18437190000000001</v>
      </c>
      <c r="V2701">
        <v>-0.1363907</v>
      </c>
      <c r="W2701">
        <v>-1.488346E-3</v>
      </c>
      <c r="X2701">
        <v>0.99065400000000003</v>
      </c>
      <c r="Y2701">
        <v>-0.27147880000000002</v>
      </c>
      <c r="Z2701">
        <v>3.6628399999999998E-2</v>
      </c>
      <c r="AA2701">
        <v>0.96174720000000002</v>
      </c>
      <c r="AB2701">
        <v>16</v>
      </c>
      <c r="AC2701">
        <v>13.739199999999901</v>
      </c>
      <c r="AD2701">
        <v>-1.1057238866700001</v>
      </c>
      <c r="AE2701">
        <v>-0.79639999999997702</v>
      </c>
      <c r="AF2701">
        <v>-3.7767030917975002</v>
      </c>
      <c r="AG2701">
        <v>-1.1057238866700001</v>
      </c>
      <c r="AH2701">
        <v>13.1420929711804</v>
      </c>
      <c r="AI2701">
        <v>94.623065357091207</v>
      </c>
      <c r="AJ2701">
        <v>106.03330423788201</v>
      </c>
      <c r="AK2701">
        <v>13.718626725015</v>
      </c>
    </row>
    <row r="2702" spans="1:37" x14ac:dyDescent="0.2">
      <c r="A2702" t="str">
        <f>"20200111155856688"</f>
        <v>20200111155856688</v>
      </c>
      <c r="B2702" t="str">
        <f>"1578729536684630"</f>
        <v>1578729536684630</v>
      </c>
      <c r="C2702" t="s">
        <v>37</v>
      </c>
      <c r="D2702">
        <v>5.2462689999999998</v>
      </c>
      <c r="E2702">
        <v>0.44491000000000003</v>
      </c>
      <c r="F2702" t="s">
        <v>50</v>
      </c>
      <c r="G2702">
        <v>-456.3399</v>
      </c>
      <c r="H2702" s="1">
        <v>1.8288050000000001E-6</v>
      </c>
      <c r="I2702">
        <v>214.80330000000001</v>
      </c>
      <c r="J2702">
        <v>-470.46269999999998</v>
      </c>
      <c r="K2702">
        <v>1.1058859999999999</v>
      </c>
      <c r="L2702">
        <v>215.50790000000001</v>
      </c>
      <c r="M2702">
        <v>0.94465669999999902</v>
      </c>
      <c r="N2702">
        <v>0</v>
      </c>
      <c r="O2702">
        <v>-0.32799869999999998</v>
      </c>
      <c r="P2702">
        <v>0.9810603</v>
      </c>
      <c r="Q2702">
        <v>-6.0305609999999898E-3</v>
      </c>
      <c r="R2702">
        <v>-0.19361020000000001</v>
      </c>
      <c r="S2702">
        <v>3.0274349999999899</v>
      </c>
      <c r="T2702">
        <v>-0.23457990000000001</v>
      </c>
      <c r="U2702">
        <v>-0.15954589999999999</v>
      </c>
      <c r="V2702">
        <v>-0.13889399999999999</v>
      </c>
      <c r="W2702">
        <v>-3.9100510000000002E-4</v>
      </c>
      <c r="X2702">
        <v>0.99030720000000005</v>
      </c>
      <c r="Y2702">
        <v>-0.27606550000000002</v>
      </c>
      <c r="Z2702">
        <v>3.5616259999999997E-2</v>
      </c>
      <c r="AA2702">
        <v>0.96047870000000002</v>
      </c>
      <c r="AB2702">
        <v>16</v>
      </c>
      <c r="AC2702">
        <v>14.1227999999999</v>
      </c>
      <c r="AD2702">
        <v>-1.105884171195</v>
      </c>
      <c r="AE2702">
        <v>-0.704599999999999</v>
      </c>
      <c r="AF2702">
        <v>-3.9426206366433898</v>
      </c>
      <c r="AG2702">
        <v>-1.105884171195</v>
      </c>
      <c r="AH2702">
        <v>13.490069796143599</v>
      </c>
      <c r="AI2702">
        <v>94.499103275948102</v>
      </c>
      <c r="AJ2702">
        <v>106.29158019360599</v>
      </c>
      <c r="AK2702">
        <v>14.0978445299064</v>
      </c>
    </row>
    <row r="2703" spans="1:37" x14ac:dyDescent="0.2">
      <c r="A2703" t="str">
        <f>"20200111155856711"</f>
        <v>20200111155856711</v>
      </c>
      <c r="B2703" t="str">
        <f>"1578729536704149"</f>
        <v>1578729536704149</v>
      </c>
      <c r="C2703" t="s">
        <v>37</v>
      </c>
      <c r="D2703">
        <v>5.2381869999999999</v>
      </c>
      <c r="E2703">
        <v>0.44487259999999901</v>
      </c>
      <c r="F2703" t="s">
        <v>50</v>
      </c>
      <c r="G2703">
        <v>-455.87079999999997</v>
      </c>
      <c r="H2703" s="1">
        <v>1.577656E-6</v>
      </c>
      <c r="I2703">
        <v>214.83770000000001</v>
      </c>
      <c r="J2703">
        <v>-470.30399999999997</v>
      </c>
      <c r="K2703">
        <v>1.1060159999999899</v>
      </c>
      <c r="L2703">
        <v>215.45769999999999</v>
      </c>
      <c r="M2703">
        <v>0.94597289999999901</v>
      </c>
      <c r="N2703">
        <v>0</v>
      </c>
      <c r="O2703">
        <v>-0.32418619999999998</v>
      </c>
      <c r="P2703">
        <v>0.9822208</v>
      </c>
      <c r="Q2703">
        <v>-3.775058E-3</v>
      </c>
      <c r="R2703">
        <v>-0.1876922</v>
      </c>
      <c r="S2703">
        <v>3.02905299999999</v>
      </c>
      <c r="T2703">
        <v>-0.22956370000000001</v>
      </c>
      <c r="U2703">
        <v>-0.1391144</v>
      </c>
      <c r="V2703">
        <v>-0.14088439999999999</v>
      </c>
      <c r="W2703">
        <v>1.622025E-3</v>
      </c>
      <c r="X2703">
        <v>0.99002469999999998</v>
      </c>
      <c r="Y2703">
        <v>-0.27875739999999999</v>
      </c>
      <c r="Z2703">
        <v>3.4678E-2</v>
      </c>
      <c r="AA2703">
        <v>0.95973529999999996</v>
      </c>
      <c r="AB2703">
        <v>16</v>
      </c>
      <c r="AC2703">
        <v>14.433199999999999</v>
      </c>
      <c r="AD2703">
        <v>-1.1060144223439901</v>
      </c>
      <c r="AE2703">
        <v>-0.61999999999997601</v>
      </c>
      <c r="AF2703">
        <v>-4.0687716259646196</v>
      </c>
      <c r="AG2703">
        <v>-1.1060144223439901</v>
      </c>
      <c r="AH2703">
        <v>13.7739452197847</v>
      </c>
      <c r="AI2703">
        <v>94.403543455943904</v>
      </c>
      <c r="AJ2703">
        <v>106.456942304251</v>
      </c>
      <c r="AK2703">
        <v>14.404851174667501</v>
      </c>
    </row>
    <row r="2704" spans="1:37" x14ac:dyDescent="0.2">
      <c r="A2704" t="str">
        <f>"20200111155856733"</f>
        <v>20200111155856733</v>
      </c>
      <c r="B2704" t="str">
        <f>"1578729536724646"</f>
        <v>1578729536724646</v>
      </c>
      <c r="C2704" t="s">
        <v>37</v>
      </c>
      <c r="D2704">
        <v>5.261285</v>
      </c>
      <c r="E2704">
        <v>0.44564989999999999</v>
      </c>
      <c r="F2704" t="s">
        <v>50</v>
      </c>
      <c r="G2704">
        <v>-455.05220000000003</v>
      </c>
      <c r="H2704" s="1">
        <v>1.1414129999999999E-6</v>
      </c>
      <c r="I2704">
        <v>214.8528</v>
      </c>
      <c r="J2704">
        <v>-470.14699999999999</v>
      </c>
      <c r="K2704">
        <v>1.1061080000000001</v>
      </c>
      <c r="L2704">
        <v>215.40899999999999</v>
      </c>
      <c r="M2704">
        <v>0.9473222</v>
      </c>
      <c r="N2704">
        <v>0</v>
      </c>
      <c r="O2704">
        <v>-0.32022459999999903</v>
      </c>
      <c r="P2704">
        <v>0.98316909999999902</v>
      </c>
      <c r="Q2704">
        <v>-2.100635E-3</v>
      </c>
      <c r="R2704">
        <v>-0.18268609999999999</v>
      </c>
      <c r="S2704">
        <v>3.0304869999999999</v>
      </c>
      <c r="T2704">
        <v>-0.21976180000000001</v>
      </c>
      <c r="U2704">
        <v>-0.1202087</v>
      </c>
      <c r="V2704">
        <v>-0.14179449999999999</v>
      </c>
      <c r="W2704">
        <v>3.114997E-3</v>
      </c>
      <c r="X2704">
        <v>0.98989119999999997</v>
      </c>
      <c r="Y2704">
        <v>-0.28088249999999998</v>
      </c>
      <c r="Z2704">
        <v>3.2999210000000001E-2</v>
      </c>
      <c r="AA2704">
        <v>0.95917469999999905</v>
      </c>
      <c r="AB2704">
        <v>16</v>
      </c>
      <c r="AC2704">
        <v>15.0947999999999</v>
      </c>
      <c r="AD2704">
        <v>-1.106106858587</v>
      </c>
      <c r="AE2704">
        <v>-0.55620000000001801</v>
      </c>
      <c r="AF2704">
        <v>-4.2839333627819398</v>
      </c>
      <c r="AG2704">
        <v>-1.106106858587</v>
      </c>
      <c r="AH2704">
        <v>14.400793648694</v>
      </c>
      <c r="AI2704">
        <v>94.210537508108303</v>
      </c>
      <c r="AJ2704">
        <v>106.566635048156</v>
      </c>
      <c r="AK2704">
        <v>15.0651390684466</v>
      </c>
    </row>
    <row r="2705" spans="1:37" x14ac:dyDescent="0.2">
      <c r="A2705" t="str">
        <f>"20200111155856756"</f>
        <v>20200111155856756</v>
      </c>
      <c r="B2705" t="str">
        <f>"1578729536744170"</f>
        <v>1578729536744170</v>
      </c>
      <c r="C2705" t="s">
        <v>37</v>
      </c>
      <c r="D2705">
        <v>5.326613</v>
      </c>
      <c r="E2705">
        <v>0.44806299999999999</v>
      </c>
      <c r="F2705" t="s">
        <v>52</v>
      </c>
      <c r="G2705">
        <v>-418.4427</v>
      </c>
      <c r="H2705" s="1">
        <v>3.81045399999999E-6</v>
      </c>
      <c r="I2705">
        <v>213.39109999999999</v>
      </c>
      <c r="J2705">
        <v>-469.9855</v>
      </c>
      <c r="K2705">
        <v>1.106177</v>
      </c>
      <c r="L2705">
        <v>215.35990000000001</v>
      </c>
      <c r="M2705">
        <v>0.94875189999999998</v>
      </c>
      <c r="N2705">
        <v>0</v>
      </c>
      <c r="O2705">
        <v>-0.31596629999999998</v>
      </c>
      <c r="P2705">
        <v>0.98393079999999999</v>
      </c>
      <c r="Q2705">
        <v>-1.60086E-3</v>
      </c>
      <c r="R2705">
        <v>-0.1785446</v>
      </c>
      <c r="S2705">
        <v>3.0292659999999998</v>
      </c>
      <c r="T2705">
        <v>-6.4804790000000001E-2</v>
      </c>
      <c r="U2705">
        <v>-0.1182251</v>
      </c>
      <c r="V2705">
        <v>-0.1415196</v>
      </c>
      <c r="W2705">
        <v>3.4769150000000001E-3</v>
      </c>
      <c r="X2705">
        <v>0.98992930000000001</v>
      </c>
      <c r="Y2705">
        <v>-0.27859800000000001</v>
      </c>
      <c r="Z2705">
        <v>9.6355580000000007E-3</v>
      </c>
      <c r="AA2705">
        <v>0.96035949999999903</v>
      </c>
      <c r="AB2705">
        <v>17</v>
      </c>
      <c r="AC2705">
        <v>51.5428</v>
      </c>
      <c r="AD2705">
        <v>-1.1061731895460001</v>
      </c>
      <c r="AE2705">
        <v>-1.9688000000000101</v>
      </c>
      <c r="AF2705">
        <v>-14.411510258468599</v>
      </c>
      <c r="AG2705">
        <v>-1.1061731895460001</v>
      </c>
      <c r="AH2705">
        <v>49.501507313870299</v>
      </c>
      <c r="AI2705">
        <v>91.229119822132901</v>
      </c>
      <c r="AJ2705">
        <v>106.232008165585</v>
      </c>
      <c r="AK2705">
        <v>51.568541509338502</v>
      </c>
    </row>
    <row r="2706" spans="1:37" x14ac:dyDescent="0.2">
      <c r="A2706" t="str">
        <f>"20200111155856777"</f>
        <v>20200111155856777</v>
      </c>
      <c r="B2706" t="str">
        <f>"1578729536774426"</f>
        <v>1578729536774426</v>
      </c>
      <c r="C2706" t="s">
        <v>37</v>
      </c>
      <c r="D2706">
        <v>5.3133059999999999</v>
      </c>
      <c r="E2706">
        <v>0.44884429999999997</v>
      </c>
      <c r="F2706" t="s">
        <v>50</v>
      </c>
      <c r="G2706">
        <v>-453.67</v>
      </c>
      <c r="H2706" s="1">
        <v>4.1117499999999997E-7</v>
      </c>
      <c r="I2706">
        <v>214.73060000000001</v>
      </c>
      <c r="J2706">
        <v>-469.8306</v>
      </c>
      <c r="K2706">
        <v>1.106236</v>
      </c>
      <c r="L2706">
        <v>215.31370000000001</v>
      </c>
      <c r="M2706">
        <v>0.95015899999999998</v>
      </c>
      <c r="N2706">
        <v>0</v>
      </c>
      <c r="O2706">
        <v>-0.31171100000000002</v>
      </c>
      <c r="P2706">
        <v>0.98438729999999997</v>
      </c>
      <c r="Q2706">
        <v>-2.6503350000000002E-3</v>
      </c>
      <c r="R2706">
        <v>-0.17599679999999901</v>
      </c>
      <c r="S2706">
        <v>3.02749599999999</v>
      </c>
      <c r="T2706">
        <v>-0.205261099999999</v>
      </c>
      <c r="U2706">
        <v>-0.1167755</v>
      </c>
      <c r="V2706">
        <v>-0.13963780000000001</v>
      </c>
      <c r="W2706">
        <v>2.3363250000000002E-3</v>
      </c>
      <c r="X2706">
        <v>0.99019990000000002</v>
      </c>
      <c r="Y2706">
        <v>-0.27354279999999997</v>
      </c>
      <c r="Z2706">
        <v>3.005948E-2</v>
      </c>
      <c r="AA2706">
        <v>0.96138999999999997</v>
      </c>
      <c r="AB2706">
        <v>17</v>
      </c>
      <c r="AC2706">
        <v>16.160599999999899</v>
      </c>
      <c r="AD2706">
        <v>-1.1062355888249999</v>
      </c>
      <c r="AE2706">
        <v>-0.58310000000000095</v>
      </c>
      <c r="AF2706">
        <v>-4.4625921186863398</v>
      </c>
      <c r="AG2706">
        <v>-1.1062355888249999</v>
      </c>
      <c r="AH2706">
        <v>15.4647932078803</v>
      </c>
      <c r="AI2706">
        <v>93.931655569561798</v>
      </c>
      <c r="AJ2706">
        <v>106.096268444464</v>
      </c>
      <c r="AK2706">
        <v>16.1337631865056</v>
      </c>
    </row>
    <row r="2707" spans="1:37" x14ac:dyDescent="0.2">
      <c r="A2707" t="str">
        <f>"20200111155856799"</f>
        <v>20200111155856799</v>
      </c>
      <c r="B2707" t="str">
        <f>"1578729536793946"</f>
        <v>1578729536793946</v>
      </c>
      <c r="C2707" t="s">
        <v>37</v>
      </c>
      <c r="D2707">
        <v>5.2404830000000002</v>
      </c>
      <c r="E2707">
        <v>0.4492738</v>
      </c>
      <c r="F2707" t="s">
        <v>50</v>
      </c>
      <c r="G2707">
        <v>-454.23320000000001</v>
      </c>
      <c r="H2707" s="1">
        <v>7.1122900000000002E-7</v>
      </c>
      <c r="I2707">
        <v>214.7234</v>
      </c>
      <c r="J2707">
        <v>-469.67110000000002</v>
      </c>
      <c r="K2707">
        <v>1.1063069999999999</v>
      </c>
      <c r="L2707">
        <v>215.2671</v>
      </c>
      <c r="M2707">
        <v>0.95164199999999999</v>
      </c>
      <c r="N2707">
        <v>0</v>
      </c>
      <c r="O2707">
        <v>-0.30715429999999999</v>
      </c>
      <c r="P2707">
        <v>0.98472929999999903</v>
      </c>
      <c r="Q2707">
        <v>-4.5111869999999998E-3</v>
      </c>
      <c r="R2707">
        <v>-0.1740351</v>
      </c>
      <c r="S2707">
        <v>3.0265200000000001</v>
      </c>
      <c r="T2707">
        <v>-0.2146535</v>
      </c>
      <c r="U2707">
        <v>-0.114547699999999</v>
      </c>
      <c r="V2707">
        <v>-0.13685229999999901</v>
      </c>
      <c r="W2707">
        <v>4.0799819999999998E-4</v>
      </c>
      <c r="X2707">
        <v>0.99059129999999995</v>
      </c>
      <c r="Y2707">
        <v>-0.26952389999999998</v>
      </c>
      <c r="Z2707">
        <v>3.0991310000000001E-2</v>
      </c>
      <c r="AA2707">
        <v>0.96249490000000004</v>
      </c>
      <c r="AB2707">
        <v>17</v>
      </c>
      <c r="AC2707">
        <v>15.437900000000001</v>
      </c>
      <c r="AD2707">
        <v>-1.106306288771</v>
      </c>
      <c r="AE2707">
        <v>-0.54370000000000096</v>
      </c>
      <c r="AF2707">
        <v>-4.20292392042718</v>
      </c>
      <c r="AG2707">
        <v>-1.106306288771</v>
      </c>
      <c r="AH2707">
        <v>14.7827830242183</v>
      </c>
      <c r="AI2707">
        <v>94.117313898699194</v>
      </c>
      <c r="AJ2707">
        <v>105.871091851247</v>
      </c>
      <c r="AK2707">
        <v>15.4084118917749</v>
      </c>
    </row>
    <row r="2708" spans="1:37" x14ac:dyDescent="0.2">
      <c r="A2708" t="str">
        <f>"20200111155856823"</f>
        <v>20200111155856823</v>
      </c>
      <c r="B2708" t="str">
        <f>"1578729536814441"</f>
        <v>1578729536814441</v>
      </c>
      <c r="C2708" t="s">
        <v>37</v>
      </c>
      <c r="D2708">
        <v>5.473382</v>
      </c>
      <c r="E2708">
        <v>0.44940730000000001</v>
      </c>
      <c r="F2708" t="s">
        <v>50</v>
      </c>
      <c r="G2708">
        <v>-454.426999999999</v>
      </c>
      <c r="H2708" s="1">
        <v>8.1509880000000003E-7</v>
      </c>
      <c r="I2708">
        <v>214.70670000000001</v>
      </c>
      <c r="J2708">
        <v>-469.50259999999997</v>
      </c>
      <c r="K2708">
        <v>1.106401</v>
      </c>
      <c r="L2708">
        <v>215.21899999999999</v>
      </c>
      <c r="M2708">
        <v>0.95323880000000005</v>
      </c>
      <c r="N2708">
        <v>0</v>
      </c>
      <c r="O2708">
        <v>-0.30216329999999902</v>
      </c>
      <c r="P2708">
        <v>0.9850333</v>
      </c>
      <c r="Q2708">
        <v>-6.185861E-3</v>
      </c>
      <c r="R2708">
        <v>-0.1722534</v>
      </c>
      <c r="S2708">
        <v>3.0258180000000001</v>
      </c>
      <c r="T2708">
        <v>-0.21959279999999901</v>
      </c>
      <c r="U2708">
        <v>-0.1112366</v>
      </c>
      <c r="V2708">
        <v>-0.13343920000000001</v>
      </c>
      <c r="W2708">
        <v>-1.3138850000000001E-3</v>
      </c>
      <c r="X2708">
        <v>0.9910561</v>
      </c>
      <c r="Y2708">
        <v>-0.2654763</v>
      </c>
      <c r="Z2708">
        <v>3.1217890000000002E-2</v>
      </c>
      <c r="AA2708">
        <v>0.96361180000000002</v>
      </c>
      <c r="AB2708">
        <v>17</v>
      </c>
      <c r="AC2708">
        <v>15.0756</v>
      </c>
      <c r="AD2708">
        <v>-1.1064001849012</v>
      </c>
      <c r="AE2708">
        <v>-0.51230000000000997</v>
      </c>
      <c r="AF2708">
        <v>-4.0452531302990504</v>
      </c>
      <c r="AG2708">
        <v>-1.1064001849012</v>
      </c>
      <c r="AH2708">
        <v>14.447957197968201</v>
      </c>
      <c r="AI2708">
        <v>94.217494038811594</v>
      </c>
      <c r="AJ2708">
        <v>105.64160333936201</v>
      </c>
      <c r="AK2708">
        <v>15.0443232300979</v>
      </c>
    </row>
    <row r="2709" spans="1:37" x14ac:dyDescent="0.2">
      <c r="A2709" t="str">
        <f>"20200111155856846"</f>
        <v>20200111155856846</v>
      </c>
      <c r="B2709" t="str">
        <f>"1578729536834469"</f>
        <v>1578729536834469</v>
      </c>
      <c r="C2709" t="s">
        <v>37</v>
      </c>
      <c r="D2709">
        <v>5.0862530000000001</v>
      </c>
      <c r="E2709">
        <v>0.44404690000000002</v>
      </c>
      <c r="F2709" t="s">
        <v>50</v>
      </c>
      <c r="G2709">
        <v>-454.83319999999998</v>
      </c>
      <c r="H2709" s="1">
        <v>1.031494E-6</v>
      </c>
      <c r="I2709">
        <v>214.70140000000001</v>
      </c>
      <c r="J2709">
        <v>-469.33960000000002</v>
      </c>
      <c r="K2709">
        <v>1.1065160000000001</v>
      </c>
      <c r="L2709">
        <v>215.17359999999999</v>
      </c>
      <c r="M2709">
        <v>0.95481090000000002</v>
      </c>
      <c r="N2709">
        <v>0</v>
      </c>
      <c r="O2709">
        <v>-0.29715849999999999</v>
      </c>
      <c r="P2709">
        <v>0.98543250000000004</v>
      </c>
      <c r="Q2709">
        <v>-7.3754409999999999E-3</v>
      </c>
      <c r="R2709">
        <v>-0.169908</v>
      </c>
      <c r="S2709">
        <v>3.025452</v>
      </c>
      <c r="T2709">
        <v>-0.228187</v>
      </c>
      <c r="U2709">
        <v>-0.1067505</v>
      </c>
      <c r="V2709">
        <v>-0.13058819999999999</v>
      </c>
      <c r="W2709">
        <v>-2.5350379999999999E-3</v>
      </c>
      <c r="X2709">
        <v>0.99143340000000002</v>
      </c>
      <c r="Y2709">
        <v>-0.26174760000000002</v>
      </c>
      <c r="Z2709">
        <v>3.1939799999999997E-2</v>
      </c>
      <c r="AA2709">
        <v>0.96460769999999996</v>
      </c>
      <c r="AB2709">
        <v>17</v>
      </c>
      <c r="AC2709">
        <v>14.506399999999999</v>
      </c>
      <c r="AD2709">
        <v>-1.1065149685060001</v>
      </c>
      <c r="AE2709">
        <v>-0.47219999999998602</v>
      </c>
      <c r="AF2709">
        <v>-3.83759737346162</v>
      </c>
      <c r="AG2709">
        <v>-1.1065149685060001</v>
      </c>
      <c r="AH2709">
        <v>13.910567705479</v>
      </c>
      <c r="AI2709">
        <v>94.384884352777803</v>
      </c>
      <c r="AJ2709">
        <v>105.42292448243001</v>
      </c>
      <c r="AK2709">
        <v>14.472574852632301</v>
      </c>
    </row>
    <row r="2710" spans="1:37" x14ac:dyDescent="0.2">
      <c r="A2710" t="str">
        <f>"20200111155856867"</f>
        <v>20200111155856867</v>
      </c>
      <c r="B2710" t="str">
        <f>"1578729536864725"</f>
        <v>1578729536864725</v>
      </c>
      <c r="C2710" t="s">
        <v>37</v>
      </c>
      <c r="D2710">
        <v>5.2356790000000002</v>
      </c>
      <c r="E2710">
        <v>0.43523030000000001</v>
      </c>
      <c r="F2710" t="s">
        <v>50</v>
      </c>
      <c r="G2710">
        <v>-451.63260000000002</v>
      </c>
      <c r="H2710" s="1">
        <v>-6.7715769999999897E-7</v>
      </c>
      <c r="I2710">
        <v>214.82560000000001</v>
      </c>
      <c r="J2710">
        <v>-469.17959999999999</v>
      </c>
      <c r="K2710">
        <v>1.106633</v>
      </c>
      <c r="L2710">
        <v>215.13030000000001</v>
      </c>
      <c r="M2710">
        <v>0.956381699999999</v>
      </c>
      <c r="N2710">
        <v>0</v>
      </c>
      <c r="O2710">
        <v>-0.29206309999999902</v>
      </c>
      <c r="P2710">
        <v>0.98595999999999995</v>
      </c>
      <c r="Q2710">
        <v>-7.8487599999999998E-3</v>
      </c>
      <c r="R2710">
        <v>-0.16679839999999899</v>
      </c>
      <c r="S2710">
        <v>3.032654</v>
      </c>
      <c r="T2710">
        <v>-0.1895114</v>
      </c>
      <c r="U2710">
        <v>-5.9616089999999997E-2</v>
      </c>
      <c r="V2710">
        <v>-0.12842390000000001</v>
      </c>
      <c r="W2710">
        <v>-3.0252409999999902E-3</v>
      </c>
      <c r="X2710">
        <v>0.99171480000000001</v>
      </c>
      <c r="Y2710">
        <v>-0.2721285</v>
      </c>
      <c r="Z2710">
        <v>2.6509049999999999E-2</v>
      </c>
      <c r="AA2710">
        <v>0.96189570000000002</v>
      </c>
      <c r="AB2710">
        <v>17</v>
      </c>
      <c r="AC2710">
        <v>17.546999999999901</v>
      </c>
      <c r="AD2710">
        <v>-1.1066336771576999</v>
      </c>
      <c r="AE2710">
        <v>-0.30469999999999597</v>
      </c>
      <c r="AF2710">
        <v>-4.8143589432574601</v>
      </c>
      <c r="AG2710">
        <v>-1.1066336771576999</v>
      </c>
      <c r="AH2710">
        <v>16.804084447355599</v>
      </c>
      <c r="AI2710">
        <v>93.622450009700799</v>
      </c>
      <c r="AJ2710">
        <v>105.98697232470801</v>
      </c>
      <c r="AK2710">
        <v>17.5151347195448</v>
      </c>
    </row>
    <row r="2711" spans="1:37" x14ac:dyDescent="0.2">
      <c r="A2711" t="str">
        <f>"20200111155856889"</f>
        <v>20200111155856889</v>
      </c>
      <c r="B2711" t="str">
        <f>"1578729536884244"</f>
        <v>1578729536884244</v>
      </c>
      <c r="C2711" t="s">
        <v>37</v>
      </c>
      <c r="D2711">
        <v>5.1285879999999997</v>
      </c>
      <c r="E2711">
        <v>0.4315988</v>
      </c>
      <c r="F2711" t="s">
        <v>50</v>
      </c>
      <c r="G2711">
        <v>-447.99259999999998</v>
      </c>
      <c r="H2711" s="1">
        <v>2.68872799999999E-6</v>
      </c>
      <c r="I2711">
        <v>215.25049999999999</v>
      </c>
      <c r="J2711">
        <v>-469.0154</v>
      </c>
      <c r="K2711">
        <v>1.106735</v>
      </c>
      <c r="L2711">
        <v>215.08690000000001</v>
      </c>
      <c r="M2711">
        <v>0.95800640000000004</v>
      </c>
      <c r="N2711">
        <v>0</v>
      </c>
      <c r="O2711">
        <v>-0.28668850000000001</v>
      </c>
      <c r="P2711">
        <v>0.98668120000000004</v>
      </c>
      <c r="Q2711">
        <v>-7.8633149999999992E-3</v>
      </c>
      <c r="R2711">
        <v>-0.16247549999999999</v>
      </c>
      <c r="S2711">
        <v>3.04437299999999</v>
      </c>
      <c r="T2711">
        <v>-0.15901170000000001</v>
      </c>
      <c r="U2711">
        <v>1.7272949999999999E-2</v>
      </c>
      <c r="V2711">
        <v>-0.12720139999999999</v>
      </c>
      <c r="W2711">
        <v>-3.0462159999999901E-3</v>
      </c>
      <c r="X2711">
        <v>0.99187230000000004</v>
      </c>
      <c r="Y2711">
        <v>-0.2913443</v>
      </c>
      <c r="Z2711">
        <v>2.2409999999999999E-2</v>
      </c>
      <c r="AA2711">
        <v>0.95635579999999998</v>
      </c>
      <c r="AB2711">
        <v>17</v>
      </c>
      <c r="AC2711">
        <v>21.0228</v>
      </c>
      <c r="AD2711">
        <v>-1.106732311272</v>
      </c>
      <c r="AE2711">
        <v>0.16359999999997399</v>
      </c>
      <c r="AF2711">
        <v>-6.1667385888397801</v>
      </c>
      <c r="AG2711">
        <v>-1.106732311272</v>
      </c>
      <c r="AH2711">
        <v>20.0378804482975</v>
      </c>
      <c r="AI2711">
        <v>93.021763500291001</v>
      </c>
      <c r="AJ2711">
        <v>107.105959822429</v>
      </c>
      <c r="AK2711">
        <v>20.9945272414542</v>
      </c>
    </row>
    <row r="2712" spans="1:37" x14ac:dyDescent="0.2">
      <c r="A2712" t="str">
        <f>"20200111155856912"</f>
        <v>20200111155856912</v>
      </c>
      <c r="B2712" t="str">
        <f>"1578729536904741"</f>
        <v>1578729536904741</v>
      </c>
      <c r="C2712" t="s">
        <v>37</v>
      </c>
      <c r="D2712">
        <v>5.1648629999999898</v>
      </c>
      <c r="E2712">
        <v>0.42897380000000002</v>
      </c>
      <c r="F2712" t="s">
        <v>50</v>
      </c>
      <c r="G2712">
        <v>-444.26459999999997</v>
      </c>
      <c r="H2712" s="1">
        <v>6.9145779999999999E-7</v>
      </c>
      <c r="I2712">
        <v>215.55779999999999</v>
      </c>
      <c r="J2712">
        <v>-468.84210000000002</v>
      </c>
      <c r="K2712">
        <v>1.1068290000000001</v>
      </c>
      <c r="L2712">
        <v>215.04249999999999</v>
      </c>
      <c r="M2712">
        <v>0.95972969999999902</v>
      </c>
      <c r="N2712">
        <v>0</v>
      </c>
      <c r="O2712">
        <v>-0.28086529999999998</v>
      </c>
      <c r="P2712">
        <v>0.9875661</v>
      </c>
      <c r="Q2712">
        <v>-7.24601699999999E-3</v>
      </c>
      <c r="R2712">
        <v>-0.15703889999999901</v>
      </c>
      <c r="S2712">
        <v>3.04895</v>
      </c>
      <c r="T2712">
        <v>-0.13633410000000001</v>
      </c>
      <c r="U2712">
        <v>5.799866E-2</v>
      </c>
      <c r="V2712">
        <v>-0.12664639999999999</v>
      </c>
      <c r="W2712">
        <v>-2.4275350000000002E-3</v>
      </c>
      <c r="X2712">
        <v>0.99194499999999997</v>
      </c>
      <c r="Y2712">
        <v>-0.29849899999999902</v>
      </c>
      <c r="Z2712">
        <v>1.9100909999999999E-2</v>
      </c>
      <c r="AA2712">
        <v>0.95421880000000003</v>
      </c>
      <c r="AB2712">
        <v>17</v>
      </c>
      <c r="AC2712">
        <v>24.577500000000001</v>
      </c>
      <c r="AD2712">
        <v>-1.1068283085421999</v>
      </c>
      <c r="AE2712">
        <v>0.51529999999999598</v>
      </c>
      <c r="AF2712">
        <v>-7.3826737804868596</v>
      </c>
      <c r="AG2712">
        <v>-1.1068283085421999</v>
      </c>
      <c r="AH2712">
        <v>23.395992405400499</v>
      </c>
      <c r="AI2712">
        <v>92.583181135513101</v>
      </c>
      <c r="AJ2712">
        <v>107.513243179326</v>
      </c>
      <c r="AK2712">
        <v>24.558122926788201</v>
      </c>
    </row>
    <row r="2713" spans="1:37" x14ac:dyDescent="0.2">
      <c r="A2713" t="str">
        <f>"20200111155856935"</f>
        <v>20200111155856935</v>
      </c>
      <c r="B2713" t="str">
        <f>"1578729536924261"</f>
        <v>1578729536924261</v>
      </c>
      <c r="C2713" t="s">
        <v>37</v>
      </c>
      <c r="D2713">
        <v>5.1701540000000001</v>
      </c>
      <c r="E2713">
        <v>0.42680249999999997</v>
      </c>
      <c r="F2713" t="s">
        <v>50</v>
      </c>
      <c r="G2713">
        <v>-441.64839999999998</v>
      </c>
      <c r="H2713" s="1">
        <v>-7.1517010000000001E-7</v>
      </c>
      <c r="I2713">
        <v>215.88759999999999</v>
      </c>
      <c r="J2713">
        <v>-468.666</v>
      </c>
      <c r="K2713">
        <v>1.1069009999999999</v>
      </c>
      <c r="L2713">
        <v>214.99870000000001</v>
      </c>
      <c r="M2713">
        <v>0.96148599999999995</v>
      </c>
      <c r="N2713">
        <v>0</v>
      </c>
      <c r="O2713">
        <v>-0.27479169999999897</v>
      </c>
      <c r="P2713">
        <v>0.9885834</v>
      </c>
      <c r="Q2713">
        <v>-5.695248E-3</v>
      </c>
      <c r="R2713">
        <v>-0.15056829999999999</v>
      </c>
      <c r="S2713">
        <v>3.0519409999999998</v>
      </c>
      <c r="T2713">
        <v>-0.1242191</v>
      </c>
      <c r="U2713">
        <v>9.4848630000000003E-2</v>
      </c>
      <c r="V2713">
        <v>-0.12688459999999999</v>
      </c>
      <c r="W2713">
        <v>-8.7350749999999999E-4</v>
      </c>
      <c r="X2713">
        <v>0.9919171</v>
      </c>
      <c r="Y2713">
        <v>-0.30405569999999998</v>
      </c>
      <c r="Z2713">
        <v>1.7263290000000001E-2</v>
      </c>
      <c r="AA2713">
        <v>0.95249779999999995</v>
      </c>
      <c r="AB2713">
        <v>18</v>
      </c>
      <c r="AC2713">
        <v>27.017600000000002</v>
      </c>
      <c r="AD2713">
        <v>-1.1069017151700999</v>
      </c>
      <c r="AE2713">
        <v>0.88889999999997804</v>
      </c>
      <c r="AF2713">
        <v>-8.26516051000986</v>
      </c>
      <c r="AG2713">
        <v>-1.1069017151700999</v>
      </c>
      <c r="AH2713">
        <v>25.6901471614702</v>
      </c>
      <c r="AI2713">
        <v>92.348736005779799</v>
      </c>
      <c r="AJ2713">
        <v>107.834277056815</v>
      </c>
      <c r="AK2713">
        <v>27.009660694671201</v>
      </c>
    </row>
    <row r="2714" spans="1:37" x14ac:dyDescent="0.2">
      <c r="A2714" t="str">
        <f>"20200111155856979"</f>
        <v>20200111155856979</v>
      </c>
      <c r="B2714" t="str">
        <f>"1578729536974543"</f>
        <v>1578729536974543</v>
      </c>
      <c r="C2714" t="s">
        <v>37</v>
      </c>
      <c r="D2714">
        <v>5.2852350000000001</v>
      </c>
      <c r="E2714">
        <v>0.4244849</v>
      </c>
      <c r="F2714" t="s">
        <v>52</v>
      </c>
      <c r="G2714">
        <v>-436.92439999999999</v>
      </c>
      <c r="H2714" s="1">
        <v>5.135018E-6</v>
      </c>
      <c r="I2714">
        <v>216.36240000000001</v>
      </c>
      <c r="J2714">
        <v>-468.3349</v>
      </c>
      <c r="K2714">
        <v>1.107035</v>
      </c>
      <c r="L2714">
        <v>214.91990000000001</v>
      </c>
      <c r="M2714">
        <v>0.96477780000000002</v>
      </c>
      <c r="N2714">
        <v>0</v>
      </c>
      <c r="O2714">
        <v>-0.26300020000000002</v>
      </c>
      <c r="P2714">
        <v>0.99060369999999998</v>
      </c>
      <c r="Q2714">
        <v>-4.4865520000000004E-3</v>
      </c>
      <c r="R2714">
        <v>-0.13669189999999901</v>
      </c>
      <c r="S2714">
        <v>3.0540769999999999</v>
      </c>
      <c r="T2714">
        <v>-0.1065021</v>
      </c>
      <c r="U2714">
        <v>0.131210299999999</v>
      </c>
      <c r="V2714">
        <v>-0.128661</v>
      </c>
      <c r="W2714">
        <v>3.4696260000000002E-4</v>
      </c>
      <c r="X2714">
        <v>0.99168849999999997</v>
      </c>
      <c r="Y2714">
        <v>-0.30383199999999999</v>
      </c>
      <c r="Z2714">
        <v>1.4388929999999999E-2</v>
      </c>
      <c r="AA2714">
        <v>0.95261689999999999</v>
      </c>
      <c r="AB2714">
        <v>18</v>
      </c>
      <c r="AC2714">
        <v>31.410499999999999</v>
      </c>
      <c r="AD2714">
        <v>-1.1070298649820001</v>
      </c>
      <c r="AE2714">
        <v>1.4424999999999899</v>
      </c>
      <c r="AF2714">
        <v>-9.6408771224853602</v>
      </c>
      <c r="AG2714">
        <v>-1.1070298649820001</v>
      </c>
      <c r="AH2714">
        <v>29.888247258774499</v>
      </c>
      <c r="AI2714">
        <v>92.018867559538094</v>
      </c>
      <c r="AJ2714">
        <v>107.87784065286</v>
      </c>
      <c r="AK2714">
        <v>31.424184174206701</v>
      </c>
    </row>
    <row r="2715" spans="1:37" x14ac:dyDescent="0.2">
      <c r="A2715" t="str">
        <f>"20200111155857013"</f>
        <v>20200111155857013</v>
      </c>
      <c r="B2715" t="str">
        <f>"1578729537004800"</f>
        <v>1578729537004800</v>
      </c>
      <c r="C2715" t="s">
        <v>37</v>
      </c>
      <c r="D2715">
        <v>5.4675010000000004</v>
      </c>
      <c r="E2715">
        <v>0.42483480000000001</v>
      </c>
      <c r="F2715" t="s">
        <v>52</v>
      </c>
      <c r="G2715">
        <v>-429.85930000000002</v>
      </c>
      <c r="H2715" s="1">
        <v>1.9785810000000001E-6</v>
      </c>
      <c r="I2715">
        <v>217.32900000000001</v>
      </c>
      <c r="J2715">
        <v>-468.0677</v>
      </c>
      <c r="K2715">
        <v>1.1071070000000001</v>
      </c>
      <c r="L2715">
        <v>214.8597</v>
      </c>
      <c r="M2715">
        <v>0.96739339999999996</v>
      </c>
      <c r="N2715">
        <v>0</v>
      </c>
      <c r="O2715">
        <v>-0.2532085</v>
      </c>
      <c r="P2715">
        <v>0.99217619999999895</v>
      </c>
      <c r="Q2715">
        <v>-7.2426219999999998E-3</v>
      </c>
      <c r="R2715">
        <v>-0.1246367</v>
      </c>
      <c r="S2715">
        <v>3.0544739999999999</v>
      </c>
      <c r="T2715">
        <v>-8.7884309999999993E-2</v>
      </c>
      <c r="U2715">
        <v>0.1912537</v>
      </c>
      <c r="V2715">
        <v>-0.13064219999999999</v>
      </c>
      <c r="W2715">
        <v>-2.3871529999999999E-3</v>
      </c>
      <c r="X2715">
        <v>0.99142669999999999</v>
      </c>
      <c r="Y2715">
        <v>-0.31294079999999902</v>
      </c>
      <c r="Z2715">
        <v>1.172776E-2</v>
      </c>
      <c r="AA2715">
        <v>0.94970019999999999</v>
      </c>
      <c r="AB2715">
        <v>18</v>
      </c>
      <c r="AC2715">
        <v>38.208399999999898</v>
      </c>
      <c r="AD2715">
        <v>-1.1071050214189999</v>
      </c>
      <c r="AE2715">
        <v>2.4693000000000001</v>
      </c>
      <c r="AF2715">
        <v>-12.0536122662858</v>
      </c>
      <c r="AG2715">
        <v>-1.1071050214189999</v>
      </c>
      <c r="AH2715">
        <v>36.307594415231598</v>
      </c>
      <c r="AI2715">
        <v>91.657636491547706</v>
      </c>
      <c r="AJ2715">
        <v>108.36544280177399</v>
      </c>
      <c r="AK2715">
        <v>38.272139506635497</v>
      </c>
    </row>
    <row r="2716" spans="1:37" x14ac:dyDescent="0.2">
      <c r="A2716" t="str">
        <f>"20200111155857034"</f>
        <v>20200111155857034</v>
      </c>
      <c r="B2716" t="str">
        <f>"1578729537024320"</f>
        <v>1578729537024320</v>
      </c>
      <c r="C2716" t="s">
        <v>37</v>
      </c>
      <c r="D2716">
        <v>5.4549789999999998</v>
      </c>
      <c r="E2716">
        <v>0.42563469999999998</v>
      </c>
      <c r="F2716" t="s">
        <v>52</v>
      </c>
      <c r="G2716">
        <v>-435.53219999999999</v>
      </c>
      <c r="H2716" s="1">
        <v>4.4382599999999899E-6</v>
      </c>
      <c r="I2716">
        <v>217.27029999999999</v>
      </c>
      <c r="J2716">
        <v>-467.90249999999997</v>
      </c>
      <c r="K2716">
        <v>1.107148</v>
      </c>
      <c r="L2716">
        <v>214.82400000000001</v>
      </c>
      <c r="M2716">
        <v>0.96897900000000003</v>
      </c>
      <c r="N2716">
        <v>0</v>
      </c>
      <c r="O2716">
        <v>-0.247070399999999</v>
      </c>
      <c r="P2716">
        <v>0.99300840000000001</v>
      </c>
      <c r="Q2716">
        <v>-9.0553000000000005E-3</v>
      </c>
      <c r="R2716">
        <v>-0.117697699999999</v>
      </c>
      <c r="S2716">
        <v>3.0512700000000001</v>
      </c>
      <c r="T2716">
        <v>-0.10382709999999901</v>
      </c>
      <c r="U2716">
        <v>0.2260742</v>
      </c>
      <c r="V2716">
        <v>-0.13126869999999999</v>
      </c>
      <c r="W2716">
        <v>-4.1742899999999998E-3</v>
      </c>
      <c r="X2716">
        <v>0.99133799999999905</v>
      </c>
      <c r="Y2716">
        <v>-0.3176736</v>
      </c>
      <c r="Z2716">
        <v>1.374245E-2</v>
      </c>
      <c r="AA2716">
        <v>0.94810049999999901</v>
      </c>
      <c r="AB2716">
        <v>18</v>
      </c>
      <c r="AC2716">
        <v>32.370299999999901</v>
      </c>
      <c r="AD2716">
        <v>-1.1071435617400001</v>
      </c>
      <c r="AE2716">
        <v>2.4462999999999702</v>
      </c>
      <c r="AF2716">
        <v>-10.3562964113653</v>
      </c>
      <c r="AG2716">
        <v>-1.1071435617400001</v>
      </c>
      <c r="AH2716">
        <v>30.7265449956381</v>
      </c>
      <c r="AI2716">
        <v>91.955597069887702</v>
      </c>
      <c r="AJ2716">
        <v>108.626245735645</v>
      </c>
      <c r="AK2716">
        <v>32.443785377100099</v>
      </c>
    </row>
    <row r="2717" spans="1:37" x14ac:dyDescent="0.2">
      <c r="A2717" t="str">
        <f>"20200111155857056"</f>
        <v>20200111155857056</v>
      </c>
      <c r="B2717" t="str">
        <f>"1578729537044345"</f>
        <v>1578729537044345</v>
      </c>
      <c r="C2717" t="s">
        <v>37</v>
      </c>
      <c r="D2717">
        <v>5.5137710000000002</v>
      </c>
      <c r="E2717">
        <v>0.4264638</v>
      </c>
      <c r="F2717" t="s">
        <v>52</v>
      </c>
      <c r="G2717">
        <v>-435.83519999999999</v>
      </c>
      <c r="H2717" s="1">
        <v>4.5650499999999996E-6</v>
      </c>
      <c r="I2717">
        <v>217.35730000000001</v>
      </c>
      <c r="J2717">
        <v>-467.73020000000002</v>
      </c>
      <c r="K2717">
        <v>1.107175</v>
      </c>
      <c r="L2717">
        <v>214.78809999999999</v>
      </c>
      <c r="M2717">
        <v>0.97059959999999901</v>
      </c>
      <c r="N2717">
        <v>0</v>
      </c>
      <c r="O2717">
        <v>-0.24062339999999999</v>
      </c>
      <c r="P2717">
        <v>0.99378909999999998</v>
      </c>
      <c r="Q2717">
        <v>-1.036597E-2</v>
      </c>
      <c r="R2717">
        <v>-0.11079739999999901</v>
      </c>
      <c r="S2717">
        <v>3.048737</v>
      </c>
      <c r="T2717">
        <v>-0.1052598</v>
      </c>
      <c r="U2717">
        <v>0.24084469999999999</v>
      </c>
      <c r="V2717">
        <v>-0.1315501</v>
      </c>
      <c r="W2717">
        <v>-5.4490290000000002E-3</v>
      </c>
      <c r="X2717">
        <v>0.99129460000000003</v>
      </c>
      <c r="Y2717">
        <v>-0.3159903</v>
      </c>
      <c r="Z2717">
        <v>1.369517E-2</v>
      </c>
      <c r="AA2717">
        <v>0.94866360000000005</v>
      </c>
      <c r="AB2717">
        <v>18</v>
      </c>
      <c r="AC2717">
        <v>31.895</v>
      </c>
      <c r="AD2717">
        <v>-1.10717043495</v>
      </c>
      <c r="AE2717">
        <v>2.5692000000000199</v>
      </c>
      <c r="AF2717">
        <v>-10.1563754752107</v>
      </c>
      <c r="AG2717">
        <v>-1.10717043495</v>
      </c>
      <c r="AH2717">
        <v>30.3033429483582</v>
      </c>
      <c r="AI2717">
        <v>91.984065807479197</v>
      </c>
      <c r="AJ2717">
        <v>108.52893341755799</v>
      </c>
      <c r="AK2717">
        <v>31.9792179862376</v>
      </c>
    </row>
    <row r="2718" spans="1:37" x14ac:dyDescent="0.2">
      <c r="A2718" t="str">
        <f>"20200111155857078"</f>
        <v>20200111155857078</v>
      </c>
      <c r="B2718" t="str">
        <f>"1578729537074601"</f>
        <v>1578729537074601</v>
      </c>
      <c r="C2718" t="s">
        <v>37</v>
      </c>
      <c r="D2718">
        <v>5.4721839999999897</v>
      </c>
      <c r="E2718">
        <v>0.42769859999999998</v>
      </c>
      <c r="F2718" t="s">
        <v>52</v>
      </c>
      <c r="G2718">
        <v>-437.37040000000002</v>
      </c>
      <c r="H2718" s="1">
        <v>5.2476670000000003E-6</v>
      </c>
      <c r="I2718">
        <v>217.33619999999999</v>
      </c>
      <c r="J2718">
        <v>-467.553</v>
      </c>
      <c r="K2718">
        <v>1.1072070000000001</v>
      </c>
      <c r="L2718">
        <v>214.75239999999999</v>
      </c>
      <c r="M2718">
        <v>0.97222889999999995</v>
      </c>
      <c r="N2718">
        <v>0</v>
      </c>
      <c r="O2718">
        <v>-0.23395149999999901</v>
      </c>
      <c r="P2718">
        <v>0.99454370000000003</v>
      </c>
      <c r="Q2718">
        <v>-1.082118E-2</v>
      </c>
      <c r="R2718">
        <v>-0.10375810000000001</v>
      </c>
      <c r="S2718">
        <v>3.0460820000000002</v>
      </c>
      <c r="T2718">
        <v>-0.1110854</v>
      </c>
      <c r="U2718">
        <v>0.25566100000000003</v>
      </c>
      <c r="V2718">
        <v>-0.13175590000000001</v>
      </c>
      <c r="W2718">
        <v>-5.8574279999999996E-3</v>
      </c>
      <c r="X2718">
        <v>0.99126489999999901</v>
      </c>
      <c r="Y2718">
        <v>-0.3140906</v>
      </c>
      <c r="Z2718">
        <v>1.419045E-2</v>
      </c>
      <c r="AA2718">
        <v>0.94928690000000004</v>
      </c>
      <c r="AB2718">
        <v>18</v>
      </c>
      <c r="AC2718">
        <v>30.182600000000001</v>
      </c>
      <c r="AD2718">
        <v>-1.107201752333</v>
      </c>
      <c r="AE2718">
        <v>2.5837999999999899</v>
      </c>
      <c r="AF2718">
        <v>-9.5607178312263095</v>
      </c>
      <c r="AG2718">
        <v>-1.107201752333</v>
      </c>
      <c r="AH2718">
        <v>28.7021105938753</v>
      </c>
      <c r="AI2718">
        <v>92.096009338053506</v>
      </c>
      <c r="AJ2718">
        <v>108.422996352341</v>
      </c>
      <c r="AK2718">
        <v>30.272832271060299</v>
      </c>
    </row>
    <row r="2719" spans="1:37" x14ac:dyDescent="0.2">
      <c r="A2719" t="str">
        <f>"20200111155857100"</f>
        <v>20200111155857100</v>
      </c>
      <c r="B2719" t="str">
        <f>"1578729537094122"</f>
        <v>1578729537094122</v>
      </c>
      <c r="C2719" t="s">
        <v>37</v>
      </c>
      <c r="D2719">
        <v>5.510656</v>
      </c>
      <c r="E2719">
        <v>0.42848439999999999</v>
      </c>
      <c r="F2719" t="s">
        <v>52</v>
      </c>
      <c r="G2719">
        <v>-438.6148</v>
      </c>
      <c r="H2719" s="1">
        <v>5.8030399999999996E-6</v>
      </c>
      <c r="I2719">
        <v>217.29580000000001</v>
      </c>
      <c r="J2719">
        <v>-467.37259999999998</v>
      </c>
      <c r="K2719">
        <v>1.1072389999999901</v>
      </c>
      <c r="L2719">
        <v>214.71729999999999</v>
      </c>
      <c r="M2719">
        <v>0.97384720000000002</v>
      </c>
      <c r="N2719">
        <v>0</v>
      </c>
      <c r="O2719">
        <v>-0.227119299999999</v>
      </c>
      <c r="P2719">
        <v>0.99521299999999902</v>
      </c>
      <c r="Q2719">
        <v>-9.5876339999999994E-3</v>
      </c>
      <c r="R2719">
        <v>-9.7259079999999998E-2</v>
      </c>
      <c r="S2719">
        <v>3.0430599999999899</v>
      </c>
      <c r="T2719">
        <v>-0.11642999999999901</v>
      </c>
      <c r="U2719">
        <v>0.26745609999999997</v>
      </c>
      <c r="V2719">
        <v>-0.1312846</v>
      </c>
      <c r="W2719">
        <v>-4.562366E-3</v>
      </c>
      <c r="X2719">
        <v>0.99133419999999906</v>
      </c>
      <c r="Y2719">
        <v>-0.31112580000000001</v>
      </c>
      <c r="Z2719">
        <v>1.4572699999999999E-2</v>
      </c>
      <c r="AA2719">
        <v>0.95025700000000002</v>
      </c>
      <c r="AB2719">
        <v>18</v>
      </c>
      <c r="AC2719">
        <v>28.7577999999999</v>
      </c>
      <c r="AD2719">
        <v>-1.10723319695999</v>
      </c>
      <c r="AE2719">
        <v>2.57850000000002</v>
      </c>
      <c r="AF2719">
        <v>-9.0294117845756805</v>
      </c>
      <c r="AG2719">
        <v>-1.10723319695999</v>
      </c>
      <c r="AH2719">
        <v>27.380338078141701</v>
      </c>
      <c r="AI2719">
        <v>92.199338813445294</v>
      </c>
      <c r="AJ2719">
        <v>108.25137837406101</v>
      </c>
      <c r="AK2719">
        <v>28.852021693483199</v>
      </c>
    </row>
    <row r="2720" spans="1:37" x14ac:dyDescent="0.2">
      <c r="A2720" t="str">
        <f>"20200111155857126"</f>
        <v>20200111155857126</v>
      </c>
      <c r="B2720" t="str">
        <f>"1578729537114619"</f>
        <v>1578729537114619</v>
      </c>
      <c r="C2720" t="s">
        <v>37</v>
      </c>
      <c r="D2720">
        <v>5.6022959999999999</v>
      </c>
      <c r="E2720">
        <v>0.42953669999999999</v>
      </c>
      <c r="F2720" t="s">
        <v>52</v>
      </c>
      <c r="G2720">
        <v>-438.22239999999999</v>
      </c>
      <c r="H2720" s="1">
        <v>5.618544E-6</v>
      </c>
      <c r="I2720">
        <v>217.41579999999999</v>
      </c>
      <c r="J2720">
        <v>-467.1807</v>
      </c>
      <c r="K2720">
        <v>1.107267</v>
      </c>
      <c r="L2720">
        <v>214.6815</v>
      </c>
      <c r="M2720">
        <v>0.97551980000000005</v>
      </c>
      <c r="N2720">
        <v>0</v>
      </c>
      <c r="O2720">
        <v>-0.2198225</v>
      </c>
      <c r="P2720">
        <v>0.99580970000000002</v>
      </c>
      <c r="Q2720">
        <v>-1.004183E-2</v>
      </c>
      <c r="R2720">
        <v>-9.0899380000000002E-2</v>
      </c>
      <c r="S2720">
        <v>3.0408330000000001</v>
      </c>
      <c r="T2720">
        <v>-0.1155021</v>
      </c>
      <c r="U2720">
        <v>0.28149409999999903</v>
      </c>
      <c r="V2720">
        <v>-0.1301918</v>
      </c>
      <c r="W2720">
        <v>-4.9409839999999998E-3</v>
      </c>
      <c r="X2720">
        <v>0.99147649999999998</v>
      </c>
      <c r="Y2720">
        <v>-0.30843579999999998</v>
      </c>
      <c r="Z2720">
        <v>1.4141870000000001E-2</v>
      </c>
      <c r="AA2720">
        <v>0.95113999999999999</v>
      </c>
      <c r="AB2720">
        <v>18</v>
      </c>
      <c r="AC2720">
        <v>28.958300000000001</v>
      </c>
      <c r="AD2720">
        <v>-1.1072613814559999</v>
      </c>
      <c r="AE2720">
        <v>2.73429999999999</v>
      </c>
      <c r="AF2720">
        <v>-9.0201555527635193</v>
      </c>
      <c r="AG2720">
        <v>-1.1072613814559999</v>
      </c>
      <c r="AH2720">
        <v>27.608868019058399</v>
      </c>
      <c r="AI2720">
        <v>92.183187067500896</v>
      </c>
      <c r="AJ2720">
        <v>108.09284954585399</v>
      </c>
      <c r="AK2720">
        <v>29.066111319829201</v>
      </c>
    </row>
    <row r="2721" spans="1:37" x14ac:dyDescent="0.2">
      <c r="A2721" t="str">
        <f>"20200111155857148"</f>
        <v>20200111155857148</v>
      </c>
      <c r="B2721" t="str">
        <f>"1578729537144407"</f>
        <v>1578729537144407</v>
      </c>
      <c r="C2721" t="s">
        <v>37</v>
      </c>
      <c r="D2721">
        <v>5.5822949999999896</v>
      </c>
      <c r="E2721">
        <v>0.43087569999999997</v>
      </c>
      <c r="F2721" t="s">
        <v>52</v>
      </c>
      <c r="G2721">
        <v>-439.39800000000002</v>
      </c>
      <c r="H2721" s="1">
        <v>6.1448589999999997E-6</v>
      </c>
      <c r="I2721">
        <v>217.35890000000001</v>
      </c>
      <c r="J2721">
        <v>-466.9948</v>
      </c>
      <c r="K2721">
        <v>1.1072850000000001</v>
      </c>
      <c r="L2721">
        <v>214.64830000000001</v>
      </c>
      <c r="M2721">
        <v>0.97708759999999995</v>
      </c>
      <c r="N2721">
        <v>0</v>
      </c>
      <c r="O2721">
        <v>-0.21274290000000001</v>
      </c>
      <c r="P2721">
        <v>0.99631519999999996</v>
      </c>
      <c r="Q2721">
        <v>-1.13355E-2</v>
      </c>
      <c r="R2721">
        <v>-8.5017800000000004E-2</v>
      </c>
      <c r="S2721">
        <v>3.0381469999999999</v>
      </c>
      <c r="T2721">
        <v>-0.1210835</v>
      </c>
      <c r="U2721">
        <v>0.29278559999999998</v>
      </c>
      <c r="V2721">
        <v>-0.12884289999999901</v>
      </c>
      <c r="W2721">
        <v>-6.1522030000000002E-3</v>
      </c>
      <c r="X2721">
        <v>0.99164589999999997</v>
      </c>
      <c r="Y2721">
        <v>-0.30508809999999997</v>
      </c>
      <c r="Z2721">
        <v>1.4491840000000001E-2</v>
      </c>
      <c r="AA2721">
        <v>0.95221389999999995</v>
      </c>
      <c r="AB2721">
        <v>19</v>
      </c>
      <c r="AC2721">
        <v>27.596799999999899</v>
      </c>
      <c r="AD2721">
        <v>-1.107278855141</v>
      </c>
      <c r="AE2721">
        <v>2.7105999999999901</v>
      </c>
      <c r="AF2721">
        <v>-8.5061254132922102</v>
      </c>
      <c r="AG2721">
        <v>-1.107278855141</v>
      </c>
      <c r="AH2721">
        <v>26.346352168807702</v>
      </c>
      <c r="AI2721">
        <v>92.290322090175593</v>
      </c>
      <c r="AJ2721">
        <v>107.893078775433</v>
      </c>
      <c r="AK2721">
        <v>27.7075893684842</v>
      </c>
    </row>
    <row r="2722" spans="1:37" x14ac:dyDescent="0.2">
      <c r="A2722" t="str">
        <f>"20200111155857169"</f>
        <v>20200111155857169</v>
      </c>
      <c r="B2722" t="str">
        <f>"1578729537164903"</f>
        <v>1578729537164903</v>
      </c>
      <c r="C2722" t="s">
        <v>37</v>
      </c>
      <c r="D2722">
        <v>5.6089019999999996</v>
      </c>
      <c r="E2722">
        <v>0.43168230000000002</v>
      </c>
      <c r="F2722" t="s">
        <v>50</v>
      </c>
      <c r="G2722">
        <v>-441.05669999999998</v>
      </c>
      <c r="H2722" s="1">
        <v>-1.0880329999999899E-6</v>
      </c>
      <c r="I2722">
        <v>217.2149</v>
      </c>
      <c r="J2722">
        <v>-466.82350000000002</v>
      </c>
      <c r="K2722">
        <v>1.107308</v>
      </c>
      <c r="L2722">
        <v>214.6189</v>
      </c>
      <c r="M2722">
        <v>0.97848440000000003</v>
      </c>
      <c r="N2722">
        <v>0</v>
      </c>
      <c r="O2722">
        <v>-0.2062206</v>
      </c>
      <c r="P2722">
        <v>0.99676359999999997</v>
      </c>
      <c r="Q2722">
        <v>-1.1452810000000001E-2</v>
      </c>
      <c r="R2722">
        <v>-7.9569550000000003E-2</v>
      </c>
      <c r="S2722">
        <v>3.0352480000000002</v>
      </c>
      <c r="T2722">
        <v>-0.12957379999999999</v>
      </c>
      <c r="U2722">
        <v>0.30033870000000001</v>
      </c>
      <c r="V2722">
        <v>-0.12764890000000001</v>
      </c>
      <c r="W2722">
        <v>-6.190414E-3</v>
      </c>
      <c r="X2722">
        <v>0.99180009999999996</v>
      </c>
      <c r="Y2722">
        <v>-0.30111749999999998</v>
      </c>
      <c r="Z2722">
        <v>1.516175E-2</v>
      </c>
      <c r="AA2722">
        <v>0.95346649999999999</v>
      </c>
      <c r="AB2722">
        <v>19</v>
      </c>
      <c r="AC2722">
        <v>25.7668</v>
      </c>
      <c r="AD2722">
        <v>-1.1073090880329901</v>
      </c>
      <c r="AE2722">
        <v>2.5960000000000001</v>
      </c>
      <c r="AF2722">
        <v>-7.8396201902427096</v>
      </c>
      <c r="AG2722">
        <v>-1.1073090880329901</v>
      </c>
      <c r="AH2722">
        <v>24.6325393592154</v>
      </c>
      <c r="AI2722">
        <v>92.452820729233096</v>
      </c>
      <c r="AJ2722">
        <v>107.654335879272</v>
      </c>
      <c r="AK2722">
        <v>25.873688825271898</v>
      </c>
    </row>
    <row r="2723" spans="1:37" x14ac:dyDescent="0.2">
      <c r="A2723" t="str">
        <f>"20200111155857191"</f>
        <v>20200111155857191</v>
      </c>
      <c r="B2723" t="str">
        <f>"1578729537184422"</f>
        <v>1578729537184422</v>
      </c>
      <c r="C2723" t="s">
        <v>37</v>
      </c>
      <c r="D2723">
        <v>5.5933849999999996</v>
      </c>
      <c r="E2723">
        <v>0.43254719999999902</v>
      </c>
      <c r="F2723" t="s">
        <v>50</v>
      </c>
      <c r="G2723">
        <v>-441.73950000000002</v>
      </c>
      <c r="H2723" s="1">
        <v>-7.2349830000000001E-7</v>
      </c>
      <c r="I2723">
        <v>217.1875</v>
      </c>
      <c r="J2723">
        <v>-466.64400000000001</v>
      </c>
      <c r="K2723">
        <v>1.107332</v>
      </c>
      <c r="L2723">
        <v>214.58940000000001</v>
      </c>
      <c r="M2723">
        <v>0.97989939999999998</v>
      </c>
      <c r="N2723">
        <v>0</v>
      </c>
      <c r="O2723">
        <v>-0.1993858</v>
      </c>
      <c r="P2723">
        <v>0.99728760000000005</v>
      </c>
      <c r="Q2723">
        <v>-1.181711E-2</v>
      </c>
      <c r="R2723">
        <v>-7.2649050000000007E-2</v>
      </c>
      <c r="S2723">
        <v>3.0329899999999999</v>
      </c>
      <c r="T2723">
        <v>-0.1338886</v>
      </c>
      <c r="U2723">
        <v>0.3105774</v>
      </c>
      <c r="V2723">
        <v>-0.12760650000000001</v>
      </c>
      <c r="W2723">
        <v>-6.4844849999999999E-3</v>
      </c>
      <c r="X2723">
        <v>0.99180360000000001</v>
      </c>
      <c r="Y2723">
        <v>-0.29769479999999998</v>
      </c>
      <c r="Z2723">
        <v>1.530306E-2</v>
      </c>
      <c r="AA2723">
        <v>0.95453849999999996</v>
      </c>
      <c r="AB2723">
        <v>19</v>
      </c>
      <c r="AC2723">
        <v>24.904499999999899</v>
      </c>
      <c r="AD2723">
        <v>-1.1073327234982999</v>
      </c>
      <c r="AE2723">
        <v>2.5980999999999801</v>
      </c>
      <c r="AF2723">
        <v>-7.4969780411228104</v>
      </c>
      <c r="AG2723">
        <v>-1.1073327234982999</v>
      </c>
      <c r="AH2723">
        <v>23.8397644281116</v>
      </c>
      <c r="AI2723">
        <v>92.537096501529803</v>
      </c>
      <c r="AJ2723">
        <v>107.45698849640701</v>
      </c>
      <c r="AK2723">
        <v>25.015299988156499</v>
      </c>
    </row>
    <row r="2724" spans="1:37" x14ac:dyDescent="0.2">
      <c r="A2724" t="str">
        <f>"20200111155857212"</f>
        <v>20200111155857212</v>
      </c>
      <c r="B2724" t="str">
        <f>"1578729537204919"</f>
        <v>1578729537204919</v>
      </c>
      <c r="C2724" t="s">
        <v>37</v>
      </c>
      <c r="D2724">
        <v>5.6442920000000001</v>
      </c>
      <c r="E2724">
        <v>0.43350450000000001</v>
      </c>
      <c r="F2724" t="s">
        <v>50</v>
      </c>
      <c r="G2724">
        <v>-442.54430000000002</v>
      </c>
      <c r="H2724" s="1">
        <v>-2.9471179999999999E-7</v>
      </c>
      <c r="I2724">
        <v>217.17500000000001</v>
      </c>
      <c r="J2724">
        <v>-466.46480000000003</v>
      </c>
      <c r="K2724">
        <v>1.1073489999999999</v>
      </c>
      <c r="L2724">
        <v>214.56120000000001</v>
      </c>
      <c r="M2724">
        <v>0.98126209999999903</v>
      </c>
      <c r="N2724">
        <v>0</v>
      </c>
      <c r="O2724">
        <v>-0.19256570000000001</v>
      </c>
      <c r="P2724">
        <v>0.99773219999999996</v>
      </c>
      <c r="Q2724">
        <v>-1.2967080000000001E-2</v>
      </c>
      <c r="R2724">
        <v>-6.6051100000000001E-2</v>
      </c>
      <c r="S2724">
        <v>3.0301819999999999</v>
      </c>
      <c r="T2724">
        <v>-0.13923050000000001</v>
      </c>
      <c r="U2724">
        <v>0.3251038</v>
      </c>
      <c r="V2724">
        <v>-0.12725610000000001</v>
      </c>
      <c r="W2724">
        <v>-7.5657600000000004E-3</v>
      </c>
      <c r="X2724">
        <v>0.99184099999999997</v>
      </c>
      <c r="Y2724">
        <v>-0.29564069999999998</v>
      </c>
      <c r="Z2724">
        <v>1.5568449999999999E-2</v>
      </c>
      <c r="AA2724">
        <v>0.95517240000000003</v>
      </c>
      <c r="AB2724">
        <v>19</v>
      </c>
      <c r="AC2724">
        <v>23.920500000000001</v>
      </c>
      <c r="AD2724">
        <v>-1.1073492947118</v>
      </c>
      <c r="AE2724">
        <v>2.6137999999999901</v>
      </c>
      <c r="AF2724">
        <v>-7.1560906107116597</v>
      </c>
      <c r="AG2724">
        <v>-1.1073492947118</v>
      </c>
      <c r="AH2724">
        <v>22.92090664625</v>
      </c>
      <c r="AI2724">
        <v>92.640406499749901</v>
      </c>
      <c r="AJ2724">
        <v>107.33878189802699</v>
      </c>
      <c r="AK2724">
        <v>24.037550140880001</v>
      </c>
    </row>
    <row r="2725" spans="1:37" x14ac:dyDescent="0.2">
      <c r="A2725" t="str">
        <f>"20200111155857236"</f>
        <v>20200111155857236</v>
      </c>
      <c r="B2725" t="str">
        <f>"1578729537224438"</f>
        <v>1578729537224438</v>
      </c>
      <c r="C2725" t="s">
        <v>37</v>
      </c>
      <c r="D2725">
        <v>5.6176240000000002</v>
      </c>
      <c r="E2725">
        <v>0.43443859999999901</v>
      </c>
      <c r="F2725" t="s">
        <v>50</v>
      </c>
      <c r="G2725">
        <v>-443.25659999999999</v>
      </c>
      <c r="H2725" s="1">
        <v>8.5469529999999999E-8</v>
      </c>
      <c r="I2725">
        <v>217.14949999999999</v>
      </c>
      <c r="J2725">
        <v>-466.2758</v>
      </c>
      <c r="K2725">
        <v>1.1073649999999999</v>
      </c>
      <c r="L2725">
        <v>214.53270000000001</v>
      </c>
      <c r="M2725">
        <v>0.98264530000000005</v>
      </c>
      <c r="N2725">
        <v>0</v>
      </c>
      <c r="O2725">
        <v>-0.1853754</v>
      </c>
      <c r="P2725">
        <v>0.99810219999999905</v>
      </c>
      <c r="Q2725">
        <v>-1.4933220000000001E-2</v>
      </c>
      <c r="R2725">
        <v>-5.9742700000000003E-2</v>
      </c>
      <c r="S2725">
        <v>3.0272519999999998</v>
      </c>
      <c r="T2725">
        <v>-0.1444415</v>
      </c>
      <c r="U2725">
        <v>0.33761599999999897</v>
      </c>
      <c r="V2725">
        <v>-0.1262414</v>
      </c>
      <c r="W2725">
        <v>-9.4594139999999993E-3</v>
      </c>
      <c r="X2725">
        <v>0.99195440000000001</v>
      </c>
      <c r="Y2725">
        <v>-0.2926164</v>
      </c>
      <c r="Z2725">
        <v>1.5752539999999999E-2</v>
      </c>
      <c r="AA2725">
        <v>0.95610019999999996</v>
      </c>
      <c r="AB2725">
        <v>19</v>
      </c>
      <c r="AC2725">
        <v>23.019200000000001</v>
      </c>
      <c r="AD2725">
        <v>-1.10736491453047</v>
      </c>
      <c r="AE2725">
        <v>2.61679999999998</v>
      </c>
      <c r="AF2725">
        <v>-6.8231420118812203</v>
      </c>
      <c r="AG2725">
        <v>-1.10736491453047</v>
      </c>
      <c r="AH2725">
        <v>22.084650984991399</v>
      </c>
      <c r="AI2725">
        <v>92.742799953312698</v>
      </c>
      <c r="AJ2725">
        <v>107.168744875356</v>
      </c>
      <c r="AK2725">
        <v>23.141161014458898</v>
      </c>
    </row>
    <row r="2726" spans="1:37" x14ac:dyDescent="0.2">
      <c r="A2726" t="str">
        <f>"20200111155857258"</f>
        <v>20200111155857258</v>
      </c>
      <c r="B2726" t="str">
        <f>"1578729537254695"</f>
        <v>1578729537254695</v>
      </c>
      <c r="C2726" t="s">
        <v>37</v>
      </c>
      <c r="D2726">
        <v>5.6434069999999998</v>
      </c>
      <c r="E2726">
        <v>0.43576909999999902</v>
      </c>
      <c r="F2726" t="s">
        <v>50</v>
      </c>
      <c r="G2726">
        <v>-444.14440000000002</v>
      </c>
      <c r="H2726" s="1">
        <v>5.6043659999999996E-7</v>
      </c>
      <c r="I2726">
        <v>217.0917</v>
      </c>
      <c r="J2726">
        <v>-466.09050000000002</v>
      </c>
      <c r="K2726">
        <v>1.1073819999999901</v>
      </c>
      <c r="L2726">
        <v>214.50620000000001</v>
      </c>
      <c r="M2726">
        <v>0.98394689999999996</v>
      </c>
      <c r="N2726">
        <v>0</v>
      </c>
      <c r="O2726">
        <v>-0.1783351</v>
      </c>
      <c r="P2726">
        <v>0.99843069999999901</v>
      </c>
      <c r="Q2726">
        <v>-1.6183779999999998E-2</v>
      </c>
      <c r="R2726">
        <v>-5.3611979999999997E-2</v>
      </c>
      <c r="S2726">
        <v>3.024384</v>
      </c>
      <c r="T2726">
        <v>-0.15132779999999901</v>
      </c>
      <c r="U2726">
        <v>0.34970089999999998</v>
      </c>
      <c r="V2726">
        <v>-0.12521579999999999</v>
      </c>
      <c r="W2726">
        <v>-1.0642810000000001E-2</v>
      </c>
      <c r="X2726">
        <v>0.99207250000000002</v>
      </c>
      <c r="Y2726">
        <v>-0.28960039999999998</v>
      </c>
      <c r="Z2726">
        <v>1.6091930000000001E-2</v>
      </c>
      <c r="AA2726">
        <v>0.95701239999999999</v>
      </c>
      <c r="AB2726">
        <v>19</v>
      </c>
      <c r="AC2726">
        <v>21.946100000000001</v>
      </c>
      <c r="AD2726">
        <v>-1.1073814395633901</v>
      </c>
      <c r="AE2726">
        <v>2.5854999999999899</v>
      </c>
      <c r="AF2726">
        <v>-6.4417233362386197</v>
      </c>
      <c r="AG2726">
        <v>-1.1073814395633901</v>
      </c>
      <c r="AH2726">
        <v>21.080249914081101</v>
      </c>
      <c r="AI2726">
        <v>92.876031476284197</v>
      </c>
      <c r="AJ2726">
        <v>106.99215537810301</v>
      </c>
      <c r="AK2726">
        <v>22.0703201071812</v>
      </c>
    </row>
    <row r="2727" spans="1:37" x14ac:dyDescent="0.2">
      <c r="A2727" t="str">
        <f>"20200111155857280"</f>
        <v>20200111155857280</v>
      </c>
      <c r="B2727" t="str">
        <f>"1578729537274215"</f>
        <v>1578729537274215</v>
      </c>
      <c r="C2727" t="s">
        <v>37</v>
      </c>
      <c r="D2727">
        <v>5.6538510000000004</v>
      </c>
      <c r="E2727">
        <v>0.4366585</v>
      </c>
      <c r="F2727" t="s">
        <v>50</v>
      </c>
      <c r="G2727">
        <v>-444.88690000000003</v>
      </c>
      <c r="H2727" s="1">
        <v>9.5868759999999994E-7</v>
      </c>
      <c r="I2727">
        <v>217.02029999999999</v>
      </c>
      <c r="J2727">
        <v>-465.90730000000002</v>
      </c>
      <c r="K2727">
        <v>1.107407</v>
      </c>
      <c r="L2727">
        <v>214.4813</v>
      </c>
      <c r="M2727">
        <v>0.98518169999999905</v>
      </c>
      <c r="N2727">
        <v>0</v>
      </c>
      <c r="O2727">
        <v>-0.17138</v>
      </c>
      <c r="P2727">
        <v>0.99873579999999995</v>
      </c>
      <c r="Q2727">
        <v>-1.6626749999999999E-2</v>
      </c>
      <c r="R2727">
        <v>-4.7437970000000003E-2</v>
      </c>
      <c r="S2727">
        <v>3.0213619999999999</v>
      </c>
      <c r="T2727">
        <v>-0.15779409999999999</v>
      </c>
      <c r="U2727">
        <v>0.3582458</v>
      </c>
      <c r="V2727">
        <v>-0.1243368</v>
      </c>
      <c r="W2727">
        <v>-1.102206E-2</v>
      </c>
      <c r="X2727">
        <v>0.99217889999999997</v>
      </c>
      <c r="Y2727">
        <v>-0.2855801</v>
      </c>
      <c r="Z2727">
        <v>1.632923E-2</v>
      </c>
      <c r="AA2727">
        <v>0.958215699999999</v>
      </c>
      <c r="AB2727">
        <v>19</v>
      </c>
      <c r="AC2727">
        <v>21.020399999999899</v>
      </c>
      <c r="AD2727">
        <v>-1.1074060413124001</v>
      </c>
      <c r="AE2727">
        <v>2.5389999999999802</v>
      </c>
      <c r="AF2727">
        <v>-6.08734051786222</v>
      </c>
      <c r="AG2727">
        <v>-1.1074060413124001</v>
      </c>
      <c r="AH2727">
        <v>20.218935527155502</v>
      </c>
      <c r="AI2727">
        <v>93.002147599719393</v>
      </c>
      <c r="AJ2727">
        <v>106.75553864979901</v>
      </c>
      <c r="AK2727">
        <v>21.1444417417914</v>
      </c>
    </row>
    <row r="2728" spans="1:37" x14ac:dyDescent="0.2">
      <c r="A2728" t="str">
        <f>"20200111155857302"</f>
        <v>20200111155857302</v>
      </c>
      <c r="B2728" t="str">
        <f>"1578729537294710"</f>
        <v>1578729537294710</v>
      </c>
      <c r="C2728" t="s">
        <v>37</v>
      </c>
      <c r="D2728">
        <v>5.6608790000000004</v>
      </c>
      <c r="E2728">
        <v>0.43753829999999999</v>
      </c>
      <c r="F2728" t="s">
        <v>50</v>
      </c>
      <c r="G2728">
        <v>-445.01679999999999</v>
      </c>
      <c r="H2728" s="1">
        <v>1.026968E-6</v>
      </c>
      <c r="I2728">
        <v>217.04</v>
      </c>
      <c r="J2728">
        <v>-465.71839999999997</v>
      </c>
      <c r="K2728">
        <v>1.10744</v>
      </c>
      <c r="L2728">
        <v>214.45689999999999</v>
      </c>
      <c r="M2728">
        <v>0.986402</v>
      </c>
      <c r="N2728">
        <v>0</v>
      </c>
      <c r="O2728">
        <v>-0.16420860000000001</v>
      </c>
      <c r="P2728">
        <v>0.99898430000000005</v>
      </c>
      <c r="Q2728">
        <v>-1.5575820000000001E-2</v>
      </c>
      <c r="R2728">
        <v>-4.2282569999999998E-2</v>
      </c>
      <c r="S2728">
        <v>3.018707</v>
      </c>
      <c r="T2728">
        <v>-0.160022</v>
      </c>
      <c r="U2728">
        <v>0.3697357</v>
      </c>
      <c r="V2728">
        <v>-0.122252</v>
      </c>
      <c r="W2728">
        <v>-9.8959369999999901E-3</v>
      </c>
      <c r="X2728">
        <v>0.99244979999999905</v>
      </c>
      <c r="Y2728">
        <v>-0.28229769999999998</v>
      </c>
      <c r="Z2728">
        <v>1.6107949999999999E-2</v>
      </c>
      <c r="AA2728">
        <v>0.95919159999999903</v>
      </c>
      <c r="AB2728">
        <v>19</v>
      </c>
      <c r="AC2728">
        <v>20.7015999999999</v>
      </c>
      <c r="AD2728">
        <v>-1.107438973032</v>
      </c>
      <c r="AE2728">
        <v>2.5831</v>
      </c>
      <c r="AF2728">
        <v>-5.9307822090373099</v>
      </c>
      <c r="AG2728">
        <v>-1.107438973032</v>
      </c>
      <c r="AH2728">
        <v>19.940209560034599</v>
      </c>
      <c r="AI2728">
        <v>93.047165462012401</v>
      </c>
      <c r="AJ2728">
        <v>106.56396637697</v>
      </c>
      <c r="AK2728">
        <v>20.832968007178401</v>
      </c>
    </row>
    <row r="2729" spans="1:37" x14ac:dyDescent="0.2">
      <c r="A2729" t="str">
        <f>"20200111155857324"</f>
        <v>20200111155857324</v>
      </c>
      <c r="B2729" t="str">
        <f>"1578729537314231"</f>
        <v>1578729537314231</v>
      </c>
      <c r="C2729" t="s">
        <v>37</v>
      </c>
      <c r="D2729">
        <v>5.6632619999999996</v>
      </c>
      <c r="E2729">
        <v>0.43785550000000001</v>
      </c>
      <c r="F2729" t="s">
        <v>50</v>
      </c>
      <c r="G2729">
        <v>-444.45870000000002</v>
      </c>
      <c r="H2729" s="1">
        <v>7.2627390000000002E-7</v>
      </c>
      <c r="I2729">
        <v>217.12459999999999</v>
      </c>
      <c r="J2729">
        <v>-465.52890000000002</v>
      </c>
      <c r="K2729">
        <v>1.1074850000000001</v>
      </c>
      <c r="L2729">
        <v>214.43389999999999</v>
      </c>
      <c r="M2729">
        <v>0.98757269999999897</v>
      </c>
      <c r="N2729">
        <v>0</v>
      </c>
      <c r="O2729">
        <v>-0.1570106</v>
      </c>
      <c r="P2729">
        <v>0.999193</v>
      </c>
      <c r="Q2729">
        <v>-1.5402590000000001E-2</v>
      </c>
      <c r="R2729">
        <v>-3.710103E-2</v>
      </c>
      <c r="S2729">
        <v>3.0166019999999998</v>
      </c>
      <c r="T2729">
        <v>-0.157138</v>
      </c>
      <c r="U2729">
        <v>0.37852479999999999</v>
      </c>
      <c r="V2729">
        <v>-0.1201636</v>
      </c>
      <c r="W2729">
        <v>-9.6516529999999996E-3</v>
      </c>
      <c r="X2729">
        <v>0.99270720000000001</v>
      </c>
      <c r="Y2729">
        <v>-0.27816999999999997</v>
      </c>
      <c r="Z2729">
        <v>1.5348240000000001E-2</v>
      </c>
      <c r="AA2729">
        <v>0.96040919999999896</v>
      </c>
      <c r="AB2729">
        <v>19</v>
      </c>
      <c r="AC2729">
        <v>21.0702</v>
      </c>
      <c r="AD2729">
        <v>-1.1074842737260999</v>
      </c>
      <c r="AE2729">
        <v>2.6906999999999899</v>
      </c>
      <c r="AF2729">
        <v>-5.9494762615207302</v>
      </c>
      <c r="AG2729">
        <v>-1.1074842737260999</v>
      </c>
      <c r="AH2729">
        <v>20.331105486144502</v>
      </c>
      <c r="AI2729">
        <v>92.992696735024893</v>
      </c>
      <c r="AJ2729">
        <v>106.311019884874</v>
      </c>
      <c r="AK2729">
        <v>21.212652815988999</v>
      </c>
    </row>
    <row r="2730" spans="1:37" x14ac:dyDescent="0.2">
      <c r="A2730" t="str">
        <f>"20200111155857347"</f>
        <v>20200111155857347</v>
      </c>
      <c r="B2730" t="str">
        <f>"1578729537344016"</f>
        <v>1578729537344016</v>
      </c>
      <c r="C2730" t="s">
        <v>37</v>
      </c>
      <c r="D2730">
        <v>5.6865959999999998</v>
      </c>
      <c r="E2730">
        <v>0.46243279999999998</v>
      </c>
      <c r="F2730" t="s">
        <v>50</v>
      </c>
      <c r="G2730">
        <v>-443.9246</v>
      </c>
      <c r="H2730" s="1">
        <v>4.36862099999999E-7</v>
      </c>
      <c r="I2730">
        <v>217.2432</v>
      </c>
      <c r="J2730">
        <v>-465.33929999999998</v>
      </c>
      <c r="K2730">
        <v>1.1075280000000001</v>
      </c>
      <c r="L2730">
        <v>214.41229999999999</v>
      </c>
      <c r="M2730">
        <v>0.98869259999999903</v>
      </c>
      <c r="N2730">
        <v>0</v>
      </c>
      <c r="O2730">
        <v>-0.14979509999999999</v>
      </c>
      <c r="P2730">
        <v>0.9993455</v>
      </c>
      <c r="Q2730">
        <v>-1.5441899999999901E-2</v>
      </c>
      <c r="R2730">
        <v>-3.2712810000000002E-2</v>
      </c>
      <c r="S2730">
        <v>3.014618</v>
      </c>
      <c r="T2730">
        <v>-0.1545358</v>
      </c>
      <c r="U2730">
        <v>0.39201350000000001</v>
      </c>
      <c r="V2730">
        <v>-0.1172728</v>
      </c>
      <c r="W2730">
        <v>-9.6170819999999903E-3</v>
      </c>
      <c r="X2730">
        <v>0.99305309999999902</v>
      </c>
      <c r="Y2730">
        <v>-0.27549400000000002</v>
      </c>
      <c r="Z2730">
        <v>1.4665829999999999E-2</v>
      </c>
      <c r="AA2730">
        <v>0.96119089999999996</v>
      </c>
      <c r="AB2730">
        <v>19</v>
      </c>
      <c r="AC2730">
        <v>21.4146999999999</v>
      </c>
      <c r="AD2730">
        <v>-1.1075275631379</v>
      </c>
      <c r="AE2730">
        <v>2.83090000000001</v>
      </c>
      <c r="AF2730">
        <v>-5.9911027450173204</v>
      </c>
      <c r="AG2730">
        <v>-1.1075275631379</v>
      </c>
      <c r="AH2730">
        <v>20.694599877087299</v>
      </c>
      <c r="AI2730">
        <v>92.942803728770301</v>
      </c>
      <c r="AJ2730">
        <v>106.145771056425</v>
      </c>
      <c r="AK2730">
        <v>21.572816076655499</v>
      </c>
    </row>
    <row r="2731" spans="1:37" x14ac:dyDescent="0.2">
      <c r="A2731" t="str">
        <f>"20200111155857370"</f>
        <v>20200111155857370</v>
      </c>
      <c r="B2731" t="str">
        <f>"1578729537364513"</f>
        <v>1578729537364513</v>
      </c>
      <c r="C2731" t="s">
        <v>37</v>
      </c>
      <c r="D2731">
        <v>5.7118739999999999</v>
      </c>
      <c r="E2731">
        <v>0.46338289999999999</v>
      </c>
      <c r="F2731" t="s">
        <v>50</v>
      </c>
      <c r="G2731">
        <v>-447.38459999999998</v>
      </c>
      <c r="H2731" s="1">
        <v>2.3466210000000001E-6</v>
      </c>
      <c r="I2731">
        <v>215.6754</v>
      </c>
      <c r="J2731">
        <v>-465.14359999999999</v>
      </c>
      <c r="K2731">
        <v>1.1075740000000001</v>
      </c>
      <c r="L2731">
        <v>214.39150000000001</v>
      </c>
      <c r="M2731">
        <v>0.98979340000000005</v>
      </c>
      <c r="N2731">
        <v>0</v>
      </c>
      <c r="O2731">
        <v>-0.14233789999999999</v>
      </c>
      <c r="P2731">
        <v>0.99950369999999999</v>
      </c>
      <c r="Q2731">
        <v>-1.474317E-2</v>
      </c>
      <c r="R2731">
        <v>-2.7840569999999999E-2</v>
      </c>
      <c r="S2731">
        <v>3.0060119999999899</v>
      </c>
      <c r="T2731">
        <v>-0.18542429999999999</v>
      </c>
      <c r="U2731">
        <v>0.21147159999999901</v>
      </c>
      <c r="V2731">
        <v>-0.11463619999999999</v>
      </c>
      <c r="W2731">
        <v>-8.8501199999999995E-3</v>
      </c>
      <c r="X2731">
        <v>0.99336809999999998</v>
      </c>
      <c r="Y2731">
        <v>-0.2107839</v>
      </c>
      <c r="Z2731">
        <v>1.523654E-2</v>
      </c>
      <c r="AA2731">
        <v>0.97741399999999901</v>
      </c>
      <c r="AB2731">
        <v>19</v>
      </c>
      <c r="AC2731">
        <v>17.759</v>
      </c>
      <c r="AD2731">
        <v>-1.1075716533790001</v>
      </c>
      <c r="AE2731">
        <v>1.2838999999999801</v>
      </c>
      <c r="AF2731">
        <v>-3.7840256056286998</v>
      </c>
      <c r="AG2731">
        <v>-1.1075716533790001</v>
      </c>
      <c r="AH2731">
        <v>17.328368858579001</v>
      </c>
      <c r="AI2731">
        <v>93.573202459518299</v>
      </c>
      <c r="AJ2731">
        <v>102.31840122673501</v>
      </c>
      <c r="AK2731">
        <v>17.771267035594001</v>
      </c>
    </row>
    <row r="2732" spans="1:37" x14ac:dyDescent="0.2">
      <c r="A2732" t="str">
        <f>"20200111155857391"</f>
        <v>20200111155857391</v>
      </c>
      <c r="B2732" t="str">
        <f>"1578729537384032"</f>
        <v>1578729537384032</v>
      </c>
      <c r="C2732" t="s">
        <v>37</v>
      </c>
      <c r="D2732">
        <v>5.618805</v>
      </c>
      <c r="E2732">
        <v>0.46438779999999902</v>
      </c>
      <c r="F2732" t="s">
        <v>50</v>
      </c>
      <c r="G2732">
        <v>-446.48270000000002</v>
      </c>
      <c r="H2732" s="1">
        <v>1.8635790000000001E-6</v>
      </c>
      <c r="I2732">
        <v>215.74690000000001</v>
      </c>
      <c r="J2732">
        <v>-464.95339999999999</v>
      </c>
      <c r="K2732">
        <v>1.107618</v>
      </c>
      <c r="L2732">
        <v>214.37270000000001</v>
      </c>
      <c r="M2732">
        <v>0.99080990000000002</v>
      </c>
      <c r="N2732">
        <v>0</v>
      </c>
      <c r="O2732">
        <v>-0.135077</v>
      </c>
      <c r="P2732">
        <v>0.99962109999999904</v>
      </c>
      <c r="Q2732">
        <v>-1.402516E-2</v>
      </c>
      <c r="R2732">
        <v>-2.3686430000000001E-2</v>
      </c>
      <c r="S2732">
        <v>3.0049440000000001</v>
      </c>
      <c r="T2732">
        <v>-0.17835119999999999</v>
      </c>
      <c r="U2732">
        <v>0.2182617</v>
      </c>
      <c r="V2732">
        <v>-0.111488799999999</v>
      </c>
      <c r="W2732">
        <v>-8.0628660000000001E-3</v>
      </c>
      <c r="X2732">
        <v>0.99373299999999998</v>
      </c>
      <c r="Y2732">
        <v>-0.2059076</v>
      </c>
      <c r="Z2732">
        <v>1.4088389999999999E-2</v>
      </c>
      <c r="AA2732">
        <v>0.97846999999999995</v>
      </c>
      <c r="AB2732">
        <v>20</v>
      </c>
      <c r="AC2732">
        <v>18.470699999999901</v>
      </c>
      <c r="AD2732">
        <v>-1.107616136421</v>
      </c>
      <c r="AE2732">
        <v>1.3742000000000001</v>
      </c>
      <c r="AF2732">
        <v>-3.8428913027944098</v>
      </c>
      <c r="AG2732">
        <v>-1.107616136421</v>
      </c>
      <c r="AH2732">
        <v>18.051228291924499</v>
      </c>
      <c r="AI2732">
        <v>93.434469343692399</v>
      </c>
      <c r="AJ2732">
        <v>102.01817219973699</v>
      </c>
      <c r="AK2732">
        <v>18.4889553495575</v>
      </c>
    </row>
    <row r="2733" spans="1:37" x14ac:dyDescent="0.2">
      <c r="A2733" t="str">
        <f>"20200111155857414"</f>
        <v>20200111155857414</v>
      </c>
      <c r="B2733" t="str">
        <f>"1578729537404529"</f>
        <v>1578729537404529</v>
      </c>
      <c r="C2733" t="s">
        <v>37</v>
      </c>
      <c r="D2733">
        <v>5.6543549999999998</v>
      </c>
      <c r="E2733">
        <v>0.46491109999999902</v>
      </c>
      <c r="F2733" t="s">
        <v>50</v>
      </c>
      <c r="G2733">
        <v>-445.44619999999998</v>
      </c>
      <c r="H2733" s="1">
        <v>1.308891E-6</v>
      </c>
      <c r="I2733">
        <v>215.81780000000001</v>
      </c>
      <c r="J2733">
        <v>-464.76350000000002</v>
      </c>
      <c r="K2733">
        <v>1.1076569999999999</v>
      </c>
      <c r="L2733">
        <v>214.3554</v>
      </c>
      <c r="M2733">
        <v>0.99177209999999905</v>
      </c>
      <c r="N2733">
        <v>0</v>
      </c>
      <c r="O2733">
        <v>-0.12781880000000001</v>
      </c>
      <c r="P2733">
        <v>0.99971149999999998</v>
      </c>
      <c r="Q2733">
        <v>-1.427316E-2</v>
      </c>
      <c r="R2733">
        <v>-1.9324919999999999E-2</v>
      </c>
      <c r="S2733">
        <v>3.0040279999999999</v>
      </c>
      <c r="T2733">
        <v>-0.1705681</v>
      </c>
      <c r="U2733">
        <v>0.22253419999999999</v>
      </c>
      <c r="V2733">
        <v>-0.10854510000000001</v>
      </c>
      <c r="W2733">
        <v>-8.2464289999999996E-3</v>
      </c>
      <c r="X2733">
        <v>0.99405739999999998</v>
      </c>
      <c r="Y2733">
        <v>-0.20021710000000001</v>
      </c>
      <c r="Z2733">
        <v>1.2907439999999999E-2</v>
      </c>
      <c r="AA2733">
        <v>0.9796665</v>
      </c>
      <c r="AB2733">
        <v>20</v>
      </c>
      <c r="AC2733">
        <v>19.317299999999999</v>
      </c>
      <c r="AD2733">
        <v>-1.1076556911090001</v>
      </c>
      <c r="AE2733">
        <v>1.4623999999999999</v>
      </c>
      <c r="AF2733">
        <v>-3.9068085660982699</v>
      </c>
      <c r="AG2733">
        <v>-1.1076556911090001</v>
      </c>
      <c r="AH2733">
        <v>18.910095667472898</v>
      </c>
      <c r="AI2733">
        <v>93.283082721673694</v>
      </c>
      <c r="AJ2733">
        <v>101.673024548177</v>
      </c>
      <c r="AK2733">
        <v>19.3411936667612</v>
      </c>
    </row>
    <row r="2734" spans="1:37" x14ac:dyDescent="0.2">
      <c r="A2734" t="str">
        <f>"20200111155857436"</f>
        <v>20200111155857436</v>
      </c>
      <c r="B2734" t="str">
        <f>"1578729537424048"</f>
        <v>1578729537424048</v>
      </c>
      <c r="C2734" t="s">
        <v>37</v>
      </c>
      <c r="D2734">
        <v>5.7035619999999998</v>
      </c>
      <c r="E2734">
        <v>0.47116980000000003</v>
      </c>
      <c r="F2734" t="s">
        <v>50</v>
      </c>
      <c r="G2734">
        <v>-445.23970000000003</v>
      </c>
      <c r="H2734" s="1">
        <v>1.19711E-6</v>
      </c>
      <c r="I2734">
        <v>215.8612</v>
      </c>
      <c r="J2734">
        <v>-464.5677</v>
      </c>
      <c r="K2734">
        <v>1.107688</v>
      </c>
      <c r="L2734">
        <v>214.3389</v>
      </c>
      <c r="M2734">
        <v>0.99270849999999899</v>
      </c>
      <c r="N2734">
        <v>0</v>
      </c>
      <c r="O2734">
        <v>-0.12032709999999899</v>
      </c>
      <c r="P2734">
        <v>0.99975499999999995</v>
      </c>
      <c r="Q2734">
        <v>-1.5658060000000001E-2</v>
      </c>
      <c r="R2734">
        <v>-1.565035E-2</v>
      </c>
      <c r="S2734">
        <v>3.002869</v>
      </c>
      <c r="T2734">
        <v>-0.17036319999999999</v>
      </c>
      <c r="U2734">
        <v>0.231597899999999</v>
      </c>
      <c r="V2734">
        <v>-0.10467699999999899</v>
      </c>
      <c r="W2734">
        <v>-9.5591340000000004E-3</v>
      </c>
      <c r="X2734">
        <v>0.99446029999999996</v>
      </c>
      <c r="Y2734">
        <v>-0.19580649999999999</v>
      </c>
      <c r="Z2734">
        <v>1.2348380000000001E-2</v>
      </c>
      <c r="AA2734">
        <v>0.98056480000000001</v>
      </c>
      <c r="AB2734">
        <v>20</v>
      </c>
      <c r="AC2734">
        <v>19.3279999999999</v>
      </c>
      <c r="AD2734">
        <v>-1.10768680289</v>
      </c>
      <c r="AE2734">
        <v>1.5223</v>
      </c>
      <c r="AF2734">
        <v>-3.82449675696133</v>
      </c>
      <c r="AG2734">
        <v>-1.10768680289</v>
      </c>
      <c r="AH2734">
        <v>18.942550747451801</v>
      </c>
      <c r="AI2734">
        <v>93.280576511397996</v>
      </c>
      <c r="AJ2734">
        <v>101.41455678741499</v>
      </c>
      <c r="AK2734">
        <v>19.3564969536611</v>
      </c>
    </row>
    <row r="2735" spans="1:37" x14ac:dyDescent="0.2">
      <c r="A2735" t="str">
        <f>"20200111155857459"</f>
        <v>20200111155857459</v>
      </c>
      <c r="B2735" t="str">
        <f>"1578729537454304"</f>
        <v>1578729537454304</v>
      </c>
      <c r="C2735" t="s">
        <v>37</v>
      </c>
      <c r="D2735">
        <v>5.658963</v>
      </c>
      <c r="E2735">
        <v>0.47051219999999999</v>
      </c>
      <c r="F2735" t="s">
        <v>50</v>
      </c>
      <c r="G2735">
        <v>-441.60599999999999</v>
      </c>
      <c r="H2735" s="1">
        <v>-7.3378749999999899E-7</v>
      </c>
      <c r="I2735">
        <v>215.7971</v>
      </c>
      <c r="J2735">
        <v>-464.3732</v>
      </c>
      <c r="K2735">
        <v>1.1077109999999999</v>
      </c>
      <c r="L2735">
        <v>214.32409999999999</v>
      </c>
      <c r="M2735">
        <v>0.99358230000000003</v>
      </c>
      <c r="N2735">
        <v>0</v>
      </c>
      <c r="O2735">
        <v>-0.1128835</v>
      </c>
      <c r="P2735">
        <v>0.99979370000000001</v>
      </c>
      <c r="Q2735">
        <v>-1.6414720000000001E-2</v>
      </c>
      <c r="R2735">
        <v>-1.1971519999999999E-2</v>
      </c>
      <c r="S2735">
        <v>3.001465</v>
      </c>
      <c r="T2735">
        <v>-0.14479220000000001</v>
      </c>
      <c r="U2735">
        <v>0.1905975</v>
      </c>
      <c r="V2735">
        <v>-0.1008735</v>
      </c>
      <c r="W2735">
        <v>-1.0246740000000001E-2</v>
      </c>
      <c r="X2735">
        <v>0.99484649999999997</v>
      </c>
      <c r="Y2735">
        <v>-0.17529429999999999</v>
      </c>
      <c r="Z2735">
        <v>9.6546640000000003E-3</v>
      </c>
      <c r="AA2735">
        <v>0.98446880000000003</v>
      </c>
      <c r="AB2735">
        <v>20</v>
      </c>
      <c r="AC2735">
        <v>22.767199999999999</v>
      </c>
      <c r="AD2735">
        <v>-1.1077117337875</v>
      </c>
      <c r="AE2735">
        <v>1.4730000000000101</v>
      </c>
      <c r="AF2735">
        <v>-4.0242055001450199</v>
      </c>
      <c r="AG2735">
        <v>-1.1077117337875</v>
      </c>
      <c r="AH2735">
        <v>22.402577857785701</v>
      </c>
      <c r="AI2735">
        <v>92.786203055487505</v>
      </c>
      <c r="AJ2735">
        <v>100.18351368260601</v>
      </c>
      <c r="AK2735">
        <v>22.788083505786901</v>
      </c>
    </row>
    <row r="2736" spans="1:37" x14ac:dyDescent="0.2">
      <c r="A2736" t="str">
        <f>"20200111155857548"</f>
        <v>20200111155857548</v>
      </c>
      <c r="B2736" t="str">
        <f>"1578729537544097"</f>
        <v>1578729537544097</v>
      </c>
      <c r="C2736" t="s">
        <v>37</v>
      </c>
      <c r="D2736">
        <v>5.329618</v>
      </c>
      <c r="E2736">
        <v>0.42353160000000001</v>
      </c>
      <c r="F2736" t="s">
        <v>50</v>
      </c>
      <c r="G2736">
        <v>-440.7971</v>
      </c>
      <c r="H2736" s="1">
        <v>-1.1708069999999899E-6</v>
      </c>
      <c r="I2736">
        <v>215.94720000000001</v>
      </c>
      <c r="J2736">
        <v>-463.58089999999999</v>
      </c>
      <c r="K2736">
        <v>1.1077539999999999</v>
      </c>
      <c r="L2736">
        <v>214.27809999999999</v>
      </c>
      <c r="M2736">
        <v>0.99653130000000001</v>
      </c>
      <c r="N2736">
        <v>0</v>
      </c>
      <c r="O2736">
        <v>-8.2898620000000006E-2</v>
      </c>
      <c r="P2736">
        <v>0.99989660000000002</v>
      </c>
      <c r="Q2736">
        <v>-1.1301520000000001E-2</v>
      </c>
      <c r="R2736">
        <v>8.9115429999999992E-3</v>
      </c>
      <c r="S2736">
        <v>3.0007929999999998</v>
      </c>
      <c r="T2736">
        <v>-0.14099049999999999</v>
      </c>
      <c r="U2736">
        <v>0.20658869999999999</v>
      </c>
      <c r="V2736">
        <v>-9.1729870000000005E-2</v>
      </c>
      <c r="W2736">
        <v>-4.9283829999999997E-3</v>
      </c>
      <c r="X2736">
        <v>0.99577169999999904</v>
      </c>
      <c r="Y2736">
        <v>-0.1508939</v>
      </c>
      <c r="Z2736">
        <v>7.4264169999999899E-3</v>
      </c>
      <c r="AA2736">
        <v>0.98852209999999996</v>
      </c>
      <c r="AB2736">
        <v>20</v>
      </c>
      <c r="AC2736">
        <v>22.7837999999999</v>
      </c>
      <c r="AD2736">
        <v>-1.1077551708069999</v>
      </c>
      <c r="AE2736">
        <v>1.66910000000001</v>
      </c>
      <c r="AF2736">
        <v>-3.5438178060891401</v>
      </c>
      <c r="AG2736">
        <v>-1.1077551708069999</v>
      </c>
      <c r="AH2736">
        <v>22.514066237764101</v>
      </c>
      <c r="AI2736">
        <v>92.782635494542802</v>
      </c>
      <c r="AJ2736">
        <v>98.945225405288397</v>
      </c>
      <c r="AK2736">
        <v>22.818171371072498</v>
      </c>
    </row>
    <row r="2737" spans="1:37" x14ac:dyDescent="0.2">
      <c r="A2737" t="str">
        <f>"20200111155857571"</f>
        <v>20200111155857571</v>
      </c>
      <c r="B2737" t="str">
        <f>"1578729537564593"</f>
        <v>1578729537564593</v>
      </c>
      <c r="C2737" t="s">
        <v>37</v>
      </c>
      <c r="D2737">
        <v>5.2311170000000002</v>
      </c>
      <c r="E2737">
        <v>0.41481309999999899</v>
      </c>
      <c r="F2737" t="s">
        <v>50</v>
      </c>
      <c r="G2737">
        <v>-440.17219999999998</v>
      </c>
      <c r="H2737" s="1">
        <v>-1.650941E-6</v>
      </c>
      <c r="I2737">
        <v>219.3244</v>
      </c>
      <c r="J2737">
        <v>-463.37389999999999</v>
      </c>
      <c r="K2737">
        <v>1.1076969999999999</v>
      </c>
      <c r="L2737">
        <v>214.2698</v>
      </c>
      <c r="M2737">
        <v>0.99713430000000003</v>
      </c>
      <c r="N2737">
        <v>0</v>
      </c>
      <c r="O2737">
        <v>-7.529682E-2</v>
      </c>
      <c r="P2737">
        <v>0.99980460000000004</v>
      </c>
      <c r="Q2737">
        <v>-1.4290290000000001E-2</v>
      </c>
      <c r="R2737">
        <v>1.366445E-2</v>
      </c>
      <c r="S2737">
        <v>2.9929199999999998</v>
      </c>
      <c r="T2737">
        <v>-0.14163199999999901</v>
      </c>
      <c r="U2737">
        <v>0.64518739999999997</v>
      </c>
      <c r="V2737">
        <v>-8.8838070000000005E-2</v>
      </c>
      <c r="W2737">
        <v>-7.8593229999999997E-3</v>
      </c>
      <c r="X2737">
        <v>0.99601509999999904</v>
      </c>
      <c r="Y2737">
        <v>-0.28335509999999903</v>
      </c>
      <c r="Z2737">
        <v>1.0150330000000001E-2</v>
      </c>
      <c r="AA2737">
        <v>0.95896139999999996</v>
      </c>
      <c r="AB2737">
        <v>20</v>
      </c>
      <c r="AC2737">
        <v>23.201699999999999</v>
      </c>
      <c r="AD2737">
        <v>-1.1076986509409901</v>
      </c>
      <c r="AE2737">
        <v>5.05459999999999</v>
      </c>
      <c r="AF2737">
        <v>-6.7725737259495302</v>
      </c>
      <c r="AG2737">
        <v>-1.1076986509409901</v>
      </c>
      <c r="AH2737">
        <v>22.705816509396701</v>
      </c>
      <c r="AI2737">
        <v>92.676600248615102</v>
      </c>
      <c r="AJ2737">
        <v>106.608518167844</v>
      </c>
      <c r="AK2737">
        <v>23.720220372777099</v>
      </c>
    </row>
    <row r="2738" spans="1:37" x14ac:dyDescent="0.2">
      <c r="A2738" t="str">
        <f>"20200111155857594"</f>
        <v>20200111155857594</v>
      </c>
      <c r="B2738" t="str">
        <f>"1578729537585089"</f>
        <v>1578729537585089</v>
      </c>
      <c r="C2738" t="s">
        <v>37</v>
      </c>
      <c r="D2738">
        <v>5.283811</v>
      </c>
      <c r="E2738">
        <v>0.4113388</v>
      </c>
      <c r="F2738" t="s">
        <v>52</v>
      </c>
      <c r="G2738">
        <v>-432.06760000000003</v>
      </c>
      <c r="H2738">
        <v>8.0000080000000001E-2</v>
      </c>
      <c r="I2738">
        <v>221.86529999999999</v>
      </c>
      <c r="J2738">
        <v>-463.16500000000002</v>
      </c>
      <c r="K2738">
        <v>1.107623</v>
      </c>
      <c r="L2738">
        <v>214.2629</v>
      </c>
      <c r="M2738">
        <v>0.99767309999999998</v>
      </c>
      <c r="N2738">
        <v>0</v>
      </c>
      <c r="O2738">
        <v>-6.7784109999999995E-2</v>
      </c>
      <c r="P2738">
        <v>0.99970170000000003</v>
      </c>
      <c r="Q2738">
        <v>-1.5144609999999999E-2</v>
      </c>
      <c r="R2738">
        <v>1.9169220000000001E-2</v>
      </c>
      <c r="S2738">
        <v>2.989258</v>
      </c>
      <c r="T2738">
        <v>-9.8128800000000002E-2</v>
      </c>
      <c r="U2738">
        <v>0.72525019999999996</v>
      </c>
      <c r="V2738">
        <v>-8.6813139999999997E-2</v>
      </c>
      <c r="W2738">
        <v>-8.6536830000000006E-3</v>
      </c>
      <c r="X2738">
        <v>0.99618700000000004</v>
      </c>
      <c r="Y2738">
        <v>-0.30092279999999999</v>
      </c>
      <c r="Z2738">
        <v>7.0633759999999997E-3</v>
      </c>
      <c r="AA2738">
        <v>0.95362230000000003</v>
      </c>
      <c r="AB2738">
        <v>20</v>
      </c>
      <c r="AC2738">
        <v>31.0974</v>
      </c>
      <c r="AD2738">
        <v>-1.02762292</v>
      </c>
      <c r="AE2738">
        <v>7.6023999999999798</v>
      </c>
      <c r="AF2738">
        <v>-9.6829024689532002</v>
      </c>
      <c r="AG2738">
        <v>-1.02762292</v>
      </c>
      <c r="AH2738">
        <v>30.479130802043802</v>
      </c>
      <c r="AI2738">
        <v>91.840455122792903</v>
      </c>
      <c r="AJ2738">
        <v>107.624510546385</v>
      </c>
      <c r="AK2738">
        <v>31.996750202748199</v>
      </c>
    </row>
    <row r="2739" spans="1:37" x14ac:dyDescent="0.2">
      <c r="A2739" t="str">
        <f>"20200111155857617"</f>
        <v>20200111155857617</v>
      </c>
      <c r="B2739" t="str">
        <f>"1578729537614369"</f>
        <v>1578729537614369</v>
      </c>
      <c r="C2739" t="s">
        <v>37</v>
      </c>
      <c r="D2739">
        <v>5.2157710000000002</v>
      </c>
      <c r="E2739">
        <v>0.40773870000000001</v>
      </c>
      <c r="F2739" t="s">
        <v>52</v>
      </c>
      <c r="G2739">
        <v>-422.87110000000001</v>
      </c>
      <c r="H2739" s="1">
        <v>1.5029949999999999E-6</v>
      </c>
      <c r="I2739">
        <v>224.6336</v>
      </c>
      <c r="J2739">
        <v>-462.96080000000001</v>
      </c>
      <c r="K2739">
        <v>1.107529</v>
      </c>
      <c r="L2739">
        <v>214.25739999999999</v>
      </c>
      <c r="M2739">
        <v>0.99813019999999997</v>
      </c>
      <c r="N2739">
        <v>0</v>
      </c>
      <c r="O2739">
        <v>-6.0676019999999997E-2</v>
      </c>
      <c r="P2739">
        <v>0.99959500000000001</v>
      </c>
      <c r="Q2739">
        <v>-1.3306999999999999E-2</v>
      </c>
      <c r="R2739">
        <v>2.5161280000000001E-2</v>
      </c>
      <c r="S2739">
        <v>2.984985</v>
      </c>
      <c r="T2739">
        <v>-8.2052949999999999E-2</v>
      </c>
      <c r="U2739">
        <v>0.76826479999999997</v>
      </c>
      <c r="V2739">
        <v>-8.5709939999999998E-2</v>
      </c>
      <c r="W2739">
        <v>-6.73011099999999E-3</v>
      </c>
      <c r="X2739">
        <v>0.9962974</v>
      </c>
      <c r="Y2739">
        <v>-0.30742559999999902</v>
      </c>
      <c r="Z2739">
        <v>5.8001550000000004E-3</v>
      </c>
      <c r="AA2739">
        <v>0.95155449999999997</v>
      </c>
      <c r="AB2739">
        <v>20</v>
      </c>
      <c r="AC2739">
        <v>40.089699999999901</v>
      </c>
      <c r="AD2739">
        <v>-1.107527497005</v>
      </c>
      <c r="AE2739">
        <v>10.376200000000001</v>
      </c>
      <c r="AF2739">
        <v>-12.780488924890401</v>
      </c>
      <c r="AG2739">
        <v>-1.107527497005</v>
      </c>
      <c r="AH2739">
        <v>39.358075038237203</v>
      </c>
      <c r="AI2739">
        <v>91.533101844262902</v>
      </c>
      <c r="AJ2739">
        <v>107.98982774716001</v>
      </c>
      <c r="AK2739">
        <v>41.395960974850901</v>
      </c>
    </row>
    <row r="2740" spans="1:37" x14ac:dyDescent="0.2">
      <c r="A2740" t="str">
        <f>"20200111155857641"</f>
        <v>20200111155857641</v>
      </c>
      <c r="B2740" t="str">
        <f>"1578729537634865"</f>
        <v>1578729537634865</v>
      </c>
      <c r="C2740" t="s">
        <v>37</v>
      </c>
      <c r="D2740">
        <v>5.3009120000000003</v>
      </c>
      <c r="E2740">
        <v>0.407470099999999</v>
      </c>
      <c r="F2740" t="s">
        <v>41</v>
      </c>
      <c r="G2740">
        <v>-397.02370000000002</v>
      </c>
      <c r="H2740">
        <v>-0.05</v>
      </c>
      <c r="I2740">
        <v>232.25489999999999</v>
      </c>
      <c r="J2740">
        <v>-462.73779999999999</v>
      </c>
      <c r="K2740">
        <v>1.1073979999999899</v>
      </c>
      <c r="L2740">
        <v>214.2526</v>
      </c>
      <c r="M2740">
        <v>0.99855169999999904</v>
      </c>
      <c r="N2740">
        <v>0</v>
      </c>
      <c r="O2740">
        <v>-5.3271060000000002E-2</v>
      </c>
      <c r="P2740">
        <v>0.99946049999999997</v>
      </c>
      <c r="Q2740">
        <v>-8.2374049999999997E-3</v>
      </c>
      <c r="R2740">
        <v>3.1795400000000001E-2</v>
      </c>
      <c r="S2740">
        <v>2.9800419999999899</v>
      </c>
      <c r="T2740">
        <v>-5.2314760000000002E-2</v>
      </c>
      <c r="U2740">
        <v>0.81340029999999997</v>
      </c>
      <c r="V2740">
        <v>-8.4984409999999996E-2</v>
      </c>
      <c r="W2740">
        <v>-1.4892099999999999E-3</v>
      </c>
      <c r="X2740">
        <v>0.99638119999999997</v>
      </c>
      <c r="Y2740">
        <v>-0.31428249999999902</v>
      </c>
      <c r="Z2740">
        <v>3.6285290000000001E-3</v>
      </c>
      <c r="AA2740">
        <v>0.94932260000000002</v>
      </c>
      <c r="AB2740">
        <v>20</v>
      </c>
      <c r="AC2740">
        <v>65.714099999999902</v>
      </c>
      <c r="AD2740">
        <v>-1.1573979999999999</v>
      </c>
      <c r="AE2740">
        <v>18.002299999999899</v>
      </c>
      <c r="AF2740">
        <v>-21.471300356604701</v>
      </c>
      <c r="AG2740">
        <v>-1.1573979999999999</v>
      </c>
      <c r="AH2740">
        <v>64.643104999581993</v>
      </c>
      <c r="AI2740">
        <v>90.973456128767197</v>
      </c>
      <c r="AJ2740">
        <v>108.373981435037</v>
      </c>
      <c r="AK2740">
        <v>68.125526296102194</v>
      </c>
    </row>
    <row r="2741" spans="1:37" x14ac:dyDescent="0.2">
      <c r="A2741" t="str">
        <f>"20200111155857661"</f>
        <v>20200111155857661</v>
      </c>
      <c r="B2741" t="str">
        <f>"1578729537654385"</f>
        <v>1578729537654385</v>
      </c>
      <c r="C2741" t="s">
        <v>37</v>
      </c>
      <c r="D2741">
        <v>5.2927049999999998</v>
      </c>
      <c r="E2741">
        <v>0.4076301</v>
      </c>
      <c r="F2741" t="s">
        <v>41</v>
      </c>
      <c r="G2741">
        <v>-396.51729999999998</v>
      </c>
      <c r="H2741">
        <v>-0.05</v>
      </c>
      <c r="I2741">
        <v>232.86279999999999</v>
      </c>
      <c r="J2741">
        <v>-462.56139999999999</v>
      </c>
      <c r="K2741">
        <v>1.107253</v>
      </c>
      <c r="L2741">
        <v>214.24959999999999</v>
      </c>
      <c r="M2741">
        <v>0.998828099999999</v>
      </c>
      <c r="N2741">
        <v>0</v>
      </c>
      <c r="O2741">
        <v>-4.7784670000000001E-2</v>
      </c>
      <c r="P2741">
        <v>0.999314699999999</v>
      </c>
      <c r="Q2741">
        <v>-3.0573179999999998E-3</v>
      </c>
      <c r="R2741">
        <v>3.6888810000000001E-2</v>
      </c>
      <c r="S2741">
        <v>2.9746090000000001</v>
      </c>
      <c r="T2741">
        <v>-5.199003E-2</v>
      </c>
      <c r="U2741">
        <v>0.83596800000000004</v>
      </c>
      <c r="V2741">
        <v>-8.4635580000000002E-2</v>
      </c>
      <c r="W2741">
        <v>3.9218009999999999E-3</v>
      </c>
      <c r="X2741">
        <v>0.99640419999999996</v>
      </c>
      <c r="Y2741">
        <v>-0.31619639999999999</v>
      </c>
      <c r="Z2741">
        <v>3.5309209999999998E-3</v>
      </c>
      <c r="AA2741">
        <v>0.94868709999999901</v>
      </c>
      <c r="AB2741">
        <v>21</v>
      </c>
      <c r="AC2741">
        <v>66.0441</v>
      </c>
      <c r="AD2741">
        <v>-1.1572530000000001</v>
      </c>
      <c r="AE2741">
        <v>18.613199999999999</v>
      </c>
      <c r="AF2741">
        <v>-21.741740572701701</v>
      </c>
      <c r="AG2741">
        <v>-1.1572530000000001</v>
      </c>
      <c r="AH2741">
        <v>65.060692812793505</v>
      </c>
      <c r="AI2741">
        <v>90.966501172926002</v>
      </c>
      <c r="AJ2741">
        <v>108.478405600133</v>
      </c>
      <c r="AK2741">
        <v>68.607115279082805</v>
      </c>
    </row>
    <row r="2742" spans="1:37" x14ac:dyDescent="0.2">
      <c r="A2742" t="str">
        <f>"20200111155857683"</f>
        <v>20200111155857683</v>
      </c>
      <c r="B2742" t="str">
        <f>"1578729537674880"</f>
        <v>1578729537674880</v>
      </c>
      <c r="C2742" t="s">
        <v>37</v>
      </c>
      <c r="D2742">
        <v>5.4712759999999996</v>
      </c>
      <c r="E2742">
        <v>0.40812959999999998</v>
      </c>
      <c r="F2742" t="s">
        <v>41</v>
      </c>
      <c r="G2742">
        <v>-390.35890000000001</v>
      </c>
      <c r="H2742">
        <v>-0.05</v>
      </c>
      <c r="I2742">
        <v>234.91630000000001</v>
      </c>
      <c r="J2742">
        <v>-462.35680000000002</v>
      </c>
      <c r="K2742">
        <v>1.1070139999999999</v>
      </c>
      <c r="L2742">
        <v>214.24690000000001</v>
      </c>
      <c r="M2742">
        <v>0.99908999999999903</v>
      </c>
      <c r="N2742">
        <v>0</v>
      </c>
      <c r="O2742">
        <v>-4.1887290000000001E-2</v>
      </c>
      <c r="P2742">
        <v>0.99908790000000003</v>
      </c>
      <c r="Q2742">
        <v>-7.5920109999999996E-4</v>
      </c>
      <c r="R2742">
        <v>4.2692679999999997E-2</v>
      </c>
      <c r="S2742">
        <v>2.9705509999999999</v>
      </c>
      <c r="T2742">
        <v>-4.7611590000000002E-2</v>
      </c>
      <c r="U2742">
        <v>0.85026550000000001</v>
      </c>
      <c r="V2742">
        <v>-8.4557880000000002E-2</v>
      </c>
      <c r="W2742">
        <v>6.6111249999999998E-3</v>
      </c>
      <c r="X2742">
        <v>0.99639669999999902</v>
      </c>
      <c r="Y2742">
        <v>-0.31516840000000002</v>
      </c>
      <c r="Z2742">
        <v>3.134829E-3</v>
      </c>
      <c r="AA2742">
        <v>0.94903059999999995</v>
      </c>
      <c r="AB2742">
        <v>21</v>
      </c>
      <c r="AC2742">
        <v>71.997900000000001</v>
      </c>
      <c r="AD2742">
        <v>-1.157014</v>
      </c>
      <c r="AE2742">
        <v>20.6694</v>
      </c>
      <c r="AF2742">
        <v>-23.661507262444399</v>
      </c>
      <c r="AG2742">
        <v>-1.157014</v>
      </c>
      <c r="AH2742">
        <v>71.051941352153307</v>
      </c>
      <c r="AI2742">
        <v>90.885142501185101</v>
      </c>
      <c r="AJ2742">
        <v>108.418637278513</v>
      </c>
      <c r="AK2742">
        <v>74.897156002325801</v>
      </c>
    </row>
    <row r="2743" spans="1:37" x14ac:dyDescent="0.2">
      <c r="A2743" t="str">
        <f>"20200111155857728"</f>
        <v>20200111155857728</v>
      </c>
      <c r="B2743" t="str">
        <f>"1578729537724657"</f>
        <v>1578729537724657</v>
      </c>
      <c r="C2743" t="s">
        <v>37</v>
      </c>
      <c r="D2743">
        <v>5.7730420000000002</v>
      </c>
      <c r="E2743">
        <v>0.41074359999999999</v>
      </c>
      <c r="F2743" t="s">
        <v>41</v>
      </c>
      <c r="G2743">
        <v>-385.27780000000001</v>
      </c>
      <c r="H2743">
        <v>-0.05</v>
      </c>
      <c r="I2743">
        <v>236.6842</v>
      </c>
      <c r="J2743">
        <v>-461.95749999999998</v>
      </c>
      <c r="K2743">
        <v>1.10639</v>
      </c>
      <c r="L2743">
        <v>214.2431</v>
      </c>
      <c r="M2743">
        <v>0.99944219999999895</v>
      </c>
      <c r="N2743">
        <v>0</v>
      </c>
      <c r="O2743">
        <v>-3.215747E-2</v>
      </c>
      <c r="P2743">
        <v>0.99854789999999904</v>
      </c>
      <c r="Q2743">
        <v>-9.2211459999999995E-3</v>
      </c>
      <c r="R2743">
        <v>5.3079439999999999E-2</v>
      </c>
      <c r="S2743">
        <v>2.9658509999999998</v>
      </c>
      <c r="T2743">
        <v>-4.4519660000000003E-2</v>
      </c>
      <c r="U2743">
        <v>0.86334230000000001</v>
      </c>
      <c r="V2743">
        <v>-8.5161689999999998E-2</v>
      </c>
      <c r="W2743">
        <v>-7.0128649999999905E-4</v>
      </c>
      <c r="X2743">
        <v>0.99636689999999895</v>
      </c>
      <c r="Y2743">
        <v>-0.31019049999999998</v>
      </c>
      <c r="Z2743">
        <v>2.754013E-3</v>
      </c>
      <c r="AA2743">
        <v>0.95067040000000003</v>
      </c>
      <c r="AB2743">
        <v>21</v>
      </c>
      <c r="AC2743">
        <v>76.679699999999897</v>
      </c>
      <c r="AD2743">
        <v>-1.15639</v>
      </c>
      <c r="AE2743">
        <v>22.441099999999999</v>
      </c>
      <c r="AF2743">
        <v>-24.890203921556601</v>
      </c>
      <c r="AG2743">
        <v>-1.15639</v>
      </c>
      <c r="AH2743">
        <v>75.902460266766397</v>
      </c>
      <c r="AI2743">
        <v>90.829396628467904</v>
      </c>
      <c r="AJ2743">
        <v>108.15553538064199</v>
      </c>
      <c r="AK2743">
        <v>79.887689687691093</v>
      </c>
    </row>
    <row r="2744" spans="1:37" x14ac:dyDescent="0.2">
      <c r="A2744" t="str">
        <f>"20200111155857748"</f>
        <v>20200111155857748</v>
      </c>
      <c r="B2744" t="str">
        <f>"1578729537744176"</f>
        <v>1578729537744176</v>
      </c>
      <c r="C2744" t="s">
        <v>37</v>
      </c>
      <c r="D2744">
        <v>5.690086</v>
      </c>
      <c r="E2744">
        <v>0.41225709999999999</v>
      </c>
      <c r="F2744" t="s">
        <v>52</v>
      </c>
      <c r="G2744">
        <v>-424.10860000000002</v>
      </c>
      <c r="H2744" s="1">
        <v>1.1125669999999899E-6</v>
      </c>
      <c r="I2744">
        <v>225.42760000000001</v>
      </c>
      <c r="J2744">
        <v>-461.76650000000001</v>
      </c>
      <c r="K2744">
        <v>1.1060479999999999</v>
      </c>
      <c r="L2744">
        <v>214.24160000000001</v>
      </c>
      <c r="M2744">
        <v>0.99955020000000006</v>
      </c>
      <c r="N2744">
        <v>0</v>
      </c>
      <c r="O2744">
        <v>-2.8425990000000002E-2</v>
      </c>
      <c r="P2744">
        <v>0.99825869999999906</v>
      </c>
      <c r="Q2744">
        <v>-1.6208480000000001E-2</v>
      </c>
      <c r="R2744">
        <v>5.6718209999999998E-2</v>
      </c>
      <c r="S2744">
        <v>2.9571230000000002</v>
      </c>
      <c r="T2744">
        <v>-8.6441989999999996E-2</v>
      </c>
      <c r="U2744">
        <v>0.87384030000000001</v>
      </c>
      <c r="V2744">
        <v>-8.504225E-2</v>
      </c>
      <c r="W2744">
        <v>-7.0620319999999898E-3</v>
      </c>
      <c r="X2744">
        <v>0.99635229999999997</v>
      </c>
      <c r="Y2744">
        <v>-0.3104034</v>
      </c>
      <c r="Z2744">
        <v>5.2551769999999998E-3</v>
      </c>
      <c r="AA2744">
        <v>0.95059039999999995</v>
      </c>
      <c r="AB2744">
        <v>21</v>
      </c>
      <c r="AC2744">
        <v>37.657899999999898</v>
      </c>
      <c r="AD2744">
        <v>-1.1060468874329901</v>
      </c>
      <c r="AE2744">
        <v>11.186</v>
      </c>
      <c r="AF2744">
        <v>-12.2422867730516</v>
      </c>
      <c r="AG2744">
        <v>-1.1060468874329901</v>
      </c>
      <c r="AH2744">
        <v>37.295129302879197</v>
      </c>
      <c r="AI2744">
        <v>91.614016986092295</v>
      </c>
      <c r="AJ2744">
        <v>108.17264481206399</v>
      </c>
      <c r="AK2744">
        <v>39.268608262444403</v>
      </c>
    </row>
    <row r="2745" spans="1:37" x14ac:dyDescent="0.2">
      <c r="A2745" t="str">
        <f>"20200111155857770"</f>
        <v>20200111155857770</v>
      </c>
      <c r="B2745" t="str">
        <f>"1578729537764672"</f>
        <v>1578729537764672</v>
      </c>
      <c r="C2745" t="s">
        <v>37</v>
      </c>
      <c r="D2745">
        <v>5.680059</v>
      </c>
      <c r="E2745">
        <v>0.41383140000000002</v>
      </c>
      <c r="F2745" t="s">
        <v>52</v>
      </c>
      <c r="G2745">
        <v>-434.73939999999999</v>
      </c>
      <c r="H2745">
        <v>7.9999829999999994E-2</v>
      </c>
      <c r="I2745">
        <v>222.2259</v>
      </c>
      <c r="J2745">
        <v>-461.5609</v>
      </c>
      <c r="K2745">
        <v>1.1057239999999999</v>
      </c>
      <c r="L2745">
        <v>214.24</v>
      </c>
      <c r="M2745">
        <v>0.99963559999999996</v>
      </c>
      <c r="N2745">
        <v>0</v>
      </c>
      <c r="O2745">
        <v>-2.5025909999999998E-2</v>
      </c>
      <c r="P2745">
        <v>0.99798880000000001</v>
      </c>
      <c r="Q2745">
        <v>-2.1352590000000001E-2</v>
      </c>
      <c r="R2745">
        <v>5.9689529999999998E-2</v>
      </c>
      <c r="S2745">
        <v>2.9538570000000002</v>
      </c>
      <c r="T2745">
        <v>-0.11213910000000001</v>
      </c>
      <c r="U2745">
        <v>0.87261959999999905</v>
      </c>
      <c r="V2745">
        <v>-8.4607299999999996E-2</v>
      </c>
      <c r="W2745">
        <v>-1.156884E-2</v>
      </c>
      <c r="X2745">
        <v>0.99634719999999999</v>
      </c>
      <c r="Y2745">
        <v>-0.30700559999999899</v>
      </c>
      <c r="Z2745">
        <v>6.6344189999999999E-3</v>
      </c>
      <c r="AA2745">
        <v>0.95168459999999999</v>
      </c>
      <c r="AB2745">
        <v>20</v>
      </c>
      <c r="AC2745">
        <v>26.8215</v>
      </c>
      <c r="AD2745">
        <v>-1.0257241699999999</v>
      </c>
      <c r="AE2745">
        <v>7.9858999999999796</v>
      </c>
      <c r="AF2745">
        <v>-8.6430542768137606</v>
      </c>
      <c r="AG2745">
        <v>-1.0257241699999999</v>
      </c>
      <c r="AH2745">
        <v>26.577529725795699</v>
      </c>
      <c r="AI2745">
        <v>92.101909720516403</v>
      </c>
      <c r="AJ2745">
        <v>108.014606534576</v>
      </c>
      <c r="AK2745">
        <v>27.9664009774304</v>
      </c>
    </row>
    <row r="2746" spans="1:37" x14ac:dyDescent="0.2">
      <c r="A2746" t="str">
        <f>"20200111155857792"</f>
        <v>20200111155857792</v>
      </c>
      <c r="B2746" t="str">
        <f>"1578729537784193"</f>
        <v>1578729537784193</v>
      </c>
      <c r="C2746" t="s">
        <v>37</v>
      </c>
      <c r="D2746">
        <v>5.7360179999999996</v>
      </c>
      <c r="E2746">
        <v>0.41536729999999999</v>
      </c>
      <c r="F2746" t="s">
        <v>52</v>
      </c>
      <c r="G2746">
        <v>-438.88679999999999</v>
      </c>
      <c r="H2746">
        <v>8.0000600000000005E-2</v>
      </c>
      <c r="I2746">
        <v>220.9152</v>
      </c>
      <c r="J2746">
        <v>-461.35480000000001</v>
      </c>
      <c r="K2746">
        <v>1.105429</v>
      </c>
      <c r="L2746">
        <v>214.23840000000001</v>
      </c>
      <c r="M2746">
        <v>0.99969580000000002</v>
      </c>
      <c r="N2746">
        <v>0</v>
      </c>
      <c r="O2746">
        <v>-2.22604E-2</v>
      </c>
      <c r="P2746">
        <v>0.99777950000000004</v>
      </c>
      <c r="Q2746">
        <v>-2.389165E-2</v>
      </c>
      <c r="R2746">
        <v>6.2170929999999999E-2</v>
      </c>
      <c r="S2746">
        <v>2.9512330000000002</v>
      </c>
      <c r="T2746">
        <v>-0.13350699999999999</v>
      </c>
      <c r="U2746">
        <v>0.86883539999999904</v>
      </c>
      <c r="V2746">
        <v>-8.433061E-2</v>
      </c>
      <c r="W2746">
        <v>-1.3529869999999999E-2</v>
      </c>
      <c r="X2746">
        <v>0.99634599999999995</v>
      </c>
      <c r="Y2746">
        <v>-0.30339179999999999</v>
      </c>
      <c r="Z2746">
        <v>7.7029739999999996E-3</v>
      </c>
      <c r="AA2746">
        <v>0.95283469999999904</v>
      </c>
      <c r="AB2746">
        <v>20</v>
      </c>
      <c r="AC2746">
        <v>22.468</v>
      </c>
      <c r="AD2746">
        <v>-1.0254284</v>
      </c>
      <c r="AE2746">
        <v>6.6767999999999796</v>
      </c>
      <c r="AF2746">
        <v>-7.1616132876827603</v>
      </c>
      <c r="AG2746">
        <v>-1.0254284</v>
      </c>
      <c r="AH2746">
        <v>22.2711695413198</v>
      </c>
      <c r="AI2746">
        <v>92.509804236602207</v>
      </c>
      <c r="AJ2746">
        <v>107.825937658499</v>
      </c>
      <c r="AK2746">
        <v>23.416771789127001</v>
      </c>
    </row>
    <row r="2747" spans="1:37" x14ac:dyDescent="0.2">
      <c r="A2747" t="str">
        <f>"20200111155857815"</f>
        <v>20200111155857815</v>
      </c>
      <c r="B2747" t="str">
        <f>"1578729537804688"</f>
        <v>1578729537804688</v>
      </c>
      <c r="C2747" t="s">
        <v>37</v>
      </c>
      <c r="D2747">
        <v>5.7262740000000001</v>
      </c>
      <c r="E2747">
        <v>0.43693869999999901</v>
      </c>
      <c r="F2747" t="s">
        <v>50</v>
      </c>
      <c r="G2747">
        <v>-440.4923</v>
      </c>
      <c r="H2747">
        <v>7.9999909999999994E-2</v>
      </c>
      <c r="I2747">
        <v>220.35140000000001</v>
      </c>
      <c r="J2747">
        <v>-461.15600000000001</v>
      </c>
      <c r="K2747">
        <v>1.1051569999999999</v>
      </c>
      <c r="L2747">
        <v>214.23689999999999</v>
      </c>
      <c r="M2747">
        <v>0.99973400000000001</v>
      </c>
      <c r="N2747">
        <v>0</v>
      </c>
      <c r="O2747">
        <v>-2.0231789999999999E-2</v>
      </c>
      <c r="P2747">
        <v>0.99769379999999996</v>
      </c>
      <c r="Q2747">
        <v>-2.433488E-2</v>
      </c>
      <c r="R2747">
        <v>6.3362520000000006E-2</v>
      </c>
      <c r="S2747">
        <v>2.94937099999999</v>
      </c>
      <c r="T2747">
        <v>-0.14496689999999901</v>
      </c>
      <c r="U2747">
        <v>0.86419679999999999</v>
      </c>
      <c r="V2747">
        <v>-8.3509689999999998E-2</v>
      </c>
      <c r="W2747">
        <v>-1.3462979999999999E-2</v>
      </c>
      <c r="X2747">
        <v>0.99641599999999997</v>
      </c>
      <c r="Y2747">
        <v>-0.30019069999999998</v>
      </c>
      <c r="Z2747">
        <v>8.1955819999999999E-3</v>
      </c>
      <c r="AA2747">
        <v>0.95384400000000003</v>
      </c>
      <c r="AB2747">
        <v>20</v>
      </c>
      <c r="AC2747">
        <v>20.663699999999999</v>
      </c>
      <c r="AD2747">
        <v>-1.02515709</v>
      </c>
      <c r="AE2747">
        <v>6.11450000000002</v>
      </c>
      <c r="AF2747">
        <v>-6.5165896228003897</v>
      </c>
      <c r="AG2747">
        <v>-1.02515709</v>
      </c>
      <c r="AH2747">
        <v>20.489384748223099</v>
      </c>
      <c r="AI2747">
        <v>92.729803127780102</v>
      </c>
      <c r="AJ2747">
        <v>107.643115336509</v>
      </c>
      <c r="AK2747">
        <v>21.525142850440801</v>
      </c>
    </row>
    <row r="2748" spans="1:37" x14ac:dyDescent="0.2">
      <c r="A2748" t="str">
        <f>"20200111155857837"</f>
        <v>20200111155857837</v>
      </c>
      <c r="B2748" t="str">
        <f>"1578729537833969"</f>
        <v>1578729537833969</v>
      </c>
      <c r="C2748" t="s">
        <v>37</v>
      </c>
      <c r="D2748">
        <v>5.7680819999999997</v>
      </c>
      <c r="E2748">
        <v>0.44006260000000003</v>
      </c>
      <c r="F2748" t="s">
        <v>50</v>
      </c>
      <c r="G2748">
        <v>-445.7296</v>
      </c>
      <c r="H2748" s="1">
        <v>1.36951E-6</v>
      </c>
      <c r="I2748">
        <v>217.8818</v>
      </c>
      <c r="J2748">
        <v>-460.95609999999999</v>
      </c>
      <c r="K2748">
        <v>1.104857</v>
      </c>
      <c r="L2748">
        <v>214.23500000000001</v>
      </c>
      <c r="M2748">
        <v>0.99975669999999905</v>
      </c>
      <c r="N2748">
        <v>0</v>
      </c>
      <c r="O2748">
        <v>-1.8844010000000001E-2</v>
      </c>
      <c r="P2748">
        <v>0.99771279999999996</v>
      </c>
      <c r="Q2748">
        <v>-2.2873350000000001E-2</v>
      </c>
      <c r="R2748">
        <v>6.3611589999999996E-2</v>
      </c>
      <c r="S2748">
        <v>2.95742799999999</v>
      </c>
      <c r="T2748">
        <v>-0.211872899999999</v>
      </c>
      <c r="U2748">
        <v>0.69877619999999996</v>
      </c>
      <c r="V2748">
        <v>-8.2390329999999998E-2</v>
      </c>
      <c r="W2748">
        <v>-1.152505E-2</v>
      </c>
      <c r="X2748">
        <v>0.99653349999999996</v>
      </c>
      <c r="Y2748">
        <v>-0.24759879999999901</v>
      </c>
      <c r="Z2748">
        <v>1.00687E-2</v>
      </c>
      <c r="AA2748">
        <v>0.96881030000000001</v>
      </c>
      <c r="AB2748">
        <v>20</v>
      </c>
      <c r="AC2748">
        <v>15.2264999999999</v>
      </c>
      <c r="AD2748">
        <v>-1.1048556304899999</v>
      </c>
      <c r="AE2748">
        <v>3.6467999999999798</v>
      </c>
      <c r="AF2748">
        <v>-3.9136116556425802</v>
      </c>
      <c r="AG2748">
        <v>-1.1048556304899999</v>
      </c>
      <c r="AH2748">
        <v>15.079980093671701</v>
      </c>
      <c r="AI2748">
        <v>94.056457976544905</v>
      </c>
      <c r="AJ2748">
        <v>104.548649201022</v>
      </c>
      <c r="AK2748">
        <v>15.618670294904801</v>
      </c>
    </row>
    <row r="2749" spans="1:37" x14ac:dyDescent="0.2">
      <c r="A2749" t="str">
        <f>"20200111155857860"</f>
        <v>20200111155857860</v>
      </c>
      <c r="B2749" t="str">
        <f>"1578729537854465"</f>
        <v>1578729537854465</v>
      </c>
      <c r="C2749" t="s">
        <v>37</v>
      </c>
      <c r="D2749">
        <v>5.8340949999999996</v>
      </c>
      <c r="E2749">
        <v>0.44114350000000002</v>
      </c>
      <c r="F2749" t="s">
        <v>50</v>
      </c>
      <c r="G2749">
        <v>-444.37990000000002</v>
      </c>
      <c r="H2749" s="1">
        <v>6.4570239999999898E-7</v>
      </c>
      <c r="I2749">
        <v>218.00799999999899</v>
      </c>
      <c r="J2749">
        <v>-460.74790000000002</v>
      </c>
      <c r="K2749">
        <v>1.104481</v>
      </c>
      <c r="L2749">
        <v>214.23249999999999</v>
      </c>
      <c r="M2749">
        <v>0.9997665</v>
      </c>
      <c r="N2749">
        <v>0</v>
      </c>
      <c r="O2749">
        <v>-1.8071190000000001E-2</v>
      </c>
      <c r="P2749">
        <v>0.99777389999999999</v>
      </c>
      <c r="Q2749">
        <v>-2.1883860000000002E-2</v>
      </c>
      <c r="R2749">
        <v>6.2998659999999998E-2</v>
      </c>
      <c r="S2749">
        <v>2.9594119999999999</v>
      </c>
      <c r="T2749">
        <v>-0.19725319999999999</v>
      </c>
      <c r="U2749">
        <v>0.6736145</v>
      </c>
      <c r="V2749">
        <v>-8.1020629999999996E-2</v>
      </c>
      <c r="W2749">
        <v>-1.007335E-2</v>
      </c>
      <c r="X2749">
        <v>0.99666149999999998</v>
      </c>
      <c r="Y2749">
        <v>-0.23898359999999999</v>
      </c>
      <c r="Z2749">
        <v>9.0441629999999992E-3</v>
      </c>
      <c r="AA2749">
        <v>0.97098150000000005</v>
      </c>
      <c r="AB2749">
        <v>20</v>
      </c>
      <c r="AC2749">
        <v>16.367999999999899</v>
      </c>
      <c r="AD2749">
        <v>-1.1044803542976001</v>
      </c>
      <c r="AE2749">
        <v>3.7754999999999899</v>
      </c>
      <c r="AF2749">
        <v>-4.0531704668935697</v>
      </c>
      <c r="AG2749">
        <v>-1.1044803542976001</v>
      </c>
      <c r="AH2749">
        <v>16.226940886755401</v>
      </c>
      <c r="AI2749">
        <v>93.778086129929207</v>
      </c>
      <c r="AJ2749">
        <v>104.024396447303</v>
      </c>
      <c r="AK2749">
        <v>16.761911532667799</v>
      </c>
    </row>
    <row r="2750" spans="1:37" x14ac:dyDescent="0.2">
      <c r="A2750" t="str">
        <f>"20200111155857883"</f>
        <v>20200111155857883</v>
      </c>
      <c r="B2750" t="str">
        <f>"1578729537873985"</f>
        <v>1578729537873985</v>
      </c>
      <c r="C2750" t="s">
        <v>37</v>
      </c>
      <c r="D2750">
        <v>5.7657489999999996</v>
      </c>
      <c r="E2750">
        <v>0.44164140000000002</v>
      </c>
      <c r="F2750" t="s">
        <v>50</v>
      </c>
      <c r="G2750">
        <v>-443.68819999999999</v>
      </c>
      <c r="H2750" s="1">
        <v>2.7581290000000002E-7</v>
      </c>
      <c r="I2750">
        <v>218.0498</v>
      </c>
      <c r="J2750">
        <v>-460.53730000000002</v>
      </c>
      <c r="K2750">
        <v>1.1040540000000001</v>
      </c>
      <c r="L2750">
        <v>214.2294</v>
      </c>
      <c r="M2750">
        <v>0.9997646</v>
      </c>
      <c r="N2750">
        <v>0</v>
      </c>
      <c r="O2750">
        <v>-1.7958430000000001E-2</v>
      </c>
      <c r="P2750">
        <v>0.99783480000000002</v>
      </c>
      <c r="Q2750">
        <v>-2.2708889999999999E-2</v>
      </c>
      <c r="R2750">
        <v>6.1728320000000003E-2</v>
      </c>
      <c r="S2750">
        <v>2.960693</v>
      </c>
      <c r="T2750">
        <v>-0.1916813</v>
      </c>
      <c r="U2750">
        <v>0.66247559999999905</v>
      </c>
      <c r="V2750">
        <v>-7.9651040000000006E-2</v>
      </c>
      <c r="W2750">
        <v>-1.0469590000000001E-2</v>
      </c>
      <c r="X2750">
        <v>0.99676779999999998</v>
      </c>
      <c r="Y2750">
        <v>-0.235343</v>
      </c>
      <c r="Z2750">
        <v>8.6655789999999996E-3</v>
      </c>
      <c r="AA2750">
        <v>0.97187380000000001</v>
      </c>
      <c r="AB2750">
        <v>20</v>
      </c>
      <c r="AC2750">
        <v>16.8491</v>
      </c>
      <c r="AD2750">
        <v>-1.1040537241871</v>
      </c>
      <c r="AE2750">
        <v>3.8203999999999998</v>
      </c>
      <c r="AF2750">
        <v>-4.1056234780402399</v>
      </c>
      <c r="AG2750">
        <v>-1.1040537241871</v>
      </c>
      <c r="AH2750">
        <v>16.7095321890103</v>
      </c>
      <c r="AI2750">
        <v>93.671340259274501</v>
      </c>
      <c r="AJ2750">
        <v>103.804426125823</v>
      </c>
      <c r="AK2750">
        <v>17.2419124445317</v>
      </c>
    </row>
    <row r="2751" spans="1:37" x14ac:dyDescent="0.2">
      <c r="A2751" t="str">
        <f>"20200111155857905"</f>
        <v>20200111155857905</v>
      </c>
      <c r="B2751" t="str">
        <f>"1578729537894480"</f>
        <v>1578729537894480</v>
      </c>
      <c r="C2751" t="s">
        <v>37</v>
      </c>
      <c r="D2751">
        <v>5.7617989999999999</v>
      </c>
      <c r="E2751">
        <v>0.44191390000000003</v>
      </c>
      <c r="F2751" t="s">
        <v>50</v>
      </c>
      <c r="G2751">
        <v>-443.78370000000001</v>
      </c>
      <c r="H2751" s="1">
        <v>3.3180359999999998E-7</v>
      </c>
      <c r="I2751">
        <v>217.9308</v>
      </c>
      <c r="J2751">
        <v>-460.34359999999998</v>
      </c>
      <c r="K2751">
        <v>1.1036680000000001</v>
      </c>
      <c r="L2751">
        <v>214.22559999999999</v>
      </c>
      <c r="M2751">
        <v>0.99975190000000003</v>
      </c>
      <c r="N2751">
        <v>0</v>
      </c>
      <c r="O2751">
        <v>-1.8462240000000001E-2</v>
      </c>
      <c r="P2751">
        <v>0.99797440000000004</v>
      </c>
      <c r="Q2751">
        <v>-2.251717E-2</v>
      </c>
      <c r="R2751">
        <v>5.950093E-2</v>
      </c>
      <c r="S2751">
        <v>2.9616090000000002</v>
      </c>
      <c r="T2751">
        <v>-0.19516849999999999</v>
      </c>
      <c r="U2751">
        <v>0.6543274</v>
      </c>
      <c r="V2751">
        <v>-7.7937909999999999E-2</v>
      </c>
      <c r="W2751">
        <v>-9.9244859999999997E-3</v>
      </c>
      <c r="X2751">
        <v>0.99690879999999904</v>
      </c>
      <c r="Y2751">
        <v>-0.233205</v>
      </c>
      <c r="Z2751">
        <v>8.7861080000000008E-3</v>
      </c>
      <c r="AA2751">
        <v>0.97238789999999997</v>
      </c>
      <c r="AB2751">
        <v>20</v>
      </c>
      <c r="AC2751">
        <v>16.559899999999899</v>
      </c>
      <c r="AD2751">
        <v>-1.1036676681963999</v>
      </c>
      <c r="AE2751">
        <v>3.7052000000000098</v>
      </c>
      <c r="AF2751">
        <v>-3.9934325200479299</v>
      </c>
      <c r="AG2751">
        <v>-1.1036676681963999</v>
      </c>
      <c r="AH2751">
        <v>16.419211249810701</v>
      </c>
      <c r="AI2751">
        <v>93.736909482906896</v>
      </c>
      <c r="AJ2751">
        <v>103.669891503542</v>
      </c>
      <c r="AK2751">
        <v>16.9338738533128</v>
      </c>
    </row>
    <row r="2752" spans="1:37" x14ac:dyDescent="0.2">
      <c r="A2752" t="str">
        <f>"20200111155857927"</f>
        <v>20200111155857927</v>
      </c>
      <c r="B2752" t="str">
        <f>"1578729537924737"</f>
        <v>1578729537924737</v>
      </c>
      <c r="C2752" t="s">
        <v>37</v>
      </c>
      <c r="D2752">
        <v>6.7535229999999897</v>
      </c>
      <c r="E2752">
        <v>0.44243490000000002</v>
      </c>
      <c r="F2752" t="s">
        <v>50</v>
      </c>
      <c r="G2752">
        <v>-443.73599999999999</v>
      </c>
      <c r="H2752" s="1">
        <v>3.103943E-7</v>
      </c>
      <c r="I2752">
        <v>217.84010000000001</v>
      </c>
      <c r="J2752">
        <v>-460.14339999999999</v>
      </c>
      <c r="K2752">
        <v>1.1033379999999999</v>
      </c>
      <c r="L2752">
        <v>214.2208</v>
      </c>
      <c r="M2752">
        <v>0.99972680000000003</v>
      </c>
      <c r="N2752">
        <v>0</v>
      </c>
      <c r="O2752">
        <v>-1.9609720000000001E-2</v>
      </c>
      <c r="P2752">
        <v>0.99820799999999998</v>
      </c>
      <c r="Q2752">
        <v>-1.9106970000000001E-2</v>
      </c>
      <c r="R2752">
        <v>5.6707519999999997E-2</v>
      </c>
      <c r="S2752">
        <v>2.9632259999999899</v>
      </c>
      <c r="T2752">
        <v>-0.19692299999999999</v>
      </c>
      <c r="U2752">
        <v>0.64492799999999995</v>
      </c>
      <c r="V2752">
        <v>-7.6291540000000005E-2</v>
      </c>
      <c r="W2752">
        <v>-6.1968049999999997E-3</v>
      </c>
      <c r="X2752">
        <v>0.99706629999999996</v>
      </c>
      <c r="Y2752">
        <v>-0.2312582</v>
      </c>
      <c r="Z2752">
        <v>8.8746659999999998E-3</v>
      </c>
      <c r="AA2752">
        <v>0.97285189999999999</v>
      </c>
      <c r="AB2752">
        <v>20</v>
      </c>
      <c r="AC2752">
        <v>16.4073999999999</v>
      </c>
      <c r="AD2752">
        <v>-1.1033376896056999</v>
      </c>
      <c r="AE2752">
        <v>3.6193</v>
      </c>
      <c r="AF2752">
        <v>-3.9234556084048098</v>
      </c>
      <c r="AG2752">
        <v>-1.1033376896056999</v>
      </c>
      <c r="AH2752">
        <v>16.263134806202899</v>
      </c>
      <c r="AI2752">
        <v>93.7732389500149</v>
      </c>
      <c r="AJ2752">
        <v>103.563347708216</v>
      </c>
      <c r="AK2752">
        <v>16.766049376437898</v>
      </c>
    </row>
    <row r="2753" spans="1:37" x14ac:dyDescent="0.2">
      <c r="A2753" t="str">
        <f>"20200111155857950"</f>
        <v>20200111155857950</v>
      </c>
      <c r="B2753" t="str">
        <f>"1578729537944257"</f>
        <v>1578729537944257</v>
      </c>
      <c r="C2753" t="s">
        <v>37</v>
      </c>
      <c r="D2753">
        <v>6.0246190000000004</v>
      </c>
      <c r="E2753">
        <v>0.44243490000000002</v>
      </c>
      <c r="F2753" t="s">
        <v>50</v>
      </c>
      <c r="G2753">
        <v>-442.142</v>
      </c>
      <c r="H2753" s="1">
        <v>-5.4734409999999897E-7</v>
      </c>
      <c r="I2753">
        <v>218.05699999999999</v>
      </c>
      <c r="J2753">
        <v>-459.93630000000002</v>
      </c>
      <c r="K2753">
        <v>1.1030990000000001</v>
      </c>
      <c r="L2753">
        <v>214.2149</v>
      </c>
      <c r="M2753">
        <v>0.99968919999999994</v>
      </c>
      <c r="N2753">
        <v>0</v>
      </c>
      <c r="O2753">
        <v>-2.1309160000000001E-2</v>
      </c>
      <c r="P2753">
        <v>0.99844829999999996</v>
      </c>
      <c r="Q2753">
        <v>-1.4640179999999999E-2</v>
      </c>
      <c r="R2753">
        <v>5.373153E-2</v>
      </c>
      <c r="S2753">
        <v>2.96600299999999</v>
      </c>
      <c r="T2753">
        <v>-0.18179089999999901</v>
      </c>
      <c r="U2753">
        <v>0.63206479999999998</v>
      </c>
      <c r="V2753">
        <v>-7.5002970000000002E-2</v>
      </c>
      <c r="W2753">
        <v>-1.4551479999999901E-3</v>
      </c>
      <c r="X2753">
        <v>0.99718229999999997</v>
      </c>
      <c r="Y2753">
        <v>-0.22876929999999901</v>
      </c>
      <c r="Z2753">
        <v>8.2178489999999993E-3</v>
      </c>
      <c r="AA2753">
        <v>0.97344599999999903</v>
      </c>
      <c r="AB2753">
        <v>20</v>
      </c>
      <c r="AC2753">
        <v>17.7943</v>
      </c>
      <c r="AD2753">
        <v>-1.1030995473441001</v>
      </c>
      <c r="AE2753">
        <v>3.8421000000000101</v>
      </c>
      <c r="AF2753">
        <v>-4.20500087448867</v>
      </c>
      <c r="AG2753">
        <v>-1.1030995473441001</v>
      </c>
      <c r="AH2753">
        <v>17.643596397467199</v>
      </c>
      <c r="AI2753">
        <v>93.480318278099503</v>
      </c>
      <c r="AJ2753">
        <v>103.405234154236</v>
      </c>
      <c r="AK2753">
        <v>18.1712782930238</v>
      </c>
    </row>
    <row r="2754" spans="1:37" x14ac:dyDescent="0.2">
      <c r="A2754" t="str">
        <f>"20200111155857972"</f>
        <v>20200111155857972</v>
      </c>
      <c r="B2754" t="str">
        <f>"1578729537964752"</f>
        <v>1578729537964752</v>
      </c>
      <c r="C2754" t="s">
        <v>37</v>
      </c>
      <c r="D2754">
        <v>5.6730339999999897</v>
      </c>
      <c r="E2754">
        <v>0.50387199999999999</v>
      </c>
      <c r="F2754" t="s">
        <v>50</v>
      </c>
      <c r="G2754">
        <v>-440.54849999999999</v>
      </c>
      <c r="H2754" s="1">
        <v>-1.4051980000000001E-6</v>
      </c>
      <c r="I2754">
        <v>218.28319999999999</v>
      </c>
      <c r="J2754">
        <v>-459.73379999999997</v>
      </c>
      <c r="K2754">
        <v>1.102959</v>
      </c>
      <c r="L2754">
        <v>214.20830000000001</v>
      </c>
      <c r="M2754">
        <v>0.99964050000000004</v>
      </c>
      <c r="N2754">
        <v>0</v>
      </c>
      <c r="O2754">
        <v>-2.3374039999999999E-2</v>
      </c>
      <c r="P2754">
        <v>0.99865190000000004</v>
      </c>
      <c r="Q2754">
        <v>-1.1194630000000001E-2</v>
      </c>
      <c r="R2754">
        <v>5.0687629999999997E-2</v>
      </c>
      <c r="S2754">
        <v>2.968658</v>
      </c>
      <c r="T2754">
        <v>-0.16890669999999999</v>
      </c>
      <c r="U2754">
        <v>0.6229401</v>
      </c>
      <c r="V2754">
        <v>-7.4009989999999998E-2</v>
      </c>
      <c r="W2754">
        <v>2.2109170000000002E-3</v>
      </c>
      <c r="X2754">
        <v>0.997254999999999</v>
      </c>
      <c r="Y2754">
        <v>-0.22779839999999901</v>
      </c>
      <c r="Z2754">
        <v>7.7210309999999997E-3</v>
      </c>
      <c r="AA2754">
        <v>0.97367769999999998</v>
      </c>
      <c r="AB2754">
        <v>20</v>
      </c>
      <c r="AC2754">
        <v>19.185299999999899</v>
      </c>
      <c r="AD2754">
        <v>-1.102960405198</v>
      </c>
      <c r="AE2754">
        <v>4.07489999999998</v>
      </c>
      <c r="AF2754">
        <v>-4.5080069479369502</v>
      </c>
      <c r="AG2754">
        <v>-1.102960405198</v>
      </c>
      <c r="AH2754">
        <v>19.024638475724799</v>
      </c>
      <c r="AI2754">
        <v>93.228818433528104</v>
      </c>
      <c r="AJ2754">
        <v>103.330723621647</v>
      </c>
      <c r="AK2754">
        <v>19.582530925039102</v>
      </c>
    </row>
    <row r="2755" spans="1:37" x14ac:dyDescent="0.2">
      <c r="A2755" t="str">
        <f>"20200111155857995"</f>
        <v>20200111155857995</v>
      </c>
      <c r="B2755" t="str">
        <f>"1578729537984273"</f>
        <v>1578729537984273</v>
      </c>
      <c r="C2755" t="s">
        <v>37</v>
      </c>
      <c r="D2755">
        <v>6.3030089999999896</v>
      </c>
      <c r="E2755">
        <v>0.50995690000000005</v>
      </c>
      <c r="F2755" t="s">
        <v>52</v>
      </c>
      <c r="G2755">
        <v>-439.90800000000002</v>
      </c>
      <c r="H2755" s="1">
        <v>6.5742229999999899E-6</v>
      </c>
      <c r="I2755">
        <v>215.0341</v>
      </c>
      <c r="J2755">
        <v>-459.5412</v>
      </c>
      <c r="K2755">
        <v>1.10287</v>
      </c>
      <c r="L2755">
        <v>214.2013</v>
      </c>
      <c r="M2755">
        <v>0.99958340000000001</v>
      </c>
      <c r="N2755">
        <v>0</v>
      </c>
      <c r="O2755">
        <v>-2.5622679999999998E-2</v>
      </c>
      <c r="P2755">
        <v>0.99889240000000001</v>
      </c>
      <c r="Q2755">
        <v>-8.3409060000000004E-3</v>
      </c>
      <c r="R2755">
        <v>4.6309860000000001E-2</v>
      </c>
      <c r="S2755">
        <v>2.9958499999999999</v>
      </c>
      <c r="T2755">
        <v>-0.16666539999999999</v>
      </c>
      <c r="U2755">
        <v>0.12478640000000001</v>
      </c>
      <c r="V2755">
        <v>-7.1869630000000004E-2</v>
      </c>
      <c r="W2755">
        <v>5.2202150000000003E-3</v>
      </c>
      <c r="X2755">
        <v>0.99740039999999996</v>
      </c>
      <c r="Y2755">
        <v>-6.706297E-2</v>
      </c>
      <c r="Z2755">
        <v>3.2871039999999999E-3</v>
      </c>
      <c r="AA2755">
        <v>0.9977433</v>
      </c>
      <c r="AB2755">
        <v>20</v>
      </c>
      <c r="AC2755">
        <v>19.633199999999899</v>
      </c>
      <c r="AD2755">
        <v>-1.102863425777</v>
      </c>
      <c r="AE2755">
        <v>0.83279999999999099</v>
      </c>
      <c r="AF2755">
        <v>-1.3314324112882301</v>
      </c>
      <c r="AG2755">
        <v>-1.102863425777</v>
      </c>
      <c r="AH2755">
        <v>19.543853652176399</v>
      </c>
      <c r="AI2755">
        <v>93.222333421710005</v>
      </c>
      <c r="AJ2755">
        <v>93.897274890859194</v>
      </c>
      <c r="AK2755">
        <v>19.620174198498699</v>
      </c>
    </row>
    <row r="2756" spans="1:37" x14ac:dyDescent="0.2">
      <c r="A2756" t="str">
        <f>"20200111155858017"</f>
        <v>20200111155858017</v>
      </c>
      <c r="B2756" t="str">
        <f>"1578729538004768"</f>
        <v>1578729538004768</v>
      </c>
      <c r="C2756" t="s">
        <v>37</v>
      </c>
      <c r="D2756">
        <v>5.6330499999999999</v>
      </c>
      <c r="E2756">
        <v>0.51254120000000003</v>
      </c>
      <c r="F2756" t="s">
        <v>52</v>
      </c>
      <c r="G2756">
        <v>-436.85559999999998</v>
      </c>
      <c r="H2756" s="1">
        <v>5.2516549999999901E-6</v>
      </c>
      <c r="I2756">
        <v>214.67910000000001</v>
      </c>
      <c r="J2756">
        <v>-459.3426</v>
      </c>
      <c r="K2756">
        <v>1.1028069999999901</v>
      </c>
      <c r="L2756">
        <v>214.1934</v>
      </c>
      <c r="M2756">
        <v>0.99951499999999904</v>
      </c>
      <c r="N2756">
        <v>0</v>
      </c>
      <c r="O2756">
        <v>-2.8131960000000001E-2</v>
      </c>
      <c r="P2756">
        <v>0.99916569999999905</v>
      </c>
      <c r="Q2756">
        <v>-6.240593E-3</v>
      </c>
      <c r="R2756">
        <v>4.0359810000000003E-2</v>
      </c>
      <c r="S2756">
        <v>2.9991759999999998</v>
      </c>
      <c r="T2756">
        <v>-0.1458052</v>
      </c>
      <c r="U2756">
        <v>6.3171389999999994E-2</v>
      </c>
      <c r="V2756">
        <v>-6.8423520000000002E-2</v>
      </c>
      <c r="W2756">
        <v>7.3826289999999999E-3</v>
      </c>
      <c r="X2756">
        <v>0.99762899999999999</v>
      </c>
      <c r="Y2756">
        <v>-4.9086970000000001E-2</v>
      </c>
      <c r="Z2756">
        <v>2.5591149999999998E-3</v>
      </c>
      <c r="AA2756">
        <v>0.99879119999999999</v>
      </c>
      <c r="AB2756">
        <v>20</v>
      </c>
      <c r="AC2756">
        <v>22.486999999999998</v>
      </c>
      <c r="AD2756">
        <v>-1.1028017483449899</v>
      </c>
      <c r="AE2756">
        <v>0.48570000000000801</v>
      </c>
      <c r="AF2756">
        <v>-1.11548594503288</v>
      </c>
      <c r="AG2756">
        <v>-1.1028017483449899</v>
      </c>
      <c r="AH2756">
        <v>22.4105592099075</v>
      </c>
      <c r="AI2756">
        <v>92.813719084366696</v>
      </c>
      <c r="AJ2756">
        <v>92.8495465991667</v>
      </c>
      <c r="AK2756">
        <v>22.465387703987801</v>
      </c>
    </row>
    <row r="2757" spans="1:37" x14ac:dyDescent="0.2">
      <c r="A2757" t="str">
        <f>"20200111155858038"</f>
        <v>20200111155858038</v>
      </c>
      <c r="B2757" t="str">
        <f>"1578729538034049"</f>
        <v>1578729538034049</v>
      </c>
      <c r="C2757" t="s">
        <v>37</v>
      </c>
      <c r="D2757">
        <v>5.5951089999999999</v>
      </c>
      <c r="E2757">
        <v>0.51458059999999906</v>
      </c>
      <c r="F2757" t="s">
        <v>52</v>
      </c>
      <c r="G2757">
        <v>-439.18799999999999</v>
      </c>
      <c r="H2757" s="1">
        <v>6.3130079999999997E-6</v>
      </c>
      <c r="I2757">
        <v>214.37010000000001</v>
      </c>
      <c r="J2757">
        <v>-459.1422</v>
      </c>
      <c r="K2757">
        <v>1.1027559999999901</v>
      </c>
      <c r="L2757">
        <v>214.18469999999999</v>
      </c>
      <c r="M2757">
        <v>0.99943859999999995</v>
      </c>
      <c r="N2757">
        <v>0</v>
      </c>
      <c r="O2757">
        <v>-3.0755399999999999E-2</v>
      </c>
      <c r="P2757">
        <v>0.99947609999999998</v>
      </c>
      <c r="Q2757">
        <v>-4.4952909999999898E-3</v>
      </c>
      <c r="R2757">
        <v>3.2052780000000003E-2</v>
      </c>
      <c r="S2757">
        <v>3.000397</v>
      </c>
      <c r="T2757">
        <v>-0.16417290000000001</v>
      </c>
      <c r="U2757">
        <v>2.630615E-2</v>
      </c>
      <c r="V2757">
        <v>-6.2740710000000005E-2</v>
      </c>
      <c r="W2757">
        <v>9.0419660000000002E-3</v>
      </c>
      <c r="X2757">
        <v>0.99798889999999996</v>
      </c>
      <c r="Y2757">
        <v>-3.9415060000000002E-2</v>
      </c>
      <c r="Z2757">
        <v>2.7590739999999998E-3</v>
      </c>
      <c r="AA2757">
        <v>0.99921909999999903</v>
      </c>
      <c r="AB2757">
        <v>20</v>
      </c>
      <c r="AC2757">
        <v>19.954199999999901</v>
      </c>
      <c r="AD2757">
        <v>-1.1027496869919999</v>
      </c>
      <c r="AE2757">
        <v>0.185400000000015</v>
      </c>
      <c r="AF2757">
        <v>-0.79663307761464897</v>
      </c>
      <c r="AG2757">
        <v>-1.1027496869919999</v>
      </c>
      <c r="AH2757">
        <v>19.878350750785799</v>
      </c>
      <c r="AI2757">
        <v>93.172682081339005</v>
      </c>
      <c r="AJ2757">
        <v>92.294923863208098</v>
      </c>
      <c r="AK2757">
        <v>19.9248465415365</v>
      </c>
    </row>
    <row r="2758" spans="1:37" x14ac:dyDescent="0.2">
      <c r="A2758" t="str">
        <f>"20200111155858074"</f>
        <v>20200111155858074</v>
      </c>
      <c r="B2758" t="str">
        <f>"1578729538064305"</f>
        <v>1578729538064305</v>
      </c>
      <c r="C2758" t="s">
        <v>37</v>
      </c>
      <c r="D2758">
        <v>5.5772139999999997</v>
      </c>
      <c r="E2758">
        <v>0.51533839999999997</v>
      </c>
      <c r="F2758" t="s">
        <v>50</v>
      </c>
      <c r="G2758">
        <v>-440.85660000000001</v>
      </c>
      <c r="H2758" s="1">
        <v>-1.0586759999999899E-6</v>
      </c>
      <c r="I2758">
        <v>214.1071</v>
      </c>
      <c r="J2758">
        <v>-458.82769999999999</v>
      </c>
      <c r="K2758">
        <v>1.102725</v>
      </c>
      <c r="L2758">
        <v>214.17</v>
      </c>
      <c r="M2758">
        <v>0.99930909999999995</v>
      </c>
      <c r="N2758">
        <v>0</v>
      </c>
      <c r="O2758">
        <v>-3.485038E-2</v>
      </c>
      <c r="P2758">
        <v>0.99974379999999996</v>
      </c>
      <c r="Q2758">
        <v>-4.7555749999999997E-3</v>
      </c>
      <c r="R2758">
        <v>2.212664E-2</v>
      </c>
      <c r="S2758">
        <v>3.00116</v>
      </c>
      <c r="T2758">
        <v>-0.18099279999999901</v>
      </c>
      <c r="U2758">
        <v>-1.274109E-2</v>
      </c>
      <c r="V2758">
        <v>-5.6923340000000003E-2</v>
      </c>
      <c r="W2758">
        <v>8.3820479999999996E-3</v>
      </c>
      <c r="X2758">
        <v>0.99834330000000004</v>
      </c>
      <c r="Y2758">
        <v>-3.0491509999999999E-2</v>
      </c>
      <c r="Z2758">
        <v>3.0182409999999901E-3</v>
      </c>
      <c r="AA2758">
        <v>0.99953049999999999</v>
      </c>
      <c r="AB2758">
        <v>20</v>
      </c>
      <c r="AC2758">
        <v>17.9710999999999</v>
      </c>
      <c r="AD2758">
        <v>-1.1027260586759999</v>
      </c>
      <c r="AE2758">
        <v>-6.2899999999984801E-2</v>
      </c>
      <c r="AF2758">
        <v>-0.56137645272160397</v>
      </c>
      <c r="AG2758">
        <v>-1.1027260586759999</v>
      </c>
      <c r="AH2758">
        <v>17.894996653134498</v>
      </c>
      <c r="AI2758">
        <v>93.524494079218599</v>
      </c>
      <c r="AJ2758">
        <v>91.796812658632504</v>
      </c>
      <c r="AK2758">
        <v>17.937727099547701</v>
      </c>
    </row>
    <row r="2759" spans="1:37" x14ac:dyDescent="0.2">
      <c r="A2759" t="str">
        <f>"20200111155858095"</f>
        <v>20200111155858095</v>
      </c>
      <c r="B2759" t="str">
        <f>"1578729538084800"</f>
        <v>1578729538084800</v>
      </c>
      <c r="C2759" t="s">
        <v>37</v>
      </c>
      <c r="D2759">
        <v>5.5726360000000001</v>
      </c>
      <c r="E2759">
        <v>0.51543950000000005</v>
      </c>
      <c r="F2759" t="s">
        <v>50</v>
      </c>
      <c r="G2759">
        <v>-441.28539999999998</v>
      </c>
      <c r="H2759" s="1">
        <v>-8.2105279999999995E-7</v>
      </c>
      <c r="I2759">
        <v>213.8905</v>
      </c>
      <c r="J2759">
        <v>-458.635999999999</v>
      </c>
      <c r="K2759">
        <v>1.1027670000000001</v>
      </c>
      <c r="L2759">
        <v>214.16040000000001</v>
      </c>
      <c r="M2759">
        <v>0.99922610000000001</v>
      </c>
      <c r="N2759">
        <v>0</v>
      </c>
      <c r="O2759">
        <v>-3.7263640000000001E-2</v>
      </c>
      <c r="P2759">
        <v>0.99985859999999904</v>
      </c>
      <c r="Q2759">
        <v>-3.462382E-3</v>
      </c>
      <c r="R2759">
        <v>1.647007E-2</v>
      </c>
      <c r="S2759">
        <v>3.0009160000000001</v>
      </c>
      <c r="T2759">
        <v>-0.18864039999999899</v>
      </c>
      <c r="U2759">
        <v>-4.7805790000000001E-2</v>
      </c>
      <c r="V2759">
        <v>-5.3683559999999998E-2</v>
      </c>
      <c r="W2759">
        <v>9.3366390000000007E-3</v>
      </c>
      <c r="X2759">
        <v>0.99851440000000002</v>
      </c>
      <c r="Y2759">
        <v>-2.1229169999999999E-2</v>
      </c>
      <c r="Z2759">
        <v>3.0061200000000001E-3</v>
      </c>
      <c r="AA2759">
        <v>0.999770099999999</v>
      </c>
      <c r="AB2759">
        <v>20</v>
      </c>
      <c r="AC2759">
        <v>17.350599999999901</v>
      </c>
      <c r="AD2759">
        <v>-1.1027678210528</v>
      </c>
      <c r="AE2759">
        <v>-0.26990000000000602</v>
      </c>
      <c r="AF2759">
        <v>-0.37536930233756599</v>
      </c>
      <c r="AG2759">
        <v>-1.1027678210528</v>
      </c>
      <c r="AH2759">
        <v>17.278823040858299</v>
      </c>
      <c r="AI2759">
        <v>93.650915296752601</v>
      </c>
      <c r="AJ2759">
        <v>91.244511522626496</v>
      </c>
      <c r="AK2759">
        <v>17.318046213634599</v>
      </c>
    </row>
    <row r="2760" spans="1:37" x14ac:dyDescent="0.2">
      <c r="A2760" t="str">
        <f>"20200111155858117"</f>
        <v>20200111155858117</v>
      </c>
      <c r="B2760" t="str">
        <f>"1578729538104320"</f>
        <v>1578729538104320</v>
      </c>
      <c r="C2760" t="s">
        <v>37</v>
      </c>
      <c r="D2760">
        <v>5.554888</v>
      </c>
      <c r="E2760">
        <v>0.51514359999999904</v>
      </c>
      <c r="F2760" t="s">
        <v>50</v>
      </c>
      <c r="G2760">
        <v>-441.4991</v>
      </c>
      <c r="H2760" s="1">
        <v>-7.0284829999999899E-7</v>
      </c>
      <c r="I2760">
        <v>213.78829999999999</v>
      </c>
      <c r="J2760">
        <v>-458.43389999999999</v>
      </c>
      <c r="K2760">
        <v>1.1028549999999999</v>
      </c>
      <c r="L2760">
        <v>214.1499</v>
      </c>
      <c r="M2760">
        <v>0.99913669999999999</v>
      </c>
      <c r="N2760">
        <v>0</v>
      </c>
      <c r="O2760">
        <v>-3.9695830000000001E-2</v>
      </c>
      <c r="P2760">
        <v>0.99993960000000004</v>
      </c>
      <c r="Q2760">
        <v>-2.1254459999999999E-4</v>
      </c>
      <c r="R2760">
        <v>1.099726E-2</v>
      </c>
      <c r="S2760">
        <v>3.0007929999999998</v>
      </c>
      <c r="T2760">
        <v>-0.19310239999999901</v>
      </c>
      <c r="U2760">
        <v>-6.5155030000000003E-2</v>
      </c>
      <c r="V2760">
        <v>-5.064167E-2</v>
      </c>
      <c r="W2760">
        <v>1.21975E-2</v>
      </c>
      <c r="X2760">
        <v>0.99864240000000004</v>
      </c>
      <c r="Y2760">
        <v>-1.7880110000000001E-2</v>
      </c>
      <c r="Z2760">
        <v>3.1255530000000001E-3</v>
      </c>
      <c r="AA2760">
        <v>0.99983529999999998</v>
      </c>
      <c r="AB2760">
        <v>20</v>
      </c>
      <c r="AC2760">
        <v>16.9347999999999</v>
      </c>
      <c r="AD2760">
        <v>-1.1028557028482999</v>
      </c>
      <c r="AE2760">
        <v>-0.36160000000000903</v>
      </c>
      <c r="AF2760">
        <v>-0.30966373763472699</v>
      </c>
      <c r="AG2760">
        <v>-1.1028557028482999</v>
      </c>
      <c r="AH2760">
        <v>16.864314801754901</v>
      </c>
      <c r="AI2760">
        <v>93.7409480045891</v>
      </c>
      <c r="AJ2760">
        <v>91.051950927221597</v>
      </c>
      <c r="AK2760">
        <v>16.9031741416931</v>
      </c>
    </row>
    <row r="2761" spans="1:37" x14ac:dyDescent="0.2">
      <c r="A2761" t="str">
        <f>"20200111155858139"</f>
        <v>20200111155858139</v>
      </c>
      <c r="B2761" t="str">
        <f>"1578729538134577"</f>
        <v>1578729538134577</v>
      </c>
      <c r="C2761" t="s">
        <v>37</v>
      </c>
      <c r="D2761">
        <v>5.4721330000000004</v>
      </c>
      <c r="E2761">
        <v>0.51431629999999995</v>
      </c>
      <c r="F2761" t="s">
        <v>50</v>
      </c>
      <c r="G2761">
        <v>-440.82679999999999</v>
      </c>
      <c r="H2761" s="1">
        <v>-1.0560379999999999E-6</v>
      </c>
      <c r="I2761">
        <v>213.68369999999999</v>
      </c>
      <c r="J2761">
        <v>-458.23070000000001</v>
      </c>
      <c r="K2761">
        <v>1.10297</v>
      </c>
      <c r="L2761">
        <v>214.13919999999999</v>
      </c>
      <c r="M2761">
        <v>0.99904879999999996</v>
      </c>
      <c r="N2761">
        <v>0</v>
      </c>
      <c r="O2761">
        <v>-4.1965570000000001E-2</v>
      </c>
      <c r="P2761">
        <v>0.99997169999999902</v>
      </c>
      <c r="Q2761">
        <v>4.2070450000000004E-3</v>
      </c>
      <c r="R2761">
        <v>6.2622429999999998E-3</v>
      </c>
      <c r="S2761">
        <v>3.0009769999999998</v>
      </c>
      <c r="T2761">
        <v>-0.18797249999999999</v>
      </c>
      <c r="U2761">
        <v>-7.9467769999999993E-2</v>
      </c>
      <c r="V2761">
        <v>-4.8172600000000003E-2</v>
      </c>
      <c r="W2761">
        <v>1.6199660000000001E-2</v>
      </c>
      <c r="X2761">
        <v>0.99870769999999998</v>
      </c>
      <c r="Y2761">
        <v>-1.5393499999999999E-2</v>
      </c>
      <c r="Z2761">
        <v>3.106358E-3</v>
      </c>
      <c r="AA2761">
        <v>0.99987669999999995</v>
      </c>
      <c r="AB2761">
        <v>20</v>
      </c>
      <c r="AC2761">
        <v>17.4039</v>
      </c>
      <c r="AD2761">
        <v>-1.1029710560379999</v>
      </c>
      <c r="AE2761">
        <v>-0.45550000000000002</v>
      </c>
      <c r="AF2761">
        <v>-0.27421657658574</v>
      </c>
      <c r="AG2761">
        <v>-1.1029710560379999</v>
      </c>
      <c r="AH2761">
        <v>17.3380939185183</v>
      </c>
      <c r="AI2761">
        <v>93.6395392264631</v>
      </c>
      <c r="AJ2761">
        <v>90.906105524383406</v>
      </c>
      <c r="AK2761">
        <v>17.375305482456799</v>
      </c>
    </row>
    <row r="2762" spans="1:37" x14ac:dyDescent="0.2">
      <c r="A2762" t="str">
        <f>"20200111155858162"</f>
        <v>20200111155858162</v>
      </c>
      <c r="B2762" t="str">
        <f>"1578729538154097"</f>
        <v>1578729538154097</v>
      </c>
      <c r="C2762" t="s">
        <v>37</v>
      </c>
      <c r="D2762">
        <v>5.5361320000000003</v>
      </c>
      <c r="E2762">
        <v>0.51367269999999998</v>
      </c>
      <c r="F2762" t="s">
        <v>52</v>
      </c>
      <c r="G2762">
        <v>-439.79719999999998</v>
      </c>
      <c r="H2762" s="1">
        <v>6.6501790000000004E-6</v>
      </c>
      <c r="I2762">
        <v>213.6035</v>
      </c>
      <c r="J2762">
        <v>-458.02010000000001</v>
      </c>
      <c r="K2762">
        <v>1.1030979999999999</v>
      </c>
      <c r="L2762">
        <v>214.12780000000001</v>
      </c>
      <c r="M2762">
        <v>0.99896249999999998</v>
      </c>
      <c r="N2762">
        <v>0</v>
      </c>
      <c r="O2762">
        <v>-4.4087590000000003E-2</v>
      </c>
      <c r="P2762">
        <v>0.99995699999999998</v>
      </c>
      <c r="Q2762">
        <v>9.0144500000000002E-3</v>
      </c>
      <c r="R2762">
        <v>2.183562E-3</v>
      </c>
      <c r="S2762">
        <v>3.0013429999999999</v>
      </c>
      <c r="T2762">
        <v>-0.17958399999999999</v>
      </c>
      <c r="U2762">
        <v>-8.7219240000000003E-2</v>
      </c>
      <c r="V2762">
        <v>-4.6212490000000002E-2</v>
      </c>
      <c r="W2762">
        <v>2.0548629999999998E-2</v>
      </c>
      <c r="X2762">
        <v>0.99872030000000001</v>
      </c>
      <c r="Y2762">
        <v>-1.4946859999999999E-2</v>
      </c>
      <c r="Z2762">
        <v>3.0808329999999998E-3</v>
      </c>
      <c r="AA2762">
        <v>0.99988349999999904</v>
      </c>
      <c r="AB2762">
        <v>20</v>
      </c>
      <c r="AC2762">
        <v>18.222899999999999</v>
      </c>
      <c r="AD2762">
        <v>-1.103091349821</v>
      </c>
      <c r="AE2762">
        <v>-0.52430000000000998</v>
      </c>
      <c r="AF2762">
        <v>-0.27864572317912001</v>
      </c>
      <c r="AG2762">
        <v>-1.103091349821</v>
      </c>
      <c r="AH2762">
        <v>18.1618008628305</v>
      </c>
      <c r="AI2762">
        <v>93.475289895548499</v>
      </c>
      <c r="AJ2762">
        <v>90.878986149742502</v>
      </c>
      <c r="AK2762">
        <v>18.197402686817899</v>
      </c>
    </row>
    <row r="2763" spans="1:37" x14ac:dyDescent="0.2">
      <c r="A2763" t="str">
        <f>"20200111155858184"</f>
        <v>20200111155858184</v>
      </c>
      <c r="B2763" t="str">
        <f>"1578729538174593"</f>
        <v>1578729538174593</v>
      </c>
      <c r="C2763" t="s">
        <v>37</v>
      </c>
      <c r="D2763">
        <v>5.6863449999999904</v>
      </c>
      <c r="E2763">
        <v>0.51323129999999995</v>
      </c>
      <c r="F2763" t="s">
        <v>52</v>
      </c>
      <c r="G2763">
        <v>-438.23860000000002</v>
      </c>
      <c r="H2763" s="1">
        <v>5.9674940000000003E-6</v>
      </c>
      <c r="I2763">
        <v>213.5067</v>
      </c>
      <c r="J2763">
        <v>-457.82209999999998</v>
      </c>
      <c r="K2763">
        <v>1.1032219999999999</v>
      </c>
      <c r="L2763">
        <v>214.11689999999999</v>
      </c>
      <c r="M2763">
        <v>0.99888860000000002</v>
      </c>
      <c r="N2763">
        <v>0</v>
      </c>
      <c r="O2763">
        <v>-4.5841519999999997E-2</v>
      </c>
      <c r="P2763">
        <v>0.99991129999999995</v>
      </c>
      <c r="Q2763">
        <v>1.331631E-2</v>
      </c>
      <c r="R2763">
        <v>-5.0550750000000005E-4</v>
      </c>
      <c r="S2763">
        <v>3.0018009999999999</v>
      </c>
      <c r="T2763">
        <v>-0.16739209999999999</v>
      </c>
      <c r="U2763">
        <v>-9.4238279999999994E-2</v>
      </c>
      <c r="V2763">
        <v>-4.5276579999999997E-2</v>
      </c>
      <c r="W2763">
        <v>2.4393350000000001E-2</v>
      </c>
      <c r="X2763">
        <v>0.99867659999999903</v>
      </c>
      <c r="Y2763">
        <v>-1.4382819999999999E-2</v>
      </c>
      <c r="Z2763">
        <v>2.9533239999999998E-3</v>
      </c>
      <c r="AA2763">
        <v>0.99989219999999901</v>
      </c>
      <c r="AB2763">
        <v>20</v>
      </c>
      <c r="AC2763">
        <v>19.583499999999901</v>
      </c>
      <c r="AD2763">
        <v>-1.1032160325059901</v>
      </c>
      <c r="AE2763">
        <v>-0.61019999999999097</v>
      </c>
      <c r="AF2763">
        <v>-0.28732195892989798</v>
      </c>
      <c r="AG2763">
        <v>-1.1032160325059901</v>
      </c>
      <c r="AH2763">
        <v>19.528968700099298</v>
      </c>
      <c r="AI2763">
        <v>93.232925104730398</v>
      </c>
      <c r="AJ2763">
        <v>90.842909228798902</v>
      </c>
      <c r="AK2763">
        <v>19.562215058932399</v>
      </c>
    </row>
    <row r="2764" spans="1:37" x14ac:dyDescent="0.2">
      <c r="A2764" t="str">
        <f>"20200111155858206"</f>
        <v>20200111155858206</v>
      </c>
      <c r="B2764" t="str">
        <f>"1578729538194112"</f>
        <v>1578729538194112</v>
      </c>
      <c r="C2764" t="s">
        <v>37</v>
      </c>
      <c r="D2764">
        <v>5.5972210000000002</v>
      </c>
      <c r="E2764">
        <v>0.51247869999999995</v>
      </c>
      <c r="F2764" t="s">
        <v>52</v>
      </c>
      <c r="G2764">
        <v>-435.39940000000001</v>
      </c>
      <c r="H2764" s="1">
        <v>4.7197969999999901E-6</v>
      </c>
      <c r="I2764">
        <v>213.3766</v>
      </c>
      <c r="J2764">
        <v>-457.62130000000002</v>
      </c>
      <c r="K2764">
        <v>1.1033329999999999</v>
      </c>
      <c r="L2764">
        <v>214.10579999999999</v>
      </c>
      <c r="M2764">
        <v>0.99882190000000004</v>
      </c>
      <c r="N2764">
        <v>0</v>
      </c>
      <c r="O2764">
        <v>-4.7375979999999998E-2</v>
      </c>
      <c r="P2764">
        <v>0.99986540000000002</v>
      </c>
      <c r="Q2764">
        <v>1.6307249999999999E-2</v>
      </c>
      <c r="R2764">
        <v>-1.8747479999999901E-3</v>
      </c>
      <c r="S2764">
        <v>3.0022279999999899</v>
      </c>
      <c r="T2764">
        <v>-0.1477127</v>
      </c>
      <c r="U2764">
        <v>-9.9121089999999995E-2</v>
      </c>
      <c r="V2764">
        <v>-4.5445569999999998E-2</v>
      </c>
      <c r="W2764">
        <v>2.6896880000000001E-2</v>
      </c>
      <c r="X2764">
        <v>0.99860469999999901</v>
      </c>
      <c r="Y2764">
        <v>-1.43175E-2</v>
      </c>
      <c r="Z2764">
        <v>2.679833E-3</v>
      </c>
      <c r="AA2764">
        <v>0.9998939</v>
      </c>
      <c r="AB2764">
        <v>20</v>
      </c>
      <c r="AC2764">
        <v>22.221900000000002</v>
      </c>
      <c r="AD2764">
        <v>-1.103328280203</v>
      </c>
      <c r="AE2764">
        <v>-0.72919999999999097</v>
      </c>
      <c r="AF2764">
        <v>-0.32366423008092199</v>
      </c>
      <c r="AG2764">
        <v>-1.103328280203</v>
      </c>
      <c r="AH2764">
        <v>22.176882351073001</v>
      </c>
      <c r="AI2764">
        <v>92.847887182650894</v>
      </c>
      <c r="AJ2764">
        <v>90.836153501864601</v>
      </c>
      <c r="AK2764">
        <v>22.2066702285837</v>
      </c>
    </row>
    <row r="2765" spans="1:37" x14ac:dyDescent="0.2">
      <c r="A2765" t="str">
        <f>"20200111155858229"</f>
        <v>20200111155858229</v>
      </c>
      <c r="B2765" t="str">
        <f>"1578729538224369"</f>
        <v>1578729538224369</v>
      </c>
      <c r="C2765" t="s">
        <v>37</v>
      </c>
      <c r="D2765">
        <v>5.834314</v>
      </c>
      <c r="E2765">
        <v>0.51182059999999996</v>
      </c>
      <c r="F2765" t="s">
        <v>52</v>
      </c>
      <c r="G2765">
        <v>-434.18729999999999</v>
      </c>
      <c r="H2765" s="1">
        <v>4.1848589999999999E-6</v>
      </c>
      <c r="I2765">
        <v>213.34690000000001</v>
      </c>
      <c r="J2765">
        <v>-457.41919999999999</v>
      </c>
      <c r="K2765">
        <v>1.103426</v>
      </c>
      <c r="L2765">
        <v>214.09450000000001</v>
      </c>
      <c r="M2765">
        <v>0.99876299999999996</v>
      </c>
      <c r="N2765">
        <v>0</v>
      </c>
      <c r="O2765">
        <v>-4.870493E-2</v>
      </c>
      <c r="P2765">
        <v>0.99981189999999998</v>
      </c>
      <c r="Q2765">
        <v>1.9285739999999999E-2</v>
      </c>
      <c r="R2765">
        <v>-2.056113E-3</v>
      </c>
      <c r="S2765">
        <v>3.002472</v>
      </c>
      <c r="T2765">
        <v>-0.14136370000000001</v>
      </c>
      <c r="U2765">
        <v>-9.7228999999999996E-2</v>
      </c>
      <c r="V2765">
        <v>-4.6595579999999998E-2</v>
      </c>
      <c r="W2765">
        <v>2.937116E-2</v>
      </c>
      <c r="X2765">
        <v>0.99848189999999903</v>
      </c>
      <c r="Y2765">
        <v>-1.6282390000000001E-2</v>
      </c>
      <c r="Z2765">
        <v>2.6732570000000001E-3</v>
      </c>
      <c r="AA2765">
        <v>0.99986390000000003</v>
      </c>
      <c r="AB2765">
        <v>21</v>
      </c>
      <c r="AC2765">
        <v>23.2319</v>
      </c>
      <c r="AD2765">
        <v>-1.103421815141</v>
      </c>
      <c r="AE2765">
        <v>-0.74760000000000504</v>
      </c>
      <c r="AF2765">
        <v>-0.383986817747411</v>
      </c>
      <c r="AG2765">
        <v>-1.103421815141</v>
      </c>
      <c r="AH2765">
        <v>23.188483450385</v>
      </c>
      <c r="AI2765">
        <v>92.723986382174203</v>
      </c>
      <c r="AJ2765">
        <v>90.948695651152406</v>
      </c>
      <c r="AK2765">
        <v>23.217897198220001</v>
      </c>
    </row>
    <row r="2766" spans="1:37" x14ac:dyDescent="0.2">
      <c r="A2766" t="str">
        <f>"20200111155858251"</f>
        <v>20200111155858251</v>
      </c>
      <c r="B2766" t="str">
        <f>"1578729538244865"</f>
        <v>1578729538244865</v>
      </c>
      <c r="C2766" t="s">
        <v>37</v>
      </c>
      <c r="D2766">
        <v>5.5639859999999999</v>
      </c>
      <c r="E2766">
        <v>0.51131170000000004</v>
      </c>
      <c r="F2766" t="s">
        <v>52</v>
      </c>
      <c r="G2766">
        <v>-433.02249999999998</v>
      </c>
      <c r="H2766" s="1">
        <v>3.6685760000000001E-6</v>
      </c>
      <c r="I2766">
        <v>213.3441</v>
      </c>
      <c r="J2766">
        <v>-457.2011</v>
      </c>
      <c r="K2766">
        <v>1.103491</v>
      </c>
      <c r="L2766">
        <v>214.08240000000001</v>
      </c>
      <c r="M2766">
        <v>0.99870639999999999</v>
      </c>
      <c r="N2766">
        <v>0</v>
      </c>
      <c r="O2766">
        <v>-4.9954499999999999E-2</v>
      </c>
      <c r="P2766">
        <v>0.99975630000000004</v>
      </c>
      <c r="Q2766">
        <v>2.1978330000000001E-2</v>
      </c>
      <c r="R2766">
        <v>-2.0897239999999998E-3</v>
      </c>
      <c r="S2766">
        <v>3.0030209999999999</v>
      </c>
      <c r="T2766">
        <v>-0.1358219</v>
      </c>
      <c r="U2766">
        <v>-9.2376710000000001E-2</v>
      </c>
      <c r="V2766">
        <v>-4.7814120000000002E-2</v>
      </c>
      <c r="W2766">
        <v>3.1527359999999997E-2</v>
      </c>
      <c r="X2766">
        <v>0.99835849999999904</v>
      </c>
      <c r="Y2766">
        <v>-1.9154290000000001E-2</v>
      </c>
      <c r="Z2766">
        <v>2.6894750000000002E-3</v>
      </c>
      <c r="AA2766">
        <v>0.9998129</v>
      </c>
      <c r="AB2766">
        <v>21</v>
      </c>
      <c r="AC2766">
        <v>24.178599999999999</v>
      </c>
      <c r="AD2766">
        <v>-1.1034873314239999</v>
      </c>
      <c r="AE2766">
        <v>-0.73830000000000895</v>
      </c>
      <c r="AF2766">
        <v>-0.46952904937360901</v>
      </c>
      <c r="AG2766">
        <v>-1.1034873314239999</v>
      </c>
      <c r="AH2766">
        <v>24.1350686683971</v>
      </c>
      <c r="AI2766">
        <v>92.617321325074201</v>
      </c>
      <c r="AJ2766">
        <v>91.114504383032994</v>
      </c>
      <c r="AK2766">
        <v>24.164843915222399</v>
      </c>
    </row>
    <row r="2767" spans="1:37" x14ac:dyDescent="0.2">
      <c r="A2767" t="str">
        <f>"20200111155858274"</f>
        <v>20200111155858274</v>
      </c>
      <c r="B2767" t="str">
        <f>"1578729538264385"</f>
        <v>1578729538264385</v>
      </c>
      <c r="C2767" t="s">
        <v>37</v>
      </c>
      <c r="D2767">
        <v>5.5929459999999898</v>
      </c>
      <c r="E2767">
        <v>0.51078500000000004</v>
      </c>
      <c r="F2767" t="s">
        <v>52</v>
      </c>
      <c r="G2767">
        <v>-432.45119999999997</v>
      </c>
      <c r="H2767" s="1">
        <v>3.4142599999999998E-6</v>
      </c>
      <c r="I2767">
        <v>213.3552</v>
      </c>
      <c r="J2767">
        <v>-456.99099999999999</v>
      </c>
      <c r="K2767">
        <v>1.1035280000000001</v>
      </c>
      <c r="L2767">
        <v>214.07060000000001</v>
      </c>
      <c r="M2767">
        <v>0.99865749999999998</v>
      </c>
      <c r="N2767">
        <v>0</v>
      </c>
      <c r="O2767">
        <v>-5.101083E-2</v>
      </c>
      <c r="P2767">
        <v>0.99969229999999998</v>
      </c>
      <c r="Q2767">
        <v>2.4797079999999999E-2</v>
      </c>
      <c r="R2767">
        <v>-6.647526E-4</v>
      </c>
      <c r="S2767">
        <v>3.003479</v>
      </c>
      <c r="T2767">
        <v>-0.13391169999999999</v>
      </c>
      <c r="U2767">
        <v>-8.824158E-2</v>
      </c>
      <c r="V2767">
        <v>-5.0293249999999998E-2</v>
      </c>
      <c r="W2767">
        <v>3.3845460000000001E-2</v>
      </c>
      <c r="X2767">
        <v>0.99816079999999996</v>
      </c>
      <c r="Y2767">
        <v>-2.159001E-2</v>
      </c>
      <c r="Z2767">
        <v>2.75261E-3</v>
      </c>
      <c r="AA2767">
        <v>0.99976309999999902</v>
      </c>
      <c r="AB2767">
        <v>21</v>
      </c>
      <c r="AC2767">
        <v>24.5398</v>
      </c>
      <c r="AD2767">
        <v>-1.10352458574</v>
      </c>
      <c r="AE2767">
        <v>-0.71540000000001602</v>
      </c>
      <c r="AF2767">
        <v>-0.53629421177201897</v>
      </c>
      <c r="AG2767">
        <v>-1.10352458574</v>
      </c>
      <c r="AH2767">
        <v>24.494852484831899</v>
      </c>
      <c r="AI2767">
        <v>92.578887120438594</v>
      </c>
      <c r="AJ2767">
        <v>91.254242562742107</v>
      </c>
      <c r="AK2767">
        <v>24.525561690746098</v>
      </c>
    </row>
    <row r="2768" spans="1:37" x14ac:dyDescent="0.2">
      <c r="A2768" t="str">
        <f>"20200111155858295"</f>
        <v>20200111155858295</v>
      </c>
      <c r="B2768" t="str">
        <f>"1578729538284880"</f>
        <v>1578729538284880</v>
      </c>
      <c r="C2768" t="s">
        <v>37</v>
      </c>
      <c r="D2768">
        <v>5.5469889999999999</v>
      </c>
      <c r="E2768">
        <v>0.51014729999999997</v>
      </c>
      <c r="F2768" t="s">
        <v>52</v>
      </c>
      <c r="G2768">
        <v>-431.74340000000001</v>
      </c>
      <c r="H2768" s="1">
        <v>3.0962889999999998E-6</v>
      </c>
      <c r="I2768">
        <v>213.40170000000001</v>
      </c>
      <c r="J2768">
        <v>-456.78879999999998</v>
      </c>
      <c r="K2768">
        <v>1.1035429999999999</v>
      </c>
      <c r="L2768">
        <v>214.0592</v>
      </c>
      <c r="M2768">
        <v>0.99861540000000004</v>
      </c>
      <c r="N2768">
        <v>0</v>
      </c>
      <c r="O2768">
        <v>-5.1906649999999999E-2</v>
      </c>
      <c r="P2768">
        <v>0.99964109999999995</v>
      </c>
      <c r="Q2768">
        <v>2.6785429999999999E-2</v>
      </c>
      <c r="R2768">
        <v>3.0453179999999998E-4</v>
      </c>
      <c r="S2768">
        <v>3.004089</v>
      </c>
      <c r="T2768">
        <v>-0.131302799999999</v>
      </c>
      <c r="U2768">
        <v>-7.9589839999999995E-2</v>
      </c>
      <c r="V2768">
        <v>-5.2157599999999998E-2</v>
      </c>
      <c r="W2768">
        <v>3.5362320000000003E-2</v>
      </c>
      <c r="X2768">
        <v>0.99801249999999997</v>
      </c>
      <c r="Y2768">
        <v>-2.5367830000000001E-2</v>
      </c>
      <c r="Z2768">
        <v>2.8202119999999999E-3</v>
      </c>
      <c r="AA2768">
        <v>0.99967419999999996</v>
      </c>
      <c r="AB2768">
        <v>21</v>
      </c>
      <c r="AC2768">
        <v>25.045399999999901</v>
      </c>
      <c r="AD2768">
        <v>-1.1035399037109901</v>
      </c>
      <c r="AE2768">
        <v>-0.65749999999999797</v>
      </c>
      <c r="AF2768">
        <v>-0.64221072350431996</v>
      </c>
      <c r="AG2768">
        <v>-1.1035399037109901</v>
      </c>
      <c r="AH2768">
        <v>24.9972678862949</v>
      </c>
      <c r="AI2768">
        <v>92.526929595502693</v>
      </c>
      <c r="AJ2768">
        <v>91.4716756962586</v>
      </c>
      <c r="AK2768">
        <v>25.029854907922601</v>
      </c>
    </row>
    <row r="2769" spans="1:37" x14ac:dyDescent="0.2">
      <c r="A2769" t="str">
        <f>"20200111155858319"</f>
        <v>20200111155858319</v>
      </c>
      <c r="B2769" t="str">
        <f>"1578729538314162"</f>
        <v>1578729538314162</v>
      </c>
      <c r="C2769" t="s">
        <v>37</v>
      </c>
      <c r="D2769">
        <v>5.6141670000000001</v>
      </c>
      <c r="E2769">
        <v>0.50950099999999998</v>
      </c>
      <c r="F2769" t="s">
        <v>52</v>
      </c>
      <c r="G2769">
        <v>-431.4151</v>
      </c>
      <c r="H2769" s="1">
        <v>2.9461099999999999E-6</v>
      </c>
      <c r="I2769">
        <v>213.45439999999999</v>
      </c>
      <c r="J2769">
        <v>-456.57420000000002</v>
      </c>
      <c r="K2769">
        <v>1.1035330000000001</v>
      </c>
      <c r="L2769">
        <v>214.047</v>
      </c>
      <c r="M2769">
        <v>0.9985754</v>
      </c>
      <c r="N2769">
        <v>0</v>
      </c>
      <c r="O2769">
        <v>-5.2751409999999999E-2</v>
      </c>
      <c r="P2769">
        <v>0.99966999999999995</v>
      </c>
      <c r="Q2769">
        <v>2.5672529999999999E-2</v>
      </c>
      <c r="R2769">
        <v>1.095562E-3</v>
      </c>
      <c r="S2769">
        <v>3.0046080000000002</v>
      </c>
      <c r="T2769">
        <v>-0.13067480000000001</v>
      </c>
      <c r="U2769">
        <v>-7.1609500000000006E-2</v>
      </c>
      <c r="V2769">
        <v>-5.3798550000000001E-2</v>
      </c>
      <c r="W2769">
        <v>3.3750620000000002E-2</v>
      </c>
      <c r="X2769">
        <v>0.99798129999999996</v>
      </c>
      <c r="Y2769">
        <v>-2.8867799999999999E-2</v>
      </c>
      <c r="Z2769">
        <v>2.9191079999999901E-3</v>
      </c>
      <c r="AA2769">
        <v>0.999579</v>
      </c>
      <c r="AB2769">
        <v>21</v>
      </c>
      <c r="AC2769">
        <v>25.159099999999999</v>
      </c>
      <c r="AD2769">
        <v>-1.1035300538899999</v>
      </c>
      <c r="AE2769">
        <v>-0.59260000000000401</v>
      </c>
      <c r="AF2769">
        <v>-0.73403450907398005</v>
      </c>
      <c r="AG2769">
        <v>-1.1035300538899999</v>
      </c>
      <c r="AH2769">
        <v>25.107053400750701</v>
      </c>
      <c r="AI2769">
        <v>92.515627474855805</v>
      </c>
      <c r="AJ2769">
        <v>91.674633101290496</v>
      </c>
      <c r="AK2769">
        <v>25.142010971847402</v>
      </c>
    </row>
    <row r="2770" spans="1:37" x14ac:dyDescent="0.2">
      <c r="A2770" t="str">
        <f>"20200111155858341"</f>
        <v>20200111155858341</v>
      </c>
      <c r="B2770" t="str">
        <f>"1578729538334657"</f>
        <v>1578729538334657</v>
      </c>
      <c r="C2770" t="s">
        <v>37</v>
      </c>
      <c r="D2770">
        <v>5.596184</v>
      </c>
      <c r="E2770">
        <v>0.50912479999999904</v>
      </c>
      <c r="F2770" t="s">
        <v>52</v>
      </c>
      <c r="G2770">
        <v>-433.24869999999999</v>
      </c>
      <c r="H2770" s="1">
        <v>3.7508659999999999E-6</v>
      </c>
      <c r="I2770">
        <v>213.55029999999999</v>
      </c>
      <c r="J2770">
        <v>-456.36110000000002</v>
      </c>
      <c r="K2770">
        <v>1.1035059999999901</v>
      </c>
      <c r="L2770">
        <v>214.03479999999999</v>
      </c>
      <c r="M2770">
        <v>0.99853910000000001</v>
      </c>
      <c r="N2770">
        <v>0</v>
      </c>
      <c r="O2770">
        <v>-5.3507640000000002E-2</v>
      </c>
      <c r="P2770">
        <v>0.99971650000000001</v>
      </c>
      <c r="Q2770">
        <v>2.377406E-2</v>
      </c>
      <c r="R2770">
        <v>1.4447889999999999E-3</v>
      </c>
      <c r="S2770">
        <v>3.0047000000000001</v>
      </c>
      <c r="T2770">
        <v>-0.142152799999999</v>
      </c>
      <c r="U2770">
        <v>-6.3980099999999998E-2</v>
      </c>
      <c r="V2770">
        <v>-5.4909689999999997E-2</v>
      </c>
      <c r="W2770">
        <v>3.1351499999999997E-2</v>
      </c>
      <c r="X2770">
        <v>0.99799899999999997</v>
      </c>
      <c r="Y2770">
        <v>-3.2143320000000003E-2</v>
      </c>
      <c r="Z2770">
        <v>3.2884009999999998E-3</v>
      </c>
      <c r="AA2770">
        <v>0.99947790000000003</v>
      </c>
      <c r="AB2770">
        <v>21</v>
      </c>
      <c r="AC2770">
        <v>23.112400000000001</v>
      </c>
      <c r="AD2770">
        <v>-1.1035022491339901</v>
      </c>
      <c r="AE2770">
        <v>-0.48449999999999699</v>
      </c>
      <c r="AF2770">
        <v>-0.75120740086564197</v>
      </c>
      <c r="AG2770">
        <v>-1.1035022491339901</v>
      </c>
      <c r="AH2770">
        <v>23.052685870160701</v>
      </c>
      <c r="AI2770">
        <v>92.739131133257999</v>
      </c>
      <c r="AJ2770">
        <v>91.866411085915004</v>
      </c>
      <c r="AK2770">
        <v>23.091304761777</v>
      </c>
    </row>
    <row r="2771" spans="1:37" x14ac:dyDescent="0.2">
      <c r="A2771" t="str">
        <f>"20200111155858363"</f>
        <v>20200111155858363</v>
      </c>
      <c r="B2771" t="str">
        <f>"1578729538354177"</f>
        <v>1578729538354177</v>
      </c>
      <c r="C2771" t="s">
        <v>37</v>
      </c>
      <c r="D2771">
        <v>5.5396400000000003</v>
      </c>
      <c r="E2771">
        <v>0.50876650000000001</v>
      </c>
      <c r="F2771" t="s">
        <v>52</v>
      </c>
      <c r="G2771">
        <v>-434.65559999999999</v>
      </c>
      <c r="H2771" s="1">
        <v>4.3702040000000002E-6</v>
      </c>
      <c r="I2771">
        <v>213.60239999999999</v>
      </c>
      <c r="J2771">
        <v>-456.14819999999997</v>
      </c>
      <c r="K2771">
        <v>1.103464</v>
      </c>
      <c r="L2771">
        <v>214.02260000000001</v>
      </c>
      <c r="M2771">
        <v>0.99850519999999998</v>
      </c>
      <c r="N2771">
        <v>0</v>
      </c>
      <c r="O2771">
        <v>-5.4202350000000003E-2</v>
      </c>
      <c r="P2771">
        <v>0.99978330000000004</v>
      </c>
      <c r="Q2771">
        <v>2.06775999999999E-2</v>
      </c>
      <c r="R2771">
        <v>2.4628219999999999E-3</v>
      </c>
      <c r="S2771">
        <v>3.0045470000000001</v>
      </c>
      <c r="T2771">
        <v>-0.15275079999999999</v>
      </c>
      <c r="U2771">
        <v>-5.986023E-2</v>
      </c>
      <c r="V2771">
        <v>-5.6628820000000003E-2</v>
      </c>
      <c r="W2771">
        <v>2.7752949999999998E-2</v>
      </c>
      <c r="X2771">
        <v>0.99800949999999899</v>
      </c>
      <c r="Y2771">
        <v>-3.4188919999999998E-2</v>
      </c>
      <c r="Z2771">
        <v>3.6207069999999999E-3</v>
      </c>
      <c r="AA2771">
        <v>0.99940879999999999</v>
      </c>
      <c r="AB2771">
        <v>21</v>
      </c>
      <c r="AC2771">
        <v>21.4925999999999</v>
      </c>
      <c r="AD2771">
        <v>-1.103459629796</v>
      </c>
      <c r="AE2771">
        <v>-0.420200000000022</v>
      </c>
      <c r="AF2771">
        <v>-0.74343707612969401</v>
      </c>
      <c r="AG2771">
        <v>-1.103459629796</v>
      </c>
      <c r="AH2771">
        <v>21.427320624716</v>
      </c>
      <c r="AI2771">
        <v>92.946232060661202</v>
      </c>
      <c r="AJ2771">
        <v>91.987123246227696</v>
      </c>
      <c r="AK2771">
        <v>21.468590801334202</v>
      </c>
    </row>
    <row r="2772" spans="1:37" x14ac:dyDescent="0.2">
      <c r="A2772" t="str">
        <f>"20200111155858386"</f>
        <v>20200111155858386</v>
      </c>
      <c r="B2772" t="str">
        <f>"1578729538374672"</f>
        <v>1578729538374672</v>
      </c>
      <c r="C2772" t="s">
        <v>37</v>
      </c>
      <c r="D2772">
        <v>5.541156</v>
      </c>
      <c r="E2772">
        <v>0.50843640000000001</v>
      </c>
      <c r="F2772" t="s">
        <v>52</v>
      </c>
      <c r="G2772">
        <v>-436.27980000000002</v>
      </c>
      <c r="H2772" s="1">
        <v>5.084952E-6</v>
      </c>
      <c r="I2772">
        <v>213.6652</v>
      </c>
      <c r="J2772">
        <v>-455.92899999999997</v>
      </c>
      <c r="K2772">
        <v>1.1034090000000001</v>
      </c>
      <c r="L2772">
        <v>214.00989999999999</v>
      </c>
      <c r="M2772">
        <v>0.99847229999999998</v>
      </c>
      <c r="N2772">
        <v>0</v>
      </c>
      <c r="O2772">
        <v>-5.4867869999999999E-2</v>
      </c>
      <c r="P2772">
        <v>0.99983960000000005</v>
      </c>
      <c r="Q2772">
        <v>1.764752E-2</v>
      </c>
      <c r="R2772">
        <v>3.0739890000000001E-3</v>
      </c>
      <c r="S2772">
        <v>3.0042419999999899</v>
      </c>
      <c r="T2772">
        <v>-0.16685039999999901</v>
      </c>
      <c r="U2772">
        <v>-5.4046629999999998E-2</v>
      </c>
      <c r="V2772">
        <v>-5.7911860000000003E-2</v>
      </c>
      <c r="W2772">
        <v>2.420839E-2</v>
      </c>
      <c r="X2772">
        <v>0.99802819999999903</v>
      </c>
      <c r="Y2772">
        <v>-3.6759010000000002E-2</v>
      </c>
      <c r="Z2772">
        <v>4.063115E-3</v>
      </c>
      <c r="AA2772">
        <v>0.99931589999999904</v>
      </c>
      <c r="AB2772">
        <v>21</v>
      </c>
      <c r="AC2772">
        <v>19.6492</v>
      </c>
      <c r="AD2772">
        <v>-1.103403915048</v>
      </c>
      <c r="AE2772">
        <v>-0.34469999999998802</v>
      </c>
      <c r="AF2772">
        <v>-0.73164551410045797</v>
      </c>
      <c r="AG2772">
        <v>-1.103403915048</v>
      </c>
      <c r="AH2772">
        <v>19.576798492681299</v>
      </c>
      <c r="AI2772">
        <v>93.223693778462902</v>
      </c>
      <c r="AJ2772">
        <v>92.140324379066996</v>
      </c>
      <c r="AK2772">
        <v>19.621514839101899</v>
      </c>
    </row>
    <row r="2773" spans="1:37" x14ac:dyDescent="0.2">
      <c r="A2773" t="str">
        <f>"20200111155858407"</f>
        <v>20200111155858407</v>
      </c>
      <c r="B2773" t="str">
        <f>"1578729538404930"</f>
        <v>1578729538404930</v>
      </c>
      <c r="C2773" t="s">
        <v>37</v>
      </c>
      <c r="D2773">
        <v>5.5163519999999897</v>
      </c>
      <c r="E2773">
        <v>0.50803520000000002</v>
      </c>
      <c r="F2773" t="s">
        <v>52</v>
      </c>
      <c r="G2773">
        <v>-437.517</v>
      </c>
      <c r="H2773" s="1">
        <v>5.6300149999999997E-6</v>
      </c>
      <c r="I2773">
        <v>213.7063</v>
      </c>
      <c r="J2773">
        <v>-455.7106</v>
      </c>
      <c r="K2773">
        <v>1.103345</v>
      </c>
      <c r="L2773">
        <v>213.99719999999999</v>
      </c>
      <c r="M2773">
        <v>0.99844149999999998</v>
      </c>
      <c r="N2773">
        <v>0</v>
      </c>
      <c r="O2773">
        <v>-5.5482249999999997E-2</v>
      </c>
      <c r="P2773">
        <v>0.99988459999999901</v>
      </c>
      <c r="Q2773">
        <v>1.4380270000000001E-2</v>
      </c>
      <c r="R2773">
        <v>4.9158679999999899E-3</v>
      </c>
      <c r="S2773">
        <v>3.003784</v>
      </c>
      <c r="T2773">
        <v>-0.18001259999999999</v>
      </c>
      <c r="U2773">
        <v>-4.9530030000000003E-2</v>
      </c>
      <c r="V2773">
        <v>-6.0370970000000003E-2</v>
      </c>
      <c r="W2773">
        <v>2.044089E-2</v>
      </c>
      <c r="X2773">
        <v>0.99796669999999998</v>
      </c>
      <c r="Y2773">
        <v>-3.8845060000000001E-2</v>
      </c>
      <c r="Z2773">
        <v>4.4830109999999899E-3</v>
      </c>
      <c r="AA2773">
        <v>0.99923519999999899</v>
      </c>
      <c r="AB2773">
        <v>22</v>
      </c>
      <c r="AC2773">
        <v>18.1936</v>
      </c>
      <c r="AD2773">
        <v>-1.103339369985</v>
      </c>
      <c r="AE2773">
        <v>-0.290899999999993</v>
      </c>
      <c r="AF2773">
        <v>-0.716354386423387</v>
      </c>
      <c r="AG2773">
        <v>-1.103339369985</v>
      </c>
      <c r="AH2773">
        <v>18.115109357803899</v>
      </c>
      <c r="AI2773">
        <v>93.482700671516497</v>
      </c>
      <c r="AJ2773">
        <v>92.2645575947206</v>
      </c>
      <c r="AK2773">
        <v>18.1628111375278</v>
      </c>
    </row>
    <row r="2774" spans="1:37" x14ac:dyDescent="0.2">
      <c r="A2774" t="str">
        <f>"20200111155858431"</f>
        <v>20200111155858431</v>
      </c>
      <c r="B2774" t="str">
        <f>"1578729538424448"</f>
        <v>1578729538424448</v>
      </c>
      <c r="C2774" t="s">
        <v>37</v>
      </c>
      <c r="D2774">
        <v>5.5232489999999999</v>
      </c>
      <c r="E2774">
        <v>0.50782360000000004</v>
      </c>
      <c r="F2774" t="s">
        <v>52</v>
      </c>
      <c r="G2774">
        <v>-438.72719999999998</v>
      </c>
      <c r="H2774" s="1">
        <v>6.1613389999999998E-6</v>
      </c>
      <c r="I2774">
        <v>213.76759999999999</v>
      </c>
      <c r="J2774">
        <v>-455.4846</v>
      </c>
      <c r="K2774">
        <v>1.103283</v>
      </c>
      <c r="L2774">
        <v>213.98400000000001</v>
      </c>
      <c r="M2774">
        <v>0.998411099999999</v>
      </c>
      <c r="N2774">
        <v>0</v>
      </c>
      <c r="O2774">
        <v>-5.6080610000000003E-2</v>
      </c>
      <c r="P2774">
        <v>0.99991299999999905</v>
      </c>
      <c r="Q2774">
        <v>1.130856E-2</v>
      </c>
      <c r="R2774">
        <v>6.8336899999999999E-3</v>
      </c>
      <c r="S2774">
        <v>3.0033259999999999</v>
      </c>
      <c r="T2774">
        <v>-0.19511289999999901</v>
      </c>
      <c r="U2774">
        <v>-4.0603640000000003E-2</v>
      </c>
      <c r="V2774">
        <v>-6.2888490000000005E-2</v>
      </c>
      <c r="W2774">
        <v>1.6874770000000001E-2</v>
      </c>
      <c r="X2774">
        <v>0.99787789999999998</v>
      </c>
      <c r="Y2774">
        <v>-4.2371909999999999E-2</v>
      </c>
      <c r="Z2774">
        <v>5.0124319999999998E-3</v>
      </c>
      <c r="AA2774">
        <v>0.99908940000000002</v>
      </c>
      <c r="AB2774">
        <v>22</v>
      </c>
      <c r="AC2774">
        <v>16.757400000000001</v>
      </c>
      <c r="AD2774">
        <v>-1.1032768386609999</v>
      </c>
      <c r="AE2774">
        <v>-0.21640000000002099</v>
      </c>
      <c r="AF2774">
        <v>-0.72059696789649097</v>
      </c>
      <c r="AG2774">
        <v>-1.1032768386609999</v>
      </c>
      <c r="AH2774">
        <v>16.6709123713267</v>
      </c>
      <c r="AI2774">
        <v>93.782777278942802</v>
      </c>
      <c r="AJ2774">
        <v>92.475058319140103</v>
      </c>
      <c r="AK2774">
        <v>16.7229123978248</v>
      </c>
    </row>
    <row r="2775" spans="1:37" x14ac:dyDescent="0.2">
      <c r="A2775" t="str">
        <f>"20200111155858453"</f>
        <v>20200111155858453</v>
      </c>
      <c r="B2775" t="str">
        <f>"1578729538443968"</f>
        <v>1578729538443968</v>
      </c>
      <c r="C2775" t="s">
        <v>37</v>
      </c>
      <c r="D2775">
        <v>5.6540140000000001</v>
      </c>
      <c r="E2775">
        <v>0.50760340000000004</v>
      </c>
      <c r="F2775" t="s">
        <v>52</v>
      </c>
      <c r="G2775">
        <v>-439.51960000000003</v>
      </c>
      <c r="H2775" s="1">
        <v>6.5091939999999997E-6</v>
      </c>
      <c r="I2775">
        <v>213.80789999999999</v>
      </c>
      <c r="J2775">
        <v>-455.26179999999999</v>
      </c>
      <c r="K2775">
        <v>1.103221</v>
      </c>
      <c r="L2775">
        <v>213.9709</v>
      </c>
      <c r="M2775">
        <v>0.9983822</v>
      </c>
      <c r="N2775">
        <v>0</v>
      </c>
      <c r="O2775">
        <v>-5.6634160000000003E-2</v>
      </c>
      <c r="P2775">
        <v>0.99993559999999904</v>
      </c>
      <c r="Q2775">
        <v>7.9126059999999904E-3</v>
      </c>
      <c r="R2775">
        <v>8.1496889999999999E-3</v>
      </c>
      <c r="S2775">
        <v>3.002777</v>
      </c>
      <c r="T2775">
        <v>-0.20750979999999999</v>
      </c>
      <c r="U2775">
        <v>-3.311157E-2</v>
      </c>
      <c r="V2775">
        <v>-6.4759259999999999E-2</v>
      </c>
      <c r="W2775">
        <v>1.3019019999999999E-2</v>
      </c>
      <c r="X2775">
        <v>0.99781600000000004</v>
      </c>
      <c r="Y2775">
        <v>-4.5379709999999997E-2</v>
      </c>
      <c r="Z2775">
        <v>5.4732419999999997E-3</v>
      </c>
      <c r="AA2775">
        <v>0.99895480000000003</v>
      </c>
      <c r="AB2775">
        <v>22</v>
      </c>
      <c r="AC2775">
        <v>15.742199999999899</v>
      </c>
      <c r="AD2775">
        <v>-1.103214490806</v>
      </c>
      <c r="AE2775">
        <v>-0.16300000000001</v>
      </c>
      <c r="AF2775">
        <v>-0.72525777140118497</v>
      </c>
      <c r="AG2775">
        <v>-1.103214490806</v>
      </c>
      <c r="AH2775">
        <v>15.649315641158701</v>
      </c>
      <c r="AI2775">
        <v>94.0281440663354</v>
      </c>
      <c r="AJ2775">
        <v>92.653438561263897</v>
      </c>
      <c r="AK2775">
        <v>15.7049088212672</v>
      </c>
    </row>
    <row r="2776" spans="1:37" x14ac:dyDescent="0.2">
      <c r="A2776" t="str">
        <f>"20200111155858476"</f>
        <v>20200111155858476</v>
      </c>
      <c r="B2776" t="str">
        <f>"1578729538464464"</f>
        <v>1578729538464464</v>
      </c>
      <c r="C2776" t="s">
        <v>37</v>
      </c>
      <c r="D2776">
        <v>6.7029800000000002</v>
      </c>
      <c r="E2776">
        <v>0.50756979999999996</v>
      </c>
      <c r="F2776" t="s">
        <v>50</v>
      </c>
      <c r="G2776">
        <v>-440.22410000000002</v>
      </c>
      <c r="H2776" s="1">
        <v>-1.383288E-6</v>
      </c>
      <c r="I2776">
        <v>213.83269999999999</v>
      </c>
      <c r="J2776">
        <v>-455.03859999999997</v>
      </c>
      <c r="K2776">
        <v>1.1031629999999999</v>
      </c>
      <c r="L2776">
        <v>213.95760000000001</v>
      </c>
      <c r="M2776">
        <v>0.99835490000000005</v>
      </c>
      <c r="N2776">
        <v>0</v>
      </c>
      <c r="O2776">
        <v>-5.714868E-2</v>
      </c>
      <c r="P2776">
        <v>0.99995239999999996</v>
      </c>
      <c r="Q2776">
        <v>2.8958450000000002E-3</v>
      </c>
      <c r="R2776">
        <v>9.3393759999999999E-3</v>
      </c>
      <c r="S2776">
        <v>3.002167</v>
      </c>
      <c r="T2776">
        <v>-0.22024969999999999</v>
      </c>
      <c r="U2776">
        <v>-2.7572630000000001E-2</v>
      </c>
      <c r="V2776">
        <v>-6.6466230000000001E-2</v>
      </c>
      <c r="W2776">
        <v>7.5714500000000004E-3</v>
      </c>
      <c r="X2776">
        <v>0.99775990000000003</v>
      </c>
      <c r="Y2776">
        <v>-4.7696450000000001E-2</v>
      </c>
      <c r="Z2776">
        <v>5.9321790000000001E-3</v>
      </c>
      <c r="AA2776">
        <v>0.99884430000000002</v>
      </c>
      <c r="AB2776">
        <v>22</v>
      </c>
      <c r="AC2776">
        <v>14.814499999999899</v>
      </c>
      <c r="AD2776">
        <v>-1.10316438328799</v>
      </c>
      <c r="AE2776">
        <v>-0.124900000000025</v>
      </c>
      <c r="AF2776">
        <v>-0.71796150307946205</v>
      </c>
      <c r="AG2776">
        <v>-1.10316438328799</v>
      </c>
      <c r="AH2776">
        <v>14.715831363399399</v>
      </c>
      <c r="AI2776">
        <v>94.282054252477806</v>
      </c>
      <c r="AJ2776">
        <v>92.793153211633907</v>
      </c>
      <c r="AK2776">
        <v>14.774577255964701</v>
      </c>
    </row>
    <row r="2777" spans="1:37" x14ac:dyDescent="0.2">
      <c r="A2777" t="str">
        <f>"20200111155858497"</f>
        <v>20200111155858497</v>
      </c>
      <c r="B2777" t="str">
        <f>"1578729538494721"</f>
        <v>1578729538494721</v>
      </c>
      <c r="C2777" t="s">
        <v>37</v>
      </c>
      <c r="D2777">
        <v>5.5405030000000002</v>
      </c>
      <c r="E2777">
        <v>0.50738320000000003</v>
      </c>
      <c r="F2777" t="s">
        <v>50</v>
      </c>
      <c r="G2777">
        <v>-440.9162</v>
      </c>
      <c r="H2777" s="1">
        <v>-1.015474E-6</v>
      </c>
      <c r="I2777">
        <v>213.84440000000001</v>
      </c>
      <c r="J2777">
        <v>-454.82119999999998</v>
      </c>
      <c r="K2777">
        <v>1.10311</v>
      </c>
      <c r="L2777">
        <v>213.94470000000001</v>
      </c>
      <c r="M2777">
        <v>0.99833039999999995</v>
      </c>
      <c r="N2777">
        <v>0</v>
      </c>
      <c r="O2777">
        <v>-5.7605070000000001E-2</v>
      </c>
      <c r="P2777">
        <v>0.99994649999999996</v>
      </c>
      <c r="Q2777">
        <v>-9.0877429999999901E-4</v>
      </c>
      <c r="R2777">
        <v>1.032053E-2</v>
      </c>
      <c r="S2777">
        <v>3.001007</v>
      </c>
      <c r="T2777">
        <v>-0.2344232</v>
      </c>
      <c r="U2777">
        <v>-2.4063109999999999E-2</v>
      </c>
      <c r="V2777">
        <v>-6.7903599999999995E-2</v>
      </c>
      <c r="W2777">
        <v>3.3782109999999999E-3</v>
      </c>
      <c r="X2777">
        <v>0.99768609999999902</v>
      </c>
      <c r="Y2777">
        <v>-4.9273589999999999E-2</v>
      </c>
      <c r="Z2777">
        <v>6.4123490000000003E-3</v>
      </c>
      <c r="AA2777">
        <v>0.99876480000000001</v>
      </c>
      <c r="AB2777">
        <v>22</v>
      </c>
      <c r="AC2777">
        <v>13.9049999999999</v>
      </c>
      <c r="AD2777">
        <v>-1.103111015474</v>
      </c>
      <c r="AE2777">
        <v>-0.100300000000004</v>
      </c>
      <c r="AF2777">
        <v>-0.69648912223732595</v>
      </c>
      <c r="AG2777">
        <v>-1.103111015474</v>
      </c>
      <c r="AH2777">
        <v>13.800835581151601</v>
      </c>
      <c r="AI2777">
        <v>94.564194161033598</v>
      </c>
      <c r="AJ2777">
        <v>92.889104749339197</v>
      </c>
      <c r="AK2777">
        <v>13.862359602457101</v>
      </c>
    </row>
    <row r="2778" spans="1:37" x14ac:dyDescent="0.2">
      <c r="A2778" t="str">
        <f>"20200111155858519"</f>
        <v>20200111155858519</v>
      </c>
      <c r="B2778" t="str">
        <f>"1578729538514242"</f>
        <v>1578729538514242</v>
      </c>
      <c r="C2778" t="s">
        <v>37</v>
      </c>
      <c r="D2778">
        <v>5.5491910000000004</v>
      </c>
      <c r="E2778">
        <v>0.50724689999999995</v>
      </c>
      <c r="F2778" t="s">
        <v>50</v>
      </c>
      <c r="G2778">
        <v>-441.42680000000001</v>
      </c>
      <c r="H2778" s="1">
        <v>-7.4418880000000004E-7</v>
      </c>
      <c r="I2778">
        <v>213.8545</v>
      </c>
      <c r="J2778">
        <v>-454.59800000000001</v>
      </c>
      <c r="K2778">
        <v>1.1030819999999999</v>
      </c>
      <c r="L2778">
        <v>213.9314</v>
      </c>
      <c r="M2778">
        <v>0.99830810000000003</v>
      </c>
      <c r="N2778">
        <v>0</v>
      </c>
      <c r="O2778">
        <v>-5.8017920000000001E-2</v>
      </c>
      <c r="P2778">
        <v>0.9999344</v>
      </c>
      <c r="Q2778">
        <v>-2.7252279999999901E-3</v>
      </c>
      <c r="R2778">
        <v>1.114061E-2</v>
      </c>
      <c r="S2778">
        <v>3.0001530000000001</v>
      </c>
      <c r="T2778">
        <v>-0.24708249999999901</v>
      </c>
      <c r="U2778">
        <v>-2.0202640000000001E-2</v>
      </c>
      <c r="V2778">
        <v>-6.9136039999999996E-2</v>
      </c>
      <c r="W2778">
        <v>1.195256E-3</v>
      </c>
      <c r="X2778">
        <v>0.99760649999999995</v>
      </c>
      <c r="Y2778">
        <v>-5.0926039999999999E-2</v>
      </c>
      <c r="Z2778">
        <v>6.861303E-3</v>
      </c>
      <c r="AA2778">
        <v>0.99867890000000004</v>
      </c>
      <c r="AB2778">
        <v>23</v>
      </c>
      <c r="AC2778">
        <v>13.171200000000001</v>
      </c>
      <c r="AD2778">
        <v>-1.10308274418879</v>
      </c>
      <c r="AE2778">
        <v>-7.6899999999994806E-2</v>
      </c>
      <c r="AF2778">
        <v>-0.68261315934745204</v>
      </c>
      <c r="AG2778">
        <v>-1.10308274418879</v>
      </c>
      <c r="AH2778">
        <v>13.0618622230828</v>
      </c>
      <c r="AI2778">
        <v>94.820664440610201</v>
      </c>
      <c r="AJ2778">
        <v>92.991557045541796</v>
      </c>
      <c r="AK2778">
        <v>13.1261188856661</v>
      </c>
    </row>
    <row r="2779" spans="1:37" x14ac:dyDescent="0.2">
      <c r="A2779" t="str">
        <f>"20200111155858542"</f>
        <v>20200111155858542</v>
      </c>
      <c r="B2779" t="str">
        <f>"1578729538534738"</f>
        <v>1578729538534738</v>
      </c>
      <c r="C2779" t="s">
        <v>37</v>
      </c>
      <c r="D2779">
        <v>5.5517909999999997</v>
      </c>
      <c r="E2779">
        <v>0.50713009999999903</v>
      </c>
      <c r="F2779" t="s">
        <v>50</v>
      </c>
      <c r="G2779">
        <v>-441.51900000000001</v>
      </c>
      <c r="H2779" s="1">
        <v>-6.9523680000000001E-7</v>
      </c>
      <c r="I2779">
        <v>213.85650000000001</v>
      </c>
      <c r="J2779">
        <v>-454.36279999999999</v>
      </c>
      <c r="K2779">
        <v>1.103073</v>
      </c>
      <c r="L2779">
        <v>213.91730000000001</v>
      </c>
      <c r="M2779">
        <v>0.99828809999999901</v>
      </c>
      <c r="N2779">
        <v>0</v>
      </c>
      <c r="O2779">
        <v>-5.8381959999999997E-2</v>
      </c>
      <c r="P2779">
        <v>0.99992969999999903</v>
      </c>
      <c r="Q2779">
        <v>-5.1844669999999999E-3</v>
      </c>
      <c r="R2779">
        <v>1.0673729999999999E-2</v>
      </c>
      <c r="S2779">
        <v>2.999695</v>
      </c>
      <c r="T2779">
        <v>-0.25299389999999999</v>
      </c>
      <c r="U2779">
        <v>-1.716614E-2</v>
      </c>
      <c r="V2779">
        <v>-6.9034189999999995E-2</v>
      </c>
      <c r="W2779">
        <v>-1.613129E-3</v>
      </c>
      <c r="X2779">
        <v>0.99761299999999997</v>
      </c>
      <c r="Y2779">
        <v>-5.227594E-2</v>
      </c>
      <c r="Z2779">
        <v>7.1134359999999999E-3</v>
      </c>
      <c r="AA2779">
        <v>0.99860729999999998</v>
      </c>
      <c r="AB2779">
        <v>23</v>
      </c>
      <c r="AC2779">
        <v>12.8437999999999</v>
      </c>
      <c r="AD2779">
        <v>-1.1030736952368001</v>
      </c>
      <c r="AE2779">
        <v>-6.0800000000000402E-2</v>
      </c>
      <c r="AF2779">
        <v>-0.68410869449828204</v>
      </c>
      <c r="AG2779">
        <v>-1.1030736952368001</v>
      </c>
      <c r="AH2779">
        <v>12.7315360047272</v>
      </c>
      <c r="AI2779">
        <v>94.944703123310902</v>
      </c>
      <c r="AJ2779">
        <v>93.075739043121899</v>
      </c>
      <c r="AK2779">
        <v>12.797530438435199</v>
      </c>
    </row>
    <row r="2780" spans="1:37" x14ac:dyDescent="0.2">
      <c r="A2780" t="str">
        <f>"20200111155858565"</f>
        <v>20200111155858565</v>
      </c>
      <c r="B2780" t="str">
        <f>"1578729538554763"</f>
        <v>1578729538554763</v>
      </c>
      <c r="C2780" t="s">
        <v>37</v>
      </c>
      <c r="D2780">
        <v>5.5632580000000003</v>
      </c>
      <c r="E2780">
        <v>0.50706049999999903</v>
      </c>
      <c r="F2780" t="s">
        <v>50</v>
      </c>
      <c r="G2780">
        <v>-441.67239999999998</v>
      </c>
      <c r="H2780" s="1">
        <v>-6.1299280000000003E-7</v>
      </c>
      <c r="I2780">
        <v>213.8424</v>
      </c>
      <c r="J2780">
        <v>-454.12349999999998</v>
      </c>
      <c r="K2780">
        <v>1.1030930000000001</v>
      </c>
      <c r="L2780">
        <v>213.90289999999999</v>
      </c>
      <c r="M2780">
        <v>0.99827269999999901</v>
      </c>
      <c r="N2780">
        <v>0</v>
      </c>
      <c r="O2780">
        <v>-5.8662029999999997E-2</v>
      </c>
      <c r="P2780">
        <v>0.99992969999999903</v>
      </c>
      <c r="Q2780">
        <v>-6.73747699999999E-3</v>
      </c>
      <c r="R2780">
        <v>9.7694879999999998E-3</v>
      </c>
      <c r="S2780">
        <v>2.9990540000000001</v>
      </c>
      <c r="T2780">
        <v>-0.26068360000000002</v>
      </c>
      <c r="U2780">
        <v>-1.768494E-2</v>
      </c>
      <c r="V2780">
        <v>-6.8412130000000002E-2</v>
      </c>
      <c r="W2780">
        <v>-3.4833590000000001E-3</v>
      </c>
      <c r="X2780">
        <v>0.99765099999999995</v>
      </c>
      <c r="Y2780">
        <v>-5.2356380000000001E-2</v>
      </c>
      <c r="Z2780">
        <v>7.3581469999999998E-3</v>
      </c>
      <c r="AA2780">
        <v>0.99860139999999997</v>
      </c>
      <c r="AB2780">
        <v>23</v>
      </c>
      <c r="AC2780">
        <v>12.451099999999901</v>
      </c>
      <c r="AD2780">
        <v>-1.1030936129928</v>
      </c>
      <c r="AE2780">
        <v>-6.0499999999990402E-2</v>
      </c>
      <c r="AF2780">
        <v>-0.66479697385889203</v>
      </c>
      <c r="AG2780">
        <v>-1.1030936129928</v>
      </c>
      <c r="AH2780">
        <v>12.336381958701899</v>
      </c>
      <c r="AI2780">
        <v>95.102315946987304</v>
      </c>
      <c r="AJ2780">
        <v>93.084636435619203</v>
      </c>
      <c r="AK2780">
        <v>12.403430588609901</v>
      </c>
    </row>
    <row r="2781" spans="1:37" x14ac:dyDescent="0.2">
      <c r="A2781" t="str">
        <f>"20200111155858587"</f>
        <v>20200111155858587</v>
      </c>
      <c r="B2781" t="str">
        <f>"1578729538584043"</f>
        <v>1578729538584043</v>
      </c>
      <c r="C2781" t="s">
        <v>37</v>
      </c>
      <c r="D2781">
        <v>5.4832019999999897</v>
      </c>
      <c r="E2781">
        <v>0.50693820000000001</v>
      </c>
      <c r="F2781" t="s">
        <v>50</v>
      </c>
      <c r="G2781">
        <v>-441.649</v>
      </c>
      <c r="H2781" s="1">
        <v>-6.2451349999999996E-7</v>
      </c>
      <c r="I2781">
        <v>213.82130000000001</v>
      </c>
      <c r="J2781">
        <v>-453.88630000000001</v>
      </c>
      <c r="K2781">
        <v>1.103111</v>
      </c>
      <c r="L2781">
        <v>213.8887</v>
      </c>
      <c r="M2781">
        <v>0.99826349999999997</v>
      </c>
      <c r="N2781">
        <v>0</v>
      </c>
      <c r="O2781">
        <v>-5.8831370000000001E-2</v>
      </c>
      <c r="P2781">
        <v>0.99992289999999995</v>
      </c>
      <c r="Q2781">
        <v>-8.7498929999999999E-3</v>
      </c>
      <c r="R2781">
        <v>8.810343E-3</v>
      </c>
      <c r="S2781">
        <v>2.9986570000000001</v>
      </c>
      <c r="T2781">
        <v>-0.2651657</v>
      </c>
      <c r="U2781">
        <v>-1.9622799999999999E-2</v>
      </c>
      <c r="V2781">
        <v>-6.7623600000000006E-2</v>
      </c>
      <c r="W2781">
        <v>-5.7683049999999996E-3</v>
      </c>
      <c r="X2781">
        <v>0.99769430000000003</v>
      </c>
      <c r="Y2781">
        <v>-5.1866269999999999E-2</v>
      </c>
      <c r="Z2781">
        <v>7.4784119999999898E-3</v>
      </c>
      <c r="AA2781">
        <v>0.99862609999999996</v>
      </c>
      <c r="AB2781">
        <v>23</v>
      </c>
      <c r="AC2781">
        <v>12.237299999999999</v>
      </c>
      <c r="AD2781">
        <v>-1.1031116245135</v>
      </c>
      <c r="AE2781">
        <v>-6.7399999999992105E-2</v>
      </c>
      <c r="AF2781">
        <v>-0.64739657899776204</v>
      </c>
      <c r="AG2781">
        <v>-1.1031116245135</v>
      </c>
      <c r="AH2781">
        <v>12.1215744044773</v>
      </c>
      <c r="AI2781">
        <v>95.192461671558803</v>
      </c>
      <c r="AJ2781">
        <v>93.057183954824197</v>
      </c>
      <c r="AK2781">
        <v>12.1888696617001</v>
      </c>
    </row>
    <row r="2782" spans="1:37" x14ac:dyDescent="0.2">
      <c r="A2782" t="str">
        <f>"20200111155858610"</f>
        <v>20200111155858610</v>
      </c>
      <c r="B2782" t="str">
        <f>"1578729538604540"</f>
        <v>1578729538604540</v>
      </c>
      <c r="C2782" t="s">
        <v>37</v>
      </c>
      <c r="D2782">
        <v>5.5648369999999998</v>
      </c>
      <c r="E2782">
        <v>0.50683639999999996</v>
      </c>
      <c r="F2782" t="s">
        <v>38</v>
      </c>
      <c r="G2782">
        <v>-452.97730000000001</v>
      </c>
      <c r="H2782">
        <v>1.0212239999999999</v>
      </c>
      <c r="I2782">
        <v>213.88220000000001</v>
      </c>
      <c r="J2782">
        <v>-453.64940000000001</v>
      </c>
      <c r="K2782">
        <v>1.103145</v>
      </c>
      <c r="L2782">
        <v>213.87459999999999</v>
      </c>
      <c r="M2782">
        <v>0.99826059999999905</v>
      </c>
      <c r="N2782">
        <v>0</v>
      </c>
      <c r="O2782">
        <v>-5.8891840000000001E-2</v>
      </c>
      <c r="P2782">
        <v>0.99990489999999999</v>
      </c>
      <c r="Q2782">
        <v>-1.1096399999999999E-2</v>
      </c>
      <c r="R2782">
        <v>8.1957809999999992E-3</v>
      </c>
      <c r="S2782">
        <v>2.9980159999999998</v>
      </c>
      <c r="T2782">
        <v>-0.2700747</v>
      </c>
      <c r="U2782">
        <v>-2.137756E-2</v>
      </c>
      <c r="V2782">
        <v>-6.7068600000000006E-2</v>
      </c>
      <c r="W2782">
        <v>-8.3501549999999997E-3</v>
      </c>
      <c r="X2782">
        <v>0.99771339999999997</v>
      </c>
      <c r="Y2782">
        <v>-5.132652E-2</v>
      </c>
      <c r="Z2782">
        <v>7.5990519999999898E-3</v>
      </c>
      <c r="AA2782">
        <v>0.99865300000000001</v>
      </c>
      <c r="AB2782">
        <v>23</v>
      </c>
      <c r="AC2782">
        <v>0.67210000000000003</v>
      </c>
      <c r="AD2782">
        <v>-8.1921000000000105E-2</v>
      </c>
      <c r="AE2782">
        <v>7.6000000000249202E-3</v>
      </c>
      <c r="AF2782">
        <v>-4.6477745521010298E-2</v>
      </c>
      <c r="AG2782">
        <v>-8.1921000000000105E-2</v>
      </c>
      <c r="AH2782">
        <v>0.66067173947660296</v>
      </c>
      <c r="AI2782">
        <v>97.051148523774799</v>
      </c>
      <c r="AJ2782">
        <v>94.024084065305303</v>
      </c>
      <c r="AK2782">
        <v>0.66735176512298</v>
      </c>
    </row>
    <row r="2783" spans="1:37" x14ac:dyDescent="0.2">
      <c r="A2783" t="str">
        <f>"20200111155858631"</f>
        <v>20200111155858631</v>
      </c>
      <c r="B2783" t="str">
        <f>"1578729538624059"</f>
        <v>1578729538624059</v>
      </c>
      <c r="C2783" t="s">
        <v>37</v>
      </c>
      <c r="D2783">
        <v>5.5401689999999997</v>
      </c>
      <c r="E2783">
        <v>0.50674030000000003</v>
      </c>
      <c r="F2783" t="s">
        <v>38</v>
      </c>
      <c r="G2783">
        <v>-452.7697</v>
      </c>
      <c r="H2783">
        <v>1.022106</v>
      </c>
      <c r="I2783">
        <v>213.86770000000001</v>
      </c>
      <c r="J2783">
        <v>-453.41629999999998</v>
      </c>
      <c r="K2783">
        <v>1.1031819999999899</v>
      </c>
      <c r="L2783">
        <v>213.86089999999999</v>
      </c>
      <c r="M2783">
        <v>0.99826349999999997</v>
      </c>
      <c r="N2783">
        <v>0</v>
      </c>
      <c r="O2783">
        <v>-5.8853259999999998E-2</v>
      </c>
      <c r="P2783">
        <v>0.99988279999999996</v>
      </c>
      <c r="Q2783">
        <v>-1.3224110000000001E-2</v>
      </c>
      <c r="R2783">
        <v>7.7293830000000003E-3</v>
      </c>
      <c r="S2783">
        <v>2.9973749999999999</v>
      </c>
      <c r="T2783">
        <v>-0.27627689999999999</v>
      </c>
      <c r="U2783">
        <v>-2.2201539999999999E-2</v>
      </c>
      <c r="V2783">
        <v>-6.6561889999999999E-2</v>
      </c>
      <c r="W2783">
        <v>-1.067682E-2</v>
      </c>
      <c r="X2783">
        <v>0.99772519999999998</v>
      </c>
      <c r="Y2783">
        <v>-5.0992549999999998E-2</v>
      </c>
      <c r="Z2783">
        <v>7.7555649999999999E-3</v>
      </c>
      <c r="AA2783">
        <v>0.99866889999999997</v>
      </c>
      <c r="AB2783">
        <v>24</v>
      </c>
      <c r="AC2783">
        <v>0.64659999999997797</v>
      </c>
      <c r="AD2783">
        <v>-8.1075999999999898E-2</v>
      </c>
      <c r="AE2783">
        <v>6.8000000000267803E-3</v>
      </c>
      <c r="AF2783">
        <v>-4.4148810952011203E-2</v>
      </c>
      <c r="AG2783">
        <v>-8.1075999999999898E-2</v>
      </c>
      <c r="AH2783">
        <v>0.63509501732646301</v>
      </c>
      <c r="AI2783">
        <v>97.257681177151298</v>
      </c>
      <c r="AJ2783">
        <v>93.976535289644104</v>
      </c>
      <c r="AK2783">
        <v>0.64176951962318696</v>
      </c>
    </row>
    <row r="2784" spans="1:37" x14ac:dyDescent="0.2">
      <c r="A2784" t="str">
        <f>"20200111155858653"</f>
        <v>20200111155858653</v>
      </c>
      <c r="B2784" t="str">
        <f>"1578729538644087"</f>
        <v>1578729538644087</v>
      </c>
      <c r="C2784" t="s">
        <v>37</v>
      </c>
      <c r="D2784">
        <v>5.5684760000000004</v>
      </c>
      <c r="E2784">
        <v>0.50655299999999903</v>
      </c>
      <c r="F2784" t="s">
        <v>38</v>
      </c>
      <c r="G2784">
        <v>-452.55590000000001</v>
      </c>
      <c r="H2784">
        <v>1.0222850000000001</v>
      </c>
      <c r="I2784">
        <v>213.85419999999999</v>
      </c>
      <c r="J2784">
        <v>-453.17970000000003</v>
      </c>
      <c r="K2784">
        <v>1.103229</v>
      </c>
      <c r="L2784">
        <v>213.84700000000001</v>
      </c>
      <c r="M2784">
        <v>0.99827310000000002</v>
      </c>
      <c r="N2784">
        <v>0</v>
      </c>
      <c r="O2784">
        <v>-5.869767E-2</v>
      </c>
      <c r="P2784">
        <v>0.99986090000000005</v>
      </c>
      <c r="Q2784">
        <v>-1.479458E-2</v>
      </c>
      <c r="R2784">
        <v>7.7119889999999998E-3</v>
      </c>
      <c r="S2784">
        <v>2.9967649999999999</v>
      </c>
      <c r="T2784">
        <v>-0.28179070000000001</v>
      </c>
      <c r="U2784">
        <v>-2.26593E-2</v>
      </c>
      <c r="V2784">
        <v>-6.6385E-2</v>
      </c>
      <c r="W2784">
        <v>-1.2419899999999999E-2</v>
      </c>
      <c r="X2784">
        <v>0.99771679999999996</v>
      </c>
      <c r="Y2784">
        <v>-5.0666030000000001E-2</v>
      </c>
      <c r="Z2784">
        <v>7.8813719999999993E-3</v>
      </c>
      <c r="AA2784">
        <v>0.99868449999999998</v>
      </c>
      <c r="AB2784">
        <v>24</v>
      </c>
      <c r="AC2784">
        <v>0.62380000000001701</v>
      </c>
      <c r="AD2784">
        <v>-8.0943999999999905E-2</v>
      </c>
      <c r="AE2784">
        <v>7.1999999999832198E-3</v>
      </c>
      <c r="AF2784">
        <v>-4.3078059329525901E-2</v>
      </c>
      <c r="AG2784">
        <v>-8.0943999999999905E-2</v>
      </c>
      <c r="AH2784">
        <v>0.61199863958142298</v>
      </c>
      <c r="AI2784">
        <v>97.515926202313096</v>
      </c>
      <c r="AJ2784">
        <v>94.026359830941004</v>
      </c>
      <c r="AK2784">
        <v>0.61882952836876703</v>
      </c>
    </row>
    <row r="2785" spans="1:37" x14ac:dyDescent="0.2">
      <c r="A2785" t="str">
        <f>"20200111155858676"</f>
        <v>20200111155858676</v>
      </c>
      <c r="B2785" t="str">
        <f>"1578729538664582"</f>
        <v>1578729538664582</v>
      </c>
      <c r="C2785" t="s">
        <v>37</v>
      </c>
      <c r="D2785">
        <v>5.5982139999999996</v>
      </c>
      <c r="E2785">
        <v>0.50162450000000003</v>
      </c>
      <c r="F2785" t="s">
        <v>38</v>
      </c>
      <c r="G2785">
        <v>-452.3399</v>
      </c>
      <c r="H2785">
        <v>1.0233909999999999</v>
      </c>
      <c r="I2785">
        <v>213.84099999999901</v>
      </c>
      <c r="J2785">
        <v>-452.94170000000003</v>
      </c>
      <c r="K2785">
        <v>1.103297</v>
      </c>
      <c r="L2785">
        <v>213.83320000000001</v>
      </c>
      <c r="M2785">
        <v>0.99829080000000003</v>
      </c>
      <c r="N2785">
        <v>0</v>
      </c>
      <c r="O2785">
        <v>-5.8400870000000001E-2</v>
      </c>
      <c r="P2785">
        <v>0.99984459999999997</v>
      </c>
      <c r="Q2785">
        <v>-1.5966069999999999E-2</v>
      </c>
      <c r="R2785">
        <v>7.5192669999999996E-3</v>
      </c>
      <c r="S2785">
        <v>2.9963380000000002</v>
      </c>
      <c r="T2785">
        <v>-0.28501090000000001</v>
      </c>
      <c r="U2785">
        <v>-2.0904539999999999E-2</v>
      </c>
      <c r="V2785">
        <v>-6.5891930000000001E-2</v>
      </c>
      <c r="W2785">
        <v>-1.373899E-2</v>
      </c>
      <c r="X2785">
        <v>0.99773219999999996</v>
      </c>
      <c r="Y2785">
        <v>-5.0941729999999998E-2</v>
      </c>
      <c r="Z2785">
        <v>7.9571590000000001E-3</v>
      </c>
      <c r="AA2785">
        <v>0.9986699</v>
      </c>
      <c r="AB2785">
        <v>24</v>
      </c>
      <c r="AC2785">
        <v>0.60180000000002498</v>
      </c>
      <c r="AD2785">
        <v>-7.9906000000000005E-2</v>
      </c>
      <c r="AE2785">
        <v>7.79999999997471E-3</v>
      </c>
      <c r="AF2785">
        <v>-4.2188748893838099E-2</v>
      </c>
      <c r="AG2785">
        <v>-7.9906000000000005E-2</v>
      </c>
      <c r="AH2785">
        <v>0.58991875144295303</v>
      </c>
      <c r="AI2785">
        <v>97.694495829943605</v>
      </c>
      <c r="AJ2785">
        <v>94.090612153331804</v>
      </c>
      <c r="AK2785">
        <v>0.59679895498671898</v>
      </c>
    </row>
    <row r="2786" spans="1:37" x14ac:dyDescent="0.2">
      <c r="A2786" t="str">
        <f>"20200111155858698"</f>
        <v>20200111155858698</v>
      </c>
      <c r="B2786" t="str">
        <f>"1578729538694839"</f>
        <v>1578729538694839</v>
      </c>
      <c r="C2786" t="s">
        <v>37</v>
      </c>
      <c r="D2786">
        <v>6.2755279999999898</v>
      </c>
      <c r="E2786">
        <v>0.50475539999999997</v>
      </c>
      <c r="F2786" t="s">
        <v>52</v>
      </c>
      <c r="G2786">
        <v>-430.26589999999999</v>
      </c>
      <c r="H2786" s="1">
        <v>2.3948360000000001E-6</v>
      </c>
      <c r="I2786">
        <v>213.93090000000001</v>
      </c>
      <c r="J2786">
        <v>-452.70150000000001</v>
      </c>
      <c r="K2786">
        <v>1.1033809999999999</v>
      </c>
      <c r="L2786">
        <v>213.81960000000001</v>
      </c>
      <c r="M2786">
        <v>0.99831780000000003</v>
      </c>
      <c r="N2786">
        <v>0</v>
      </c>
      <c r="O2786">
        <v>-5.7939850000000001E-2</v>
      </c>
      <c r="P2786">
        <v>0.99982109999999902</v>
      </c>
      <c r="Q2786">
        <v>-1.728012E-2</v>
      </c>
      <c r="R2786">
        <v>7.7095719999999996E-3</v>
      </c>
      <c r="S2786">
        <v>2.9980159999999998</v>
      </c>
      <c r="T2786">
        <v>-0.14586939999999901</v>
      </c>
      <c r="U2786">
        <v>1.2908940000000001E-2</v>
      </c>
      <c r="V2786">
        <v>-6.5615080000000006E-2</v>
      </c>
      <c r="W2786">
        <v>-1.5179369999999999E-2</v>
      </c>
      <c r="X2786">
        <v>0.99772950000000005</v>
      </c>
      <c r="Y2786">
        <v>-6.209605E-2</v>
      </c>
      <c r="Z2786">
        <v>4.326061E-3</v>
      </c>
      <c r="AA2786">
        <v>0.99806079999999997</v>
      </c>
      <c r="AB2786">
        <v>24</v>
      </c>
      <c r="AC2786">
        <v>22.435600000000001</v>
      </c>
      <c r="AD2786">
        <v>-1.103378605164</v>
      </c>
      <c r="AE2786">
        <v>0.111299999999999</v>
      </c>
      <c r="AF2786">
        <v>-1.40762679729337</v>
      </c>
      <c r="AG2786">
        <v>-1.103378605164</v>
      </c>
      <c r="AH2786">
        <v>22.337435803353198</v>
      </c>
      <c r="AI2786">
        <v>92.822291186322502</v>
      </c>
      <c r="AJ2786">
        <v>93.605810968325002</v>
      </c>
      <c r="AK2786">
        <v>22.408924468071099</v>
      </c>
    </row>
    <row r="2787" spans="1:37" x14ac:dyDescent="0.2">
      <c r="A2787" t="str">
        <f>"20200111155858721"</f>
        <v>20200111155858721</v>
      </c>
      <c r="B2787" t="str">
        <f>"1578729538714359"</f>
        <v>1578729538714359</v>
      </c>
      <c r="C2787" t="s">
        <v>37</v>
      </c>
      <c r="D2787">
        <v>5.805364</v>
      </c>
      <c r="E2787">
        <v>0.50368740000000001</v>
      </c>
      <c r="F2787" t="s">
        <v>50</v>
      </c>
      <c r="G2787">
        <v>-440.61900000000003</v>
      </c>
      <c r="H2787" s="1">
        <v>-1.171395E-6</v>
      </c>
      <c r="I2787">
        <v>213.79249999999999</v>
      </c>
      <c r="J2787">
        <v>-452.45060000000001</v>
      </c>
      <c r="K2787">
        <v>1.1034899999999901</v>
      </c>
      <c r="L2787">
        <v>213.8056</v>
      </c>
      <c r="M2787">
        <v>0.99835659999999904</v>
      </c>
      <c r="N2787">
        <v>0</v>
      </c>
      <c r="O2787">
        <v>-5.7270740000000001E-2</v>
      </c>
      <c r="P2787">
        <v>0.99979629999999997</v>
      </c>
      <c r="Q2787">
        <v>-1.834825E-2</v>
      </c>
      <c r="R2787">
        <v>8.4091530000000008E-3</v>
      </c>
      <c r="S2787">
        <v>2.995819</v>
      </c>
      <c r="T2787">
        <v>-0.27357949999999998</v>
      </c>
      <c r="U2787">
        <v>-6.698608E-3</v>
      </c>
      <c r="V2787">
        <v>-6.5637180000000003E-2</v>
      </c>
      <c r="W2787">
        <v>-1.6358850000000001E-2</v>
      </c>
      <c r="X2787">
        <v>0.99770949999999903</v>
      </c>
      <c r="Y2787">
        <v>-5.457323E-2</v>
      </c>
      <c r="Z2787">
        <v>7.7035539999999996E-3</v>
      </c>
      <c r="AA2787">
        <v>0.99848009999999998</v>
      </c>
      <c r="AB2787">
        <v>24</v>
      </c>
      <c r="AC2787">
        <v>11.8315999999999</v>
      </c>
      <c r="AD2787">
        <v>-1.103491171395</v>
      </c>
      <c r="AE2787">
        <v>-1.3100000000008501E-2</v>
      </c>
      <c r="AF2787">
        <v>-0.65879677746616805</v>
      </c>
      <c r="AG2787">
        <v>-1.103491171395</v>
      </c>
      <c r="AH2787">
        <v>11.711060737212099</v>
      </c>
      <c r="AI2787">
        <v>95.374434901133</v>
      </c>
      <c r="AJ2787">
        <v>93.219736850567301</v>
      </c>
      <c r="AK2787">
        <v>11.7813687468824</v>
      </c>
    </row>
    <row r="2788" spans="1:37" x14ac:dyDescent="0.2">
      <c r="A2788" t="str">
        <f>"20200111155858745"</f>
        <v>20200111155858745</v>
      </c>
      <c r="B2788" t="str">
        <f>"1578729538734855"</f>
        <v>1578729538734855</v>
      </c>
      <c r="C2788" t="s">
        <v>37</v>
      </c>
      <c r="D2788">
        <v>5.5520459999999998</v>
      </c>
      <c r="E2788">
        <v>0.50059379999999998</v>
      </c>
      <c r="F2788" t="s">
        <v>52</v>
      </c>
      <c r="G2788">
        <v>-429.03539999999998</v>
      </c>
      <c r="H2788" s="1">
        <v>2.433353E-6</v>
      </c>
      <c r="I2788">
        <v>213.7987</v>
      </c>
      <c r="J2788">
        <v>-452.18380000000002</v>
      </c>
      <c r="K2788">
        <v>1.103629</v>
      </c>
      <c r="L2788">
        <v>213.7912</v>
      </c>
      <c r="M2788">
        <v>0.99840989999999996</v>
      </c>
      <c r="N2788">
        <v>0</v>
      </c>
      <c r="O2788">
        <v>-5.633693E-2</v>
      </c>
      <c r="P2788">
        <v>0.99977739999999904</v>
      </c>
      <c r="Q2788">
        <v>-1.9026689999999999E-2</v>
      </c>
      <c r="R2788">
        <v>9.1335919999999994E-3</v>
      </c>
      <c r="S2788">
        <v>2.9980159999999998</v>
      </c>
      <c r="T2788">
        <v>-0.14128729999999901</v>
      </c>
      <c r="U2788">
        <v>-8.8500979999999905E-4</v>
      </c>
      <c r="V2788">
        <v>-6.5418909999999997E-2</v>
      </c>
      <c r="W2788">
        <v>-1.7134839999999998E-2</v>
      </c>
      <c r="X2788">
        <v>0.99771080000000001</v>
      </c>
      <c r="Y2788">
        <v>-5.591778E-2</v>
      </c>
      <c r="Z2788">
        <v>3.9693430000000002E-3</v>
      </c>
      <c r="AA2788">
        <v>0.99842749999999902</v>
      </c>
      <c r="AB2788">
        <v>25</v>
      </c>
      <c r="AC2788">
        <v>23.148399999999999</v>
      </c>
      <c r="AD2788">
        <v>-1.103626566647</v>
      </c>
      <c r="AE2788">
        <v>7.4999999999931797E-3</v>
      </c>
      <c r="AF2788">
        <v>-1.30862584496903</v>
      </c>
      <c r="AG2788">
        <v>-1.103626566647</v>
      </c>
      <c r="AH2788">
        <v>23.058800368835399</v>
      </c>
      <c r="AI2788">
        <v>92.735770055810903</v>
      </c>
      <c r="AJ2788">
        <v>93.248148032531304</v>
      </c>
      <c r="AK2788">
        <v>23.1222569757049</v>
      </c>
    </row>
    <row r="2789" spans="1:37" x14ac:dyDescent="0.2">
      <c r="A2789" t="str">
        <f>"20200111155858766"</f>
        <v>20200111155858766</v>
      </c>
      <c r="B2789" t="str">
        <f>"1578729538754881"</f>
        <v>1578729538754881</v>
      </c>
      <c r="C2789" t="s">
        <v>37</v>
      </c>
      <c r="D2789">
        <v>5.6333830000000003</v>
      </c>
      <c r="E2789">
        <v>0.50176949999999998</v>
      </c>
      <c r="F2789" t="s">
        <v>52</v>
      </c>
      <c r="G2789">
        <v>-434.18650000000002</v>
      </c>
      <c r="H2789" s="1">
        <v>4.1311509999999996E-6</v>
      </c>
      <c r="I2789">
        <v>213.9573</v>
      </c>
      <c r="J2789">
        <v>-451.94580000000002</v>
      </c>
      <c r="K2789">
        <v>1.1037600000000001</v>
      </c>
      <c r="L2789">
        <v>213.77869999999999</v>
      </c>
      <c r="M2789">
        <v>0.998469099999999</v>
      </c>
      <c r="N2789">
        <v>0</v>
      </c>
      <c r="O2789">
        <v>-5.5280919999999997E-2</v>
      </c>
      <c r="P2789">
        <v>0.99974959999999902</v>
      </c>
      <c r="Q2789">
        <v>-2.0089429999999998E-2</v>
      </c>
      <c r="R2789">
        <v>9.8729330000000004E-3</v>
      </c>
      <c r="S2789">
        <v>2.9969480000000002</v>
      </c>
      <c r="T2789">
        <v>-0.18377839999999901</v>
      </c>
      <c r="U2789">
        <v>2.766418E-2</v>
      </c>
      <c r="V2789">
        <v>-6.509268E-2</v>
      </c>
      <c r="W2789">
        <v>-1.8266460000000002E-2</v>
      </c>
      <c r="X2789">
        <v>0.99771200000000004</v>
      </c>
      <c r="Y2789">
        <v>-6.4270460000000001E-2</v>
      </c>
      <c r="Z2789">
        <v>5.3543019999999896E-3</v>
      </c>
      <c r="AA2789">
        <v>0.99791810000000003</v>
      </c>
      <c r="AB2789">
        <v>25</v>
      </c>
      <c r="AC2789">
        <v>17.7592999999999</v>
      </c>
      <c r="AD2789">
        <v>-1.1037558688489999</v>
      </c>
      <c r="AE2789">
        <v>0.178600000000017</v>
      </c>
      <c r="AF2789">
        <v>-1.1556156601821499</v>
      </c>
      <c r="AG2789">
        <v>-1.1037558688489999</v>
      </c>
      <c r="AH2789">
        <v>17.6540838536617</v>
      </c>
      <c r="AI2789">
        <v>93.569928397043896</v>
      </c>
      <c r="AJ2789">
        <v>93.745171568644096</v>
      </c>
      <c r="AK2789">
        <v>17.726263037769499</v>
      </c>
    </row>
    <row r="2790" spans="1:37" x14ac:dyDescent="0.2">
      <c r="A2790" t="str">
        <f>"20200111155858787"</f>
        <v>20200111155858787</v>
      </c>
      <c r="B2790" t="str">
        <f>"1578729538784161"</f>
        <v>1578729538784161</v>
      </c>
      <c r="C2790" t="s">
        <v>37</v>
      </c>
      <c r="D2790">
        <v>5.5136699999999896</v>
      </c>
      <c r="E2790">
        <v>0.50228739999999905</v>
      </c>
      <c r="F2790" t="s">
        <v>52</v>
      </c>
      <c r="G2790">
        <v>-436.43130000000002</v>
      </c>
      <c r="H2790" s="1">
        <v>5.1325039999999997E-6</v>
      </c>
      <c r="I2790">
        <v>213.89019999999999</v>
      </c>
      <c r="J2790">
        <v>-451.71300000000002</v>
      </c>
      <c r="K2790">
        <v>1.103893</v>
      </c>
      <c r="L2790">
        <v>213.767</v>
      </c>
      <c r="M2790">
        <v>0.99853609999999904</v>
      </c>
      <c r="N2790">
        <v>0</v>
      </c>
      <c r="O2790">
        <v>-5.4059299999999998E-2</v>
      </c>
      <c r="P2790">
        <v>0.99971699999999997</v>
      </c>
      <c r="Q2790">
        <v>-2.1221549999999999E-2</v>
      </c>
      <c r="R2790">
        <v>1.076571E-2</v>
      </c>
      <c r="S2790">
        <v>2.99624599999999</v>
      </c>
      <c r="T2790">
        <v>-0.21316399999999999</v>
      </c>
      <c r="U2790">
        <v>2.1530150000000001E-2</v>
      </c>
      <c r="V2790">
        <v>-6.4752480000000001E-2</v>
      </c>
      <c r="W2790">
        <v>-1.9451940000000001E-2</v>
      </c>
      <c r="X2790">
        <v>0.99771180000000004</v>
      </c>
      <c r="Y2790">
        <v>-6.0942429999999999E-2</v>
      </c>
      <c r="Z2790">
        <v>6.0049300000000003E-3</v>
      </c>
      <c r="AA2790">
        <v>0.99812319999999999</v>
      </c>
      <c r="AB2790">
        <v>25</v>
      </c>
      <c r="AC2790">
        <v>15.281700000000001</v>
      </c>
      <c r="AD2790">
        <v>-1.103887867496</v>
      </c>
      <c r="AE2790">
        <v>0.12319999999999701</v>
      </c>
      <c r="AF2790">
        <v>-0.94421258474973202</v>
      </c>
      <c r="AG2790">
        <v>-1.103887867496</v>
      </c>
      <c r="AH2790">
        <v>15.1735230378002</v>
      </c>
      <c r="AI2790">
        <v>94.152985648813299</v>
      </c>
      <c r="AJ2790">
        <v>93.560789962661403</v>
      </c>
      <c r="AK2790">
        <v>15.2428969427684</v>
      </c>
    </row>
    <row r="2791" spans="1:37" x14ac:dyDescent="0.2">
      <c r="A2791" t="str">
        <f>"20200111155858809"</f>
        <v>20200111155858809</v>
      </c>
      <c r="B2791" t="str">
        <f>"1578729538804658"</f>
        <v>1578729538804658</v>
      </c>
      <c r="C2791" t="s">
        <v>37</v>
      </c>
      <c r="D2791">
        <v>5.607564</v>
      </c>
      <c r="E2791">
        <v>0.50288659999999996</v>
      </c>
      <c r="F2791" t="s">
        <v>52</v>
      </c>
      <c r="G2791">
        <v>-436.98289999999997</v>
      </c>
      <c r="H2791" s="1">
        <v>5.3790030000000004E-6</v>
      </c>
      <c r="I2791">
        <v>213.8683</v>
      </c>
      <c r="J2791">
        <v>-451.4554</v>
      </c>
      <c r="K2791">
        <v>1.10402</v>
      </c>
      <c r="L2791">
        <v>213.75460000000001</v>
      </c>
      <c r="M2791">
        <v>0.9986178</v>
      </c>
      <c r="N2791">
        <v>0</v>
      </c>
      <c r="O2791">
        <v>-5.2525530000000001E-2</v>
      </c>
      <c r="P2791">
        <v>0.99969789999999903</v>
      </c>
      <c r="Q2791">
        <v>-2.159641E-2</v>
      </c>
      <c r="R2791">
        <v>1.173445E-2</v>
      </c>
      <c r="S2791">
        <v>2.995819</v>
      </c>
      <c r="T2791">
        <v>-0.22450970000000001</v>
      </c>
      <c r="U2791">
        <v>2.061462E-2</v>
      </c>
      <c r="V2791">
        <v>-6.4178689999999997E-2</v>
      </c>
      <c r="W2791">
        <v>-1.986926E-2</v>
      </c>
      <c r="X2791">
        <v>0.99774059999999898</v>
      </c>
      <c r="Y2791">
        <v>-5.9082969999999999E-2</v>
      </c>
      <c r="Z2791">
        <v>6.1403269999999897E-3</v>
      </c>
      <c r="AA2791">
        <v>0.99823419999999896</v>
      </c>
      <c r="AB2791">
        <v>25</v>
      </c>
      <c r="AC2791">
        <v>14.4725</v>
      </c>
      <c r="AD2791">
        <v>-1.1040146209970001</v>
      </c>
      <c r="AE2791">
        <v>0.113699999999994</v>
      </c>
      <c r="AF2791">
        <v>-0.86866551358293898</v>
      </c>
      <c r="AG2791">
        <v>-1.1040146209970001</v>
      </c>
      <c r="AH2791">
        <v>14.362973944556099</v>
      </c>
      <c r="AI2791">
        <v>94.387430313793701</v>
      </c>
      <c r="AJ2791">
        <v>93.461004475549402</v>
      </c>
      <c r="AK2791">
        <v>14.4315088812592</v>
      </c>
    </row>
    <row r="2792" spans="1:37" x14ac:dyDescent="0.2">
      <c r="A2792" t="str">
        <f>"20200111155858832"</f>
        <v>20200111155858832</v>
      </c>
      <c r="B2792" t="str">
        <f>"1578729538824178"</f>
        <v>1578729538824178</v>
      </c>
      <c r="C2792" t="s">
        <v>37</v>
      </c>
      <c r="D2792">
        <v>5.523161</v>
      </c>
      <c r="E2792">
        <v>0.50284110000000004</v>
      </c>
      <c r="F2792" t="s">
        <v>52</v>
      </c>
      <c r="G2792">
        <v>-437.23820000000001</v>
      </c>
      <c r="H2792" s="1">
        <v>5.4942660000000004E-6</v>
      </c>
      <c r="I2792">
        <v>213.845</v>
      </c>
      <c r="J2792">
        <v>-451.19720000000001</v>
      </c>
      <c r="K2792">
        <v>1.1041350000000001</v>
      </c>
      <c r="L2792">
        <v>213.74270000000001</v>
      </c>
      <c r="M2792">
        <v>0.99870590000000004</v>
      </c>
      <c r="N2792">
        <v>0</v>
      </c>
      <c r="O2792">
        <v>-5.0825629999999997E-2</v>
      </c>
      <c r="P2792">
        <v>0.99969599999999903</v>
      </c>
      <c r="Q2792">
        <v>-2.086029E-2</v>
      </c>
      <c r="R2792">
        <v>1.3161930000000001E-2</v>
      </c>
      <c r="S2792">
        <v>2.9956360000000002</v>
      </c>
      <c r="T2792">
        <v>-0.2326223</v>
      </c>
      <c r="U2792">
        <v>1.9042969999999999E-2</v>
      </c>
      <c r="V2792">
        <v>-6.3902189999999998E-2</v>
      </c>
      <c r="W2792">
        <v>-1.9162450000000001E-2</v>
      </c>
      <c r="X2792">
        <v>0.9977722</v>
      </c>
      <c r="Y2792">
        <v>-5.6849169999999997E-2</v>
      </c>
      <c r="Z2792">
        <v>6.1436519999999899E-3</v>
      </c>
      <c r="AA2792">
        <v>0.99836389999999997</v>
      </c>
      <c r="AB2792">
        <v>25</v>
      </c>
      <c r="AC2792">
        <v>13.959</v>
      </c>
      <c r="AD2792">
        <v>-1.1041295057339999</v>
      </c>
      <c r="AE2792">
        <v>0.102299999999985</v>
      </c>
      <c r="AF2792">
        <v>-0.80659770693896005</v>
      </c>
      <c r="AG2792">
        <v>-1.1041295057339999</v>
      </c>
      <c r="AH2792">
        <v>13.849116716344801</v>
      </c>
      <c r="AI2792">
        <v>94.550621346262503</v>
      </c>
      <c r="AJ2792">
        <v>93.333244738629801</v>
      </c>
      <c r="AK2792">
        <v>13.9164555706262</v>
      </c>
    </row>
    <row r="2793" spans="1:37" x14ac:dyDescent="0.2">
      <c r="A2793" t="str">
        <f>"20200111155858855"</f>
        <v>20200111155858855</v>
      </c>
      <c r="B2793" t="str">
        <f>"1578729538844673"</f>
        <v>1578729538844673</v>
      </c>
      <c r="C2793" t="s">
        <v>37</v>
      </c>
      <c r="D2793">
        <v>5.5841479999999999</v>
      </c>
      <c r="E2793">
        <v>0.5029304</v>
      </c>
      <c r="F2793" t="s">
        <v>52</v>
      </c>
      <c r="G2793">
        <v>-436.7559</v>
      </c>
      <c r="H2793" s="1">
        <v>5.279401E-6</v>
      </c>
      <c r="I2793">
        <v>213.8561</v>
      </c>
      <c r="J2793">
        <v>-450.93689999999998</v>
      </c>
      <c r="K2793">
        <v>1.1042399999999899</v>
      </c>
      <c r="L2793">
        <v>213.73140000000001</v>
      </c>
      <c r="M2793">
        <v>0.99879910000000005</v>
      </c>
      <c r="N2793">
        <v>0</v>
      </c>
      <c r="O2793">
        <v>-4.8960040000000003E-2</v>
      </c>
      <c r="P2793">
        <v>0.99968989999999902</v>
      </c>
      <c r="Q2793">
        <v>-2.0074350000000001E-2</v>
      </c>
      <c r="R2793">
        <v>1.475096E-2</v>
      </c>
      <c r="S2793">
        <v>2.9957889999999998</v>
      </c>
      <c r="T2793">
        <v>-0.22904620000000001</v>
      </c>
      <c r="U2793">
        <v>2.351379E-2</v>
      </c>
      <c r="V2793">
        <v>-6.3622399999999996E-2</v>
      </c>
      <c r="W2793">
        <v>-1.8394190000000001E-2</v>
      </c>
      <c r="X2793">
        <v>0.99780449999999998</v>
      </c>
      <c r="Y2793">
        <v>-5.6490230000000002E-2</v>
      </c>
      <c r="Z2793">
        <v>5.8931729999999998E-3</v>
      </c>
      <c r="AA2793">
        <v>0.99838579999999999</v>
      </c>
      <c r="AB2793">
        <v>26</v>
      </c>
      <c r="AC2793">
        <v>14.1809999999999</v>
      </c>
      <c r="AD2793">
        <v>-1.104234720599</v>
      </c>
      <c r="AE2793">
        <v>0.12469999999999</v>
      </c>
      <c r="AF2793">
        <v>-0.81391925941453402</v>
      </c>
      <c r="AG2793">
        <v>-1.104234720599</v>
      </c>
      <c r="AH2793">
        <v>14.072568273652999</v>
      </c>
      <c r="AI2793">
        <v>94.479189972121702</v>
      </c>
      <c r="AJ2793">
        <v>93.310145114024905</v>
      </c>
      <c r="AK2793">
        <v>14.139270727150301</v>
      </c>
    </row>
    <row r="2794" spans="1:37" x14ac:dyDescent="0.2">
      <c r="A2794" t="str">
        <f>"20200111155858877"</f>
        <v>20200111155858877</v>
      </c>
      <c r="B2794" t="str">
        <f>"1578729538873953"</f>
        <v>1578729538873953</v>
      </c>
      <c r="C2794" t="s">
        <v>37</v>
      </c>
      <c r="D2794">
        <v>5.7041170000000001</v>
      </c>
      <c r="E2794">
        <v>0.50238079999999996</v>
      </c>
      <c r="F2794" t="s">
        <v>52</v>
      </c>
      <c r="G2794">
        <v>-436.62509999999997</v>
      </c>
      <c r="H2794" s="1">
        <v>5.2207039999999898E-6</v>
      </c>
      <c r="I2794">
        <v>213.86410000000001</v>
      </c>
      <c r="J2794">
        <v>-450.6857</v>
      </c>
      <c r="K2794">
        <v>1.104336</v>
      </c>
      <c r="L2794">
        <v>213.72099999999901</v>
      </c>
      <c r="M2794">
        <v>0.99889150000000004</v>
      </c>
      <c r="N2794">
        <v>0</v>
      </c>
      <c r="O2794">
        <v>-4.7032589999999999E-2</v>
      </c>
      <c r="P2794">
        <v>0.9996623</v>
      </c>
      <c r="Q2794">
        <v>-2.0245320000000001E-2</v>
      </c>
      <c r="R2794">
        <v>1.629448E-2</v>
      </c>
      <c r="S2794">
        <v>2.9958800000000001</v>
      </c>
      <c r="T2794">
        <v>-0.23114879999999999</v>
      </c>
      <c r="U2794">
        <v>2.7786249999999998E-2</v>
      </c>
      <c r="V2794">
        <v>-6.3232029999999995E-2</v>
      </c>
      <c r="W2794">
        <v>-1.8572419999999999E-2</v>
      </c>
      <c r="X2794">
        <v>0.99782599999999999</v>
      </c>
      <c r="Y2794">
        <v>-5.5988699999999898E-2</v>
      </c>
      <c r="Z2794">
        <v>5.7792319999999996E-3</v>
      </c>
      <c r="AA2794">
        <v>0.99841469999999899</v>
      </c>
      <c r="AB2794">
        <v>26</v>
      </c>
      <c r="AC2794">
        <v>14.060600000000001</v>
      </c>
      <c r="AD2794">
        <v>-1.104330779296</v>
      </c>
      <c r="AE2794">
        <v>0.14310000000003201</v>
      </c>
      <c r="AF2794">
        <v>-0.79931908429271403</v>
      </c>
      <c r="AG2794">
        <v>-1.104330779296</v>
      </c>
      <c r="AH2794">
        <v>13.952251732934799</v>
      </c>
      <c r="AI2794">
        <v>94.518189578440399</v>
      </c>
      <c r="AJ2794">
        <v>93.278868903829306</v>
      </c>
      <c r="AK2794">
        <v>14.0186941577238</v>
      </c>
    </row>
    <row r="2795" spans="1:37" x14ac:dyDescent="0.2">
      <c r="A2795" t="str">
        <f>"20200111155858899"</f>
        <v>20200111155858899</v>
      </c>
      <c r="B2795" t="str">
        <f>"1578729538894450"</f>
        <v>1578729538894450</v>
      </c>
      <c r="C2795" t="s">
        <v>37</v>
      </c>
      <c r="D2795">
        <v>5.7695480000000003</v>
      </c>
      <c r="E2795">
        <v>0.47886899999999899</v>
      </c>
      <c r="F2795" t="s">
        <v>52</v>
      </c>
      <c r="G2795">
        <v>-436.52760000000001</v>
      </c>
      <c r="H2795" s="1">
        <v>5.1747499999999999E-6</v>
      </c>
      <c r="I2795">
        <v>213.8954</v>
      </c>
      <c r="J2795">
        <v>-450.43169999999998</v>
      </c>
      <c r="K2795">
        <v>1.1044160000000001</v>
      </c>
      <c r="L2795">
        <v>213.71109999999999</v>
      </c>
      <c r="M2795">
        <v>0.99898619999999905</v>
      </c>
      <c r="N2795">
        <v>0</v>
      </c>
      <c r="O2795">
        <v>-4.4979020000000002E-2</v>
      </c>
      <c r="P2795">
        <v>0.9996176</v>
      </c>
      <c r="Q2795">
        <v>-2.1081909999999999E-2</v>
      </c>
      <c r="R2795">
        <v>1.790688E-2</v>
      </c>
      <c r="S2795">
        <v>2.9956969999999998</v>
      </c>
      <c r="T2795">
        <v>-0.2336647</v>
      </c>
      <c r="U2795">
        <v>3.6895749999999998E-2</v>
      </c>
      <c r="V2795">
        <v>-6.27833E-2</v>
      </c>
      <c r="W2795">
        <v>-1.940803E-2</v>
      </c>
      <c r="X2795">
        <v>0.99783840000000001</v>
      </c>
      <c r="Y2795">
        <v>-5.6968959999999999E-2</v>
      </c>
      <c r="Z2795">
        <v>5.72061599999999E-3</v>
      </c>
      <c r="AA2795">
        <v>0.99835959999999901</v>
      </c>
      <c r="AB2795">
        <v>26</v>
      </c>
      <c r="AC2795">
        <v>13.9040999999999</v>
      </c>
      <c r="AD2795">
        <v>-1.10441082525</v>
      </c>
      <c r="AE2795">
        <v>0.18430000000000701</v>
      </c>
      <c r="AF2795">
        <v>-0.80443289799908102</v>
      </c>
      <c r="AG2795">
        <v>-1.10441082525</v>
      </c>
      <c r="AH2795">
        <v>13.7947197975551</v>
      </c>
      <c r="AI2795">
        <v>94.569629911700602</v>
      </c>
      <c r="AJ2795">
        <v>93.337398071927396</v>
      </c>
      <c r="AK2795">
        <v>13.862219513893599</v>
      </c>
    </row>
    <row r="2796" spans="1:37" x14ac:dyDescent="0.2">
      <c r="A2796" t="str">
        <f>"20200111155858922"</f>
        <v>20200111155858922</v>
      </c>
      <c r="B2796" t="str">
        <f>"1578729538914946"</f>
        <v>1578729538914946</v>
      </c>
      <c r="C2796" t="s">
        <v>37</v>
      </c>
      <c r="D2796">
        <v>5.6619890000000002</v>
      </c>
      <c r="E2796">
        <v>0.47623320000000002</v>
      </c>
      <c r="F2796" t="s">
        <v>52</v>
      </c>
      <c r="G2796">
        <v>-436.17009999999999</v>
      </c>
      <c r="H2796" s="1">
        <v>4.936825E-6</v>
      </c>
      <c r="I2796">
        <v>214.80350000000001</v>
      </c>
      <c r="J2796">
        <v>-450.15390000000002</v>
      </c>
      <c r="K2796">
        <v>1.1044909999999999</v>
      </c>
      <c r="L2796">
        <v>213.70099999999999</v>
      </c>
      <c r="M2796">
        <v>0.99908859999999999</v>
      </c>
      <c r="N2796">
        <v>0</v>
      </c>
      <c r="O2796">
        <v>-4.264018E-2</v>
      </c>
      <c r="P2796">
        <v>0.99956109999999898</v>
      </c>
      <c r="Q2796">
        <v>-2.1149540000000001E-2</v>
      </c>
      <c r="R2796">
        <v>2.074606E-2</v>
      </c>
      <c r="S2796">
        <v>2.9921570000000002</v>
      </c>
      <c r="T2796">
        <v>-0.23171169999999999</v>
      </c>
      <c r="U2796">
        <v>0.229187</v>
      </c>
      <c r="V2796">
        <v>-6.327663E-2</v>
      </c>
      <c r="W2796">
        <v>-1.9471539999999999E-2</v>
      </c>
      <c r="X2796">
        <v>0.99780609999999903</v>
      </c>
      <c r="Y2796">
        <v>-0.118339</v>
      </c>
      <c r="Z2796">
        <v>7.8614610000000001E-3</v>
      </c>
      <c r="AA2796">
        <v>0.992942199999999</v>
      </c>
      <c r="AB2796">
        <v>26</v>
      </c>
      <c r="AC2796">
        <v>13.9838</v>
      </c>
      <c r="AD2796">
        <v>-1.104486063175</v>
      </c>
      <c r="AE2796">
        <v>1.10250000000002</v>
      </c>
      <c r="AF2796">
        <v>-1.6873091350304099</v>
      </c>
      <c r="AG2796">
        <v>-1.104486063175</v>
      </c>
      <c r="AH2796">
        <v>13.8382759332147</v>
      </c>
      <c r="AI2796">
        <v>94.529915382697794</v>
      </c>
      <c r="AJ2796">
        <v>96.951792744808799</v>
      </c>
      <c r="AK2796">
        <v>13.9844478755757</v>
      </c>
    </row>
    <row r="2797" spans="1:37" x14ac:dyDescent="0.2">
      <c r="A2797" t="str">
        <f>"20200111155858945"</f>
        <v>20200111155858945</v>
      </c>
      <c r="B2797" t="str">
        <f>"1578729538934465"</f>
        <v>1578729538934465</v>
      </c>
      <c r="C2797" t="s">
        <v>37</v>
      </c>
      <c r="D2797">
        <v>5.5669589999999998</v>
      </c>
      <c r="E2797">
        <v>0.476489</v>
      </c>
      <c r="F2797" t="s">
        <v>52</v>
      </c>
      <c r="G2797">
        <v>-435.171999999999</v>
      </c>
      <c r="H2797" s="1">
        <v>4.4775540000000001E-6</v>
      </c>
      <c r="I2797">
        <v>214.99369999999999</v>
      </c>
      <c r="J2797">
        <v>-449.89089999999999</v>
      </c>
      <c r="K2797">
        <v>1.1045510000000001</v>
      </c>
      <c r="L2797">
        <v>213.69210000000001</v>
      </c>
      <c r="M2797">
        <v>0.999183499999999</v>
      </c>
      <c r="N2797">
        <v>0</v>
      </c>
      <c r="O2797">
        <v>-4.0358419999999999E-2</v>
      </c>
      <c r="P2797">
        <v>0.99950219999999901</v>
      </c>
      <c r="Q2797">
        <v>-2.0370490000000002E-2</v>
      </c>
      <c r="R2797">
        <v>2.409416E-2</v>
      </c>
      <c r="S2797">
        <v>2.9912719999999999</v>
      </c>
      <c r="T2797">
        <v>-0.22051999999999999</v>
      </c>
      <c r="U2797">
        <v>0.25810240000000001</v>
      </c>
      <c r="V2797">
        <v>-6.4340460000000002E-2</v>
      </c>
      <c r="W2797">
        <v>-1.8689009999999999E-2</v>
      </c>
      <c r="X2797">
        <v>0.997753</v>
      </c>
      <c r="Y2797">
        <v>-0.1256573</v>
      </c>
      <c r="Z2797">
        <v>7.5834159999999999E-3</v>
      </c>
      <c r="AA2797">
        <v>0.9920447</v>
      </c>
      <c r="AB2797">
        <v>26</v>
      </c>
      <c r="AC2797">
        <v>14.7189</v>
      </c>
      <c r="AD2797">
        <v>-1.104546522446</v>
      </c>
      <c r="AE2797">
        <v>1.3015999999999699</v>
      </c>
      <c r="AF2797">
        <v>-1.88404462963527</v>
      </c>
      <c r="AG2797">
        <v>-1.104546522446</v>
      </c>
      <c r="AH2797">
        <v>14.572947871977</v>
      </c>
      <c r="AI2797">
        <v>94.298765937188307</v>
      </c>
      <c r="AJ2797">
        <v>97.366549571860105</v>
      </c>
      <c r="AK2797">
        <v>14.735686508136</v>
      </c>
    </row>
    <row r="2798" spans="1:37" x14ac:dyDescent="0.2">
      <c r="A2798" t="str">
        <f>"20200111155858968"</f>
        <v>20200111155858968</v>
      </c>
      <c r="B2798" t="str">
        <f>"1578729538964722"</f>
        <v>1578729538964722</v>
      </c>
      <c r="C2798" t="s">
        <v>37</v>
      </c>
      <c r="D2798">
        <v>5.7216760000000004</v>
      </c>
      <c r="E2798">
        <v>0.47568509999999897</v>
      </c>
      <c r="F2798" t="s">
        <v>52</v>
      </c>
      <c r="G2798">
        <v>-434.53089999999997</v>
      </c>
      <c r="H2798" s="1">
        <v>4.1876770000000002E-6</v>
      </c>
      <c r="I2798">
        <v>215.05770000000001</v>
      </c>
      <c r="J2798">
        <v>-449.61739999999998</v>
      </c>
      <c r="K2798">
        <v>1.1045879999999999</v>
      </c>
      <c r="L2798">
        <v>213.68350000000001</v>
      </c>
      <c r="M2798">
        <v>0.99927840000000001</v>
      </c>
      <c r="N2798">
        <v>0</v>
      </c>
      <c r="O2798">
        <v>-3.7937499999999999E-2</v>
      </c>
      <c r="P2798">
        <v>0.99942759999999997</v>
      </c>
      <c r="Q2798">
        <v>-1.9602410000000001E-2</v>
      </c>
      <c r="R2798">
        <v>2.758184E-2</v>
      </c>
      <c r="S2798">
        <v>2.990631</v>
      </c>
      <c r="T2798">
        <v>-0.2150589</v>
      </c>
      <c r="U2798">
        <v>0.26589970000000002</v>
      </c>
      <c r="V2798">
        <v>-6.5406610000000004E-2</v>
      </c>
      <c r="W2798">
        <v>-1.792121E-2</v>
      </c>
      <c r="X2798">
        <v>0.99769779999999997</v>
      </c>
      <c r="Y2798">
        <v>-0.12586629999999999</v>
      </c>
      <c r="Z2798">
        <v>7.2307939999999996E-3</v>
      </c>
      <c r="AA2798">
        <v>0.99202080000000004</v>
      </c>
      <c r="AB2798">
        <v>26</v>
      </c>
      <c r="AC2798">
        <v>15.086499999999999</v>
      </c>
      <c r="AD2798">
        <v>-1.1045838123229901</v>
      </c>
      <c r="AE2798">
        <v>1.3742000000000001</v>
      </c>
      <c r="AF2798">
        <v>-1.9352668139114599</v>
      </c>
      <c r="AG2798">
        <v>-1.1045838123229901</v>
      </c>
      <c r="AH2798">
        <v>14.9440544282744</v>
      </c>
      <c r="AI2798">
        <v>94.192425501215894</v>
      </c>
      <c r="AJ2798">
        <v>97.378782908289296</v>
      </c>
      <c r="AK2798">
        <v>15.109272841361401</v>
      </c>
    </row>
    <row r="2799" spans="1:37" x14ac:dyDescent="0.2">
      <c r="A2799" t="str">
        <f>"20200111155858989"</f>
        <v>20200111155858989</v>
      </c>
      <c r="B2799" t="str">
        <f>"1578729538984242"</f>
        <v>1578729538984242</v>
      </c>
      <c r="C2799" t="s">
        <v>37</v>
      </c>
      <c r="D2799">
        <v>5.6032650000000004</v>
      </c>
      <c r="E2799">
        <v>0.47698570000000001</v>
      </c>
      <c r="F2799" t="s">
        <v>52</v>
      </c>
      <c r="G2799">
        <v>-430.86320000000001</v>
      </c>
      <c r="H2799" s="1">
        <v>2.5270819999999998E-6</v>
      </c>
      <c r="I2799">
        <v>215.44799999999901</v>
      </c>
      <c r="J2799">
        <v>-449.3664</v>
      </c>
      <c r="K2799">
        <v>1.104609</v>
      </c>
      <c r="L2799">
        <v>213.6763</v>
      </c>
      <c r="M2799">
        <v>0.999361099999999</v>
      </c>
      <c r="N2799">
        <v>0</v>
      </c>
      <c r="O2799">
        <v>-3.5692040000000001E-2</v>
      </c>
      <c r="P2799">
        <v>0.99930039999999998</v>
      </c>
      <c r="Q2799">
        <v>-2.0185430000000001E-2</v>
      </c>
      <c r="R2799">
        <v>3.1491419999999999E-2</v>
      </c>
      <c r="S2799">
        <v>2.9905400000000002</v>
      </c>
      <c r="T2799">
        <v>-0.176137299999999</v>
      </c>
      <c r="U2799">
        <v>0.28135679999999902</v>
      </c>
      <c r="V2799">
        <v>-6.7063739999999997E-2</v>
      </c>
      <c r="W2799">
        <v>-1.8513180000000001E-2</v>
      </c>
      <c r="X2799">
        <v>0.99757700000000005</v>
      </c>
      <c r="Y2799">
        <v>-0.12886130000000001</v>
      </c>
      <c r="Z2799">
        <v>5.879535E-3</v>
      </c>
      <c r="AA2799">
        <v>0.99164519999999901</v>
      </c>
      <c r="AB2799">
        <v>27</v>
      </c>
      <c r="AC2799">
        <v>18.5032</v>
      </c>
      <c r="AD2799">
        <v>-1.1046064729179901</v>
      </c>
      <c r="AE2799">
        <v>1.7716999999999801</v>
      </c>
      <c r="AF2799">
        <v>-2.42243443187852</v>
      </c>
      <c r="AG2799">
        <v>-1.1046064729179901</v>
      </c>
      <c r="AH2799">
        <v>18.363324805997099</v>
      </c>
      <c r="AI2799">
        <v>93.412860417475201</v>
      </c>
      <c r="AJ2799">
        <v>97.514895288034893</v>
      </c>
      <c r="AK2799">
        <v>18.555323817365998</v>
      </c>
    </row>
    <row r="2800" spans="1:37" x14ac:dyDescent="0.2">
      <c r="A2800" t="str">
        <f>"20200111155859011"</f>
        <v>20200111155859011</v>
      </c>
      <c r="B2800" t="str">
        <f>"1578729539004738"</f>
        <v>1578729539004738</v>
      </c>
      <c r="C2800" t="s">
        <v>37</v>
      </c>
      <c r="D2800">
        <v>5.8163299999999998</v>
      </c>
      <c r="E2800">
        <v>0.47662489999999902</v>
      </c>
      <c r="F2800" t="s">
        <v>52</v>
      </c>
      <c r="G2800">
        <v>-429.30709999999999</v>
      </c>
      <c r="H2800" s="1">
        <v>2.2303399999999999E-6</v>
      </c>
      <c r="I2800">
        <v>215.56960000000001</v>
      </c>
      <c r="J2800">
        <v>-449.0883</v>
      </c>
      <c r="K2800">
        <v>1.1046180000000001</v>
      </c>
      <c r="L2800">
        <v>213.66900000000001</v>
      </c>
      <c r="M2800">
        <v>0.99944699999999997</v>
      </c>
      <c r="N2800">
        <v>0</v>
      </c>
      <c r="O2800">
        <v>-3.3193E-2</v>
      </c>
      <c r="P2800">
        <v>0.99916930000000004</v>
      </c>
      <c r="Q2800">
        <v>-2.0692929999999998E-2</v>
      </c>
      <c r="R2800">
        <v>3.5108729999999998E-2</v>
      </c>
      <c r="S2800">
        <v>2.989868</v>
      </c>
      <c r="T2800">
        <v>-0.1646435</v>
      </c>
      <c r="U2800">
        <v>0.282196</v>
      </c>
      <c r="V2800">
        <v>-6.8176589999999995E-2</v>
      </c>
      <c r="W2800">
        <v>-1.903239E-2</v>
      </c>
      <c r="X2800">
        <v>0.99749169999999998</v>
      </c>
      <c r="Y2800">
        <v>-0.12672059999999999</v>
      </c>
      <c r="Z2800">
        <v>5.3016000000000001E-3</v>
      </c>
      <c r="AA2800">
        <v>0.99192429999999998</v>
      </c>
      <c r="AB2800">
        <v>27</v>
      </c>
      <c r="AC2800">
        <v>19.781199999999998</v>
      </c>
      <c r="AD2800">
        <v>-1.1046157696600001</v>
      </c>
      <c r="AE2800">
        <v>1.9005999999999901</v>
      </c>
      <c r="AF2800">
        <v>-2.5482777522791</v>
      </c>
      <c r="AG2800">
        <v>-1.1046157696600001</v>
      </c>
      <c r="AH2800">
        <v>19.646509768410599</v>
      </c>
      <c r="AI2800">
        <v>93.191362734895094</v>
      </c>
      <c r="AJ2800">
        <v>97.390368167807694</v>
      </c>
      <c r="AK2800">
        <v>19.8418557998388</v>
      </c>
    </row>
    <row r="2801" spans="1:37" x14ac:dyDescent="0.2">
      <c r="A2801" t="str">
        <f>"20200111155859034"</f>
        <v>20200111155859034</v>
      </c>
      <c r="B2801" t="str">
        <f>"1578729539024257"</f>
        <v>1578729539024257</v>
      </c>
      <c r="C2801" t="s">
        <v>37</v>
      </c>
      <c r="D2801">
        <v>5.7175379999999896</v>
      </c>
      <c r="E2801">
        <v>0.47722579999999998</v>
      </c>
      <c r="F2801" t="s">
        <v>52</v>
      </c>
      <c r="G2801">
        <v>-428.37259999999998</v>
      </c>
      <c r="H2801" s="1">
        <v>2.3832610000000001E-6</v>
      </c>
      <c r="I2801">
        <v>215.7165</v>
      </c>
      <c r="J2801">
        <v>-448.82089999999999</v>
      </c>
      <c r="K2801">
        <v>1.104616</v>
      </c>
      <c r="L2801">
        <v>213.66249999999999</v>
      </c>
      <c r="M2801">
        <v>0.99952410000000003</v>
      </c>
      <c r="N2801">
        <v>0</v>
      </c>
      <c r="O2801">
        <v>-3.0786460000000002E-2</v>
      </c>
      <c r="P2801">
        <v>0.99904950000000003</v>
      </c>
      <c r="Q2801">
        <v>-2.1271370000000001E-2</v>
      </c>
      <c r="R2801">
        <v>3.8042930000000003E-2</v>
      </c>
      <c r="S2801">
        <v>2.9887999999999999</v>
      </c>
      <c r="T2801">
        <v>-0.15937019999999999</v>
      </c>
      <c r="U2801">
        <v>0.29541020000000001</v>
      </c>
      <c r="V2801">
        <v>-6.8700430000000007E-2</v>
      </c>
      <c r="W2801">
        <v>-1.9625980000000001E-2</v>
      </c>
      <c r="X2801">
        <v>0.99744429999999995</v>
      </c>
      <c r="Y2801">
        <v>-0.1287258</v>
      </c>
      <c r="Z2801">
        <v>5.0581330000000002E-3</v>
      </c>
      <c r="AA2801">
        <v>0.99166730000000003</v>
      </c>
      <c r="AB2801">
        <v>27</v>
      </c>
      <c r="AC2801">
        <v>20.4483</v>
      </c>
      <c r="AD2801">
        <v>-1.1046136167389999</v>
      </c>
      <c r="AE2801">
        <v>2.0539999999999998</v>
      </c>
      <c r="AF2801">
        <v>-2.67483075980198</v>
      </c>
      <c r="AG2801">
        <v>-1.1046136167389999</v>
      </c>
      <c r="AH2801">
        <v>20.316676928521002</v>
      </c>
      <c r="AI2801">
        <v>93.085521331596695</v>
      </c>
      <c r="AJ2801">
        <v>97.500248100353701</v>
      </c>
      <c r="AK2801">
        <v>20.521750711227501</v>
      </c>
    </row>
    <row r="2802" spans="1:37" x14ac:dyDescent="0.2">
      <c r="A2802" t="str">
        <f>"20200111155859056"</f>
        <v>20200111155859056</v>
      </c>
      <c r="B2802" t="str">
        <f>"1578729539044380"</f>
        <v>1578729539044380</v>
      </c>
      <c r="C2802" t="s">
        <v>37</v>
      </c>
      <c r="D2802">
        <v>5.7026440000000003</v>
      </c>
      <c r="E2802">
        <v>0.47821179999999902</v>
      </c>
      <c r="F2802" t="s">
        <v>52</v>
      </c>
      <c r="G2802">
        <v>-429.71019999999999</v>
      </c>
      <c r="H2802" s="1">
        <v>2.1577729999999998E-6</v>
      </c>
      <c r="I2802">
        <v>215.58170000000001</v>
      </c>
      <c r="J2802">
        <v>-448.551999999999</v>
      </c>
      <c r="K2802">
        <v>1.1046199999999999</v>
      </c>
      <c r="L2802">
        <v>213.6567</v>
      </c>
      <c r="M2802">
        <v>0.99959569999999998</v>
      </c>
      <c r="N2802">
        <v>0</v>
      </c>
      <c r="O2802">
        <v>-2.837158E-2</v>
      </c>
      <c r="P2802">
        <v>0.99894419999999995</v>
      </c>
      <c r="Q2802">
        <v>-2.1298190000000002E-2</v>
      </c>
      <c r="R2802">
        <v>4.070841E-2</v>
      </c>
      <c r="S2802">
        <v>2.9877319999999998</v>
      </c>
      <c r="T2802">
        <v>-0.17269370000000001</v>
      </c>
      <c r="U2802">
        <v>0.3000488</v>
      </c>
      <c r="V2802">
        <v>-6.8951490000000004E-2</v>
      </c>
      <c r="W2802">
        <v>-1.9672390000000001E-2</v>
      </c>
      <c r="X2802">
        <v>0.99742600000000003</v>
      </c>
      <c r="Y2802">
        <v>-0.12785539999999901</v>
      </c>
      <c r="Z2802">
        <v>5.317614E-3</v>
      </c>
      <c r="AA2802">
        <v>0.99177859999999995</v>
      </c>
      <c r="AB2802">
        <v>27</v>
      </c>
      <c r="AC2802">
        <v>18.8417999999999</v>
      </c>
      <c r="AD2802">
        <v>-1.1046178422270001</v>
      </c>
      <c r="AE2802">
        <v>1.92500000000001</v>
      </c>
      <c r="AF2802">
        <v>-2.4504624167934099</v>
      </c>
      <c r="AG2802">
        <v>-1.1046178422270001</v>
      </c>
      <c r="AH2802">
        <v>18.715937596257199</v>
      </c>
      <c r="AI2802">
        <v>93.349169824608794</v>
      </c>
      <c r="AJ2802">
        <v>97.459259380792503</v>
      </c>
      <c r="AK2802">
        <v>18.907968339842199</v>
      </c>
    </row>
    <row r="2803" spans="1:37" x14ac:dyDescent="0.2">
      <c r="A2803" t="str">
        <f>"20200111155859076"</f>
        <v>20200111155859076</v>
      </c>
      <c r="B2803" t="str">
        <f>"1578729539074637"</f>
        <v>1578729539074637</v>
      </c>
      <c r="C2803" t="s">
        <v>37</v>
      </c>
      <c r="D2803">
        <v>5.7231759999999996</v>
      </c>
      <c r="E2803">
        <v>0.4790451</v>
      </c>
      <c r="F2803" t="s">
        <v>52</v>
      </c>
      <c r="G2803">
        <v>-429.00189999999998</v>
      </c>
      <c r="H2803" s="1">
        <v>2.280017E-6</v>
      </c>
      <c r="I2803">
        <v>215.6206</v>
      </c>
      <c r="J2803">
        <v>-448.29039999999998</v>
      </c>
      <c r="K2803">
        <v>1.1046290000000001</v>
      </c>
      <c r="L2803">
        <v>213.6516</v>
      </c>
      <c r="M2803">
        <v>0.99965949999999903</v>
      </c>
      <c r="N2803">
        <v>0</v>
      </c>
      <c r="O2803">
        <v>-2.602846E-2</v>
      </c>
      <c r="P2803">
        <v>0.99887139999999996</v>
      </c>
      <c r="Q2803">
        <v>-2.0544699999999999E-2</v>
      </c>
      <c r="R2803">
        <v>4.2832090000000003E-2</v>
      </c>
      <c r="S2803">
        <v>2.9873660000000002</v>
      </c>
      <c r="T2803">
        <v>-0.16879169999999999</v>
      </c>
      <c r="U2803">
        <v>0.30009459999999999</v>
      </c>
      <c r="V2803">
        <v>-6.8736549999999993E-2</v>
      </c>
      <c r="W2803">
        <v>-1.893777E-2</v>
      </c>
      <c r="X2803">
        <v>0.99745509999999904</v>
      </c>
      <c r="Y2803">
        <v>-0.1255763</v>
      </c>
      <c r="Z2803">
        <v>5.0021040000000003E-3</v>
      </c>
      <c r="AA2803">
        <v>0.99207129999999999</v>
      </c>
      <c r="AB2803">
        <v>27</v>
      </c>
      <c r="AC2803">
        <v>19.288499999999999</v>
      </c>
      <c r="AD2803">
        <v>-1.104626719983</v>
      </c>
      <c r="AE2803">
        <v>1.9689999999999901</v>
      </c>
      <c r="AF2803">
        <v>-2.4623910930432902</v>
      </c>
      <c r="AG2803">
        <v>-1.104626719983</v>
      </c>
      <c r="AH2803">
        <v>19.168496383799098</v>
      </c>
      <c r="AI2803">
        <v>93.271325232857905</v>
      </c>
      <c r="AJ2803">
        <v>97.320143789528601</v>
      </c>
      <c r="AK2803">
        <v>19.3575521102571</v>
      </c>
    </row>
    <row r="2804" spans="1:37" x14ac:dyDescent="0.2">
      <c r="A2804" t="str">
        <f>"20200111155859100"</f>
        <v>20200111155859100</v>
      </c>
      <c r="B2804" t="str">
        <f>"1578729539094157"</f>
        <v>1578729539094157</v>
      </c>
      <c r="C2804" t="s">
        <v>37</v>
      </c>
      <c r="D2804">
        <v>5.7299239999999996</v>
      </c>
      <c r="E2804">
        <v>0.47951549999999998</v>
      </c>
      <c r="F2804" t="s">
        <v>52</v>
      </c>
      <c r="G2804">
        <v>-429.82319999999999</v>
      </c>
      <c r="H2804" s="1">
        <v>2.1443200000000001E-6</v>
      </c>
      <c r="I2804">
        <v>215.50640000000001</v>
      </c>
      <c r="J2804">
        <v>-448.00900000000001</v>
      </c>
      <c r="K2804">
        <v>1.1046370000000001</v>
      </c>
      <c r="L2804">
        <v>213.64680000000001</v>
      </c>
      <c r="M2804">
        <v>0.99972169999999905</v>
      </c>
      <c r="N2804">
        <v>0</v>
      </c>
      <c r="O2804">
        <v>-2.351512E-2</v>
      </c>
      <c r="P2804">
        <v>0.99880159999999996</v>
      </c>
      <c r="Q2804">
        <v>-2.035694E-2</v>
      </c>
      <c r="R2804">
        <v>4.4509600000000003E-2</v>
      </c>
      <c r="S2804">
        <v>2.986847</v>
      </c>
      <c r="T2804">
        <v>-0.1786597</v>
      </c>
      <c r="U2804">
        <v>0.29998779999999903</v>
      </c>
      <c r="V2804">
        <v>-6.7903909999999998E-2</v>
      </c>
      <c r="W2804">
        <v>-1.876622E-2</v>
      </c>
      <c r="X2804">
        <v>0.99751540000000005</v>
      </c>
      <c r="Y2804">
        <v>-0.12304379999999999</v>
      </c>
      <c r="Z2804">
        <v>5.0695920000000004E-3</v>
      </c>
      <c r="AA2804">
        <v>0.9923883</v>
      </c>
      <c r="AB2804">
        <v>28</v>
      </c>
      <c r="AC2804">
        <v>18.1858</v>
      </c>
      <c r="AD2804">
        <v>-1.1046348556800001</v>
      </c>
      <c r="AE2804">
        <v>1.8595999999999999</v>
      </c>
      <c r="AF2804">
        <v>-2.2784085153531199</v>
      </c>
      <c r="AG2804">
        <v>-1.1046348556800001</v>
      </c>
      <c r="AH2804">
        <v>18.0710584558094</v>
      </c>
      <c r="AI2804">
        <v>93.470575414824694</v>
      </c>
      <c r="AJ2804">
        <v>97.185965219569795</v>
      </c>
      <c r="AK2804">
        <v>18.2475893542269</v>
      </c>
    </row>
    <row r="2805" spans="1:37" x14ac:dyDescent="0.2">
      <c r="A2805" t="str">
        <f>"20200111155859124"</f>
        <v>20200111155859124</v>
      </c>
      <c r="B2805" t="str">
        <f>"1578729539116605"</f>
        <v>1578729539116605</v>
      </c>
      <c r="C2805" t="s">
        <v>37</v>
      </c>
      <c r="D2805">
        <v>5.7072900000000004</v>
      </c>
      <c r="E2805">
        <v>0.48054429999999998</v>
      </c>
      <c r="F2805" t="s">
        <v>52</v>
      </c>
      <c r="G2805">
        <v>-429.79360000000003</v>
      </c>
      <c r="H2805" s="1">
        <v>2.1514319999999999E-6</v>
      </c>
      <c r="I2805">
        <v>215.48500000000001</v>
      </c>
      <c r="J2805">
        <v>-447.71</v>
      </c>
      <c r="K2805">
        <v>1.1046479999999901</v>
      </c>
      <c r="L2805">
        <v>213.64250000000001</v>
      </c>
      <c r="M2805">
        <v>0.99978080000000003</v>
      </c>
      <c r="N2805">
        <v>0</v>
      </c>
      <c r="O2805">
        <v>-2.08542E-2</v>
      </c>
      <c r="P2805">
        <v>0.99875369999999997</v>
      </c>
      <c r="Q2805">
        <v>-2.0487849999999998E-2</v>
      </c>
      <c r="R2805">
        <v>4.5512190000000001E-2</v>
      </c>
      <c r="S2805">
        <v>2.9864809999999999</v>
      </c>
      <c r="T2805">
        <v>-0.1811094</v>
      </c>
      <c r="U2805">
        <v>0.30137629999999999</v>
      </c>
      <c r="V2805">
        <v>-6.6248379999999996E-2</v>
      </c>
      <c r="W2805">
        <v>-1.8906059999999999E-2</v>
      </c>
      <c r="X2805">
        <v>0.99762399999999996</v>
      </c>
      <c r="Y2805">
        <v>-0.120872699999999</v>
      </c>
      <c r="Z2805">
        <v>4.9130110000000001E-3</v>
      </c>
      <c r="AA2805">
        <v>0.99265590000000004</v>
      </c>
      <c r="AB2805">
        <v>28</v>
      </c>
      <c r="AC2805">
        <v>17.9163999999999</v>
      </c>
      <c r="AD2805">
        <v>-1.10464584856799</v>
      </c>
      <c r="AE2805">
        <v>1.8425</v>
      </c>
      <c r="AF2805">
        <v>-2.2074286166206698</v>
      </c>
      <c r="AG2805">
        <v>-1.10464584856799</v>
      </c>
      <c r="AH2805">
        <v>17.807096078819999</v>
      </c>
      <c r="AI2805">
        <v>93.522843342703396</v>
      </c>
      <c r="AJ2805">
        <v>97.066531240266201</v>
      </c>
      <c r="AK2805">
        <v>17.977365054661401</v>
      </c>
    </row>
    <row r="2806" spans="1:37" x14ac:dyDescent="0.2">
      <c r="A2806" t="str">
        <f>"20200111155859155"</f>
        <v>20200111155859155</v>
      </c>
      <c r="B2806" t="str">
        <f>"1578729539143932"</f>
        <v>1578729539143932</v>
      </c>
      <c r="C2806" t="s">
        <v>37</v>
      </c>
      <c r="D2806">
        <v>5.7258769999999997</v>
      </c>
      <c r="E2806">
        <v>0.48144819999999999</v>
      </c>
      <c r="F2806" t="s">
        <v>52</v>
      </c>
      <c r="G2806">
        <v>-429.41469999999998</v>
      </c>
      <c r="H2806" s="1">
        <v>2.2212309999999998E-6</v>
      </c>
      <c r="I2806">
        <v>215.4554</v>
      </c>
      <c r="J2806">
        <v>-447.3168</v>
      </c>
      <c r="K2806">
        <v>1.1046639999999901</v>
      </c>
      <c r="L2806">
        <v>213.63800000000001</v>
      </c>
      <c r="M2806">
        <v>0.9998475</v>
      </c>
      <c r="N2806">
        <v>0</v>
      </c>
      <c r="O2806">
        <v>-1.7363369999999999E-2</v>
      </c>
      <c r="P2806">
        <v>0.9986853</v>
      </c>
      <c r="Q2806">
        <v>-1.9912530000000001E-2</v>
      </c>
      <c r="R2806">
        <v>4.7236140000000003E-2</v>
      </c>
      <c r="S2806">
        <v>2.9866029999999899</v>
      </c>
      <c r="T2806">
        <v>-0.18032679999999901</v>
      </c>
      <c r="U2806">
        <v>0.29595949999999999</v>
      </c>
      <c r="V2806">
        <v>-6.4488870000000004E-2</v>
      </c>
      <c r="W2806">
        <v>-1.8336330000000001E-2</v>
      </c>
      <c r="X2806">
        <v>0.99774989999999997</v>
      </c>
      <c r="Y2806">
        <v>-0.11563659999999901</v>
      </c>
      <c r="Z2806">
        <v>4.5243690000000003E-3</v>
      </c>
      <c r="AA2806">
        <v>0.99328130000000003</v>
      </c>
      <c r="AB2806">
        <v>28</v>
      </c>
      <c r="AC2806">
        <v>17.902100000000001</v>
      </c>
      <c r="AD2806">
        <v>-1.1046617787689901</v>
      </c>
      <c r="AE2806">
        <v>1.8173999999999899</v>
      </c>
      <c r="AF2806">
        <v>-2.1199776726914199</v>
      </c>
      <c r="AG2806">
        <v>-1.1046617787689901</v>
      </c>
      <c r="AH2806">
        <v>17.800758251255399</v>
      </c>
      <c r="AI2806">
        <v>93.526195378787094</v>
      </c>
      <c r="AJ2806">
        <v>96.791639827235699</v>
      </c>
      <c r="AK2806">
        <v>17.960556152241502</v>
      </c>
    </row>
    <row r="2807" spans="1:37" x14ac:dyDescent="0.2">
      <c r="A2807" t="str">
        <f>"20200111155859178"</f>
        <v>20200111155859178</v>
      </c>
      <c r="B2807" t="str">
        <f>"1578729539174189"</f>
        <v>1578729539174189</v>
      </c>
      <c r="C2807" t="s">
        <v>37</v>
      </c>
      <c r="D2807">
        <v>5.7719659999999999</v>
      </c>
      <c r="E2807">
        <v>0.48213420000000001</v>
      </c>
      <c r="F2807" t="s">
        <v>52</v>
      </c>
      <c r="G2807">
        <v>-429.64440000000002</v>
      </c>
      <c r="H2807" s="1">
        <v>2.1870789999999998E-6</v>
      </c>
      <c r="I2807">
        <v>215.38</v>
      </c>
      <c r="J2807">
        <v>-447.02179999999998</v>
      </c>
      <c r="K2807">
        <v>1.1046750000000001</v>
      </c>
      <c r="L2807">
        <v>213.63550000000001</v>
      </c>
      <c r="M2807">
        <v>0.99988960000000005</v>
      </c>
      <c r="N2807">
        <v>0</v>
      </c>
      <c r="O2807">
        <v>-1.474894E-2</v>
      </c>
      <c r="P2807">
        <v>0.99861329999999904</v>
      </c>
      <c r="Q2807">
        <v>-1.94276E-2</v>
      </c>
      <c r="R2807">
        <v>4.89326E-2</v>
      </c>
      <c r="S2807">
        <v>2.9862980000000001</v>
      </c>
      <c r="T2807">
        <v>-0.18666659999999999</v>
      </c>
      <c r="U2807">
        <v>0.29437259999999998</v>
      </c>
      <c r="V2807">
        <v>-6.3576389999999997E-2</v>
      </c>
      <c r="W2807">
        <v>-1.7851599999999999E-2</v>
      </c>
      <c r="X2807">
        <v>0.99781730000000002</v>
      </c>
      <c r="Y2807">
        <v>-0.11252</v>
      </c>
      <c r="Z2807">
        <v>4.4237340000000003E-3</v>
      </c>
      <c r="AA2807">
        <v>0.99363959999999996</v>
      </c>
      <c r="AB2807">
        <v>28</v>
      </c>
      <c r="AC2807">
        <v>17.377399999999898</v>
      </c>
      <c r="AD2807">
        <v>-1.1046728129209999</v>
      </c>
      <c r="AE2807">
        <v>1.74449999999998</v>
      </c>
      <c r="AF2807">
        <v>-1.9926368267065699</v>
      </c>
      <c r="AG2807">
        <v>-1.1046728129209999</v>
      </c>
      <c r="AH2807">
        <v>17.280644493696599</v>
      </c>
      <c r="AI2807">
        <v>93.633668478396302</v>
      </c>
      <c r="AJ2807">
        <v>96.5777443266511</v>
      </c>
      <c r="AK2807">
        <v>17.430191555581999</v>
      </c>
    </row>
    <row r="2808" spans="1:37" x14ac:dyDescent="0.2">
      <c r="A2808" t="str">
        <f>"20200111155859200"</f>
        <v>20200111155859200</v>
      </c>
      <c r="B2808" t="str">
        <f>"1578729539194685"</f>
        <v>1578729539194685</v>
      </c>
      <c r="C2808" t="s">
        <v>37</v>
      </c>
      <c r="D2808">
        <v>5.7604389999999999</v>
      </c>
      <c r="E2808">
        <v>0.48287229999999998</v>
      </c>
      <c r="F2808" t="s">
        <v>52</v>
      </c>
      <c r="G2808">
        <v>-428.34570000000002</v>
      </c>
      <c r="H2808" s="1">
        <v>2.4094039999999999E-6</v>
      </c>
      <c r="I2808">
        <v>215.47200000000001</v>
      </c>
      <c r="J2808">
        <v>-446.73399999999998</v>
      </c>
      <c r="K2808">
        <v>1.1046940000000001</v>
      </c>
      <c r="L2808">
        <v>213.6337</v>
      </c>
      <c r="M2808">
        <v>0.99992380000000003</v>
      </c>
      <c r="N2808">
        <v>0</v>
      </c>
      <c r="O2808">
        <v>-1.2200900000000001E-2</v>
      </c>
      <c r="P2808">
        <v>0.99849030000000005</v>
      </c>
      <c r="Q2808">
        <v>-1.9083570000000001E-2</v>
      </c>
      <c r="R2808">
        <v>5.1507709999999998E-2</v>
      </c>
      <c r="S2808">
        <v>2.9862980000000001</v>
      </c>
      <c r="T2808">
        <v>-0.17663689999999899</v>
      </c>
      <c r="U2808">
        <v>0.29365540000000001</v>
      </c>
      <c r="V2808">
        <v>-6.3607709999999998E-2</v>
      </c>
      <c r="W2808">
        <v>-1.7506020000000001E-2</v>
      </c>
      <c r="X2808">
        <v>0.99782150000000003</v>
      </c>
      <c r="Y2808">
        <v>-0.1097861</v>
      </c>
      <c r="Z2808">
        <v>3.955666E-3</v>
      </c>
      <c r="AA2808">
        <v>0.99394740000000004</v>
      </c>
      <c r="AB2808">
        <v>28</v>
      </c>
      <c r="AC2808">
        <v>18.388300000000001</v>
      </c>
      <c r="AD2808">
        <v>-1.104691590596</v>
      </c>
      <c r="AE2808">
        <v>1.8383</v>
      </c>
      <c r="AF2808">
        <v>-2.0551734438224298</v>
      </c>
      <c r="AG2808">
        <v>-1.104691590596</v>
      </c>
      <c r="AH2808">
        <v>18.299112522200002</v>
      </c>
      <c r="AI2808">
        <v>93.433140637676601</v>
      </c>
      <c r="AJ2808">
        <v>96.408036721904196</v>
      </c>
      <c r="AK2808">
        <v>18.447265393403502</v>
      </c>
    </row>
    <row r="2809" spans="1:37" x14ac:dyDescent="0.2">
      <c r="A2809" t="str">
        <f>"20200111155859222"</f>
        <v>20200111155859222</v>
      </c>
      <c r="B2809" t="str">
        <f>"1578729539214205"</f>
        <v>1578729539214205</v>
      </c>
      <c r="C2809" t="s">
        <v>37</v>
      </c>
      <c r="D2809">
        <v>5.9911500000000002</v>
      </c>
      <c r="E2809">
        <v>0.48330050000000002</v>
      </c>
      <c r="F2809" t="s">
        <v>52</v>
      </c>
      <c r="G2809">
        <v>-427.62670000000003</v>
      </c>
      <c r="H2809" s="1">
        <v>2.532405E-6</v>
      </c>
      <c r="I2809">
        <v>215.5239</v>
      </c>
      <c r="J2809">
        <v>-446.44069999999999</v>
      </c>
      <c r="K2809">
        <v>1.1047119999999999</v>
      </c>
      <c r="L2809">
        <v>213.6327</v>
      </c>
      <c r="M2809">
        <v>0.99995210000000001</v>
      </c>
      <c r="N2809">
        <v>0</v>
      </c>
      <c r="O2809">
        <v>-9.6069539999999991E-3</v>
      </c>
      <c r="P2809">
        <v>0.99835249999999998</v>
      </c>
      <c r="Q2809">
        <v>-1.9194010000000001E-2</v>
      </c>
      <c r="R2809">
        <v>5.4073759999999998E-2</v>
      </c>
      <c r="S2809">
        <v>2.9859619999999998</v>
      </c>
      <c r="T2809">
        <v>-0.17263419999999999</v>
      </c>
      <c r="U2809">
        <v>0.29537959999999902</v>
      </c>
      <c r="V2809">
        <v>-6.3581899999999997E-2</v>
      </c>
      <c r="W2809">
        <v>-1.7608220000000001E-2</v>
      </c>
      <c r="X2809">
        <v>0.99782130000000002</v>
      </c>
      <c r="Y2809">
        <v>-0.10780389999999999</v>
      </c>
      <c r="Z2809">
        <v>3.6598720000000002E-3</v>
      </c>
      <c r="AA2809">
        <v>0.99416539999999998</v>
      </c>
      <c r="AB2809">
        <v>29</v>
      </c>
      <c r="AC2809">
        <v>18.813999999999901</v>
      </c>
      <c r="AD2809">
        <v>-1.104709467595</v>
      </c>
      <c r="AE2809">
        <v>1.89119999999999</v>
      </c>
      <c r="AF2809">
        <v>-2.0648105677299098</v>
      </c>
      <c r="AG2809">
        <v>-1.104709467595</v>
      </c>
      <c r="AH2809">
        <v>18.731029456936302</v>
      </c>
      <c r="AI2809">
        <v>93.354976628013006</v>
      </c>
      <c r="AJ2809">
        <v>96.290588192755493</v>
      </c>
      <c r="AK2809">
        <v>18.876845345687901</v>
      </c>
    </row>
    <row r="2810" spans="1:37" x14ac:dyDescent="0.2">
      <c r="A2810" t="str">
        <f>"20200111155859246"</f>
        <v>20200111155859246</v>
      </c>
      <c r="B2810" t="str">
        <f>"1578729539234701"</f>
        <v>1578729539234701</v>
      </c>
      <c r="C2810" t="s">
        <v>37</v>
      </c>
      <c r="D2810">
        <v>5.7326589999999999</v>
      </c>
      <c r="E2810">
        <v>0.51299980000000001</v>
      </c>
      <c r="F2810" t="s">
        <v>52</v>
      </c>
      <c r="G2810">
        <v>-427.63959999999997</v>
      </c>
      <c r="H2810" s="1">
        <v>2.5304630000000002E-6</v>
      </c>
      <c r="I2810">
        <v>215.5198</v>
      </c>
      <c r="J2810">
        <v>-446.1583</v>
      </c>
      <c r="K2810">
        <v>1.10473</v>
      </c>
      <c r="L2810">
        <v>213.63239999999999</v>
      </c>
      <c r="M2810">
        <v>0.99997289999999905</v>
      </c>
      <c r="N2810">
        <v>0</v>
      </c>
      <c r="O2810">
        <v>-7.1140839999999997E-3</v>
      </c>
      <c r="P2810">
        <v>0.99818569999999995</v>
      </c>
      <c r="Q2810">
        <v>-1.964364E-2</v>
      </c>
      <c r="R2810">
        <v>5.6918240000000002E-2</v>
      </c>
      <c r="S2810">
        <v>2.985382</v>
      </c>
      <c r="T2810">
        <v>-0.1754145</v>
      </c>
      <c r="U2810">
        <v>0.29965209999999998</v>
      </c>
      <c r="V2810">
        <v>-6.3934909999999998E-2</v>
      </c>
      <c r="W2810">
        <v>-1.804505E-2</v>
      </c>
      <c r="X2810">
        <v>0.99779089999999904</v>
      </c>
      <c r="Y2810">
        <v>-0.10675279999999999</v>
      </c>
      <c r="Z2810">
        <v>3.5423849999999999E-3</v>
      </c>
      <c r="AA2810">
        <v>0.99427929999999998</v>
      </c>
      <c r="AB2810">
        <v>29</v>
      </c>
      <c r="AC2810">
        <v>18.518699999999999</v>
      </c>
      <c r="AD2810">
        <v>-1.104727469537</v>
      </c>
      <c r="AE2810">
        <v>1.88740000000001</v>
      </c>
      <c r="AF2810">
        <v>-2.0120095680256198</v>
      </c>
      <c r="AG2810">
        <v>-1.104727469537</v>
      </c>
      <c r="AH2810">
        <v>18.43985725097</v>
      </c>
      <c r="AI2810">
        <v>93.408298173983795</v>
      </c>
      <c r="AJ2810">
        <v>96.2270228510706</v>
      </c>
      <c r="AK2810">
        <v>18.582167277256101</v>
      </c>
    </row>
    <row r="2811" spans="1:37" x14ac:dyDescent="0.2">
      <c r="A2811" t="str">
        <f>"20200111155859267"</f>
        <v>20200111155859267</v>
      </c>
      <c r="B2811" t="str">
        <f>"1578729539263981"</f>
        <v>1578729539263981</v>
      </c>
      <c r="C2811" t="s">
        <v>37</v>
      </c>
      <c r="D2811">
        <v>5.767652</v>
      </c>
      <c r="E2811">
        <v>0.51935370000000003</v>
      </c>
      <c r="F2811" t="s">
        <v>50</v>
      </c>
      <c r="G2811">
        <v>-389.85550000000001</v>
      </c>
      <c r="H2811" s="1">
        <v>3.6956670000000002E-6</v>
      </c>
      <c r="I2811">
        <v>214.89449999999999</v>
      </c>
      <c r="J2811">
        <v>-445.87490000000003</v>
      </c>
      <c r="K2811">
        <v>1.1047469999999999</v>
      </c>
      <c r="L2811">
        <v>213.63290000000001</v>
      </c>
      <c r="M2811">
        <v>0.99998750000000003</v>
      </c>
      <c r="N2811">
        <v>0</v>
      </c>
      <c r="O2811">
        <v>-4.6309619999999998E-3</v>
      </c>
      <c r="P2811">
        <v>0.99803109999999995</v>
      </c>
      <c r="Q2811">
        <v>-1.9766530000000001E-2</v>
      </c>
      <c r="R2811">
        <v>5.9526059999999999E-2</v>
      </c>
      <c r="S2811">
        <v>3.0004879999999998</v>
      </c>
      <c r="T2811">
        <v>-5.8873059999999998E-2</v>
      </c>
      <c r="U2811">
        <v>6.7260739999999999E-2</v>
      </c>
      <c r="V2811">
        <v>-6.4062800000000003E-2</v>
      </c>
      <c r="W2811">
        <v>-1.8147239999999999E-2</v>
      </c>
      <c r="X2811">
        <v>0.99778089999999997</v>
      </c>
      <c r="Y2811">
        <v>-2.703444E-2</v>
      </c>
      <c r="Z2811">
        <v>3.5601049999999998E-4</v>
      </c>
      <c r="AA2811">
        <v>0.99963440000000003</v>
      </c>
      <c r="AB2811">
        <v>29</v>
      </c>
      <c r="AC2811">
        <v>56.019399999999997</v>
      </c>
      <c r="AD2811">
        <v>-1.1047433043329999</v>
      </c>
      <c r="AE2811">
        <v>1.2615999999999801</v>
      </c>
      <c r="AF2811">
        <v>-1.52041964331021</v>
      </c>
      <c r="AG2811">
        <v>-1.1047433043329999</v>
      </c>
      <c r="AH2811">
        <v>55.991192539239599</v>
      </c>
      <c r="AI2811">
        <v>91.129920602775897</v>
      </c>
      <c r="AJ2811">
        <v>91.555462964964207</v>
      </c>
      <c r="AK2811">
        <v>56.022725528364298</v>
      </c>
    </row>
    <row r="2812" spans="1:37" x14ac:dyDescent="0.2">
      <c r="A2812" t="str">
        <f>"20200111155859289"</f>
        <v>20200111155859289</v>
      </c>
      <c r="B2812" t="str">
        <f>"1578729539284477"</f>
        <v>1578729539284477</v>
      </c>
      <c r="C2812" t="s">
        <v>37</v>
      </c>
      <c r="D2812">
        <v>5.7727830000000004</v>
      </c>
      <c r="E2812">
        <v>0.52170859999999997</v>
      </c>
      <c r="F2812" t="s">
        <v>50</v>
      </c>
      <c r="G2812">
        <v>-389.3655</v>
      </c>
      <c r="H2812" s="1">
        <v>3.4700670000000002E-6</v>
      </c>
      <c r="I2812">
        <v>214.0899</v>
      </c>
      <c r="J2812">
        <v>-445.58539999999999</v>
      </c>
      <c r="K2812">
        <v>1.1047559999999901</v>
      </c>
      <c r="L2812">
        <v>213.63399999999999</v>
      </c>
      <c r="M2812">
        <v>0.99999579999999999</v>
      </c>
      <c r="N2812">
        <v>0</v>
      </c>
      <c r="O2812">
        <v>-2.1108640000000001E-3</v>
      </c>
      <c r="P2812">
        <v>0.99787409999999999</v>
      </c>
      <c r="Q2812">
        <v>-1.929138E-2</v>
      </c>
      <c r="R2812">
        <v>6.2249310000000002E-2</v>
      </c>
      <c r="S2812">
        <v>3.00329599999999</v>
      </c>
      <c r="T2812">
        <v>-5.8713559999999998E-2</v>
      </c>
      <c r="U2812">
        <v>2.4291989999999999E-2</v>
      </c>
      <c r="V2812">
        <v>-6.4272700000000002E-2</v>
      </c>
      <c r="W2812">
        <v>-1.764487E-2</v>
      </c>
      <c r="X2812">
        <v>0.99777640000000001</v>
      </c>
      <c r="Y2812">
        <v>-1.019661E-2</v>
      </c>
      <c r="Z2812">
        <v>1.409215E-4</v>
      </c>
      <c r="AA2812">
        <v>0.99994799999999995</v>
      </c>
      <c r="AB2812">
        <v>29</v>
      </c>
      <c r="AC2812">
        <v>56.219900000000003</v>
      </c>
      <c r="AD2812">
        <v>-1.1047525299330001</v>
      </c>
      <c r="AE2812">
        <v>0.45589999999998498</v>
      </c>
      <c r="AF2812">
        <v>-0.57435001381284401</v>
      </c>
      <c r="AG2812">
        <v>-1.1047525299330001</v>
      </c>
      <c r="AH2812">
        <v>56.197113623381298</v>
      </c>
      <c r="AI2812">
        <v>91.126146823438006</v>
      </c>
      <c r="AJ2812">
        <v>90.585558295070797</v>
      </c>
      <c r="AK2812">
        <v>56.210905842994499</v>
      </c>
    </row>
    <row r="2813" spans="1:37" x14ac:dyDescent="0.2">
      <c r="A2813" t="str">
        <f>"20200111155859312"</f>
        <v>20200111155859312</v>
      </c>
      <c r="B2813" t="str">
        <f>"1578729539304973"</f>
        <v>1578729539304973</v>
      </c>
      <c r="C2813" t="s">
        <v>37</v>
      </c>
      <c r="D2813">
        <v>5.7217599999999997</v>
      </c>
      <c r="E2813">
        <v>0.52326620000000001</v>
      </c>
      <c r="F2813" t="s">
        <v>50</v>
      </c>
      <c r="G2813">
        <v>-393.00760000000002</v>
      </c>
      <c r="H2813" s="1">
        <v>6.3720190000000005E-8</v>
      </c>
      <c r="I2813">
        <v>213.88099999999901</v>
      </c>
      <c r="J2813">
        <v>-445.28030000000001</v>
      </c>
      <c r="K2813">
        <v>1.104757</v>
      </c>
      <c r="L2813">
        <v>213.636</v>
      </c>
      <c r="M2813">
        <v>0.99999799999999905</v>
      </c>
      <c r="N2813">
        <v>0</v>
      </c>
      <c r="O2813">
        <v>5.1107150000000005E-4</v>
      </c>
      <c r="P2813">
        <v>0.99776399999999998</v>
      </c>
      <c r="Q2813">
        <v>-1.8988689999999999E-2</v>
      </c>
      <c r="R2813">
        <v>6.4081449999999998E-2</v>
      </c>
      <c r="S2813">
        <v>3.0042719999999998</v>
      </c>
      <c r="T2813">
        <v>-6.312537E-2</v>
      </c>
      <c r="U2813">
        <v>1.4114379999999999E-2</v>
      </c>
      <c r="V2813">
        <v>-6.3490420000000006E-2</v>
      </c>
      <c r="W2813">
        <v>-1.7302209999999998E-2</v>
      </c>
      <c r="X2813">
        <v>0.99783250000000001</v>
      </c>
      <c r="Y2813">
        <v>-4.1861729999999996E-3</v>
      </c>
      <c r="Z2813" s="1">
        <v>3.3237229999999901E-5</v>
      </c>
      <c r="AA2813">
        <v>0.99999119999999997</v>
      </c>
      <c r="AB2813">
        <v>29</v>
      </c>
      <c r="AC2813">
        <v>52.272699999999901</v>
      </c>
      <c r="AD2813">
        <v>-1.10475693627981</v>
      </c>
      <c r="AE2813">
        <v>0.24499999999997599</v>
      </c>
      <c r="AF2813">
        <v>-0.21818737596263801</v>
      </c>
      <c r="AG2813">
        <v>-1.10475693627981</v>
      </c>
      <c r="AH2813">
        <v>52.249480793852101</v>
      </c>
      <c r="AI2813">
        <v>91.211264246662097</v>
      </c>
      <c r="AJ2813">
        <v>90.239258705184199</v>
      </c>
      <c r="AK2813">
        <v>52.261614372753598</v>
      </c>
    </row>
    <row r="2814" spans="1:37" x14ac:dyDescent="0.2">
      <c r="A2814" t="str">
        <f>"20200111155859335"</f>
        <v>20200111155859335</v>
      </c>
      <c r="B2814" t="str">
        <f>"1578729539324493"</f>
        <v>1578729539324493</v>
      </c>
      <c r="C2814" t="s">
        <v>37</v>
      </c>
      <c r="D2814">
        <v>5.6956910000000001</v>
      </c>
      <c r="E2814">
        <v>0.52424380000000004</v>
      </c>
      <c r="F2814" t="s">
        <v>50</v>
      </c>
      <c r="G2814">
        <v>-399.90929999999997</v>
      </c>
      <c r="H2814" s="1">
        <v>3.7364400000000002E-6</v>
      </c>
      <c r="I2814">
        <v>213.74979999999999</v>
      </c>
      <c r="J2814">
        <v>-444.97879999999998</v>
      </c>
      <c r="K2814">
        <v>1.1047469999999999</v>
      </c>
      <c r="L2814">
        <v>213.6387</v>
      </c>
      <c r="M2814">
        <v>0.99999340000000003</v>
      </c>
      <c r="N2814">
        <v>0</v>
      </c>
      <c r="O2814">
        <v>3.0493719999999998E-3</v>
      </c>
      <c r="P2814">
        <v>0.99767359999999905</v>
      </c>
      <c r="Q2814">
        <v>-1.9408140000000001E-2</v>
      </c>
      <c r="R2814">
        <v>6.5353809999999998E-2</v>
      </c>
      <c r="S2814">
        <v>3.0048520000000001</v>
      </c>
      <c r="T2814">
        <v>-7.3166129999999996E-2</v>
      </c>
      <c r="U2814">
        <v>7.5378419999999899E-3</v>
      </c>
      <c r="V2814">
        <v>-6.2228609999999997E-2</v>
      </c>
      <c r="W2814">
        <v>-1.7671360000000001E-2</v>
      </c>
      <c r="X2814">
        <v>0.9979055</v>
      </c>
      <c r="Y2814">
        <v>5.3976800000000004E-4</v>
      </c>
      <c r="Z2814" s="1">
        <v>-8.0809540000000002E-5</v>
      </c>
      <c r="AA2814">
        <v>0.99999989999999905</v>
      </c>
      <c r="AB2814">
        <v>30</v>
      </c>
      <c r="AC2814">
        <v>45.069499999999998</v>
      </c>
      <c r="AD2814">
        <v>-1.1047432635600001</v>
      </c>
      <c r="AE2814">
        <v>0.111099999999993</v>
      </c>
      <c r="AF2814">
        <v>2.63186428439353E-2</v>
      </c>
      <c r="AG2814">
        <v>-1.1047432635600001</v>
      </c>
      <c r="AH2814">
        <v>45.042566129708703</v>
      </c>
      <c r="AI2814">
        <v>91.404991620108504</v>
      </c>
      <c r="AJ2814">
        <v>89.966521734540706</v>
      </c>
      <c r="AK2814">
        <v>45.056119605426801</v>
      </c>
    </row>
    <row r="2815" spans="1:37" x14ac:dyDescent="0.2">
      <c r="A2815" t="str">
        <f>"20200111155859356"</f>
        <v>20200111155859356</v>
      </c>
      <c r="B2815" t="str">
        <f>"1578729539354752"</f>
        <v>1578729539354752</v>
      </c>
      <c r="C2815" t="s">
        <v>37</v>
      </c>
      <c r="D2815">
        <v>5.6087239999999996</v>
      </c>
      <c r="E2815">
        <v>0.52551719999999902</v>
      </c>
      <c r="F2815" t="s">
        <v>52</v>
      </c>
      <c r="G2815">
        <v>-409.74799999999999</v>
      </c>
      <c r="H2815" s="1">
        <v>4.2720870000000004E-6</v>
      </c>
      <c r="I2815">
        <v>213.68389999999999</v>
      </c>
      <c r="J2815">
        <v>-444.6909</v>
      </c>
      <c r="K2815">
        <v>1.1047199999999999</v>
      </c>
      <c r="L2815">
        <v>213.64179999999999</v>
      </c>
      <c r="M2815">
        <v>0.99998330000000002</v>
      </c>
      <c r="N2815">
        <v>0</v>
      </c>
      <c r="O2815">
        <v>5.3958679999999998E-3</v>
      </c>
      <c r="P2815">
        <v>0.99759019999999998</v>
      </c>
      <c r="Q2815">
        <v>-2.0875520000000002E-2</v>
      </c>
      <c r="R2815">
        <v>6.6165050000000003E-2</v>
      </c>
      <c r="S2815">
        <v>3.0049440000000001</v>
      </c>
      <c r="T2815">
        <v>-9.4226840000000006E-2</v>
      </c>
      <c r="U2815">
        <v>3.860474E-3</v>
      </c>
      <c r="V2815">
        <v>-6.0692860000000001E-2</v>
      </c>
      <c r="W2815">
        <v>-1.9078060000000001E-2</v>
      </c>
      <c r="X2815">
        <v>0.99797420000000003</v>
      </c>
      <c r="Y2815">
        <v>4.1065160000000002E-3</v>
      </c>
      <c r="Z2815">
        <v>-2.3352639999999999E-4</v>
      </c>
      <c r="AA2815">
        <v>0.99999150000000003</v>
      </c>
      <c r="AB2815">
        <v>30</v>
      </c>
      <c r="AC2815">
        <v>34.942899999999902</v>
      </c>
      <c r="AD2815">
        <v>-1.104715727913</v>
      </c>
      <c r="AE2815">
        <v>4.2100000000004897E-2</v>
      </c>
      <c r="AF2815">
        <v>0.146302063893642</v>
      </c>
      <c r="AG2815">
        <v>-1.104715727913</v>
      </c>
      <c r="AH2815">
        <v>34.907728217893798</v>
      </c>
      <c r="AI2815">
        <v>91.812603650990894</v>
      </c>
      <c r="AJ2815">
        <v>89.759868598071193</v>
      </c>
      <c r="AK2815">
        <v>34.925510597094103</v>
      </c>
    </row>
    <row r="2816" spans="1:37" x14ac:dyDescent="0.2">
      <c r="A2816" t="str">
        <f>"20200111155859380"</f>
        <v>20200111155859380</v>
      </c>
      <c r="B2816" t="str">
        <f>"1578729539374271"</f>
        <v>1578729539374271</v>
      </c>
      <c r="C2816" t="s">
        <v>37</v>
      </c>
      <c r="D2816">
        <v>5.8612549999999999</v>
      </c>
      <c r="E2816">
        <v>0.52546879999999996</v>
      </c>
      <c r="F2816" t="s">
        <v>52</v>
      </c>
      <c r="G2816">
        <v>-417.29509999999999</v>
      </c>
      <c r="H2816" s="1">
        <v>3.5874900000000001E-6</v>
      </c>
      <c r="I2816">
        <v>213.613</v>
      </c>
      <c r="J2816">
        <v>-444.38130000000001</v>
      </c>
      <c r="K2816">
        <v>1.1046590000000001</v>
      </c>
      <c r="L2816">
        <v>213.64590000000001</v>
      </c>
      <c r="M2816">
        <v>0.99996739999999995</v>
      </c>
      <c r="N2816">
        <v>0</v>
      </c>
      <c r="O2816">
        <v>7.7990780000000001E-3</v>
      </c>
      <c r="P2816">
        <v>0.99743999999999999</v>
      </c>
      <c r="Q2816">
        <v>-2.171441E-2</v>
      </c>
      <c r="R2816">
        <v>6.8135230000000005E-2</v>
      </c>
      <c r="S2816">
        <v>3.0049130000000002</v>
      </c>
      <c r="T2816">
        <v>-0.121170899999999</v>
      </c>
      <c r="U2816">
        <v>-3.158569E-3</v>
      </c>
      <c r="V2816">
        <v>-6.026509E-2</v>
      </c>
      <c r="W2816">
        <v>-1.9845979999999999E-2</v>
      </c>
      <c r="X2816">
        <v>0.99798509999999996</v>
      </c>
      <c r="Y2816">
        <v>8.8366739999999992E-3</v>
      </c>
      <c r="Z2816">
        <v>-4.9245650000000001E-4</v>
      </c>
      <c r="AA2816">
        <v>0.99996079999999998</v>
      </c>
      <c r="AB2816">
        <v>30</v>
      </c>
      <c r="AC2816">
        <v>27.086200000000002</v>
      </c>
      <c r="AD2816">
        <v>-1.1046554125100001</v>
      </c>
      <c r="AE2816">
        <v>-3.29000000000121E-2</v>
      </c>
      <c r="AF2816">
        <v>0.24374144553044999</v>
      </c>
      <c r="AG2816">
        <v>-1.1046554125100001</v>
      </c>
      <c r="AH2816">
        <v>27.040145175694999</v>
      </c>
      <c r="AI2816">
        <v>92.339275585734896</v>
      </c>
      <c r="AJ2816">
        <v>89.483546489654501</v>
      </c>
      <c r="AK2816">
        <v>27.0637973055393</v>
      </c>
    </row>
    <row r="2817" spans="1:37" x14ac:dyDescent="0.2">
      <c r="A2817" t="str">
        <f>"20200111155859401"</f>
        <v>20200111155859401</v>
      </c>
      <c r="B2817" t="str">
        <f>"1578729539384032"</f>
        <v>1578729539384032</v>
      </c>
      <c r="C2817" t="s">
        <v>37</v>
      </c>
      <c r="D2817">
        <v>5.7311050000000003</v>
      </c>
      <c r="E2817">
        <v>0.47031990000000001</v>
      </c>
      <c r="F2817" t="s">
        <v>52</v>
      </c>
      <c r="G2817">
        <v>-418.2577</v>
      </c>
      <c r="H2817" s="1">
        <v>3.7529180000000002E-6</v>
      </c>
      <c r="I2817">
        <v>213.6739</v>
      </c>
      <c r="J2817">
        <v>-444.09100000000001</v>
      </c>
      <c r="K2817">
        <v>1.1045860000000001</v>
      </c>
      <c r="L2817">
        <v>213.65020000000001</v>
      </c>
      <c r="M2817">
        <v>0.99994859999999897</v>
      </c>
      <c r="N2817">
        <v>0</v>
      </c>
      <c r="O2817">
        <v>9.9042539999999995E-3</v>
      </c>
      <c r="P2817">
        <v>0.99718050000000003</v>
      </c>
      <c r="Q2817">
        <v>-2.2550629999999999E-2</v>
      </c>
      <c r="R2817">
        <v>7.15721E-2</v>
      </c>
      <c r="S2817">
        <v>3.0047000000000001</v>
      </c>
      <c r="T2817">
        <v>-0.12705559999999999</v>
      </c>
      <c r="U2817">
        <v>3.219604E-3</v>
      </c>
      <c r="V2817">
        <v>-6.1603680000000001E-2</v>
      </c>
      <c r="W2817">
        <v>-2.0612559999999999E-2</v>
      </c>
      <c r="X2817">
        <v>0.99788779999999999</v>
      </c>
      <c r="Y2817">
        <v>8.8160730000000007E-3</v>
      </c>
      <c r="Z2817">
        <v>-6.049292E-4</v>
      </c>
      <c r="AA2817">
        <v>0.99996099999999999</v>
      </c>
      <c r="AB2817">
        <v>30</v>
      </c>
      <c r="AC2817">
        <v>25.833300000000001</v>
      </c>
      <c r="AD2817">
        <v>-1.1045822470819999</v>
      </c>
      <c r="AE2817">
        <v>2.3699999999990898E-2</v>
      </c>
      <c r="AF2817">
        <v>0.23173765422696799</v>
      </c>
      <c r="AG2817">
        <v>-1.1045822470819999</v>
      </c>
      <c r="AH2817">
        <v>25.785125945845198</v>
      </c>
      <c r="AI2817">
        <v>92.452835774125205</v>
      </c>
      <c r="AJ2817">
        <v>89.485081744184299</v>
      </c>
      <c r="AK2817">
        <v>25.809814496118602</v>
      </c>
    </row>
    <row r="2818" spans="1:37" x14ac:dyDescent="0.2">
      <c r="A2818" t="str">
        <f>"20200111155859424"</f>
        <v>20200111155859424</v>
      </c>
      <c r="B2818" t="str">
        <f>"1578729539414289"</f>
        <v>1578729539414289</v>
      </c>
      <c r="C2818" t="s">
        <v>37</v>
      </c>
      <c r="D2818">
        <v>5.1473870000000002</v>
      </c>
      <c r="E2818">
        <v>0.41247109999999898</v>
      </c>
      <c r="F2818" t="s">
        <v>52</v>
      </c>
      <c r="G2818">
        <v>-430.1173</v>
      </c>
      <c r="H2818" s="1">
        <v>2.1665010000000002E-6</v>
      </c>
      <c r="I2818">
        <v>215.78890000000001</v>
      </c>
      <c r="J2818">
        <v>-443.7801</v>
      </c>
      <c r="K2818">
        <v>1.104476</v>
      </c>
      <c r="L2818">
        <v>213.65539999999999</v>
      </c>
      <c r="M2818">
        <v>0.99992590000000003</v>
      </c>
      <c r="N2818">
        <v>0</v>
      </c>
      <c r="O2818">
        <v>1.196317E-2</v>
      </c>
      <c r="P2818">
        <v>0.99683369999999905</v>
      </c>
      <c r="Q2818">
        <v>-2.2954249999999999E-2</v>
      </c>
      <c r="R2818">
        <v>7.6131340000000006E-2</v>
      </c>
      <c r="S2818">
        <v>2.9705810000000001</v>
      </c>
      <c r="T2818">
        <v>-0.23481679999999899</v>
      </c>
      <c r="U2818">
        <v>0.45465090000000002</v>
      </c>
      <c r="V2818">
        <v>-6.4116870000000006E-2</v>
      </c>
      <c r="W2818">
        <v>-2.0934049999999999E-2</v>
      </c>
      <c r="X2818">
        <v>0.99772280000000002</v>
      </c>
      <c r="Y2818">
        <v>-0.13906589999999999</v>
      </c>
      <c r="Z2818">
        <v>4.5177059999999998E-3</v>
      </c>
      <c r="AA2818">
        <v>0.99027279999999995</v>
      </c>
      <c r="AB2818">
        <v>30</v>
      </c>
      <c r="AC2818">
        <v>13.662800000000001</v>
      </c>
      <c r="AD2818">
        <v>-1.1044738334990001</v>
      </c>
      <c r="AE2818">
        <v>2.1335000000000202</v>
      </c>
      <c r="AF2818">
        <v>-1.95740973167683</v>
      </c>
      <c r="AG2818">
        <v>-1.1044738334990001</v>
      </c>
      <c r="AH2818">
        <v>13.6005844252294</v>
      </c>
      <c r="AI2818">
        <v>94.595533277545499</v>
      </c>
      <c r="AJ2818">
        <v>98.189828955732906</v>
      </c>
      <c r="AK2818">
        <v>13.785035800256001</v>
      </c>
    </row>
    <row r="2819" spans="1:37" x14ac:dyDescent="0.2">
      <c r="A2819" t="str">
        <f>"20200111155859446"</f>
        <v>20200111155859446</v>
      </c>
      <c r="B2819" t="str">
        <f>"1578729539434783"</f>
        <v>1578729539434783</v>
      </c>
      <c r="C2819" t="s">
        <v>37</v>
      </c>
      <c r="D2819">
        <v>5.1875479999999996</v>
      </c>
      <c r="E2819">
        <v>0.41394940000000002</v>
      </c>
      <c r="F2819" t="s">
        <v>52</v>
      </c>
      <c r="G2819">
        <v>-419.5</v>
      </c>
      <c r="H2819" s="1">
        <v>2.894516E-6</v>
      </c>
      <c r="I2819">
        <v>221.3133</v>
      </c>
      <c r="J2819">
        <v>-443.4846</v>
      </c>
      <c r="K2819">
        <v>1.1043350000000001</v>
      </c>
      <c r="L2819">
        <v>213.66059999999999</v>
      </c>
      <c r="M2819">
        <v>0.9999036</v>
      </c>
      <c r="N2819">
        <v>0</v>
      </c>
      <c r="O2819">
        <v>1.369799E-2</v>
      </c>
      <c r="P2819">
        <v>0.99649719999999997</v>
      </c>
      <c r="Q2819">
        <v>-2.3882179999999999E-2</v>
      </c>
      <c r="R2819">
        <v>8.0145809999999998E-2</v>
      </c>
      <c r="S2819">
        <v>2.9357599999999899</v>
      </c>
      <c r="T2819">
        <v>-0.1335443</v>
      </c>
      <c r="U2819">
        <v>0.92593380000000003</v>
      </c>
      <c r="V2819">
        <v>-6.6408629999999996E-2</v>
      </c>
      <c r="W2819">
        <v>-2.1772920000000001E-2</v>
      </c>
      <c r="X2819">
        <v>0.99755490000000002</v>
      </c>
      <c r="Y2819">
        <v>-0.28744309999999901</v>
      </c>
      <c r="Z2819">
        <v>5.771974E-3</v>
      </c>
      <c r="AA2819">
        <v>0.95778039999999998</v>
      </c>
      <c r="AB2819">
        <v>30</v>
      </c>
      <c r="AC2819">
        <v>23.9846</v>
      </c>
      <c r="AD2819">
        <v>-1.1043321054840001</v>
      </c>
      <c r="AE2819">
        <v>7.6527000000000003</v>
      </c>
      <c r="AF2819">
        <v>-7.3093762961837303</v>
      </c>
      <c r="AG2819">
        <v>-1.1043321054840001</v>
      </c>
      <c r="AH2819">
        <v>24.040919188771099</v>
      </c>
      <c r="AI2819">
        <v>92.516478030003</v>
      </c>
      <c r="AJ2819">
        <v>106.911315687722</v>
      </c>
      <c r="AK2819">
        <v>25.151785755278599</v>
      </c>
    </row>
    <row r="2820" spans="1:37" x14ac:dyDescent="0.2">
      <c r="A2820" t="str">
        <f>"20200111155859467"</f>
        <v>20200111155859467</v>
      </c>
      <c r="B2820" t="str">
        <f>"1578729539465028"</f>
        <v>1578729539465028</v>
      </c>
      <c r="C2820" t="s">
        <v>37</v>
      </c>
      <c r="D2820">
        <v>5.2319490000000002</v>
      </c>
      <c r="E2820">
        <v>0.41430479999999997</v>
      </c>
      <c r="F2820" t="s">
        <v>52</v>
      </c>
      <c r="G2820">
        <v>-424.08030000000002</v>
      </c>
      <c r="H2820" s="1">
        <v>2.7405019999999999E-6</v>
      </c>
      <c r="I2820">
        <v>219.79509999999999</v>
      </c>
      <c r="J2820">
        <v>-443.17559999999997</v>
      </c>
      <c r="K2820">
        <v>1.104177</v>
      </c>
      <c r="L2820">
        <v>213.66640000000001</v>
      </c>
      <c r="M2820">
        <v>0.99988069999999896</v>
      </c>
      <c r="N2820">
        <v>0</v>
      </c>
      <c r="O2820">
        <v>1.525488E-2</v>
      </c>
      <c r="P2820">
        <v>0.99615509999999996</v>
      </c>
      <c r="Q2820">
        <v>-2.519561E-2</v>
      </c>
      <c r="R2820">
        <v>8.3906110000000006E-2</v>
      </c>
      <c r="S2820">
        <v>2.9320369999999998</v>
      </c>
      <c r="T2820">
        <v>-0.16686770000000001</v>
      </c>
      <c r="U2820">
        <v>0.92694089999999996</v>
      </c>
      <c r="V2820">
        <v>-6.8625130000000006E-2</v>
      </c>
      <c r="W2820">
        <v>-2.2982039999999999E-2</v>
      </c>
      <c r="X2820">
        <v>0.99737779999999998</v>
      </c>
      <c r="Y2820">
        <v>-0.2864583</v>
      </c>
      <c r="Z2820">
        <v>7.1050039999999998E-3</v>
      </c>
      <c r="AA2820">
        <v>0.95806639999999998</v>
      </c>
      <c r="AB2820">
        <v>31</v>
      </c>
      <c r="AC2820">
        <v>19.095299999999899</v>
      </c>
      <c r="AD2820">
        <v>-1.104174259498</v>
      </c>
      <c r="AE2820">
        <v>6.1286999999999798</v>
      </c>
      <c r="AF2820">
        <v>-5.8190496465375903</v>
      </c>
      <c r="AG2820">
        <v>-1.104174259498</v>
      </c>
      <c r="AH2820">
        <v>19.1285845892859</v>
      </c>
      <c r="AI2820">
        <v>93.160948653764606</v>
      </c>
      <c r="AJ2820">
        <v>106.920128924151</v>
      </c>
      <c r="AK2820">
        <v>20.024567110768501</v>
      </c>
    </row>
    <row r="2821" spans="1:37" x14ac:dyDescent="0.2">
      <c r="A2821" t="str">
        <f>"20200111155859491"</f>
        <v>20200111155859491</v>
      </c>
      <c r="B2821" t="str">
        <f>"1578729539484549"</f>
        <v>1578729539484549</v>
      </c>
      <c r="C2821" t="s">
        <v>37</v>
      </c>
      <c r="D2821">
        <v>5.2005520000000001</v>
      </c>
      <c r="E2821">
        <v>0.41465940000000001</v>
      </c>
      <c r="F2821" t="s">
        <v>52</v>
      </c>
      <c r="G2821">
        <v>-423.56470000000002</v>
      </c>
      <c r="H2821" s="1">
        <v>2.7853120000000002E-6</v>
      </c>
      <c r="I2821">
        <v>219.9271</v>
      </c>
      <c r="J2821">
        <v>-442.8503</v>
      </c>
      <c r="K2821">
        <v>1.1040159999999899</v>
      </c>
      <c r="L2821">
        <v>213.6728</v>
      </c>
      <c r="M2821">
        <v>0.99985780000000002</v>
      </c>
      <c r="N2821">
        <v>0</v>
      </c>
      <c r="O2821">
        <v>1.6668180000000001E-2</v>
      </c>
      <c r="P2821">
        <v>0.99587879999999995</v>
      </c>
      <c r="Q2821">
        <v>-2.6165339999999999E-2</v>
      </c>
      <c r="R2821">
        <v>8.68388999999999E-2</v>
      </c>
      <c r="S2821">
        <v>2.9286799999999999</v>
      </c>
      <c r="T2821">
        <v>-0.16489699999999999</v>
      </c>
      <c r="U2821">
        <v>0.93496699999999999</v>
      </c>
      <c r="V2821">
        <v>-7.0158849999999995E-2</v>
      </c>
      <c r="W2821">
        <v>-2.3834230000000001E-2</v>
      </c>
      <c r="X2821">
        <v>0.997251</v>
      </c>
      <c r="Y2821">
        <v>-0.28781319999999999</v>
      </c>
      <c r="Z2821">
        <v>6.9857469999999996E-3</v>
      </c>
      <c r="AA2821">
        <v>0.95766109999999904</v>
      </c>
      <c r="AB2821">
        <v>31</v>
      </c>
      <c r="AC2821">
        <v>19.285599999999899</v>
      </c>
      <c r="AD2821">
        <v>-1.104013214688</v>
      </c>
      <c r="AE2821">
        <v>6.2542999999999997</v>
      </c>
      <c r="AF2821">
        <v>-5.9144367614884699</v>
      </c>
      <c r="AG2821">
        <v>-1.104013214688</v>
      </c>
      <c r="AH2821">
        <v>19.329852118419101</v>
      </c>
      <c r="AI2821">
        <v>93.126107123265598</v>
      </c>
      <c r="AJ2821">
        <v>107.012760992624</v>
      </c>
      <c r="AK2821">
        <v>20.244569402775699</v>
      </c>
    </row>
    <row r="2822" spans="1:37" x14ac:dyDescent="0.2">
      <c r="A2822" t="str">
        <f>"20200111155859513"</f>
        <v>20200111155859513</v>
      </c>
      <c r="B2822" t="str">
        <f>"1578729539504069"</f>
        <v>1578729539504069</v>
      </c>
      <c r="C2822" t="s">
        <v>37</v>
      </c>
      <c r="D2822">
        <v>5.2248619999999999</v>
      </c>
      <c r="E2822">
        <v>0.41541080000000002</v>
      </c>
      <c r="F2822" t="s">
        <v>52</v>
      </c>
      <c r="G2822">
        <v>-424.31389999999999</v>
      </c>
      <c r="H2822" s="1">
        <v>2.755931E-6</v>
      </c>
      <c r="I2822">
        <v>219.6343</v>
      </c>
      <c r="J2822">
        <v>-442.54750000000001</v>
      </c>
      <c r="K2822">
        <v>1.1038779999999999</v>
      </c>
      <c r="L2822">
        <v>213.679</v>
      </c>
      <c r="M2822">
        <v>0.99983849999999996</v>
      </c>
      <c r="N2822">
        <v>0</v>
      </c>
      <c r="O2822">
        <v>1.778095E-2</v>
      </c>
      <c r="P2822">
        <v>0.99569909999999995</v>
      </c>
      <c r="Q2822">
        <v>-2.585519E-2</v>
      </c>
      <c r="R2822">
        <v>8.8965059999999999E-2</v>
      </c>
      <c r="S2822">
        <v>2.9257810000000002</v>
      </c>
      <c r="T2822">
        <v>-0.17425639999999901</v>
      </c>
      <c r="U2822">
        <v>0.94094849999999997</v>
      </c>
      <c r="V2822">
        <v>-7.1187600000000004E-2</v>
      </c>
      <c r="W2822">
        <v>-2.3410440000000001E-2</v>
      </c>
      <c r="X2822">
        <v>0.99718819999999997</v>
      </c>
      <c r="Y2822">
        <v>-0.28875209999999901</v>
      </c>
      <c r="Z2822">
        <v>7.3490889999999996E-3</v>
      </c>
      <c r="AA2822">
        <v>0.95737569999999905</v>
      </c>
      <c r="AB2822">
        <v>31</v>
      </c>
      <c r="AC2822">
        <v>18.233599999999999</v>
      </c>
      <c r="AD2822">
        <v>-1.1038752440690001</v>
      </c>
      <c r="AE2822">
        <v>5.9552999999999896</v>
      </c>
      <c r="AF2822">
        <v>-5.6115618252228199</v>
      </c>
      <c r="AG2822">
        <v>-1.1038752440690001</v>
      </c>
      <c r="AH2822">
        <v>18.276080366806699</v>
      </c>
      <c r="AI2822">
        <v>93.304564174364899</v>
      </c>
      <c r="AJ2822">
        <v>107.068792939324</v>
      </c>
      <c r="AK2822">
        <v>19.1500203719668</v>
      </c>
    </row>
    <row r="2823" spans="1:37" x14ac:dyDescent="0.2">
      <c r="A2823" t="str">
        <f>"20200111155859535"</f>
        <v>20200111155859535</v>
      </c>
      <c r="B2823" t="str">
        <f>"1578729539524564"</f>
        <v>1578729539524564</v>
      </c>
      <c r="C2823" t="s">
        <v>37</v>
      </c>
      <c r="D2823">
        <v>5.1678649999999999</v>
      </c>
      <c r="E2823">
        <v>0.41546759999999899</v>
      </c>
      <c r="F2823" t="s">
        <v>52</v>
      </c>
      <c r="G2823">
        <v>-424.95179999999999</v>
      </c>
      <c r="H2823" s="1">
        <v>2.672853E-6</v>
      </c>
      <c r="I2823">
        <v>219.34479999999999</v>
      </c>
      <c r="J2823">
        <v>-442.24509999999998</v>
      </c>
      <c r="K2823">
        <v>1.103745</v>
      </c>
      <c r="L2823">
        <v>213.68520000000001</v>
      </c>
      <c r="M2823">
        <v>0.99982169999999904</v>
      </c>
      <c r="N2823">
        <v>0</v>
      </c>
      <c r="O2823">
        <v>1.868906E-2</v>
      </c>
      <c r="P2823">
        <v>0.99554809999999905</v>
      </c>
      <c r="Q2823">
        <v>-2.4849389999999999E-2</v>
      </c>
      <c r="R2823">
        <v>9.0919200000000006E-2</v>
      </c>
      <c r="S2823">
        <v>2.9241029999999899</v>
      </c>
      <c r="T2823">
        <v>-0.18344559999999999</v>
      </c>
      <c r="U2823">
        <v>0.94155880000000003</v>
      </c>
      <c r="V2823">
        <v>-7.2249300000000002E-2</v>
      </c>
      <c r="W2823">
        <v>-2.2287749999999999E-2</v>
      </c>
      <c r="X2823">
        <v>0.99713750000000001</v>
      </c>
      <c r="Y2823">
        <v>-0.28817900000000002</v>
      </c>
      <c r="Z2823">
        <v>7.6669779999999996E-3</v>
      </c>
      <c r="AA2823">
        <v>0.95754589999999995</v>
      </c>
      <c r="AB2823">
        <v>31</v>
      </c>
      <c r="AC2823">
        <v>17.293299999999899</v>
      </c>
      <c r="AD2823">
        <v>-1.1037423271469999</v>
      </c>
      <c r="AE2823">
        <v>5.6595999999999798</v>
      </c>
      <c r="AF2823">
        <v>-5.3158550584827102</v>
      </c>
      <c r="AG2823">
        <v>-1.1037423271469999</v>
      </c>
      <c r="AH2823">
        <v>17.332278263143401</v>
      </c>
      <c r="AI2823">
        <v>93.483991502304093</v>
      </c>
      <c r="AJ2823">
        <v>107.050913563054</v>
      </c>
      <c r="AK2823">
        <v>18.162720939291098</v>
      </c>
    </row>
    <row r="2824" spans="1:37" x14ac:dyDescent="0.2">
      <c r="A2824" t="str">
        <f>"20200111155859558"</f>
        <v>20200111155859558</v>
      </c>
      <c r="B2824" t="str">
        <f>"1578729539554351"</f>
        <v>1578729539554351</v>
      </c>
      <c r="C2824" t="s">
        <v>37</v>
      </c>
      <c r="D2824">
        <v>5.1886869999999998</v>
      </c>
      <c r="E2824">
        <v>0.41562399999999999</v>
      </c>
      <c r="F2824" t="s">
        <v>52</v>
      </c>
      <c r="G2824">
        <v>-424.10090000000002</v>
      </c>
      <c r="H2824" s="1">
        <v>2.8045710000000001E-6</v>
      </c>
      <c r="I2824">
        <v>219.56469999999999</v>
      </c>
      <c r="J2824">
        <v>-441.92860000000002</v>
      </c>
      <c r="K2824">
        <v>1.1036049999999999</v>
      </c>
      <c r="L2824">
        <v>213.6919</v>
      </c>
      <c r="M2824">
        <v>0.99980720000000001</v>
      </c>
      <c r="N2824">
        <v>0</v>
      </c>
      <c r="O2824">
        <v>1.943172E-2</v>
      </c>
      <c r="P2824">
        <v>0.99542989999999998</v>
      </c>
      <c r="Q2824">
        <v>-2.36680999999999E-2</v>
      </c>
      <c r="R2824">
        <v>9.2516650000000006E-2</v>
      </c>
      <c r="S2824">
        <v>2.922485</v>
      </c>
      <c r="T2824">
        <v>-0.17777879999999999</v>
      </c>
      <c r="U2824">
        <v>0.94700620000000002</v>
      </c>
      <c r="V2824">
        <v>-7.3118600000000006E-2</v>
      </c>
      <c r="W2824">
        <v>-2.0979350000000001E-2</v>
      </c>
      <c r="X2824">
        <v>0.99710259999999995</v>
      </c>
      <c r="Y2824">
        <v>-0.28926679999999999</v>
      </c>
      <c r="Z2824">
        <v>7.4206860000000001E-3</v>
      </c>
      <c r="AA2824">
        <v>0.95721979999999995</v>
      </c>
      <c r="AB2824">
        <v>31</v>
      </c>
      <c r="AC2824">
        <v>17.827699999999901</v>
      </c>
      <c r="AD2824">
        <v>-1.1036021954289901</v>
      </c>
      <c r="AE2824">
        <v>5.8727999999999803</v>
      </c>
      <c r="AF2824">
        <v>-5.5062321530297798</v>
      </c>
      <c r="AG2824">
        <v>-1.1036021954289901</v>
      </c>
      <c r="AH2824">
        <v>17.876654386168099</v>
      </c>
      <c r="AI2824">
        <v>93.376480018508303</v>
      </c>
      <c r="AJ2824">
        <v>107.11948396984</v>
      </c>
      <c r="AK2824">
        <v>18.737964200289198</v>
      </c>
    </row>
    <row r="2825" spans="1:37" x14ac:dyDescent="0.2">
      <c r="A2825" t="str">
        <f>"20200111155859581"</f>
        <v>20200111155859581</v>
      </c>
      <c r="B2825" t="str">
        <f>"1578729539574849"</f>
        <v>1578729539574849</v>
      </c>
      <c r="C2825" t="s">
        <v>37</v>
      </c>
      <c r="D2825">
        <v>5.216475</v>
      </c>
      <c r="E2825">
        <v>0.4157188</v>
      </c>
      <c r="F2825" t="s">
        <v>52</v>
      </c>
      <c r="G2825">
        <v>-423.43470000000002</v>
      </c>
      <c r="H2825" s="1">
        <v>2.8852619999999999E-6</v>
      </c>
      <c r="I2825">
        <v>219.70959999999999</v>
      </c>
      <c r="J2825">
        <v>-441.60169999999999</v>
      </c>
      <c r="K2825">
        <v>1.1034600000000001</v>
      </c>
      <c r="L2825">
        <v>213.69880000000001</v>
      </c>
      <c r="M2825">
        <v>0.99979580000000001</v>
      </c>
      <c r="N2825">
        <v>0</v>
      </c>
      <c r="O2825">
        <v>2.0001410000000001E-2</v>
      </c>
      <c r="P2825">
        <v>0.99535010000000002</v>
      </c>
      <c r="Q2825">
        <v>-2.387908E-2</v>
      </c>
      <c r="R2825">
        <v>9.3319379999999993E-2</v>
      </c>
      <c r="S2825">
        <v>2.9212950000000002</v>
      </c>
      <c r="T2825">
        <v>-0.174324799999999</v>
      </c>
      <c r="U2825">
        <v>0.95054629999999996</v>
      </c>
      <c r="V2825">
        <v>-7.3362399999999994E-2</v>
      </c>
      <c r="W2825">
        <v>-2.1054799999999999E-2</v>
      </c>
      <c r="X2825">
        <v>0.9970831</v>
      </c>
      <c r="Y2825">
        <v>-0.2899021</v>
      </c>
      <c r="Z2825">
        <v>7.2636489999999996E-3</v>
      </c>
      <c r="AA2825">
        <v>0.95702869999999995</v>
      </c>
      <c r="AB2825">
        <v>31</v>
      </c>
      <c r="AC2825">
        <v>18.166999999999899</v>
      </c>
      <c r="AD2825">
        <v>-1.1034571147379999</v>
      </c>
      <c r="AE2825">
        <v>6.0107999999999802</v>
      </c>
      <c r="AF2825">
        <v>-5.6275173281321704</v>
      </c>
      <c r="AG2825">
        <v>-1.1034571147379999</v>
      </c>
      <c r="AH2825">
        <v>18.2229940539662</v>
      </c>
      <c r="AI2825">
        <v>93.311271661955402</v>
      </c>
      <c r="AJ2825">
        <v>107.161425059428</v>
      </c>
      <c r="AK2825">
        <v>19.1040331127587</v>
      </c>
    </row>
    <row r="2826" spans="1:37" x14ac:dyDescent="0.2">
      <c r="A2826" t="str">
        <f>"20200111155859604"</f>
        <v>20200111155859604</v>
      </c>
      <c r="B2826" t="str">
        <f>"1578729539594367"</f>
        <v>1578729539594367</v>
      </c>
      <c r="C2826" t="s">
        <v>37</v>
      </c>
      <c r="D2826">
        <v>5.2902779999999998</v>
      </c>
      <c r="E2826">
        <v>0.41545929999999998</v>
      </c>
      <c r="F2826" t="s">
        <v>52</v>
      </c>
      <c r="G2826">
        <v>-423.1755</v>
      </c>
      <c r="H2826" s="1">
        <v>2.93232799999999E-6</v>
      </c>
      <c r="I2826">
        <v>219.70650000000001</v>
      </c>
      <c r="J2826">
        <v>-441.27969999999999</v>
      </c>
      <c r="K2826">
        <v>1.103329</v>
      </c>
      <c r="L2826">
        <v>213.70570000000001</v>
      </c>
      <c r="M2826">
        <v>0.99978739999999999</v>
      </c>
      <c r="N2826">
        <v>0</v>
      </c>
      <c r="O2826">
        <v>2.039237E-2</v>
      </c>
      <c r="P2826">
        <v>0.99533449999999901</v>
      </c>
      <c r="Q2826">
        <v>-2.50744E-2</v>
      </c>
      <c r="R2826">
        <v>9.3171279999999995E-2</v>
      </c>
      <c r="S2826">
        <v>2.9205019999999999</v>
      </c>
      <c r="T2826">
        <v>-0.17489479999999999</v>
      </c>
      <c r="U2826">
        <v>0.95219419999999899</v>
      </c>
      <c r="V2826">
        <v>-7.2830599999999995E-2</v>
      </c>
      <c r="W2826">
        <v>-2.211424E-2</v>
      </c>
      <c r="X2826">
        <v>0.99709910000000002</v>
      </c>
      <c r="Y2826">
        <v>-0.29008990000000001</v>
      </c>
      <c r="Z2826">
        <v>7.2713379999999996E-3</v>
      </c>
      <c r="AA2826">
        <v>0.95697180000000004</v>
      </c>
      <c r="AB2826">
        <v>31</v>
      </c>
      <c r="AC2826">
        <v>18.104199999999899</v>
      </c>
      <c r="AD2826">
        <v>-1.103326067672</v>
      </c>
      <c r="AE2826">
        <v>6.0007999999999901</v>
      </c>
      <c r="AF2826">
        <v>-5.61158423249677</v>
      </c>
      <c r="AG2826">
        <v>-1.103326067672</v>
      </c>
      <c r="AH2826">
        <v>18.162028812598599</v>
      </c>
      <c r="AI2826">
        <v>93.321819287887607</v>
      </c>
      <c r="AJ2826">
        <v>107.169759039325</v>
      </c>
      <c r="AK2826">
        <v>19.041178970842999</v>
      </c>
    </row>
    <row r="2827" spans="1:37" x14ac:dyDescent="0.2">
      <c r="A2827" t="str">
        <f>"20200111155859626"</f>
        <v>20200111155859626</v>
      </c>
      <c r="B2827" t="str">
        <f>"1578729539614865"</f>
        <v>1578729539614865</v>
      </c>
      <c r="C2827" t="s">
        <v>37</v>
      </c>
      <c r="D2827">
        <v>5.2613560000000001</v>
      </c>
      <c r="E2827">
        <v>0.4152536</v>
      </c>
      <c r="F2827" t="s">
        <v>52</v>
      </c>
      <c r="G2827">
        <v>-422.62610000000001</v>
      </c>
      <c r="H2827" s="1">
        <v>2.997871E-6</v>
      </c>
      <c r="I2827">
        <v>219.79679999999999</v>
      </c>
      <c r="J2827">
        <v>-440.9554</v>
      </c>
      <c r="K2827">
        <v>1.103218</v>
      </c>
      <c r="L2827">
        <v>213.71250000000001</v>
      </c>
      <c r="M2827">
        <v>0.9997819</v>
      </c>
      <c r="N2827">
        <v>0</v>
      </c>
      <c r="O2827">
        <v>2.0642859999999999E-2</v>
      </c>
      <c r="P2827">
        <v>0.99540229999999996</v>
      </c>
      <c r="Q2827">
        <v>-2.4641610000000001E-2</v>
      </c>
      <c r="R2827">
        <v>9.2558619999999994E-2</v>
      </c>
      <c r="S2827">
        <v>2.920471</v>
      </c>
      <c r="T2827">
        <v>-0.172740899999999</v>
      </c>
      <c r="U2827">
        <v>0.95364380000000004</v>
      </c>
      <c r="V2827">
        <v>-7.1973750000000003E-2</v>
      </c>
      <c r="W2827">
        <v>-2.154329E-2</v>
      </c>
      <c r="X2827">
        <v>0.9971738</v>
      </c>
      <c r="Y2827">
        <v>-0.29029319999999997</v>
      </c>
      <c r="Z2827">
        <v>7.1729230000000003E-3</v>
      </c>
      <c r="AA2827">
        <v>0.95691079999999995</v>
      </c>
      <c r="AB2827">
        <v>32</v>
      </c>
      <c r="AC2827">
        <v>18.3292999999999</v>
      </c>
      <c r="AD2827">
        <v>-1.1032150021289999</v>
      </c>
      <c r="AE2827">
        <v>6.0842999999999803</v>
      </c>
      <c r="AF2827">
        <v>-5.6860781019816597</v>
      </c>
      <c r="AG2827">
        <v>-1.1032150021289999</v>
      </c>
      <c r="AH2827">
        <v>18.390980314859199</v>
      </c>
      <c r="AI2827">
        <v>93.280038458577593</v>
      </c>
      <c r="AJ2827">
        <v>107.18043437936601</v>
      </c>
      <c r="AK2827">
        <v>19.281512504580501</v>
      </c>
    </row>
    <row r="2828" spans="1:37" x14ac:dyDescent="0.2">
      <c r="A2828" t="str">
        <f>"20200111155859647"</f>
        <v>20200111155859647</v>
      </c>
      <c r="B2828" t="str">
        <f>"1578729539634383"</f>
        <v>1578729539634383</v>
      </c>
      <c r="C2828" t="s">
        <v>37</v>
      </c>
      <c r="D2828">
        <v>5.2794480000000004</v>
      </c>
      <c r="E2828">
        <v>0.41502440000000002</v>
      </c>
      <c r="F2828" t="s">
        <v>52</v>
      </c>
      <c r="G2828">
        <v>-421.68310000000002</v>
      </c>
      <c r="H2828" s="1">
        <v>3.0920970000000001E-6</v>
      </c>
      <c r="I2828">
        <v>220.0034</v>
      </c>
      <c r="J2828">
        <v>-440.66680000000002</v>
      </c>
      <c r="K2828">
        <v>1.103154</v>
      </c>
      <c r="L2828">
        <v>213.71860000000001</v>
      </c>
      <c r="M2828">
        <v>0.99977870000000002</v>
      </c>
      <c r="N2828">
        <v>0</v>
      </c>
      <c r="O2828">
        <v>2.0780440000000001E-2</v>
      </c>
      <c r="P2828">
        <v>0.99553510000000001</v>
      </c>
      <c r="Q2828">
        <v>-2.3578700000000001E-2</v>
      </c>
      <c r="R2828">
        <v>9.1399960000000002E-2</v>
      </c>
      <c r="S2828">
        <v>2.9210509999999998</v>
      </c>
      <c r="T2828">
        <v>-0.16721059999999999</v>
      </c>
      <c r="U2828">
        <v>0.95349119999999998</v>
      </c>
      <c r="V2828">
        <v>-7.0680209999999993E-2</v>
      </c>
      <c r="W2828">
        <v>-2.0352720000000001E-2</v>
      </c>
      <c r="X2828">
        <v>0.99729140000000005</v>
      </c>
      <c r="Y2828">
        <v>-0.29008779999999901</v>
      </c>
      <c r="Z2828">
        <v>6.9289950000000003E-3</v>
      </c>
      <c r="AA2828">
        <v>0.95697500000000002</v>
      </c>
      <c r="AB2828">
        <v>32</v>
      </c>
      <c r="AC2828">
        <v>18.983699999999999</v>
      </c>
      <c r="AD2828">
        <v>-1.103150907903</v>
      </c>
      <c r="AE2828">
        <v>6.28479999999999</v>
      </c>
      <c r="AF2828">
        <v>-5.8710838133731897</v>
      </c>
      <c r="AG2828">
        <v>-1.103150907903</v>
      </c>
      <c r="AH2828">
        <v>19.052221216316301</v>
      </c>
      <c r="AI2828">
        <v>93.167159672444299</v>
      </c>
      <c r="AJ2828">
        <v>107.12707129469</v>
      </c>
      <c r="AK2828">
        <v>19.966814977474801</v>
      </c>
    </row>
    <row r="2829" spans="1:37" x14ac:dyDescent="0.2">
      <c r="A2829" t="str">
        <f>"20200111155859669"</f>
        <v>20200111155859669</v>
      </c>
      <c r="B2829" t="str">
        <f>"1578729539664640"</f>
        <v>1578729539664640</v>
      </c>
      <c r="C2829" t="s">
        <v>37</v>
      </c>
      <c r="D2829">
        <v>5.3698800000000002</v>
      </c>
      <c r="E2829">
        <v>0.41519040000000002</v>
      </c>
      <c r="F2829" t="s">
        <v>52</v>
      </c>
      <c r="G2829">
        <v>-420.55410000000001</v>
      </c>
      <c r="H2829" s="1">
        <v>3.1980429999999998E-6</v>
      </c>
      <c r="I2829">
        <v>220.27019999999999</v>
      </c>
      <c r="J2829">
        <v>-440.33949999999999</v>
      </c>
      <c r="K2829">
        <v>1.103111</v>
      </c>
      <c r="L2829">
        <v>213.72550000000001</v>
      </c>
      <c r="M2829">
        <v>0.99977640000000001</v>
      </c>
      <c r="N2829">
        <v>0</v>
      </c>
      <c r="O2829">
        <v>2.0871379999999998E-2</v>
      </c>
      <c r="P2829">
        <v>0.99574819999999997</v>
      </c>
      <c r="Q2829">
        <v>-2.2377879999999999E-2</v>
      </c>
      <c r="R2829">
        <v>8.9359679999999997E-2</v>
      </c>
      <c r="S2829">
        <v>2.922272</v>
      </c>
      <c r="T2829">
        <v>-0.16028210000000001</v>
      </c>
      <c r="U2829">
        <v>0.95191959999999998</v>
      </c>
      <c r="V2829">
        <v>-6.8549070000000004E-2</v>
      </c>
      <c r="W2829">
        <v>-1.9002939999999999E-2</v>
      </c>
      <c r="X2829">
        <v>0.99746669999999904</v>
      </c>
      <c r="Y2829">
        <v>-0.28945090000000001</v>
      </c>
      <c r="Z2829">
        <v>6.6183350000000004E-3</v>
      </c>
      <c r="AA2829">
        <v>0.95716999999999997</v>
      </c>
      <c r="AB2829">
        <v>32</v>
      </c>
      <c r="AC2829">
        <v>19.7853999999999</v>
      </c>
      <c r="AD2829">
        <v>-1.103107801957</v>
      </c>
      <c r="AE2829">
        <v>6.5446999999999704</v>
      </c>
      <c r="AF2829">
        <v>-6.1131948678263299</v>
      </c>
      <c r="AG2829">
        <v>-1.103107801957</v>
      </c>
      <c r="AH2829">
        <v>19.862036563337998</v>
      </c>
      <c r="AI2829">
        <v>93.038476261648597</v>
      </c>
      <c r="AJ2829">
        <v>107.107469581632</v>
      </c>
      <c r="AK2829">
        <v>20.810778331387102</v>
      </c>
    </row>
    <row r="2830" spans="1:37" x14ac:dyDescent="0.2">
      <c r="A2830" t="str">
        <f>"20200111155859692"</f>
        <v>20200111155859692</v>
      </c>
      <c r="B2830" t="str">
        <f>"1578729539684160"</f>
        <v>1578729539684160</v>
      </c>
      <c r="C2830" t="s">
        <v>37</v>
      </c>
      <c r="D2830">
        <v>5.3431860000000002</v>
      </c>
      <c r="E2830">
        <v>0.41520580000000001</v>
      </c>
      <c r="F2830" t="s">
        <v>52</v>
      </c>
      <c r="G2830">
        <v>-420.30489999999998</v>
      </c>
      <c r="H2830" s="1">
        <v>3.2682759999999999E-6</v>
      </c>
      <c r="I2830">
        <v>220.19659999999999</v>
      </c>
      <c r="J2830">
        <v>-440.00119999999998</v>
      </c>
      <c r="K2830">
        <v>1.1030879999999901</v>
      </c>
      <c r="L2830">
        <v>213.73259999999999</v>
      </c>
      <c r="M2830">
        <v>0.99977479999999996</v>
      </c>
      <c r="N2830">
        <v>0</v>
      </c>
      <c r="O2830">
        <v>2.092169E-2</v>
      </c>
      <c r="P2830">
        <v>0.99597590000000003</v>
      </c>
      <c r="Q2830">
        <v>-2.156375E-2</v>
      </c>
      <c r="R2830">
        <v>8.6990360000000003E-2</v>
      </c>
      <c r="S2830">
        <v>2.92446899999999</v>
      </c>
      <c r="T2830">
        <v>-0.1610212</v>
      </c>
      <c r="U2830">
        <v>0.94459530000000003</v>
      </c>
      <c r="V2830">
        <v>-6.6128160000000005E-2</v>
      </c>
      <c r="W2830">
        <v>-1.80264999999999E-2</v>
      </c>
      <c r="X2830">
        <v>0.99764830000000004</v>
      </c>
      <c r="Y2830">
        <v>-0.28702109999999997</v>
      </c>
      <c r="Z2830">
        <v>6.5786709999999899E-3</v>
      </c>
      <c r="AA2830">
        <v>0.95790169999999997</v>
      </c>
      <c r="AB2830">
        <v>32</v>
      </c>
      <c r="AC2830">
        <v>19.696300000000001</v>
      </c>
      <c r="AD2830">
        <v>-1.10308473172399</v>
      </c>
      <c r="AE2830">
        <v>6.4639999999999898</v>
      </c>
      <c r="AF2830">
        <v>-6.03341870017075</v>
      </c>
      <c r="AG2830">
        <v>-1.10308473172399</v>
      </c>
      <c r="AH2830">
        <v>19.7712441188024</v>
      </c>
      <c r="AI2830">
        <v>93.054577729827997</v>
      </c>
      <c r="AJ2830">
        <v>106.970161141847</v>
      </c>
      <c r="AK2830">
        <v>20.700749530927901</v>
      </c>
    </row>
    <row r="2831" spans="1:37" x14ac:dyDescent="0.2">
      <c r="A2831" t="str">
        <f>"20200111155859715"</f>
        <v>20200111155859715</v>
      </c>
      <c r="B2831" t="str">
        <f>"1578729539704655"</f>
        <v>1578729539704655</v>
      </c>
      <c r="C2831" t="s">
        <v>37</v>
      </c>
      <c r="D2831">
        <v>5.7721650000000002</v>
      </c>
      <c r="E2831">
        <v>0.41619869999999998</v>
      </c>
      <c r="F2831" t="s">
        <v>52</v>
      </c>
      <c r="G2831">
        <v>-419.32639999999998</v>
      </c>
      <c r="H2831" s="1">
        <v>3.2174669999999998E-6</v>
      </c>
      <c r="I2831">
        <v>220.3561</v>
      </c>
      <c r="J2831">
        <v>-439.68239999999997</v>
      </c>
      <c r="K2831">
        <v>1.103089</v>
      </c>
      <c r="L2831">
        <v>213.73929999999999</v>
      </c>
      <c r="M2831">
        <v>0.99977359999999904</v>
      </c>
      <c r="N2831">
        <v>0</v>
      </c>
      <c r="O2831">
        <v>2.094731E-2</v>
      </c>
      <c r="P2831">
        <v>0.99616559999999899</v>
      </c>
      <c r="Q2831">
        <v>-2.1409609999999999E-2</v>
      </c>
      <c r="R2831">
        <v>8.4828120000000007E-2</v>
      </c>
      <c r="S2831">
        <v>2.9268489999999998</v>
      </c>
      <c r="T2831">
        <v>-0.15615989999999999</v>
      </c>
      <c r="U2831">
        <v>0.93766779999999905</v>
      </c>
      <c r="V2831">
        <v>-6.3937709999999995E-2</v>
      </c>
      <c r="W2831">
        <v>-1.7686250000000001E-2</v>
      </c>
      <c r="X2831">
        <v>0.99779709999999999</v>
      </c>
      <c r="Y2831">
        <v>-0.28473789999999999</v>
      </c>
      <c r="Z2831">
        <v>6.3169230000000003E-3</v>
      </c>
      <c r="AA2831">
        <v>0.95858460000000001</v>
      </c>
      <c r="AB2831">
        <v>32</v>
      </c>
      <c r="AC2831">
        <v>20.355999999999899</v>
      </c>
      <c r="AD2831">
        <v>-1.103085782533</v>
      </c>
      <c r="AE2831">
        <v>6.6168000000000102</v>
      </c>
      <c r="AF2831">
        <v>-6.17254802734631</v>
      </c>
      <c r="AG2831">
        <v>-1.103085782533</v>
      </c>
      <c r="AH2831">
        <v>20.4358629246418</v>
      </c>
      <c r="AI2831">
        <v>92.957974923940498</v>
      </c>
      <c r="AJ2831">
        <v>106.806673305746</v>
      </c>
      <c r="AK2831">
        <v>21.376193320333499</v>
      </c>
    </row>
    <row r="2832" spans="1:37" x14ac:dyDescent="0.2">
      <c r="A2832" t="str">
        <f>"20200111155859782"</f>
        <v>20200111155859782</v>
      </c>
      <c r="B2832" t="str">
        <f>"1578729539775436"</f>
        <v>1578729539775436</v>
      </c>
      <c r="C2832" t="s">
        <v>37</v>
      </c>
      <c r="D2832">
        <v>5.9401449999999896</v>
      </c>
      <c r="E2832">
        <v>0.55581080000000005</v>
      </c>
      <c r="F2832" t="s">
        <v>52</v>
      </c>
      <c r="G2832">
        <v>-418.10329999999999</v>
      </c>
      <c r="H2832" s="1">
        <v>3.0435809999999899E-6</v>
      </c>
      <c r="I2832">
        <v>220.53880000000001</v>
      </c>
      <c r="J2832">
        <v>-438.70920000000001</v>
      </c>
      <c r="K2832">
        <v>1.103361</v>
      </c>
      <c r="L2832">
        <v>213.75970000000001</v>
      </c>
      <c r="M2832">
        <v>0.99976559999999903</v>
      </c>
      <c r="N2832">
        <v>0</v>
      </c>
      <c r="O2832">
        <v>2.0987869999999999E-2</v>
      </c>
      <c r="P2832">
        <v>0.99645620000000001</v>
      </c>
      <c r="Q2832">
        <v>-2.149032E-2</v>
      </c>
      <c r="R2832">
        <v>8.1323850000000003E-2</v>
      </c>
      <c r="S2832">
        <v>2.9297179999999998</v>
      </c>
      <c r="T2832">
        <v>-0.1497626</v>
      </c>
      <c r="U2832">
        <v>0.92314149999999995</v>
      </c>
      <c r="V2832">
        <v>-6.039042E-2</v>
      </c>
      <c r="W2832">
        <v>-1.6181629999999999E-2</v>
      </c>
      <c r="X2832">
        <v>0.99804369999999998</v>
      </c>
      <c r="Y2832">
        <v>-0.2801381</v>
      </c>
      <c r="Z2832">
        <v>5.9404899999999997E-3</v>
      </c>
      <c r="AA2832">
        <v>0.9599413</v>
      </c>
      <c r="AB2832">
        <v>33</v>
      </c>
      <c r="AC2832">
        <v>20.605899999999998</v>
      </c>
      <c r="AD2832">
        <v>-1.1033579564189999</v>
      </c>
      <c r="AE2832">
        <v>6.7790999999999997</v>
      </c>
      <c r="AF2832">
        <v>-6.3287533512933001</v>
      </c>
      <c r="AG2832">
        <v>-1.1033579564189999</v>
      </c>
      <c r="AH2832">
        <v>20.690113854256001</v>
      </c>
      <c r="AI2832">
        <v>92.919294849806604</v>
      </c>
      <c r="AJ2832">
        <v>107.007978971128</v>
      </c>
      <c r="AK2832">
        <v>21.664517743618799</v>
      </c>
    </row>
    <row r="2833" spans="1:37" x14ac:dyDescent="0.2">
      <c r="A2833" t="str">
        <f>"20200111155859803"</f>
        <v>20200111155859803</v>
      </c>
      <c r="B2833" t="str">
        <f>"1578729539794955"</f>
        <v>1578729539794955</v>
      </c>
      <c r="C2833" t="s">
        <v>37</v>
      </c>
      <c r="D2833">
        <v>5.6329729999999998</v>
      </c>
      <c r="E2833">
        <v>0.55452480000000004</v>
      </c>
      <c r="F2833" t="s">
        <v>38</v>
      </c>
      <c r="G2833">
        <v>-437.93819999999999</v>
      </c>
      <c r="H2833">
        <v>1.036635</v>
      </c>
      <c r="I2833">
        <v>213.7098</v>
      </c>
      <c r="J2833">
        <v>-438.38979999999998</v>
      </c>
      <c r="K2833">
        <v>1.10351</v>
      </c>
      <c r="L2833">
        <v>213.7664</v>
      </c>
      <c r="M2833">
        <v>0.99976039999999899</v>
      </c>
      <c r="N2833">
        <v>0</v>
      </c>
      <c r="O2833">
        <v>2.099175E-2</v>
      </c>
      <c r="P2833">
        <v>0.99642799999999998</v>
      </c>
      <c r="Q2833">
        <v>-2.1621789999999998E-2</v>
      </c>
      <c r="R2833">
        <v>8.1633020000000001E-2</v>
      </c>
      <c r="S2833">
        <v>3.020905</v>
      </c>
      <c r="T2833">
        <v>-0.26162199999999902</v>
      </c>
      <c r="U2833">
        <v>-0.1943665</v>
      </c>
      <c r="V2833">
        <v>-6.0696199999999999E-2</v>
      </c>
      <c r="W2833">
        <v>-1.543488E-2</v>
      </c>
      <c r="X2833">
        <v>0.9980369</v>
      </c>
      <c r="Y2833">
        <v>8.4748119999999996E-2</v>
      </c>
      <c r="Z2833">
        <v>-5.4720849999999998E-3</v>
      </c>
      <c r="AA2833">
        <v>0.99638740000000003</v>
      </c>
      <c r="AB2833">
        <v>33</v>
      </c>
      <c r="AC2833">
        <v>0.45159999999998401</v>
      </c>
      <c r="AD2833">
        <v>-6.6875000000000004E-2</v>
      </c>
      <c r="AE2833">
        <v>-5.6600000000003002E-2</v>
      </c>
      <c r="AF2833">
        <v>6.4671336206805305E-2</v>
      </c>
      <c r="AG2833">
        <v>-6.6875000000000004E-2</v>
      </c>
      <c r="AH2833">
        <v>0.44079559350664199</v>
      </c>
      <c r="AI2833">
        <v>98.536781441613499</v>
      </c>
      <c r="AJ2833">
        <v>81.653396092755699</v>
      </c>
      <c r="AK2833">
        <v>0.45050571872801598</v>
      </c>
    </row>
    <row r="2834" spans="1:37" x14ac:dyDescent="0.2">
      <c r="A2834" t="str">
        <f>"20200111155859826"</f>
        <v>20200111155859826</v>
      </c>
      <c r="B2834" t="str">
        <f>"1578729539814475"</f>
        <v>1578729539814475</v>
      </c>
      <c r="C2834" t="s">
        <v>37</v>
      </c>
      <c r="D2834">
        <v>5.6690879999999897</v>
      </c>
      <c r="E2834">
        <v>0.55400260000000001</v>
      </c>
      <c r="F2834" t="s">
        <v>38</v>
      </c>
      <c r="G2834">
        <v>-437.64249999999998</v>
      </c>
      <c r="H2834">
        <v>1.048862</v>
      </c>
      <c r="I2834">
        <v>213.7209</v>
      </c>
      <c r="J2834">
        <v>-438.06979999999999</v>
      </c>
      <c r="K2834">
        <v>1.1035979999999901</v>
      </c>
      <c r="L2834">
        <v>213.7732</v>
      </c>
      <c r="M2834">
        <v>0.99975579999999997</v>
      </c>
      <c r="N2834">
        <v>0</v>
      </c>
      <c r="O2834">
        <v>2.0989799999999999E-2</v>
      </c>
      <c r="P2834">
        <v>0.99638150000000003</v>
      </c>
      <c r="Q2834">
        <v>-2.2169910000000001E-2</v>
      </c>
      <c r="R2834">
        <v>8.2054360000000007E-2</v>
      </c>
      <c r="S2834">
        <v>3.0210569999999999</v>
      </c>
      <c r="T2834">
        <v>-0.2209227</v>
      </c>
      <c r="U2834">
        <v>-0.18411250000000001</v>
      </c>
      <c r="V2834">
        <v>-6.1121340000000003E-2</v>
      </c>
      <c r="W2834">
        <v>-1.5257430000000001E-2</v>
      </c>
      <c r="X2834">
        <v>0.998013699999999</v>
      </c>
      <c r="Y2834">
        <v>8.1495520000000002E-2</v>
      </c>
      <c r="Z2834">
        <v>-4.5047350000000002E-3</v>
      </c>
      <c r="AA2834">
        <v>0.99666350000000004</v>
      </c>
      <c r="AB2834">
        <v>32</v>
      </c>
      <c r="AC2834">
        <v>0.42730000000000201</v>
      </c>
      <c r="AD2834">
        <v>-5.4735999999999597E-2</v>
      </c>
      <c r="AE2834">
        <v>-5.23000000000024E-2</v>
      </c>
      <c r="AF2834">
        <v>6.0283052537952901E-2</v>
      </c>
      <c r="AG2834">
        <v>-5.4735999999999597E-2</v>
      </c>
      <c r="AH2834">
        <v>0.41932888305935001</v>
      </c>
      <c r="AI2834">
        <v>97.362062255215207</v>
      </c>
      <c r="AJ2834">
        <v>81.819164274129605</v>
      </c>
      <c r="AK2834">
        <v>0.427161314127456</v>
      </c>
    </row>
    <row r="2835" spans="1:37" x14ac:dyDescent="0.2">
      <c r="A2835" t="str">
        <f>"20200111155859847"</f>
        <v>20200111155859847</v>
      </c>
      <c r="B2835" t="str">
        <f>"1578729539844732"</f>
        <v>1578729539844732</v>
      </c>
      <c r="C2835" t="s">
        <v>37</v>
      </c>
      <c r="D2835">
        <v>5.8273589999999897</v>
      </c>
      <c r="E2835">
        <v>0.55217249999999996</v>
      </c>
      <c r="F2835" t="s">
        <v>38</v>
      </c>
      <c r="G2835">
        <v>-437.0711</v>
      </c>
      <c r="H2835">
        <v>1.0307519999999999</v>
      </c>
      <c r="I2835">
        <v>213.714</v>
      </c>
      <c r="J2835">
        <v>-437.75220000000002</v>
      </c>
      <c r="K2835">
        <v>1.1036509999999999</v>
      </c>
      <c r="L2835">
        <v>213.7799</v>
      </c>
      <c r="M2835">
        <v>0.99975139999999996</v>
      </c>
      <c r="N2835">
        <v>0</v>
      </c>
      <c r="O2835">
        <v>2.098481E-2</v>
      </c>
      <c r="P2835">
        <v>0.99634979999999995</v>
      </c>
      <c r="Q2835">
        <v>-2.2214169999999998E-2</v>
      </c>
      <c r="R2835">
        <v>8.2425040000000005E-2</v>
      </c>
      <c r="S2835">
        <v>3.020721</v>
      </c>
      <c r="T2835">
        <v>-0.220472899999999</v>
      </c>
      <c r="U2835">
        <v>-0.17846679999999901</v>
      </c>
      <c r="V2835">
        <v>-6.1497330000000003E-2</v>
      </c>
      <c r="W2835">
        <v>-1.4700070000000001E-2</v>
      </c>
      <c r="X2835">
        <v>0.99799899999999997</v>
      </c>
      <c r="Y2835">
        <v>7.9647060000000006E-2</v>
      </c>
      <c r="Z2835">
        <v>-4.4286630000000002E-3</v>
      </c>
      <c r="AA2835">
        <v>0.99681330000000001</v>
      </c>
      <c r="AB2835">
        <v>32</v>
      </c>
      <c r="AC2835">
        <v>0.68110000000001403</v>
      </c>
      <c r="AD2835">
        <v>-7.2898999999999797E-2</v>
      </c>
      <c r="AE2835">
        <v>-6.5899999999970704E-2</v>
      </c>
      <c r="AF2835">
        <v>7.9278876272563303E-2</v>
      </c>
      <c r="AG2835">
        <v>-7.2898999999999797E-2</v>
      </c>
      <c r="AH2835">
        <v>0.67194091512674003</v>
      </c>
      <c r="AI2835">
        <v>96.149489529153499</v>
      </c>
      <c r="AJ2835">
        <v>83.271071780033907</v>
      </c>
      <c r="AK2835">
        <v>0.680517448597317</v>
      </c>
    </row>
    <row r="2836" spans="1:37" x14ac:dyDescent="0.2">
      <c r="A2836" t="str">
        <f>"20200111155859871"</f>
        <v>20200111155859871</v>
      </c>
      <c r="B2836" t="str">
        <f>"1578729539864251"</f>
        <v>1578729539864251</v>
      </c>
      <c r="C2836" t="s">
        <v>37</v>
      </c>
      <c r="D2836">
        <v>5.5779680000000003</v>
      </c>
      <c r="E2836">
        <v>0.55145279999999997</v>
      </c>
      <c r="F2836" t="s">
        <v>38</v>
      </c>
      <c r="G2836">
        <v>-436.77910000000003</v>
      </c>
      <c r="H2836">
        <v>1.0357879999999999</v>
      </c>
      <c r="I2836">
        <v>213.7269</v>
      </c>
      <c r="J2836">
        <v>-437.41829999999999</v>
      </c>
      <c r="K2836">
        <v>1.103691</v>
      </c>
      <c r="L2836">
        <v>213.7869</v>
      </c>
      <c r="M2836">
        <v>0.99974699999999905</v>
      </c>
      <c r="N2836">
        <v>0</v>
      </c>
      <c r="O2836">
        <v>2.0983080000000001E-2</v>
      </c>
      <c r="P2836">
        <v>0.99634129999999999</v>
      </c>
      <c r="Q2836">
        <v>-2.20588E-2</v>
      </c>
      <c r="R2836">
        <v>8.2567520000000005E-2</v>
      </c>
      <c r="S2836">
        <v>3.0197449999999999</v>
      </c>
      <c r="T2836">
        <v>-0.21080109999999999</v>
      </c>
      <c r="U2836">
        <v>-0.162933299999999</v>
      </c>
      <c r="V2836">
        <v>-6.1642170000000003E-2</v>
      </c>
      <c r="W2836">
        <v>-1.3969280000000001E-2</v>
      </c>
      <c r="X2836">
        <v>0.99800059999999902</v>
      </c>
      <c r="Y2836">
        <v>7.458708E-2</v>
      </c>
      <c r="Z2836">
        <v>-4.0604389999999999E-3</v>
      </c>
      <c r="AA2836">
        <v>0.99720620000000004</v>
      </c>
      <c r="AB2836">
        <v>32</v>
      </c>
      <c r="AC2836">
        <v>0.63919999999995902</v>
      </c>
      <c r="AD2836">
        <v>-6.7903000000000005E-2</v>
      </c>
      <c r="AE2836">
        <v>-6.0000000000002197E-2</v>
      </c>
      <c r="AF2836">
        <v>7.2587612058150994E-2</v>
      </c>
      <c r="AG2836">
        <v>-6.7903000000000005E-2</v>
      </c>
      <c r="AH2836">
        <v>0.63074440504133</v>
      </c>
      <c r="AI2836">
        <v>96.104547496441597</v>
      </c>
      <c r="AJ2836">
        <v>83.435141211997006</v>
      </c>
      <c r="AK2836">
        <v>0.63852821654508496</v>
      </c>
    </row>
    <row r="2837" spans="1:37" x14ac:dyDescent="0.2">
      <c r="A2837" t="str">
        <f>"20200111155859892"</f>
        <v>20200111155859892</v>
      </c>
      <c r="B2837" t="str">
        <f>"1578729539884748"</f>
        <v>1578729539884748</v>
      </c>
      <c r="C2837" t="s">
        <v>37</v>
      </c>
      <c r="D2837">
        <v>5.6296869999999997</v>
      </c>
      <c r="E2837">
        <v>0.55087940000000002</v>
      </c>
      <c r="F2837" t="s">
        <v>38</v>
      </c>
      <c r="G2837">
        <v>-436.48820000000001</v>
      </c>
      <c r="H2837">
        <v>1.0384979999999999</v>
      </c>
      <c r="I2837">
        <v>213.73840000000001</v>
      </c>
      <c r="J2837">
        <v>-437.10320000000002</v>
      </c>
      <c r="K2837">
        <v>1.1037170000000001</v>
      </c>
      <c r="L2837">
        <v>213.79349999999999</v>
      </c>
      <c r="M2837">
        <v>0.99974289999999999</v>
      </c>
      <c r="N2837">
        <v>0</v>
      </c>
      <c r="O2837">
        <v>2.098322E-2</v>
      </c>
      <c r="P2837">
        <v>0.99635059999999998</v>
      </c>
      <c r="Q2837">
        <v>-2.171762E-2</v>
      </c>
      <c r="R2837">
        <v>8.2547590000000004E-2</v>
      </c>
      <c r="S2837">
        <v>3.0193180000000002</v>
      </c>
      <c r="T2837">
        <v>-0.21176679999999901</v>
      </c>
      <c r="U2837">
        <v>-0.15676879999999899</v>
      </c>
      <c r="V2837">
        <v>-6.1622400000000001E-2</v>
      </c>
      <c r="W2837">
        <v>-1.31342E-2</v>
      </c>
      <c r="X2837">
        <v>0.99801309999999999</v>
      </c>
      <c r="Y2837">
        <v>7.2567190000000004E-2</v>
      </c>
      <c r="Z2837">
        <v>-4.0090969999999997E-3</v>
      </c>
      <c r="AA2837">
        <v>0.99735549999999995</v>
      </c>
      <c r="AB2837">
        <v>32</v>
      </c>
      <c r="AC2837">
        <v>0.61500000000000898</v>
      </c>
      <c r="AD2837">
        <v>-6.5219000000000096E-2</v>
      </c>
      <c r="AE2837">
        <v>-5.5099999999981698E-2</v>
      </c>
      <c r="AF2837">
        <v>6.7242833328667304E-2</v>
      </c>
      <c r="AG2837">
        <v>-6.5219000000000096E-2</v>
      </c>
      <c r="AH2837">
        <v>0.60693710492998199</v>
      </c>
      <c r="AI2837">
        <v>96.096221421993704</v>
      </c>
      <c r="AJ2837">
        <v>83.677957519037406</v>
      </c>
      <c r="AK2837">
        <v>0.61412357546006502</v>
      </c>
    </row>
    <row r="2838" spans="1:37" x14ac:dyDescent="0.2">
      <c r="A2838" t="str">
        <f>"20200111155859916"</f>
        <v>20200111155859916</v>
      </c>
      <c r="B2838" t="str">
        <f>"1578729539904268"</f>
        <v>1578729539904268</v>
      </c>
      <c r="C2838" t="s">
        <v>37</v>
      </c>
      <c r="D2838">
        <v>5.6624850000000002</v>
      </c>
      <c r="E2838">
        <v>0.55087569999999997</v>
      </c>
      <c r="F2838" t="s">
        <v>38</v>
      </c>
      <c r="G2838">
        <v>-436.19729999999998</v>
      </c>
      <c r="H2838">
        <v>1.041334</v>
      </c>
      <c r="I2838">
        <v>213.7473</v>
      </c>
      <c r="J2838">
        <v>-436.77620000000002</v>
      </c>
      <c r="K2838">
        <v>1.1037349999999999</v>
      </c>
      <c r="L2838">
        <v>213.8004</v>
      </c>
      <c r="M2838">
        <v>0.99973889999999999</v>
      </c>
      <c r="N2838">
        <v>0</v>
      </c>
      <c r="O2838">
        <v>2.098361E-2</v>
      </c>
      <c r="P2838">
        <v>0.99634990000000001</v>
      </c>
      <c r="Q2838">
        <v>-2.2075009999999999E-2</v>
      </c>
      <c r="R2838">
        <v>8.2462740000000007E-2</v>
      </c>
      <c r="S2838">
        <v>3.019104</v>
      </c>
      <c r="T2838">
        <v>-0.20806749999999999</v>
      </c>
      <c r="U2838">
        <v>-0.15238950000000001</v>
      </c>
      <c r="V2838">
        <v>-6.1537300000000003E-2</v>
      </c>
      <c r="W2838">
        <v>-1.303723E-2</v>
      </c>
      <c r="X2838">
        <v>0.99801960000000001</v>
      </c>
      <c r="Y2838">
        <v>7.1139599999999997E-2</v>
      </c>
      <c r="Z2838">
        <v>-3.8905770000000001E-3</v>
      </c>
      <c r="AA2838">
        <v>0.99745879999999998</v>
      </c>
      <c r="AB2838">
        <v>32</v>
      </c>
      <c r="AC2838">
        <v>0.57890000000003194</v>
      </c>
      <c r="AD2838">
        <v>-6.2401000000000102E-2</v>
      </c>
      <c r="AE2838">
        <v>-5.3100000000000501E-2</v>
      </c>
      <c r="AF2838">
        <v>6.4493110523608094E-2</v>
      </c>
      <c r="AG2838">
        <v>-6.2401000000000102E-2</v>
      </c>
      <c r="AH2838">
        <v>0.57107814664164802</v>
      </c>
      <c r="AI2838">
        <v>96.196817484066798</v>
      </c>
      <c r="AJ2838">
        <v>83.556760796082699</v>
      </c>
      <c r="AK2838">
        <v>0.57808606251809103</v>
      </c>
    </row>
    <row r="2839" spans="1:37" x14ac:dyDescent="0.2">
      <c r="A2839" t="str">
        <f>"20200111155859936"</f>
        <v>20200111155859936</v>
      </c>
      <c r="B2839" t="str">
        <f>"1578729539924763"</f>
        <v>1578729539924763</v>
      </c>
      <c r="C2839" t="s">
        <v>37</v>
      </c>
      <c r="D2839">
        <v>5.5065770000000001</v>
      </c>
      <c r="E2839">
        <v>0.55027780000000004</v>
      </c>
      <c r="F2839" t="s">
        <v>38</v>
      </c>
      <c r="G2839">
        <v>-435.90679999999998</v>
      </c>
      <c r="H2839">
        <v>1.0436259999999999</v>
      </c>
      <c r="I2839">
        <v>213.75630000000001</v>
      </c>
      <c r="J2839">
        <v>-436.4683</v>
      </c>
      <c r="K2839">
        <v>1.1037410000000001</v>
      </c>
      <c r="L2839">
        <v>213.80690000000001</v>
      </c>
      <c r="M2839">
        <v>0.99973539999999905</v>
      </c>
      <c r="N2839">
        <v>0</v>
      </c>
      <c r="O2839">
        <v>2.0979979999999999E-2</v>
      </c>
      <c r="P2839">
        <v>0.99631349999999996</v>
      </c>
      <c r="Q2839">
        <v>-2.2104909999999998E-2</v>
      </c>
      <c r="R2839">
        <v>8.2891039999999999E-2</v>
      </c>
      <c r="S2839">
        <v>3.019012</v>
      </c>
      <c r="T2839">
        <v>-0.2088248</v>
      </c>
      <c r="U2839">
        <v>-0.1526642</v>
      </c>
      <c r="V2839">
        <v>-6.1969679999999999E-2</v>
      </c>
      <c r="W2839">
        <v>-1.269137E-2</v>
      </c>
      <c r="X2839">
        <v>0.99799729999999998</v>
      </c>
      <c r="Y2839">
        <v>7.1226280000000003E-2</v>
      </c>
      <c r="Z2839">
        <v>-3.9075580000000002E-3</v>
      </c>
      <c r="AA2839">
        <v>0.99745260000000002</v>
      </c>
      <c r="AB2839">
        <v>32</v>
      </c>
      <c r="AC2839">
        <v>0.56150000000002298</v>
      </c>
      <c r="AD2839">
        <v>-6.0115000000000099E-2</v>
      </c>
      <c r="AE2839">
        <v>-5.0600000000002802E-2</v>
      </c>
      <c r="AF2839">
        <v>6.1668485031733999E-2</v>
      </c>
      <c r="AG2839">
        <v>-6.0115000000000099E-2</v>
      </c>
      <c r="AH2839">
        <v>0.55401570758383301</v>
      </c>
      <c r="AI2839">
        <v>96.155087738280102</v>
      </c>
      <c r="AJ2839">
        <v>83.648450167322906</v>
      </c>
      <c r="AK2839">
        <v>0.56066943872546204</v>
      </c>
    </row>
    <row r="2840" spans="1:37" x14ac:dyDescent="0.2">
      <c r="A2840" t="str">
        <f>"20200111155859982"</f>
        <v>20200111155859982</v>
      </c>
      <c r="B2840" t="str">
        <f>"1578729539974540"</f>
        <v>1578729539974540</v>
      </c>
      <c r="C2840" t="s">
        <v>37</v>
      </c>
      <c r="D2840">
        <v>5.4979490000000002</v>
      </c>
      <c r="E2840">
        <v>0.55017469999999902</v>
      </c>
      <c r="F2840" t="s">
        <v>38</v>
      </c>
      <c r="G2840">
        <v>-435.61630000000002</v>
      </c>
      <c r="H2840">
        <v>1.0458889999999901</v>
      </c>
      <c r="I2840">
        <v>213.76509999999999</v>
      </c>
      <c r="J2840">
        <v>-435.80590000000001</v>
      </c>
      <c r="K2840">
        <v>1.1037250000000001</v>
      </c>
      <c r="L2840">
        <v>213.82079999999999</v>
      </c>
      <c r="M2840">
        <v>0.99973080000000003</v>
      </c>
      <c r="N2840">
        <v>0</v>
      </c>
      <c r="O2840">
        <v>2.0898759999999999E-2</v>
      </c>
      <c r="P2840">
        <v>0.99615039999999999</v>
      </c>
      <c r="Q2840">
        <v>-2.2451059999999998E-2</v>
      </c>
      <c r="R2840">
        <v>8.4738980000000005E-2</v>
      </c>
      <c r="S2840">
        <v>3.0187379999999999</v>
      </c>
      <c r="T2840">
        <v>-0.20504800000000001</v>
      </c>
      <c r="U2840">
        <v>-0.14678959999999999</v>
      </c>
      <c r="V2840">
        <v>-6.390237E-2</v>
      </c>
      <c r="W2840">
        <v>-1.2369E-2</v>
      </c>
      <c r="X2840">
        <v>0.99787950000000003</v>
      </c>
      <c r="Y2840">
        <v>6.9226090000000004E-2</v>
      </c>
      <c r="Z2840">
        <v>-3.7642639999999998E-3</v>
      </c>
      <c r="AA2840">
        <v>0.99759390000000003</v>
      </c>
      <c r="AB2840">
        <v>32</v>
      </c>
      <c r="AC2840">
        <v>0.189599999999984</v>
      </c>
      <c r="AD2840">
        <v>-5.78360000000002E-2</v>
      </c>
      <c r="AE2840">
        <v>-5.5700000000001602E-2</v>
      </c>
      <c r="AF2840">
        <v>5.4944040019643398E-2</v>
      </c>
      <c r="AG2840">
        <v>-5.78360000000002E-2</v>
      </c>
      <c r="AH2840">
        <v>0.17353020586771001</v>
      </c>
      <c r="AI2840">
        <v>107.627335402621</v>
      </c>
      <c r="AJ2840">
        <v>72.430899414843594</v>
      </c>
      <c r="AK2840">
        <v>0.190988436242014</v>
      </c>
    </row>
    <row r="2841" spans="1:37" x14ac:dyDescent="0.2">
      <c r="A2841" t="str">
        <f>"20200111155900005"</f>
        <v>20200111155900005</v>
      </c>
      <c r="B2841" t="str">
        <f>"1578729539995037"</f>
        <v>1578729539995037</v>
      </c>
      <c r="C2841" t="s">
        <v>37</v>
      </c>
      <c r="D2841">
        <v>5.4339750000000002</v>
      </c>
      <c r="E2841">
        <v>0.55039469999999902</v>
      </c>
      <c r="F2841" t="s">
        <v>38</v>
      </c>
      <c r="G2841">
        <v>-435.03339999999997</v>
      </c>
      <c r="H2841">
        <v>1.0505</v>
      </c>
      <c r="I2841">
        <v>213.78450000000001</v>
      </c>
      <c r="J2841">
        <v>-435.47030000000001</v>
      </c>
      <c r="K2841">
        <v>1.1036900000000001</v>
      </c>
      <c r="L2841">
        <v>213.82769999999999</v>
      </c>
      <c r="M2841">
        <v>0.99973029999999996</v>
      </c>
      <c r="N2841">
        <v>0</v>
      </c>
      <c r="O2841">
        <v>2.0789660000000001E-2</v>
      </c>
      <c r="P2841">
        <v>0.9960483</v>
      </c>
      <c r="Q2841">
        <v>-2.288333E-2</v>
      </c>
      <c r="R2841">
        <v>8.5816550000000005E-2</v>
      </c>
      <c r="S2841">
        <v>3.0188599999999899</v>
      </c>
      <c r="T2841">
        <v>-0.2081181</v>
      </c>
      <c r="U2841">
        <v>-0.1406097</v>
      </c>
      <c r="V2841">
        <v>-6.5092259999999999E-2</v>
      </c>
      <c r="W2841">
        <v>-1.2522810000000001E-2</v>
      </c>
      <c r="X2841">
        <v>0.99780059999999904</v>
      </c>
      <c r="Y2841">
        <v>6.7076720000000006E-2</v>
      </c>
      <c r="Z2841">
        <v>-3.7390489999999999E-3</v>
      </c>
      <c r="AA2841">
        <v>0.99774079999999998</v>
      </c>
      <c r="AB2841">
        <v>32</v>
      </c>
      <c r="AC2841">
        <v>0.43690000000003598</v>
      </c>
      <c r="AD2841">
        <v>-5.3190000000000001E-2</v>
      </c>
      <c r="AE2841">
        <v>-4.3199999999984501E-2</v>
      </c>
      <c r="AF2841">
        <v>5.1517964351527397E-2</v>
      </c>
      <c r="AG2841">
        <v>-5.3190000000000001E-2</v>
      </c>
      <c r="AH2841">
        <v>0.42960165725532801</v>
      </c>
      <c r="AI2841">
        <v>97.008299136665997</v>
      </c>
      <c r="AJ2841">
        <v>83.161727657386606</v>
      </c>
      <c r="AK2841">
        <v>0.435936762234444</v>
      </c>
    </row>
    <row r="2842" spans="1:37" x14ac:dyDescent="0.2">
      <c r="A2842" t="str">
        <f>"20200111155900028"</f>
        <v>20200111155900028</v>
      </c>
      <c r="B2842" t="str">
        <f>"1578729540024317"</f>
        <v>1578729540024317</v>
      </c>
      <c r="C2842" t="s">
        <v>37</v>
      </c>
      <c r="D2842">
        <v>5.4768339999999904</v>
      </c>
      <c r="E2842">
        <v>0.55063530000000005</v>
      </c>
      <c r="F2842" t="s">
        <v>38</v>
      </c>
      <c r="G2842">
        <v>-434.46539999999999</v>
      </c>
      <c r="H2842">
        <v>1.033282</v>
      </c>
      <c r="I2842">
        <v>213.78120000000001</v>
      </c>
      <c r="J2842">
        <v>-435.15660000000003</v>
      </c>
      <c r="K2842">
        <v>1.103648</v>
      </c>
      <c r="L2842">
        <v>213.83410000000001</v>
      </c>
      <c r="M2842">
        <v>0.9997315</v>
      </c>
      <c r="N2842">
        <v>0</v>
      </c>
      <c r="O2842">
        <v>2.0614009999999999E-2</v>
      </c>
      <c r="P2842">
        <v>0.99595719999999999</v>
      </c>
      <c r="Q2842">
        <v>-2.270347E-2</v>
      </c>
      <c r="R2842">
        <v>8.6913740000000003E-2</v>
      </c>
      <c r="S2842">
        <v>3.019012</v>
      </c>
      <c r="T2842">
        <v>-0.2115455</v>
      </c>
      <c r="U2842">
        <v>-0.13908389999999901</v>
      </c>
      <c r="V2842">
        <v>-6.6367640000000006E-2</v>
      </c>
      <c r="W2842">
        <v>-1.211688E-2</v>
      </c>
      <c r="X2842">
        <v>0.99772169999999905</v>
      </c>
      <c r="Y2842">
        <v>6.6391119999999998E-2</v>
      </c>
      <c r="Z2842">
        <v>-3.7640640000000001E-3</v>
      </c>
      <c r="AA2842">
        <v>0.99778659999999997</v>
      </c>
      <c r="AB2842">
        <v>32</v>
      </c>
      <c r="AC2842">
        <v>0.69120000000003701</v>
      </c>
      <c r="AD2842">
        <v>-7.0365999999999901E-2</v>
      </c>
      <c r="AE2842">
        <v>-5.2899999999993903E-2</v>
      </c>
      <c r="AF2842">
        <v>6.6453262976177499E-2</v>
      </c>
      <c r="AG2842">
        <v>-7.0365999999999901E-2</v>
      </c>
      <c r="AH2842">
        <v>0.68292608569933</v>
      </c>
      <c r="AI2842">
        <v>95.855308941087401</v>
      </c>
      <c r="AJ2842">
        <v>84.442235833970699</v>
      </c>
      <c r="AK2842">
        <v>0.68975027991642701</v>
      </c>
    </row>
    <row r="2843" spans="1:37" x14ac:dyDescent="0.2">
      <c r="A2843" t="str">
        <f>"20200111155900283"</f>
        <v>20200111155900283</v>
      </c>
      <c r="B2843" t="str">
        <f>"1578729540274172"</f>
        <v>1578729540274172</v>
      </c>
      <c r="C2843" t="s">
        <v>37</v>
      </c>
      <c r="D2843">
        <v>5.3556029999999897</v>
      </c>
      <c r="E2843">
        <v>0.51289870000000004</v>
      </c>
      <c r="F2843" t="s">
        <v>52</v>
      </c>
      <c r="G2843">
        <v>-425.62360000000001</v>
      </c>
      <c r="H2843" s="1">
        <v>2.93011799999999E-6</v>
      </c>
      <c r="I2843">
        <v>215.03899999999999</v>
      </c>
      <c r="J2843">
        <v>-431.3349</v>
      </c>
      <c r="K2843">
        <v>1.102759</v>
      </c>
      <c r="L2843">
        <v>213.90039999999999</v>
      </c>
      <c r="M2843">
        <v>0.99986269999999999</v>
      </c>
      <c r="N2843">
        <v>0</v>
      </c>
      <c r="O2843">
        <v>1.537848E-2</v>
      </c>
      <c r="P2843">
        <v>0.99613839999999998</v>
      </c>
      <c r="Q2843">
        <v>-1.665318E-2</v>
      </c>
      <c r="R2843">
        <v>8.6204660000000002E-2</v>
      </c>
      <c r="S2843">
        <v>2.9544980000000001</v>
      </c>
      <c r="T2843">
        <v>-0.5374873</v>
      </c>
      <c r="U2843">
        <v>0.55747990000000003</v>
      </c>
      <c r="V2843">
        <v>-7.0890800000000004E-2</v>
      </c>
      <c r="W2843">
        <v>-1.038538E-2</v>
      </c>
      <c r="X2843">
        <v>0.99742999999999904</v>
      </c>
      <c r="Y2843">
        <v>-0.16786689999999899</v>
      </c>
      <c r="Z2843">
        <v>1.226551E-2</v>
      </c>
      <c r="AA2843">
        <v>0.98573330000000003</v>
      </c>
      <c r="AB2843">
        <v>34</v>
      </c>
      <c r="AC2843">
        <v>5.7112999999999898</v>
      </c>
      <c r="AD2843">
        <v>-1.102756069882</v>
      </c>
      <c r="AE2843">
        <v>1.13860000000002</v>
      </c>
      <c r="AF2843">
        <v>-1.0142650204997099</v>
      </c>
      <c r="AG2843">
        <v>-1.102756069882</v>
      </c>
      <c r="AH2843">
        <v>5.5298560254722302</v>
      </c>
      <c r="AI2843">
        <v>101.097481170549</v>
      </c>
      <c r="AJ2843">
        <v>100.39344967880901</v>
      </c>
      <c r="AK2843">
        <v>5.7292331200538902</v>
      </c>
    </row>
    <row r="2844" spans="1:37" x14ac:dyDescent="0.2">
      <c r="A2844" t="str">
        <f>"20200111155900305"</f>
        <v>20200111155900305</v>
      </c>
      <c r="B2844" t="str">
        <f>"1578729540294667"</f>
        <v>1578729540294667</v>
      </c>
      <c r="C2844" t="s">
        <v>37</v>
      </c>
      <c r="D2844">
        <v>5.3917289999999998</v>
      </c>
      <c r="E2844">
        <v>0.5110112</v>
      </c>
      <c r="F2844" t="s">
        <v>52</v>
      </c>
      <c r="G2844">
        <v>-407.9828</v>
      </c>
      <c r="H2844" s="1">
        <v>4.7546780000000002E-6</v>
      </c>
      <c r="I2844">
        <v>215.13679999999999</v>
      </c>
      <c r="J2844">
        <v>-431.00900000000001</v>
      </c>
      <c r="K2844">
        <v>1.1029629999999999</v>
      </c>
      <c r="L2844">
        <v>213.90469999999999</v>
      </c>
      <c r="M2844">
        <v>0.99986790000000003</v>
      </c>
      <c r="N2844">
        <v>0</v>
      </c>
      <c r="O2844">
        <v>1.4706220000000001E-2</v>
      </c>
      <c r="P2844">
        <v>0.99651190000000001</v>
      </c>
      <c r="Q2844">
        <v>-1.801434E-2</v>
      </c>
      <c r="R2844">
        <v>8.1483890000000003E-2</v>
      </c>
      <c r="S2844">
        <v>2.99554399999999</v>
      </c>
      <c r="T2844">
        <v>-0.14145829999999901</v>
      </c>
      <c r="U2844">
        <v>0.15859989999999999</v>
      </c>
      <c r="V2844">
        <v>-6.6836640000000003E-2</v>
      </c>
      <c r="W2844">
        <v>-1.098828E-2</v>
      </c>
      <c r="X2844">
        <v>0.99770340000000002</v>
      </c>
      <c r="Y2844">
        <v>-3.815342E-2</v>
      </c>
      <c r="Z2844">
        <v>2.0619759999999999E-4</v>
      </c>
      <c r="AA2844">
        <v>0.99927189999999999</v>
      </c>
      <c r="AB2844">
        <v>34</v>
      </c>
      <c r="AC2844">
        <v>23.026199999999999</v>
      </c>
      <c r="AD2844">
        <v>-1.1029582453219999</v>
      </c>
      <c r="AE2844">
        <v>1.2321</v>
      </c>
      <c r="AF2844">
        <v>-0.89129111556010698</v>
      </c>
      <c r="AG2844">
        <v>-1.1029582453219999</v>
      </c>
      <c r="AH2844">
        <v>22.989233295737499</v>
      </c>
      <c r="AI2844">
        <v>92.744723975707203</v>
      </c>
      <c r="AJ2844">
        <v>92.220241759193897</v>
      </c>
      <c r="AK2844">
        <v>23.032927826688599</v>
      </c>
    </row>
    <row r="2845" spans="1:37" x14ac:dyDescent="0.2">
      <c r="A2845" t="str">
        <f>"20200111155900326"</f>
        <v>20200111155900326</v>
      </c>
      <c r="B2845" t="str">
        <f>"1578729540324925"</f>
        <v>1578729540324925</v>
      </c>
      <c r="C2845" t="s">
        <v>37</v>
      </c>
      <c r="D2845">
        <v>5.3632439999999999</v>
      </c>
      <c r="E2845">
        <v>0.50942460000000001</v>
      </c>
      <c r="F2845" t="s">
        <v>52</v>
      </c>
      <c r="G2845">
        <v>-412.16539999999998</v>
      </c>
      <c r="H2845" s="1">
        <v>2.5639870000000002E-6</v>
      </c>
      <c r="I2845">
        <v>214.91220000000001</v>
      </c>
      <c r="J2845">
        <v>-430.67950000000002</v>
      </c>
      <c r="K2845">
        <v>1.103119</v>
      </c>
      <c r="L2845">
        <v>213.90880000000001</v>
      </c>
      <c r="M2845">
        <v>0.9998726</v>
      </c>
      <c r="N2845">
        <v>0</v>
      </c>
      <c r="O2845">
        <v>1.3992320000000001E-2</v>
      </c>
      <c r="P2845">
        <v>0.996834</v>
      </c>
      <c r="Q2845">
        <v>-1.756636E-2</v>
      </c>
      <c r="R2845">
        <v>7.754846E-2</v>
      </c>
      <c r="S2845">
        <v>2.9942630000000001</v>
      </c>
      <c r="T2845">
        <v>-0.17526069999999999</v>
      </c>
      <c r="U2845">
        <v>0.16009519999999999</v>
      </c>
      <c r="V2845">
        <v>-6.3607769999999994E-2</v>
      </c>
      <c r="W2845">
        <v>-9.7858440000000001E-3</v>
      </c>
      <c r="X2845">
        <v>0.99792700000000001</v>
      </c>
      <c r="Y2845">
        <v>-3.9369759999999997E-2</v>
      </c>
      <c r="Z2845">
        <v>3.3274800000000001E-4</v>
      </c>
      <c r="AA2845">
        <v>0.99922469999999997</v>
      </c>
      <c r="AB2845">
        <v>34</v>
      </c>
      <c r="AC2845">
        <v>18.514099999999999</v>
      </c>
      <c r="AD2845">
        <v>-1.1031164360129999</v>
      </c>
      <c r="AE2845">
        <v>1.0033999999999901</v>
      </c>
      <c r="AF2845">
        <v>-0.741613835998437</v>
      </c>
      <c r="AG2845">
        <v>-1.1031164360129999</v>
      </c>
      <c r="AH2845">
        <v>18.4609817931631</v>
      </c>
      <c r="AI2845">
        <v>93.416833273334902</v>
      </c>
      <c r="AJ2845">
        <v>92.300446861177804</v>
      </c>
      <c r="AK2845">
        <v>18.508773749782701</v>
      </c>
    </row>
    <row r="2846" spans="1:37" x14ac:dyDescent="0.2">
      <c r="A2846" t="str">
        <f>"20200111155900372"</f>
        <v>20200111155900372</v>
      </c>
      <c r="B2846" t="str">
        <f>"1578729540364940"</f>
        <v>1578729540364940</v>
      </c>
      <c r="C2846" t="s">
        <v>37</v>
      </c>
      <c r="D2846">
        <v>5.4296040000000003</v>
      </c>
      <c r="E2846">
        <v>0.50861970000000001</v>
      </c>
      <c r="F2846" t="s">
        <v>52</v>
      </c>
      <c r="G2846">
        <v>-413.11590000000001</v>
      </c>
      <c r="H2846" s="1">
        <v>2.7376799999999902E-6</v>
      </c>
      <c r="I2846">
        <v>214.85409999999999</v>
      </c>
      <c r="J2846">
        <v>-429.9898</v>
      </c>
      <c r="K2846">
        <v>1.1033489999999999</v>
      </c>
      <c r="L2846">
        <v>213.91669999999999</v>
      </c>
      <c r="M2846">
        <v>0.99987939999999997</v>
      </c>
      <c r="N2846">
        <v>0</v>
      </c>
      <c r="O2846">
        <v>1.2516619999999999E-2</v>
      </c>
      <c r="P2846">
        <v>0.99724659999999998</v>
      </c>
      <c r="Q2846">
        <v>-1.5191069999999999E-2</v>
      </c>
      <c r="R2846">
        <v>7.258531E-2</v>
      </c>
      <c r="S2846">
        <v>2.9937130000000001</v>
      </c>
      <c r="T2846">
        <v>-0.18802650000000001</v>
      </c>
      <c r="U2846">
        <v>0.16113279999999999</v>
      </c>
      <c r="V2846">
        <v>-6.0106470000000002E-2</v>
      </c>
      <c r="W2846">
        <v>-5.9218859999999899E-3</v>
      </c>
      <c r="X2846">
        <v>0.99817440000000002</v>
      </c>
      <c r="Y2846">
        <v>-4.1186349999999997E-2</v>
      </c>
      <c r="Z2846">
        <v>5.0644850000000001E-4</v>
      </c>
      <c r="AA2846">
        <v>0.99915129999999996</v>
      </c>
      <c r="AB2846">
        <v>34</v>
      </c>
      <c r="AC2846">
        <v>16.8738999999999</v>
      </c>
      <c r="AD2846">
        <v>-1.1033462623200001</v>
      </c>
      <c r="AE2846">
        <v>0.93739999999999601</v>
      </c>
      <c r="AF2846">
        <v>-0.723031589655871</v>
      </c>
      <c r="AG2846">
        <v>-1.1033462623200001</v>
      </c>
      <c r="AH2846">
        <v>16.812649349293299</v>
      </c>
      <c r="AI2846">
        <v>93.751249170438498</v>
      </c>
      <c r="AJ2846">
        <v>92.462499940413807</v>
      </c>
      <c r="AK2846">
        <v>16.8643210891073</v>
      </c>
    </row>
    <row r="2847" spans="1:37" x14ac:dyDescent="0.2">
      <c r="A2847" t="str">
        <f>"20200111155900395"</f>
        <v>20200111155900395</v>
      </c>
      <c r="B2847" t="str">
        <f>"1578729540384460"</f>
        <v>1578729540384460</v>
      </c>
      <c r="C2847" t="s">
        <v>37</v>
      </c>
      <c r="D2847">
        <v>5.3961199999999998</v>
      </c>
      <c r="E2847">
        <v>0.50883080000000003</v>
      </c>
      <c r="F2847" t="s">
        <v>52</v>
      </c>
      <c r="G2847">
        <v>-412.25020000000001</v>
      </c>
      <c r="H2847" s="1">
        <v>2.5867589999999999E-6</v>
      </c>
      <c r="I2847">
        <v>214.8237</v>
      </c>
      <c r="J2847">
        <v>-429.65460000000002</v>
      </c>
      <c r="K2847">
        <v>1.1034079999999999</v>
      </c>
      <c r="L2847">
        <v>213.92009999999999</v>
      </c>
      <c r="M2847">
        <v>0.99988169999999899</v>
      </c>
      <c r="N2847">
        <v>0</v>
      </c>
      <c r="O2847">
        <v>1.181838E-2</v>
      </c>
      <c r="P2847">
        <v>0.99733660000000002</v>
      </c>
      <c r="Q2847">
        <v>-1.436042E-2</v>
      </c>
      <c r="R2847">
        <v>7.1509160000000002E-2</v>
      </c>
      <c r="S2847">
        <v>2.9942929999999999</v>
      </c>
      <c r="T2847">
        <v>-0.1862354</v>
      </c>
      <c r="U2847">
        <v>0.15310670000000001</v>
      </c>
      <c r="V2847">
        <v>-5.9723770000000002E-2</v>
      </c>
      <c r="W2847">
        <v>-4.4439010000000001E-3</v>
      </c>
      <c r="X2847">
        <v>0.99820509999999996</v>
      </c>
      <c r="Y2847">
        <v>-3.9206240000000003E-2</v>
      </c>
      <c r="Z2847">
        <v>4.8343600000000001E-4</v>
      </c>
      <c r="AA2847">
        <v>0.99923099999999998</v>
      </c>
      <c r="AB2847">
        <v>34</v>
      </c>
      <c r="AC2847">
        <v>17.404399999999999</v>
      </c>
      <c r="AD2847">
        <v>-1.1034054132410001</v>
      </c>
      <c r="AE2847">
        <v>0.90360000000001095</v>
      </c>
      <c r="AF2847">
        <v>-0.69504899493983396</v>
      </c>
      <c r="AG2847">
        <v>-1.1034054132410001</v>
      </c>
      <c r="AH2847">
        <v>17.3443390035061</v>
      </c>
      <c r="AI2847">
        <v>93.637203694174801</v>
      </c>
      <c r="AJ2847">
        <v>92.294816607107606</v>
      </c>
      <c r="AK2847">
        <v>17.393294457344201</v>
      </c>
    </row>
    <row r="2848" spans="1:37" x14ac:dyDescent="0.2">
      <c r="A2848" t="str">
        <f>"20200111155900417"</f>
        <v>20200111155900417</v>
      </c>
      <c r="B2848" t="str">
        <f>"1578729540404955"</f>
        <v>1578729540404955</v>
      </c>
      <c r="C2848" t="s">
        <v>37</v>
      </c>
      <c r="D2848">
        <v>5.4228309999999897</v>
      </c>
      <c r="E2848">
        <v>0.50863459999999905</v>
      </c>
      <c r="F2848" t="s">
        <v>52</v>
      </c>
      <c r="G2848">
        <v>-412.35379999999998</v>
      </c>
      <c r="H2848" s="1">
        <v>2.6091070000000001E-6</v>
      </c>
      <c r="I2848">
        <v>214.7783</v>
      </c>
      <c r="J2848">
        <v>-429.32330000000002</v>
      </c>
      <c r="K2848">
        <v>1.1034469999999901</v>
      </c>
      <c r="L2848">
        <v>213.92330000000001</v>
      </c>
      <c r="M2848">
        <v>0.99988390000000005</v>
      </c>
      <c r="N2848">
        <v>0</v>
      </c>
      <c r="O2848">
        <v>1.1132009999999999E-2</v>
      </c>
      <c r="P2848">
        <v>0.9973708</v>
      </c>
      <c r="Q2848">
        <v>-1.391473E-2</v>
      </c>
      <c r="R2848">
        <v>7.1121039999999996E-2</v>
      </c>
      <c r="S2848">
        <v>2.9945979999999999</v>
      </c>
      <c r="T2848">
        <v>-0.190988299999999</v>
      </c>
      <c r="U2848">
        <v>0.14854429999999999</v>
      </c>
      <c r="V2848">
        <v>-6.0019110000000001E-2</v>
      </c>
      <c r="W2848">
        <v>-3.418403E-3</v>
      </c>
      <c r="X2848">
        <v>0.99819139999999995</v>
      </c>
      <c r="Y2848">
        <v>-3.8365980000000001E-2</v>
      </c>
      <c r="Z2848">
        <v>5.1265849999999999E-4</v>
      </c>
      <c r="AA2848">
        <v>0.99926360000000003</v>
      </c>
      <c r="AB2848">
        <v>34</v>
      </c>
      <c r="AC2848">
        <v>16.9695</v>
      </c>
      <c r="AD2848">
        <v>-1.1034443908929901</v>
      </c>
      <c r="AE2848">
        <v>0.85499999999998899</v>
      </c>
      <c r="AF2848">
        <v>-0.6632349098757</v>
      </c>
      <c r="AG2848">
        <v>-1.1034443908929901</v>
      </c>
      <c r="AH2848">
        <v>16.9066618604658</v>
      </c>
      <c r="AI2848">
        <v>93.731356251872199</v>
      </c>
      <c r="AJ2848">
        <v>92.246515961963993</v>
      </c>
      <c r="AK2848">
        <v>16.955609258696601</v>
      </c>
    </row>
    <row r="2849" spans="1:37" x14ac:dyDescent="0.2">
      <c r="A2849" t="str">
        <f>"20200111155900440"</f>
        <v>20200111155900440</v>
      </c>
      <c r="B2849" t="str">
        <f>"1578729540434236"</f>
        <v>1578729540434236</v>
      </c>
      <c r="C2849" t="s">
        <v>37</v>
      </c>
      <c r="D2849">
        <v>5.4116999999999997</v>
      </c>
      <c r="E2849">
        <v>0.50828109999999904</v>
      </c>
      <c r="F2849" t="s">
        <v>52</v>
      </c>
      <c r="G2849">
        <v>-412.44069999999999</v>
      </c>
      <c r="H2849" s="1">
        <v>2.6257679999999999E-6</v>
      </c>
      <c r="I2849">
        <v>214.76419999999999</v>
      </c>
      <c r="J2849">
        <v>-428.9735</v>
      </c>
      <c r="K2849">
        <v>1.103472</v>
      </c>
      <c r="L2849">
        <v>213.9265</v>
      </c>
      <c r="M2849">
        <v>0.99988580000000005</v>
      </c>
      <c r="N2849">
        <v>0</v>
      </c>
      <c r="O2849">
        <v>1.0406790000000001E-2</v>
      </c>
      <c r="P2849">
        <v>0.99738340000000003</v>
      </c>
      <c r="Q2849">
        <v>-1.413318E-2</v>
      </c>
      <c r="R2849">
        <v>7.090043E-2</v>
      </c>
      <c r="S2849">
        <v>2.994507</v>
      </c>
      <c r="T2849">
        <v>-0.1957207</v>
      </c>
      <c r="U2849">
        <v>0.14913940000000001</v>
      </c>
      <c r="V2849">
        <v>-6.0521329999999998E-2</v>
      </c>
      <c r="W2849">
        <v>-3.089007E-3</v>
      </c>
      <c r="X2849">
        <v>0.998162199999999</v>
      </c>
      <c r="Y2849">
        <v>-3.9283999999999999E-2</v>
      </c>
      <c r="Z2849">
        <v>6.026092E-4</v>
      </c>
      <c r="AA2849">
        <v>0.99922789999999995</v>
      </c>
      <c r="AB2849">
        <v>34</v>
      </c>
      <c r="AC2849">
        <v>16.532800000000002</v>
      </c>
      <c r="AD2849">
        <v>-1.1034693742320001</v>
      </c>
      <c r="AE2849">
        <v>0.83769999999998301</v>
      </c>
      <c r="AF2849">
        <v>-0.66264652681931202</v>
      </c>
      <c r="AG2849">
        <v>-1.1034693742320001</v>
      </c>
      <c r="AH2849">
        <v>16.467451629199701</v>
      </c>
      <c r="AI2849">
        <v>93.830517697211405</v>
      </c>
      <c r="AJ2849">
        <v>92.304325985825699</v>
      </c>
      <c r="AK2849">
        <v>16.517678657711201</v>
      </c>
    </row>
    <row r="2850" spans="1:37" x14ac:dyDescent="0.2">
      <c r="A2850" t="str">
        <f>"20200111155900462"</f>
        <v>20200111155900462</v>
      </c>
      <c r="B2850" t="str">
        <f>"1578729540454732"</f>
        <v>1578729540454732</v>
      </c>
      <c r="C2850" t="s">
        <v>37</v>
      </c>
      <c r="D2850">
        <v>5.65076</v>
      </c>
      <c r="E2850">
        <v>0.50772740000000005</v>
      </c>
      <c r="F2850" t="s">
        <v>52</v>
      </c>
      <c r="G2850">
        <v>-412.62479999999999</v>
      </c>
      <c r="H2850" s="1">
        <v>2.6593020000000002E-6</v>
      </c>
      <c r="I2850">
        <v>214.75399999999999</v>
      </c>
      <c r="J2850">
        <v>-428.64729999999997</v>
      </c>
      <c r="K2850">
        <v>1.1034899999999901</v>
      </c>
      <c r="L2850">
        <v>213.92920000000001</v>
      </c>
      <c r="M2850">
        <v>0.99988759999999999</v>
      </c>
      <c r="N2850">
        <v>0</v>
      </c>
      <c r="O2850">
        <v>9.7274590000000008E-3</v>
      </c>
      <c r="P2850">
        <v>0.99743059999999995</v>
      </c>
      <c r="Q2850">
        <v>-1.3826639999999999E-2</v>
      </c>
      <c r="R2850">
        <v>7.0293629999999996E-2</v>
      </c>
      <c r="S2850">
        <v>2.994202</v>
      </c>
      <c r="T2850">
        <v>-0.2020952</v>
      </c>
      <c r="U2850">
        <v>0.15156559999999999</v>
      </c>
      <c r="V2850">
        <v>-6.059142E-2</v>
      </c>
      <c r="W2850">
        <v>-2.3300930000000001E-3</v>
      </c>
      <c r="X2850">
        <v>0.99815989999999999</v>
      </c>
      <c r="Y2850">
        <v>-4.0766480000000001E-2</v>
      </c>
      <c r="Z2850">
        <v>7.1794779999999998E-4</v>
      </c>
      <c r="AA2850">
        <v>0.99916849999999902</v>
      </c>
      <c r="AB2850">
        <v>34</v>
      </c>
      <c r="AC2850">
        <v>16.022499999999901</v>
      </c>
      <c r="AD2850">
        <v>-1.1034873406979999</v>
      </c>
      <c r="AE2850">
        <v>0.82480000000000997</v>
      </c>
      <c r="AF2850">
        <v>-0.66574318790082998</v>
      </c>
      <c r="AG2850">
        <v>-1.1034873406979999</v>
      </c>
      <c r="AH2850">
        <v>15.954290701439101</v>
      </c>
      <c r="AI2850">
        <v>93.953163745045103</v>
      </c>
      <c r="AJ2850">
        <v>92.389461197878902</v>
      </c>
      <c r="AK2850">
        <v>16.006257841523801</v>
      </c>
    </row>
    <row r="2851" spans="1:37" x14ac:dyDescent="0.2">
      <c r="A2851" t="str">
        <f>"20200111155900686"</f>
        <v>20200111155900686</v>
      </c>
      <c r="B2851" t="str">
        <f>"1578729540674331"</f>
        <v>1578729540674331</v>
      </c>
      <c r="C2851" t="s">
        <v>37</v>
      </c>
      <c r="D2851">
        <v>5.2241589999999896</v>
      </c>
      <c r="E2851">
        <v>0.50842330000000002</v>
      </c>
      <c r="F2851" t="s">
        <v>52</v>
      </c>
      <c r="G2851">
        <v>-411.80840000000001</v>
      </c>
      <c r="H2851" s="1">
        <v>2.5108149999999999E-6</v>
      </c>
      <c r="I2851">
        <v>214.7961</v>
      </c>
      <c r="J2851">
        <v>-425.31939999999997</v>
      </c>
      <c r="K2851">
        <v>1.1036239999999999</v>
      </c>
      <c r="L2851">
        <v>213.94370000000001</v>
      </c>
      <c r="M2851">
        <v>0.99990100000000004</v>
      </c>
      <c r="N2851">
        <v>0</v>
      </c>
      <c r="O2851">
        <v>2.795269E-3</v>
      </c>
      <c r="P2851">
        <v>0.9981544</v>
      </c>
      <c r="Q2851">
        <v>-2.8983500000000001E-3</v>
      </c>
      <c r="R2851">
        <v>6.0659699999999997E-2</v>
      </c>
      <c r="S2851">
        <v>2.99411</v>
      </c>
      <c r="T2851">
        <v>-0.196210299999999</v>
      </c>
      <c r="U2851">
        <v>0.15414430000000001</v>
      </c>
      <c r="V2851">
        <v>-5.7852529999999999E-2</v>
      </c>
      <c r="W2851">
        <v>1.096018E-2</v>
      </c>
      <c r="X2851">
        <v>0.99826499999999996</v>
      </c>
      <c r="Y2851">
        <v>-4.8524560000000001E-2</v>
      </c>
      <c r="Z2851">
        <v>1.4043300000000001E-3</v>
      </c>
      <c r="AA2851">
        <v>0.99882099999999996</v>
      </c>
      <c r="AB2851">
        <v>33</v>
      </c>
      <c r="AC2851">
        <v>13.5109999999999</v>
      </c>
      <c r="AD2851">
        <v>-1.103621489185</v>
      </c>
      <c r="AE2851">
        <v>0.85239999999998795</v>
      </c>
      <c r="AF2851">
        <v>-0.80924818483636196</v>
      </c>
      <c r="AG2851">
        <v>-1.103621489185</v>
      </c>
      <c r="AH2851">
        <v>13.4241175843986</v>
      </c>
      <c r="AI2851">
        <v>94.691343994911904</v>
      </c>
      <c r="AJ2851">
        <v>93.449795580447201</v>
      </c>
      <c r="AK2851">
        <v>13.493694673283899</v>
      </c>
    </row>
    <row r="2852" spans="1:37" x14ac:dyDescent="0.2">
      <c r="A2852" t="str">
        <f>"20200111155900706"</f>
        <v>20200111155900706</v>
      </c>
      <c r="B2852" t="str">
        <f>"1578729540694827"</f>
        <v>1578729540694827</v>
      </c>
      <c r="C2852" t="s">
        <v>37</v>
      </c>
      <c r="D2852">
        <v>5.4430719999999999</v>
      </c>
      <c r="E2852">
        <v>0.5097912</v>
      </c>
      <c r="F2852" t="s">
        <v>52</v>
      </c>
      <c r="G2852">
        <v>-406.87529999999998</v>
      </c>
      <c r="H2852" s="1">
        <v>5.338724E-6</v>
      </c>
      <c r="I2852">
        <v>214.68709999999999</v>
      </c>
      <c r="J2852">
        <v>-425.00349999999997</v>
      </c>
      <c r="K2852">
        <v>1.1036330000000001</v>
      </c>
      <c r="L2852">
        <v>213.94390000000001</v>
      </c>
      <c r="M2852">
        <v>0.99990140000000005</v>
      </c>
      <c r="N2852">
        <v>0</v>
      </c>
      <c r="O2852">
        <v>2.1359199999999999E-3</v>
      </c>
      <c r="P2852">
        <v>0.99815799999999999</v>
      </c>
      <c r="Q2852">
        <v>-2.5954229999999999E-3</v>
      </c>
      <c r="R2852">
        <v>6.0615009999999997E-2</v>
      </c>
      <c r="S2852">
        <v>2.9977109999999998</v>
      </c>
      <c r="T2852">
        <v>-0.17937049999999999</v>
      </c>
      <c r="U2852">
        <v>0.1208191</v>
      </c>
      <c r="V2852">
        <v>-5.8465839999999998E-2</v>
      </c>
      <c r="W2852">
        <v>1.135594E-2</v>
      </c>
      <c r="X2852">
        <v>0.99822479999999902</v>
      </c>
      <c r="Y2852">
        <v>-3.8072429999999997E-2</v>
      </c>
      <c r="Z2852">
        <v>1.0099200000000001E-3</v>
      </c>
      <c r="AA2852">
        <v>0.99927449999999995</v>
      </c>
      <c r="AB2852">
        <v>33</v>
      </c>
      <c r="AC2852">
        <v>18.1282</v>
      </c>
      <c r="AD2852">
        <v>-1.1036276612760001</v>
      </c>
      <c r="AE2852">
        <v>0.74319999999997299</v>
      </c>
      <c r="AF2852">
        <v>-0.70187721555472204</v>
      </c>
      <c r="AG2852">
        <v>-1.1036276612760001</v>
      </c>
      <c r="AH2852">
        <v>18.062912702942999</v>
      </c>
      <c r="AI2852">
        <v>93.493743900818899</v>
      </c>
      <c r="AJ2852">
        <v>92.225243581914</v>
      </c>
      <c r="AK2852">
        <v>18.110202675690498</v>
      </c>
    </row>
    <row r="2853" spans="1:37" x14ac:dyDescent="0.2">
      <c r="A2853" t="str">
        <f>"20200111155900729"</f>
        <v>20200111155900729</v>
      </c>
      <c r="B2853" t="str">
        <f>"1578729540725084"</f>
        <v>1578729540725084</v>
      </c>
      <c r="C2853" t="s">
        <v>37</v>
      </c>
      <c r="D2853">
        <v>5.3278970000000001</v>
      </c>
      <c r="E2853">
        <v>0.51109899999999997</v>
      </c>
      <c r="F2853" t="s">
        <v>52</v>
      </c>
      <c r="G2853">
        <v>-406.94189999999998</v>
      </c>
      <c r="H2853" s="1">
        <v>5.325864E-6</v>
      </c>
      <c r="I2853">
        <v>214.6063</v>
      </c>
      <c r="J2853">
        <v>-424.6617</v>
      </c>
      <c r="K2853">
        <v>1.103647</v>
      </c>
      <c r="L2853">
        <v>213.94390000000001</v>
      </c>
      <c r="M2853">
        <v>0.999901499999999</v>
      </c>
      <c r="N2853">
        <v>0</v>
      </c>
      <c r="O2853">
        <v>1.4225049999999999E-3</v>
      </c>
      <c r="P2853">
        <v>0.99818019999999996</v>
      </c>
      <c r="Q2853">
        <v>-2.2017170000000002E-3</v>
      </c>
      <c r="R2853">
        <v>6.0262900000000001E-2</v>
      </c>
      <c r="S2853">
        <v>2.998383</v>
      </c>
      <c r="T2853">
        <v>-0.18321219999999999</v>
      </c>
      <c r="U2853">
        <v>0.1099701</v>
      </c>
      <c r="V2853">
        <v>-5.8824889999999998E-2</v>
      </c>
      <c r="W2853">
        <v>1.18356E-2</v>
      </c>
      <c r="X2853">
        <v>0.99819820000000004</v>
      </c>
      <c r="Y2853">
        <v>-3.5167259999999999E-2</v>
      </c>
      <c r="Z2853">
        <v>9.8624530000000006E-4</v>
      </c>
      <c r="AA2853">
        <v>0.99938090000000002</v>
      </c>
      <c r="AB2853">
        <v>33</v>
      </c>
      <c r="AC2853">
        <v>17.719799999999999</v>
      </c>
      <c r="AD2853">
        <v>-1.103641674136</v>
      </c>
      <c r="AE2853">
        <v>0.662399999999991</v>
      </c>
      <c r="AF2853">
        <v>-0.63473157374519695</v>
      </c>
      <c r="AG2853">
        <v>-1.103641674136</v>
      </c>
      <c r="AH2853">
        <v>17.652343582933899</v>
      </c>
      <c r="AI2853">
        <v>93.575226773643607</v>
      </c>
      <c r="AJ2853">
        <v>92.059317435206907</v>
      </c>
      <c r="AK2853">
        <v>17.698196040431601</v>
      </c>
    </row>
    <row r="2854" spans="1:37" x14ac:dyDescent="0.2">
      <c r="A2854" t="str">
        <f>"20200111155900752"</f>
        <v>20200111155900752</v>
      </c>
      <c r="B2854" t="str">
        <f>"1578729540744604"</f>
        <v>1578729540744604</v>
      </c>
      <c r="C2854" t="s">
        <v>37</v>
      </c>
      <c r="D2854">
        <v>5.288621</v>
      </c>
      <c r="E2854">
        <v>0.51177539999999999</v>
      </c>
      <c r="F2854" t="s">
        <v>52</v>
      </c>
      <c r="G2854">
        <v>-406.28339999999997</v>
      </c>
      <c r="H2854" s="1">
        <v>5.6303539999999902E-6</v>
      </c>
      <c r="I2854">
        <v>214.54589999999999</v>
      </c>
      <c r="J2854">
        <v>-424.32549999999998</v>
      </c>
      <c r="K2854">
        <v>1.1036600000000001</v>
      </c>
      <c r="L2854">
        <v>213.9436</v>
      </c>
      <c r="M2854">
        <v>0.99990119999999905</v>
      </c>
      <c r="N2854">
        <v>0</v>
      </c>
      <c r="O2854">
        <v>7.2021719999999995E-4</v>
      </c>
      <c r="P2854">
        <v>0.99819310000000006</v>
      </c>
      <c r="Q2854">
        <v>-2.262713E-3</v>
      </c>
      <c r="R2854">
        <v>6.004864E-2</v>
      </c>
      <c r="S2854">
        <v>2.9991759999999998</v>
      </c>
      <c r="T2854">
        <v>-0.1801044</v>
      </c>
      <c r="U2854">
        <v>9.8251340000000006E-2</v>
      </c>
      <c r="V2854">
        <v>-5.9311790000000003E-2</v>
      </c>
      <c r="W2854">
        <v>1.1846570000000001E-2</v>
      </c>
      <c r="X2854">
        <v>0.99816919999999898</v>
      </c>
      <c r="Y2854">
        <v>-3.1965739999999999E-2</v>
      </c>
      <c r="Z2854">
        <v>9.1546869999999895E-4</v>
      </c>
      <c r="AA2854">
        <v>0.9994885</v>
      </c>
      <c r="AB2854">
        <v>33</v>
      </c>
      <c r="AC2854">
        <v>18.042100000000001</v>
      </c>
      <c r="AD2854">
        <v>-1.1036543696459999</v>
      </c>
      <c r="AE2854">
        <v>0.60229999999998496</v>
      </c>
      <c r="AF2854">
        <v>-0.58710987244283697</v>
      </c>
      <c r="AG2854">
        <v>-1.1036543696459999</v>
      </c>
      <c r="AH2854">
        <v>17.9753421186252</v>
      </c>
      <c r="AI2854">
        <v>93.511581621585904</v>
      </c>
      <c r="AJ2854">
        <v>91.870727310324995</v>
      </c>
      <c r="AK2854">
        <v>18.018758982004901</v>
      </c>
    </row>
    <row r="2855" spans="1:37" x14ac:dyDescent="0.2">
      <c r="A2855" t="str">
        <f>"20200111155900774"</f>
        <v>20200111155900774</v>
      </c>
      <c r="B2855" t="str">
        <f>"1578729540764123"</f>
        <v>1578729540764123</v>
      </c>
      <c r="C2855" t="s">
        <v>37</v>
      </c>
      <c r="D2855">
        <v>5.9721549999999999</v>
      </c>
      <c r="E2855">
        <v>0.51251629999999904</v>
      </c>
      <c r="F2855" t="s">
        <v>52</v>
      </c>
      <c r="G2855">
        <v>-406.02269999999999</v>
      </c>
      <c r="H2855" s="1">
        <v>5.7543110000000002E-6</v>
      </c>
      <c r="I2855">
        <v>214.50559999999999</v>
      </c>
      <c r="J2855">
        <v>-424.00110000000001</v>
      </c>
      <c r="K2855">
        <v>1.1036680000000001</v>
      </c>
      <c r="L2855">
        <v>213.94309999999999</v>
      </c>
      <c r="M2855">
        <v>0.99990069999999998</v>
      </c>
      <c r="N2855">
        <v>0</v>
      </c>
      <c r="O2855" s="1">
        <v>4.2578270000000003E-5</v>
      </c>
      <c r="P2855">
        <v>0.99821229999999905</v>
      </c>
      <c r="Q2855">
        <v>-2.1795180000000001E-3</v>
      </c>
      <c r="R2855">
        <v>5.9731630000000001E-2</v>
      </c>
      <c r="S2855">
        <v>2.9994809999999998</v>
      </c>
      <c r="T2855">
        <v>-0.1808678</v>
      </c>
      <c r="U2855">
        <v>9.2102050000000005E-2</v>
      </c>
      <c r="V2855">
        <v>-5.9671040000000002E-2</v>
      </c>
      <c r="W2855">
        <v>1.1989130000000001E-2</v>
      </c>
      <c r="X2855">
        <v>0.99814609999999904</v>
      </c>
      <c r="Y2855">
        <v>-3.0593530000000001E-2</v>
      </c>
      <c r="Z2855">
        <v>9.1877179999999895E-4</v>
      </c>
      <c r="AA2855">
        <v>0.99953150000000002</v>
      </c>
      <c r="AB2855">
        <v>33</v>
      </c>
      <c r="AC2855">
        <v>17.978400000000001</v>
      </c>
      <c r="AD2855">
        <v>-1.103662245689</v>
      </c>
      <c r="AE2855">
        <v>0.5625</v>
      </c>
      <c r="AF2855">
        <v>-0.55962753179385105</v>
      </c>
      <c r="AG2855">
        <v>-1.103662245689</v>
      </c>
      <c r="AH2855">
        <v>17.910992096418099</v>
      </c>
      <c r="AI2855">
        <v>93.524350274308702</v>
      </c>
      <c r="AJ2855">
        <v>91.789619882719606</v>
      </c>
      <c r="AK2855">
        <v>17.953687398549999</v>
      </c>
    </row>
    <row r="2856" spans="1:37" x14ac:dyDescent="0.2">
      <c r="A2856" t="str">
        <f>"20200111155900796"</f>
        <v>20200111155900796</v>
      </c>
      <c r="B2856" t="str">
        <f>"1578729540784619"</f>
        <v>1578729540784619</v>
      </c>
      <c r="C2856" t="s">
        <v>37</v>
      </c>
      <c r="D2856">
        <v>5.2770000000000001</v>
      </c>
      <c r="E2856">
        <v>0.51299510000000004</v>
      </c>
      <c r="F2856" t="s">
        <v>52</v>
      </c>
      <c r="G2856">
        <v>-405.2722</v>
      </c>
      <c r="H2856" s="1">
        <v>6.093386E-6</v>
      </c>
      <c r="I2856">
        <v>214.47540000000001</v>
      </c>
      <c r="J2856">
        <v>-423.6782</v>
      </c>
      <c r="K2856">
        <v>1.103675</v>
      </c>
      <c r="L2856">
        <v>213.94239999999999</v>
      </c>
      <c r="M2856">
        <v>0.99989969999999995</v>
      </c>
      <c r="N2856">
        <v>0</v>
      </c>
      <c r="O2856">
        <v>-6.3225059999999999E-4</v>
      </c>
      <c r="P2856">
        <v>0.99824449999999998</v>
      </c>
      <c r="Q2856">
        <v>-2.1244440000000001E-3</v>
      </c>
      <c r="R2856">
        <v>5.9191309999999997E-2</v>
      </c>
      <c r="S2856">
        <v>2.999908</v>
      </c>
      <c r="T2856">
        <v>-0.17677899999999999</v>
      </c>
      <c r="U2856">
        <v>8.5250850000000003E-2</v>
      </c>
      <c r="V2856">
        <v>-5.9803750000000003E-2</v>
      </c>
      <c r="W2856">
        <v>1.2095460000000001E-2</v>
      </c>
      <c r="X2856">
        <v>0.99813689999999999</v>
      </c>
      <c r="Y2856">
        <v>-2.8987059999999999E-2</v>
      </c>
      <c r="Z2856">
        <v>8.9038599999999996E-4</v>
      </c>
      <c r="AA2856">
        <v>0.99957940000000001</v>
      </c>
      <c r="AB2856">
        <v>33</v>
      </c>
      <c r="AC2856">
        <v>18.405999999999999</v>
      </c>
      <c r="AD2856">
        <v>-1.103668906614</v>
      </c>
      <c r="AE2856">
        <v>0.53300000000001502</v>
      </c>
      <c r="AF2856">
        <v>-0.54268866307463304</v>
      </c>
      <c r="AG2856">
        <v>-1.103668906614</v>
      </c>
      <c r="AH2856">
        <v>18.3397739668067</v>
      </c>
      <c r="AI2856">
        <v>93.442345185814602</v>
      </c>
      <c r="AJ2856">
        <v>91.694933612990596</v>
      </c>
      <c r="AK2856">
        <v>18.380965839531299</v>
      </c>
    </row>
    <row r="2857" spans="1:37" x14ac:dyDescent="0.2">
      <c r="A2857" t="str">
        <f>"20200111155900819"</f>
        <v>20200111155900819</v>
      </c>
      <c r="B2857" t="str">
        <f>"1578729540814876"</f>
        <v>1578729540814876</v>
      </c>
      <c r="C2857" t="s">
        <v>37</v>
      </c>
      <c r="D2857">
        <v>5.287744</v>
      </c>
      <c r="E2857">
        <v>0.51367640000000003</v>
      </c>
      <c r="F2857" t="s">
        <v>52</v>
      </c>
      <c r="G2857">
        <v>-404.2321</v>
      </c>
      <c r="H2857" s="1">
        <v>6.558277E-6</v>
      </c>
      <c r="I2857">
        <v>214.45760000000001</v>
      </c>
      <c r="J2857">
        <v>-423.33870000000002</v>
      </c>
      <c r="K2857">
        <v>1.103683</v>
      </c>
      <c r="L2857">
        <v>213.94149999999999</v>
      </c>
      <c r="M2857">
        <v>0.99989839999999997</v>
      </c>
      <c r="N2857">
        <v>0</v>
      </c>
      <c r="O2857">
        <v>-1.3418449999999999E-3</v>
      </c>
      <c r="P2857">
        <v>0.99826680000000001</v>
      </c>
      <c r="Q2857">
        <v>-2.402333E-3</v>
      </c>
      <c r="R2857">
        <v>5.8804370000000002E-2</v>
      </c>
      <c r="S2857">
        <v>3.0002140000000002</v>
      </c>
      <c r="T2857">
        <v>-0.1702784</v>
      </c>
      <c r="U2857">
        <v>7.9483029999999996E-2</v>
      </c>
      <c r="V2857">
        <v>-6.0126140000000002E-2</v>
      </c>
      <c r="W2857">
        <v>1.1863729999999999E-2</v>
      </c>
      <c r="X2857">
        <v>0.99812029999999996</v>
      </c>
      <c r="Y2857">
        <v>-2.7777820000000002E-2</v>
      </c>
      <c r="Z2857">
        <v>8.6359009999999897E-4</v>
      </c>
      <c r="AA2857">
        <v>0.9996138</v>
      </c>
      <c r="AB2857">
        <v>33</v>
      </c>
      <c r="AC2857">
        <v>19.1066</v>
      </c>
      <c r="AD2857">
        <v>-1.1036764417230001</v>
      </c>
      <c r="AE2857">
        <v>0.51610000000002199</v>
      </c>
      <c r="AF2857">
        <v>-0.53993991083110904</v>
      </c>
      <c r="AG2857">
        <v>-1.1036764417230001</v>
      </c>
      <c r="AH2857">
        <v>19.042397820671798</v>
      </c>
      <c r="AI2857">
        <v>93.3157597489067</v>
      </c>
      <c r="AJ2857">
        <v>91.624164751127196</v>
      </c>
      <c r="AK2857">
        <v>19.0819954815016</v>
      </c>
    </row>
    <row r="2858" spans="1:37" x14ac:dyDescent="0.2">
      <c r="A2858" t="str">
        <f>"20200111155900842"</f>
        <v>20200111155900842</v>
      </c>
      <c r="B2858" t="str">
        <f>"1578729540834396"</f>
        <v>1578729540834396</v>
      </c>
      <c r="C2858" t="s">
        <v>37</v>
      </c>
      <c r="D2858">
        <v>5.2374349999999996</v>
      </c>
      <c r="E2858">
        <v>0.51415339999999998</v>
      </c>
      <c r="F2858" t="s">
        <v>52</v>
      </c>
      <c r="G2858">
        <v>-402.96379999999999</v>
      </c>
      <c r="H2858" s="1">
        <v>7.1256259999999901E-6</v>
      </c>
      <c r="I2858">
        <v>214.43389999999999</v>
      </c>
      <c r="J2858">
        <v>-423.010999999999</v>
      </c>
      <c r="K2858">
        <v>1.103696</v>
      </c>
      <c r="L2858">
        <v>213.94030000000001</v>
      </c>
      <c r="M2858">
        <v>0.99989669999999897</v>
      </c>
      <c r="N2858">
        <v>0</v>
      </c>
      <c r="O2858">
        <v>-2.0269400000000001E-3</v>
      </c>
      <c r="P2858">
        <v>0.99826510000000002</v>
      </c>
      <c r="Q2858">
        <v>-2.9268699999999998E-3</v>
      </c>
      <c r="R2858">
        <v>5.8809699999999999E-2</v>
      </c>
      <c r="S2858">
        <v>3.0005189999999899</v>
      </c>
      <c r="T2858">
        <v>-0.16253310000000001</v>
      </c>
      <c r="U2858">
        <v>7.2525019999999996E-2</v>
      </c>
      <c r="V2858">
        <v>-6.081611E-2</v>
      </c>
      <c r="W2858">
        <v>1.137692E-2</v>
      </c>
      <c r="X2858">
        <v>0.99808410000000003</v>
      </c>
      <c r="Y2858">
        <v>-2.6148999999999999E-2</v>
      </c>
      <c r="Z2858">
        <v>8.1731329999999995E-4</v>
      </c>
      <c r="AA2858">
        <v>0.99965780000000004</v>
      </c>
      <c r="AB2858">
        <v>33</v>
      </c>
      <c r="AC2858">
        <v>20.047199999999901</v>
      </c>
      <c r="AD2858">
        <v>-1.1036888743740001</v>
      </c>
      <c r="AE2858">
        <v>0.49359999999998599</v>
      </c>
      <c r="AF2858">
        <v>-0.53262416631982901</v>
      </c>
      <c r="AG2858">
        <v>-1.1036888743740001</v>
      </c>
      <c r="AH2858">
        <v>19.985618510065098</v>
      </c>
      <c r="AI2858">
        <v>93.159780655724006</v>
      </c>
      <c r="AJ2858">
        <v>91.526592484961</v>
      </c>
      <c r="AK2858">
        <v>20.0231557169148</v>
      </c>
    </row>
    <row r="2859" spans="1:37" x14ac:dyDescent="0.2">
      <c r="A2859" t="str">
        <f>"20200111155900864"</f>
        <v>20200111155900864</v>
      </c>
      <c r="B2859" t="str">
        <f>"1578729540854891"</f>
        <v>1578729540854891</v>
      </c>
      <c r="C2859" t="s">
        <v>37</v>
      </c>
      <c r="D2859">
        <v>5.2916150000000002</v>
      </c>
      <c r="E2859">
        <v>0.51454219999999995</v>
      </c>
      <c r="F2859" t="s">
        <v>52</v>
      </c>
      <c r="G2859">
        <v>-402.42739999999998</v>
      </c>
      <c r="H2859" s="1">
        <v>7.3683999999999996E-6</v>
      </c>
      <c r="I2859">
        <v>214.4102</v>
      </c>
      <c r="J2859">
        <v>-422.6857</v>
      </c>
      <c r="K2859">
        <v>1.1037079999999999</v>
      </c>
      <c r="L2859">
        <v>213.93889999999999</v>
      </c>
      <c r="M2859">
        <v>0.99989450000000002</v>
      </c>
      <c r="N2859">
        <v>0</v>
      </c>
      <c r="O2859">
        <v>-2.7073349999999999E-3</v>
      </c>
      <c r="P2859">
        <v>0.99827719999999898</v>
      </c>
      <c r="Q2859">
        <v>-2.9443590000000001E-3</v>
      </c>
      <c r="R2859">
        <v>5.8599810000000002E-2</v>
      </c>
      <c r="S2859">
        <v>3.000702</v>
      </c>
      <c r="T2859">
        <v>-0.1608974</v>
      </c>
      <c r="U2859">
        <v>6.8496699999999994E-2</v>
      </c>
      <c r="V2859">
        <v>-6.1285350000000002E-2</v>
      </c>
      <c r="W2859">
        <v>1.1391220000000001E-2</v>
      </c>
      <c r="X2859">
        <v>0.99805529999999998</v>
      </c>
      <c r="Y2859">
        <v>-2.5487289999999999E-2</v>
      </c>
      <c r="Z2859">
        <v>8.2779399999999997E-4</v>
      </c>
      <c r="AA2859">
        <v>0.99967479999999997</v>
      </c>
      <c r="AB2859">
        <v>33</v>
      </c>
      <c r="AC2859">
        <v>20.258299999999998</v>
      </c>
      <c r="AD2859">
        <v>-1.1037006316</v>
      </c>
      <c r="AE2859">
        <v>0.47130000000001299</v>
      </c>
      <c r="AF2859">
        <v>-0.52459359416738505</v>
      </c>
      <c r="AG2859">
        <v>-1.1037006316</v>
      </c>
      <c r="AH2859">
        <v>20.197032768441201</v>
      </c>
      <c r="AI2859">
        <v>93.126860100823393</v>
      </c>
      <c r="AJ2859">
        <v>91.487854319311197</v>
      </c>
      <c r="AK2859">
        <v>20.2339686214229</v>
      </c>
    </row>
    <row r="2860" spans="1:37" x14ac:dyDescent="0.2">
      <c r="A2860" t="str">
        <f>"20200111155900887"</f>
        <v>20200111155900887</v>
      </c>
      <c r="B2860" t="str">
        <f>"1578729540874412"</f>
        <v>1578729540874412</v>
      </c>
      <c r="C2860" t="s">
        <v>37</v>
      </c>
      <c r="D2860">
        <v>5.3024230000000001</v>
      </c>
      <c r="E2860">
        <v>0.51489659999999904</v>
      </c>
      <c r="F2860" t="s">
        <v>52</v>
      </c>
      <c r="G2860">
        <v>-402.38850000000002</v>
      </c>
      <c r="H2860" s="1">
        <v>7.3921279999999998E-6</v>
      </c>
      <c r="I2860">
        <v>214.37870000000001</v>
      </c>
      <c r="J2860">
        <v>-422.3596</v>
      </c>
      <c r="K2860">
        <v>1.103721</v>
      </c>
      <c r="L2860">
        <v>213.93729999999999</v>
      </c>
      <c r="M2860">
        <v>0.99989219999999901</v>
      </c>
      <c r="N2860">
        <v>0</v>
      </c>
      <c r="O2860">
        <v>-3.3898380000000001E-3</v>
      </c>
      <c r="P2860">
        <v>0.9982721</v>
      </c>
      <c r="Q2860">
        <v>-1.7892870000000001E-3</v>
      </c>
      <c r="R2860">
        <v>5.8735559999999999E-2</v>
      </c>
      <c r="S2860">
        <v>3.0008849999999998</v>
      </c>
      <c r="T2860">
        <v>-0.1631793</v>
      </c>
      <c r="U2860">
        <v>6.5017699999999998E-2</v>
      </c>
      <c r="V2860">
        <v>-6.2100639999999999E-2</v>
      </c>
      <c r="W2860">
        <v>1.257321E-2</v>
      </c>
      <c r="X2860">
        <v>0.99799069999999901</v>
      </c>
      <c r="Y2860">
        <v>-2.500842E-2</v>
      </c>
      <c r="Z2860">
        <v>8.6355280000000002E-4</v>
      </c>
      <c r="AA2860">
        <v>0.99968690000000004</v>
      </c>
      <c r="AB2860">
        <v>33</v>
      </c>
      <c r="AC2860">
        <v>19.9710999999999</v>
      </c>
      <c r="AD2860">
        <v>-1.103713607872</v>
      </c>
      <c r="AE2860">
        <v>0.441400000000015</v>
      </c>
      <c r="AF2860">
        <v>-0.50755371256748605</v>
      </c>
      <c r="AG2860">
        <v>-1.103713607872</v>
      </c>
      <c r="AH2860">
        <v>19.908711718128298</v>
      </c>
      <c r="AI2860">
        <v>93.172128231546196</v>
      </c>
      <c r="AJ2860">
        <v>91.460385190954597</v>
      </c>
      <c r="AK2860">
        <v>19.945741319261099</v>
      </c>
    </row>
    <row r="2861" spans="1:37" x14ac:dyDescent="0.2">
      <c r="A2861" t="str">
        <f>"20200111155900909"</f>
        <v>20200111155900909</v>
      </c>
      <c r="B2861" t="str">
        <f>"1578729540904667"</f>
        <v>1578729540904667</v>
      </c>
      <c r="C2861" t="s">
        <v>37</v>
      </c>
      <c r="D2861">
        <v>4.5250659999999998</v>
      </c>
      <c r="E2861">
        <v>0.51154489999999997</v>
      </c>
      <c r="F2861" t="s">
        <v>52</v>
      </c>
      <c r="G2861">
        <v>-401.8845</v>
      </c>
      <c r="H2861" s="1">
        <v>7.618525E-6</v>
      </c>
      <c r="I2861">
        <v>214.3647</v>
      </c>
      <c r="J2861">
        <v>-422.03230000000002</v>
      </c>
      <c r="K2861">
        <v>1.103739</v>
      </c>
      <c r="L2861">
        <v>213.93549999999999</v>
      </c>
      <c r="M2861">
        <v>0.99988909999999998</v>
      </c>
      <c r="N2861">
        <v>0</v>
      </c>
      <c r="O2861">
        <v>-4.0745729999999997E-3</v>
      </c>
      <c r="P2861">
        <v>0.99827009999999905</v>
      </c>
      <c r="Q2861">
        <v>2.077743E-4</v>
      </c>
      <c r="R2861">
        <v>5.8797349999999998E-2</v>
      </c>
      <c r="S2861">
        <v>3.0012209999999899</v>
      </c>
      <c r="T2861">
        <v>-0.16178120000000001</v>
      </c>
      <c r="U2861">
        <v>6.2652589999999994E-2</v>
      </c>
      <c r="V2861">
        <v>-6.2843170000000004E-2</v>
      </c>
      <c r="W2861">
        <v>1.459243E-2</v>
      </c>
      <c r="X2861">
        <v>0.99791679999999905</v>
      </c>
      <c r="Y2861">
        <v>-2.490303E-2</v>
      </c>
      <c r="Z2861">
        <v>8.9012229999999905E-4</v>
      </c>
      <c r="AA2861">
        <v>0.99968950000000001</v>
      </c>
      <c r="AB2861">
        <v>33</v>
      </c>
      <c r="AC2861">
        <v>20.1478</v>
      </c>
      <c r="AD2861">
        <v>-1.1037313814749901</v>
      </c>
      <c r="AE2861">
        <v>0.42920000000000802</v>
      </c>
      <c r="AF2861">
        <v>-0.509769398341261</v>
      </c>
      <c r="AG2861">
        <v>-1.1037313814749901</v>
      </c>
      <c r="AH2861">
        <v>20.085633319831999</v>
      </c>
      <c r="AI2861">
        <v>93.144302923272093</v>
      </c>
      <c r="AJ2861">
        <v>91.453843440919698</v>
      </c>
      <c r="AK2861">
        <v>20.1223943322032</v>
      </c>
    </row>
    <row r="2862" spans="1:37" x14ac:dyDescent="0.2">
      <c r="A2862" t="str">
        <f>"20200111155900932"</f>
        <v>20200111155900932</v>
      </c>
      <c r="B2862" t="str">
        <f>"1578729540925165"</f>
        <v>1578729540925165</v>
      </c>
      <c r="C2862" t="s">
        <v>37</v>
      </c>
      <c r="D2862">
        <v>5.2396529999999997</v>
      </c>
      <c r="E2862">
        <v>0.51183210000000001</v>
      </c>
      <c r="F2862" t="s">
        <v>52</v>
      </c>
      <c r="G2862">
        <v>-400.56229999999999</v>
      </c>
      <c r="H2862" s="1">
        <v>8.1611209999999996E-6</v>
      </c>
      <c r="I2862">
        <v>214.57640000000001</v>
      </c>
      <c r="J2862">
        <v>-421.68810000000002</v>
      </c>
      <c r="K2862">
        <v>1.1037539999999999</v>
      </c>
      <c r="L2862">
        <v>213.9333</v>
      </c>
      <c r="M2862">
        <v>0.99988569999999999</v>
      </c>
      <c r="N2862">
        <v>0</v>
      </c>
      <c r="O2862">
        <v>-4.7956420000000001E-3</v>
      </c>
      <c r="P2862">
        <v>0.99826879999999996</v>
      </c>
      <c r="Q2862">
        <v>1.3292689999999999E-3</v>
      </c>
      <c r="R2862">
        <v>5.8802489999999999E-2</v>
      </c>
      <c r="S2862">
        <v>2.9999389999999999</v>
      </c>
      <c r="T2862">
        <v>-0.1542211</v>
      </c>
      <c r="U2862">
        <v>8.9553830000000001E-2</v>
      </c>
      <c r="V2862">
        <v>-6.3566289999999998E-2</v>
      </c>
      <c r="W2862">
        <v>1.5733850000000001E-2</v>
      </c>
      <c r="X2862">
        <v>0.99785360000000001</v>
      </c>
      <c r="Y2862">
        <v>-3.458029E-2</v>
      </c>
      <c r="Z2862">
        <v>1.1344149999999999E-3</v>
      </c>
      <c r="AA2862">
        <v>0.99940130000000005</v>
      </c>
      <c r="AB2862">
        <v>33</v>
      </c>
      <c r="AC2862">
        <v>21.125800000000002</v>
      </c>
      <c r="AD2862">
        <v>-1.103745838879</v>
      </c>
      <c r="AE2862">
        <v>0.643100000000004</v>
      </c>
      <c r="AF2862">
        <v>-0.74239018112965205</v>
      </c>
      <c r="AG2862">
        <v>-1.103745838879</v>
      </c>
      <c r="AH2862">
        <v>21.065025072373199</v>
      </c>
      <c r="AI2862">
        <v>92.997531176715498</v>
      </c>
      <c r="AJ2862">
        <v>92.018427535695906</v>
      </c>
      <c r="AK2862">
        <v>21.106981768068799</v>
      </c>
    </row>
    <row r="2863" spans="1:37" x14ac:dyDescent="0.2">
      <c r="A2863" t="str">
        <f>"20200111155900954"</f>
        <v>20200111155900954</v>
      </c>
      <c r="B2863" t="str">
        <f>"1578729540944684"</f>
        <v>1578729540944684</v>
      </c>
      <c r="C2863" t="s">
        <v>37</v>
      </c>
      <c r="D2863">
        <v>5.7997559999999897</v>
      </c>
      <c r="E2863">
        <v>0.51225410000000005</v>
      </c>
      <c r="F2863" t="s">
        <v>52</v>
      </c>
      <c r="G2863">
        <v>-400.02730000000003</v>
      </c>
      <c r="H2863" s="1">
        <v>8.4010740000000005E-6</v>
      </c>
      <c r="I2863">
        <v>214.5634</v>
      </c>
      <c r="J2863">
        <v>-421.35719999999998</v>
      </c>
      <c r="K2863">
        <v>1.103761</v>
      </c>
      <c r="L2863">
        <v>213.93099999999899</v>
      </c>
      <c r="M2863">
        <v>0.99988199999999905</v>
      </c>
      <c r="N2863">
        <v>0</v>
      </c>
      <c r="O2863">
        <v>-5.4890310000000001E-3</v>
      </c>
      <c r="P2863">
        <v>0.99826510000000002</v>
      </c>
      <c r="Q2863">
        <v>2.809743E-3</v>
      </c>
      <c r="R2863">
        <v>5.8815010000000001E-2</v>
      </c>
      <c r="S2863">
        <v>3.0002749999999998</v>
      </c>
      <c r="T2863">
        <v>-0.15288160000000001</v>
      </c>
      <c r="U2863">
        <v>8.7280269999999993E-2</v>
      </c>
      <c r="V2863">
        <v>-6.4268420000000007E-2</v>
      </c>
      <c r="W2863">
        <v>1.723044E-2</v>
      </c>
      <c r="X2863">
        <v>0.99778389999999995</v>
      </c>
      <c r="Y2863">
        <v>-3.4513439999999999E-2</v>
      </c>
      <c r="Z2863">
        <v>1.158067E-3</v>
      </c>
      <c r="AA2863">
        <v>0.9994035</v>
      </c>
      <c r="AB2863">
        <v>33</v>
      </c>
      <c r="AC2863">
        <v>21.329899999999899</v>
      </c>
      <c r="AD2863">
        <v>-1.103752598926</v>
      </c>
      <c r="AE2863">
        <v>0.63240000000001795</v>
      </c>
      <c r="AF2863">
        <v>-0.74748321014211605</v>
      </c>
      <c r="AG2863">
        <v>-1.103752598926</v>
      </c>
      <c r="AH2863">
        <v>21.269203939833201</v>
      </c>
      <c r="AI2863">
        <v>92.968835826419806</v>
      </c>
      <c r="AJ2863">
        <v>92.012769932845998</v>
      </c>
      <c r="AK2863">
        <v>21.3109370320335</v>
      </c>
    </row>
    <row r="2864" spans="1:37" x14ac:dyDescent="0.2">
      <c r="A2864" t="str">
        <f>"20200111155900976"</f>
        <v>20200111155900976</v>
      </c>
      <c r="B2864" t="str">
        <f>"1578729540964710"</f>
        <v>1578729540964710</v>
      </c>
      <c r="C2864" t="s">
        <v>37</v>
      </c>
      <c r="D2864">
        <v>4.8995259999999998</v>
      </c>
      <c r="E2864">
        <v>0.51258349999999997</v>
      </c>
      <c r="F2864" t="s">
        <v>50</v>
      </c>
      <c r="G2864">
        <v>-399.01549999999997</v>
      </c>
      <c r="H2864" s="1">
        <v>3.2608019999999998E-6</v>
      </c>
      <c r="I2864">
        <v>214.55670000000001</v>
      </c>
      <c r="J2864">
        <v>-421.05919999999998</v>
      </c>
      <c r="K2864">
        <v>1.1037760000000001</v>
      </c>
      <c r="L2864">
        <v>213.92859999999999</v>
      </c>
      <c r="M2864">
        <v>0.9998783</v>
      </c>
      <c r="N2864">
        <v>0</v>
      </c>
      <c r="O2864">
        <v>-6.1131340000000001E-3</v>
      </c>
      <c r="P2864">
        <v>0.99828499999999998</v>
      </c>
      <c r="Q2864">
        <v>3.337572E-3</v>
      </c>
      <c r="R2864">
        <v>5.844887E-2</v>
      </c>
      <c r="S2864">
        <v>3.0006710000000001</v>
      </c>
      <c r="T2864">
        <v>-0.14824370000000001</v>
      </c>
      <c r="U2864">
        <v>8.4045410000000001E-2</v>
      </c>
      <c r="V2864">
        <v>-6.4524719999999994E-2</v>
      </c>
      <c r="W2864">
        <v>1.7770609999999999E-2</v>
      </c>
      <c r="X2864">
        <v>0.99775789999999998</v>
      </c>
      <c r="Y2864">
        <v>-3.4059779999999998E-2</v>
      </c>
      <c r="Z2864">
        <v>1.1424619999999999E-3</v>
      </c>
      <c r="AA2864">
        <v>0.99941919999999995</v>
      </c>
      <c r="AB2864">
        <v>33</v>
      </c>
      <c r="AC2864">
        <v>22.043700000000001</v>
      </c>
      <c r="AD2864">
        <v>-1.1037727391979999</v>
      </c>
      <c r="AE2864">
        <v>0.62810000000001698</v>
      </c>
      <c r="AF2864">
        <v>-0.76095191931283801</v>
      </c>
      <c r="AG2864">
        <v>-1.1037727391979999</v>
      </c>
      <c r="AH2864">
        <v>21.9843732850386</v>
      </c>
      <c r="AI2864">
        <v>92.872526996057104</v>
      </c>
      <c r="AJ2864">
        <v>91.982405114872407</v>
      </c>
      <c r="AK2864">
        <v>22.025213524940501</v>
      </c>
    </row>
    <row r="2865" spans="1:37" x14ac:dyDescent="0.2">
      <c r="A2865" t="str">
        <f>"20200111155901199"</f>
        <v>20200111155901199</v>
      </c>
      <c r="B2865" t="str">
        <f>"1578729541194579"</f>
        <v>1578729541194579</v>
      </c>
      <c r="C2865" t="s">
        <v>37</v>
      </c>
      <c r="D2865">
        <v>4.2841639999999996</v>
      </c>
      <c r="E2865">
        <v>0.52722150000000001</v>
      </c>
      <c r="F2865" t="s">
        <v>50</v>
      </c>
      <c r="G2865">
        <v>-398.48759999999999</v>
      </c>
      <c r="H2865" s="1">
        <v>2.9798779999999999E-6</v>
      </c>
      <c r="I2865">
        <v>214.5335</v>
      </c>
      <c r="J2865">
        <v>-417.84289999999999</v>
      </c>
      <c r="K2865">
        <v>1.1038479999999999</v>
      </c>
      <c r="L2865">
        <v>213.8922</v>
      </c>
      <c r="M2865">
        <v>0.9998146</v>
      </c>
      <c r="N2865">
        <v>0</v>
      </c>
      <c r="O2865">
        <v>-1.2778609999999999E-2</v>
      </c>
      <c r="P2865">
        <v>0.99835839999999998</v>
      </c>
      <c r="Q2865">
        <v>5.759615E-4</v>
      </c>
      <c r="R2865">
        <v>5.7277469999999997E-2</v>
      </c>
      <c r="S2865">
        <v>3.0009459999999999</v>
      </c>
      <c r="T2865">
        <v>-0.14674889999999999</v>
      </c>
      <c r="U2865">
        <v>8.0413819999999997E-2</v>
      </c>
      <c r="V2865">
        <v>-7.0010559999999999E-2</v>
      </c>
      <c r="W2865">
        <v>1.505396E-2</v>
      </c>
      <c r="X2865">
        <v>0.997432599999999</v>
      </c>
      <c r="Y2865">
        <v>-3.9497280000000003E-2</v>
      </c>
      <c r="Z2865">
        <v>1.589455E-3</v>
      </c>
      <c r="AA2865">
        <v>0.99921839999999995</v>
      </c>
      <c r="AB2865">
        <v>32</v>
      </c>
      <c r="AC2865">
        <v>19.3553</v>
      </c>
      <c r="AD2865">
        <v>-1.103845020122</v>
      </c>
      <c r="AE2865">
        <v>0.64130000000000098</v>
      </c>
      <c r="AF2865">
        <v>-0.88572944890993099</v>
      </c>
      <c r="AG2865">
        <v>-1.103845020122</v>
      </c>
      <c r="AH2865">
        <v>19.282874900380602</v>
      </c>
      <c r="AI2865">
        <v>93.272868502969402</v>
      </c>
      <c r="AJ2865">
        <v>92.629945658864102</v>
      </c>
      <c r="AK2865">
        <v>19.334742173322201</v>
      </c>
    </row>
    <row r="2866" spans="1:37" x14ac:dyDescent="0.2">
      <c r="A2866" t="str">
        <f>"20200111155901233"</f>
        <v>20200111155901233</v>
      </c>
      <c r="B2866" t="str">
        <f>"1578729541224834"</f>
        <v>1578729541224834</v>
      </c>
      <c r="C2866" t="s">
        <v>37</v>
      </c>
      <c r="D2866">
        <v>5.9738949999999997</v>
      </c>
      <c r="E2866">
        <v>0.52113679999999996</v>
      </c>
      <c r="F2866" t="s">
        <v>50</v>
      </c>
      <c r="G2866">
        <v>-372.60680000000002</v>
      </c>
      <c r="H2866" s="1">
        <v>-1.496056E-7</v>
      </c>
      <c r="I2866">
        <v>213.24610000000001</v>
      </c>
      <c r="J2866">
        <v>-417.33659999999998</v>
      </c>
      <c r="K2866">
        <v>1.1038779999999999</v>
      </c>
      <c r="L2866">
        <v>213.88460000000001</v>
      </c>
      <c r="M2866">
        <v>0.99980170000000002</v>
      </c>
      <c r="N2866">
        <v>0</v>
      </c>
      <c r="O2866">
        <v>-1.3750429999999999E-2</v>
      </c>
      <c r="P2866">
        <v>0.99837039999999999</v>
      </c>
      <c r="Q2866">
        <v>1.9929679999999999E-3</v>
      </c>
      <c r="R2866">
        <v>5.7033349999999997E-2</v>
      </c>
      <c r="S2866">
        <v>3.0074459999999998</v>
      </c>
      <c r="T2866">
        <v>-7.3387380000000002E-2</v>
      </c>
      <c r="U2866">
        <v>-4.2953489999999997E-2</v>
      </c>
      <c r="V2866">
        <v>-7.0735220000000001E-2</v>
      </c>
      <c r="W2866">
        <v>1.646618E-2</v>
      </c>
      <c r="X2866">
        <v>0.997359199999999</v>
      </c>
      <c r="Y2866">
        <v>5.3305559999999896E-4</v>
      </c>
      <c r="Z2866">
        <v>3.2898569999999998E-4</v>
      </c>
      <c r="AA2866">
        <v>0.99999979999999999</v>
      </c>
      <c r="AB2866">
        <v>32</v>
      </c>
      <c r="AC2866">
        <v>44.729799999999898</v>
      </c>
      <c r="AD2866">
        <v>-1.1038781496056</v>
      </c>
      <c r="AE2866">
        <v>-0.63849999999999296</v>
      </c>
      <c r="AF2866">
        <v>2.3307628771838101E-2</v>
      </c>
      <c r="AG2866">
        <v>-1.1038781496056</v>
      </c>
      <c r="AH2866">
        <v>44.7071278130366</v>
      </c>
      <c r="AI2866">
        <v>91.414421034687905</v>
      </c>
      <c r="AJ2866">
        <v>89.970129402101506</v>
      </c>
      <c r="AK2866">
        <v>44.720759916463102</v>
      </c>
    </row>
    <row r="2867" spans="1:37" x14ac:dyDescent="0.2">
      <c r="A2867" t="str">
        <f>"20200111155901299"</f>
        <v>20200111155901299</v>
      </c>
      <c r="B2867" t="str">
        <f>"1578729541294933"</f>
        <v>1578729541294933</v>
      </c>
      <c r="C2867" t="s">
        <v>37</v>
      </c>
      <c r="D2867">
        <v>5.1315280000000003</v>
      </c>
      <c r="E2867">
        <v>0.5171713</v>
      </c>
      <c r="F2867" t="s">
        <v>52</v>
      </c>
      <c r="G2867">
        <v>-295.10750000000002</v>
      </c>
      <c r="H2867" s="1">
        <v>1.8003890000000001E-6</v>
      </c>
      <c r="I2867">
        <v>214.03360000000001</v>
      </c>
      <c r="J2867">
        <v>-416.3922</v>
      </c>
      <c r="K2867">
        <v>1.1040449999999999</v>
      </c>
      <c r="L2867">
        <v>213.86949999999999</v>
      </c>
      <c r="M2867">
        <v>0.99978080000000003</v>
      </c>
      <c r="N2867">
        <v>0</v>
      </c>
      <c r="O2867">
        <v>-1.520031E-2</v>
      </c>
      <c r="P2867">
        <v>0.99839549999999999</v>
      </c>
      <c r="Q2867">
        <v>5.8545489999999997E-3</v>
      </c>
      <c r="R2867">
        <v>5.632185E-2</v>
      </c>
      <c r="S2867">
        <v>3.0047299999999999</v>
      </c>
      <c r="T2867">
        <v>-2.713633E-2</v>
      </c>
      <c r="U2867">
        <v>3.6621090000000002E-3</v>
      </c>
      <c r="V2867">
        <v>-7.1472049999999995E-2</v>
      </c>
      <c r="W2867">
        <v>2.0298819999999999E-2</v>
      </c>
      <c r="X2867">
        <v>0.99723600000000001</v>
      </c>
      <c r="Y2867">
        <v>-1.6419220000000002E-2</v>
      </c>
      <c r="Z2867">
        <v>2.1142590000000001E-4</v>
      </c>
      <c r="AA2867">
        <v>0.99986520000000001</v>
      </c>
      <c r="AB2867">
        <v>32</v>
      </c>
      <c r="AC2867">
        <v>121.2847</v>
      </c>
      <c r="AD2867">
        <v>-1.1040431996110001</v>
      </c>
      <c r="AE2867">
        <v>0.16410000000001901</v>
      </c>
      <c r="AF2867">
        <v>-2.0076708320750898</v>
      </c>
      <c r="AG2867">
        <v>-1.1040431996110001</v>
      </c>
      <c r="AH2867">
        <v>121.25814249331999</v>
      </c>
      <c r="AI2867">
        <v>90.521586415431898</v>
      </c>
      <c r="AJ2867">
        <v>90.948559440027097</v>
      </c>
      <c r="AK2867">
        <v>121.27978716376001</v>
      </c>
    </row>
    <row r="2868" spans="1:37" x14ac:dyDescent="0.2">
      <c r="A2868" t="str">
        <f>"20200111155901322"</f>
        <v>20200111155901322</v>
      </c>
      <c r="B2868" t="str">
        <f>"1578729541314453"</f>
        <v>1578729541314453</v>
      </c>
      <c r="C2868" t="s">
        <v>37</v>
      </c>
      <c r="D2868">
        <v>5.1081180000000002</v>
      </c>
      <c r="E2868">
        <v>0.51462050000000004</v>
      </c>
      <c r="F2868" t="s">
        <v>49</v>
      </c>
      <c r="G2868">
        <v>-179.9555</v>
      </c>
      <c r="H2868">
        <v>5.2190979999999998E-2</v>
      </c>
      <c r="I2868">
        <v>216.46199999999999</v>
      </c>
      <c r="J2868">
        <v>-416.07420000000002</v>
      </c>
      <c r="K2868">
        <v>1.104144</v>
      </c>
      <c r="L2868">
        <v>213.86429999999999</v>
      </c>
      <c r="M2868">
        <v>0.99977649999999996</v>
      </c>
      <c r="N2868">
        <v>0</v>
      </c>
      <c r="O2868">
        <v>-1.5479649999999999E-2</v>
      </c>
      <c r="P2868">
        <v>0.99846009999999996</v>
      </c>
      <c r="Q2868">
        <v>5.9244379999999998E-3</v>
      </c>
      <c r="R2868">
        <v>5.5161870000000002E-2</v>
      </c>
      <c r="S2868">
        <v>3.0030519999999998</v>
      </c>
      <c r="T2868">
        <v>-1.3359899999999999E-2</v>
      </c>
      <c r="U2868">
        <v>3.2928470000000001E-2</v>
      </c>
      <c r="V2868">
        <v>-7.0597010000000002E-2</v>
      </c>
      <c r="W2868">
        <v>2.0351259999999999E-2</v>
      </c>
      <c r="X2868">
        <v>0.99729729999999905</v>
      </c>
      <c r="Y2868">
        <v>-2.6442940000000002E-2</v>
      </c>
      <c r="Z2868">
        <v>1.2768689999999999E-4</v>
      </c>
      <c r="AA2868">
        <v>0.99965029999999999</v>
      </c>
      <c r="AB2868">
        <v>32</v>
      </c>
      <c r="AC2868">
        <v>236.11869999999999</v>
      </c>
      <c r="AD2868">
        <v>-1.05195302</v>
      </c>
      <c r="AE2868">
        <v>2.5977000000000299</v>
      </c>
      <c r="AF2868">
        <v>-6.2526783879111703</v>
      </c>
      <c r="AG2868">
        <v>-1.05195302</v>
      </c>
      <c r="AH2868">
        <v>236.04550282419899</v>
      </c>
      <c r="AI2868">
        <v>90.255251356292206</v>
      </c>
      <c r="AJ2868">
        <v>91.5173698298331</v>
      </c>
      <c r="AK2868">
        <v>236.13064603246201</v>
      </c>
    </row>
    <row r="2869" spans="1:37" x14ac:dyDescent="0.2">
      <c r="A2869" t="str">
        <f>"20200111155901343"</f>
        <v>20200111155901343</v>
      </c>
      <c r="B2869" t="str">
        <f>"1578729541334948"</f>
        <v>1578729541334948</v>
      </c>
      <c r="C2869" t="s">
        <v>37</v>
      </c>
      <c r="D2869">
        <v>5.1046899999999997</v>
      </c>
      <c r="E2869">
        <v>0.51327129999999999</v>
      </c>
      <c r="F2869" t="s">
        <v>69</v>
      </c>
      <c r="G2869">
        <v>-107.39749999999999</v>
      </c>
      <c r="H2869">
        <v>0.94639280000000003</v>
      </c>
      <c r="I2869">
        <v>218.96510000000001</v>
      </c>
      <c r="J2869">
        <v>-415.76190000000003</v>
      </c>
      <c r="K2869">
        <v>1.104257</v>
      </c>
      <c r="L2869">
        <v>213.85919999999999</v>
      </c>
      <c r="M2869">
        <v>0.99977450000000001</v>
      </c>
      <c r="N2869">
        <v>0</v>
      </c>
      <c r="O2869">
        <v>-1.5609899999999999E-2</v>
      </c>
      <c r="P2869">
        <v>0.99853819999999904</v>
      </c>
      <c r="Q2869">
        <v>6.0791209999999998E-3</v>
      </c>
      <c r="R2869">
        <v>5.371049E-2</v>
      </c>
      <c r="S2869">
        <v>3.0018919999999998</v>
      </c>
      <c r="T2869">
        <v>-1.533628E-3</v>
      </c>
      <c r="U2869">
        <v>4.9606320000000002E-2</v>
      </c>
      <c r="V2869">
        <v>-6.9282319999999994E-2</v>
      </c>
      <c r="W2869">
        <v>2.048523E-2</v>
      </c>
      <c r="X2869">
        <v>0.99738680000000002</v>
      </c>
      <c r="Y2869">
        <v>-3.213013E-2</v>
      </c>
      <c r="Z2869" s="1">
        <v>1.6182059999999999E-5</v>
      </c>
      <c r="AA2869">
        <v>0.99948369999999997</v>
      </c>
      <c r="AB2869">
        <v>32</v>
      </c>
      <c r="AC2869">
        <v>308.36439999999999</v>
      </c>
      <c r="AD2869">
        <v>-0.15786420000000001</v>
      </c>
      <c r="AE2869">
        <v>5.1059000000000196</v>
      </c>
      <c r="AF2869">
        <v>-9.9193115599894508</v>
      </c>
      <c r="AG2869">
        <v>-0.15786420000000001</v>
      </c>
      <c r="AH2869">
        <v>308.24702888779598</v>
      </c>
      <c r="AI2869">
        <v>90.029328010348493</v>
      </c>
      <c r="AJ2869">
        <v>91.843127685199093</v>
      </c>
      <c r="AK2869">
        <v>308.40662846489499</v>
      </c>
    </row>
    <row r="2870" spans="1:37" x14ac:dyDescent="0.2">
      <c r="A2870" t="str">
        <f>"20200111155901367"</f>
        <v>20200111155901367</v>
      </c>
      <c r="B2870" t="str">
        <f>"1578729541354468"</f>
        <v>1578729541354468</v>
      </c>
      <c r="C2870" t="s">
        <v>37</v>
      </c>
      <c r="D2870">
        <v>5.170534</v>
      </c>
      <c r="E2870">
        <v>0.51254889999999997</v>
      </c>
      <c r="F2870" t="s">
        <v>67</v>
      </c>
      <c r="G2870">
        <v>-141.2441</v>
      </c>
      <c r="H2870">
        <v>1.614876</v>
      </c>
      <c r="I2870">
        <v>218.9588</v>
      </c>
      <c r="J2870">
        <v>-415.44240000000002</v>
      </c>
      <c r="K2870">
        <v>1.104401</v>
      </c>
      <c r="L2870">
        <v>213.85419999999999</v>
      </c>
      <c r="M2870">
        <v>0.99977549999999904</v>
      </c>
      <c r="N2870">
        <v>0</v>
      </c>
      <c r="O2870">
        <v>-1.5548620000000001E-2</v>
      </c>
      <c r="P2870">
        <v>0.99865630000000005</v>
      </c>
      <c r="Q2870">
        <v>5.1549819999999998E-3</v>
      </c>
      <c r="R2870">
        <v>5.1569320000000002E-2</v>
      </c>
      <c r="S2870">
        <v>3.001404</v>
      </c>
      <c r="T2870">
        <v>5.5834049999999996E-3</v>
      </c>
      <c r="U2870">
        <v>5.5755619999999999E-2</v>
      </c>
      <c r="V2870">
        <v>-6.7089070000000001E-2</v>
      </c>
      <c r="W2870">
        <v>1.953746E-2</v>
      </c>
      <c r="X2870">
        <v>0.99755569999999905</v>
      </c>
      <c r="Y2870">
        <v>-3.4118530000000001E-2</v>
      </c>
      <c r="Z2870" s="1">
        <v>-6.0657169999999997E-5</v>
      </c>
      <c r="AA2870">
        <v>0.99941780000000002</v>
      </c>
      <c r="AB2870">
        <v>32</v>
      </c>
      <c r="AC2870">
        <v>274.19830000000002</v>
      </c>
      <c r="AD2870">
        <v>0.51047500000000001</v>
      </c>
      <c r="AE2870">
        <v>5.1045999999999996</v>
      </c>
      <c r="AF2870">
        <v>-9.3677972424556799</v>
      </c>
      <c r="AG2870">
        <v>0.51047500000000001</v>
      </c>
      <c r="AH2870">
        <v>274.08481875530998</v>
      </c>
      <c r="AI2870">
        <v>89.893350674950796</v>
      </c>
      <c r="AJ2870">
        <v>91.957519556519799</v>
      </c>
      <c r="AK2870">
        <v>274.24533557023801</v>
      </c>
    </row>
    <row r="2871" spans="1:37" x14ac:dyDescent="0.2">
      <c r="A2871" t="str">
        <f>"20200111155901387"</f>
        <v>20200111155901387</v>
      </c>
      <c r="B2871" t="str">
        <f>"1578729541384725"</f>
        <v>1578729541384725</v>
      </c>
      <c r="C2871" t="s">
        <v>37</v>
      </c>
      <c r="D2871">
        <v>5.100689</v>
      </c>
      <c r="E2871">
        <v>0.51180959999999998</v>
      </c>
      <c r="F2871" t="s">
        <v>67</v>
      </c>
      <c r="G2871">
        <v>-140.30789999999999</v>
      </c>
      <c r="H2871">
        <v>1.390574</v>
      </c>
      <c r="I2871">
        <v>218.89709999999999</v>
      </c>
      <c r="J2871">
        <v>-415.13740000000001</v>
      </c>
      <c r="K2871">
        <v>1.1045499999999999</v>
      </c>
      <c r="L2871">
        <v>213.84970000000001</v>
      </c>
      <c r="M2871">
        <v>0.99977950000000004</v>
      </c>
      <c r="N2871">
        <v>0</v>
      </c>
      <c r="O2871">
        <v>-1.528585E-2</v>
      </c>
      <c r="P2871">
        <v>0.99874850000000004</v>
      </c>
      <c r="Q2871">
        <v>4.8054889999999996E-3</v>
      </c>
      <c r="R2871">
        <v>4.9785199999999898E-2</v>
      </c>
      <c r="S2871">
        <v>3.0011899999999998</v>
      </c>
      <c r="T2871">
        <v>3.1222109999999902E-3</v>
      </c>
      <c r="U2871">
        <v>5.5007929999999997E-2</v>
      </c>
      <c r="V2871">
        <v>-6.5051139999999993E-2</v>
      </c>
      <c r="W2871">
        <v>1.9164170000000001E-2</v>
      </c>
      <c r="X2871">
        <v>0.99769789999999903</v>
      </c>
      <c r="Y2871">
        <v>-3.360834E-2</v>
      </c>
      <c r="Z2871" s="1">
        <v>-3.3382949999999999E-5</v>
      </c>
      <c r="AA2871">
        <v>0.99943510000000002</v>
      </c>
      <c r="AB2871">
        <v>32</v>
      </c>
      <c r="AC2871">
        <v>274.8295</v>
      </c>
      <c r="AD2871">
        <v>0.286024</v>
      </c>
      <c r="AE2871">
        <v>5.0473999999999801</v>
      </c>
      <c r="AF2871">
        <v>-9.2482381509042693</v>
      </c>
      <c r="AG2871">
        <v>0.286024</v>
      </c>
      <c r="AH2871">
        <v>274.71992426637399</v>
      </c>
      <c r="AI2871">
        <v>89.940380429381193</v>
      </c>
      <c r="AJ2871">
        <v>91.928090879513704</v>
      </c>
      <c r="AK2871">
        <v>274.87569646577901</v>
      </c>
    </row>
    <row r="2872" spans="1:37" x14ac:dyDescent="0.2">
      <c r="A2872" t="str">
        <f>"20200111155901413"</f>
        <v>20200111155901413</v>
      </c>
      <c r="B2872" t="str">
        <f>"1578729541404245"</f>
        <v>1578729541404245</v>
      </c>
      <c r="C2872" t="s">
        <v>37</v>
      </c>
      <c r="D2872">
        <v>5.1506669999999897</v>
      </c>
      <c r="E2872">
        <v>0.51123039999999997</v>
      </c>
      <c r="F2872" t="s">
        <v>67</v>
      </c>
      <c r="G2872">
        <v>-141.2441</v>
      </c>
      <c r="H2872">
        <v>1.1512659999999999</v>
      </c>
      <c r="I2872">
        <v>218.9426</v>
      </c>
      <c r="J2872">
        <v>-414.791</v>
      </c>
      <c r="K2872">
        <v>1.104706</v>
      </c>
      <c r="L2872">
        <v>213.84479999999999</v>
      </c>
      <c r="M2872">
        <v>0.99978709999999904</v>
      </c>
      <c r="N2872">
        <v>0</v>
      </c>
      <c r="O2872">
        <v>-1.478232E-2</v>
      </c>
      <c r="P2872">
        <v>0.99882599999999999</v>
      </c>
      <c r="Q2872">
        <v>4.7231340000000004E-3</v>
      </c>
      <c r="R2872">
        <v>4.8213529999999997E-2</v>
      </c>
      <c r="S2872">
        <v>3.0009769999999998</v>
      </c>
      <c r="T2872">
        <v>5.1248069999999997E-4</v>
      </c>
      <c r="U2872">
        <v>5.5801389999999999E-2</v>
      </c>
      <c r="V2872">
        <v>-6.2986429999999996E-2</v>
      </c>
      <c r="W2872">
        <v>1.9056420000000001E-2</v>
      </c>
      <c r="X2872">
        <v>0.99783239999999995</v>
      </c>
      <c r="Y2872">
        <v>-3.3370469999999999E-2</v>
      </c>
      <c r="Z2872" s="1">
        <v>-5.3735709999999902E-6</v>
      </c>
      <c r="AA2872">
        <v>0.99944310000000003</v>
      </c>
      <c r="AB2872">
        <v>32</v>
      </c>
      <c r="AC2872">
        <v>273.54689999999999</v>
      </c>
      <c r="AD2872">
        <v>4.65599999999999E-2</v>
      </c>
      <c r="AE2872">
        <v>5.0978000000000003</v>
      </c>
      <c r="AF2872">
        <v>-9.1413194865169807</v>
      </c>
      <c r="AG2872">
        <v>4.65599999999999E-2</v>
      </c>
      <c r="AH2872">
        <v>273.44163180983998</v>
      </c>
      <c r="AI2872">
        <v>89.990249465723707</v>
      </c>
      <c r="AJ2872">
        <v>91.914719548683905</v>
      </c>
      <c r="AK2872">
        <v>273.59439302846903</v>
      </c>
    </row>
    <row r="2873" spans="1:37" x14ac:dyDescent="0.2">
      <c r="A2873" t="str">
        <f>"20200111155901434"</f>
        <v>20200111155901434</v>
      </c>
      <c r="B2873" t="str">
        <f>"1578729541424741"</f>
        <v>1578729541424741</v>
      </c>
      <c r="C2873" t="s">
        <v>37</v>
      </c>
      <c r="D2873">
        <v>5.1975280000000001</v>
      </c>
      <c r="E2873">
        <v>0.51056800000000002</v>
      </c>
      <c r="F2873" t="s">
        <v>67</v>
      </c>
      <c r="G2873">
        <v>-141.2441</v>
      </c>
      <c r="H2873">
        <v>0.79628180000000004</v>
      </c>
      <c r="I2873">
        <v>218.91900000000001</v>
      </c>
      <c r="J2873">
        <v>-414.47609999999997</v>
      </c>
      <c r="K2873">
        <v>1.1048519999999999</v>
      </c>
      <c r="L2873">
        <v>213.8408</v>
      </c>
      <c r="M2873">
        <v>0.99979649999999998</v>
      </c>
      <c r="N2873">
        <v>0</v>
      </c>
      <c r="O2873">
        <v>-1.414106E-2</v>
      </c>
      <c r="P2873">
        <v>0.99886379999999997</v>
      </c>
      <c r="Q2873">
        <v>5.4518190000000001E-3</v>
      </c>
      <c r="R2873">
        <v>4.7344110000000002E-2</v>
      </c>
      <c r="S2873">
        <v>3.0008240000000002</v>
      </c>
      <c r="T2873">
        <v>-3.3828019999999999E-3</v>
      </c>
      <c r="U2873">
        <v>5.5664060000000001E-2</v>
      </c>
      <c r="V2873">
        <v>-6.1484829999999997E-2</v>
      </c>
      <c r="W2873">
        <v>1.9763920000000001E-2</v>
      </c>
      <c r="X2873">
        <v>0.99791229999999997</v>
      </c>
      <c r="Y2873">
        <v>-3.2684619999999998E-2</v>
      </c>
      <c r="Z2873" s="1">
        <v>3.4362439999999998E-5</v>
      </c>
      <c r="AA2873">
        <v>0.99946569999999901</v>
      </c>
      <c r="AB2873">
        <v>32</v>
      </c>
      <c r="AC2873">
        <v>273.23200000000003</v>
      </c>
      <c r="AD2873">
        <v>-0.30857019999999902</v>
      </c>
      <c r="AE2873">
        <v>5.0782000000000096</v>
      </c>
      <c r="AF2873">
        <v>-8.9418707752997904</v>
      </c>
      <c r="AG2873">
        <v>-0.30857019999999902</v>
      </c>
      <c r="AH2873">
        <v>273.13250713802802</v>
      </c>
      <c r="AI2873">
        <v>90.064694956749705</v>
      </c>
      <c r="AJ2873">
        <v>91.875091844580098</v>
      </c>
      <c r="AK2873">
        <v>273.27901259342201</v>
      </c>
    </row>
    <row r="2874" spans="1:37" x14ac:dyDescent="0.2">
      <c r="A2874" t="str">
        <f>"20200111155901456"</f>
        <v>20200111155901456</v>
      </c>
      <c r="B2874" t="str">
        <f>"1578729541444260"</f>
        <v>1578729541444260</v>
      </c>
      <c r="C2874" t="s">
        <v>37</v>
      </c>
      <c r="D2874">
        <v>5.165953</v>
      </c>
      <c r="E2874">
        <v>0.5102177</v>
      </c>
      <c r="F2874" t="s">
        <v>67</v>
      </c>
      <c r="G2874">
        <v>-141.2441</v>
      </c>
      <c r="H2874">
        <v>0.70217510000000005</v>
      </c>
      <c r="I2874">
        <v>219.15379999999999</v>
      </c>
      <c r="J2874">
        <v>-414.16390000000001</v>
      </c>
      <c r="K2874">
        <v>1.1049929999999999</v>
      </c>
      <c r="L2874">
        <v>213.83709999999999</v>
      </c>
      <c r="M2874">
        <v>0.99980749999999996</v>
      </c>
      <c r="N2874">
        <v>0</v>
      </c>
      <c r="O2874">
        <v>-1.332934E-2</v>
      </c>
      <c r="P2874">
        <v>0.99886810000000004</v>
      </c>
      <c r="Q2874">
        <v>6.1914919999999998E-3</v>
      </c>
      <c r="R2874">
        <v>4.7165220000000001E-2</v>
      </c>
      <c r="S2874">
        <v>3.0007320000000002</v>
      </c>
      <c r="T2874">
        <v>-4.421711E-3</v>
      </c>
      <c r="U2874">
        <v>5.8349610000000003E-2</v>
      </c>
      <c r="V2874">
        <v>-6.0503689999999999E-2</v>
      </c>
      <c r="W2874">
        <v>2.0482360000000002E-2</v>
      </c>
      <c r="X2874">
        <v>0.99795780000000001</v>
      </c>
      <c r="Y2874">
        <v>-3.2767879999999999E-2</v>
      </c>
      <c r="Z2874" s="1">
        <v>4.37818999999999E-5</v>
      </c>
      <c r="AA2874">
        <v>0.99946299999999899</v>
      </c>
      <c r="AB2874">
        <v>32</v>
      </c>
      <c r="AC2874">
        <v>272.91980000000001</v>
      </c>
      <c r="AD2874">
        <v>-0.40281790000000001</v>
      </c>
      <c r="AE2874">
        <v>5.3166999999999902</v>
      </c>
      <c r="AF2874">
        <v>-8.9544259817611191</v>
      </c>
      <c r="AG2874">
        <v>-0.40281790000000001</v>
      </c>
      <c r="AH2874">
        <v>272.82407933099603</v>
      </c>
      <c r="AI2874">
        <v>90.084550189901407</v>
      </c>
      <c r="AJ2874">
        <v>91.879844006701802</v>
      </c>
      <c r="AK2874">
        <v>272.97128469809599</v>
      </c>
    </row>
    <row r="2875" spans="1:37" x14ac:dyDescent="0.2">
      <c r="A2875" t="str">
        <f>"20200111155901477"</f>
        <v>20200111155901477</v>
      </c>
      <c r="B2875" t="str">
        <f>"1578729541474517"</f>
        <v>1578729541474517</v>
      </c>
      <c r="C2875" t="s">
        <v>37</v>
      </c>
      <c r="D2875">
        <v>5.1696179999999998</v>
      </c>
      <c r="E2875">
        <v>0.51002420000000004</v>
      </c>
      <c r="F2875" t="s">
        <v>67</v>
      </c>
      <c r="G2875">
        <v>-157.8382</v>
      </c>
      <c r="H2875">
        <v>0.48792839999999998</v>
      </c>
      <c r="I2875">
        <v>219.03149999999999</v>
      </c>
      <c r="J2875">
        <v>-413.87099999999998</v>
      </c>
      <c r="K2875">
        <v>1.105132</v>
      </c>
      <c r="L2875">
        <v>213.83410000000001</v>
      </c>
      <c r="M2875">
        <v>0.99981929999999997</v>
      </c>
      <c r="N2875">
        <v>0</v>
      </c>
      <c r="O2875">
        <v>-1.242062E-2</v>
      </c>
      <c r="P2875">
        <v>0.99884549999999905</v>
      </c>
      <c r="Q2875">
        <v>6.3456540000000001E-3</v>
      </c>
      <c r="R2875">
        <v>4.7617369999999999E-2</v>
      </c>
      <c r="S2875">
        <v>3.0005799999999998</v>
      </c>
      <c r="T2875">
        <v>-7.2227719999999997E-3</v>
      </c>
      <c r="U2875">
        <v>6.0806270000000003E-2</v>
      </c>
      <c r="V2875">
        <v>-6.005477E-2</v>
      </c>
      <c r="W2875">
        <v>2.0617280000000002E-2</v>
      </c>
      <c r="X2875">
        <v>0.99798209999999998</v>
      </c>
      <c r="Y2875">
        <v>-3.267834E-2</v>
      </c>
      <c r="Z2875" s="1">
        <v>6.9224679999999993E-5</v>
      </c>
      <c r="AA2875">
        <v>0.99946590000000002</v>
      </c>
      <c r="AB2875">
        <v>32</v>
      </c>
      <c r="AC2875">
        <v>256.03279999999899</v>
      </c>
      <c r="AD2875">
        <v>-0.61720359999999996</v>
      </c>
      <c r="AE2875">
        <v>5.1973999999999796</v>
      </c>
      <c r="AF2875">
        <v>-8.3773657912037098</v>
      </c>
      <c r="AG2875">
        <v>-0.61720359999999996</v>
      </c>
      <c r="AH2875">
        <v>255.94699746445701</v>
      </c>
      <c r="AI2875">
        <v>90.1380917379701</v>
      </c>
      <c r="AJ2875">
        <v>91.874670978837102</v>
      </c>
      <c r="AK2875">
        <v>256.08480374468598</v>
      </c>
    </row>
    <row r="2876" spans="1:37" x14ac:dyDescent="0.2">
      <c r="A2876" t="str">
        <f>"20200111155901500"</f>
        <v>20200111155901500</v>
      </c>
      <c r="B2876" t="str">
        <f>"1578729541495013"</f>
        <v>1578729541495013</v>
      </c>
      <c r="C2876" t="s">
        <v>37</v>
      </c>
      <c r="D2876">
        <v>5.4122139999999996</v>
      </c>
      <c r="E2876">
        <v>0.51004769999999999</v>
      </c>
      <c r="F2876" t="s">
        <v>50</v>
      </c>
      <c r="G2876">
        <v>-232.58699999999999</v>
      </c>
      <c r="H2876" s="1">
        <v>-2.9503379999999998E-7</v>
      </c>
      <c r="I2876">
        <v>217.70330000000001</v>
      </c>
      <c r="J2876">
        <v>-413.54430000000002</v>
      </c>
      <c r="K2876">
        <v>1.105267</v>
      </c>
      <c r="L2876">
        <v>213.8312</v>
      </c>
      <c r="M2876">
        <v>0.99983290000000002</v>
      </c>
      <c r="N2876">
        <v>0</v>
      </c>
      <c r="O2876">
        <v>-1.127006E-2</v>
      </c>
      <c r="P2876">
        <v>0.99876559999999903</v>
      </c>
      <c r="Q2876">
        <v>5.33008099999999E-3</v>
      </c>
      <c r="R2876">
        <v>4.9387880000000002E-2</v>
      </c>
      <c r="S2876">
        <v>3.0005189999999899</v>
      </c>
      <c r="T2876">
        <v>-1.829159E-2</v>
      </c>
      <c r="U2876">
        <v>6.4041139999999996E-2</v>
      </c>
      <c r="V2876">
        <v>-6.0680850000000001E-2</v>
      </c>
      <c r="W2876">
        <v>1.957894E-2</v>
      </c>
      <c r="X2876">
        <v>0.9979652</v>
      </c>
      <c r="Y2876">
        <v>-3.260499E-2</v>
      </c>
      <c r="Z2876">
        <v>1.680737E-4</v>
      </c>
      <c r="AA2876">
        <v>0.99946829999999998</v>
      </c>
      <c r="AB2876">
        <v>32</v>
      </c>
      <c r="AC2876">
        <v>180.9573</v>
      </c>
      <c r="AD2876">
        <v>-1.1052672950338001</v>
      </c>
      <c r="AE2876">
        <v>3.8721000000000099</v>
      </c>
      <c r="AF2876">
        <v>-5.9112445094925503</v>
      </c>
      <c r="AG2876">
        <v>-1.1052672950338001</v>
      </c>
      <c r="AH2876">
        <v>180.89541640161701</v>
      </c>
      <c r="AI2876">
        <v>90.349884930354406</v>
      </c>
      <c r="AJ2876">
        <v>91.871627770292207</v>
      </c>
      <c r="AK2876">
        <v>180.99534828983599</v>
      </c>
    </row>
    <row r="2877" spans="1:37" x14ac:dyDescent="0.2">
      <c r="A2877" t="str">
        <f>"20200111155901523"</f>
        <v>20200111155901523</v>
      </c>
      <c r="B2877" t="str">
        <f>"1578729541514534"</f>
        <v>1578729541514534</v>
      </c>
      <c r="C2877" t="s">
        <v>37</v>
      </c>
      <c r="D2877">
        <v>5.3732189999999997</v>
      </c>
      <c r="E2877">
        <v>0.50058359999999902</v>
      </c>
      <c r="F2877" t="s">
        <v>52</v>
      </c>
      <c r="G2877">
        <v>-300.548</v>
      </c>
      <c r="H2877" s="1">
        <v>2.5560499999999999E-6</v>
      </c>
      <c r="I2877">
        <v>216.4349</v>
      </c>
      <c r="J2877">
        <v>-413.22859999999997</v>
      </c>
      <c r="K2877">
        <v>1.1053679999999999</v>
      </c>
      <c r="L2877">
        <v>213.8289</v>
      </c>
      <c r="M2877">
        <v>0.99984599999999901</v>
      </c>
      <c r="N2877">
        <v>0</v>
      </c>
      <c r="O2877">
        <v>-1.005239E-2</v>
      </c>
      <c r="P2877">
        <v>0.99859290000000001</v>
      </c>
      <c r="Q2877">
        <v>4.7299259999999997E-3</v>
      </c>
      <c r="R2877">
        <v>5.2820680000000002E-2</v>
      </c>
      <c r="S2877">
        <v>3.0004580000000001</v>
      </c>
      <c r="T2877">
        <v>-2.934873E-2</v>
      </c>
      <c r="U2877">
        <v>6.9137569999999995E-2</v>
      </c>
      <c r="V2877">
        <v>-6.2898990000000002E-2</v>
      </c>
      <c r="W2877">
        <v>1.8955349999999999E-2</v>
      </c>
      <c r="X2877">
        <v>0.997839899999999</v>
      </c>
      <c r="Y2877">
        <v>-3.308378E-2</v>
      </c>
      <c r="Z2877">
        <v>2.6010090000000002E-4</v>
      </c>
      <c r="AA2877">
        <v>0.99945249999999997</v>
      </c>
      <c r="AB2877">
        <v>32</v>
      </c>
      <c r="AC2877">
        <v>112.680599999999</v>
      </c>
      <c r="AD2877">
        <v>-1.10536544395</v>
      </c>
      <c r="AE2877">
        <v>2.6059999999999901</v>
      </c>
      <c r="AF2877">
        <v>-3.73833529858417</v>
      </c>
      <c r="AG2877">
        <v>-1.10536544395</v>
      </c>
      <c r="AH2877">
        <v>112.637872798297</v>
      </c>
      <c r="AI2877">
        <v>90.561941482119806</v>
      </c>
      <c r="AJ2877">
        <v>91.9008903251612</v>
      </c>
      <c r="AK2877">
        <v>112.705312084634</v>
      </c>
    </row>
    <row r="2878" spans="1:37" x14ac:dyDescent="0.2">
      <c r="A2878" t="str">
        <f>"20200111155901545"</f>
        <v>20200111155901545</v>
      </c>
      <c r="B2878" t="str">
        <f>"1578729541534052"</f>
        <v>1578729541534052</v>
      </c>
      <c r="C2878" t="s">
        <v>37</v>
      </c>
      <c r="D2878">
        <v>5.2388519999999996</v>
      </c>
      <c r="E2878">
        <v>0.51509470000000002</v>
      </c>
      <c r="F2878" t="s">
        <v>67</v>
      </c>
      <c r="G2878">
        <v>-157.25</v>
      </c>
      <c r="H2878">
        <v>16.318939999999898</v>
      </c>
      <c r="I2878">
        <v>226.6337</v>
      </c>
      <c r="J2878">
        <v>-412.91759999999999</v>
      </c>
      <c r="K2878">
        <v>1.1054280000000001</v>
      </c>
      <c r="L2878">
        <v>213.8271</v>
      </c>
      <c r="M2878">
        <v>0.99985800000000002</v>
      </c>
      <c r="N2878">
        <v>0</v>
      </c>
      <c r="O2878">
        <v>-8.7797659999999996E-3</v>
      </c>
      <c r="P2878">
        <v>0.99835370000000001</v>
      </c>
      <c r="Q2878">
        <v>4.1906599999999997E-3</v>
      </c>
      <c r="R2878">
        <v>5.720505E-2</v>
      </c>
      <c r="S2878">
        <v>2.9954529999999999</v>
      </c>
      <c r="T2878">
        <v>0.1780293</v>
      </c>
      <c r="U2878">
        <v>0.14984129999999901</v>
      </c>
      <c r="V2878">
        <v>-6.6012580000000001E-2</v>
      </c>
      <c r="W2878">
        <v>1.8392309999999999E-2</v>
      </c>
      <c r="X2878">
        <v>0.99764929999999996</v>
      </c>
      <c r="Y2878">
        <v>-5.8609609999999999E-2</v>
      </c>
      <c r="Z2878">
        <v>-2.2601600000000002E-3</v>
      </c>
      <c r="AA2878">
        <v>0.99827840000000001</v>
      </c>
      <c r="AB2878">
        <v>32</v>
      </c>
      <c r="AC2878">
        <v>255.66759999999999</v>
      </c>
      <c r="AD2878">
        <v>15.2135119999999</v>
      </c>
      <c r="AE2878">
        <v>12.8066</v>
      </c>
      <c r="AF2878">
        <v>-14.9980672439419</v>
      </c>
      <c r="AG2878">
        <v>15.2135119999999</v>
      </c>
      <c r="AH2878">
        <v>254.64588691955601</v>
      </c>
      <c r="AI2878">
        <v>86.586897381391296</v>
      </c>
      <c r="AJ2878">
        <v>93.370697937496999</v>
      </c>
      <c r="AK2878">
        <v>255.54044825325599</v>
      </c>
    </row>
    <row r="2879" spans="1:37" x14ac:dyDescent="0.2">
      <c r="A2879" t="str">
        <f>"20200111155901567"</f>
        <v>20200111155901567</v>
      </c>
      <c r="B2879" t="str">
        <f>"1578729541564309"</f>
        <v>1578729541564309</v>
      </c>
      <c r="C2879" t="s">
        <v>37</v>
      </c>
      <c r="D2879">
        <v>5.1293620000000004</v>
      </c>
      <c r="E2879">
        <v>0.51233709999999999</v>
      </c>
      <c r="F2879" t="s">
        <v>50</v>
      </c>
      <c r="G2879">
        <v>-342.39030000000002</v>
      </c>
      <c r="H2879" s="1">
        <v>-2.6480689999999998E-7</v>
      </c>
      <c r="I2879">
        <v>215.06960000000001</v>
      </c>
      <c r="J2879">
        <v>-412.61529999999999</v>
      </c>
      <c r="K2879">
        <v>1.1054709999999901</v>
      </c>
      <c r="L2879">
        <v>213.82579999999999</v>
      </c>
      <c r="M2879">
        <v>0.99986849999999905</v>
      </c>
      <c r="N2879">
        <v>0</v>
      </c>
      <c r="O2879">
        <v>-7.4986280000000002E-3</v>
      </c>
      <c r="P2879">
        <v>0.99800990000000001</v>
      </c>
      <c r="Q2879">
        <v>4.4760009999999899E-3</v>
      </c>
      <c r="R2879">
        <v>6.2899750000000004E-2</v>
      </c>
      <c r="S2879">
        <v>3.0021360000000001</v>
      </c>
      <c r="T2879">
        <v>-4.7054770000000003E-2</v>
      </c>
      <c r="U2879">
        <v>5.2886959999999997E-2</v>
      </c>
      <c r="V2879">
        <v>-7.042909E-2</v>
      </c>
      <c r="W2879">
        <v>1.8652620000000002E-2</v>
      </c>
      <c r="X2879">
        <v>0.99734239999999996</v>
      </c>
      <c r="Y2879">
        <v>-2.5107460000000002E-2</v>
      </c>
      <c r="Z2879">
        <v>3.1426540000000002E-4</v>
      </c>
      <c r="AA2879">
        <v>0.99968469999999998</v>
      </c>
      <c r="AB2879">
        <v>31</v>
      </c>
      <c r="AC2879">
        <v>70.224999999999895</v>
      </c>
      <c r="AD2879">
        <v>-1.1054712648068901</v>
      </c>
      <c r="AE2879">
        <v>1.24380000000002</v>
      </c>
      <c r="AF2879">
        <v>-1.76997214839969</v>
      </c>
      <c r="AG2879">
        <v>-1.1054712648068901</v>
      </c>
      <c r="AH2879">
        <v>70.196307855328101</v>
      </c>
      <c r="AI2879">
        <v>90.901948895756107</v>
      </c>
      <c r="AJ2879">
        <v>91.444384376953806</v>
      </c>
      <c r="AK2879">
        <v>70.227320215450504</v>
      </c>
    </row>
    <row r="2880" spans="1:37" x14ac:dyDescent="0.2">
      <c r="A2880" t="str">
        <f>"20200111155901591"</f>
        <v>20200111155901591</v>
      </c>
      <c r="B2880" t="str">
        <f>"1578729541584805"</f>
        <v>1578729541584805</v>
      </c>
      <c r="C2880" t="s">
        <v>37</v>
      </c>
      <c r="D2880">
        <v>5.0933539999999997</v>
      </c>
      <c r="E2880">
        <v>0.51290820000000004</v>
      </c>
      <c r="F2880" t="s">
        <v>50</v>
      </c>
      <c r="G2880">
        <v>-380.44819999999999</v>
      </c>
      <c r="H2880" s="1">
        <v>-1.307293E-6</v>
      </c>
      <c r="I2880">
        <v>214.82310000000001</v>
      </c>
      <c r="J2880">
        <v>-412.26670000000001</v>
      </c>
      <c r="K2880">
        <v>1.1055010000000001</v>
      </c>
      <c r="L2880">
        <v>213.82490000000001</v>
      </c>
      <c r="M2880">
        <v>0.9998785</v>
      </c>
      <c r="N2880">
        <v>0</v>
      </c>
      <c r="O2880">
        <v>-5.998013E-3</v>
      </c>
      <c r="P2880">
        <v>0.99760499999999996</v>
      </c>
      <c r="Q2880">
        <v>5.019506E-3</v>
      </c>
      <c r="R2880">
        <v>6.8986359999999997E-2</v>
      </c>
      <c r="S2880">
        <v>3.0005799999999998</v>
      </c>
      <c r="T2880">
        <v>-0.10311960000000001</v>
      </c>
      <c r="U2880">
        <v>9.3032840000000006E-2</v>
      </c>
      <c r="V2880">
        <v>-7.501874E-2</v>
      </c>
      <c r="W2880">
        <v>1.9171319999999999E-2</v>
      </c>
      <c r="X2880">
        <v>0.99699780000000005</v>
      </c>
      <c r="Y2880">
        <v>-3.695992E-2</v>
      </c>
      <c r="Z2880">
        <v>8.4079879999999997E-4</v>
      </c>
      <c r="AA2880">
        <v>0.99931639999999999</v>
      </c>
      <c r="AB2880">
        <v>31</v>
      </c>
      <c r="AC2880">
        <v>31.8185</v>
      </c>
      <c r="AD2880">
        <v>-1.1055023072929999</v>
      </c>
      <c r="AE2880">
        <v>0.99819999999999698</v>
      </c>
      <c r="AF2880">
        <v>-1.18761735542331</v>
      </c>
      <c r="AG2880">
        <v>-1.1055023072929999</v>
      </c>
      <c r="AH2880">
        <v>31.773621988092501</v>
      </c>
      <c r="AI2880">
        <v>91.991303659656097</v>
      </c>
      <c r="AJ2880">
        <v>92.140574357756904</v>
      </c>
      <c r="AK2880">
        <v>31.8150219955374</v>
      </c>
    </row>
    <row r="2881" spans="1:37" x14ac:dyDescent="0.2">
      <c r="A2881" t="str">
        <f>"20200111155901613"</f>
        <v>20200111155901613</v>
      </c>
      <c r="B2881" t="str">
        <f>"1578729541604325"</f>
        <v>1578729541604325</v>
      </c>
      <c r="C2881" t="s">
        <v>37</v>
      </c>
      <c r="D2881">
        <v>5.0596550000000002</v>
      </c>
      <c r="E2881">
        <v>0.51344089999999998</v>
      </c>
      <c r="F2881" t="s">
        <v>50</v>
      </c>
      <c r="G2881">
        <v>-385.5215</v>
      </c>
      <c r="H2881" s="1">
        <v>1.394309E-6</v>
      </c>
      <c r="I2881">
        <v>214.77969999999999</v>
      </c>
      <c r="J2881">
        <v>-411.96570000000003</v>
      </c>
      <c r="K2881">
        <v>1.1055269999999999</v>
      </c>
      <c r="L2881">
        <v>213.8244</v>
      </c>
      <c r="M2881">
        <v>0.99988559999999904</v>
      </c>
      <c r="N2881">
        <v>0</v>
      </c>
      <c r="O2881">
        <v>-4.7025299999999999E-3</v>
      </c>
      <c r="P2881">
        <v>0.99720439999999999</v>
      </c>
      <c r="Q2881">
        <v>5.9670460000000002E-3</v>
      </c>
      <c r="R2881">
        <v>7.4483359999999998E-2</v>
      </c>
      <c r="S2881">
        <v>3.0004270000000002</v>
      </c>
      <c r="T2881">
        <v>-0.1240208</v>
      </c>
      <c r="U2881">
        <v>0.1071167</v>
      </c>
      <c r="V2881">
        <v>-7.9224909999999996E-2</v>
      </c>
      <c r="W2881">
        <v>2.009764E-2</v>
      </c>
      <c r="X2881">
        <v>0.99665419999999905</v>
      </c>
      <c r="Y2881">
        <v>-4.0338970000000002E-2</v>
      </c>
      <c r="Z2881">
        <v>1.027327E-3</v>
      </c>
      <c r="AA2881">
        <v>0.99918549999999995</v>
      </c>
      <c r="AB2881">
        <v>31</v>
      </c>
      <c r="AC2881">
        <v>26.444199999999999</v>
      </c>
      <c r="AD2881">
        <v>-1.1055256056909999</v>
      </c>
      <c r="AE2881">
        <v>0.95529999999999404</v>
      </c>
      <c r="AF2881">
        <v>-1.07777571496004</v>
      </c>
      <c r="AG2881">
        <v>-1.1055256056909999</v>
      </c>
      <c r="AH2881">
        <v>26.393346178312299</v>
      </c>
      <c r="AI2881">
        <v>92.396524201295094</v>
      </c>
      <c r="AJ2881">
        <v>92.338381409905097</v>
      </c>
      <c r="AK2881">
        <v>26.4384664805815</v>
      </c>
    </row>
    <row r="2882" spans="1:37" x14ac:dyDescent="0.2">
      <c r="A2882" t="str">
        <f>"20200111155901635"</f>
        <v>20200111155901635</v>
      </c>
      <c r="B2882" t="str">
        <f>"1578729541624822"</f>
        <v>1578729541624822</v>
      </c>
      <c r="C2882" t="s">
        <v>37</v>
      </c>
      <c r="D2882">
        <v>5.0664889999999998</v>
      </c>
      <c r="E2882">
        <v>0.5145265</v>
      </c>
      <c r="F2882" t="s">
        <v>50</v>
      </c>
      <c r="G2882">
        <v>-387.52589999999998</v>
      </c>
      <c r="H2882" s="1">
        <v>2.4601240000000002E-6</v>
      </c>
      <c r="I2882">
        <v>214.7996</v>
      </c>
      <c r="J2882">
        <v>-411.66090000000003</v>
      </c>
      <c r="K2882">
        <v>1.1055379999999999</v>
      </c>
      <c r="L2882">
        <v>213.8244</v>
      </c>
      <c r="M2882">
        <v>0.99989079999999997</v>
      </c>
      <c r="N2882">
        <v>0</v>
      </c>
      <c r="O2882">
        <v>-3.3993840000000001E-3</v>
      </c>
      <c r="P2882">
        <v>0.99686109999999895</v>
      </c>
      <c r="Q2882">
        <v>6.5336580000000003E-3</v>
      </c>
      <c r="R2882">
        <v>7.8899499999999997E-2</v>
      </c>
      <c r="S2882">
        <v>3.0002439999999999</v>
      </c>
      <c r="T2882">
        <v>-0.13571520000000001</v>
      </c>
      <c r="U2882">
        <v>0.11972049999999999</v>
      </c>
      <c r="V2882">
        <v>-8.2342129999999999E-2</v>
      </c>
      <c r="W2882">
        <v>2.064827E-2</v>
      </c>
      <c r="X2882">
        <v>0.9963902</v>
      </c>
      <c r="Y2882">
        <v>-4.3221049999999997E-2</v>
      </c>
      <c r="Z2882">
        <v>1.130308E-3</v>
      </c>
      <c r="AA2882">
        <v>0.99906489999999903</v>
      </c>
      <c r="AB2882">
        <v>31</v>
      </c>
      <c r="AC2882">
        <v>24.135000000000002</v>
      </c>
      <c r="AD2882">
        <v>-1.1055355398759901</v>
      </c>
      <c r="AE2882">
        <v>0.97520000000000095</v>
      </c>
      <c r="AF2882">
        <v>-1.0550368929181799</v>
      </c>
      <c r="AG2882">
        <v>-1.1055355398759901</v>
      </c>
      <c r="AH2882">
        <v>24.0811000368093</v>
      </c>
      <c r="AI2882">
        <v>92.626022010543906</v>
      </c>
      <c r="AJ2882">
        <v>92.508628288728502</v>
      </c>
      <c r="AK2882">
        <v>24.129539793749998</v>
      </c>
    </row>
    <row r="2883" spans="1:37" x14ac:dyDescent="0.2">
      <c r="A2883" t="str">
        <f>"20200111155901656"</f>
        <v>20200111155901656</v>
      </c>
      <c r="B2883" t="str">
        <f>"1578729541644342"</f>
        <v>1578729541644342</v>
      </c>
      <c r="C2883" t="s">
        <v>37</v>
      </c>
      <c r="D2883">
        <v>5.0454349999999897</v>
      </c>
      <c r="E2883">
        <v>0.51555569999999995</v>
      </c>
      <c r="F2883" t="s">
        <v>50</v>
      </c>
      <c r="G2883">
        <v>-388.14659999999998</v>
      </c>
      <c r="H2883" s="1">
        <v>2.7904750000000002E-6</v>
      </c>
      <c r="I2883">
        <v>214.79810000000001</v>
      </c>
      <c r="J2883">
        <v>-411.36169999999998</v>
      </c>
      <c r="K2883">
        <v>1.1055440000000001</v>
      </c>
      <c r="L2883">
        <v>213.82470000000001</v>
      </c>
      <c r="M2883">
        <v>0.99989439999999996</v>
      </c>
      <c r="N2883">
        <v>0</v>
      </c>
      <c r="O2883">
        <v>-2.1300210000000002E-3</v>
      </c>
      <c r="P2883">
        <v>0.99659500000000001</v>
      </c>
      <c r="Q2883">
        <v>6.61333699999999E-3</v>
      </c>
      <c r="R2883">
        <v>8.2187949999999996E-2</v>
      </c>
      <c r="S2883">
        <v>3.0005189999999899</v>
      </c>
      <c r="T2883">
        <v>-0.14107030000000001</v>
      </c>
      <c r="U2883">
        <v>0.1242523</v>
      </c>
      <c r="V2883">
        <v>-8.436536E-2</v>
      </c>
      <c r="W2883">
        <v>2.071597E-2</v>
      </c>
      <c r="X2883">
        <v>0.99621949999999904</v>
      </c>
      <c r="Y2883">
        <v>-4.3452879999999999E-2</v>
      </c>
      <c r="Z2883">
        <v>1.120532E-3</v>
      </c>
      <c r="AA2883">
        <v>0.99905480000000002</v>
      </c>
      <c r="AB2883">
        <v>31</v>
      </c>
      <c r="AC2883">
        <v>23.2151</v>
      </c>
      <c r="AD2883">
        <v>-1.1055412095249999</v>
      </c>
      <c r="AE2883">
        <v>0.97339999999999804</v>
      </c>
      <c r="AF2883">
        <v>-1.02054120913382</v>
      </c>
      <c r="AG2883">
        <v>-1.1055412095249999</v>
      </c>
      <c r="AH2883">
        <v>23.160541967705498</v>
      </c>
      <c r="AI2883">
        <v>92.730226993106896</v>
      </c>
      <c r="AJ2883">
        <v>92.523036997002706</v>
      </c>
      <c r="AK2883">
        <v>23.209360826255999</v>
      </c>
    </row>
    <row r="2884" spans="1:37" x14ac:dyDescent="0.2">
      <c r="A2884" t="str">
        <f>"20200111155901680"</f>
        <v>20200111155901680</v>
      </c>
      <c r="B2884" t="str">
        <f>"1578729541674348"</f>
        <v>1578729541674348</v>
      </c>
      <c r="C2884" t="s">
        <v>37</v>
      </c>
      <c r="D2884">
        <v>5.0100610000000003</v>
      </c>
      <c r="E2884">
        <v>0.52401019999999998</v>
      </c>
      <c r="F2884" t="s">
        <v>50</v>
      </c>
      <c r="G2884">
        <v>-388.58920000000001</v>
      </c>
      <c r="H2884" s="1">
        <v>3.0267070000000002E-6</v>
      </c>
      <c r="I2884">
        <v>214.7817</v>
      </c>
      <c r="J2884">
        <v>-411.04489999999998</v>
      </c>
      <c r="K2884">
        <v>1.105561</v>
      </c>
      <c r="L2884">
        <v>213.82550000000001</v>
      </c>
      <c r="M2884">
        <v>0.99989649999999997</v>
      </c>
      <c r="N2884">
        <v>0</v>
      </c>
      <c r="O2884">
        <v>-7.9535939999999996E-4</v>
      </c>
      <c r="P2884">
        <v>0.99634650000000002</v>
      </c>
      <c r="Q2884">
        <v>7.2089839999999999E-3</v>
      </c>
      <c r="R2884">
        <v>8.5099320000000006E-2</v>
      </c>
      <c r="S2884">
        <v>3.0007630000000001</v>
      </c>
      <c r="T2884">
        <v>-0.14567839999999899</v>
      </c>
      <c r="U2884">
        <v>0.12609860000000001</v>
      </c>
      <c r="V2884">
        <v>-8.5948440000000001E-2</v>
      </c>
      <c r="W2884">
        <v>2.130139E-2</v>
      </c>
      <c r="X2884">
        <v>0.99607179999999995</v>
      </c>
      <c r="Y2884">
        <v>-4.2728699999999897E-2</v>
      </c>
      <c r="Z2884">
        <v>1.0746880000000001E-3</v>
      </c>
      <c r="AA2884">
        <v>0.99908609999999898</v>
      </c>
      <c r="AB2884">
        <v>31</v>
      </c>
      <c r="AC2884">
        <v>22.455699999999901</v>
      </c>
      <c r="AD2884">
        <v>-1.1055579732930001</v>
      </c>
      <c r="AE2884">
        <v>0.95619999999999505</v>
      </c>
      <c r="AF2884">
        <v>-0.97171085193071705</v>
      </c>
      <c r="AG2884">
        <v>-1.1055579732930001</v>
      </c>
      <c r="AH2884">
        <v>22.400734034025799</v>
      </c>
      <c r="AI2884">
        <v>92.822812938531598</v>
      </c>
      <c r="AJ2884">
        <v>92.483849364134002</v>
      </c>
      <c r="AK2884">
        <v>22.449039304060101</v>
      </c>
    </row>
    <row r="2885" spans="1:37" x14ac:dyDescent="0.2">
      <c r="A2885" t="str">
        <f>"20200111155901702"</f>
        <v>20200111155901702</v>
      </c>
      <c r="B2885" t="str">
        <f>"1578729541694845"</f>
        <v>1578729541694845</v>
      </c>
      <c r="C2885" t="s">
        <v>37</v>
      </c>
      <c r="D2885">
        <v>4.9702799999999998</v>
      </c>
      <c r="E2885">
        <v>0.52375050000000001</v>
      </c>
      <c r="F2885" t="s">
        <v>50</v>
      </c>
      <c r="G2885">
        <v>-392.62369999999999</v>
      </c>
      <c r="H2885" s="1">
        <v>-1.405544E-7</v>
      </c>
      <c r="I2885">
        <v>214.24369999999999</v>
      </c>
      <c r="J2885">
        <v>-410.71850000000001</v>
      </c>
      <c r="K2885">
        <v>1.105564</v>
      </c>
      <c r="L2885">
        <v>213.82669999999999</v>
      </c>
      <c r="M2885">
        <v>0.99989669999999897</v>
      </c>
      <c r="N2885">
        <v>0</v>
      </c>
      <c r="O2885">
        <v>5.7540209999999996E-4</v>
      </c>
      <c r="P2885">
        <v>0.99618139999999999</v>
      </c>
      <c r="Q2885">
        <v>8.5604649999999997E-3</v>
      </c>
      <c r="R2885">
        <v>8.6888930000000003E-2</v>
      </c>
      <c r="S2885">
        <v>3.0064700000000002</v>
      </c>
      <c r="T2885">
        <v>-0.18043599999999901</v>
      </c>
      <c r="U2885">
        <v>6.8267820000000007E-2</v>
      </c>
      <c r="V2885">
        <v>-8.6375240000000006E-2</v>
      </c>
      <c r="W2885">
        <v>2.264766E-2</v>
      </c>
      <c r="X2885">
        <v>0.99600519999999904</v>
      </c>
      <c r="Y2885">
        <v>-2.2087119999999998E-2</v>
      </c>
      <c r="Z2885">
        <v>6.276071E-4</v>
      </c>
      <c r="AA2885">
        <v>0.99975590000000003</v>
      </c>
      <c r="AB2885">
        <v>31</v>
      </c>
      <c r="AC2885">
        <v>18.094799999999999</v>
      </c>
      <c r="AD2885">
        <v>-1.1055641405543899</v>
      </c>
      <c r="AE2885">
        <v>0.41700000000000098</v>
      </c>
      <c r="AF2885">
        <v>-0.40507571802451697</v>
      </c>
      <c r="AG2885">
        <v>-1.1055641405543899</v>
      </c>
      <c r="AH2885">
        <v>18.0277746506314</v>
      </c>
      <c r="AI2885">
        <v>93.508419959348899</v>
      </c>
      <c r="AJ2885">
        <v>91.287192940711407</v>
      </c>
      <c r="AK2885">
        <v>18.066184358080701</v>
      </c>
    </row>
    <row r="2886" spans="1:37" x14ac:dyDescent="0.2">
      <c r="A2886" t="str">
        <f>"20200111155901724"</f>
        <v>20200111155901724</v>
      </c>
      <c r="B2886" t="str">
        <f>"1578729541714364"</f>
        <v>1578729541714364</v>
      </c>
      <c r="C2886" t="s">
        <v>37</v>
      </c>
      <c r="D2886">
        <v>4.970459</v>
      </c>
      <c r="E2886">
        <v>0.52388440000000003</v>
      </c>
      <c r="F2886" t="s">
        <v>50</v>
      </c>
      <c r="G2886">
        <v>-391.99369999999999</v>
      </c>
      <c r="H2886" s="1">
        <v>-4.758597E-7</v>
      </c>
      <c r="I2886">
        <v>214.29589999999999</v>
      </c>
      <c r="J2886">
        <v>-410.41800000000001</v>
      </c>
      <c r="K2886">
        <v>1.105566</v>
      </c>
      <c r="L2886">
        <v>213.82820000000001</v>
      </c>
      <c r="M2886">
        <v>0.99989519999999998</v>
      </c>
      <c r="N2886">
        <v>0</v>
      </c>
      <c r="O2886">
        <v>1.838826E-3</v>
      </c>
      <c r="P2886">
        <v>0.99620339999999996</v>
      </c>
      <c r="Q2886">
        <v>8.4061269999999993E-3</v>
      </c>
      <c r="R2886">
        <v>8.6651370000000005E-2</v>
      </c>
      <c r="S2886">
        <v>3.0064700000000002</v>
      </c>
      <c r="T2886">
        <v>-0.17751</v>
      </c>
      <c r="U2886">
        <v>7.5332640000000006E-2</v>
      </c>
      <c r="V2886">
        <v>-8.4878930000000005E-2</v>
      </c>
      <c r="W2886">
        <v>2.2496059999999998E-2</v>
      </c>
      <c r="X2886">
        <v>0.9961373</v>
      </c>
      <c r="Y2886">
        <v>-2.3173369999999999E-2</v>
      </c>
      <c r="Z2886">
        <v>5.7493849999999897E-4</v>
      </c>
      <c r="AA2886">
        <v>0.99973129999999999</v>
      </c>
      <c r="AB2886">
        <v>31</v>
      </c>
      <c r="AC2886">
        <v>18.424299999999999</v>
      </c>
      <c r="AD2886">
        <v>-1.1055664758596999</v>
      </c>
      <c r="AE2886">
        <v>0.46769999999997902</v>
      </c>
      <c r="AF2886">
        <v>-0.43226119026809201</v>
      </c>
      <c r="AG2886">
        <v>-1.1055664758596999</v>
      </c>
      <c r="AH2886">
        <v>18.359065914093598</v>
      </c>
      <c r="AI2886">
        <v>93.445186325184594</v>
      </c>
      <c r="AJ2886">
        <v>91.348770516396399</v>
      </c>
      <c r="AK2886">
        <v>18.397402757106502</v>
      </c>
    </row>
    <row r="2887" spans="1:37" x14ac:dyDescent="0.2">
      <c r="A2887" t="str">
        <f>"20200111155901746"</f>
        <v>20200111155901746</v>
      </c>
      <c r="B2887" t="str">
        <f>"1578729541734860"</f>
        <v>1578729541734860</v>
      </c>
      <c r="C2887" t="s">
        <v>37</v>
      </c>
      <c r="D2887">
        <v>4.9376199999999999</v>
      </c>
      <c r="E2887">
        <v>0.52401850000000005</v>
      </c>
      <c r="F2887" t="s">
        <v>50</v>
      </c>
      <c r="G2887">
        <v>-392.32569999999998</v>
      </c>
      <c r="H2887" s="1">
        <v>-2.9916709999999901E-7</v>
      </c>
      <c r="I2887">
        <v>214.27260000000001</v>
      </c>
      <c r="J2887">
        <v>-410.1148</v>
      </c>
      <c r="K2887">
        <v>1.1055680000000001</v>
      </c>
      <c r="L2887">
        <v>213.83009999999999</v>
      </c>
      <c r="M2887">
        <v>0.99989209999999995</v>
      </c>
      <c r="N2887">
        <v>0</v>
      </c>
      <c r="O2887">
        <v>3.1206889999999998E-3</v>
      </c>
      <c r="P2887">
        <v>0.99616349999999998</v>
      </c>
      <c r="Q2887">
        <v>8.3392650000000002E-3</v>
      </c>
      <c r="R2887">
        <v>8.7115590000000007E-2</v>
      </c>
      <c r="S2887">
        <v>3.0065919999999999</v>
      </c>
      <c r="T2887">
        <v>-0.1837242</v>
      </c>
      <c r="U2887">
        <v>7.3852539999999994E-2</v>
      </c>
      <c r="V2887">
        <v>-8.4065829999999994E-2</v>
      </c>
      <c r="W2887">
        <v>2.242837E-2</v>
      </c>
      <c r="X2887">
        <v>0.99620779999999998</v>
      </c>
      <c r="Y2887">
        <v>-2.140187E-2</v>
      </c>
      <c r="Z2887">
        <v>4.62688399999999E-4</v>
      </c>
      <c r="AA2887">
        <v>0.99977079999999996</v>
      </c>
      <c r="AB2887">
        <v>31</v>
      </c>
      <c r="AC2887">
        <v>17.789100000000001</v>
      </c>
      <c r="AD2887">
        <v>-1.1055682991671001</v>
      </c>
      <c r="AE2887">
        <v>0.44250000000002299</v>
      </c>
      <c r="AF2887">
        <v>-0.38548986021410198</v>
      </c>
      <c r="AG2887">
        <v>-1.1055682991671001</v>
      </c>
      <c r="AH2887">
        <v>17.7219863969719</v>
      </c>
      <c r="AI2887">
        <v>93.568871527492504</v>
      </c>
      <c r="AJ2887">
        <v>91.246105206953601</v>
      </c>
      <c r="AK2887">
        <v>17.760621767013301</v>
      </c>
    </row>
    <row r="2888" spans="1:37" x14ac:dyDescent="0.2">
      <c r="A2888" t="str">
        <f>"20200111155901768"</f>
        <v>20200111155901768</v>
      </c>
      <c r="B2888" t="str">
        <f>"1578729541764603"</f>
        <v>1578729541764603</v>
      </c>
      <c r="C2888" t="s">
        <v>37</v>
      </c>
      <c r="D2888">
        <v>5.0364000000000004</v>
      </c>
      <c r="E2888">
        <v>0.52365989999999996</v>
      </c>
      <c r="F2888" t="s">
        <v>50</v>
      </c>
      <c r="G2888">
        <v>-392.30090000000001</v>
      </c>
      <c r="H2888" s="1">
        <v>-3.12375099999999E-7</v>
      </c>
      <c r="I2888">
        <v>214.2687</v>
      </c>
      <c r="J2888">
        <v>-409.80399999999997</v>
      </c>
      <c r="K2888">
        <v>1.105569</v>
      </c>
      <c r="L2888">
        <v>213.83260000000001</v>
      </c>
      <c r="M2888">
        <v>0.99988709999999903</v>
      </c>
      <c r="N2888">
        <v>0</v>
      </c>
      <c r="O2888">
        <v>4.4461509999999997E-3</v>
      </c>
      <c r="P2888">
        <v>0.99616269999999996</v>
      </c>
      <c r="Q2888">
        <v>7.5371250000000004E-3</v>
      </c>
      <c r="R2888">
        <v>8.7197159999999996E-2</v>
      </c>
      <c r="S2888">
        <v>3.0066830000000002</v>
      </c>
      <c r="T2888">
        <v>-0.1866005</v>
      </c>
      <c r="U2888">
        <v>7.4020390000000005E-2</v>
      </c>
      <c r="V2888">
        <v>-8.2824549999999997E-2</v>
      </c>
      <c r="W2888">
        <v>2.1627E-2</v>
      </c>
      <c r="X2888">
        <v>0.99632940000000003</v>
      </c>
      <c r="Y2888">
        <v>-2.0135489999999999E-2</v>
      </c>
      <c r="Z2888">
        <v>3.4847489999999899E-4</v>
      </c>
      <c r="AA2888">
        <v>0.99979719999999905</v>
      </c>
      <c r="AB2888">
        <v>31</v>
      </c>
      <c r="AC2888">
        <v>17.5031</v>
      </c>
      <c r="AD2888">
        <v>-1.1055693123751</v>
      </c>
      <c r="AE2888">
        <v>0.436099999999982</v>
      </c>
      <c r="AF2888">
        <v>-0.35684342474902497</v>
      </c>
      <c r="AG2888">
        <v>-1.1055693123751</v>
      </c>
      <c r="AH2888">
        <v>17.4353471962994</v>
      </c>
      <c r="AI2888">
        <v>93.627490248089103</v>
      </c>
      <c r="AJ2888">
        <v>91.1724898786415</v>
      </c>
      <c r="AK2888">
        <v>17.474007914321099</v>
      </c>
    </row>
    <row r="2889" spans="1:37" x14ac:dyDescent="0.2">
      <c r="A2889" t="str">
        <f>"20200111155901791"</f>
        <v>20200111155901791</v>
      </c>
      <c r="B2889" t="str">
        <f>"1578729541785100"</f>
        <v>1578729541785100</v>
      </c>
      <c r="C2889" t="s">
        <v>37</v>
      </c>
      <c r="D2889">
        <v>4.9394939999999998</v>
      </c>
      <c r="E2889">
        <v>0.52423829999999905</v>
      </c>
      <c r="F2889" t="s">
        <v>50</v>
      </c>
      <c r="G2889">
        <v>-392.08580000000001</v>
      </c>
      <c r="H2889" s="1">
        <v>-4.2685720000000001E-7</v>
      </c>
      <c r="I2889">
        <v>214.28620000000001</v>
      </c>
      <c r="J2889">
        <v>-409.48340000000002</v>
      </c>
      <c r="K2889">
        <v>1.1055699999999999</v>
      </c>
      <c r="L2889">
        <v>213.8355</v>
      </c>
      <c r="M2889">
        <v>0.99987999999999899</v>
      </c>
      <c r="N2889">
        <v>0</v>
      </c>
      <c r="O2889">
        <v>5.8233529999999999E-3</v>
      </c>
      <c r="P2889">
        <v>0.99620390000000003</v>
      </c>
      <c r="Q2889">
        <v>6.2450819999999999E-3</v>
      </c>
      <c r="R2889">
        <v>8.6827520000000005E-2</v>
      </c>
      <c r="S2889">
        <v>3.0062259999999998</v>
      </c>
      <c r="T2889">
        <v>-0.1875802</v>
      </c>
      <c r="U2889">
        <v>7.6965329999999998E-2</v>
      </c>
      <c r="V2889">
        <v>-8.107876E-2</v>
      </c>
      <c r="W2889">
        <v>2.0337439999999998E-2</v>
      </c>
      <c r="X2889">
        <v>0.99650019999999995</v>
      </c>
      <c r="Y2889">
        <v>-1.9744060000000001E-2</v>
      </c>
      <c r="Z2889">
        <v>2.5231059999999999E-4</v>
      </c>
      <c r="AA2889">
        <v>0.99980499999999894</v>
      </c>
      <c r="AB2889">
        <v>31</v>
      </c>
      <c r="AC2889">
        <v>17.397600000000001</v>
      </c>
      <c r="AD2889">
        <v>-1.1055704268572</v>
      </c>
      <c r="AE2889">
        <v>0.45070000000001098</v>
      </c>
      <c r="AF2889">
        <v>-0.34796531812737602</v>
      </c>
      <c r="AG2889">
        <v>-1.1055704268572</v>
      </c>
      <c r="AH2889">
        <v>17.3299937396608</v>
      </c>
      <c r="AI2889">
        <v>93.649515545652804</v>
      </c>
      <c r="AJ2889">
        <v>91.150275403897695</v>
      </c>
      <c r="AK2889">
        <v>17.368708899859001</v>
      </c>
    </row>
    <row r="2890" spans="1:37" x14ac:dyDescent="0.2">
      <c r="A2890" t="str">
        <f>"20200111155901813"</f>
        <v>20200111155901813</v>
      </c>
      <c r="B2890" t="str">
        <f>"1578729541804620"</f>
        <v>1578729541804620</v>
      </c>
      <c r="C2890" t="s">
        <v>37</v>
      </c>
      <c r="D2890">
        <v>4.8904160000000001</v>
      </c>
      <c r="E2890">
        <v>0.52460430000000002</v>
      </c>
      <c r="F2890" t="s">
        <v>50</v>
      </c>
      <c r="G2890">
        <v>-392.28379999999999</v>
      </c>
      <c r="H2890" s="1">
        <v>-3.2146509999999999E-7</v>
      </c>
      <c r="I2890">
        <v>214.2432</v>
      </c>
      <c r="J2890">
        <v>-409.17950000000002</v>
      </c>
      <c r="K2890">
        <v>1.1055729999999999</v>
      </c>
      <c r="L2890">
        <v>213.83869999999999</v>
      </c>
      <c r="M2890">
        <v>0.99987159999999997</v>
      </c>
      <c r="N2890">
        <v>0</v>
      </c>
      <c r="O2890">
        <v>7.1399380000000002E-3</v>
      </c>
      <c r="P2890">
        <v>0.99627649999999901</v>
      </c>
      <c r="Q2890">
        <v>5.0445619999999998E-3</v>
      </c>
      <c r="R2890">
        <v>8.6069080000000006E-2</v>
      </c>
      <c r="S2890">
        <v>3.0064700000000002</v>
      </c>
      <c r="T2890">
        <v>-0.19325209999999901</v>
      </c>
      <c r="U2890">
        <v>7.1273799999999998E-2</v>
      </c>
      <c r="V2890">
        <v>-7.9004930000000001E-2</v>
      </c>
      <c r="W2890">
        <v>1.9140810000000001E-2</v>
      </c>
      <c r="X2890">
        <v>0.99669050000000003</v>
      </c>
      <c r="Y2890">
        <v>-1.6541489999999999E-2</v>
      </c>
      <c r="Z2890" s="1">
        <v>7.2567230000000001E-5</v>
      </c>
      <c r="AA2890">
        <v>0.99986309999999901</v>
      </c>
      <c r="AB2890">
        <v>31</v>
      </c>
      <c r="AC2890">
        <v>16.895700000000001</v>
      </c>
      <c r="AD2890">
        <v>-1.1055733214651</v>
      </c>
      <c r="AE2890">
        <v>0.40450000000001202</v>
      </c>
      <c r="AF2890">
        <v>-0.28263354448052802</v>
      </c>
      <c r="AG2890">
        <v>-1.1055733214651</v>
      </c>
      <c r="AH2890">
        <v>16.826153301719501</v>
      </c>
      <c r="AI2890">
        <v>93.758724029965606</v>
      </c>
      <c r="AJ2890">
        <v>90.962322534734398</v>
      </c>
      <c r="AK2890">
        <v>16.864803853664199</v>
      </c>
    </row>
    <row r="2891" spans="1:37" x14ac:dyDescent="0.2">
      <c r="A2891" t="str">
        <f>"20200111155901835"</f>
        <v>20200111155901835</v>
      </c>
      <c r="B2891" t="str">
        <f>"1578729541824139"</f>
        <v>1578729541824139</v>
      </c>
      <c r="C2891" t="s">
        <v>37</v>
      </c>
      <c r="D2891">
        <v>4.8424610000000001</v>
      </c>
      <c r="E2891">
        <v>0.52504469999999903</v>
      </c>
      <c r="F2891" t="s">
        <v>50</v>
      </c>
      <c r="G2891">
        <v>-392.5034</v>
      </c>
      <c r="H2891" s="1">
        <v>-2.046033E-7</v>
      </c>
      <c r="I2891">
        <v>214.2047</v>
      </c>
      <c r="J2891">
        <v>-408.88209999999998</v>
      </c>
      <c r="K2891">
        <v>1.105569</v>
      </c>
      <c r="L2891">
        <v>213.84219999999999</v>
      </c>
      <c r="M2891">
        <v>0.99986140000000001</v>
      </c>
      <c r="N2891">
        <v>0</v>
      </c>
      <c r="O2891">
        <v>8.4412729999999991E-3</v>
      </c>
      <c r="P2891">
        <v>0.99631270000000005</v>
      </c>
      <c r="Q2891">
        <v>4.2072780000000001E-3</v>
      </c>
      <c r="R2891">
        <v>8.5693539999999999E-2</v>
      </c>
      <c r="S2891">
        <v>3.0065309999999998</v>
      </c>
      <c r="T2891">
        <v>-0.19932349999999999</v>
      </c>
      <c r="U2891">
        <v>6.5994259999999999E-2</v>
      </c>
      <c r="V2891">
        <v>-7.7329320000000007E-2</v>
      </c>
      <c r="W2891">
        <v>1.8306010000000001E-2</v>
      </c>
      <c r="X2891">
        <v>0.99683759999999999</v>
      </c>
      <c r="Y2891">
        <v>-1.3493049999999999E-2</v>
      </c>
      <c r="Z2891">
        <v>-1.12259699999999E-4</v>
      </c>
      <c r="AA2891">
        <v>0.99990900000000005</v>
      </c>
      <c r="AB2891">
        <v>31</v>
      </c>
      <c r="AC2891">
        <v>16.378699999999899</v>
      </c>
      <c r="AD2891">
        <v>-1.1055692046033001</v>
      </c>
      <c r="AE2891">
        <v>0.36250000000001098</v>
      </c>
      <c r="AF2891">
        <v>-0.22319929980311701</v>
      </c>
      <c r="AG2891">
        <v>-1.1055692046033001</v>
      </c>
      <c r="AH2891">
        <v>16.3069136800998</v>
      </c>
      <c r="AI2891">
        <v>93.878217378775304</v>
      </c>
      <c r="AJ2891">
        <v>90.784181458044003</v>
      </c>
      <c r="AK2891">
        <v>16.345872107777701</v>
      </c>
    </row>
    <row r="2892" spans="1:37" x14ac:dyDescent="0.2">
      <c r="A2892" t="str">
        <f>"20200111155901857"</f>
        <v>20200111155901857</v>
      </c>
      <c r="B2892" t="str">
        <f>"1578729541854396"</f>
        <v>1578729541854396</v>
      </c>
      <c r="C2892" t="s">
        <v>37</v>
      </c>
      <c r="D2892">
        <v>4.8303199999999897</v>
      </c>
      <c r="E2892">
        <v>0.52568579999999998</v>
      </c>
      <c r="F2892" t="s">
        <v>50</v>
      </c>
      <c r="G2892">
        <v>-392.3657</v>
      </c>
      <c r="H2892" s="1">
        <v>-2.7788479999999999E-7</v>
      </c>
      <c r="I2892">
        <v>214.17920000000001</v>
      </c>
      <c r="J2892">
        <v>-408.57819999999998</v>
      </c>
      <c r="K2892">
        <v>1.1055709999999901</v>
      </c>
      <c r="L2892">
        <v>213.84610000000001</v>
      </c>
      <c r="M2892">
        <v>0.99984910000000005</v>
      </c>
      <c r="N2892">
        <v>0</v>
      </c>
      <c r="O2892">
        <v>9.7887119999999998E-3</v>
      </c>
      <c r="P2892">
        <v>0.99634330000000004</v>
      </c>
      <c r="Q2892">
        <v>3.9196609999999996E-3</v>
      </c>
      <c r="R2892">
        <v>8.5352029999999995E-2</v>
      </c>
      <c r="S2892">
        <v>3.0066830000000002</v>
      </c>
      <c r="T2892">
        <v>-0.20125989999999999</v>
      </c>
      <c r="U2892">
        <v>6.1355590000000002E-2</v>
      </c>
      <c r="V2892">
        <v>-7.564361E-2</v>
      </c>
      <c r="W2892">
        <v>1.8019960000000002E-2</v>
      </c>
      <c r="X2892">
        <v>0.99697209999999903</v>
      </c>
      <c r="Y2892">
        <v>-1.061166E-2</v>
      </c>
      <c r="Z2892">
        <v>-2.997497E-4</v>
      </c>
      <c r="AA2892">
        <v>0.99994369999999999</v>
      </c>
      <c r="AB2892">
        <v>31</v>
      </c>
      <c r="AC2892">
        <v>16.212499999999899</v>
      </c>
      <c r="AD2892">
        <v>-1.1055712778847999</v>
      </c>
      <c r="AE2892">
        <v>0.33310000000000101</v>
      </c>
      <c r="AF2892">
        <v>-0.17356144077217001</v>
      </c>
      <c r="AG2892">
        <v>-1.1055712778847999</v>
      </c>
      <c r="AH2892">
        <v>16.139961340940001</v>
      </c>
      <c r="AI2892">
        <v>93.918356829621999</v>
      </c>
      <c r="AJ2892">
        <v>90.616107718209904</v>
      </c>
      <c r="AK2892">
        <v>16.178713283547701</v>
      </c>
    </row>
    <row r="2893" spans="1:37" x14ac:dyDescent="0.2">
      <c r="A2893" t="str">
        <f>"20200111155901880"</f>
        <v>20200111155901880</v>
      </c>
      <c r="B2893" t="str">
        <f>"1578729541874891"</f>
        <v>1578729541874891</v>
      </c>
      <c r="C2893" t="s">
        <v>37</v>
      </c>
      <c r="D2893">
        <v>4.7847499999999998</v>
      </c>
      <c r="E2893">
        <v>0.52603529999999998</v>
      </c>
      <c r="F2893" t="s">
        <v>50</v>
      </c>
      <c r="G2893">
        <v>-391.65170000000001</v>
      </c>
      <c r="H2893" s="1">
        <v>-6.5782519999999895E-7</v>
      </c>
      <c r="I2893">
        <v>214.15899999999999</v>
      </c>
      <c r="J2893">
        <v>-408.25990000000002</v>
      </c>
      <c r="K2893">
        <v>1.1055839999999999</v>
      </c>
      <c r="L2893">
        <v>213.85079999999999</v>
      </c>
      <c r="M2893">
        <v>0.99983419999999901</v>
      </c>
      <c r="N2893">
        <v>0</v>
      </c>
      <c r="O2893">
        <v>1.122065E-2</v>
      </c>
      <c r="P2893">
        <v>0.99635509999999905</v>
      </c>
      <c r="Q2893">
        <v>3.1760540000000002E-3</v>
      </c>
      <c r="R2893">
        <v>8.5247089999999998E-2</v>
      </c>
      <c r="S2893">
        <v>3.0070189999999899</v>
      </c>
      <c r="T2893">
        <v>-0.1964062</v>
      </c>
      <c r="U2893">
        <v>5.5587770000000002E-2</v>
      </c>
      <c r="V2893">
        <v>-7.4108969999999996E-2</v>
      </c>
      <c r="W2893">
        <v>1.727716E-2</v>
      </c>
      <c r="X2893">
        <v>0.99710049999999995</v>
      </c>
      <c r="Y2893">
        <v>-7.2702089999999997E-3</v>
      </c>
      <c r="Z2893">
        <v>-4.9493249999999996E-4</v>
      </c>
      <c r="AA2893">
        <v>0.99997349999999996</v>
      </c>
      <c r="AB2893">
        <v>31</v>
      </c>
      <c r="AC2893">
        <v>16.6082</v>
      </c>
      <c r="AD2893">
        <v>-1.1055846578252</v>
      </c>
      <c r="AE2893">
        <v>0.30820000000002701</v>
      </c>
      <c r="AF2893">
        <v>-0.12126942196082301</v>
      </c>
      <c r="AG2893">
        <v>-1.1055846578252</v>
      </c>
      <c r="AH2893">
        <v>16.537354745551799</v>
      </c>
      <c r="AI2893">
        <v>93.824645480014695</v>
      </c>
      <c r="AJ2893">
        <v>90.420145883616399</v>
      </c>
      <c r="AK2893">
        <v>16.574713442124601</v>
      </c>
    </row>
    <row r="2894" spans="1:37" x14ac:dyDescent="0.2">
      <c r="A2894" t="str">
        <f>"20200111155901903"</f>
        <v>20200111155901903</v>
      </c>
      <c r="B2894" t="str">
        <f>"1578729541894412"</f>
        <v>1578729541894412</v>
      </c>
      <c r="C2894" t="s">
        <v>37</v>
      </c>
      <c r="D2894">
        <v>4.7979659999999997</v>
      </c>
      <c r="E2894">
        <v>0.52614930000000004</v>
      </c>
      <c r="F2894" t="s">
        <v>50</v>
      </c>
      <c r="G2894">
        <v>-391.22669999999999</v>
      </c>
      <c r="H2894" s="1">
        <v>-8.8402239999999997E-7</v>
      </c>
      <c r="I2894">
        <v>214.14920000000001</v>
      </c>
      <c r="J2894">
        <v>-407.94409999999999</v>
      </c>
      <c r="K2894">
        <v>1.1055969999999999</v>
      </c>
      <c r="L2894">
        <v>213.85589999999999</v>
      </c>
      <c r="M2894">
        <v>0.99981710000000001</v>
      </c>
      <c r="N2894">
        <v>0</v>
      </c>
      <c r="O2894">
        <v>1.2662939999999999E-2</v>
      </c>
      <c r="P2894">
        <v>0.9963168</v>
      </c>
      <c r="Q2894">
        <v>2.9744579999999902E-3</v>
      </c>
      <c r="R2894">
        <v>8.5697690000000007E-2</v>
      </c>
      <c r="S2894">
        <v>3.00707999999999</v>
      </c>
      <c r="T2894">
        <v>-0.19518179999999999</v>
      </c>
      <c r="U2894">
        <v>5.2673339999999999E-2</v>
      </c>
      <c r="V2894">
        <v>-7.3121190000000003E-2</v>
      </c>
      <c r="W2894">
        <v>1.7073580000000001E-2</v>
      </c>
      <c r="X2894">
        <v>0.99717690000000003</v>
      </c>
      <c r="Y2894">
        <v>-4.8664529999999998E-3</v>
      </c>
      <c r="Z2894">
        <v>-6.6328079999999998E-4</v>
      </c>
      <c r="AA2894">
        <v>0.99998799999999899</v>
      </c>
      <c r="AB2894">
        <v>31</v>
      </c>
      <c r="AC2894">
        <v>16.717399999999898</v>
      </c>
      <c r="AD2894">
        <v>-1.1055978840223999</v>
      </c>
      <c r="AE2894">
        <v>0.29330000000001599</v>
      </c>
      <c r="AF2894">
        <v>-8.1208222330595603E-2</v>
      </c>
      <c r="AG2894">
        <v>-1.1055978840223999</v>
      </c>
      <c r="AH2894">
        <v>16.646985926442099</v>
      </c>
      <c r="AI2894">
        <v>93.799633836515198</v>
      </c>
      <c r="AJ2894">
        <v>90.279501136936602</v>
      </c>
      <c r="AK2894">
        <v>16.683856924934702</v>
      </c>
    </row>
    <row r="2895" spans="1:37" x14ac:dyDescent="0.2">
      <c r="A2895" t="str">
        <f>"20200111155901924"</f>
        <v>20200111155901924</v>
      </c>
      <c r="B2895" t="str">
        <f>"1578729541914908"</f>
        <v>1578729541914908</v>
      </c>
      <c r="C2895" t="s">
        <v>37</v>
      </c>
      <c r="D2895">
        <v>5.0172699999999999</v>
      </c>
      <c r="E2895">
        <v>0.52203250000000001</v>
      </c>
      <c r="F2895" t="s">
        <v>50</v>
      </c>
      <c r="G2895">
        <v>-390.64609999999999</v>
      </c>
      <c r="H2895" s="1">
        <v>-1.1929940000000001E-6</v>
      </c>
      <c r="I2895">
        <v>214.16139999999999</v>
      </c>
      <c r="J2895">
        <v>-407.65</v>
      </c>
      <c r="K2895">
        <v>1.105615</v>
      </c>
      <c r="L2895">
        <v>213.86099999999999</v>
      </c>
      <c r="M2895">
        <v>0.99979889999999905</v>
      </c>
      <c r="N2895">
        <v>0</v>
      </c>
      <c r="O2895">
        <v>1.402397E-2</v>
      </c>
      <c r="P2895">
        <v>0.99626130000000002</v>
      </c>
      <c r="Q2895">
        <v>2.200671E-3</v>
      </c>
      <c r="R2895">
        <v>8.6364919999999998E-2</v>
      </c>
      <c r="S2895">
        <v>3.00707999999999</v>
      </c>
      <c r="T2895">
        <v>-0.19219649999999999</v>
      </c>
      <c r="U2895">
        <v>5.3115839999999998E-2</v>
      </c>
      <c r="V2895">
        <v>-7.2429789999999994E-2</v>
      </c>
      <c r="W2895">
        <v>1.6297869999999999E-2</v>
      </c>
      <c r="X2895">
        <v>0.99724040000000003</v>
      </c>
      <c r="Y2895">
        <v>-3.6570279999999901E-3</v>
      </c>
      <c r="Z2895">
        <v>-7.7865559999999896E-4</v>
      </c>
      <c r="AA2895">
        <v>0.99999300000000002</v>
      </c>
      <c r="AB2895">
        <v>31</v>
      </c>
      <c r="AC2895">
        <v>17.003899999999899</v>
      </c>
      <c r="AD2895">
        <v>-1.105616192994</v>
      </c>
      <c r="AE2895">
        <v>0.300399999999996</v>
      </c>
      <c r="AF2895">
        <v>-6.1623316456011101E-2</v>
      </c>
      <c r="AG2895">
        <v>-1.105616192994</v>
      </c>
      <c r="AH2895">
        <v>16.9348662767751</v>
      </c>
      <c r="AI2895">
        <v>93.735308604437193</v>
      </c>
      <c r="AJ2895">
        <v>90.208489415337496</v>
      </c>
      <c r="AK2895">
        <v>16.9710306231412</v>
      </c>
    </row>
    <row r="2896" spans="1:37" x14ac:dyDescent="0.2">
      <c r="A2896" t="str">
        <f>"20200111155901947"</f>
        <v>20200111155901947</v>
      </c>
      <c r="B2896" t="str">
        <f>"1578729541945164"</f>
        <v>1578729541945164</v>
      </c>
      <c r="C2896" t="s">
        <v>37</v>
      </c>
      <c r="D2896">
        <v>4.752726</v>
      </c>
      <c r="E2896">
        <v>0.52617119999999995</v>
      </c>
      <c r="F2896" t="s">
        <v>50</v>
      </c>
      <c r="G2896">
        <v>-384.06970000000001</v>
      </c>
      <c r="H2896" s="1">
        <v>6.3215649999999897E-7</v>
      </c>
      <c r="I2896">
        <v>214.54169999999999</v>
      </c>
      <c r="J2896">
        <v>-407.35180000000003</v>
      </c>
      <c r="K2896">
        <v>1.1056280000000001</v>
      </c>
      <c r="L2896">
        <v>213.86670000000001</v>
      </c>
      <c r="M2896">
        <v>0.99977839999999996</v>
      </c>
      <c r="N2896">
        <v>0</v>
      </c>
      <c r="O2896">
        <v>1.541886E-2</v>
      </c>
      <c r="P2896">
        <v>0.99618719999999905</v>
      </c>
      <c r="Q2896">
        <v>2.0197539999999999E-3</v>
      </c>
      <c r="R2896">
        <v>8.7220779999999998E-2</v>
      </c>
      <c r="S2896">
        <v>3.0040589999999998</v>
      </c>
      <c r="T2896">
        <v>-0.1408519</v>
      </c>
      <c r="U2896">
        <v>8.6715699999999896E-2</v>
      </c>
      <c r="V2896">
        <v>-7.1895039999999993E-2</v>
      </c>
      <c r="W2896">
        <v>1.6114320000000001E-2</v>
      </c>
      <c r="X2896">
        <v>0.997282</v>
      </c>
      <c r="Y2896">
        <v>-1.343888E-2</v>
      </c>
      <c r="Z2896">
        <v>-4.0759519999999998E-4</v>
      </c>
      <c r="AA2896">
        <v>0.99990959999999995</v>
      </c>
      <c r="AB2896">
        <v>31</v>
      </c>
      <c r="AC2896">
        <v>23.2821</v>
      </c>
      <c r="AD2896">
        <v>-1.1056273678435</v>
      </c>
      <c r="AE2896">
        <v>0.67499999999998195</v>
      </c>
      <c r="AF2896">
        <v>-0.31518922718451098</v>
      </c>
      <c r="AG2896">
        <v>-1.1056273678435</v>
      </c>
      <c r="AH2896">
        <v>23.2373810019952</v>
      </c>
      <c r="AI2896">
        <v>92.723810851994301</v>
      </c>
      <c r="AJ2896">
        <v>90.777105866320596</v>
      </c>
      <c r="AK2896">
        <v>23.265803918140101</v>
      </c>
    </row>
    <row r="2897" spans="1:37" x14ac:dyDescent="0.2">
      <c r="A2897" t="str">
        <f>"20200111155901969"</f>
        <v>20200111155901969</v>
      </c>
      <c r="B2897" t="str">
        <f>"1578729541964683"</f>
        <v>1578729541964683</v>
      </c>
      <c r="C2897" t="s">
        <v>37</v>
      </c>
      <c r="D2897">
        <v>4.7951790000000001</v>
      </c>
      <c r="E2897">
        <v>0.52554889999999999</v>
      </c>
      <c r="F2897" t="s">
        <v>50</v>
      </c>
      <c r="G2897">
        <v>-384.6549</v>
      </c>
      <c r="H2897" s="1">
        <v>9.5442169999999901E-7</v>
      </c>
      <c r="I2897">
        <v>214.29400000000001</v>
      </c>
      <c r="J2897">
        <v>-407.03919999999999</v>
      </c>
      <c r="K2897">
        <v>1.105639</v>
      </c>
      <c r="L2897">
        <v>213.8732</v>
      </c>
      <c r="M2897">
        <v>0.999754699999999</v>
      </c>
      <c r="N2897">
        <v>0</v>
      </c>
      <c r="O2897">
        <v>1.6890889999999999E-2</v>
      </c>
      <c r="P2897">
        <v>0.99607119999999905</v>
      </c>
      <c r="Q2897">
        <v>2.510871E-3</v>
      </c>
      <c r="R2897">
        <v>8.8521039999999995E-2</v>
      </c>
      <c r="S2897">
        <v>3.006866</v>
      </c>
      <c r="T2897">
        <v>-0.14647289999999999</v>
      </c>
      <c r="U2897">
        <v>5.6610109999999998E-2</v>
      </c>
      <c r="V2897">
        <v>-7.1729929999999997E-2</v>
      </c>
      <c r="W2897">
        <v>1.6602059999999998E-2</v>
      </c>
      <c r="X2897">
        <v>0.99728589999999995</v>
      </c>
      <c r="Y2897">
        <v>-1.949005E-3</v>
      </c>
      <c r="Z2897">
        <v>-7.7482619999999904E-4</v>
      </c>
      <c r="AA2897">
        <v>0.99999780000000005</v>
      </c>
      <c r="AB2897">
        <v>31</v>
      </c>
      <c r="AC2897">
        <v>22.3843</v>
      </c>
      <c r="AD2897">
        <v>-1.1056380455782999</v>
      </c>
      <c r="AE2897">
        <v>0.420800000000014</v>
      </c>
      <c r="AF2897">
        <v>-4.25067339501621E-2</v>
      </c>
      <c r="AG2897">
        <v>-1.1056380455782999</v>
      </c>
      <c r="AH2897">
        <v>22.333745685714199</v>
      </c>
      <c r="AI2897">
        <v>92.834123987504498</v>
      </c>
      <c r="AJ2897">
        <v>90.1090481439971</v>
      </c>
      <c r="AK2897">
        <v>22.361136792757598</v>
      </c>
    </row>
    <row r="2898" spans="1:37" x14ac:dyDescent="0.2">
      <c r="A2898" t="str">
        <f>"20200111155901992"</f>
        <v>20200111155901992</v>
      </c>
      <c r="B2898" t="str">
        <f>"1578729541985179"</f>
        <v>1578729541985179</v>
      </c>
      <c r="C2898" t="s">
        <v>37</v>
      </c>
      <c r="D2898">
        <v>4.7929059999999897</v>
      </c>
      <c r="E2898">
        <v>0.52581250000000002</v>
      </c>
      <c r="F2898" t="s">
        <v>50</v>
      </c>
      <c r="G2898">
        <v>-384.12439999999998</v>
      </c>
      <c r="H2898" s="1">
        <v>6.686729E-7</v>
      </c>
      <c r="I2898">
        <v>214.37190000000001</v>
      </c>
      <c r="J2898">
        <v>-406.7269</v>
      </c>
      <c r="K2898">
        <v>1.105648</v>
      </c>
      <c r="L2898">
        <v>213.8801</v>
      </c>
      <c r="M2898">
        <v>0.99972859999999997</v>
      </c>
      <c r="N2898">
        <v>0</v>
      </c>
      <c r="O2898">
        <v>1.836894E-2</v>
      </c>
      <c r="P2898">
        <v>0.99595109999999998</v>
      </c>
      <c r="Q2898">
        <v>3.3379339999999999E-3</v>
      </c>
      <c r="R2898">
        <v>8.9836180000000002E-2</v>
      </c>
      <c r="S2898">
        <v>3.00637799999999</v>
      </c>
      <c r="T2898">
        <v>-0.14505709999999999</v>
      </c>
      <c r="U2898">
        <v>6.5429689999999999E-2</v>
      </c>
      <c r="V2898">
        <v>-7.1574849999999995E-2</v>
      </c>
      <c r="W2898">
        <v>1.7425920000000001E-2</v>
      </c>
      <c r="X2898">
        <v>0.99728300000000003</v>
      </c>
      <c r="Y2898">
        <v>-3.4057190000000002E-3</v>
      </c>
      <c r="Z2898">
        <v>-8.0358179999999902E-4</v>
      </c>
      <c r="AA2898">
        <v>0.99999389999999999</v>
      </c>
      <c r="AB2898">
        <v>31</v>
      </c>
      <c r="AC2898">
        <v>22.602499999999999</v>
      </c>
      <c r="AD2898">
        <v>-1.1056473313271</v>
      </c>
      <c r="AE2898">
        <v>0.49180000000001201</v>
      </c>
      <c r="AF2898">
        <v>-7.6307902612966799E-2</v>
      </c>
      <c r="AG2898">
        <v>-1.1056473313271</v>
      </c>
      <c r="AH2898">
        <v>22.553777556522601</v>
      </c>
      <c r="AI2898">
        <v>92.8065316165209</v>
      </c>
      <c r="AJ2898">
        <v>90.1938524076281</v>
      </c>
      <c r="AK2898">
        <v>22.580991142692799</v>
      </c>
    </row>
    <row r="2899" spans="1:37" x14ac:dyDescent="0.2">
      <c r="A2899" t="str">
        <f>"20200111155902015"</f>
        <v>20200111155902015</v>
      </c>
      <c r="B2899" t="str">
        <f>"1578729542004699"</f>
        <v>1578729542004699</v>
      </c>
      <c r="C2899" t="s">
        <v>37</v>
      </c>
      <c r="D2899">
        <v>4.7340599999999897</v>
      </c>
      <c r="E2899">
        <v>0.52568570000000003</v>
      </c>
      <c r="F2899" t="s">
        <v>50</v>
      </c>
      <c r="G2899">
        <v>-384.07279999999997</v>
      </c>
      <c r="H2899" s="1">
        <v>6.4058420000000002E-7</v>
      </c>
      <c r="I2899">
        <v>214.38740000000001</v>
      </c>
      <c r="J2899">
        <v>-406.41359999999997</v>
      </c>
      <c r="K2899">
        <v>1.1056589999999999</v>
      </c>
      <c r="L2899">
        <v>213.88740000000001</v>
      </c>
      <c r="M2899">
        <v>0.99970029999999999</v>
      </c>
      <c r="N2899">
        <v>0</v>
      </c>
      <c r="O2899">
        <v>1.9855069999999999E-2</v>
      </c>
      <c r="P2899">
        <v>0.99587179999999997</v>
      </c>
      <c r="Q2899">
        <v>3.7531589999999998E-3</v>
      </c>
      <c r="R2899">
        <v>9.0693679999999999E-2</v>
      </c>
      <c r="S2899">
        <v>3.0066220000000001</v>
      </c>
      <c r="T2899">
        <v>-0.14674010000000001</v>
      </c>
      <c r="U2899">
        <v>6.7337040000000001E-2</v>
      </c>
      <c r="V2899">
        <v>-7.0952299999999996E-2</v>
      </c>
      <c r="W2899">
        <v>1.784022E-2</v>
      </c>
      <c r="X2899">
        <v>0.99732019999999899</v>
      </c>
      <c r="Y2899">
        <v>-2.5546620000000001E-3</v>
      </c>
      <c r="Z2899">
        <v>-9.0604369999999995E-4</v>
      </c>
      <c r="AA2899">
        <v>0.99999629999999995</v>
      </c>
      <c r="AB2899">
        <v>31</v>
      </c>
      <c r="AC2899">
        <v>22.340800000000002</v>
      </c>
      <c r="AD2899">
        <v>-1.1056583594158</v>
      </c>
      <c r="AE2899">
        <v>0.5</v>
      </c>
      <c r="AF2899">
        <v>-5.6140336869289202E-2</v>
      </c>
      <c r="AG2899">
        <v>-1.1056583594158</v>
      </c>
      <c r="AH2899">
        <v>22.291751413664301</v>
      </c>
      <c r="AI2899">
        <v>92.839502545333801</v>
      </c>
      <c r="AJ2899">
        <v>90.144295416853197</v>
      </c>
      <c r="AK2899">
        <v>22.3192251934016</v>
      </c>
    </row>
    <row r="2900" spans="1:37" x14ac:dyDescent="0.2">
      <c r="A2900" t="str">
        <f>"20200111155902036"</f>
        <v>20200111155902036</v>
      </c>
      <c r="B2900" t="str">
        <f>"1578729542024219"</f>
        <v>1578729542024219</v>
      </c>
      <c r="C2900" t="s">
        <v>37</v>
      </c>
      <c r="D2900">
        <v>4.8217129999999999</v>
      </c>
      <c r="E2900">
        <v>0.52520029999999995</v>
      </c>
      <c r="F2900" t="s">
        <v>50</v>
      </c>
      <c r="G2900">
        <v>-384.28480000000002</v>
      </c>
      <c r="H2900" s="1">
        <v>7.5231259999999899E-7</v>
      </c>
      <c r="I2900">
        <v>214.4117</v>
      </c>
      <c r="J2900">
        <v>-406.1173</v>
      </c>
      <c r="K2900">
        <v>1.105658</v>
      </c>
      <c r="L2900">
        <v>213.8948</v>
      </c>
      <c r="M2900">
        <v>0.99967139999999999</v>
      </c>
      <c r="N2900">
        <v>0</v>
      </c>
      <c r="O2900">
        <v>2.125964E-2</v>
      </c>
      <c r="P2900">
        <v>0.99585659999999898</v>
      </c>
      <c r="Q2900">
        <v>3.7599069999999998E-3</v>
      </c>
      <c r="R2900">
        <v>9.0860079999999996E-2</v>
      </c>
      <c r="S2900">
        <v>3.0065</v>
      </c>
      <c r="T2900">
        <v>-0.15021860000000001</v>
      </c>
      <c r="U2900">
        <v>7.1228029999999998E-2</v>
      </c>
      <c r="V2900">
        <v>-6.9717210000000002E-2</v>
      </c>
      <c r="W2900">
        <v>1.7849279999999999E-2</v>
      </c>
      <c r="X2900">
        <v>0.99740709999999999</v>
      </c>
      <c r="Y2900">
        <v>-2.4469359999999998E-3</v>
      </c>
      <c r="Z2900">
        <v>-1.000318E-3</v>
      </c>
      <c r="AA2900">
        <v>0.99999649999999995</v>
      </c>
      <c r="AB2900">
        <v>31</v>
      </c>
      <c r="AC2900">
        <v>21.8324999999999</v>
      </c>
      <c r="AD2900">
        <v>-1.10565724768739</v>
      </c>
      <c r="AE2900">
        <v>0.51689999999999203</v>
      </c>
      <c r="AF2900">
        <v>-5.2450007283879399E-2</v>
      </c>
      <c r="AG2900">
        <v>-1.10565724768739</v>
      </c>
      <c r="AH2900">
        <v>21.7827202956225</v>
      </c>
      <c r="AI2900">
        <v>92.905743121655505</v>
      </c>
      <c r="AJ2900">
        <v>90.137960649735305</v>
      </c>
      <c r="AK2900">
        <v>21.8108260373135</v>
      </c>
    </row>
    <row r="2901" spans="1:37" x14ac:dyDescent="0.2">
      <c r="A2901" t="str">
        <f>"20200111155902060"</f>
        <v>20200111155902060</v>
      </c>
      <c r="B2901" t="str">
        <f>"1578729542054476"</f>
        <v>1578729542054476</v>
      </c>
      <c r="C2901" t="s">
        <v>37</v>
      </c>
      <c r="D2901">
        <v>4.8138839999999998</v>
      </c>
      <c r="E2901">
        <v>0.52489410000000003</v>
      </c>
      <c r="F2901" t="s">
        <v>50</v>
      </c>
      <c r="G2901">
        <v>-384.51870000000002</v>
      </c>
      <c r="H2901" s="1">
        <v>8.7556709999999895E-7</v>
      </c>
      <c r="I2901">
        <v>214.4392</v>
      </c>
      <c r="J2901">
        <v>-405.80180000000001</v>
      </c>
      <c r="K2901">
        <v>1.1056600000000001</v>
      </c>
      <c r="L2901">
        <v>213.9032</v>
      </c>
      <c r="M2901">
        <v>0.99963869999999899</v>
      </c>
      <c r="N2901">
        <v>0</v>
      </c>
      <c r="O2901">
        <v>2.274851E-2</v>
      </c>
      <c r="P2901">
        <v>0.99583539999999904</v>
      </c>
      <c r="Q2901">
        <v>4.5061190000000003E-3</v>
      </c>
      <c r="R2901">
        <v>9.1059130000000002E-2</v>
      </c>
      <c r="S2901">
        <v>3.0061650000000002</v>
      </c>
      <c r="T2901">
        <v>-0.15388879999999999</v>
      </c>
      <c r="U2901">
        <v>7.5775149999999999E-2</v>
      </c>
      <c r="V2901">
        <v>-6.8432580000000007E-2</v>
      </c>
      <c r="W2901">
        <v>1.8597309999999999E-2</v>
      </c>
      <c r="X2901">
        <v>0.99748239999999999</v>
      </c>
      <c r="Y2901">
        <v>-2.474969E-3</v>
      </c>
      <c r="Z2901">
        <v>-1.1002379999999999E-3</v>
      </c>
      <c r="AA2901">
        <v>0.99999629999999995</v>
      </c>
      <c r="AB2901">
        <v>31</v>
      </c>
      <c r="AC2901">
        <v>21.283099999999902</v>
      </c>
      <c r="AD2901">
        <v>-1.1056591244328999</v>
      </c>
      <c r="AE2901">
        <v>0.53600000000000103</v>
      </c>
      <c r="AF2901">
        <v>-5.1513885847354897E-2</v>
      </c>
      <c r="AG2901">
        <v>-1.1056591244328999</v>
      </c>
      <c r="AH2901">
        <v>21.2325193925716</v>
      </c>
      <c r="AI2901">
        <v>92.980910831416693</v>
      </c>
      <c r="AJ2901">
        <v>90.139009525887403</v>
      </c>
      <c r="AK2901">
        <v>21.26135027546</v>
      </c>
    </row>
    <row r="2902" spans="1:37" x14ac:dyDescent="0.2">
      <c r="A2902" t="str">
        <f>"20200111155902083"</f>
        <v>20200111155902083</v>
      </c>
      <c r="B2902" t="str">
        <f>"1578729542074972"</f>
        <v>1578729542074972</v>
      </c>
      <c r="C2902" t="s">
        <v>37</v>
      </c>
      <c r="D2902">
        <v>4.6626940000000001</v>
      </c>
      <c r="E2902">
        <v>0.52456259999999999</v>
      </c>
      <c r="F2902" t="s">
        <v>50</v>
      </c>
      <c r="G2902">
        <v>-384.649</v>
      </c>
      <c r="H2902" s="1">
        <v>9.4405500000000002E-7</v>
      </c>
      <c r="I2902">
        <v>214.4597</v>
      </c>
      <c r="J2902">
        <v>-405.48820000000001</v>
      </c>
      <c r="K2902">
        <v>1.105661</v>
      </c>
      <c r="L2902">
        <v>213.9119</v>
      </c>
      <c r="M2902">
        <v>0.99960439999999995</v>
      </c>
      <c r="N2902">
        <v>0</v>
      </c>
      <c r="O2902">
        <v>2.4211300000000002E-2</v>
      </c>
      <c r="P2902">
        <v>0.99581450000000005</v>
      </c>
      <c r="Q2902">
        <v>5.8881419999999999E-3</v>
      </c>
      <c r="R2902">
        <v>9.1207529999999995E-2</v>
      </c>
      <c r="S2902">
        <v>3.0060419999999999</v>
      </c>
      <c r="T2902">
        <v>-0.15712690000000001</v>
      </c>
      <c r="U2902">
        <v>7.9086299999999998E-2</v>
      </c>
      <c r="V2902">
        <v>-6.7125099999999993E-2</v>
      </c>
      <c r="W2902">
        <v>1.9982739999999999E-2</v>
      </c>
      <c r="X2902">
        <v>0.99754449999999995</v>
      </c>
      <c r="Y2902">
        <v>-2.1170289999999999E-3</v>
      </c>
      <c r="Z2902">
        <v>-1.2091059999999999E-3</v>
      </c>
      <c r="AA2902">
        <v>0.99999699999999903</v>
      </c>
      <c r="AB2902">
        <v>31</v>
      </c>
      <c r="AC2902">
        <v>20.839200000000002</v>
      </c>
      <c r="AD2902">
        <v>-1.1056600559450001</v>
      </c>
      <c r="AE2902">
        <v>0.54779999999999496</v>
      </c>
      <c r="AF2902">
        <v>-4.2922831361671E-2</v>
      </c>
      <c r="AG2902">
        <v>-1.1056600559450001</v>
      </c>
      <c r="AH2902">
        <v>20.787876492004401</v>
      </c>
      <c r="AI2902">
        <v>93.044557436271006</v>
      </c>
      <c r="AJ2902">
        <v>90.118304223509199</v>
      </c>
      <c r="AK2902">
        <v>20.817303753742799</v>
      </c>
    </row>
    <row r="2903" spans="1:37" x14ac:dyDescent="0.2">
      <c r="A2903" t="str">
        <f>"20200111155902106"</f>
        <v>20200111155902106</v>
      </c>
      <c r="B2903" t="str">
        <f>"1578729542094491"</f>
        <v>1578729542094491</v>
      </c>
      <c r="C2903" t="s">
        <v>37</v>
      </c>
      <c r="D2903">
        <v>4.6570780000000003</v>
      </c>
      <c r="E2903">
        <v>0.51064549999999997</v>
      </c>
      <c r="F2903" t="s">
        <v>50</v>
      </c>
      <c r="G2903">
        <v>-383.03530000000001</v>
      </c>
      <c r="H2903" s="1">
        <v>8.2562119999999994E-8</v>
      </c>
      <c r="I2903">
        <v>214.5223</v>
      </c>
      <c r="J2903">
        <v>-405.18090000000001</v>
      </c>
      <c r="K2903">
        <v>1.1056379999999999</v>
      </c>
      <c r="L2903">
        <v>213.92089999999999</v>
      </c>
      <c r="M2903">
        <v>0.99956970000000001</v>
      </c>
      <c r="N2903">
        <v>0</v>
      </c>
      <c r="O2903">
        <v>2.56082999999999E-2</v>
      </c>
      <c r="P2903">
        <v>0.99572969999999905</v>
      </c>
      <c r="Q2903">
        <v>7.288419E-3</v>
      </c>
      <c r="R2903">
        <v>9.2029379999999994E-2</v>
      </c>
      <c r="S2903">
        <v>3.0060119999999899</v>
      </c>
      <c r="T2903">
        <v>-0.14802709999999999</v>
      </c>
      <c r="U2903">
        <v>8.1726069999999998E-2</v>
      </c>
      <c r="V2903">
        <v>-6.6557110000000003E-2</v>
      </c>
      <c r="W2903">
        <v>2.1385299999999999E-2</v>
      </c>
      <c r="X2903">
        <v>0.99755339999999904</v>
      </c>
      <c r="Y2903">
        <v>-1.596194E-3</v>
      </c>
      <c r="Z2903">
        <v>-1.2206960000000001E-3</v>
      </c>
      <c r="AA2903">
        <v>0.99999799999999905</v>
      </c>
      <c r="AB2903">
        <v>31</v>
      </c>
      <c r="AC2903">
        <v>22.145600000000002</v>
      </c>
      <c r="AD2903">
        <v>-1.1056379174378701</v>
      </c>
      <c r="AE2903">
        <v>0.60140000000001204</v>
      </c>
      <c r="AF2903">
        <v>-3.39489728868844E-2</v>
      </c>
      <c r="AG2903">
        <v>-1.1056379174378701</v>
      </c>
      <c r="AH2903">
        <v>22.098695945510801</v>
      </c>
      <c r="AI2903">
        <v>92.864220298142897</v>
      </c>
      <c r="AJ2903">
        <v>90.088020186341296</v>
      </c>
      <c r="AK2903">
        <v>22.126363240021401</v>
      </c>
    </row>
    <row r="2904" spans="1:37" x14ac:dyDescent="0.2">
      <c r="A2904" t="str">
        <f>"20200111155902171"</f>
        <v>20200111155902171</v>
      </c>
      <c r="B2904" t="str">
        <f>"1578729542164764"</f>
        <v>1578729542164764</v>
      </c>
      <c r="C2904" t="s">
        <v>37</v>
      </c>
      <c r="D2904">
        <v>4.8767309999999897</v>
      </c>
      <c r="E2904">
        <v>0.50889680000000004</v>
      </c>
      <c r="F2904" t="s">
        <v>50</v>
      </c>
      <c r="G2904">
        <v>-361.49720000000002</v>
      </c>
      <c r="H2904" s="1">
        <v>-7.4004210000000005E-7</v>
      </c>
      <c r="I2904">
        <v>216.7413</v>
      </c>
      <c r="J2904">
        <v>-404.2919</v>
      </c>
      <c r="K2904">
        <v>1.1054999999999999</v>
      </c>
      <c r="L2904">
        <v>213.94900000000001</v>
      </c>
      <c r="M2904">
        <v>0.99946859999999904</v>
      </c>
      <c r="N2904">
        <v>0</v>
      </c>
      <c r="O2904">
        <v>2.929143E-2</v>
      </c>
      <c r="P2904">
        <v>0.99505689999999902</v>
      </c>
      <c r="Q2904">
        <v>7.6317210000000002E-3</v>
      </c>
      <c r="R2904">
        <v>9.9013240000000002E-2</v>
      </c>
      <c r="S2904">
        <v>2.99554399999999</v>
      </c>
      <c r="T2904">
        <v>-7.5817579999999996E-2</v>
      </c>
      <c r="U2904">
        <v>0.1934052</v>
      </c>
      <c r="V2904">
        <v>-6.9874030000000004E-2</v>
      </c>
      <c r="W2904">
        <v>2.1729020000000002E-2</v>
      </c>
      <c r="X2904">
        <v>0.99731919999999996</v>
      </c>
      <c r="Y2904">
        <v>-3.5167039999999997E-2</v>
      </c>
      <c r="Z2904">
        <v>-2.957945E-4</v>
      </c>
      <c r="AA2904">
        <v>0.99938139999999998</v>
      </c>
      <c r="AB2904">
        <v>30</v>
      </c>
      <c r="AC2904">
        <v>42.794699999999899</v>
      </c>
      <c r="AD2904">
        <v>-1.1055007400421</v>
      </c>
      <c r="AE2904">
        <v>2.79229999999998</v>
      </c>
      <c r="AF2904">
        <v>-1.5364344918808801</v>
      </c>
      <c r="AG2904">
        <v>-1.1055007400421</v>
      </c>
      <c r="AH2904">
        <v>42.829672270658897</v>
      </c>
      <c r="AI2904">
        <v>91.477615233292795</v>
      </c>
      <c r="AJ2904">
        <v>92.054498071839006</v>
      </c>
      <c r="AK2904">
        <v>42.871477577127301</v>
      </c>
    </row>
    <row r="2905" spans="1:37" x14ac:dyDescent="0.2">
      <c r="A2905" t="str">
        <f>"20200111155902216"</f>
        <v>20200111155902216</v>
      </c>
      <c r="B2905" t="str">
        <f>"1578729542204780"</f>
        <v>1578729542204780</v>
      </c>
      <c r="C2905" t="s">
        <v>37</v>
      </c>
      <c r="D2905">
        <v>5.0285089999999997</v>
      </c>
      <c r="E2905">
        <v>0.50851959999999996</v>
      </c>
      <c r="F2905" t="s">
        <v>52</v>
      </c>
      <c r="G2905">
        <v>-314.16210000000001</v>
      </c>
      <c r="H2905">
        <v>7.9999310000000004E-2</v>
      </c>
      <c r="I2905">
        <v>220.79320000000001</v>
      </c>
      <c r="J2905">
        <v>-403.68680000000001</v>
      </c>
      <c r="K2905">
        <v>1.105315</v>
      </c>
      <c r="L2905">
        <v>213.9693</v>
      </c>
      <c r="M2905">
        <v>0.99940839999999997</v>
      </c>
      <c r="N2905">
        <v>0</v>
      </c>
      <c r="O2905">
        <v>3.127953E-2</v>
      </c>
      <c r="P2905">
        <v>0.99451350000000005</v>
      </c>
      <c r="Q2905">
        <v>6.81351599999999E-3</v>
      </c>
      <c r="R2905">
        <v>0.1043871</v>
      </c>
      <c r="S2905">
        <v>2.9925839999999999</v>
      </c>
      <c r="T2905">
        <v>-3.4049749999999997E-2</v>
      </c>
      <c r="U2905">
        <v>0.22724910000000001</v>
      </c>
      <c r="V2905">
        <v>-7.3266559999999994E-2</v>
      </c>
      <c r="W2905">
        <v>2.0923339999999999E-2</v>
      </c>
      <c r="X2905">
        <v>0.99709289999999995</v>
      </c>
      <c r="Y2905">
        <v>-4.4488590000000001E-2</v>
      </c>
      <c r="Z2905">
        <v>-1.025397E-4</v>
      </c>
      <c r="AA2905">
        <v>0.99900990000000001</v>
      </c>
      <c r="AB2905">
        <v>30</v>
      </c>
      <c r="AC2905">
        <v>89.524699999999996</v>
      </c>
      <c r="AD2905">
        <v>-1.02531569</v>
      </c>
      <c r="AE2905">
        <v>6.8239000000000001</v>
      </c>
      <c r="AF2905">
        <v>-4.0194592063045</v>
      </c>
      <c r="AG2905">
        <v>-1.02531569</v>
      </c>
      <c r="AH2905">
        <v>89.682659057817403</v>
      </c>
      <c r="AI2905">
        <v>90.654360577589799</v>
      </c>
      <c r="AJ2905">
        <v>92.566204385620395</v>
      </c>
      <c r="AK2905">
        <v>89.778542315277306</v>
      </c>
    </row>
    <row r="2906" spans="1:37" x14ac:dyDescent="0.2">
      <c r="A2906" t="str">
        <f>"20200111155902237"</f>
        <v>20200111155902237</v>
      </c>
      <c r="B2906" t="str">
        <f>"1578729542235036"</f>
        <v>1578729542235036</v>
      </c>
      <c r="C2906" t="s">
        <v>37</v>
      </c>
      <c r="D2906">
        <v>4.8236230000000004</v>
      </c>
      <c r="E2906">
        <v>0.50842370000000003</v>
      </c>
      <c r="F2906" t="s">
        <v>52</v>
      </c>
      <c r="G2906">
        <v>-297.63959999999997</v>
      </c>
      <c r="H2906" s="1">
        <v>1.6341529999999999E-6</v>
      </c>
      <c r="I2906">
        <v>222.70189999999999</v>
      </c>
      <c r="J2906">
        <v>-403.40129999999999</v>
      </c>
      <c r="K2906">
        <v>1.1051869999999999</v>
      </c>
      <c r="L2906">
        <v>213.97919999999999</v>
      </c>
      <c r="M2906">
        <v>0.99938579999999999</v>
      </c>
      <c r="N2906">
        <v>0</v>
      </c>
      <c r="O2906">
        <v>3.1995830000000003E-2</v>
      </c>
      <c r="P2906">
        <v>0.99423519999999899</v>
      </c>
      <c r="Q2906">
        <v>6.2411000000000003E-3</v>
      </c>
      <c r="R2906">
        <v>0.107039699999999</v>
      </c>
      <c r="S2906">
        <v>2.990936</v>
      </c>
      <c r="T2906">
        <v>-3.117406E-2</v>
      </c>
      <c r="U2906">
        <v>0.24629210000000001</v>
      </c>
      <c r="V2906">
        <v>-7.5204750000000001E-2</v>
      </c>
      <c r="W2906">
        <v>2.0362700000000001E-2</v>
      </c>
      <c r="X2906">
        <v>0.99696019999999896</v>
      </c>
      <c r="Y2906">
        <v>-5.0134209999999998E-2</v>
      </c>
      <c r="Z2906" s="1">
        <v>-7.1975019999999894E-5</v>
      </c>
      <c r="AA2906">
        <v>0.99874249999999998</v>
      </c>
      <c r="AB2906">
        <v>30</v>
      </c>
      <c r="AC2906">
        <v>105.7617</v>
      </c>
      <c r="AD2906">
        <v>-1.1051853658469999</v>
      </c>
      <c r="AE2906">
        <v>8.7226999999999997</v>
      </c>
      <c r="AF2906">
        <v>-5.3333755500147504</v>
      </c>
      <c r="AG2906">
        <v>-1.1051853658469999</v>
      </c>
      <c r="AH2906">
        <v>105.975163672482</v>
      </c>
      <c r="AI2906">
        <v>90.5967448353761</v>
      </c>
      <c r="AJ2906">
        <v>92.881074227540907</v>
      </c>
      <c r="AK2906">
        <v>106.11503967327</v>
      </c>
    </row>
    <row r="2907" spans="1:37" x14ac:dyDescent="0.2">
      <c r="A2907" t="str">
        <f>"20200111155902293"</f>
        <v>20200111155902293</v>
      </c>
      <c r="B2907" t="str">
        <f>"1578729542284813"</f>
        <v>1578729542284813</v>
      </c>
      <c r="C2907" t="s">
        <v>37</v>
      </c>
      <c r="D2907">
        <v>4.7344150000000003</v>
      </c>
      <c r="E2907">
        <v>0.5094185</v>
      </c>
      <c r="F2907" t="s">
        <v>67</v>
      </c>
      <c r="G2907">
        <v>-157.25</v>
      </c>
      <c r="H2907">
        <v>0.36673709999999998</v>
      </c>
      <c r="I2907">
        <v>234.94589999999999</v>
      </c>
      <c r="J2907">
        <v>-402.6463</v>
      </c>
      <c r="K2907">
        <v>1.1048180000000001</v>
      </c>
      <c r="L2907">
        <v>214.0051</v>
      </c>
      <c r="M2907">
        <v>0.99935110000000005</v>
      </c>
      <c r="N2907">
        <v>0</v>
      </c>
      <c r="O2907">
        <v>3.3069929999999997E-2</v>
      </c>
      <c r="P2907">
        <v>0.99398449999999905</v>
      </c>
      <c r="Q2907">
        <v>5.4081950000000002E-3</v>
      </c>
      <c r="R2907">
        <v>0.1093876</v>
      </c>
      <c r="S2907">
        <v>2.990021</v>
      </c>
      <c r="T2907">
        <v>-8.9693069999999993E-3</v>
      </c>
      <c r="U2907">
        <v>0.25468439999999998</v>
      </c>
      <c r="V2907">
        <v>-7.6468510000000003E-2</v>
      </c>
      <c r="W2907">
        <v>1.958466E-2</v>
      </c>
      <c r="X2907">
        <v>0.99687959999999998</v>
      </c>
      <c r="Y2907">
        <v>-5.1870350000000003E-2</v>
      </c>
      <c r="Z2907" s="1">
        <v>-2.1325500000000001E-5</v>
      </c>
      <c r="AA2907">
        <v>0.99865380000000004</v>
      </c>
      <c r="AB2907">
        <v>30</v>
      </c>
      <c r="AC2907">
        <v>245.3963</v>
      </c>
      <c r="AD2907">
        <v>-0.73808090000000004</v>
      </c>
      <c r="AE2907">
        <v>20.940799999999999</v>
      </c>
      <c r="AF2907">
        <v>-12.8131634523477</v>
      </c>
      <c r="AG2907">
        <v>-0.73808090000000004</v>
      </c>
      <c r="AH2907">
        <v>245.95242322148499</v>
      </c>
      <c r="AI2907">
        <v>90.171706071928696</v>
      </c>
      <c r="AJ2907">
        <v>92.982191045922804</v>
      </c>
      <c r="AK2907">
        <v>246.287060986955</v>
      </c>
    </row>
    <row r="2908" spans="1:37" x14ac:dyDescent="0.2">
      <c r="A2908" t="str">
        <f>"20200111155902316"</f>
        <v>20200111155902316</v>
      </c>
      <c r="B2908" t="str">
        <f>"1578729542304331"</f>
        <v>1578729542304331</v>
      </c>
      <c r="C2908" t="s">
        <v>37</v>
      </c>
      <c r="D2908">
        <v>4.9245599999999996</v>
      </c>
      <c r="E2908">
        <v>0.50970720000000003</v>
      </c>
      <c r="F2908" t="s">
        <v>67</v>
      </c>
      <c r="G2908">
        <v>-157.25</v>
      </c>
      <c r="H2908">
        <v>5.7981489999999997E-2</v>
      </c>
      <c r="I2908">
        <v>234.83920000000001</v>
      </c>
      <c r="J2908">
        <v>-402.35210000000001</v>
      </c>
      <c r="K2908">
        <v>1.1046929999999999</v>
      </c>
      <c r="L2908">
        <v>214.01499999999999</v>
      </c>
      <c r="M2908">
        <v>0.99934699999999999</v>
      </c>
      <c r="N2908">
        <v>0</v>
      </c>
      <c r="O2908">
        <v>3.3195950000000002E-2</v>
      </c>
      <c r="P2908">
        <v>0.99401119999999898</v>
      </c>
      <c r="Q2908">
        <v>4.9213340000000003E-3</v>
      </c>
      <c r="R2908">
        <v>0.109168899999999</v>
      </c>
      <c r="S2908">
        <v>2.9902950000000001</v>
      </c>
      <c r="T2908">
        <v>-1.275563E-2</v>
      </c>
      <c r="U2908">
        <v>0.25387569999999998</v>
      </c>
      <c r="V2908">
        <v>-7.6116959999999997E-2</v>
      </c>
      <c r="W2908">
        <v>1.9118880000000001E-2</v>
      </c>
      <c r="X2908">
        <v>0.99691559999999901</v>
      </c>
      <c r="Y2908">
        <v>-5.1468430000000003E-2</v>
      </c>
      <c r="Z2908" s="1">
        <v>-3.1717259999999999E-5</v>
      </c>
      <c r="AA2908">
        <v>0.99867459999999997</v>
      </c>
      <c r="AB2908">
        <v>30</v>
      </c>
      <c r="AC2908">
        <v>245.10210000000001</v>
      </c>
      <c r="AD2908">
        <v>-1.04671151</v>
      </c>
      <c r="AE2908">
        <v>20.824200000000001</v>
      </c>
      <c r="AF2908">
        <v>-12.675265682183101</v>
      </c>
      <c r="AG2908">
        <v>-1.04671151</v>
      </c>
      <c r="AH2908">
        <v>245.65388907867299</v>
      </c>
      <c r="AI2908">
        <v>90.243806910355204</v>
      </c>
      <c r="AJ2908">
        <v>92.953731994921398</v>
      </c>
      <c r="AK2908">
        <v>245.982908317989</v>
      </c>
    </row>
    <row r="2909" spans="1:37" x14ac:dyDescent="0.2">
      <c r="A2909" t="str">
        <f>"20200111155902337"</f>
        <v>20200111155902337</v>
      </c>
      <c r="B2909" t="str">
        <f>"1578729542334589"</f>
        <v>1578729542334589</v>
      </c>
      <c r="C2909" t="s">
        <v>37</v>
      </c>
      <c r="D2909">
        <v>4.8541069999999999</v>
      </c>
      <c r="E2909">
        <v>0.51078619999999997</v>
      </c>
      <c r="F2909" t="s">
        <v>41</v>
      </c>
      <c r="G2909">
        <v>-136.04599999999999</v>
      </c>
      <c r="H2909">
        <v>-0.05</v>
      </c>
      <c r="I2909">
        <v>236.36840000000001</v>
      </c>
      <c r="J2909">
        <v>-402.06079999999997</v>
      </c>
      <c r="K2909">
        <v>1.1045780000000001</v>
      </c>
      <c r="L2909">
        <v>214.0248</v>
      </c>
      <c r="M2909">
        <v>0.9993476</v>
      </c>
      <c r="N2909">
        <v>0</v>
      </c>
      <c r="O2909">
        <v>3.3178489999999998E-2</v>
      </c>
      <c r="P2909">
        <v>0.99408980000000002</v>
      </c>
      <c r="Q2909">
        <v>4.5687669999999996E-3</v>
      </c>
      <c r="R2909">
        <v>0.108464899999999</v>
      </c>
      <c r="S2909">
        <v>2.9905400000000002</v>
      </c>
      <c r="T2909">
        <v>-1.296687E-2</v>
      </c>
      <c r="U2909">
        <v>0.25102229999999998</v>
      </c>
      <c r="V2909">
        <v>-7.5422909999999996E-2</v>
      </c>
      <c r="W2909">
        <v>1.8784200000000001E-2</v>
      </c>
      <c r="X2909">
        <v>0.99697469999999999</v>
      </c>
      <c r="Y2909">
        <v>-5.0532859999999999E-2</v>
      </c>
      <c r="Z2909" s="1">
        <v>-3.4191030000000001E-5</v>
      </c>
      <c r="AA2909">
        <v>0.99872240000000001</v>
      </c>
      <c r="AB2909">
        <v>30</v>
      </c>
      <c r="AC2909">
        <v>266.01479999999998</v>
      </c>
      <c r="AD2909">
        <v>-1.1545780000000001</v>
      </c>
      <c r="AE2909">
        <v>22.343599999999999</v>
      </c>
      <c r="AF2909">
        <v>-13.504175609453</v>
      </c>
      <c r="AG2909">
        <v>-1.1545780000000001</v>
      </c>
      <c r="AH2909">
        <v>266.60472894380399</v>
      </c>
      <c r="AI2909">
        <v>90.247810063818093</v>
      </c>
      <c r="AJ2909">
        <v>92.899691894791999</v>
      </c>
      <c r="AK2909">
        <v>266.949016301705</v>
      </c>
    </row>
    <row r="2910" spans="1:37" x14ac:dyDescent="0.2">
      <c r="A2910" t="str">
        <f>"20200111155902517"</f>
        <v>20200111155902517</v>
      </c>
      <c r="B2910" t="str">
        <f>"1578729542515148"</f>
        <v>1578729542515148</v>
      </c>
      <c r="C2910" t="s">
        <v>37</v>
      </c>
      <c r="D2910">
        <v>4.8978849999999996</v>
      </c>
      <c r="E2910">
        <v>0.51149309999999903</v>
      </c>
      <c r="F2910" t="s">
        <v>41</v>
      </c>
      <c r="G2910">
        <v>-235.27269999999999</v>
      </c>
      <c r="H2910">
        <v>-0.05</v>
      </c>
      <c r="I2910">
        <v>227.43039999999999</v>
      </c>
      <c r="J2910">
        <v>-399.66379999999998</v>
      </c>
      <c r="K2910">
        <v>1.1041129999999999</v>
      </c>
      <c r="L2910">
        <v>214.09889999999999</v>
      </c>
      <c r="M2910">
        <v>0.999444</v>
      </c>
      <c r="N2910">
        <v>0</v>
      </c>
      <c r="O2910">
        <v>3.0146969999999999E-2</v>
      </c>
      <c r="P2910">
        <v>0.99500689999999903</v>
      </c>
      <c r="Q2910">
        <v>1.3875109999999999E-3</v>
      </c>
      <c r="R2910">
        <v>9.9796640000000006E-2</v>
      </c>
      <c r="S2910">
        <v>2.99175999999999</v>
      </c>
      <c r="T2910">
        <v>-2.071023E-2</v>
      </c>
      <c r="U2910">
        <v>0.24046329999999999</v>
      </c>
      <c r="V2910">
        <v>-6.9737839999999995E-2</v>
      </c>
      <c r="W2910">
        <v>1.5657560000000001E-2</v>
      </c>
      <c r="X2910">
        <v>0.99744249999999901</v>
      </c>
      <c r="Y2910">
        <v>-5.002682E-2</v>
      </c>
      <c r="Z2910" s="1">
        <v>-3.5413500000000002E-5</v>
      </c>
      <c r="AA2910">
        <v>0.99874789999999902</v>
      </c>
      <c r="AB2910">
        <v>30</v>
      </c>
      <c r="AC2910">
        <v>164.39109999999999</v>
      </c>
      <c r="AD2910">
        <v>-1.1541129999999999</v>
      </c>
      <c r="AE2910">
        <v>13.3315</v>
      </c>
      <c r="AF2910">
        <v>-8.3686332265443895</v>
      </c>
      <c r="AG2910">
        <v>-1.1541129999999999</v>
      </c>
      <c r="AH2910">
        <v>164.71024519257199</v>
      </c>
      <c r="AI2910">
        <v>90.4009437286294</v>
      </c>
      <c r="AJ2910">
        <v>92.908595070673996</v>
      </c>
      <c r="AK2910">
        <v>164.926743951048</v>
      </c>
    </row>
    <row r="2911" spans="1:37" x14ac:dyDescent="0.2">
      <c r="A2911" t="str">
        <f>"20200111155902539"</f>
        <v>20200111155902539</v>
      </c>
      <c r="B2911" t="str">
        <f>"1578729542534668"</f>
        <v>1578729542534668</v>
      </c>
      <c r="C2911" t="s">
        <v>37</v>
      </c>
      <c r="D2911">
        <v>4.8403859999999996</v>
      </c>
      <c r="E2911">
        <v>0.51192959999999998</v>
      </c>
      <c r="F2911" t="s">
        <v>52</v>
      </c>
      <c r="G2911">
        <v>-289.68549999999999</v>
      </c>
      <c r="H2911">
        <v>7.2548929999999998E-2</v>
      </c>
      <c r="I2911">
        <v>221.76220000000001</v>
      </c>
      <c r="J2911">
        <v>-399.37450000000001</v>
      </c>
      <c r="K2911">
        <v>1.104117</v>
      </c>
      <c r="L2911">
        <v>214.1071</v>
      </c>
      <c r="M2911">
        <v>0.99945769999999901</v>
      </c>
      <c r="N2911">
        <v>0</v>
      </c>
      <c r="O2911">
        <v>2.9697500000000002E-2</v>
      </c>
      <c r="P2911">
        <v>0.99496409999999902</v>
      </c>
      <c r="Q2911">
        <v>1.47425799999999E-3</v>
      </c>
      <c r="R2911">
        <v>0.1002232</v>
      </c>
      <c r="S2911">
        <v>2.9941409999999999</v>
      </c>
      <c r="T2911">
        <v>-2.808416E-2</v>
      </c>
      <c r="U2911">
        <v>0.2086334</v>
      </c>
      <c r="V2911">
        <v>-7.0613809999999999E-2</v>
      </c>
      <c r="W2911">
        <v>1.5741959999999999E-2</v>
      </c>
      <c r="X2911">
        <v>0.99737949999999997</v>
      </c>
      <c r="Y2911">
        <v>-3.9852239999999997E-2</v>
      </c>
      <c r="Z2911" s="1">
        <v>-9.1465279999999999E-5</v>
      </c>
      <c r="AA2911">
        <v>0.99920560000000003</v>
      </c>
      <c r="AB2911">
        <v>30</v>
      </c>
      <c r="AC2911">
        <v>109.68899999999999</v>
      </c>
      <c r="AD2911">
        <v>-1.0315680700000001</v>
      </c>
      <c r="AE2911">
        <v>7.6551</v>
      </c>
      <c r="AF2911">
        <v>-4.3935174712065397</v>
      </c>
      <c r="AG2911">
        <v>-1.0315680700000001</v>
      </c>
      <c r="AH2911">
        <v>109.858300991877</v>
      </c>
      <c r="AI2911">
        <v>90.5375611478118</v>
      </c>
      <c r="AJ2911">
        <v>92.290185889034206</v>
      </c>
      <c r="AK2911">
        <v>109.950959183059</v>
      </c>
    </row>
    <row r="2912" spans="1:37" x14ac:dyDescent="0.2">
      <c r="A2912" t="str">
        <f>"20200111155902561"</f>
        <v>20200111155902561</v>
      </c>
      <c r="B2912" t="str">
        <f>"1578729542554187"</f>
        <v>1578729542554187</v>
      </c>
      <c r="C2912" t="s">
        <v>37</v>
      </c>
      <c r="D2912">
        <v>4.8575339999999896</v>
      </c>
      <c r="E2912">
        <v>0.51215519999999903</v>
      </c>
      <c r="F2912" t="s">
        <v>52</v>
      </c>
      <c r="G2912">
        <v>-283.29320000000001</v>
      </c>
      <c r="H2912">
        <v>7.9998990000000006E-2</v>
      </c>
      <c r="I2912">
        <v>222.10980000000001</v>
      </c>
      <c r="J2912">
        <v>-399.06959999999998</v>
      </c>
      <c r="K2912">
        <v>1.104115</v>
      </c>
      <c r="L2912">
        <v>214.1157</v>
      </c>
      <c r="M2912">
        <v>0.99947140000000001</v>
      </c>
      <c r="N2912">
        <v>0</v>
      </c>
      <c r="O2912">
        <v>2.9233220000000001E-2</v>
      </c>
      <c r="P2912">
        <v>0.99491049999999903</v>
      </c>
      <c r="Q2912">
        <v>2.0304889999999999E-3</v>
      </c>
      <c r="R2912">
        <v>0.1007432</v>
      </c>
      <c r="S2912">
        <v>2.994415</v>
      </c>
      <c r="T2912">
        <v>-2.6417969999999999E-2</v>
      </c>
      <c r="U2912">
        <v>0.20643619999999999</v>
      </c>
      <c r="V2912">
        <v>-7.1598099999999998E-2</v>
      </c>
      <c r="W2912">
        <v>1.629454E-2</v>
      </c>
      <c r="X2912">
        <v>0.99730039999999998</v>
      </c>
      <c r="Y2912">
        <v>-3.958039E-2</v>
      </c>
      <c r="Z2912" s="1">
        <v>-8.3143660000000006E-5</v>
      </c>
      <c r="AA2912">
        <v>0.9992164</v>
      </c>
      <c r="AB2912">
        <v>30</v>
      </c>
      <c r="AC2912">
        <v>115.776399999999</v>
      </c>
      <c r="AD2912">
        <v>-1.02411601</v>
      </c>
      <c r="AE2912">
        <v>7.9941000000000004</v>
      </c>
      <c r="AF2912">
        <v>-4.6054646940787904</v>
      </c>
      <c r="AG2912">
        <v>-1.02411601</v>
      </c>
      <c r="AH2912">
        <v>115.95159655872899</v>
      </c>
      <c r="AI2912">
        <v>90.505640068394797</v>
      </c>
      <c r="AJ2912">
        <v>92.274527194241401</v>
      </c>
      <c r="AK2912">
        <v>116.04754139217501</v>
      </c>
    </row>
    <row r="2913" spans="1:37" x14ac:dyDescent="0.2">
      <c r="A2913" t="str">
        <f>"20200111155902586"</f>
        <v>20200111155902586</v>
      </c>
      <c r="B2913" t="str">
        <f>"1578729542574684"</f>
        <v>1578729542574684</v>
      </c>
      <c r="C2913" t="s">
        <v>37</v>
      </c>
      <c r="D2913">
        <v>4.9299429999999997</v>
      </c>
      <c r="E2913">
        <v>0.5121599</v>
      </c>
      <c r="F2913" t="s">
        <v>50</v>
      </c>
      <c r="G2913">
        <v>-265.05110000000002</v>
      </c>
      <c r="H2913">
        <v>7.999966E-2</v>
      </c>
      <c r="I2913">
        <v>223.34520000000001</v>
      </c>
      <c r="J2913">
        <v>-398.75490000000002</v>
      </c>
      <c r="K2913">
        <v>1.104117</v>
      </c>
      <c r="L2913">
        <v>214.12440000000001</v>
      </c>
      <c r="M2913">
        <v>0.99948499999999996</v>
      </c>
      <c r="N2913">
        <v>0</v>
      </c>
      <c r="O2913">
        <v>2.876097E-2</v>
      </c>
      <c r="P2913">
        <v>0.99484089999999903</v>
      </c>
      <c r="Q2913">
        <v>1.872681E-3</v>
      </c>
      <c r="R2913">
        <v>0.1014318</v>
      </c>
      <c r="S2913">
        <v>2.9944759999999899</v>
      </c>
      <c r="T2913">
        <v>-2.288258E-2</v>
      </c>
      <c r="U2913">
        <v>0.2062225</v>
      </c>
      <c r="V2913">
        <v>-7.276001E-2</v>
      </c>
      <c r="W2913">
        <v>1.6133390000000001E-2</v>
      </c>
      <c r="X2913">
        <v>0.99721899999999997</v>
      </c>
      <c r="Y2913">
        <v>-3.998024E-2</v>
      </c>
      <c r="Z2913" s="1">
        <v>-6.6888339999999997E-5</v>
      </c>
      <c r="AA2913">
        <v>0.99920049999999905</v>
      </c>
      <c r="AB2913">
        <v>30</v>
      </c>
      <c r="AC2913">
        <v>133.7038</v>
      </c>
      <c r="AD2913">
        <v>-1.0241173400000001</v>
      </c>
      <c r="AE2913">
        <v>9.2207999999999899</v>
      </c>
      <c r="AF2913">
        <v>-5.37083066228739</v>
      </c>
      <c r="AG2913">
        <v>-1.0241173400000001</v>
      </c>
      <c r="AH2913">
        <v>133.90588491973401</v>
      </c>
      <c r="AI2913">
        <v>90.437839746082204</v>
      </c>
      <c r="AJ2913">
        <v>92.296845075690598</v>
      </c>
      <c r="AK2913">
        <v>134.01746399057899</v>
      </c>
    </row>
    <row r="2914" spans="1:37" x14ac:dyDescent="0.2">
      <c r="A2914" t="str">
        <f>"20200111155902606"</f>
        <v>20200111155902606</v>
      </c>
      <c r="B2914" t="str">
        <f>"1578729542604940"</f>
        <v>1578729542604940</v>
      </c>
      <c r="C2914" t="s">
        <v>37</v>
      </c>
      <c r="D2914">
        <v>4.9636529999999999</v>
      </c>
      <c r="E2914">
        <v>0.51249489999999998</v>
      </c>
      <c r="F2914" t="s">
        <v>50</v>
      </c>
      <c r="G2914">
        <v>-278.637</v>
      </c>
      <c r="H2914">
        <v>8.0000740000000001E-2</v>
      </c>
      <c r="I2914">
        <v>222.4821</v>
      </c>
      <c r="J2914">
        <v>-398.47120000000001</v>
      </c>
      <c r="K2914">
        <v>1.1041129999999999</v>
      </c>
      <c r="L2914">
        <v>214.13210000000001</v>
      </c>
      <c r="M2914">
        <v>0.99949719999999997</v>
      </c>
      <c r="N2914">
        <v>0</v>
      </c>
      <c r="O2914">
        <v>2.8338329999999998E-2</v>
      </c>
      <c r="P2914">
        <v>0.99477759999999904</v>
      </c>
      <c r="Q2914">
        <v>1.677734E-3</v>
      </c>
      <c r="R2914">
        <v>0.1020529</v>
      </c>
      <c r="S2914">
        <v>2.994354</v>
      </c>
      <c r="T2914">
        <v>-2.5529619999999999E-2</v>
      </c>
      <c r="U2914">
        <v>0.20834349999999999</v>
      </c>
      <c r="V2914">
        <v>-7.3804419999999996E-2</v>
      </c>
      <c r="W2914">
        <v>1.593458E-2</v>
      </c>
      <c r="X2914">
        <v>0.99714539999999996</v>
      </c>
      <c r="Y2914">
        <v>-4.1109769999999997E-2</v>
      </c>
      <c r="Z2914" s="1">
        <v>-6.6220480000000006E-5</v>
      </c>
      <c r="AA2914">
        <v>0.9991546</v>
      </c>
      <c r="AB2914">
        <v>30</v>
      </c>
      <c r="AC2914">
        <v>119.8342</v>
      </c>
      <c r="AD2914">
        <v>-1.0241122600000001</v>
      </c>
      <c r="AE2914">
        <v>8.3499999999999908</v>
      </c>
      <c r="AF2914">
        <v>-4.9500414579169902</v>
      </c>
      <c r="AG2914">
        <v>-1.0241122600000001</v>
      </c>
      <c r="AH2914">
        <v>120.013989584673</v>
      </c>
      <c r="AI2914">
        <v>90.488493406006</v>
      </c>
      <c r="AJ2914">
        <v>92.361856480047294</v>
      </c>
      <c r="AK2914">
        <v>120.120395488802</v>
      </c>
    </row>
    <row r="2915" spans="1:37" x14ac:dyDescent="0.2">
      <c r="A2915" t="str">
        <f>"20200111155902629"</f>
        <v>20200111155902629</v>
      </c>
      <c r="B2915" t="str">
        <f>"1578729542624460"</f>
        <v>1578729542624460</v>
      </c>
      <c r="C2915" t="s">
        <v>37</v>
      </c>
      <c r="D2915">
        <v>4.9902759999999997</v>
      </c>
      <c r="E2915">
        <v>0.53264369999999905</v>
      </c>
      <c r="F2915" t="s">
        <v>52</v>
      </c>
      <c r="G2915">
        <v>-289.66919999999999</v>
      </c>
      <c r="H2915">
        <v>6.4966199999999905E-2</v>
      </c>
      <c r="I2915">
        <v>221.6737</v>
      </c>
      <c r="J2915">
        <v>-398.18439999999998</v>
      </c>
      <c r="K2915">
        <v>1.10412</v>
      </c>
      <c r="L2915">
        <v>214.1397</v>
      </c>
      <c r="M2915">
        <v>0.99950919999999899</v>
      </c>
      <c r="N2915">
        <v>0</v>
      </c>
      <c r="O2915">
        <v>2.7911999999999999E-2</v>
      </c>
      <c r="P2915">
        <v>0.99474869999999904</v>
      </c>
      <c r="Q2915">
        <v>1.015244E-3</v>
      </c>
      <c r="R2915">
        <v>0.1023439</v>
      </c>
      <c r="S2915">
        <v>2.9945369999999998</v>
      </c>
      <c r="T2915">
        <v>-2.8600219999999999E-2</v>
      </c>
      <c r="U2915">
        <v>0.20756529999999901</v>
      </c>
      <c r="V2915">
        <v>-7.4522179999999993E-2</v>
      </c>
      <c r="W2915">
        <v>1.5268510000000001E-2</v>
      </c>
      <c r="X2915">
        <v>0.99710239999999895</v>
      </c>
      <c r="Y2915">
        <v>-4.127318E-2</v>
      </c>
      <c r="Z2915" s="1">
        <v>-6.9337799999999897E-5</v>
      </c>
      <c r="AA2915">
        <v>0.99914789999999998</v>
      </c>
      <c r="AB2915">
        <v>30</v>
      </c>
      <c r="AC2915">
        <v>108.51519999999999</v>
      </c>
      <c r="AD2915">
        <v>-1.0391538</v>
      </c>
      <c r="AE2915">
        <v>7.53399999999999</v>
      </c>
      <c r="AF2915">
        <v>-4.5014705789501503</v>
      </c>
      <c r="AG2915">
        <v>-1.0391538</v>
      </c>
      <c r="AH2915">
        <v>108.67330474424701</v>
      </c>
      <c r="AI2915">
        <v>90.547386542487303</v>
      </c>
      <c r="AJ2915">
        <v>92.371952421356397</v>
      </c>
      <c r="AK2915">
        <v>108.77145876575</v>
      </c>
    </row>
    <row r="2916" spans="1:37" x14ac:dyDescent="0.2">
      <c r="A2916" t="str">
        <f>"20200111155902653"</f>
        <v>20200111155902653</v>
      </c>
      <c r="B2916" t="str">
        <f>"1578729542647883"</f>
        <v>1578729542647883</v>
      </c>
      <c r="C2916" t="s">
        <v>37</v>
      </c>
      <c r="D2916">
        <v>4.9748989999999997</v>
      </c>
      <c r="E2916">
        <v>0.53355680000000005</v>
      </c>
      <c r="F2916" t="s">
        <v>38</v>
      </c>
      <c r="G2916">
        <v>-397.2396</v>
      </c>
      <c r="H2916">
        <v>1.0417000000000001</v>
      </c>
      <c r="I2916">
        <v>214.1557</v>
      </c>
      <c r="J2916">
        <v>-397.85919999999999</v>
      </c>
      <c r="K2916">
        <v>1.1041190000000001</v>
      </c>
      <c r="L2916">
        <v>214.1482</v>
      </c>
      <c r="M2916">
        <v>0.99952260000000004</v>
      </c>
      <c r="N2916">
        <v>0</v>
      </c>
      <c r="O2916">
        <v>2.7428520000000001E-2</v>
      </c>
      <c r="P2916">
        <v>0.99480270000000004</v>
      </c>
      <c r="Q2916">
        <v>6.7064169999999897E-4</v>
      </c>
      <c r="R2916">
        <v>0.1018208</v>
      </c>
      <c r="S2916">
        <v>3.010742</v>
      </c>
      <c r="T2916">
        <v>-0.19899239999999899</v>
      </c>
      <c r="U2916">
        <v>5.1361080000000003E-2</v>
      </c>
      <c r="V2916">
        <v>-7.4480749999999998E-2</v>
      </c>
      <c r="W2916">
        <v>1.4919989999999999E-2</v>
      </c>
      <c r="X2916">
        <v>0.99711079999999996</v>
      </c>
      <c r="Y2916">
        <v>1.0294660000000001E-2</v>
      </c>
      <c r="Z2916">
        <v>-2.150477E-3</v>
      </c>
      <c r="AA2916">
        <v>0.99994470000000002</v>
      </c>
      <c r="AB2916">
        <v>30</v>
      </c>
      <c r="AC2916">
        <v>0.61959999999999105</v>
      </c>
      <c r="AD2916">
        <v>-6.2419000000000002E-2</v>
      </c>
      <c r="AE2916">
        <v>7.4999999999931797E-3</v>
      </c>
      <c r="AF2916">
        <v>9.4038293991792095E-3</v>
      </c>
      <c r="AG2916">
        <v>-6.2419000000000002E-2</v>
      </c>
      <c r="AH2916">
        <v>0.613348787427065</v>
      </c>
      <c r="AI2916">
        <v>95.810167446331405</v>
      </c>
      <c r="AJ2916">
        <v>89.121613126907405</v>
      </c>
      <c r="AK2916">
        <v>0.616588435349399</v>
      </c>
    </row>
    <row r="2917" spans="1:37" x14ac:dyDescent="0.2">
      <c r="A2917" t="str">
        <f>"20200111155902676"</f>
        <v>20200111155902676</v>
      </c>
      <c r="B2917" t="str">
        <f>"1578729542664476"</f>
        <v>1578729542664476</v>
      </c>
      <c r="C2917" t="s">
        <v>37</v>
      </c>
      <c r="D2917">
        <v>5.1479099999999898</v>
      </c>
      <c r="E2917">
        <v>0.532829</v>
      </c>
      <c r="F2917" t="s">
        <v>50</v>
      </c>
      <c r="G2917">
        <v>-381.06529999999998</v>
      </c>
      <c r="H2917" s="1">
        <v>-9.5981029999999999E-7</v>
      </c>
      <c r="I2917">
        <v>214.3854</v>
      </c>
      <c r="J2917">
        <v>-397.56889999999999</v>
      </c>
      <c r="K2917">
        <v>1.1041239999999899</v>
      </c>
      <c r="L2917">
        <v>214.1557</v>
      </c>
      <c r="M2917">
        <v>0.99953440000000005</v>
      </c>
      <c r="N2917">
        <v>0</v>
      </c>
      <c r="O2917">
        <v>2.6996579999999999E-2</v>
      </c>
      <c r="P2917">
        <v>0.99492909999999901</v>
      </c>
      <c r="Q2917">
        <v>1.155456E-3</v>
      </c>
      <c r="R2917">
        <v>0.10057289999999899</v>
      </c>
      <c r="S2917">
        <v>3.011444</v>
      </c>
      <c r="T2917">
        <v>-0.19798769999999999</v>
      </c>
      <c r="U2917">
        <v>4.2526250000000002E-2</v>
      </c>
      <c r="V2917">
        <v>-7.3660020000000007E-2</v>
      </c>
      <c r="W2917">
        <v>1.540154E-2</v>
      </c>
      <c r="X2917">
        <v>0.99716450000000001</v>
      </c>
      <c r="Y2917">
        <v>1.279575E-2</v>
      </c>
      <c r="Z2917">
        <v>-2.1929779999999999E-3</v>
      </c>
      <c r="AA2917">
        <v>0.99991569999999996</v>
      </c>
      <c r="AB2917">
        <v>29</v>
      </c>
      <c r="AC2917">
        <v>16.503599999999999</v>
      </c>
      <c r="AD2917">
        <v>-1.10412495981029</v>
      </c>
      <c r="AE2917">
        <v>0.22970000000000801</v>
      </c>
      <c r="AF2917">
        <v>0.21500737591167801</v>
      </c>
      <c r="AG2917">
        <v>-1.10412495981029</v>
      </c>
      <c r="AH2917">
        <v>16.4302596539444</v>
      </c>
      <c r="AI2917">
        <v>93.844208103822893</v>
      </c>
      <c r="AJ2917">
        <v>89.250266742842001</v>
      </c>
      <c r="AK2917">
        <v>16.468720423718601</v>
      </c>
    </row>
    <row r="2918" spans="1:37" x14ac:dyDescent="0.2">
      <c r="A2918" t="str">
        <f>"20200111155902697"</f>
        <v>20200111155902697</v>
      </c>
      <c r="B2918" t="str">
        <f>"1578729542694732"</f>
        <v>1578729542694732</v>
      </c>
      <c r="C2918" t="s">
        <v>37</v>
      </c>
      <c r="D2918">
        <v>5.0416369999999997</v>
      </c>
      <c r="E2918">
        <v>0.53375980000000001</v>
      </c>
      <c r="F2918" t="s">
        <v>50</v>
      </c>
      <c r="G2918">
        <v>-380.13990000000001</v>
      </c>
      <c r="H2918" s="1">
        <v>-1.453495E-6</v>
      </c>
      <c r="I2918">
        <v>214.41380000000001</v>
      </c>
      <c r="J2918">
        <v>-397.27910000000003</v>
      </c>
      <c r="K2918">
        <v>1.104123</v>
      </c>
      <c r="L2918">
        <v>214.16309999999999</v>
      </c>
      <c r="M2918">
        <v>0.99954589999999999</v>
      </c>
      <c r="N2918">
        <v>0</v>
      </c>
      <c r="O2918">
        <v>2.6565579999999998E-2</v>
      </c>
      <c r="P2918">
        <v>0.99501319999999904</v>
      </c>
      <c r="Q2918">
        <v>1.222171E-3</v>
      </c>
      <c r="R2918">
        <v>9.9736820000000004E-2</v>
      </c>
      <c r="S2918">
        <v>3.0110169999999998</v>
      </c>
      <c r="T2918">
        <v>-0.19074769999999999</v>
      </c>
      <c r="U2918">
        <v>4.4586180000000003E-2</v>
      </c>
      <c r="V2918">
        <v>-7.3252449999999997E-2</v>
      </c>
      <c r="W2918">
        <v>1.546495E-2</v>
      </c>
      <c r="X2918">
        <v>0.99719349999999995</v>
      </c>
      <c r="Y2918">
        <v>1.168787E-2</v>
      </c>
      <c r="Z2918">
        <v>-2.0509119999999998E-3</v>
      </c>
      <c r="AA2918">
        <v>0.99992959999999997</v>
      </c>
      <c r="AB2918">
        <v>29</v>
      </c>
      <c r="AC2918">
        <v>17.139199999999999</v>
      </c>
      <c r="AD2918">
        <v>-1.1041244534950001</v>
      </c>
      <c r="AE2918">
        <v>0.25070000000002302</v>
      </c>
      <c r="AF2918">
        <v>0.20390131630614999</v>
      </c>
      <c r="AG2918">
        <v>-1.1041244534950001</v>
      </c>
      <c r="AH2918">
        <v>17.0689882805856</v>
      </c>
      <c r="AI2918">
        <v>93.700814707117999</v>
      </c>
      <c r="AJ2918">
        <v>89.315593343319705</v>
      </c>
      <c r="AK2918">
        <v>17.105876986532</v>
      </c>
    </row>
    <row r="2919" spans="1:37" x14ac:dyDescent="0.2">
      <c r="A2919" t="str">
        <f>"20200111155902720"</f>
        <v>20200111155902720</v>
      </c>
      <c r="B2919" t="str">
        <f>"1578729542714251"</f>
        <v>1578729542714251</v>
      </c>
      <c r="C2919" t="s">
        <v>37</v>
      </c>
      <c r="D2919">
        <v>5.0407010000000003</v>
      </c>
      <c r="E2919">
        <v>0.53398389999999996</v>
      </c>
      <c r="F2919" t="s">
        <v>50</v>
      </c>
      <c r="G2919">
        <v>-380.7328</v>
      </c>
      <c r="H2919" s="1">
        <v>-1.135385E-6</v>
      </c>
      <c r="I2919">
        <v>214.35489999999999</v>
      </c>
      <c r="J2919">
        <v>-396.98340000000002</v>
      </c>
      <c r="K2919">
        <v>1.1041179999999999</v>
      </c>
      <c r="L2919">
        <v>214.1704</v>
      </c>
      <c r="M2919">
        <v>0.99955780000000005</v>
      </c>
      <c r="N2919">
        <v>0</v>
      </c>
      <c r="O2919">
        <v>2.612517E-2</v>
      </c>
      <c r="P2919">
        <v>0.9950909</v>
      </c>
      <c r="Q2919">
        <v>2.6987980000000001E-3</v>
      </c>
      <c r="R2919">
        <v>9.8930760000000006E-2</v>
      </c>
      <c r="S2919">
        <v>3.0118099999999899</v>
      </c>
      <c r="T2919">
        <v>-0.20097609999999999</v>
      </c>
      <c r="U2919">
        <v>3.4927369999999999E-2</v>
      </c>
      <c r="V2919">
        <v>-7.2882669999999997E-2</v>
      </c>
      <c r="W2919">
        <v>1.6938180000000001E-2</v>
      </c>
      <c r="X2919">
        <v>0.99719669999999905</v>
      </c>
      <c r="Y2919">
        <v>1.444378E-2</v>
      </c>
      <c r="Z2919">
        <v>-2.2226419999999999E-3</v>
      </c>
      <c r="AA2919">
        <v>0.99989319999999904</v>
      </c>
      <c r="AB2919">
        <v>29</v>
      </c>
      <c r="AC2919">
        <v>16.250599999999999</v>
      </c>
      <c r="AD2919">
        <v>-1.104119135385</v>
      </c>
      <c r="AE2919">
        <v>0.18449999999998501</v>
      </c>
      <c r="AF2919">
        <v>0.239052100433231</v>
      </c>
      <c r="AG2919">
        <v>-1.104119135385</v>
      </c>
      <c r="AH2919">
        <v>16.175212949821798</v>
      </c>
      <c r="AI2919">
        <v>93.904524240433801</v>
      </c>
      <c r="AJ2919">
        <v>89.153292174941399</v>
      </c>
      <c r="AK2919">
        <v>16.2146149798238</v>
      </c>
    </row>
    <row r="2920" spans="1:37" x14ac:dyDescent="0.2">
      <c r="A2920" t="str">
        <f>"20200111155902742"</f>
        <v>20200111155902742</v>
      </c>
      <c r="B2920" t="str">
        <f>"1578729542734748"</f>
        <v>1578729542734748</v>
      </c>
      <c r="C2920" t="s">
        <v>37</v>
      </c>
      <c r="D2920">
        <v>5.2039269999999904</v>
      </c>
      <c r="E2920">
        <v>0.53396509999999997</v>
      </c>
      <c r="F2920" t="s">
        <v>50</v>
      </c>
      <c r="G2920">
        <v>-380.40890000000002</v>
      </c>
      <c r="H2920" s="1">
        <v>-1.307064E-6</v>
      </c>
      <c r="I2920">
        <v>214.33940000000001</v>
      </c>
      <c r="J2920">
        <v>-396.69310000000002</v>
      </c>
      <c r="K2920">
        <v>1.104117</v>
      </c>
      <c r="L2920">
        <v>214.17760000000001</v>
      </c>
      <c r="M2920">
        <v>0.99956900000000004</v>
      </c>
      <c r="N2920">
        <v>0</v>
      </c>
      <c r="O2920">
        <v>2.5692980000000001E-2</v>
      </c>
      <c r="P2920">
        <v>0.99509029999999998</v>
      </c>
      <c r="Q2920">
        <v>3.840385E-3</v>
      </c>
      <c r="R2920">
        <v>9.8896960000000006E-2</v>
      </c>
      <c r="S2920">
        <v>3.0122680000000002</v>
      </c>
      <c r="T2920">
        <v>-0.20066410000000001</v>
      </c>
      <c r="U2920">
        <v>3.0700680000000001E-2</v>
      </c>
      <c r="V2920">
        <v>-7.3279189999999994E-2</v>
      </c>
      <c r="W2920">
        <v>1.8076209999999999E-2</v>
      </c>
      <c r="X2920">
        <v>0.99714760000000002</v>
      </c>
      <c r="Y2920">
        <v>1.5415150000000001E-2</v>
      </c>
      <c r="Z2920">
        <v>-2.2224529999999901E-3</v>
      </c>
      <c r="AA2920">
        <v>0.99987870000000001</v>
      </c>
      <c r="AB2920">
        <v>29</v>
      </c>
      <c r="AC2920">
        <v>16.284199999999998</v>
      </c>
      <c r="AD2920">
        <v>-1.1041183070639999</v>
      </c>
      <c r="AE2920">
        <v>0.161799999999999</v>
      </c>
      <c r="AF2920">
        <v>0.25551071546139598</v>
      </c>
      <c r="AG2920">
        <v>-1.1041183070639999</v>
      </c>
      <c r="AH2920">
        <v>16.208473641592999</v>
      </c>
      <c r="AI2920">
        <v>93.896475306943501</v>
      </c>
      <c r="AJ2920">
        <v>89.096862946778003</v>
      </c>
      <c r="AK2920">
        <v>16.248045444050302</v>
      </c>
    </row>
    <row r="2921" spans="1:37" x14ac:dyDescent="0.2">
      <c r="A2921" t="str">
        <f>"20200111155902764"</f>
        <v>20200111155902764</v>
      </c>
      <c r="B2921" t="str">
        <f>"1578729542754268"</f>
        <v>1578729542754268</v>
      </c>
      <c r="C2921" t="s">
        <v>37</v>
      </c>
      <c r="D2921">
        <v>5.2583869999999999</v>
      </c>
      <c r="E2921">
        <v>0.53365769999999901</v>
      </c>
      <c r="F2921" t="s">
        <v>50</v>
      </c>
      <c r="G2921">
        <v>-379.97710000000001</v>
      </c>
      <c r="H2921" s="1">
        <v>-1.5372079999999899E-6</v>
      </c>
      <c r="I2921">
        <v>214.3466</v>
      </c>
      <c r="J2921">
        <v>-396.41219999999998</v>
      </c>
      <c r="K2921">
        <v>1.1041069999999999</v>
      </c>
      <c r="L2921">
        <v>214.18430000000001</v>
      </c>
      <c r="M2921">
        <v>0.99957980000000002</v>
      </c>
      <c r="N2921">
        <v>0</v>
      </c>
      <c r="O2921">
        <v>2.5274609999999999E-2</v>
      </c>
      <c r="P2921">
        <v>0.99507080000000003</v>
      </c>
      <c r="Q2921">
        <v>3.6983350000000001E-3</v>
      </c>
      <c r="R2921">
        <v>9.9099339999999994E-2</v>
      </c>
      <c r="S2921">
        <v>3.0125120000000001</v>
      </c>
      <c r="T2921">
        <v>-0.1989802</v>
      </c>
      <c r="U2921">
        <v>3.0456540000000001E-2</v>
      </c>
      <c r="V2921">
        <v>-7.3899380000000001E-2</v>
      </c>
      <c r="W2921">
        <v>1.7931280000000001E-2</v>
      </c>
      <c r="X2921">
        <v>0.99710449999999995</v>
      </c>
      <c r="Y2921">
        <v>1.508168E-2</v>
      </c>
      <c r="Z2921">
        <v>-2.1650689999999999E-3</v>
      </c>
      <c r="AA2921">
        <v>0.99988390000000005</v>
      </c>
      <c r="AB2921">
        <v>29</v>
      </c>
      <c r="AC2921">
        <v>16.435099999999899</v>
      </c>
      <c r="AD2921">
        <v>-1.104108537208</v>
      </c>
      <c r="AE2921">
        <v>0.16229999999998701</v>
      </c>
      <c r="AF2921">
        <v>0.25204702776935001</v>
      </c>
      <c r="AG2921">
        <v>-1.104108537208</v>
      </c>
      <c r="AH2921">
        <v>16.360122836508399</v>
      </c>
      <c r="AI2921">
        <v>93.860454282946606</v>
      </c>
      <c r="AJ2921">
        <v>89.117360627862197</v>
      </c>
      <c r="AK2921">
        <v>16.399274453212499</v>
      </c>
    </row>
    <row r="2922" spans="1:37" x14ac:dyDescent="0.2">
      <c r="A2922" t="str">
        <f>"20200111155902786"</f>
        <v>20200111155902786</v>
      </c>
      <c r="B2922" t="str">
        <f>"1578729542774763"</f>
        <v>1578729542774763</v>
      </c>
      <c r="C2922" t="s">
        <v>37</v>
      </c>
      <c r="D2922">
        <v>5.0404739999999997</v>
      </c>
      <c r="E2922">
        <v>0.53346090000000002</v>
      </c>
      <c r="F2922" t="s">
        <v>50</v>
      </c>
      <c r="G2922">
        <v>-379.90260000000001</v>
      </c>
      <c r="H2922" s="1">
        <v>3.7328850000000001E-6</v>
      </c>
      <c r="I2922">
        <v>214.3664</v>
      </c>
      <c r="J2922">
        <v>-396.1191</v>
      </c>
      <c r="K2922">
        <v>1.1041019999999999</v>
      </c>
      <c r="L2922">
        <v>214.19120000000001</v>
      </c>
      <c r="M2922">
        <v>0.999590599999999</v>
      </c>
      <c r="N2922">
        <v>0</v>
      </c>
      <c r="O2922">
        <v>2.4842940000000001E-2</v>
      </c>
      <c r="P2922">
        <v>0.99523349999999899</v>
      </c>
      <c r="Q2922">
        <v>1.65401E-3</v>
      </c>
      <c r="R2922">
        <v>9.7507150000000001E-2</v>
      </c>
      <c r="S2922">
        <v>3.0122680000000002</v>
      </c>
      <c r="T2922">
        <v>-0.201449499999999</v>
      </c>
      <c r="U2922">
        <v>3.3218379999999999E-2</v>
      </c>
      <c r="V2922">
        <v>-7.2736510000000004E-2</v>
      </c>
      <c r="W2922">
        <v>1.5883560000000001E-2</v>
      </c>
      <c r="X2922">
        <v>0.99722469999999996</v>
      </c>
      <c r="Y2922">
        <v>1.3734150000000001E-2</v>
      </c>
      <c r="Z2922">
        <v>-2.118202E-3</v>
      </c>
      <c r="AA2922">
        <v>0.9999034</v>
      </c>
      <c r="AB2922">
        <v>29</v>
      </c>
      <c r="AC2922">
        <v>16.2164999999999</v>
      </c>
      <c r="AD2922">
        <v>-1.1040982671149999</v>
      </c>
      <c r="AE2922">
        <v>0.175199999999989</v>
      </c>
      <c r="AF2922">
        <v>0.22670940693421501</v>
      </c>
      <c r="AG2922">
        <v>-1.1040982671149999</v>
      </c>
      <c r="AH2922">
        <v>16.141033136079098</v>
      </c>
      <c r="AI2922">
        <v>93.912734195789398</v>
      </c>
      <c r="AJ2922">
        <v>89.195303174903501</v>
      </c>
      <c r="AK2922">
        <v>16.180339330145198</v>
      </c>
    </row>
    <row r="2923" spans="1:37" x14ac:dyDescent="0.2">
      <c r="A2923" t="str">
        <f>"20200111155902806"</f>
        <v>20200111155902806</v>
      </c>
      <c r="B2923" t="str">
        <f>"1578729542805020"</f>
        <v>1578729542805020</v>
      </c>
      <c r="C2923" t="s">
        <v>37</v>
      </c>
      <c r="D2923">
        <v>5.0240790000000004</v>
      </c>
      <c r="E2923">
        <v>0.53322409999999998</v>
      </c>
      <c r="F2923" t="s">
        <v>38</v>
      </c>
      <c r="G2923">
        <v>-395.14550000000003</v>
      </c>
      <c r="H2923">
        <v>1.0374620000000001</v>
      </c>
      <c r="I2923">
        <v>214.20079999999999</v>
      </c>
      <c r="J2923">
        <v>-395.84519999999998</v>
      </c>
      <c r="K2923">
        <v>1.1040989999999999</v>
      </c>
      <c r="L2923">
        <v>214.19759999999999</v>
      </c>
      <c r="M2923">
        <v>0.9996003</v>
      </c>
      <c r="N2923">
        <v>0</v>
      </c>
      <c r="O2923">
        <v>2.4449539999999999E-2</v>
      </c>
      <c r="P2923">
        <v>0.99556339999999999</v>
      </c>
      <c r="Q2923">
        <v>-1.2611510000000001E-3</v>
      </c>
      <c r="R2923">
        <v>9.4086680000000006E-2</v>
      </c>
      <c r="S2923">
        <v>3.0118099999999899</v>
      </c>
      <c r="T2923">
        <v>-0.20613499999999901</v>
      </c>
      <c r="U2923">
        <v>2.9739379999999999E-2</v>
      </c>
      <c r="V2923">
        <v>-6.9703909999999994E-2</v>
      </c>
      <c r="W2923">
        <v>1.296514E-2</v>
      </c>
      <c r="X2923">
        <v>0.99748349999999997</v>
      </c>
      <c r="Y2923">
        <v>1.4488910000000001E-2</v>
      </c>
      <c r="Z2923">
        <v>-2.1666139999999999E-3</v>
      </c>
      <c r="AA2923">
        <v>0.99989269999999997</v>
      </c>
      <c r="AB2923">
        <v>29</v>
      </c>
      <c r="AC2923">
        <v>0.69969999999995003</v>
      </c>
      <c r="AD2923">
        <v>-6.6636999999999794E-2</v>
      </c>
      <c r="AE2923">
        <v>3.19999999999254E-3</v>
      </c>
      <c r="AF2923">
        <v>1.37849961531945E-2</v>
      </c>
      <c r="AG2923">
        <v>-6.6636999999999794E-2</v>
      </c>
      <c r="AH2923">
        <v>0.69328111380651802</v>
      </c>
      <c r="AI2923">
        <v>95.489228013786402</v>
      </c>
      <c r="AJ2923">
        <v>88.860897808004793</v>
      </c>
      <c r="AK2923">
        <v>0.69661267476894995</v>
      </c>
    </row>
    <row r="2924" spans="1:37" x14ac:dyDescent="0.2">
      <c r="A2924" t="str">
        <f>"20200111155902830"</f>
        <v>20200111155902830</v>
      </c>
      <c r="B2924" t="str">
        <f>"1578729542824540"</f>
        <v>1578729542824540</v>
      </c>
      <c r="C2924" t="s">
        <v>37</v>
      </c>
      <c r="D2924">
        <v>5.3621400000000001</v>
      </c>
      <c r="E2924">
        <v>0.53253099999999998</v>
      </c>
      <c r="F2924" t="s">
        <v>38</v>
      </c>
      <c r="G2924">
        <v>-394.885999999999</v>
      </c>
      <c r="H2924">
        <v>1.036225</v>
      </c>
      <c r="I2924">
        <v>214.2039</v>
      </c>
      <c r="J2924">
        <v>-395.54419999999999</v>
      </c>
      <c r="K2924">
        <v>1.1040969999999899</v>
      </c>
      <c r="L2924">
        <v>214.20439999999999</v>
      </c>
      <c r="M2924">
        <v>0.99961049999999996</v>
      </c>
      <c r="N2924">
        <v>0</v>
      </c>
      <c r="O2924">
        <v>2.4029809999999999E-2</v>
      </c>
      <c r="P2924">
        <v>0.99596689999999999</v>
      </c>
      <c r="Q2924">
        <v>-2.6639509999999999E-3</v>
      </c>
      <c r="R2924">
        <v>8.9682590000000006E-2</v>
      </c>
      <c r="S2924">
        <v>3.011139</v>
      </c>
      <c r="T2924">
        <v>-0.21318809999999999</v>
      </c>
      <c r="U2924">
        <v>2.1194459999999998E-2</v>
      </c>
      <c r="V2924">
        <v>-6.5711989999999998E-2</v>
      </c>
      <c r="W2924">
        <v>1.15581E-2</v>
      </c>
      <c r="X2924">
        <v>0.99777169999999904</v>
      </c>
      <c r="Y2924">
        <v>1.6892730000000002E-2</v>
      </c>
      <c r="Z2924">
        <v>-2.2964169999999998E-3</v>
      </c>
      <c r="AA2924">
        <v>0.99985469999999899</v>
      </c>
      <c r="AB2924">
        <v>29</v>
      </c>
      <c r="AC2924">
        <v>0.65820000000002199</v>
      </c>
      <c r="AD2924">
        <v>-6.7871999999999905E-2</v>
      </c>
      <c r="AE2924">
        <v>-4.9999999998817603E-4</v>
      </c>
      <c r="AF2924">
        <v>1.61461835048568E-2</v>
      </c>
      <c r="AG2924">
        <v>-6.7871999999999905E-2</v>
      </c>
      <c r="AH2924">
        <v>0.65107485540668997</v>
      </c>
      <c r="AI2924">
        <v>95.949548007556899</v>
      </c>
      <c r="AJ2924">
        <v>88.579397462609506</v>
      </c>
      <c r="AK2924">
        <v>0.65480208839665099</v>
      </c>
    </row>
    <row r="2925" spans="1:37" x14ac:dyDescent="0.2">
      <c r="A2925" t="str">
        <f>"20200111155902852"</f>
        <v>20200111155902852</v>
      </c>
      <c r="B2925" t="str">
        <f>"1578729542845035"</f>
        <v>1578729542845035</v>
      </c>
      <c r="C2925" t="s">
        <v>37</v>
      </c>
      <c r="D2925">
        <v>5.1224730000000003</v>
      </c>
      <c r="E2925">
        <v>0.53223989999999999</v>
      </c>
      <c r="F2925" t="s">
        <v>38</v>
      </c>
      <c r="G2925">
        <v>-394.62419999999997</v>
      </c>
      <c r="H2925">
        <v>1.03783799999999</v>
      </c>
      <c r="I2925">
        <v>214.20830000000001</v>
      </c>
      <c r="J2925">
        <v>-395.24849999999998</v>
      </c>
      <c r="K2925">
        <v>1.1041069999999999</v>
      </c>
      <c r="L2925">
        <v>214.21109999999999</v>
      </c>
      <c r="M2925">
        <v>0.99961979999999995</v>
      </c>
      <c r="N2925">
        <v>0</v>
      </c>
      <c r="O2925">
        <v>2.363703E-2</v>
      </c>
      <c r="P2925">
        <v>0.99625659999999905</v>
      </c>
      <c r="Q2925">
        <v>-2.133565E-3</v>
      </c>
      <c r="R2925">
        <v>8.6420730000000001E-2</v>
      </c>
      <c r="S2925">
        <v>3.010345</v>
      </c>
      <c r="T2925">
        <v>-0.21687039999999899</v>
      </c>
      <c r="U2925">
        <v>1.3488770000000001E-2</v>
      </c>
      <c r="V2925">
        <v>-6.2836230000000007E-2</v>
      </c>
      <c r="W2925">
        <v>1.208306E-2</v>
      </c>
      <c r="X2925">
        <v>0.99795069999999997</v>
      </c>
      <c r="Y2925">
        <v>1.904904E-2</v>
      </c>
      <c r="Z2925">
        <v>-2.38594E-3</v>
      </c>
      <c r="AA2925">
        <v>0.99981569999999997</v>
      </c>
      <c r="AB2925">
        <v>29</v>
      </c>
      <c r="AC2925">
        <v>0.62430000000000496</v>
      </c>
      <c r="AD2925">
        <v>-6.6269000000000106E-2</v>
      </c>
      <c r="AE2925">
        <v>-2.7999999999792601E-3</v>
      </c>
      <c r="AF2925">
        <v>1.7361680886260202E-2</v>
      </c>
      <c r="AG2925">
        <v>-6.6269000000000106E-2</v>
      </c>
      <c r="AH2925">
        <v>0.61710613984315899</v>
      </c>
      <c r="AI2925">
        <v>96.126910688432801</v>
      </c>
      <c r="AJ2925">
        <v>88.388464084002095</v>
      </c>
      <c r="AK2925">
        <v>0.62089692877024305</v>
      </c>
    </row>
    <row r="2926" spans="1:37" x14ac:dyDescent="0.2">
      <c r="A2926" t="str">
        <f>"20200111155902875"</f>
        <v>20200111155902875</v>
      </c>
      <c r="B2926" t="str">
        <f>"1578729542864555"</f>
        <v>1578729542864555</v>
      </c>
      <c r="C2926" t="s">
        <v>37</v>
      </c>
      <c r="D2926">
        <v>5.1532479999999996</v>
      </c>
      <c r="E2926">
        <v>0.53203610000000001</v>
      </c>
      <c r="F2926" t="s">
        <v>38</v>
      </c>
      <c r="G2926">
        <v>-394.3614</v>
      </c>
      <c r="H2926">
        <v>1.0408469999999901</v>
      </c>
      <c r="I2926">
        <v>214.21250000000001</v>
      </c>
      <c r="J2926">
        <v>-394.96010000000001</v>
      </c>
      <c r="K2926">
        <v>1.104125</v>
      </c>
      <c r="L2926">
        <v>214.2175</v>
      </c>
      <c r="M2926">
        <v>0.99962819999999997</v>
      </c>
      <c r="N2926">
        <v>0</v>
      </c>
      <c r="O2926">
        <v>2.328092E-2</v>
      </c>
      <c r="P2926">
        <v>0.9964324</v>
      </c>
      <c r="Q2926">
        <v>-9.3440940000000001E-4</v>
      </c>
      <c r="R2926">
        <v>8.4390099999999996E-2</v>
      </c>
      <c r="S2926">
        <v>3.0103149999999999</v>
      </c>
      <c r="T2926">
        <v>-0.21475469999999999</v>
      </c>
      <c r="U2926">
        <v>5.9509280000000003E-3</v>
      </c>
      <c r="V2926">
        <v>-6.115686E-2</v>
      </c>
      <c r="W2926">
        <v>1.327601E-2</v>
      </c>
      <c r="X2926">
        <v>0.99803989999999998</v>
      </c>
      <c r="Y2926">
        <v>2.119389E-2</v>
      </c>
      <c r="Z2926">
        <v>-2.4138089999999998E-3</v>
      </c>
      <c r="AA2926">
        <v>0.99977249999999995</v>
      </c>
      <c r="AB2926">
        <v>29</v>
      </c>
      <c r="AC2926">
        <v>0.598700000000007</v>
      </c>
      <c r="AD2926">
        <v>-6.3278000000000098E-2</v>
      </c>
      <c r="AE2926">
        <v>-4.9999999999954499E-3</v>
      </c>
      <c r="AF2926">
        <v>1.8729129496586502E-2</v>
      </c>
      <c r="AG2926">
        <v>-6.3278000000000098E-2</v>
      </c>
      <c r="AH2926">
        <v>0.59181070195001695</v>
      </c>
      <c r="AI2926">
        <v>96.100001639387003</v>
      </c>
      <c r="AJ2926">
        <v>88.187356136374405</v>
      </c>
      <c r="AK2926">
        <v>0.59547862473666602</v>
      </c>
    </row>
    <row r="2927" spans="1:37" x14ac:dyDescent="0.2">
      <c r="A2927" t="str">
        <f>"20200111155902896"</f>
        <v>20200111155902896</v>
      </c>
      <c r="B2927" t="str">
        <f>"1578729542885051"</f>
        <v>1578729542885051</v>
      </c>
      <c r="C2927" t="s">
        <v>37</v>
      </c>
      <c r="D2927">
        <v>5.1306969999999996</v>
      </c>
      <c r="E2927">
        <v>0.53168780000000004</v>
      </c>
      <c r="F2927" t="s">
        <v>38</v>
      </c>
      <c r="G2927">
        <v>-394.09899999999999</v>
      </c>
      <c r="H2927">
        <v>1.0437149999999999</v>
      </c>
      <c r="I2927">
        <v>214.2182</v>
      </c>
      <c r="J2927">
        <v>-394.68639999999999</v>
      </c>
      <c r="K2927">
        <v>1.104149</v>
      </c>
      <c r="L2927">
        <v>214.2235</v>
      </c>
      <c r="M2927">
        <v>0.99963550000000001</v>
      </c>
      <c r="N2927">
        <v>0</v>
      </c>
      <c r="O2927">
        <v>2.297447E-2</v>
      </c>
      <c r="P2927">
        <v>0.99650759999999905</v>
      </c>
      <c r="Q2927">
        <v>-1.0008630000000001E-3</v>
      </c>
      <c r="R2927">
        <v>8.3496639999999997E-2</v>
      </c>
      <c r="S2927">
        <v>3.0104060000000001</v>
      </c>
      <c r="T2927">
        <v>-0.21113670000000001</v>
      </c>
      <c r="U2927">
        <v>1.785278E-3</v>
      </c>
      <c r="V2927">
        <v>-6.0569169999999999E-2</v>
      </c>
      <c r="W2927">
        <v>1.320354E-2</v>
      </c>
      <c r="X2927">
        <v>0.99807669999999904</v>
      </c>
      <c r="Y2927">
        <v>2.2272750000000001E-2</v>
      </c>
      <c r="Z2927">
        <v>-2.3895029999999999E-3</v>
      </c>
      <c r="AA2927">
        <v>0.99974909999999995</v>
      </c>
      <c r="AB2927">
        <v>29</v>
      </c>
      <c r="AC2927">
        <v>0.58740000000000203</v>
      </c>
      <c r="AD2927">
        <v>-6.0434000000000099E-2</v>
      </c>
      <c r="AE2927">
        <v>-5.3000000000054098E-3</v>
      </c>
      <c r="AF2927">
        <v>1.8598312327286599E-2</v>
      </c>
      <c r="AG2927">
        <v>-6.0434000000000099E-2</v>
      </c>
      <c r="AH2927">
        <v>0.58097398413548995</v>
      </c>
      <c r="AI2927">
        <v>95.935636844050194</v>
      </c>
      <c r="AJ2927">
        <v>88.166456589970196</v>
      </c>
      <c r="AK2927">
        <v>0.58440477053125395</v>
      </c>
    </row>
    <row r="2928" spans="1:37" x14ac:dyDescent="0.2">
      <c r="A2928" t="str">
        <f>"20200111155902918"</f>
        <v>20200111155902918</v>
      </c>
      <c r="B2928" t="str">
        <f>"1578729542914331"</f>
        <v>1578729542914331</v>
      </c>
      <c r="C2928" t="s">
        <v>37</v>
      </c>
      <c r="D2928">
        <v>5.1896509999999996</v>
      </c>
      <c r="E2928">
        <v>0.53108759999999999</v>
      </c>
      <c r="F2928" t="s">
        <v>38</v>
      </c>
      <c r="G2928">
        <v>-393.83800000000002</v>
      </c>
      <c r="H2928">
        <v>1.0452760000000001</v>
      </c>
      <c r="I2928">
        <v>214.22380000000001</v>
      </c>
      <c r="J2928">
        <v>-394.39490000000001</v>
      </c>
      <c r="K2928">
        <v>1.104179</v>
      </c>
      <c r="L2928">
        <v>214.22989999999999</v>
      </c>
      <c r="M2928">
        <v>0.99964209999999998</v>
      </c>
      <c r="N2928">
        <v>0</v>
      </c>
      <c r="O2928">
        <v>2.2685170000000001E-2</v>
      </c>
      <c r="P2928">
        <v>0.99642039999999998</v>
      </c>
      <c r="Q2928">
        <v>-1.147428E-3</v>
      </c>
      <c r="R2928">
        <v>8.4529969999999996E-2</v>
      </c>
      <c r="S2928">
        <v>3.010132</v>
      </c>
      <c r="T2928">
        <v>-0.2089655</v>
      </c>
      <c r="U2928">
        <v>2.0751950000000002E-3</v>
      </c>
      <c r="V2928">
        <v>-6.1893719999999999E-2</v>
      </c>
      <c r="W2928">
        <v>1.3049059999999999E-2</v>
      </c>
      <c r="X2928">
        <v>0.99799749999999998</v>
      </c>
      <c r="Y2928">
        <v>2.1890940000000001E-2</v>
      </c>
      <c r="Z2928">
        <v>-2.3319109999999999E-3</v>
      </c>
      <c r="AA2928">
        <v>0.99975759999999902</v>
      </c>
      <c r="AB2928">
        <v>29</v>
      </c>
      <c r="AC2928">
        <v>0.55689999999998396</v>
      </c>
      <c r="AD2928">
        <v>-5.89029999999999E-2</v>
      </c>
      <c r="AE2928">
        <v>-6.0999999999751201E-3</v>
      </c>
      <c r="AF2928">
        <v>1.8525844285427001E-2</v>
      </c>
      <c r="AG2928">
        <v>-5.89029999999999E-2</v>
      </c>
      <c r="AH2928">
        <v>0.55046090107017898</v>
      </c>
      <c r="AI2928">
        <v>96.104360285214796</v>
      </c>
      <c r="AJ2928">
        <v>88.072429483525397</v>
      </c>
      <c r="AK2928">
        <v>0.553913327085096</v>
      </c>
    </row>
    <row r="2929" spans="1:37" x14ac:dyDescent="0.2">
      <c r="A2929" t="str">
        <f>"20200111155902940"</f>
        <v>20200111155902940</v>
      </c>
      <c r="B2929" t="str">
        <f>"1578729542934828"</f>
        <v>1578729542934828</v>
      </c>
      <c r="C2929" t="s">
        <v>37</v>
      </c>
      <c r="D2929">
        <v>5.1164819999999898</v>
      </c>
      <c r="E2929">
        <v>0.53081709999999904</v>
      </c>
      <c r="F2929" t="s">
        <v>50</v>
      </c>
      <c r="G2929">
        <v>-378.35680000000002</v>
      </c>
      <c r="H2929" s="1">
        <v>2.9102780000000001E-6</v>
      </c>
      <c r="I2929">
        <v>214.2816</v>
      </c>
      <c r="J2929">
        <v>-394.10309999999998</v>
      </c>
      <c r="K2929">
        <v>1.1042149999999999</v>
      </c>
      <c r="L2929">
        <v>214.2362</v>
      </c>
      <c r="M2929">
        <v>0.99964779999999998</v>
      </c>
      <c r="N2929">
        <v>0</v>
      </c>
      <c r="O2929">
        <v>2.2434470000000001E-2</v>
      </c>
      <c r="P2929">
        <v>0.99629619999999997</v>
      </c>
      <c r="Q2929">
        <v>-4.6548339999999899E-4</v>
      </c>
      <c r="R2929">
        <v>8.598807E-2</v>
      </c>
      <c r="S2929">
        <v>3.0097049999999999</v>
      </c>
      <c r="T2929">
        <v>-0.20720920000000001</v>
      </c>
      <c r="U2929">
        <v>9.7045900000000008E-3</v>
      </c>
      <c r="V2929">
        <v>-6.3605289999999995E-2</v>
      </c>
      <c r="W2929">
        <v>1.372277E-2</v>
      </c>
      <c r="X2929">
        <v>0.99788080000000001</v>
      </c>
      <c r="Y2929">
        <v>1.911465E-2</v>
      </c>
      <c r="Z2929">
        <v>-2.1999739999999999E-3</v>
      </c>
      <c r="AA2929">
        <v>0.99981489999999995</v>
      </c>
      <c r="AB2929">
        <v>29</v>
      </c>
      <c r="AC2929">
        <v>15.7462999999999</v>
      </c>
      <c r="AD2929">
        <v>-1.104212089722</v>
      </c>
      <c r="AE2929">
        <v>4.5400000000000697E-2</v>
      </c>
      <c r="AF2929">
        <v>0.30640010407037399</v>
      </c>
      <c r="AG2929">
        <v>-1.104212089722</v>
      </c>
      <c r="AH2929">
        <v>15.666315630099501</v>
      </c>
      <c r="AI2929">
        <v>94.030954124650705</v>
      </c>
      <c r="AJ2929">
        <v>88.879558196653093</v>
      </c>
      <c r="AK2929">
        <v>15.708170192124999</v>
      </c>
    </row>
    <row r="2930" spans="1:37" x14ac:dyDescent="0.2">
      <c r="A2930" t="str">
        <f>"20200111155902964"</f>
        <v>20200111155902964</v>
      </c>
      <c r="B2930" t="str">
        <f>"1578729542954347"</f>
        <v>1578729542954347</v>
      </c>
      <c r="C2930" t="s">
        <v>37</v>
      </c>
      <c r="D2930">
        <v>5.0744379999999998</v>
      </c>
      <c r="E2930">
        <v>0.53056219999999998</v>
      </c>
      <c r="F2930" t="s">
        <v>50</v>
      </c>
      <c r="G2930">
        <v>-377.803</v>
      </c>
      <c r="H2930" s="1">
        <v>2.615577E-6</v>
      </c>
      <c r="I2930">
        <v>214.32470000000001</v>
      </c>
      <c r="J2930">
        <v>-393.80860000000001</v>
      </c>
      <c r="K2930">
        <v>1.1042449999999999</v>
      </c>
      <c r="L2930">
        <v>214.24260000000001</v>
      </c>
      <c r="M2930">
        <v>0.99965249999999894</v>
      </c>
      <c r="N2930">
        <v>0</v>
      </c>
      <c r="O2930">
        <v>2.2220179999999999E-2</v>
      </c>
      <c r="P2930">
        <v>0.99617299999999998</v>
      </c>
      <c r="Q2930">
        <v>-4.6424329999999997E-4</v>
      </c>
      <c r="R2930">
        <v>8.7401670000000001E-2</v>
      </c>
      <c r="S2930">
        <v>3.0096129999999999</v>
      </c>
      <c r="T2930">
        <v>-0.20387849999999999</v>
      </c>
      <c r="U2930">
        <v>1.6342160000000001E-2</v>
      </c>
      <c r="V2930">
        <v>-6.5236340000000004E-2</v>
      </c>
      <c r="W2930">
        <v>1.371562E-2</v>
      </c>
      <c r="X2930">
        <v>0.99777559999999998</v>
      </c>
      <c r="Y2930">
        <v>1.6704320000000002E-2</v>
      </c>
      <c r="Z2930">
        <v>-2.0686950000000002E-3</v>
      </c>
      <c r="AA2930">
        <v>0.99985829999999998</v>
      </c>
      <c r="AB2930">
        <v>29</v>
      </c>
      <c r="AC2930">
        <v>16.005599999999902</v>
      </c>
      <c r="AD2930">
        <v>-1.104242384423</v>
      </c>
      <c r="AE2930">
        <v>8.2099999999996898E-2</v>
      </c>
      <c r="AF2930">
        <v>0.27230727807352501</v>
      </c>
      <c r="AG2930">
        <v>-1.104242384423</v>
      </c>
      <c r="AH2930">
        <v>15.927662075250799</v>
      </c>
      <c r="AI2930">
        <v>93.965312265550594</v>
      </c>
      <c r="AJ2930">
        <v>89.020538114948295</v>
      </c>
      <c r="AK2930">
        <v>15.968215983027999</v>
      </c>
    </row>
    <row r="2931" spans="1:37" x14ac:dyDescent="0.2">
      <c r="A2931" t="str">
        <f>"20200111155902986"</f>
        <v>20200111155902986</v>
      </c>
      <c r="B2931" t="str">
        <f>"1578729542974843"</f>
        <v>1578729542974843</v>
      </c>
      <c r="C2931" t="s">
        <v>37</v>
      </c>
      <c r="D2931">
        <v>5.1653190000000002</v>
      </c>
      <c r="E2931">
        <v>0.53032780000000002</v>
      </c>
      <c r="F2931" t="s">
        <v>50</v>
      </c>
      <c r="G2931">
        <v>-377.34859999999998</v>
      </c>
      <c r="H2931" s="1">
        <v>2.3737619999999998E-6</v>
      </c>
      <c r="I2931">
        <v>214.36590000000001</v>
      </c>
      <c r="J2931">
        <v>-393.52170000000001</v>
      </c>
      <c r="K2931">
        <v>1.1042700000000001</v>
      </c>
      <c r="L2931">
        <v>214.24879999999999</v>
      </c>
      <c r="M2931">
        <v>0.99965649999999995</v>
      </c>
      <c r="N2931">
        <v>0</v>
      </c>
      <c r="O2931">
        <v>2.204629E-2</v>
      </c>
      <c r="P2931">
        <v>0.99608280000000005</v>
      </c>
      <c r="Q2931">
        <v>-2.0456829999999999E-4</v>
      </c>
      <c r="R2931">
        <v>8.8425749999999997E-2</v>
      </c>
      <c r="S2931">
        <v>3.0094910000000001</v>
      </c>
      <c r="T2931">
        <v>-0.20189560000000001</v>
      </c>
      <c r="U2931">
        <v>2.2537229999999998E-2</v>
      </c>
      <c r="V2931">
        <v>-6.6436449999999994E-2</v>
      </c>
      <c r="W2931">
        <v>1.3966889999999999E-2</v>
      </c>
      <c r="X2931">
        <v>0.99769289999999999</v>
      </c>
      <c r="Y2931">
        <v>1.447911E-2</v>
      </c>
      <c r="Z2931">
        <v>-1.9624729999999902E-3</v>
      </c>
      <c r="AA2931">
        <v>0.99989319999999904</v>
      </c>
      <c r="AB2931">
        <v>29</v>
      </c>
      <c r="AC2931">
        <v>16.173100000000002</v>
      </c>
      <c r="AD2931">
        <v>-1.104267626238</v>
      </c>
      <c r="AE2931">
        <v>0.11710000000002101</v>
      </c>
      <c r="AF2931">
        <v>0.23840974888543201</v>
      </c>
      <c r="AG2931">
        <v>-1.104267626238</v>
      </c>
      <c r="AH2931">
        <v>16.096713042851398</v>
      </c>
      <c r="AI2931">
        <v>93.924030520291396</v>
      </c>
      <c r="AJ2931">
        <v>89.151449513082895</v>
      </c>
      <c r="AK2931">
        <v>16.136307414728499</v>
      </c>
    </row>
    <row r="2932" spans="1:37" x14ac:dyDescent="0.2">
      <c r="A2932" t="str">
        <f>"20200111155903008"</f>
        <v>20200111155903008</v>
      </c>
      <c r="B2932" t="str">
        <f>"1578729543005101"</f>
        <v>1578729543005101</v>
      </c>
      <c r="C2932" t="s">
        <v>37</v>
      </c>
      <c r="D2932">
        <v>5.171443</v>
      </c>
      <c r="E2932">
        <v>0.53000890000000001</v>
      </c>
      <c r="F2932" t="s">
        <v>38</v>
      </c>
      <c r="G2932">
        <v>-392.54910000000001</v>
      </c>
      <c r="H2932">
        <v>1.0397829999999999</v>
      </c>
      <c r="I2932">
        <v>214.25739999999999</v>
      </c>
      <c r="J2932">
        <v>-393.23759999999999</v>
      </c>
      <c r="K2932">
        <v>1.1042860000000001</v>
      </c>
      <c r="L2932">
        <v>214.25489999999999</v>
      </c>
      <c r="M2932">
        <v>0.99965979999999999</v>
      </c>
      <c r="N2932">
        <v>0</v>
      </c>
      <c r="O2932">
        <v>2.190133E-2</v>
      </c>
      <c r="P2932">
        <v>0.99606439999999996</v>
      </c>
      <c r="Q2932">
        <v>-1.1188189999999901E-3</v>
      </c>
      <c r="R2932">
        <v>8.8627220000000007E-2</v>
      </c>
      <c r="S2932">
        <v>3.0093079999999999</v>
      </c>
      <c r="T2932">
        <v>-0.1995741</v>
      </c>
      <c r="U2932">
        <v>2.7114869999999999E-2</v>
      </c>
      <c r="V2932">
        <v>-6.6784099999999999E-2</v>
      </c>
      <c r="W2932">
        <v>1.3046200000000001E-2</v>
      </c>
      <c r="X2932">
        <v>0.99768219999999996</v>
      </c>
      <c r="Y2932">
        <v>1.281858E-2</v>
      </c>
      <c r="Z2932">
        <v>-1.875455E-3</v>
      </c>
      <c r="AA2932">
        <v>0.99991609999999997</v>
      </c>
      <c r="AB2932">
        <v>29</v>
      </c>
      <c r="AC2932">
        <v>0.68849999999997602</v>
      </c>
      <c r="AD2932">
        <v>-6.4503000000000199E-2</v>
      </c>
      <c r="AE2932">
        <v>2.4999999999977202E-3</v>
      </c>
      <c r="AF2932">
        <v>1.2471713998621001E-2</v>
      </c>
      <c r="AG2932">
        <v>-6.4503000000000199E-2</v>
      </c>
      <c r="AH2932">
        <v>0.68240015236047202</v>
      </c>
      <c r="AI2932">
        <v>95.398870190795193</v>
      </c>
      <c r="AJ2932">
        <v>88.952964726577406</v>
      </c>
      <c r="AK2932">
        <v>0.68555535779443799</v>
      </c>
    </row>
    <row r="2933" spans="1:37" x14ac:dyDescent="0.2">
      <c r="A2933" t="str">
        <f>"20200111155903030"</f>
        <v>20200111155903030</v>
      </c>
      <c r="B2933" t="str">
        <f>"1578729543024620"</f>
        <v>1578729543024620</v>
      </c>
      <c r="C2933" t="s">
        <v>37</v>
      </c>
      <c r="D2933">
        <v>5.1303799999999997</v>
      </c>
      <c r="E2933">
        <v>0.52982629999999997</v>
      </c>
      <c r="F2933" t="s">
        <v>38</v>
      </c>
      <c r="G2933">
        <v>-392.29</v>
      </c>
      <c r="H2933">
        <v>1.0412729999999999</v>
      </c>
      <c r="I2933">
        <v>214.2638</v>
      </c>
      <c r="J2933">
        <v>-392.94740000000002</v>
      </c>
      <c r="K2933">
        <v>1.1042959999999999</v>
      </c>
      <c r="L2933">
        <v>214.261</v>
      </c>
      <c r="M2933">
        <v>0.99966250000000001</v>
      </c>
      <c r="N2933">
        <v>0</v>
      </c>
      <c r="O2933">
        <v>2.1771479999999999E-2</v>
      </c>
      <c r="P2933">
        <v>0.9960869</v>
      </c>
      <c r="Q2933">
        <v>-2.231387E-3</v>
      </c>
      <c r="R2933">
        <v>8.8351349999999995E-2</v>
      </c>
      <c r="S2933">
        <v>3.0089419999999998</v>
      </c>
      <c r="T2933">
        <v>-0.20031019999999999</v>
      </c>
      <c r="U2933">
        <v>2.9861450000000001E-2</v>
      </c>
      <c r="V2933">
        <v>-6.6638489999999995E-2</v>
      </c>
      <c r="W2933">
        <v>1.192762E-2</v>
      </c>
      <c r="X2933">
        <v>0.99770590000000003</v>
      </c>
      <c r="Y2933">
        <v>1.177695E-2</v>
      </c>
      <c r="Z2933">
        <v>-1.83930799999999E-3</v>
      </c>
      <c r="AA2933">
        <v>0.99992899999999996</v>
      </c>
      <c r="AB2933">
        <v>29</v>
      </c>
      <c r="AC2933">
        <v>0.65739999999999499</v>
      </c>
      <c r="AD2933">
        <v>-6.3022999999999996E-2</v>
      </c>
      <c r="AE2933">
        <v>2.80000000000768E-3</v>
      </c>
      <c r="AF2933">
        <v>1.1409812707858199E-2</v>
      </c>
      <c r="AG2933">
        <v>-6.3022999999999996E-2</v>
      </c>
      <c r="AH2933">
        <v>0.65131927775755105</v>
      </c>
      <c r="AI2933">
        <v>95.526009235181803</v>
      </c>
      <c r="AJ2933">
        <v>88.996395047563894</v>
      </c>
      <c r="AK2933">
        <v>0.65446075813118598</v>
      </c>
    </row>
    <row r="2934" spans="1:37" x14ac:dyDescent="0.2">
      <c r="A2934" t="str">
        <f>"20200111155903053"</f>
        <v>20200111155903053</v>
      </c>
      <c r="B2934" t="str">
        <f>"1578729543045115"</f>
        <v>1578729543045115</v>
      </c>
      <c r="C2934" t="s">
        <v>37</v>
      </c>
      <c r="D2934">
        <v>5.1105650000000002</v>
      </c>
      <c r="E2934">
        <v>0.52975399999999995</v>
      </c>
      <c r="F2934" t="s">
        <v>38</v>
      </c>
      <c r="G2934">
        <v>-392.03140000000002</v>
      </c>
      <c r="H2934">
        <v>1.042638</v>
      </c>
      <c r="I2934">
        <v>214.27010000000001</v>
      </c>
      <c r="J2934">
        <v>-392.64690000000002</v>
      </c>
      <c r="K2934">
        <v>1.1042989999999999</v>
      </c>
      <c r="L2934">
        <v>214.26740000000001</v>
      </c>
      <c r="M2934">
        <v>0.99966540000000004</v>
      </c>
      <c r="N2934">
        <v>0</v>
      </c>
      <c r="O2934">
        <v>2.164814E-2</v>
      </c>
      <c r="P2934">
        <v>0.99613569999999996</v>
      </c>
      <c r="Q2934">
        <v>-4.0325999999999999E-3</v>
      </c>
      <c r="R2934">
        <v>8.7735939999999998E-2</v>
      </c>
      <c r="S2934">
        <v>3.0086979999999999</v>
      </c>
      <c r="T2934">
        <v>-0.20258209999999999</v>
      </c>
      <c r="U2934">
        <v>3.015137E-2</v>
      </c>
      <c r="V2934">
        <v>-6.6145960000000004E-2</v>
      </c>
      <c r="W2934">
        <v>1.0121949999999999E-2</v>
      </c>
      <c r="X2934">
        <v>0.99775859999999905</v>
      </c>
      <c r="Y2934">
        <v>1.15555E-2</v>
      </c>
      <c r="Z2934">
        <v>-1.8445309999999999E-3</v>
      </c>
      <c r="AA2934">
        <v>0.99993149999999997</v>
      </c>
      <c r="AB2934">
        <v>29</v>
      </c>
      <c r="AC2934">
        <v>0.61549999999999705</v>
      </c>
      <c r="AD2934">
        <v>-6.1660999999999903E-2</v>
      </c>
      <c r="AE2934">
        <v>2.7000000000043599E-3</v>
      </c>
      <c r="AF2934">
        <v>1.05208127482961E-2</v>
      </c>
      <c r="AG2934">
        <v>-6.1660999999999903E-2</v>
      </c>
      <c r="AH2934">
        <v>0.60929931381045099</v>
      </c>
      <c r="AI2934">
        <v>95.777795345448396</v>
      </c>
      <c r="AJ2934">
        <v>89.010768178862307</v>
      </c>
      <c r="AK2934">
        <v>0.61250177161521002</v>
      </c>
    </row>
    <row r="2935" spans="1:37" x14ac:dyDescent="0.2">
      <c r="A2935" t="str">
        <f>"20200111155903076"</f>
        <v>20200111155903076</v>
      </c>
      <c r="B2935" t="str">
        <f>"1578729543064165"</f>
        <v>1578729543064165</v>
      </c>
      <c r="C2935" t="s">
        <v>37</v>
      </c>
      <c r="D2935">
        <v>5.0989570000000004</v>
      </c>
      <c r="E2935">
        <v>0.529761699999999</v>
      </c>
      <c r="F2935" t="s">
        <v>38</v>
      </c>
      <c r="G2935">
        <v>-391.77010000000001</v>
      </c>
      <c r="H2935">
        <v>1.0440339999999999</v>
      </c>
      <c r="I2935">
        <v>214.27510000000001</v>
      </c>
      <c r="J2935">
        <v>-392.35919999999999</v>
      </c>
      <c r="K2935">
        <v>1.104298</v>
      </c>
      <c r="L2935">
        <v>214.27350000000001</v>
      </c>
      <c r="M2935">
        <v>0.9996678</v>
      </c>
      <c r="N2935">
        <v>0</v>
      </c>
      <c r="O2935">
        <v>2.1535019999999998E-2</v>
      </c>
      <c r="P2935">
        <v>0.99624400000000002</v>
      </c>
      <c r="Q2935">
        <v>-5.5421609999999899E-3</v>
      </c>
      <c r="R2935">
        <v>8.6413489999999996E-2</v>
      </c>
      <c r="S2935">
        <v>3.0083009999999999</v>
      </c>
      <c r="T2935">
        <v>-0.20709240000000001</v>
      </c>
      <c r="U2935">
        <v>2.8717039999999999E-2</v>
      </c>
      <c r="V2935">
        <v>-6.493459E-2</v>
      </c>
      <c r="W2935">
        <v>8.6090139999999999E-3</v>
      </c>
      <c r="X2935">
        <v>0.99785239999999997</v>
      </c>
      <c r="Y2935">
        <v>1.1913760000000001E-2</v>
      </c>
      <c r="Z2935">
        <v>-1.8902960000000001E-3</v>
      </c>
      <c r="AA2935">
        <v>0.99992719999999902</v>
      </c>
      <c r="AB2935">
        <v>29</v>
      </c>
      <c r="AC2935">
        <v>0.58909999999997298</v>
      </c>
      <c r="AD2935">
        <v>-6.0264000000000102E-2</v>
      </c>
      <c r="AE2935">
        <v>1.59999999999627E-3</v>
      </c>
      <c r="AF2935">
        <v>1.09730914101144E-2</v>
      </c>
      <c r="AG2935">
        <v>-6.0264000000000102E-2</v>
      </c>
      <c r="AH2935">
        <v>0.58289785477227296</v>
      </c>
      <c r="AI2935">
        <v>95.901623289041595</v>
      </c>
      <c r="AJ2935">
        <v>88.921530473381296</v>
      </c>
      <c r="AK2935">
        <v>0.58610755628059596</v>
      </c>
    </row>
    <row r="2936" spans="1:37" x14ac:dyDescent="0.2">
      <c r="A2936" t="str">
        <f>"20200111155903097"</f>
        <v>20200111155903097</v>
      </c>
      <c r="B2936" t="str">
        <f>"1578729543084663"</f>
        <v>1578729543084663</v>
      </c>
      <c r="C2936" t="s">
        <v>37</v>
      </c>
      <c r="D2936">
        <v>5.1750429999999996</v>
      </c>
      <c r="E2936">
        <v>0.52967129999999996</v>
      </c>
      <c r="F2936" t="s">
        <v>38</v>
      </c>
      <c r="G2936">
        <v>-391.50670000000002</v>
      </c>
      <c r="H2936">
        <v>1.0444879999999901</v>
      </c>
      <c r="I2936">
        <v>214.28030000000001</v>
      </c>
      <c r="J2936">
        <v>-392.09809999999999</v>
      </c>
      <c r="K2936">
        <v>1.104287</v>
      </c>
      <c r="L2936">
        <v>214.279</v>
      </c>
      <c r="M2936">
        <v>0.99966999999999995</v>
      </c>
      <c r="N2936">
        <v>0</v>
      </c>
      <c r="O2936">
        <v>2.1432860000000001E-2</v>
      </c>
      <c r="P2936">
        <v>0.996409199999999</v>
      </c>
      <c r="Q2936">
        <v>-7.9928959999999993E-3</v>
      </c>
      <c r="R2936">
        <v>8.4290210000000004E-2</v>
      </c>
      <c r="S2936">
        <v>3.0080259999999899</v>
      </c>
      <c r="T2936">
        <v>-0.21113670000000001</v>
      </c>
      <c r="U2936">
        <v>2.452087E-2</v>
      </c>
      <c r="V2936">
        <v>-6.2910999999999995E-2</v>
      </c>
      <c r="W2936">
        <v>6.1562309999999999E-3</v>
      </c>
      <c r="X2936">
        <v>0.99800009999999995</v>
      </c>
      <c r="Y2936">
        <v>1.319943E-2</v>
      </c>
      <c r="Z2936">
        <v>-1.9652189999999998E-3</v>
      </c>
      <c r="AA2936">
        <v>0.99991099999999999</v>
      </c>
      <c r="AB2936">
        <v>29</v>
      </c>
      <c r="AC2936">
        <v>0.59139999999996395</v>
      </c>
      <c r="AD2936">
        <v>-5.9799000000000102E-2</v>
      </c>
      <c r="AE2936">
        <v>1.2999999999863099E-3</v>
      </c>
      <c r="AF2936">
        <v>1.1261821671263401E-2</v>
      </c>
      <c r="AG2936">
        <v>-5.9799000000000102E-2</v>
      </c>
      <c r="AH2936">
        <v>0.58530776986781896</v>
      </c>
      <c r="AI2936">
        <v>95.832411702178007</v>
      </c>
      <c r="AJ2936">
        <v>88.897716251884106</v>
      </c>
      <c r="AK2936">
        <v>0.58846234756014304</v>
      </c>
    </row>
    <row r="2937" spans="1:37" x14ac:dyDescent="0.2">
      <c r="A2937" t="str">
        <f>"20200111155903120"</f>
        <v>20200111155903120</v>
      </c>
      <c r="B2937" t="str">
        <f>"1578729543114918"</f>
        <v>1578729543114918</v>
      </c>
      <c r="C2937" t="s">
        <v>37</v>
      </c>
      <c r="D2937">
        <v>5.0706769999999999</v>
      </c>
      <c r="E2937">
        <v>0.52961449999999999</v>
      </c>
      <c r="F2937" t="s">
        <v>38</v>
      </c>
      <c r="G2937">
        <v>-391.26049999999998</v>
      </c>
      <c r="H2937">
        <v>1.04359</v>
      </c>
      <c r="I2937">
        <v>214.28370000000001</v>
      </c>
      <c r="J2937">
        <v>-391.78989999999999</v>
      </c>
      <c r="K2937">
        <v>1.104271</v>
      </c>
      <c r="L2937">
        <v>214.28550000000001</v>
      </c>
      <c r="M2937">
        <v>0.99967280000000003</v>
      </c>
      <c r="N2937">
        <v>0</v>
      </c>
      <c r="O2937">
        <v>2.131133E-2</v>
      </c>
      <c r="P2937">
        <v>0.9966431</v>
      </c>
      <c r="Q2937">
        <v>-1.095612E-2</v>
      </c>
      <c r="R2937">
        <v>8.1134639999999994E-2</v>
      </c>
      <c r="S2937">
        <v>3.0074770000000002</v>
      </c>
      <c r="T2937">
        <v>-0.21815909999999999</v>
      </c>
      <c r="U2937">
        <v>1.84020999999999E-2</v>
      </c>
      <c r="V2937">
        <v>-5.9873500000000003E-2</v>
      </c>
      <c r="W2937">
        <v>3.1917669999999999E-3</v>
      </c>
      <c r="X2937">
        <v>0.99820089999999995</v>
      </c>
      <c r="Y2937">
        <v>1.510011E-2</v>
      </c>
      <c r="Z2937">
        <v>-2.0908490000000001E-3</v>
      </c>
      <c r="AA2937">
        <v>0.99988379999999999</v>
      </c>
      <c r="AB2937">
        <v>29</v>
      </c>
      <c r="AC2937">
        <v>0.52940000000000897</v>
      </c>
      <c r="AD2937">
        <v>-6.0680999999999902E-2</v>
      </c>
      <c r="AE2937">
        <v>-1.8000000000029099E-3</v>
      </c>
      <c r="AF2937">
        <v>1.2913282292970099E-2</v>
      </c>
      <c r="AG2937">
        <v>-6.0680999999999902E-2</v>
      </c>
      <c r="AH2937">
        <v>0.522378319893954</v>
      </c>
      <c r="AI2937">
        <v>96.623943788574195</v>
      </c>
      <c r="AJ2937">
        <v>88.583926835257898</v>
      </c>
      <c r="AK2937">
        <v>0.52604947078749897</v>
      </c>
    </row>
    <row r="2938" spans="1:37" x14ac:dyDescent="0.2">
      <c r="A2938" t="str">
        <f>"20200111155903142"</f>
        <v>20200111155903142</v>
      </c>
      <c r="B2938" t="str">
        <f>"1578729543134438"</f>
        <v>1578729543134438</v>
      </c>
      <c r="C2938" t="s">
        <v>37</v>
      </c>
      <c r="D2938">
        <v>5.0777279999999996</v>
      </c>
      <c r="E2938">
        <v>0.52953700000000004</v>
      </c>
      <c r="F2938" t="s">
        <v>38</v>
      </c>
      <c r="G2938">
        <v>-391.00229999999999</v>
      </c>
      <c r="H2938">
        <v>1.0449389999999901</v>
      </c>
      <c r="I2938">
        <v>214.2876</v>
      </c>
      <c r="J2938">
        <v>-391.51299999999998</v>
      </c>
      <c r="K2938">
        <v>1.104255</v>
      </c>
      <c r="L2938">
        <v>214.2912</v>
      </c>
      <c r="M2938">
        <v>0.99967510000000004</v>
      </c>
      <c r="N2938">
        <v>0</v>
      </c>
      <c r="O2938">
        <v>2.1202180000000001E-2</v>
      </c>
      <c r="P2938">
        <v>0.99685650000000003</v>
      </c>
      <c r="Q2938">
        <v>-1.3535429999999999E-2</v>
      </c>
      <c r="R2938">
        <v>7.8066910000000003E-2</v>
      </c>
      <c r="S2938">
        <v>3.0068049999999999</v>
      </c>
      <c r="T2938">
        <v>-0.22673550000000001</v>
      </c>
      <c r="U2938">
        <v>9.6588130000000005E-3</v>
      </c>
      <c r="V2938">
        <v>-5.6911999999999997E-2</v>
      </c>
      <c r="W2938">
        <v>6.1065350000000002E-4</v>
      </c>
      <c r="X2938">
        <v>0.99837900000000002</v>
      </c>
      <c r="Y2938">
        <v>1.7881660000000001E-2</v>
      </c>
      <c r="Z2938">
        <v>-2.2698359999999999E-3</v>
      </c>
      <c r="AA2938">
        <v>0.99983750000000005</v>
      </c>
      <c r="AB2938">
        <v>29</v>
      </c>
      <c r="AC2938">
        <v>0.51070000000004201</v>
      </c>
      <c r="AD2938">
        <v>-5.9316000000000098E-2</v>
      </c>
      <c r="AE2938">
        <v>-3.6000000000058199E-3</v>
      </c>
      <c r="AF2938">
        <v>1.42361910537752E-2</v>
      </c>
      <c r="AG2938">
        <v>-5.9316000000000098E-2</v>
      </c>
      <c r="AH2938">
        <v>0.50371407453949901</v>
      </c>
      <c r="AI2938">
        <v>96.7134095957163</v>
      </c>
      <c r="AJ2938">
        <v>88.381112159524406</v>
      </c>
      <c r="AK2938">
        <v>0.50739425093402801</v>
      </c>
    </row>
    <row r="2939" spans="1:37" x14ac:dyDescent="0.2">
      <c r="A2939" t="str">
        <f>"20200111155903166"</f>
        <v>20200111155903166</v>
      </c>
      <c r="B2939" t="str">
        <f>"1578729543154933"</f>
        <v>1578729543154933</v>
      </c>
      <c r="C2939" t="s">
        <v>37</v>
      </c>
      <c r="D2939">
        <v>5.2928569999999997</v>
      </c>
      <c r="E2939">
        <v>0.52949679999999999</v>
      </c>
      <c r="F2939" t="s">
        <v>38</v>
      </c>
      <c r="G2939">
        <v>-390.74779999999998</v>
      </c>
      <c r="H2939">
        <v>1.0448489999999999</v>
      </c>
      <c r="I2939">
        <v>214.291</v>
      </c>
      <c r="J2939">
        <v>-391.21660000000003</v>
      </c>
      <c r="K2939">
        <v>1.1042449999999999</v>
      </c>
      <c r="L2939">
        <v>214.29740000000001</v>
      </c>
      <c r="M2939">
        <v>0.99967759999999894</v>
      </c>
      <c r="N2939">
        <v>0</v>
      </c>
      <c r="O2939">
        <v>2.1084820000000001E-2</v>
      </c>
      <c r="P2939">
        <v>0.99699169999999904</v>
      </c>
      <c r="Q2939">
        <v>-1.4432800000000001E-2</v>
      </c>
      <c r="R2939">
        <v>7.6155589999999995E-2</v>
      </c>
      <c r="S2939">
        <v>3.006195</v>
      </c>
      <c r="T2939">
        <v>-0.23367859999999999</v>
      </c>
      <c r="U2939">
        <v>1.2512210000000001E-3</v>
      </c>
      <c r="V2939">
        <v>-5.511572E-2</v>
      </c>
      <c r="W2939">
        <v>-2.8962129999999999E-4</v>
      </c>
      <c r="X2939">
        <v>0.99847989999999998</v>
      </c>
      <c r="Y2939">
        <v>2.0545230000000001E-2</v>
      </c>
      <c r="Z2939">
        <v>-2.433887E-3</v>
      </c>
      <c r="AA2939">
        <v>0.99978599999999995</v>
      </c>
      <c r="AB2939">
        <v>29</v>
      </c>
      <c r="AC2939">
        <v>0.46880000000004401</v>
      </c>
      <c r="AD2939">
        <v>-5.9396000000000199E-2</v>
      </c>
      <c r="AE2939">
        <v>-6.4000000000134999E-3</v>
      </c>
      <c r="AF2939">
        <v>1.6026907847004099E-2</v>
      </c>
      <c r="AG2939">
        <v>-5.9396000000000199E-2</v>
      </c>
      <c r="AH2939">
        <v>0.46115948037593102</v>
      </c>
      <c r="AI2939">
        <v>97.334745723712402</v>
      </c>
      <c r="AJ2939">
        <v>88.009571989757205</v>
      </c>
      <c r="AK2939">
        <v>0.46524489565360599</v>
      </c>
    </row>
    <row r="2940" spans="1:37" x14ac:dyDescent="0.2">
      <c r="A2940" t="str">
        <f>"20200111155903187"</f>
        <v>20200111155903187</v>
      </c>
      <c r="B2940" t="str">
        <f>"1578729543184721"</f>
        <v>1578729543184721</v>
      </c>
      <c r="C2940" t="s">
        <v>37</v>
      </c>
      <c r="D2940">
        <v>5.1780229999999996</v>
      </c>
      <c r="E2940">
        <v>0.52514659999999902</v>
      </c>
      <c r="F2940" t="s">
        <v>38</v>
      </c>
      <c r="G2940">
        <v>-390.24869999999999</v>
      </c>
      <c r="H2940">
        <v>1.028314</v>
      </c>
      <c r="I2940">
        <v>214.29580000000001</v>
      </c>
      <c r="J2940">
        <v>-390.94069999999999</v>
      </c>
      <c r="K2940">
        <v>1.1042449999999999</v>
      </c>
      <c r="L2940">
        <v>214.3031</v>
      </c>
      <c r="M2940">
        <v>0.99967999999999901</v>
      </c>
      <c r="N2940">
        <v>0</v>
      </c>
      <c r="O2940">
        <v>2.0976450000000001E-2</v>
      </c>
      <c r="P2940">
        <v>0.99705630000000001</v>
      </c>
      <c r="Q2940">
        <v>-1.4716079999999999E-2</v>
      </c>
      <c r="R2940">
        <v>7.5249869999999996E-2</v>
      </c>
      <c r="S2940">
        <v>3.005951</v>
      </c>
      <c r="T2940">
        <v>-0.23596509999999901</v>
      </c>
      <c r="U2940">
        <v>-4.0435790000000003E-3</v>
      </c>
      <c r="V2940">
        <v>-5.431677E-2</v>
      </c>
      <c r="W2940">
        <v>-5.7542439999999997E-4</v>
      </c>
      <c r="X2940">
        <v>0.99852359999999896</v>
      </c>
      <c r="Y2940">
        <v>2.2190629999999999E-2</v>
      </c>
      <c r="Z2940">
        <v>-2.513824E-3</v>
      </c>
      <c r="AA2940">
        <v>0.99975059999999905</v>
      </c>
      <c r="AB2940">
        <v>29</v>
      </c>
      <c r="AC2940">
        <v>0.69200000000000705</v>
      </c>
      <c r="AD2940">
        <v>-7.5931000000000096E-2</v>
      </c>
      <c r="AE2940">
        <v>-7.2999999999865299E-3</v>
      </c>
      <c r="AF2940">
        <v>2.1556042213499799E-2</v>
      </c>
      <c r="AG2940">
        <v>-7.5931000000000096E-2</v>
      </c>
      <c r="AH2940">
        <v>0.68346655208764595</v>
      </c>
      <c r="AI2940">
        <v>96.336261184887903</v>
      </c>
      <c r="AJ2940">
        <v>88.193531251184297</v>
      </c>
      <c r="AK2940">
        <v>0.68800923506845801</v>
      </c>
    </row>
    <row r="2941" spans="1:37" x14ac:dyDescent="0.2">
      <c r="A2941" t="str">
        <f>"20200111155903208"</f>
        <v>20200111155903208</v>
      </c>
      <c r="B2941" t="str">
        <f>"1578729543205217"</f>
        <v>1578729543205217</v>
      </c>
      <c r="C2941" t="s">
        <v>37</v>
      </c>
      <c r="D2941">
        <v>5.0875839999999997</v>
      </c>
      <c r="E2941">
        <v>0.52395509999999901</v>
      </c>
      <c r="F2941" t="s">
        <v>38</v>
      </c>
      <c r="G2941">
        <v>-389.98259999999999</v>
      </c>
      <c r="H2941">
        <v>1.043641</v>
      </c>
      <c r="I2941">
        <v>214.31180000000001</v>
      </c>
      <c r="J2941">
        <v>-390.67439999999999</v>
      </c>
      <c r="K2941">
        <v>1.1042449999999999</v>
      </c>
      <c r="L2941">
        <v>214.30860000000001</v>
      </c>
      <c r="M2941">
        <v>0.99968210000000002</v>
      </c>
      <c r="N2941">
        <v>0</v>
      </c>
      <c r="O2941">
        <v>2.0872370000000001E-2</v>
      </c>
      <c r="P2941">
        <v>0.99702479999999905</v>
      </c>
      <c r="Q2941">
        <v>-1.598128E-2</v>
      </c>
      <c r="R2941">
        <v>7.540666E-2</v>
      </c>
      <c r="S2941">
        <v>3.0039980000000002</v>
      </c>
      <c r="T2941">
        <v>-0.19004960000000001</v>
      </c>
      <c r="U2941">
        <v>2.735901E-2</v>
      </c>
      <c r="V2941">
        <v>-5.4578080000000001E-2</v>
      </c>
      <c r="W2941">
        <v>-1.8438739999999999E-3</v>
      </c>
      <c r="X2941">
        <v>0.99850779999999995</v>
      </c>
      <c r="Y2941">
        <v>1.1703299999999899E-2</v>
      </c>
      <c r="Z2941">
        <v>-1.689016E-3</v>
      </c>
      <c r="AA2941">
        <v>0.99993009999999904</v>
      </c>
      <c r="AB2941">
        <v>29</v>
      </c>
      <c r="AC2941">
        <v>0.69179999999999997</v>
      </c>
      <c r="AD2941">
        <v>-6.0604000000000102E-2</v>
      </c>
      <c r="AE2941">
        <v>3.19999999999254E-3</v>
      </c>
      <c r="AF2941">
        <v>1.1156033859906701E-2</v>
      </c>
      <c r="AG2941">
        <v>-6.0604000000000102E-2</v>
      </c>
      <c r="AH2941">
        <v>0.68644812952877299</v>
      </c>
      <c r="AI2941">
        <v>95.044691034640607</v>
      </c>
      <c r="AJ2941">
        <v>89.068921069612799</v>
      </c>
      <c r="AK2941">
        <v>0.68920848546795699</v>
      </c>
    </row>
    <row r="2942" spans="1:37" x14ac:dyDescent="0.2">
      <c r="A2942" t="str">
        <f>"20200111155903231"</f>
        <v>20200111155903231</v>
      </c>
      <c r="B2942" t="str">
        <f>"1578729543224738"</f>
        <v>1578729543224738</v>
      </c>
      <c r="C2942" t="s">
        <v>37</v>
      </c>
      <c r="D2942">
        <v>5.0957089999999896</v>
      </c>
      <c r="E2942">
        <v>0.52386429999999995</v>
      </c>
      <c r="F2942" t="s">
        <v>50</v>
      </c>
      <c r="G2942">
        <v>-372.8775</v>
      </c>
      <c r="H2942" s="1">
        <v>-5.5329390000000002E-9</v>
      </c>
      <c r="I2942">
        <v>214.52869999999999</v>
      </c>
      <c r="J2942">
        <v>-390.37900000000002</v>
      </c>
      <c r="K2942">
        <v>1.1042399999999899</v>
      </c>
      <c r="L2942">
        <v>214.31460000000001</v>
      </c>
      <c r="M2942">
        <v>0.99968449999999998</v>
      </c>
      <c r="N2942">
        <v>0</v>
      </c>
      <c r="O2942">
        <v>2.075832E-2</v>
      </c>
      <c r="P2942">
        <v>0.99692060000000005</v>
      </c>
      <c r="Q2942">
        <v>-1.7438769999999999E-2</v>
      </c>
      <c r="R2942">
        <v>7.6454510000000003E-2</v>
      </c>
      <c r="S2942">
        <v>3.0031129999999999</v>
      </c>
      <c r="T2942">
        <v>-0.18633379999999999</v>
      </c>
      <c r="U2942">
        <v>3.7139890000000002E-2</v>
      </c>
      <c r="V2942">
        <v>-5.5742920000000001E-2</v>
      </c>
      <c r="W2942">
        <v>-3.3056679999999999E-3</v>
      </c>
      <c r="X2942">
        <v>0.99843969999999904</v>
      </c>
      <c r="Y2942">
        <v>8.3393500000000006E-3</v>
      </c>
      <c r="Z2942">
        <v>-1.5451779999999999E-3</v>
      </c>
      <c r="AA2942">
        <v>0.99996409999999902</v>
      </c>
      <c r="AB2942">
        <v>29</v>
      </c>
      <c r="AC2942">
        <v>17.5015</v>
      </c>
      <c r="AD2942">
        <v>-1.10424000553293</v>
      </c>
      <c r="AE2942">
        <v>0.21409999999997301</v>
      </c>
      <c r="AF2942">
        <v>0.14869238034082399</v>
      </c>
      <c r="AG2942">
        <v>-1.10424000553293</v>
      </c>
      <c r="AH2942">
        <v>17.4327858562743</v>
      </c>
      <c r="AI2942">
        <v>93.6242965579615</v>
      </c>
      <c r="AJ2942">
        <v>89.511309361749696</v>
      </c>
      <c r="AK2942">
        <v>17.468356480347801</v>
      </c>
    </row>
    <row r="2943" spans="1:37" x14ac:dyDescent="0.2">
      <c r="A2943" t="str">
        <f>"20200111155903254"</f>
        <v>20200111155903254</v>
      </c>
      <c r="B2943" t="str">
        <f>"1578729543244257"</f>
        <v>1578729543244257</v>
      </c>
      <c r="C2943" t="s">
        <v>37</v>
      </c>
      <c r="D2943">
        <v>5.0565040000000003</v>
      </c>
      <c r="E2943">
        <v>0.50042940000000002</v>
      </c>
      <c r="F2943" t="s">
        <v>50</v>
      </c>
      <c r="G2943">
        <v>-372.76620000000003</v>
      </c>
      <c r="H2943" s="1">
        <v>-6.4738320000000003E-8</v>
      </c>
      <c r="I2943">
        <v>214.5557</v>
      </c>
      <c r="J2943">
        <v>-390.08159999999998</v>
      </c>
      <c r="K2943">
        <v>1.104239</v>
      </c>
      <c r="L2943">
        <v>214.32069999999999</v>
      </c>
      <c r="M2943">
        <v>0.99968699999999999</v>
      </c>
      <c r="N2943">
        <v>0</v>
      </c>
      <c r="O2943">
        <v>2.064475E-2</v>
      </c>
      <c r="P2943">
        <v>0.9968011</v>
      </c>
      <c r="Q2943">
        <v>-1.794099E-2</v>
      </c>
      <c r="R2943">
        <v>7.7884259999999997E-2</v>
      </c>
      <c r="S2943">
        <v>3.0028380000000001</v>
      </c>
      <c r="T2943">
        <v>-0.188264299999999</v>
      </c>
      <c r="U2943">
        <v>4.110718E-2</v>
      </c>
      <c r="V2943">
        <v>-5.7288150000000003E-2</v>
      </c>
      <c r="W2943">
        <v>-3.8122409999999901E-3</v>
      </c>
      <c r="X2943">
        <v>0.99835039999999997</v>
      </c>
      <c r="Y2943">
        <v>6.9055540000000004E-3</v>
      </c>
      <c r="Z2943">
        <v>-1.5092669999999999E-3</v>
      </c>
      <c r="AA2943">
        <v>0.99997499999999995</v>
      </c>
      <c r="AB2943">
        <v>28</v>
      </c>
      <c r="AC2943">
        <v>17.315399999999901</v>
      </c>
      <c r="AD2943">
        <v>-1.10423906473832</v>
      </c>
      <c r="AE2943">
        <v>0.235000000000013</v>
      </c>
      <c r="AF2943">
        <v>0.12206157879582399</v>
      </c>
      <c r="AG2943">
        <v>-1.10423906473832</v>
      </c>
      <c r="AH2943">
        <v>17.2464346780597</v>
      </c>
      <c r="AI2943">
        <v>93.663390013982195</v>
      </c>
      <c r="AJ2943">
        <v>89.594496099193506</v>
      </c>
      <c r="AK2943">
        <v>17.282180187860899</v>
      </c>
    </row>
    <row r="2944" spans="1:37" x14ac:dyDescent="0.2">
      <c r="A2944" t="str">
        <f>"20200111155903276"</f>
        <v>20200111155903276</v>
      </c>
      <c r="B2944" t="str">
        <f>"1578729543264285"</f>
        <v>1578729543264285</v>
      </c>
      <c r="C2944" t="s">
        <v>37</v>
      </c>
      <c r="D2944">
        <v>4.6111949999999897</v>
      </c>
      <c r="E2944">
        <v>0.4844424</v>
      </c>
      <c r="F2944" t="s">
        <v>50</v>
      </c>
      <c r="G2944">
        <v>-371.30149999999998</v>
      </c>
      <c r="H2944" s="1">
        <v>-8.4418970000000001E-7</v>
      </c>
      <c r="I2944">
        <v>215.7775</v>
      </c>
      <c r="J2944">
        <v>-389.80869999999999</v>
      </c>
      <c r="K2944">
        <v>1.1042419999999999</v>
      </c>
      <c r="L2944">
        <v>214.3262</v>
      </c>
      <c r="M2944">
        <v>0.99968919999999994</v>
      </c>
      <c r="N2944">
        <v>0</v>
      </c>
      <c r="O2944">
        <v>2.053951E-2</v>
      </c>
      <c r="P2944">
        <v>0.99665840000000006</v>
      </c>
      <c r="Q2944">
        <v>-1.7657030000000001E-2</v>
      </c>
      <c r="R2944">
        <v>7.9750459999999995E-2</v>
      </c>
      <c r="S2944">
        <v>2.9883419999999998</v>
      </c>
      <c r="T2944">
        <v>-0.17570999999999901</v>
      </c>
      <c r="U2944">
        <v>0.231811499999999</v>
      </c>
      <c r="V2944">
        <v>-5.9261800000000003E-2</v>
      </c>
      <c r="W2944">
        <v>-3.5324179999999998E-3</v>
      </c>
      <c r="X2944">
        <v>0.99823619999999902</v>
      </c>
      <c r="Y2944">
        <v>-5.678105E-2</v>
      </c>
      <c r="Z2944">
        <v>4.6072250000000001E-4</v>
      </c>
      <c r="AA2944">
        <v>0.99838660000000001</v>
      </c>
      <c r="AB2944">
        <v>28</v>
      </c>
      <c r="AC2944">
        <v>18.507200000000001</v>
      </c>
      <c r="AD2944">
        <v>-1.1042428441896901</v>
      </c>
      <c r="AE2944">
        <v>1.4513</v>
      </c>
      <c r="AF2944">
        <v>-1.0670515404954299</v>
      </c>
      <c r="AG2944">
        <v>-1.1042428441896901</v>
      </c>
      <c r="AH2944">
        <v>18.467763867166301</v>
      </c>
      <c r="AI2944">
        <v>93.416128063851403</v>
      </c>
      <c r="AJ2944">
        <v>93.306824352163702</v>
      </c>
      <c r="AK2944">
        <v>18.531493558330201</v>
      </c>
    </row>
    <row r="2945" spans="1:37" x14ac:dyDescent="0.2">
      <c r="A2945" t="str">
        <f>"20200111155903298"</f>
        <v>20200111155903298</v>
      </c>
      <c r="B2945" t="str">
        <f>"1578729543294541"</f>
        <v>1578729543294541</v>
      </c>
      <c r="C2945" t="s">
        <v>37</v>
      </c>
      <c r="D2945">
        <v>5.0741969999999998</v>
      </c>
      <c r="E2945">
        <v>0.48008099999999998</v>
      </c>
      <c r="F2945" t="s">
        <v>50</v>
      </c>
      <c r="G2945">
        <v>-367.33920000000001</v>
      </c>
      <c r="H2945" s="1">
        <v>2.3687490000000002E-6</v>
      </c>
      <c r="I2945">
        <v>217.07329999999999</v>
      </c>
      <c r="J2945">
        <v>-389.5333</v>
      </c>
      <c r="K2945">
        <v>1.1042399999999899</v>
      </c>
      <c r="L2945">
        <v>214.33179999999999</v>
      </c>
      <c r="M2945">
        <v>0.99969140000000001</v>
      </c>
      <c r="N2945">
        <v>0</v>
      </c>
      <c r="O2945">
        <v>2.0428160000000001E-2</v>
      </c>
      <c r="P2945">
        <v>0.99646460000000003</v>
      </c>
      <c r="Q2945">
        <v>-1.7006999999999901E-2</v>
      </c>
      <c r="R2945">
        <v>8.2276760000000004E-2</v>
      </c>
      <c r="S2945">
        <v>2.9783330000000001</v>
      </c>
      <c r="T2945">
        <v>-0.14636660000000001</v>
      </c>
      <c r="U2945">
        <v>0.36412050000000001</v>
      </c>
      <c r="V2945">
        <v>-6.1902539999999999E-2</v>
      </c>
      <c r="W2945">
        <v>-2.8867350000000001E-3</v>
      </c>
      <c r="X2945">
        <v>0.99807800000000002</v>
      </c>
      <c r="Y2945">
        <v>-0.10095269999999899</v>
      </c>
      <c r="Z2945">
        <v>1.470591E-3</v>
      </c>
      <c r="AA2945">
        <v>0.99489019999999995</v>
      </c>
      <c r="AB2945">
        <v>28</v>
      </c>
      <c r="AC2945">
        <v>22.194099999999899</v>
      </c>
      <c r="AD2945">
        <v>-1.1042376312509901</v>
      </c>
      <c r="AE2945">
        <v>2.7414999999999998</v>
      </c>
      <c r="AF2945">
        <v>-2.2819340086566902</v>
      </c>
      <c r="AG2945">
        <v>-1.1042376312509901</v>
      </c>
      <c r="AH2945">
        <v>22.1913695592743</v>
      </c>
      <c r="AI2945">
        <v>92.8337576159836</v>
      </c>
      <c r="AJ2945">
        <v>95.871077830453899</v>
      </c>
      <c r="AK2945">
        <v>22.335698925317299</v>
      </c>
    </row>
    <row r="2946" spans="1:37" x14ac:dyDescent="0.2">
      <c r="A2946" t="str">
        <f>"20200111155903332"</f>
        <v>20200111155903332</v>
      </c>
      <c r="B2946" t="str">
        <f>"1578729543324798"</f>
        <v>1578729543324798</v>
      </c>
      <c r="C2946" t="s">
        <v>37</v>
      </c>
      <c r="D2946">
        <v>5.1808350000000001</v>
      </c>
      <c r="E2946">
        <v>0.48522529999999903</v>
      </c>
      <c r="F2946" t="s">
        <v>50</v>
      </c>
      <c r="G2946">
        <v>-362.7029</v>
      </c>
      <c r="H2946" s="1">
        <v>-9.8426370000000003E-8</v>
      </c>
      <c r="I2946">
        <v>217.99279999999999</v>
      </c>
      <c r="J2946">
        <v>-389.09469999999999</v>
      </c>
      <c r="K2946">
        <v>1.1042350000000001</v>
      </c>
      <c r="L2946">
        <v>214.34049999999999</v>
      </c>
      <c r="M2946">
        <v>0.99969569999999996</v>
      </c>
      <c r="N2946">
        <v>0</v>
      </c>
      <c r="O2946">
        <v>2.0223599999999901E-2</v>
      </c>
      <c r="P2946">
        <v>0.99624020000000002</v>
      </c>
      <c r="Q2946">
        <v>-1.499793E-2</v>
      </c>
      <c r="R2946">
        <v>8.5325780000000004E-2</v>
      </c>
      <c r="S2946">
        <v>2.975006</v>
      </c>
      <c r="T2946">
        <v>-0.1224402</v>
      </c>
      <c r="U2946">
        <v>0.40594479999999999</v>
      </c>
      <c r="V2946">
        <v>-6.5158709999999995E-2</v>
      </c>
      <c r="W2946">
        <v>-8.8250990000000005E-4</v>
      </c>
      <c r="X2946">
        <v>0.9978745</v>
      </c>
      <c r="Y2946">
        <v>-0.1150526</v>
      </c>
      <c r="Z2946">
        <v>1.5277660000000001E-3</v>
      </c>
      <c r="AA2946">
        <v>0.99335830000000003</v>
      </c>
      <c r="AB2946">
        <v>28</v>
      </c>
      <c r="AC2946">
        <v>26.3917999999999</v>
      </c>
      <c r="AD2946">
        <v>-1.10423509842637</v>
      </c>
      <c r="AE2946">
        <v>3.6522999999999901</v>
      </c>
      <c r="AF2946">
        <v>-3.1124162448377701</v>
      </c>
      <c r="AG2946">
        <v>-1.10423509842637</v>
      </c>
      <c r="AH2946">
        <v>26.414898567433099</v>
      </c>
      <c r="AI2946">
        <v>92.377343209910293</v>
      </c>
      <c r="AJ2946">
        <v>96.720065600002499</v>
      </c>
      <c r="AK2946">
        <v>26.6205435023688</v>
      </c>
    </row>
    <row r="2947" spans="1:37" x14ac:dyDescent="0.2">
      <c r="A2947" t="str">
        <f>"20200111155903354"</f>
        <v>20200111155903354</v>
      </c>
      <c r="B2947" t="str">
        <f>"1578729543344316"</f>
        <v>1578729543344316</v>
      </c>
      <c r="C2947" t="s">
        <v>37</v>
      </c>
      <c r="D2947">
        <v>5.2288059999999996</v>
      </c>
      <c r="E2947">
        <v>0.48858009999999902</v>
      </c>
      <c r="F2947" t="s">
        <v>50</v>
      </c>
      <c r="G2947">
        <v>-365.42239999999998</v>
      </c>
      <c r="H2947" s="1">
        <v>1.348741E-6</v>
      </c>
      <c r="I2947">
        <v>217.31370000000001</v>
      </c>
      <c r="J2947">
        <v>-388.81619999999998</v>
      </c>
      <c r="K2947">
        <v>1.104223</v>
      </c>
      <c r="L2947">
        <v>214.34599999999901</v>
      </c>
      <c r="M2947">
        <v>0.99969889999999995</v>
      </c>
      <c r="N2947">
        <v>0</v>
      </c>
      <c r="O2947">
        <v>2.0066359999999998E-2</v>
      </c>
      <c r="P2947">
        <v>0.99618490000000004</v>
      </c>
      <c r="Q2947">
        <v>-1.308021E-2</v>
      </c>
      <c r="R2947">
        <v>8.6283200000000004E-2</v>
      </c>
      <c r="S2947">
        <v>2.9772029999999998</v>
      </c>
      <c r="T2947">
        <v>-0.138876799999999</v>
      </c>
      <c r="U2947">
        <v>0.37393189999999998</v>
      </c>
      <c r="V2947">
        <v>-6.6273520000000002E-2</v>
      </c>
      <c r="W2947">
        <v>1.0345619999999999E-3</v>
      </c>
      <c r="X2947">
        <v>0.99780089999999999</v>
      </c>
      <c r="Y2947">
        <v>-0.104591899999999</v>
      </c>
      <c r="Z2947">
        <v>1.4969629999999901E-3</v>
      </c>
      <c r="AA2947">
        <v>0.99451409999999996</v>
      </c>
      <c r="AB2947">
        <v>28</v>
      </c>
      <c r="AC2947">
        <v>23.393799999999999</v>
      </c>
      <c r="AD2947">
        <v>-1.104221651259</v>
      </c>
      <c r="AE2947">
        <v>2.96770000000003</v>
      </c>
      <c r="AF2947">
        <v>-2.4921625588060801</v>
      </c>
      <c r="AG2947">
        <v>-1.104221651259</v>
      </c>
      <c r="AH2947">
        <v>23.397342453716998</v>
      </c>
      <c r="AI2947">
        <v>92.686854160043396</v>
      </c>
      <c r="AJ2947">
        <v>96.079922906901103</v>
      </c>
      <c r="AK2947">
        <v>23.5555898582721</v>
      </c>
    </row>
    <row r="2948" spans="1:37" x14ac:dyDescent="0.2">
      <c r="A2948" t="str">
        <f>"20200111155903376"</f>
        <v>20200111155903376</v>
      </c>
      <c r="B2948" t="str">
        <f>"1578729543364813"</f>
        <v>1578729543364813</v>
      </c>
      <c r="C2948" t="s">
        <v>37</v>
      </c>
      <c r="D2948">
        <v>5.1667079999999999</v>
      </c>
      <c r="E2948">
        <v>0.4902495</v>
      </c>
      <c r="F2948" t="s">
        <v>50</v>
      </c>
      <c r="G2948">
        <v>-364.48840000000001</v>
      </c>
      <c r="H2948" s="1">
        <v>8.5172099999999998E-7</v>
      </c>
      <c r="I2948">
        <v>217.20410000000001</v>
      </c>
      <c r="J2948">
        <v>-388.54860000000002</v>
      </c>
      <c r="K2948">
        <v>1.1042069999999999</v>
      </c>
      <c r="L2948">
        <v>214.3511</v>
      </c>
      <c r="M2948">
        <v>0.99970249999999905</v>
      </c>
      <c r="N2948">
        <v>0</v>
      </c>
      <c r="O2948">
        <v>1.988757E-2</v>
      </c>
      <c r="P2948">
        <v>0.99622089999999996</v>
      </c>
      <c r="Q2948">
        <v>-1.1011099999999999E-2</v>
      </c>
      <c r="R2948">
        <v>8.6155809999999999E-2</v>
      </c>
      <c r="S2948">
        <v>2.97940099999999</v>
      </c>
      <c r="T2948">
        <v>-0.13523289999999999</v>
      </c>
      <c r="U2948">
        <v>0.35003659999999998</v>
      </c>
      <c r="V2948">
        <v>-6.6323179999999995E-2</v>
      </c>
      <c r="W2948">
        <v>3.1035540000000001E-3</v>
      </c>
      <c r="X2948">
        <v>0.99779340000000005</v>
      </c>
      <c r="Y2948">
        <v>-9.6828220000000007E-2</v>
      </c>
      <c r="Z2948">
        <v>1.2899210000000001E-3</v>
      </c>
      <c r="AA2948">
        <v>0.99530030000000003</v>
      </c>
      <c r="AB2948">
        <v>28</v>
      </c>
      <c r="AC2948">
        <v>24.060199999999998</v>
      </c>
      <c r="AD2948">
        <v>-1.104206148279</v>
      </c>
      <c r="AE2948">
        <v>2.8530000000000002</v>
      </c>
      <c r="AF2948">
        <v>-2.3689686405303298</v>
      </c>
      <c r="AG2948">
        <v>-1.104206148279</v>
      </c>
      <c r="AH2948">
        <v>24.062208013882898</v>
      </c>
      <c r="AI2948">
        <v>92.6148154301749</v>
      </c>
      <c r="AJ2948">
        <v>95.622754925619901</v>
      </c>
      <c r="AK2948">
        <v>24.203742234230699</v>
      </c>
    </row>
    <row r="2949" spans="1:37" x14ac:dyDescent="0.2">
      <c r="A2949" t="str">
        <f>"20200111155903397"</f>
        <v>20200111155903397</v>
      </c>
      <c r="B2949" t="str">
        <f>"1578729543395069"</f>
        <v>1578729543395069</v>
      </c>
      <c r="C2949" t="s">
        <v>37</v>
      </c>
      <c r="D2949">
        <v>5.160704</v>
      </c>
      <c r="E2949">
        <v>0.49116120000000002</v>
      </c>
      <c r="F2949" t="s">
        <v>50</v>
      </c>
      <c r="G2949">
        <v>-364.890999999999</v>
      </c>
      <c r="H2949" s="1">
        <v>1.0659579999999999E-6</v>
      </c>
      <c r="I2949">
        <v>217.02010000000001</v>
      </c>
      <c r="J2949">
        <v>-388.26580000000001</v>
      </c>
      <c r="K2949">
        <v>1.1041729999999901</v>
      </c>
      <c r="L2949">
        <v>214.35650000000001</v>
      </c>
      <c r="M2949">
        <v>0.99970729999999997</v>
      </c>
      <c r="N2949">
        <v>0</v>
      </c>
      <c r="O2949">
        <v>1.965041E-2</v>
      </c>
      <c r="P2949">
        <v>0.9963419</v>
      </c>
      <c r="Q2949">
        <v>-1.04357999999999E-2</v>
      </c>
      <c r="R2949">
        <v>8.4818249999999998E-2</v>
      </c>
      <c r="S2949">
        <v>2.980804</v>
      </c>
      <c r="T2949">
        <v>-0.13912759999999999</v>
      </c>
      <c r="U2949">
        <v>0.33628849999999999</v>
      </c>
      <c r="V2949">
        <v>-6.5219659999999999E-2</v>
      </c>
      <c r="W2949">
        <v>3.681953E-3</v>
      </c>
      <c r="X2949">
        <v>0.99786409999999903</v>
      </c>
      <c r="Y2949">
        <v>-9.2478459999999998E-2</v>
      </c>
      <c r="Z2949">
        <v>1.236635E-3</v>
      </c>
      <c r="AA2949">
        <v>0.99571390000000004</v>
      </c>
      <c r="AB2949">
        <v>28</v>
      </c>
      <c r="AC2949">
        <v>23.3748</v>
      </c>
      <c r="AD2949">
        <v>-1.10417193404199</v>
      </c>
      <c r="AE2949">
        <v>2.6636000000000002</v>
      </c>
      <c r="AF2949">
        <v>-2.1988717655200101</v>
      </c>
      <c r="AG2949">
        <v>-1.10417193404199</v>
      </c>
      <c r="AH2949">
        <v>23.371149842569601</v>
      </c>
      <c r="AI2949">
        <v>92.693057010215398</v>
      </c>
      <c r="AJ2949">
        <v>95.374844339744101</v>
      </c>
      <c r="AK2949">
        <v>23.500316543931302</v>
      </c>
    </row>
    <row r="2950" spans="1:37" x14ac:dyDescent="0.2">
      <c r="A2950" t="str">
        <f>"20200111155903421"</f>
        <v>20200111155903421</v>
      </c>
      <c r="B2950" t="str">
        <f>"1578729543414590"</f>
        <v>1578729543414590</v>
      </c>
      <c r="C2950" t="s">
        <v>37</v>
      </c>
      <c r="D2950">
        <v>5.2315440000000004</v>
      </c>
      <c r="E2950">
        <v>0.49182989999999999</v>
      </c>
      <c r="F2950" t="s">
        <v>50</v>
      </c>
      <c r="G2950">
        <v>-365.3467</v>
      </c>
      <c r="H2950" s="1">
        <v>1.308443E-6</v>
      </c>
      <c r="I2950">
        <v>216.852</v>
      </c>
      <c r="J2950">
        <v>-387.97379999999998</v>
      </c>
      <c r="K2950">
        <v>1.1041239999999899</v>
      </c>
      <c r="L2950">
        <v>214.36189999999999</v>
      </c>
      <c r="M2950">
        <v>0.99971339999999997</v>
      </c>
      <c r="N2950">
        <v>0</v>
      </c>
      <c r="O2950">
        <v>1.9336579999999999E-2</v>
      </c>
      <c r="P2950">
        <v>0.99654069999999995</v>
      </c>
      <c r="Q2950">
        <v>-1.100581E-2</v>
      </c>
      <c r="R2950">
        <v>8.2374890000000006E-2</v>
      </c>
      <c r="S2950">
        <v>2.981903</v>
      </c>
      <c r="T2950">
        <v>-0.1436588</v>
      </c>
      <c r="U2950">
        <v>0.32467649999999998</v>
      </c>
      <c r="V2950">
        <v>-6.3086550000000005E-2</v>
      </c>
      <c r="W2950">
        <v>3.1169050000000001E-3</v>
      </c>
      <c r="X2950">
        <v>0.99800319999999998</v>
      </c>
      <c r="Y2950">
        <v>-8.8917750000000004E-2</v>
      </c>
      <c r="Z2950">
        <v>1.2062489999999999E-3</v>
      </c>
      <c r="AA2950">
        <v>0.99603829999999904</v>
      </c>
      <c r="AB2950">
        <v>28</v>
      </c>
      <c r="AC2950">
        <v>22.627099999999899</v>
      </c>
      <c r="AD2950">
        <v>-1.1041226915569999</v>
      </c>
      <c r="AE2950">
        <v>2.4901000000000102</v>
      </c>
      <c r="AF2950">
        <v>-2.0472436651799102</v>
      </c>
      <c r="AG2950">
        <v>-1.1041226915569999</v>
      </c>
      <c r="AH2950">
        <v>22.617812651415001</v>
      </c>
      <c r="AI2950">
        <v>92.783400613355894</v>
      </c>
      <c r="AJ2950">
        <v>95.172014233169307</v>
      </c>
      <c r="AK2950">
        <v>22.737100577627299</v>
      </c>
    </row>
    <row r="2951" spans="1:37" x14ac:dyDescent="0.2">
      <c r="A2951" t="str">
        <f>"20200111155903533"</f>
        <v>20200111155903533</v>
      </c>
      <c r="B2951" t="str">
        <f>"1578729543524558"</f>
        <v>1578729543524558</v>
      </c>
      <c r="C2951" t="s">
        <v>37</v>
      </c>
      <c r="D2951">
        <v>4.6711419999999997</v>
      </c>
      <c r="E2951">
        <v>0.49066670000000001</v>
      </c>
      <c r="F2951" t="s">
        <v>50</v>
      </c>
      <c r="G2951">
        <v>-364.40929999999997</v>
      </c>
      <c r="H2951" s="1">
        <v>8.096405E-7</v>
      </c>
      <c r="I2951">
        <v>216.82679999999999</v>
      </c>
      <c r="J2951">
        <v>-386.5675</v>
      </c>
      <c r="K2951">
        <v>1.1037440000000001</v>
      </c>
      <c r="L2951">
        <v>214.38460000000001</v>
      </c>
      <c r="M2951">
        <v>0.9997665</v>
      </c>
      <c r="N2951">
        <v>0</v>
      </c>
      <c r="O2951">
        <v>1.6383370000000001E-2</v>
      </c>
      <c r="P2951">
        <v>0.99761900000000003</v>
      </c>
      <c r="Q2951">
        <v>-1.337149E-2</v>
      </c>
      <c r="R2951">
        <v>6.7660380000000006E-2</v>
      </c>
      <c r="S2951">
        <v>2.9830320000000001</v>
      </c>
      <c r="T2951">
        <v>-0.13977100000000001</v>
      </c>
      <c r="U2951">
        <v>0.312027</v>
      </c>
      <c r="V2951">
        <v>-5.1304499999999899E-2</v>
      </c>
      <c r="W2951">
        <v>7.8660649999999998E-4</v>
      </c>
      <c r="X2951">
        <v>0.99868269999999904</v>
      </c>
      <c r="Y2951">
        <v>-8.764566E-2</v>
      </c>
      <c r="Z2951">
        <v>1.281604E-3</v>
      </c>
      <c r="AA2951">
        <v>0.99615089999999995</v>
      </c>
      <c r="AB2951">
        <v>28</v>
      </c>
      <c r="AC2951">
        <v>22.158200000000001</v>
      </c>
      <c r="AD2951">
        <v>-1.1037431903595001</v>
      </c>
      <c r="AE2951">
        <v>2.4421999999999802</v>
      </c>
      <c r="AF2951">
        <v>-2.0737264821459198</v>
      </c>
      <c r="AG2951">
        <v>-1.1037431903595001</v>
      </c>
      <c r="AH2951">
        <v>22.140963365109101</v>
      </c>
      <c r="AI2951">
        <v>92.841458723572501</v>
      </c>
      <c r="AJ2951">
        <v>95.350723191881002</v>
      </c>
      <c r="AK2951">
        <v>22.265238585924099</v>
      </c>
    </row>
    <row r="2952" spans="1:37" x14ac:dyDescent="0.2">
      <c r="A2952" t="str">
        <f>"20200111155903601"</f>
        <v>20200111155903601</v>
      </c>
      <c r="B2952" t="str">
        <f>"1578729543594831"</f>
        <v>1578729543594831</v>
      </c>
      <c r="C2952" t="s">
        <v>37</v>
      </c>
      <c r="D2952">
        <v>5.2088710000000003</v>
      </c>
      <c r="E2952">
        <v>0.4886277</v>
      </c>
      <c r="F2952" t="s">
        <v>50</v>
      </c>
      <c r="G2952">
        <v>-363.49439999999998</v>
      </c>
      <c r="H2952" s="1">
        <v>3.2274689999999998E-7</v>
      </c>
      <c r="I2952">
        <v>216.5309</v>
      </c>
      <c r="J2952">
        <v>-385.72449999999998</v>
      </c>
      <c r="K2952">
        <v>1.1035219999999999</v>
      </c>
      <c r="L2952">
        <v>214.39439999999999</v>
      </c>
      <c r="M2952">
        <v>0.99981139999999902</v>
      </c>
      <c r="N2952">
        <v>0</v>
      </c>
      <c r="O2952">
        <v>1.3366070000000001E-2</v>
      </c>
      <c r="P2952">
        <v>0.99774189999999996</v>
      </c>
      <c r="Q2952">
        <v>-9.13688E-3</v>
      </c>
      <c r="R2952">
        <v>6.6541569999999994E-2</v>
      </c>
      <c r="S2952">
        <v>2.9864199999999999</v>
      </c>
      <c r="T2952">
        <v>-0.14286070000000001</v>
      </c>
      <c r="U2952">
        <v>0.27780149999999998</v>
      </c>
      <c r="V2952">
        <v>-5.3188590000000001E-2</v>
      </c>
      <c r="W2952">
        <v>5.0461719999999998E-3</v>
      </c>
      <c r="X2952">
        <v>0.99857180000000001</v>
      </c>
      <c r="Y2952">
        <v>-7.9228880000000002E-2</v>
      </c>
      <c r="Z2952">
        <v>1.2522709999999999E-3</v>
      </c>
      <c r="AA2952">
        <v>0.99685569999999901</v>
      </c>
      <c r="AB2952">
        <v>28</v>
      </c>
      <c r="AC2952">
        <v>22.2301</v>
      </c>
      <c r="AD2952">
        <v>-1.10352167725309</v>
      </c>
      <c r="AE2952">
        <v>2.1365000000000101</v>
      </c>
      <c r="AF2952">
        <v>-1.8346708907560301</v>
      </c>
      <c r="AG2952">
        <v>-1.10352167725309</v>
      </c>
      <c r="AH2952">
        <v>22.202462294259799</v>
      </c>
      <c r="AI2952">
        <v>92.835762334414397</v>
      </c>
      <c r="AJ2952">
        <v>94.723827970606294</v>
      </c>
      <c r="AK2952">
        <v>22.305450215083901</v>
      </c>
    </row>
    <row r="2953" spans="1:37" x14ac:dyDescent="0.2">
      <c r="A2953" t="str">
        <f>"20200111155903624"</f>
        <v>20200111155903624</v>
      </c>
      <c r="B2953" t="str">
        <f>"1578729543614351"</f>
        <v>1578729543614351</v>
      </c>
      <c r="C2953" t="s">
        <v>37</v>
      </c>
      <c r="D2953">
        <v>5.2403209999999998</v>
      </c>
      <c r="E2953">
        <v>0.48877280000000001</v>
      </c>
      <c r="F2953" t="s">
        <v>50</v>
      </c>
      <c r="G2953">
        <v>-358.7364</v>
      </c>
      <c r="H2953" s="1">
        <v>3.0071249999999899E-6</v>
      </c>
      <c r="I2953">
        <v>217.02180000000001</v>
      </c>
      <c r="J2953">
        <v>-385.44330000000002</v>
      </c>
      <c r="K2953">
        <v>1.103472</v>
      </c>
      <c r="L2953">
        <v>214.39689999999999</v>
      </c>
      <c r="M2953">
        <v>0.99982629999999995</v>
      </c>
      <c r="N2953">
        <v>0</v>
      </c>
      <c r="O2953">
        <v>1.220123E-2</v>
      </c>
      <c r="P2953">
        <v>0.99777349999999998</v>
      </c>
      <c r="Q2953">
        <v>-8.6084319999999992E-3</v>
      </c>
      <c r="R2953">
        <v>6.6137020000000005E-2</v>
      </c>
      <c r="S2953">
        <v>2.9862669999999998</v>
      </c>
      <c r="T2953">
        <v>-0.122105399999999</v>
      </c>
      <c r="U2953">
        <v>0.29072569999999998</v>
      </c>
      <c r="V2953">
        <v>-5.3945029999999998E-2</v>
      </c>
      <c r="W2953">
        <v>5.5816519999999899E-3</v>
      </c>
      <c r="X2953">
        <v>0.99852830000000004</v>
      </c>
      <c r="Y2953">
        <v>-8.4683899999999895E-2</v>
      </c>
      <c r="Z2953">
        <v>1.2290409999999999E-3</v>
      </c>
      <c r="AA2953">
        <v>0.99640709999999999</v>
      </c>
      <c r="AB2953">
        <v>28</v>
      </c>
      <c r="AC2953">
        <v>26.706900000000001</v>
      </c>
      <c r="AD2953">
        <v>-1.1034689928750001</v>
      </c>
      <c r="AE2953">
        <v>2.6249000000000202</v>
      </c>
      <c r="AF2953">
        <v>-2.29493486528271</v>
      </c>
      <c r="AG2953">
        <v>-1.1034689928750001</v>
      </c>
      <c r="AH2953">
        <v>26.6918106638173</v>
      </c>
      <c r="AI2953">
        <v>92.358630874230897</v>
      </c>
      <c r="AJ2953">
        <v>94.914147817345906</v>
      </c>
      <c r="AK2953">
        <v>26.8130029345315</v>
      </c>
    </row>
    <row r="2954" spans="1:37" x14ac:dyDescent="0.2">
      <c r="A2954" t="str">
        <f>"20200111155903645"</f>
        <v>20200111155903645</v>
      </c>
      <c r="B2954" t="str">
        <f>"1578729543634846"</f>
        <v>1578729543634846</v>
      </c>
      <c r="C2954" t="s">
        <v>37</v>
      </c>
      <c r="D2954">
        <v>5.5217039999999997</v>
      </c>
      <c r="E2954">
        <v>0.48877280000000001</v>
      </c>
      <c r="F2954" t="s">
        <v>50</v>
      </c>
      <c r="G2954">
        <v>-358.43439999999998</v>
      </c>
      <c r="H2954" s="1">
        <v>2.8471670000000002E-6</v>
      </c>
      <c r="I2954">
        <v>217.00470000000001</v>
      </c>
      <c r="J2954">
        <v>-385.17720000000003</v>
      </c>
      <c r="K2954">
        <v>1.103442</v>
      </c>
      <c r="L2954">
        <v>214.3989</v>
      </c>
      <c r="M2954">
        <v>0.99983960000000005</v>
      </c>
      <c r="N2954">
        <v>0</v>
      </c>
      <c r="O2954">
        <v>1.105709E-2</v>
      </c>
      <c r="P2954">
        <v>0.99779609999999996</v>
      </c>
      <c r="Q2954">
        <v>-8.7290409999999999E-3</v>
      </c>
      <c r="R2954">
        <v>6.5780749999999999E-2</v>
      </c>
      <c r="S2954">
        <v>2.986542</v>
      </c>
      <c r="T2954">
        <v>-0.1220174</v>
      </c>
      <c r="U2954">
        <v>0.28836059999999902</v>
      </c>
      <c r="V2954">
        <v>-5.4731149999999999E-2</v>
      </c>
      <c r="W2954">
        <v>5.464829E-3</v>
      </c>
      <c r="X2954">
        <v>0.99848619999999899</v>
      </c>
      <c r="Y2954">
        <v>-8.5032399999999994E-2</v>
      </c>
      <c r="Z2954">
        <v>1.281796E-3</v>
      </c>
      <c r="AA2954">
        <v>0.99637730000000002</v>
      </c>
      <c r="AB2954">
        <v>28</v>
      </c>
      <c r="AC2954">
        <v>26.742799999999999</v>
      </c>
      <c r="AD2954">
        <v>-1.1034391528330001</v>
      </c>
      <c r="AE2954">
        <v>2.6058000000000101</v>
      </c>
      <c r="AF2954">
        <v>-2.3060247250572798</v>
      </c>
      <c r="AG2954">
        <v>-1.1034391528330001</v>
      </c>
      <c r="AH2954">
        <v>26.7249094653186</v>
      </c>
      <c r="AI2954">
        <v>92.355587312814706</v>
      </c>
      <c r="AJ2954">
        <v>94.931692169397706</v>
      </c>
      <c r="AK2954">
        <v>26.846901384071401</v>
      </c>
    </row>
    <row r="2955" spans="1:37" x14ac:dyDescent="0.2">
      <c r="A2955" t="str">
        <f>"20200111155903666"</f>
        <v>20200111155903666</v>
      </c>
      <c r="B2955" t="str">
        <f>"1578729543654366"</f>
        <v>1578729543654366</v>
      </c>
      <c r="C2955" t="s">
        <v>37</v>
      </c>
      <c r="D2955">
        <v>5.2599080000000002</v>
      </c>
      <c r="E2955">
        <v>0.48865609999999998</v>
      </c>
      <c r="F2955" t="s">
        <v>50</v>
      </c>
      <c r="G2955">
        <v>-358.20659999999998</v>
      </c>
      <c r="H2955" s="1">
        <v>2.7263099999999999E-6</v>
      </c>
      <c r="I2955">
        <v>216.9966</v>
      </c>
      <c r="J2955">
        <v>-384.91860000000003</v>
      </c>
      <c r="K2955">
        <v>1.103423</v>
      </c>
      <c r="L2955">
        <v>214.4006</v>
      </c>
      <c r="M2955">
        <v>0.999851499999999</v>
      </c>
      <c r="N2955">
        <v>0</v>
      </c>
      <c r="O2955">
        <v>9.9195189999999999E-3</v>
      </c>
      <c r="P2955">
        <v>0.99784490000000003</v>
      </c>
      <c r="Q2955">
        <v>-1.0109969999999999E-2</v>
      </c>
      <c r="R2955">
        <v>6.4834279999999994E-2</v>
      </c>
      <c r="S2955">
        <v>2.9866029999999899</v>
      </c>
      <c r="T2955">
        <v>-0.1221901</v>
      </c>
      <c r="U2955">
        <v>0.28765869999999999</v>
      </c>
      <c r="V2955">
        <v>-5.4922909999999998E-2</v>
      </c>
      <c r="W2955">
        <v>4.0839240000000001E-3</v>
      </c>
      <c r="X2955">
        <v>0.99848219999999999</v>
      </c>
      <c r="Y2955">
        <v>-8.5930190000000004E-2</v>
      </c>
      <c r="Z2955">
        <v>1.3483169999999999E-3</v>
      </c>
      <c r="AA2955">
        <v>0.99630019999999997</v>
      </c>
      <c r="AB2955">
        <v>28</v>
      </c>
      <c r="AC2955">
        <v>26.712</v>
      </c>
      <c r="AD2955">
        <v>-1.1034202736900001</v>
      </c>
      <c r="AE2955">
        <v>2.5960000000000001</v>
      </c>
      <c r="AF2955">
        <v>-2.3269423116697201</v>
      </c>
      <c r="AG2955">
        <v>-1.1034202736900001</v>
      </c>
      <c r="AH2955">
        <v>26.691320449133102</v>
      </c>
      <c r="AI2955">
        <v>92.358327038496199</v>
      </c>
      <c r="AJ2955">
        <v>94.982433827453903</v>
      </c>
      <c r="AK2955">
        <v>26.8152714724379</v>
      </c>
    </row>
    <row r="2956" spans="1:37" x14ac:dyDescent="0.2">
      <c r="A2956" t="str">
        <f>"20200111155903734"</f>
        <v>20200111155903734</v>
      </c>
      <c r="B2956" t="str">
        <f>"1578729543724638"</f>
        <v>1578729543724638</v>
      </c>
      <c r="C2956" t="s">
        <v>37</v>
      </c>
      <c r="D2956">
        <v>5.1977830000000003</v>
      </c>
      <c r="E2956">
        <v>0.48697219999999902</v>
      </c>
      <c r="F2956" t="s">
        <v>50</v>
      </c>
      <c r="G2956">
        <v>-357.09519999999998</v>
      </c>
      <c r="H2956" s="1">
        <v>2.1320699999999999E-6</v>
      </c>
      <c r="I2956">
        <v>217.06099999999901</v>
      </c>
      <c r="J2956">
        <v>-384.06799999999998</v>
      </c>
      <c r="K2956">
        <v>1.1033850000000001</v>
      </c>
      <c r="L2956">
        <v>214.40369999999999</v>
      </c>
      <c r="M2956">
        <v>0.99988189999999999</v>
      </c>
      <c r="N2956">
        <v>0</v>
      </c>
      <c r="O2956">
        <v>6.158391E-3</v>
      </c>
      <c r="P2956">
        <v>0.99807469999999998</v>
      </c>
      <c r="Q2956">
        <v>-1.6879129999999999E-2</v>
      </c>
      <c r="R2956">
        <v>5.9683229999999997E-2</v>
      </c>
      <c r="S2956">
        <v>2.9867249999999999</v>
      </c>
      <c r="T2956">
        <v>-0.1184475</v>
      </c>
      <c r="U2956">
        <v>0.28558349999999999</v>
      </c>
      <c r="V2956">
        <v>-5.3540949999999997E-2</v>
      </c>
      <c r="W2956">
        <v>-2.695645E-3</v>
      </c>
      <c r="X2956">
        <v>0.99856199999999995</v>
      </c>
      <c r="Y2956">
        <v>-8.8986120000000002E-2</v>
      </c>
      <c r="Z2956">
        <v>1.5162189999999901E-3</v>
      </c>
      <c r="AA2956">
        <v>0.99603169999999996</v>
      </c>
      <c r="AB2956">
        <v>28</v>
      </c>
      <c r="AC2956">
        <v>26.972799999999999</v>
      </c>
      <c r="AD2956">
        <v>-1.10338286793</v>
      </c>
      <c r="AE2956">
        <v>2.65729999999999</v>
      </c>
      <c r="AF2956">
        <v>-2.4870023306329201</v>
      </c>
      <c r="AG2956">
        <v>-1.10338286793</v>
      </c>
      <c r="AH2956">
        <v>26.9439999777873</v>
      </c>
      <c r="AI2956">
        <v>92.335092268632195</v>
      </c>
      <c r="AJ2956">
        <v>95.273608928115806</v>
      </c>
      <c r="AK2956">
        <v>27.081022306198399</v>
      </c>
    </row>
    <row r="2957" spans="1:37" x14ac:dyDescent="0.2">
      <c r="A2957" t="str">
        <f>"20200111155903756"</f>
        <v>20200111155903756</v>
      </c>
      <c r="B2957" t="str">
        <f>"1578729543745135"</f>
        <v>1578729543745135</v>
      </c>
      <c r="C2957" t="s">
        <v>37</v>
      </c>
      <c r="D2957">
        <v>5.2276730000000002</v>
      </c>
      <c r="E2957">
        <v>0.48736689999999999</v>
      </c>
      <c r="F2957" t="s">
        <v>50</v>
      </c>
      <c r="G2957">
        <v>-360.31279999999998</v>
      </c>
      <c r="H2957" s="1">
        <v>-1.370343E-6</v>
      </c>
      <c r="I2957">
        <v>216.65950000000001</v>
      </c>
      <c r="J2957">
        <v>-383.79790000000003</v>
      </c>
      <c r="K2957">
        <v>1.1033809999999999</v>
      </c>
      <c r="L2957">
        <v>214.4041</v>
      </c>
      <c r="M2957">
        <v>0.99988860000000002</v>
      </c>
      <c r="N2957">
        <v>0</v>
      </c>
      <c r="O2957">
        <v>4.9831399999999996E-3</v>
      </c>
      <c r="P2957">
        <v>0.99810549999999998</v>
      </c>
      <c r="Q2957">
        <v>-1.8995919999999999E-2</v>
      </c>
      <c r="R2957">
        <v>5.8523390000000002E-2</v>
      </c>
      <c r="S2957">
        <v>2.98645</v>
      </c>
      <c r="T2957">
        <v>-0.13871539999999999</v>
      </c>
      <c r="U2957">
        <v>0.28359990000000002</v>
      </c>
      <c r="V2957">
        <v>-5.3559089999999997E-2</v>
      </c>
      <c r="W2957">
        <v>-4.8157649999999996E-3</v>
      </c>
      <c r="X2957">
        <v>0.99855309999999897</v>
      </c>
      <c r="Y2957">
        <v>-8.9484129999999995E-2</v>
      </c>
      <c r="Z2957">
        <v>1.8415929999999899E-3</v>
      </c>
      <c r="AA2957">
        <v>0.9959865</v>
      </c>
      <c r="AB2957">
        <v>28</v>
      </c>
      <c r="AC2957">
        <v>23.485099999999999</v>
      </c>
      <c r="AD2957">
        <v>-1.1033823703429999</v>
      </c>
      <c r="AE2957">
        <v>2.2553999999999998</v>
      </c>
      <c r="AF2957">
        <v>-2.1336642040745701</v>
      </c>
      <c r="AG2957">
        <v>-1.1033823703429999</v>
      </c>
      <c r="AH2957">
        <v>23.4447710156591</v>
      </c>
      <c r="AI2957">
        <v>92.683452179824798</v>
      </c>
      <c r="AJ2957">
        <v>95.200055499064703</v>
      </c>
      <c r="AK2957">
        <v>23.567504398379199</v>
      </c>
    </row>
    <row r="2958" spans="1:37" x14ac:dyDescent="0.2">
      <c r="A2958" t="str">
        <f>"20200111155903777"</f>
        <v>20200111155903777</v>
      </c>
      <c r="B2958" t="str">
        <f>"1578729543764654"</f>
        <v>1578729543764654</v>
      </c>
      <c r="C2958" t="s">
        <v>37</v>
      </c>
      <c r="D2958">
        <v>5.1645799999999999</v>
      </c>
      <c r="E2958">
        <v>0.48768539999999999</v>
      </c>
      <c r="F2958" t="s">
        <v>50</v>
      </c>
      <c r="G2958">
        <v>-361.47609999999997</v>
      </c>
      <c r="H2958" s="1">
        <v>-7.5130089999999999E-7</v>
      </c>
      <c r="I2958">
        <v>216.47399999999999</v>
      </c>
      <c r="J2958">
        <v>-383.53769999999997</v>
      </c>
      <c r="K2958">
        <v>1.1033839999999999</v>
      </c>
      <c r="L2958">
        <v>214.4041</v>
      </c>
      <c r="M2958">
        <v>0.99989349999999999</v>
      </c>
      <c r="N2958">
        <v>0</v>
      </c>
      <c r="O2958">
        <v>3.8587909999999999E-3</v>
      </c>
      <c r="P2958">
        <v>0.99810089999999996</v>
      </c>
      <c r="Q2958">
        <v>-2.0894070000000001E-2</v>
      </c>
      <c r="R2958">
        <v>5.7953440000000002E-2</v>
      </c>
      <c r="S2958">
        <v>2.9866029999999899</v>
      </c>
      <c r="T2958">
        <v>-0.1476297</v>
      </c>
      <c r="U2958">
        <v>0.276947</v>
      </c>
      <c r="V2958">
        <v>-5.4116539999999998E-2</v>
      </c>
      <c r="W2958">
        <v>-6.7165380000000002E-3</v>
      </c>
      <c r="X2958">
        <v>0.99851199999999996</v>
      </c>
      <c r="Y2958">
        <v>-8.8387950000000007E-2</v>
      </c>
      <c r="Z2958">
        <v>1.9883100000000001E-3</v>
      </c>
      <c r="AA2958">
        <v>0.99608419999999898</v>
      </c>
      <c r="AB2958">
        <v>28</v>
      </c>
      <c r="AC2958">
        <v>22.061599999999999</v>
      </c>
      <c r="AD2958">
        <v>-1.1033847513008901</v>
      </c>
      <c r="AE2958">
        <v>2.0699000000000098</v>
      </c>
      <c r="AF2958">
        <v>-1.9798359384665101</v>
      </c>
      <c r="AG2958">
        <v>-1.1033847513008901</v>
      </c>
      <c r="AH2958">
        <v>22.014836833802601</v>
      </c>
      <c r="AI2958">
        <v>92.857752582646199</v>
      </c>
      <c r="AJ2958">
        <v>95.1388936137066</v>
      </c>
      <c r="AK2958">
        <v>22.131205323515498</v>
      </c>
    </row>
    <row r="2959" spans="1:37" x14ac:dyDescent="0.2">
      <c r="A2959" t="str">
        <f>"20200111155903801"</f>
        <v>20200111155903801</v>
      </c>
      <c r="B2959" t="str">
        <f>"1578729543794910"</f>
        <v>1578729543794910</v>
      </c>
      <c r="C2959" t="s">
        <v>37</v>
      </c>
      <c r="D2959">
        <v>5.3909929999999999</v>
      </c>
      <c r="E2959">
        <v>0.47344350000000002</v>
      </c>
      <c r="F2959" t="s">
        <v>50</v>
      </c>
      <c r="G2959">
        <v>-362.41320000000002</v>
      </c>
      <c r="H2959" s="1">
        <v>-2.5259129999999901E-7</v>
      </c>
      <c r="I2959">
        <v>216.3323</v>
      </c>
      <c r="J2959">
        <v>-383.2389</v>
      </c>
      <c r="K2959">
        <v>1.103389</v>
      </c>
      <c r="L2959">
        <v>214.40379999999999</v>
      </c>
      <c r="M2959">
        <v>0.99989760000000005</v>
      </c>
      <c r="N2959">
        <v>0</v>
      </c>
      <c r="O2959">
        <v>2.573601E-3</v>
      </c>
      <c r="P2959">
        <v>0.99808299999999905</v>
      </c>
      <c r="Q2959">
        <v>-2.0847649999999999E-2</v>
      </c>
      <c r="R2959">
        <v>5.8273520000000002E-2</v>
      </c>
      <c r="S2959">
        <v>2.9866329999999999</v>
      </c>
      <c r="T2959">
        <v>-0.15599939999999901</v>
      </c>
      <c r="U2959">
        <v>0.27261350000000001</v>
      </c>
      <c r="V2959">
        <v>-5.5719610000000003E-2</v>
      </c>
      <c r="W2959">
        <v>-6.6714579999999999E-3</v>
      </c>
      <c r="X2959">
        <v>0.99842419999999998</v>
      </c>
      <c r="Y2959">
        <v>-8.8220699999999999E-2</v>
      </c>
      <c r="Z2959">
        <v>2.163594E-3</v>
      </c>
      <c r="AA2959">
        <v>0.99609859999999995</v>
      </c>
      <c r="AB2959">
        <v>28</v>
      </c>
      <c r="AC2959">
        <v>20.825699999999902</v>
      </c>
      <c r="AD2959">
        <v>-1.1033892525913001</v>
      </c>
      <c r="AE2959">
        <v>1.9285000000000101</v>
      </c>
      <c r="AF2959">
        <v>-1.86968747689666</v>
      </c>
      <c r="AG2959">
        <v>-1.1033892525913001</v>
      </c>
      <c r="AH2959">
        <v>20.772779152079799</v>
      </c>
      <c r="AI2959">
        <v>93.028308002128895</v>
      </c>
      <c r="AJ2959">
        <v>95.143140363243603</v>
      </c>
      <c r="AK2959">
        <v>20.885917571537998</v>
      </c>
    </row>
    <row r="2960" spans="1:37" x14ac:dyDescent="0.2">
      <c r="A2960" t="str">
        <f>"20200111155903823"</f>
        <v>20200111155903823</v>
      </c>
      <c r="B2960" t="str">
        <f>"1578729543814430"</f>
        <v>1578729543814430</v>
      </c>
      <c r="C2960" t="s">
        <v>37</v>
      </c>
      <c r="D2960">
        <v>5.1001649999999996</v>
      </c>
      <c r="E2960">
        <v>0.48293190000000003</v>
      </c>
      <c r="F2960" t="s">
        <v>68</v>
      </c>
      <c r="G2960">
        <v>-259.82069999999999</v>
      </c>
      <c r="H2960">
        <v>4.9178750000000004</v>
      </c>
      <c r="I2960">
        <v>230.31479999999999</v>
      </c>
      <c r="J2960">
        <v>-382.96879999999999</v>
      </c>
      <c r="K2960">
        <v>1.1034010000000001</v>
      </c>
      <c r="L2960">
        <v>214.4032</v>
      </c>
      <c r="M2960">
        <v>0.99990000000000001</v>
      </c>
      <c r="N2960">
        <v>0</v>
      </c>
      <c r="O2960">
        <v>1.41200299999999E-3</v>
      </c>
      <c r="P2960">
        <v>0.99808589999999997</v>
      </c>
      <c r="Q2960">
        <v>-1.934599E-2</v>
      </c>
      <c r="R2960">
        <v>5.8741969999999998E-2</v>
      </c>
      <c r="S2960">
        <v>2.9852599999999998</v>
      </c>
      <c r="T2960">
        <v>9.226608E-2</v>
      </c>
      <c r="U2960">
        <v>0.38485720000000001</v>
      </c>
      <c r="V2960">
        <v>-5.7343970000000001E-2</v>
      </c>
      <c r="W2960">
        <v>-5.1704639999999996E-3</v>
      </c>
      <c r="X2960">
        <v>0.99834109999999998</v>
      </c>
      <c r="Y2960">
        <v>-0.1264016</v>
      </c>
      <c r="Z2960">
        <v>-1.901399E-3</v>
      </c>
      <c r="AA2960">
        <v>0.99197729999999995</v>
      </c>
      <c r="AB2960">
        <v>28</v>
      </c>
      <c r="AC2960">
        <v>123.1481</v>
      </c>
      <c r="AD2960">
        <v>3.8144740000000001</v>
      </c>
      <c r="AE2960">
        <v>15.9115999999999</v>
      </c>
      <c r="AF2960">
        <v>-15.7228441429385</v>
      </c>
      <c r="AG2960">
        <v>3.8144740000000001</v>
      </c>
      <c r="AH2960">
        <v>123.054323112891</v>
      </c>
      <c r="AI2960">
        <v>88.238806088572801</v>
      </c>
      <c r="AJ2960">
        <v>97.281318880000399</v>
      </c>
      <c r="AK2960">
        <v>124.11335333722801</v>
      </c>
    </row>
    <row r="2961" spans="1:37" x14ac:dyDescent="0.2">
      <c r="A2961" t="str">
        <f>"20200111155903845"</f>
        <v>20200111155903845</v>
      </c>
      <c r="B2961" t="str">
        <f>"1578729543834926"</f>
        <v>1578729543834926</v>
      </c>
      <c r="C2961" t="s">
        <v>37</v>
      </c>
      <c r="D2961">
        <v>5.3619329999999996</v>
      </c>
      <c r="E2961">
        <v>0.48551179999999899</v>
      </c>
      <c r="F2961" t="s">
        <v>67</v>
      </c>
      <c r="G2961">
        <v>-157.8382</v>
      </c>
      <c r="H2961">
        <v>2.1793589999999998</v>
      </c>
      <c r="I2961">
        <v>237.8741</v>
      </c>
      <c r="J2961">
        <v>-382.70609999999999</v>
      </c>
      <c r="K2961">
        <v>1.1034139999999999</v>
      </c>
      <c r="L2961">
        <v>214.4023</v>
      </c>
      <c r="M2961">
        <v>0.99990109999999999</v>
      </c>
      <c r="N2961">
        <v>0</v>
      </c>
      <c r="O2961">
        <v>2.8024570000000001E-4</v>
      </c>
      <c r="P2961">
        <v>0.99801580000000001</v>
      </c>
      <c r="Q2961">
        <v>-1.817933E-2</v>
      </c>
      <c r="R2961">
        <v>6.0282929999999998E-2</v>
      </c>
      <c r="S2961">
        <v>2.98767099999999</v>
      </c>
      <c r="T2961">
        <v>1.42796E-2</v>
      </c>
      <c r="U2961">
        <v>0.31147770000000002</v>
      </c>
      <c r="V2961">
        <v>-6.0011839999999997E-2</v>
      </c>
      <c r="W2961">
        <v>-4.0031600000000004E-3</v>
      </c>
      <c r="X2961">
        <v>0.99818960000000001</v>
      </c>
      <c r="Y2961">
        <v>-0.1034124</v>
      </c>
      <c r="Z2961">
        <v>-2.4512509999999999E-4</v>
      </c>
      <c r="AA2961">
        <v>0.99463860000000004</v>
      </c>
      <c r="AB2961">
        <v>27</v>
      </c>
      <c r="AC2961">
        <v>224.86789999999999</v>
      </c>
      <c r="AD2961">
        <v>1.0759449999999999</v>
      </c>
      <c r="AE2961">
        <v>23.471800000000002</v>
      </c>
      <c r="AF2961">
        <v>-23.408244448685899</v>
      </c>
      <c r="AG2961">
        <v>1.0759449999999999</v>
      </c>
      <c r="AH2961">
        <v>224.86937697438</v>
      </c>
      <c r="AI2961">
        <v>89.727329147883495</v>
      </c>
      <c r="AJ2961">
        <v>95.942918529800806</v>
      </c>
      <c r="AK2961">
        <v>226.08701923520101</v>
      </c>
    </row>
    <row r="2962" spans="1:37" x14ac:dyDescent="0.2">
      <c r="A2962" t="str">
        <f>"20200111155903868"</f>
        <v>20200111155903868</v>
      </c>
      <c r="B2962" t="str">
        <f>"1578729543864762"</f>
        <v>1578729543864762</v>
      </c>
      <c r="C2962" t="s">
        <v>37</v>
      </c>
      <c r="D2962">
        <v>5.2077530000000003</v>
      </c>
      <c r="E2962">
        <v>0.48605870000000001</v>
      </c>
      <c r="F2962" t="s">
        <v>52</v>
      </c>
      <c r="G2962">
        <v>-311.38990000000001</v>
      </c>
      <c r="H2962">
        <v>7.999937E-2</v>
      </c>
      <c r="I2962">
        <v>221.4692</v>
      </c>
      <c r="J2962">
        <v>-382.42950000000002</v>
      </c>
      <c r="K2962">
        <v>1.1034109999999999</v>
      </c>
      <c r="L2962">
        <v>214.40099999999899</v>
      </c>
      <c r="M2962">
        <v>0.99990059999999903</v>
      </c>
      <c r="N2962">
        <v>0</v>
      </c>
      <c r="O2962">
        <v>-9.1423049999999999E-4</v>
      </c>
      <c r="P2962">
        <v>0.99794110000000003</v>
      </c>
      <c r="Q2962">
        <v>-1.7448559999999998E-2</v>
      </c>
      <c r="R2962">
        <v>6.1718259999999997E-2</v>
      </c>
      <c r="S2962">
        <v>2.9873050000000001</v>
      </c>
      <c r="T2962">
        <v>-4.2868969999999999E-2</v>
      </c>
      <c r="U2962">
        <v>0.29602050000000002</v>
      </c>
      <c r="V2962">
        <v>-6.2638230000000003E-2</v>
      </c>
      <c r="W2962">
        <v>-3.2718199999999999E-3</v>
      </c>
      <c r="X2962">
        <v>0.998031</v>
      </c>
      <c r="Y2962">
        <v>-9.9509459999999994E-2</v>
      </c>
      <c r="Z2962">
        <v>7.2530730000000001E-4</v>
      </c>
      <c r="AA2962">
        <v>0.99503639999999904</v>
      </c>
      <c r="AB2962">
        <v>27</v>
      </c>
      <c r="AC2962">
        <v>71.039599999999993</v>
      </c>
      <c r="AD2962">
        <v>-1.02341163</v>
      </c>
      <c r="AE2962">
        <v>7.0682000000000098</v>
      </c>
      <c r="AF2962">
        <v>-7.1316844499923802</v>
      </c>
      <c r="AG2962">
        <v>-1.02341163</v>
      </c>
      <c r="AH2962">
        <v>71.018513073133406</v>
      </c>
      <c r="AI2962">
        <v>90.821472177188298</v>
      </c>
      <c r="AJ2962">
        <v>95.734422399973198</v>
      </c>
      <c r="AK2962">
        <v>71.383033653505606</v>
      </c>
    </row>
    <row r="2963" spans="1:37" x14ac:dyDescent="0.2">
      <c r="A2963" t="str">
        <f>"20200111155903891"</f>
        <v>20200111155903891</v>
      </c>
      <c r="B2963" t="str">
        <f>"1578729543884282"</f>
        <v>1578729543884282</v>
      </c>
      <c r="C2963" t="s">
        <v>37</v>
      </c>
      <c r="D2963">
        <v>5.2745329999999999</v>
      </c>
      <c r="E2963">
        <v>0.48648089999999999</v>
      </c>
      <c r="F2963" t="s">
        <v>50</v>
      </c>
      <c r="G2963">
        <v>-342.98099999999999</v>
      </c>
      <c r="H2963" s="1">
        <v>4.9540400000000001E-8</v>
      </c>
      <c r="I2963">
        <v>218.31610000000001</v>
      </c>
      <c r="J2963">
        <v>-382.14620000000002</v>
      </c>
      <c r="K2963">
        <v>1.1034059999999899</v>
      </c>
      <c r="L2963">
        <v>214.39940000000001</v>
      </c>
      <c r="M2963">
        <v>0.99989889999999904</v>
      </c>
      <c r="N2963">
        <v>0</v>
      </c>
      <c r="O2963">
        <v>-2.1399460000000002E-3</v>
      </c>
      <c r="P2963">
        <v>0.99786819999999898</v>
      </c>
      <c r="Q2963">
        <v>-1.8607909999999998E-2</v>
      </c>
      <c r="R2963">
        <v>6.2552330000000003E-2</v>
      </c>
      <c r="S2963">
        <v>2.986389</v>
      </c>
      <c r="T2963">
        <v>-8.3531980000000006E-2</v>
      </c>
      <c r="U2963">
        <v>0.2963867</v>
      </c>
      <c r="V2963">
        <v>-6.4697969999999994E-2</v>
      </c>
      <c r="W2963">
        <v>-4.4317609999999898E-3</v>
      </c>
      <c r="X2963">
        <v>0.99789509999999904</v>
      </c>
      <c r="Y2963">
        <v>-0.1008502</v>
      </c>
      <c r="Z2963">
        <v>1.4664120000000001E-3</v>
      </c>
      <c r="AA2963">
        <v>0.99490049999999997</v>
      </c>
      <c r="AB2963">
        <v>27</v>
      </c>
      <c r="AC2963">
        <v>39.165199999999999</v>
      </c>
      <c r="AD2963">
        <v>-1.1034059504596001</v>
      </c>
      <c r="AE2963">
        <v>3.9166999999999899</v>
      </c>
      <c r="AF2963">
        <v>-3.9973693312075298</v>
      </c>
      <c r="AG2963">
        <v>-1.1034059504596001</v>
      </c>
      <c r="AH2963">
        <v>39.125980196752899</v>
      </c>
      <c r="AI2963">
        <v>91.607029977721794</v>
      </c>
      <c r="AJ2963">
        <v>95.833475940903895</v>
      </c>
      <c r="AK2963">
        <v>39.345124127625901</v>
      </c>
    </row>
    <row r="2964" spans="1:37" x14ac:dyDescent="0.2">
      <c r="A2964" t="str">
        <f>"20200111155903913"</f>
        <v>20200111155903913</v>
      </c>
      <c r="B2964" t="str">
        <f>"1578729543904779"</f>
        <v>1578729543904779</v>
      </c>
      <c r="C2964" t="s">
        <v>37</v>
      </c>
      <c r="D2964">
        <v>5.2619109999999996</v>
      </c>
      <c r="E2964">
        <v>0.48737429999999898</v>
      </c>
      <c r="F2964" t="s">
        <v>50</v>
      </c>
      <c r="G2964">
        <v>-349.88749999999999</v>
      </c>
      <c r="H2964" s="1">
        <v>3.7248630000000002E-6</v>
      </c>
      <c r="I2964">
        <v>217.59389999999999</v>
      </c>
      <c r="J2964">
        <v>-381.86959999999999</v>
      </c>
      <c r="K2964">
        <v>1.1034010000000001</v>
      </c>
      <c r="L2964">
        <v>214.39750000000001</v>
      </c>
      <c r="M2964">
        <v>0.9998958</v>
      </c>
      <c r="N2964">
        <v>0</v>
      </c>
      <c r="O2964">
        <v>-3.3391950000000001E-3</v>
      </c>
      <c r="P2964">
        <v>0.99780530000000001</v>
      </c>
      <c r="Q2964">
        <v>-2.1425369999999999E-2</v>
      </c>
      <c r="R2964">
        <v>6.2657939999999995E-2</v>
      </c>
      <c r="S2964">
        <v>2.9859309999999999</v>
      </c>
      <c r="T2964">
        <v>-0.10213319999999999</v>
      </c>
      <c r="U2964">
        <v>0.29568479999999903</v>
      </c>
      <c r="V2964">
        <v>-6.6005839999999996E-2</v>
      </c>
      <c r="W2964">
        <v>-7.2511679999999997E-3</v>
      </c>
      <c r="X2964">
        <v>0.99779289999999998</v>
      </c>
      <c r="Y2964">
        <v>-0.1018058</v>
      </c>
      <c r="Z2964">
        <v>1.8502919999999999E-3</v>
      </c>
      <c r="AA2964">
        <v>0.99480259999999998</v>
      </c>
      <c r="AB2964">
        <v>27</v>
      </c>
      <c r="AC2964">
        <v>31.982099999999999</v>
      </c>
      <c r="AD2964">
        <v>-1.103397275137</v>
      </c>
      <c r="AE2964">
        <v>3.1963999999999801</v>
      </c>
      <c r="AF2964">
        <v>-3.29929892063755</v>
      </c>
      <c r="AG2964">
        <v>-1.103397275137</v>
      </c>
      <c r="AH2964">
        <v>31.933613115529901</v>
      </c>
      <c r="AI2964">
        <v>91.968475011264701</v>
      </c>
      <c r="AJ2964">
        <v>95.898723625132106</v>
      </c>
      <c r="AK2964">
        <v>32.122554467645401</v>
      </c>
    </row>
    <row r="2965" spans="1:37" x14ac:dyDescent="0.2">
      <c r="A2965" t="str">
        <f>"20200111155903936"</f>
        <v>20200111155903936</v>
      </c>
      <c r="B2965" t="str">
        <f>"1578729543924298"</f>
        <v>1578729543924298</v>
      </c>
      <c r="C2965" t="s">
        <v>37</v>
      </c>
      <c r="D2965">
        <v>5.541385</v>
      </c>
      <c r="E2965">
        <v>0.488355599999999</v>
      </c>
      <c r="F2965" t="s">
        <v>50</v>
      </c>
      <c r="G2965">
        <v>-352.61900000000003</v>
      </c>
      <c r="H2965" s="1">
        <v>-2.5721930000000002E-7</v>
      </c>
      <c r="I2965">
        <v>217.2268</v>
      </c>
      <c r="J2965">
        <v>-381.6046</v>
      </c>
      <c r="K2965">
        <v>1.1033899999999901</v>
      </c>
      <c r="L2965">
        <v>214.39529999999999</v>
      </c>
      <c r="M2965">
        <v>0.99989119999999998</v>
      </c>
      <c r="N2965">
        <v>0</v>
      </c>
      <c r="O2965">
        <v>-4.4882489999999997E-3</v>
      </c>
      <c r="P2965">
        <v>0.99779490000000004</v>
      </c>
      <c r="Q2965">
        <v>-2.4018049999999999E-2</v>
      </c>
      <c r="R2965">
        <v>6.1876710000000001E-2</v>
      </c>
      <c r="S2965">
        <v>2.9860530000000001</v>
      </c>
      <c r="T2965">
        <v>-0.112640899999999</v>
      </c>
      <c r="U2965">
        <v>0.28883359999999902</v>
      </c>
      <c r="V2965">
        <v>-6.637643E-2</v>
      </c>
      <c r="W2965">
        <v>-9.8470629999999996E-3</v>
      </c>
      <c r="X2965">
        <v>0.99774609999999997</v>
      </c>
      <c r="Y2965">
        <v>-0.100671</v>
      </c>
      <c r="Z2965">
        <v>2.0625600000000002E-3</v>
      </c>
      <c r="AA2965">
        <v>0.99491759999999996</v>
      </c>
      <c r="AB2965">
        <v>27</v>
      </c>
      <c r="AC2965">
        <v>28.985599999999899</v>
      </c>
      <c r="AD2965">
        <v>-1.1033902572193</v>
      </c>
      <c r="AE2965">
        <v>2.8315000000000001</v>
      </c>
      <c r="AF2965">
        <v>-2.9573339911116401</v>
      </c>
      <c r="AG2965">
        <v>-1.1033902572193</v>
      </c>
      <c r="AH2965">
        <v>28.931070975031801</v>
      </c>
      <c r="AI2965">
        <v>92.172810354440003</v>
      </c>
      <c r="AJ2965">
        <v>95.836502353035399</v>
      </c>
      <c r="AK2965">
        <v>29.102751796987199</v>
      </c>
    </row>
    <row r="2966" spans="1:37" x14ac:dyDescent="0.2">
      <c r="A2966" t="str">
        <f>"20200111155903957"</f>
        <v>20200111155903957</v>
      </c>
      <c r="B2966" t="str">
        <f>"1578729543954555"</f>
        <v>1578729543954555</v>
      </c>
      <c r="C2966" t="s">
        <v>37</v>
      </c>
      <c r="D2966">
        <v>5.4971189999999996</v>
      </c>
      <c r="E2966">
        <v>0.48986639999999998</v>
      </c>
      <c r="F2966" t="s">
        <v>50</v>
      </c>
      <c r="G2966">
        <v>-354.3107</v>
      </c>
      <c r="H2966" s="1">
        <v>6.5550399999999896E-7</v>
      </c>
      <c r="I2966">
        <v>216.9417</v>
      </c>
      <c r="J2966">
        <v>-381.33890000000002</v>
      </c>
      <c r="K2966">
        <v>1.1033959999999901</v>
      </c>
      <c r="L2966">
        <v>214.39279999999999</v>
      </c>
      <c r="M2966">
        <v>0.99988539999999904</v>
      </c>
      <c r="N2966">
        <v>0</v>
      </c>
      <c r="O2966">
        <v>-5.6343749999999996E-3</v>
      </c>
      <c r="P2966">
        <v>0.99782199999999999</v>
      </c>
      <c r="Q2966">
        <v>-2.504692E-2</v>
      </c>
      <c r="R2966">
        <v>6.1025759999999998E-2</v>
      </c>
      <c r="S2966">
        <v>2.9864199999999999</v>
      </c>
      <c r="T2966">
        <v>-0.1207299</v>
      </c>
      <c r="U2966">
        <v>0.27862550000000003</v>
      </c>
      <c r="V2966">
        <v>-6.6671159999999993E-2</v>
      </c>
      <c r="W2966">
        <v>-1.087952E-2</v>
      </c>
      <c r="X2966">
        <v>0.99771569999999898</v>
      </c>
      <c r="Y2966">
        <v>-9.8418909999999998E-2</v>
      </c>
      <c r="Z2966">
        <v>2.2114689999999898E-3</v>
      </c>
      <c r="AA2966">
        <v>0.99514259999999999</v>
      </c>
      <c r="AB2966">
        <v>27</v>
      </c>
      <c r="AC2966">
        <v>27.028199999999998</v>
      </c>
      <c r="AD2966">
        <v>-1.1033953444959901</v>
      </c>
      <c r="AE2966">
        <v>2.5489000000000002</v>
      </c>
      <c r="AF2966">
        <v>-2.6967069035090501</v>
      </c>
      <c r="AG2966">
        <v>-1.1033953444959901</v>
      </c>
      <c r="AH2966">
        <v>26.968858261899801</v>
      </c>
      <c r="AI2966">
        <v>92.331261879358806</v>
      </c>
      <c r="AJ2966">
        <v>95.710216776702197</v>
      </c>
      <c r="AK2966">
        <v>27.125799994841199</v>
      </c>
    </row>
    <row r="2967" spans="1:37" x14ac:dyDescent="0.2">
      <c r="A2967" t="str">
        <f>"20200111155903980"</f>
        <v>20200111155903980</v>
      </c>
      <c r="B2967" t="str">
        <f>"1578729543974770"</f>
        <v>1578729543974770</v>
      </c>
      <c r="C2967" t="s">
        <v>37</v>
      </c>
      <c r="D2967">
        <v>5.3934600000000001</v>
      </c>
      <c r="E2967">
        <v>0.54145650000000001</v>
      </c>
      <c r="F2967" t="s">
        <v>50</v>
      </c>
      <c r="G2967">
        <v>-356.17450000000002</v>
      </c>
      <c r="H2967" s="1">
        <v>1.6615539999999999E-6</v>
      </c>
      <c r="I2967">
        <v>216.61619999999999</v>
      </c>
      <c r="J2967">
        <v>-381.04680000000002</v>
      </c>
      <c r="K2967">
        <v>1.1034219999999999</v>
      </c>
      <c r="L2967">
        <v>214.3897</v>
      </c>
      <c r="M2967">
        <v>0.99987760000000003</v>
      </c>
      <c r="N2967">
        <v>0</v>
      </c>
      <c r="O2967">
        <v>-6.8751029999999996E-3</v>
      </c>
      <c r="P2967">
        <v>0.99787440000000005</v>
      </c>
      <c r="Q2967">
        <v>-2.3798400000000001E-2</v>
      </c>
      <c r="R2967">
        <v>6.0668039999999999E-2</v>
      </c>
      <c r="S2967">
        <v>2.987152</v>
      </c>
      <c r="T2967">
        <v>-0.13097909999999999</v>
      </c>
      <c r="U2967">
        <v>0.26393129999999998</v>
      </c>
      <c r="V2967">
        <v>-6.7548800000000006E-2</v>
      </c>
      <c r="W2967">
        <v>-9.634877E-3</v>
      </c>
      <c r="X2967">
        <v>0.99766949999999999</v>
      </c>
      <c r="Y2967">
        <v>-9.4762719999999995E-2</v>
      </c>
      <c r="Z2967">
        <v>2.3733019999999999E-3</v>
      </c>
      <c r="AA2967">
        <v>0.99549699999999997</v>
      </c>
      <c r="AB2967">
        <v>27</v>
      </c>
      <c r="AC2967">
        <v>24.872299999999999</v>
      </c>
      <c r="AD2967">
        <v>-1.103420338446</v>
      </c>
      <c r="AE2967">
        <v>2.2264999999999802</v>
      </c>
      <c r="AF2967">
        <v>-2.3927920350576701</v>
      </c>
      <c r="AG2967">
        <v>-1.103420338446</v>
      </c>
      <c r="AH2967">
        <v>24.807966382004398</v>
      </c>
      <c r="AI2967">
        <v>92.535001009617503</v>
      </c>
      <c r="AJ2967">
        <v>95.509282715093093</v>
      </c>
      <c r="AK2967">
        <v>24.9475086166333</v>
      </c>
    </row>
    <row r="2968" spans="1:37" x14ac:dyDescent="0.2">
      <c r="A2968" t="str">
        <f>"20200111155904003"</f>
        <v>20200111155904003</v>
      </c>
      <c r="B2968" t="str">
        <f>"1578729543994290"</f>
        <v>1578729543994290</v>
      </c>
      <c r="C2968" t="s">
        <v>37</v>
      </c>
      <c r="D2968">
        <v>5.5883959999999897</v>
      </c>
      <c r="E2968">
        <v>0.54525769999999996</v>
      </c>
      <c r="F2968" t="s">
        <v>50</v>
      </c>
      <c r="G2968">
        <v>-364.3476</v>
      </c>
      <c r="H2968" s="1">
        <v>7.7680470000000002E-7</v>
      </c>
      <c r="I2968">
        <v>213.5703</v>
      </c>
      <c r="J2968">
        <v>-380.77170000000001</v>
      </c>
      <c r="K2968">
        <v>1.103458</v>
      </c>
      <c r="L2968">
        <v>214.38659999999999</v>
      </c>
      <c r="M2968">
        <v>0.99986919999999901</v>
      </c>
      <c r="N2968">
        <v>0</v>
      </c>
      <c r="O2968">
        <v>-8.0166300000000003E-3</v>
      </c>
      <c r="P2968">
        <v>0.99796039999999997</v>
      </c>
      <c r="Q2968">
        <v>-2.0001439999999999E-2</v>
      </c>
      <c r="R2968">
        <v>6.0625159999999997E-2</v>
      </c>
      <c r="S2968">
        <v>3.0106199999999999</v>
      </c>
      <c r="T2968">
        <v>-0.19893089999999999</v>
      </c>
      <c r="U2968">
        <v>-0.1477203</v>
      </c>
      <c r="V2968">
        <v>-6.8636859999999994E-2</v>
      </c>
      <c r="W2968">
        <v>-5.8424039999999998E-3</v>
      </c>
      <c r="X2968">
        <v>0.99762459999999997</v>
      </c>
      <c r="Y2968">
        <v>4.0926509999999999E-2</v>
      </c>
      <c r="Z2968">
        <v>-8.2101799999999996E-4</v>
      </c>
      <c r="AA2968">
        <v>0.99916179999999999</v>
      </c>
      <c r="AB2968">
        <v>27</v>
      </c>
      <c r="AC2968">
        <v>16.424099999999999</v>
      </c>
      <c r="AD2968">
        <v>-1.1034572231952999</v>
      </c>
      <c r="AE2968">
        <v>-0.81629999999998404</v>
      </c>
      <c r="AF2968">
        <v>0.68152610818420301</v>
      </c>
      <c r="AG2968">
        <v>-1.1034572231952999</v>
      </c>
      <c r="AH2968">
        <v>16.3564679137416</v>
      </c>
      <c r="AI2968">
        <v>93.856164094296204</v>
      </c>
      <c r="AJ2968">
        <v>87.614032849066902</v>
      </c>
      <c r="AK2968">
        <v>16.407807235972101</v>
      </c>
    </row>
    <row r="2969" spans="1:37" x14ac:dyDescent="0.2">
      <c r="A2969" t="str">
        <f>"20200111155904024"</f>
        <v>20200111155904024</v>
      </c>
      <c r="B2969" t="str">
        <f>"1578729544014785"</f>
        <v>1578729544014785</v>
      </c>
      <c r="C2969" t="s">
        <v>37</v>
      </c>
      <c r="D2969">
        <v>5.4688169999999996</v>
      </c>
      <c r="E2969">
        <v>0.54503970000000002</v>
      </c>
      <c r="F2969" t="s">
        <v>50</v>
      </c>
      <c r="G2969">
        <v>-364.38659999999999</v>
      </c>
      <c r="H2969" s="1">
        <v>7.9751840000000003E-7</v>
      </c>
      <c r="I2969">
        <v>213.41800000000001</v>
      </c>
      <c r="J2969">
        <v>-380.50979999999998</v>
      </c>
      <c r="K2969">
        <v>1.103505</v>
      </c>
      <c r="L2969">
        <v>214.38319999999999</v>
      </c>
      <c r="M2969">
        <v>0.99986019999999898</v>
      </c>
      <c r="N2969">
        <v>0</v>
      </c>
      <c r="O2969">
        <v>-9.0728319999999994E-3</v>
      </c>
      <c r="P2969">
        <v>0.99802880000000005</v>
      </c>
      <c r="Q2969">
        <v>-1.632832E-2</v>
      </c>
      <c r="R2969">
        <v>6.0596820000000003E-2</v>
      </c>
      <c r="S2969">
        <v>3.012848</v>
      </c>
      <c r="T2969">
        <v>-0.20289979999999999</v>
      </c>
      <c r="U2969">
        <v>-0.178085299999999</v>
      </c>
      <c r="V2969">
        <v>-6.9654430000000003E-2</v>
      </c>
      <c r="W2969">
        <v>-2.1752429999999999E-3</v>
      </c>
      <c r="X2969">
        <v>0.99756880000000003</v>
      </c>
      <c r="Y2969">
        <v>4.9853269999999998E-2</v>
      </c>
      <c r="Z2969">
        <v>-1.065524E-3</v>
      </c>
      <c r="AA2969">
        <v>0.99875599999999998</v>
      </c>
      <c r="AB2969">
        <v>27</v>
      </c>
      <c r="AC2969">
        <v>16.123199999999901</v>
      </c>
      <c r="AD2969">
        <v>-1.1035042024816</v>
      </c>
      <c r="AE2969">
        <v>-0.96519999999998096</v>
      </c>
      <c r="AF2969">
        <v>0.81505839884893605</v>
      </c>
      <c r="AG2969">
        <v>-1.1035042024816</v>
      </c>
      <c r="AH2969">
        <v>16.056349895810499</v>
      </c>
      <c r="AI2969">
        <v>93.926542795214601</v>
      </c>
      <c r="AJ2969">
        <v>87.094024697160194</v>
      </c>
      <c r="AK2969">
        <v>16.114850718983501</v>
      </c>
    </row>
    <row r="2970" spans="1:37" x14ac:dyDescent="0.2">
      <c r="A2970" t="str">
        <f>"20200111155904046"</f>
        <v>20200111155904046</v>
      </c>
      <c r="B2970" t="str">
        <f>"1578729544045042"</f>
        <v>1578729544045042</v>
      </c>
      <c r="C2970" t="s">
        <v>37</v>
      </c>
      <c r="D2970">
        <v>5.4257730000000004</v>
      </c>
      <c r="E2970">
        <v>0.54598049999999998</v>
      </c>
      <c r="F2970" t="s">
        <v>50</v>
      </c>
      <c r="G2970">
        <v>-363.48070000000001</v>
      </c>
      <c r="H2970" s="1">
        <v>3.1543659999999902E-7</v>
      </c>
      <c r="I2970">
        <v>213.38650000000001</v>
      </c>
      <c r="J2970">
        <v>-380.24419999999998</v>
      </c>
      <c r="K2970">
        <v>1.103556</v>
      </c>
      <c r="L2970">
        <v>214.37960000000001</v>
      </c>
      <c r="M2970">
        <v>0.99985040000000003</v>
      </c>
      <c r="N2970">
        <v>0</v>
      </c>
      <c r="O2970">
        <v>-1.010308E-2</v>
      </c>
      <c r="P2970">
        <v>0.99809490000000001</v>
      </c>
      <c r="Q2970">
        <v>-1.266716E-2</v>
      </c>
      <c r="R2970">
        <v>6.0386820000000001E-2</v>
      </c>
      <c r="S2970">
        <v>3.01342799999999</v>
      </c>
      <c r="T2970">
        <v>-0.19527249999999999</v>
      </c>
      <c r="U2970">
        <v>-0.17637629999999899</v>
      </c>
      <c r="V2970">
        <v>-7.0466000000000001E-2</v>
      </c>
      <c r="W2970">
        <v>1.4784970000000001E-3</v>
      </c>
      <c r="X2970">
        <v>0.99751309999999904</v>
      </c>
      <c r="Y2970">
        <v>4.8260600000000001E-2</v>
      </c>
      <c r="Z2970">
        <v>-9.0724100000000004E-4</v>
      </c>
      <c r="AA2970">
        <v>0.99883440000000001</v>
      </c>
      <c r="AB2970">
        <v>27</v>
      </c>
      <c r="AC2970">
        <v>16.763499999999901</v>
      </c>
      <c r="AD2970">
        <v>-1.10355568456339</v>
      </c>
      <c r="AE2970">
        <v>-0.99309999999999798</v>
      </c>
      <c r="AF2970">
        <v>0.82012786935680104</v>
      </c>
      <c r="AG2970">
        <v>-1.10355568456339</v>
      </c>
      <c r="AH2970">
        <v>16.700556497032998</v>
      </c>
      <c r="AI2970">
        <v>93.776013225787494</v>
      </c>
      <c r="AJ2970">
        <v>87.188587882773305</v>
      </c>
      <c r="AK2970">
        <v>16.757059174617101</v>
      </c>
    </row>
    <row r="2971" spans="1:37" x14ac:dyDescent="0.2">
      <c r="A2971" t="str">
        <f>"20200111155904069"</f>
        <v>20200111155904069</v>
      </c>
      <c r="B2971" t="str">
        <f>"1578729544065105"</f>
        <v>1578729544065105</v>
      </c>
      <c r="C2971" t="s">
        <v>37</v>
      </c>
      <c r="D2971">
        <v>6.0972089999999897</v>
      </c>
      <c r="E2971">
        <v>0.54631439999999998</v>
      </c>
      <c r="F2971" t="s">
        <v>38</v>
      </c>
      <c r="G2971">
        <v>-379.29939999999999</v>
      </c>
      <c r="H2971">
        <v>1.0429979999999901</v>
      </c>
      <c r="I2971">
        <v>214.32140000000001</v>
      </c>
      <c r="J2971">
        <v>-379.97210000000001</v>
      </c>
      <c r="K2971">
        <v>1.1035979999999901</v>
      </c>
      <c r="L2971">
        <v>214.37569999999999</v>
      </c>
      <c r="M2971">
        <v>0.999839699999999</v>
      </c>
      <c r="N2971">
        <v>0</v>
      </c>
      <c r="O2971">
        <v>-1.1116610000000001E-2</v>
      </c>
      <c r="P2971">
        <v>0.99814799999999904</v>
      </c>
      <c r="Q2971">
        <v>-1.0962319999999999E-2</v>
      </c>
      <c r="R2971">
        <v>5.983873E-2</v>
      </c>
      <c r="S2971">
        <v>3.01443499999999</v>
      </c>
      <c r="T2971">
        <v>-0.19321640000000001</v>
      </c>
      <c r="U2971">
        <v>-0.18444820000000001</v>
      </c>
      <c r="V2971">
        <v>-7.0926610000000001E-2</v>
      </c>
      <c r="W2971">
        <v>3.1746019999999999E-3</v>
      </c>
      <c r="X2971">
        <v>0.99747649999999999</v>
      </c>
      <c r="Y2971">
        <v>4.989412E-2</v>
      </c>
      <c r="Z2971">
        <v>-8.847592E-4</v>
      </c>
      <c r="AA2971">
        <v>0.99875409999999998</v>
      </c>
      <c r="AB2971">
        <v>27</v>
      </c>
      <c r="AC2971">
        <v>0.67270000000001995</v>
      </c>
      <c r="AD2971">
        <v>-6.0599999999999897E-2</v>
      </c>
      <c r="AE2971">
        <v>-5.42999999999835E-2</v>
      </c>
      <c r="AF2971">
        <v>4.6443304222421398E-2</v>
      </c>
      <c r="AG2971">
        <v>-6.0599999999999897E-2</v>
      </c>
      <c r="AH2971">
        <v>0.667877205623024</v>
      </c>
      <c r="AI2971">
        <v>95.172127423602106</v>
      </c>
      <c r="AJ2971">
        <v>86.022130286103703</v>
      </c>
      <c r="AK2971">
        <v>0.67222712106691695</v>
      </c>
    </row>
    <row r="2972" spans="1:37" x14ac:dyDescent="0.2">
      <c r="A2972" t="str">
        <f>"20200111155904092"</f>
        <v>20200111155904092</v>
      </c>
      <c r="B2972" t="str">
        <f>"1578729544084624"</f>
        <v>1578729544084624</v>
      </c>
      <c r="C2972" t="s">
        <v>37</v>
      </c>
      <c r="D2972">
        <v>5.4401539999999997</v>
      </c>
      <c r="E2972">
        <v>0.55369699999999999</v>
      </c>
      <c r="F2972" t="s">
        <v>38</v>
      </c>
      <c r="G2972">
        <v>-379.05509999999998</v>
      </c>
      <c r="H2972">
        <v>1.045398</v>
      </c>
      <c r="I2972">
        <v>214.31809999999999</v>
      </c>
      <c r="J2972">
        <v>-379.6909</v>
      </c>
      <c r="K2972">
        <v>1.103626</v>
      </c>
      <c r="L2972">
        <v>214.37139999999999</v>
      </c>
      <c r="M2972">
        <v>0.99982800000000005</v>
      </c>
      <c r="N2972">
        <v>0</v>
      </c>
      <c r="O2972">
        <v>-1.212422E-2</v>
      </c>
      <c r="P2972">
        <v>0.99819089999999999</v>
      </c>
      <c r="Q2972">
        <v>-1.0296690000000001E-2</v>
      </c>
      <c r="R2972">
        <v>5.9239090000000001E-2</v>
      </c>
      <c r="S2972">
        <v>3.0148009999999998</v>
      </c>
      <c r="T2972">
        <v>-0.19143660000000001</v>
      </c>
      <c r="U2972">
        <v>-0.1889496</v>
      </c>
      <c r="V2972">
        <v>-7.1331210000000006E-2</v>
      </c>
      <c r="W2972">
        <v>3.8316790000000002E-3</v>
      </c>
      <c r="X2972">
        <v>0.99744529999999998</v>
      </c>
      <c r="Y2972">
        <v>5.0368280000000001E-2</v>
      </c>
      <c r="Z2972">
        <v>-8.2765829999999999E-4</v>
      </c>
      <c r="AA2972">
        <v>0.99873040000000002</v>
      </c>
      <c r="AB2972">
        <v>27</v>
      </c>
      <c r="AC2972">
        <v>0.63580000000001702</v>
      </c>
      <c r="AD2972">
        <v>-5.8227999999999898E-2</v>
      </c>
      <c r="AE2972">
        <v>-5.3300000000007203E-2</v>
      </c>
      <c r="AF2972">
        <v>4.5210197545295698E-2</v>
      </c>
      <c r="AG2972">
        <v>-5.8227999999999898E-2</v>
      </c>
      <c r="AH2972">
        <v>0.631142894402968</v>
      </c>
      <c r="AI2972">
        <v>95.257678531544698</v>
      </c>
      <c r="AJ2972">
        <v>85.902771624820105</v>
      </c>
      <c r="AK2972">
        <v>0.63543356466387602</v>
      </c>
    </row>
    <row r="2973" spans="1:37" x14ac:dyDescent="0.2">
      <c r="A2973" t="str">
        <f>"20200111155904115"</f>
        <v>20200111155904115</v>
      </c>
      <c r="B2973" t="str">
        <f>"1578729544105121"</f>
        <v>1578729544105121</v>
      </c>
      <c r="C2973" t="s">
        <v>37</v>
      </c>
      <c r="D2973">
        <v>5.5168089999999896</v>
      </c>
      <c r="E2973">
        <v>0.54913459999999903</v>
      </c>
      <c r="F2973" t="s">
        <v>52</v>
      </c>
      <c r="G2973">
        <v>-302.59019999999998</v>
      </c>
      <c r="H2973" s="1">
        <v>2.508423E-6</v>
      </c>
      <c r="I2973">
        <v>207.99510000000001</v>
      </c>
      <c r="J2973">
        <v>-379.41919999999999</v>
      </c>
      <c r="K2973">
        <v>1.1036509999999999</v>
      </c>
      <c r="L2973">
        <v>214.36699999999999</v>
      </c>
      <c r="M2973">
        <v>0.99981640000000005</v>
      </c>
      <c r="N2973">
        <v>0</v>
      </c>
      <c r="O2973">
        <v>-1.3059980000000001E-2</v>
      </c>
      <c r="P2973">
        <v>0.99824020000000002</v>
      </c>
      <c r="Q2973">
        <v>-1.09321E-2</v>
      </c>
      <c r="R2973">
        <v>5.828643E-2</v>
      </c>
      <c r="S2973">
        <v>3.019806</v>
      </c>
      <c r="T2973">
        <v>-4.3225649999999997E-2</v>
      </c>
      <c r="U2973">
        <v>-0.24974060000000001</v>
      </c>
      <c r="V2973">
        <v>-7.1314249999999996E-2</v>
      </c>
      <c r="W2973">
        <v>3.185092E-3</v>
      </c>
      <c r="X2973">
        <v>0.99744880000000002</v>
      </c>
      <c r="Y2973">
        <v>6.9389919999999994E-2</v>
      </c>
      <c r="Z2973">
        <v>-3.0915149999999998E-4</v>
      </c>
      <c r="AA2973">
        <v>0.99758959999999997</v>
      </c>
      <c r="AB2973">
        <v>27</v>
      </c>
      <c r="AC2973">
        <v>76.828999999999994</v>
      </c>
      <c r="AD2973">
        <v>-1.103648491577</v>
      </c>
      <c r="AE2973">
        <v>-6.3719000000000099</v>
      </c>
      <c r="AF2973">
        <v>5.3667727269603596</v>
      </c>
      <c r="AG2973">
        <v>-1.103648491577</v>
      </c>
      <c r="AH2973">
        <v>76.889913316408396</v>
      </c>
      <c r="AI2973">
        <v>90.820349715891396</v>
      </c>
      <c r="AJ2973">
        <v>86.007336705021899</v>
      </c>
      <c r="AK2973">
        <v>77.084882170894005</v>
      </c>
    </row>
    <row r="2974" spans="1:37" x14ac:dyDescent="0.2">
      <c r="A2974" t="str">
        <f>"20200111155904137"</f>
        <v>20200111155904137</v>
      </c>
      <c r="B2974" t="str">
        <f>"1578729544124640"</f>
        <v>1578729544124640</v>
      </c>
      <c r="C2974" t="s">
        <v>37</v>
      </c>
      <c r="D2974">
        <v>5.4681410000000001</v>
      </c>
      <c r="E2974">
        <v>0.54890869999999903</v>
      </c>
      <c r="F2974" t="s">
        <v>50</v>
      </c>
      <c r="G2974">
        <v>-352.45599999999899</v>
      </c>
      <c r="H2974" s="1">
        <v>-1.345527E-7</v>
      </c>
      <c r="I2974">
        <v>212.4367</v>
      </c>
      <c r="J2974">
        <v>-379.15750000000003</v>
      </c>
      <c r="K2974">
        <v>1.103669</v>
      </c>
      <c r="L2974">
        <v>214.36259999999999</v>
      </c>
      <c r="M2974">
        <v>0.99980499999999894</v>
      </c>
      <c r="N2974">
        <v>0</v>
      </c>
      <c r="O2974">
        <v>-1.392241E-2</v>
      </c>
      <c r="P2974">
        <v>0.998303099999999</v>
      </c>
      <c r="Q2974">
        <v>-1.2169869999999999E-2</v>
      </c>
      <c r="R2974">
        <v>5.6948180000000001E-2</v>
      </c>
      <c r="S2974">
        <v>3.0165410000000001</v>
      </c>
      <c r="T2974">
        <v>-0.123472499999999</v>
      </c>
      <c r="U2974">
        <v>-0.2159576</v>
      </c>
      <c r="V2974">
        <v>-7.0839799999999994E-2</v>
      </c>
      <c r="W2974">
        <v>1.917186E-3</v>
      </c>
      <c r="X2974">
        <v>0.99748590000000004</v>
      </c>
      <c r="Y2974">
        <v>5.7476970000000002E-2</v>
      </c>
      <c r="Z2974">
        <v>-6.0545010000000003E-4</v>
      </c>
      <c r="AA2974">
        <v>0.99834659999999997</v>
      </c>
      <c r="AB2974">
        <v>27</v>
      </c>
      <c r="AC2974">
        <v>26.701499999999999</v>
      </c>
      <c r="AD2974">
        <v>-1.1036691345527001</v>
      </c>
      <c r="AE2974">
        <v>-1.92589999999998</v>
      </c>
      <c r="AF2974">
        <v>1.55129099880147</v>
      </c>
      <c r="AG2974">
        <v>-1.1036691345527001</v>
      </c>
      <c r="AH2974">
        <v>26.680380713162599</v>
      </c>
      <c r="AI2974">
        <v>92.364775633874899</v>
      </c>
      <c r="AJ2974">
        <v>86.672368733965001</v>
      </c>
      <c r="AK2974">
        <v>26.7482205823271</v>
      </c>
    </row>
    <row r="2975" spans="1:37" x14ac:dyDescent="0.2">
      <c r="A2975" t="str">
        <f>"20200111155904158"</f>
        <v>20200111155904158</v>
      </c>
      <c r="B2975" t="str">
        <f>"1578729544154897"</f>
        <v>1578729544154897</v>
      </c>
      <c r="C2975" t="s">
        <v>37</v>
      </c>
      <c r="D2975">
        <v>5.5275790000000002</v>
      </c>
      <c r="E2975">
        <v>0.54566510000000001</v>
      </c>
      <c r="F2975" t="s">
        <v>50</v>
      </c>
      <c r="G2975">
        <v>-353.92450000000002</v>
      </c>
      <c r="H2975" s="1">
        <v>6.4260430000000003E-7</v>
      </c>
      <c r="I2975">
        <v>212.53540000000001</v>
      </c>
      <c r="J2975">
        <v>-378.89879999999999</v>
      </c>
      <c r="K2975">
        <v>1.103677</v>
      </c>
      <c r="L2975">
        <v>214.358</v>
      </c>
      <c r="M2975">
        <v>0.99979439999999997</v>
      </c>
      <c r="N2975">
        <v>0</v>
      </c>
      <c r="O2975">
        <v>-1.473554E-2</v>
      </c>
      <c r="P2975">
        <v>0.99836069999999999</v>
      </c>
      <c r="Q2975">
        <v>-1.3661680000000001E-2</v>
      </c>
      <c r="R2975">
        <v>5.5586299999999998E-2</v>
      </c>
      <c r="S2975">
        <v>3.01593</v>
      </c>
      <c r="T2975">
        <v>-0.131914</v>
      </c>
      <c r="U2975">
        <v>-0.21838379999999899</v>
      </c>
      <c r="V2975">
        <v>-7.0292460000000001E-2</v>
      </c>
      <c r="W2975">
        <v>3.5649930000000002E-4</v>
      </c>
      <c r="X2975">
        <v>0.99752629999999998</v>
      </c>
      <c r="Y2975">
        <v>5.7474049999999999E-2</v>
      </c>
      <c r="Z2975">
        <v>-6.1136099999999896E-4</v>
      </c>
      <c r="AA2975">
        <v>0.99834679999999998</v>
      </c>
      <c r="AB2975">
        <v>27</v>
      </c>
      <c r="AC2975">
        <v>24.9742999999999</v>
      </c>
      <c r="AD2975">
        <v>-1.1036763573957</v>
      </c>
      <c r="AE2975">
        <v>-1.82259999999999</v>
      </c>
      <c r="AF2975">
        <v>1.4515367740321701</v>
      </c>
      <c r="AG2975">
        <v>-1.1036763573957</v>
      </c>
      <c r="AH2975">
        <v>24.949978955021699</v>
      </c>
      <c r="AI2975">
        <v>92.528589781903094</v>
      </c>
      <c r="AJ2975">
        <v>86.670406397447906</v>
      </c>
      <c r="AK2975">
        <v>25.016524745940799</v>
      </c>
    </row>
    <row r="2976" spans="1:37" x14ac:dyDescent="0.2">
      <c r="A2976" t="str">
        <f>"20200111155904181"</f>
        <v>20200111155904181</v>
      </c>
      <c r="B2976" t="str">
        <f>"1578729544174417"</f>
        <v>1578729544174417</v>
      </c>
      <c r="C2976" t="s">
        <v>37</v>
      </c>
      <c r="D2976">
        <v>5.4512159999999996</v>
      </c>
      <c r="E2976">
        <v>0.54570430000000003</v>
      </c>
      <c r="F2976" t="s">
        <v>38</v>
      </c>
      <c r="G2976">
        <v>-378.09500000000003</v>
      </c>
      <c r="H2976">
        <v>1.0365799999999901</v>
      </c>
      <c r="I2976">
        <v>214.30539999999999</v>
      </c>
      <c r="J2976">
        <v>-378.62099999999998</v>
      </c>
      <c r="K2976">
        <v>1.1036709999999901</v>
      </c>
      <c r="L2976">
        <v>214.35290000000001</v>
      </c>
      <c r="M2976">
        <v>0.99978349999999905</v>
      </c>
      <c r="N2976">
        <v>0</v>
      </c>
      <c r="O2976">
        <v>-1.556198E-2</v>
      </c>
      <c r="P2976">
        <v>0.99842350000000002</v>
      </c>
      <c r="Q2976">
        <v>-1.4830950000000001E-2</v>
      </c>
      <c r="R2976">
        <v>5.4136199999999898E-2</v>
      </c>
      <c r="S2976">
        <v>3.0123899999999999</v>
      </c>
      <c r="T2976">
        <v>-0.25162790000000002</v>
      </c>
      <c r="U2976">
        <v>-0.19609070000000001</v>
      </c>
      <c r="V2976">
        <v>-6.9670259999999998E-2</v>
      </c>
      <c r="W2976">
        <v>-9.4125929999999995E-4</v>
      </c>
      <c r="X2976">
        <v>0.99756959999999995</v>
      </c>
      <c r="Y2976">
        <v>4.93018E-2</v>
      </c>
      <c r="Z2976">
        <v>-7.571686E-4</v>
      </c>
      <c r="AA2976">
        <v>0.99878359999999899</v>
      </c>
      <c r="AB2976">
        <v>27</v>
      </c>
      <c r="AC2976">
        <v>0.52599999999995295</v>
      </c>
      <c r="AD2976">
        <v>-6.7090999999999998E-2</v>
      </c>
      <c r="AE2976">
        <v>-4.7500000000013601E-2</v>
      </c>
      <c r="AF2976">
        <v>3.8683616895721203E-2</v>
      </c>
      <c r="AG2976">
        <v>-6.7090999999999998E-2</v>
      </c>
      <c r="AH2976">
        <v>0.51831143009288105</v>
      </c>
      <c r="AI2976">
        <v>97.355209319979593</v>
      </c>
      <c r="AJ2976">
        <v>85.73170441581</v>
      </c>
      <c r="AK2976">
        <v>0.52406522786964505</v>
      </c>
    </row>
    <row r="2977" spans="1:37" x14ac:dyDescent="0.2">
      <c r="A2977" t="str">
        <f>"20200111155904204"</f>
        <v>20200111155904204</v>
      </c>
      <c r="B2977" t="str">
        <f>"1578729544194913"</f>
        <v>1578729544194913</v>
      </c>
      <c r="C2977" t="s">
        <v>37</v>
      </c>
      <c r="D2977">
        <v>5.4676080000000002</v>
      </c>
      <c r="E2977">
        <v>0.54593899999999995</v>
      </c>
      <c r="F2977" t="s">
        <v>38</v>
      </c>
      <c r="G2977">
        <v>-377.8528</v>
      </c>
      <c r="H2977">
        <v>1.0391189999999999</v>
      </c>
      <c r="I2977">
        <v>214.3014</v>
      </c>
      <c r="J2977">
        <v>-378.3415</v>
      </c>
      <c r="K2977">
        <v>1.1036729999999999</v>
      </c>
      <c r="L2977">
        <v>214.3476</v>
      </c>
      <c r="M2977">
        <v>0.99977359999999904</v>
      </c>
      <c r="N2977">
        <v>0</v>
      </c>
      <c r="O2977">
        <v>-1.6332289999999999E-2</v>
      </c>
      <c r="P2977">
        <v>0.99847180000000002</v>
      </c>
      <c r="Q2977">
        <v>-1.524205E-2</v>
      </c>
      <c r="R2977">
        <v>5.3122540000000003E-2</v>
      </c>
      <c r="S2977">
        <v>3.0119020000000001</v>
      </c>
      <c r="T2977">
        <v>-0.2532005</v>
      </c>
      <c r="U2977">
        <v>-0.20085139999999899</v>
      </c>
      <c r="V2977">
        <v>-6.9426660000000001E-2</v>
      </c>
      <c r="W2977">
        <v>-1.538013E-3</v>
      </c>
      <c r="X2977">
        <v>0.99758590000000003</v>
      </c>
      <c r="Y2977">
        <v>5.0113039999999998E-2</v>
      </c>
      <c r="Z2977">
        <v>-7.3142179999999995E-4</v>
      </c>
      <c r="AA2977">
        <v>0.9987433</v>
      </c>
      <c r="AB2977">
        <v>27</v>
      </c>
      <c r="AC2977">
        <v>0.48869999999999397</v>
      </c>
      <c r="AD2977">
        <v>-6.4553999999999695E-2</v>
      </c>
      <c r="AE2977">
        <v>-4.6199999999998902E-2</v>
      </c>
      <c r="AF2977">
        <v>3.7561905443149399E-2</v>
      </c>
      <c r="AG2977">
        <v>-6.4553999999999695E-2</v>
      </c>
      <c r="AH2977">
        <v>0.48106976653452499</v>
      </c>
      <c r="AI2977">
        <v>97.619857864119993</v>
      </c>
      <c r="AJ2977">
        <v>85.535406212153305</v>
      </c>
      <c r="AK2977">
        <v>0.486832862417999</v>
      </c>
    </row>
    <row r="2978" spans="1:37" x14ac:dyDescent="0.2">
      <c r="A2978" t="str">
        <f>"20200111155904226"</f>
        <v>20200111155904226</v>
      </c>
      <c r="B2978" t="str">
        <f>"1578729544214432"</f>
        <v>1578729544214432</v>
      </c>
      <c r="C2978" t="s">
        <v>37</v>
      </c>
      <c r="D2978">
        <v>5.4970410000000003</v>
      </c>
      <c r="E2978">
        <v>0.54590969999999905</v>
      </c>
      <c r="F2978" t="s">
        <v>38</v>
      </c>
      <c r="G2978">
        <v>-377.61009999999999</v>
      </c>
      <c r="H2978">
        <v>1.0418449999999999</v>
      </c>
      <c r="I2978">
        <v>214.29750000000001</v>
      </c>
      <c r="J2978">
        <v>-378.08210000000003</v>
      </c>
      <c r="K2978">
        <v>1.1036889999999999</v>
      </c>
      <c r="L2978">
        <v>214.3426</v>
      </c>
      <c r="M2978">
        <v>0.99976559999999903</v>
      </c>
      <c r="N2978">
        <v>0</v>
      </c>
      <c r="O2978">
        <v>-1.6982710000000002E-2</v>
      </c>
      <c r="P2978">
        <v>0.99852160000000001</v>
      </c>
      <c r="Q2978">
        <v>-1.588237E-2</v>
      </c>
      <c r="R2978">
        <v>5.1988119999999999E-2</v>
      </c>
      <c r="S2978">
        <v>3.0116580000000002</v>
      </c>
      <c r="T2978">
        <v>-0.2545964</v>
      </c>
      <c r="U2978">
        <v>-0.20564270000000001</v>
      </c>
      <c r="V2978">
        <v>-6.8942749999999997E-2</v>
      </c>
      <c r="W2978">
        <v>-2.3914979999999902E-3</v>
      </c>
      <c r="X2978">
        <v>0.9976178</v>
      </c>
      <c r="Y2978">
        <v>5.1048089999999997E-2</v>
      </c>
      <c r="Z2978">
        <v>-7.2006890000000001E-4</v>
      </c>
      <c r="AA2978">
        <v>0.99869589999999997</v>
      </c>
      <c r="AB2978">
        <v>27</v>
      </c>
      <c r="AC2978">
        <v>0.472000000000036</v>
      </c>
      <c r="AD2978">
        <v>-6.1843999999999698E-2</v>
      </c>
      <c r="AE2978">
        <v>-4.50999999999908E-2</v>
      </c>
      <c r="AF2978">
        <v>3.64567186030346E-2</v>
      </c>
      <c r="AG2978">
        <v>-6.1843999999999698E-2</v>
      </c>
      <c r="AH2978">
        <v>0.46479072903934199</v>
      </c>
      <c r="AI2978">
        <v>97.556188717556395</v>
      </c>
      <c r="AJ2978">
        <v>85.515082330820803</v>
      </c>
      <c r="AK2978">
        <v>0.470302237362554</v>
      </c>
    </row>
    <row r="2979" spans="1:37" x14ac:dyDescent="0.2">
      <c r="A2979" t="str">
        <f>"20200111155904248"</f>
        <v>20200111155904248</v>
      </c>
      <c r="B2979" t="str">
        <f>"1578729544244689"</f>
        <v>1578729544244689</v>
      </c>
      <c r="C2979" t="s">
        <v>37</v>
      </c>
      <c r="D2979">
        <v>5.4845569999999997</v>
      </c>
      <c r="E2979">
        <v>0.54627109999999901</v>
      </c>
      <c r="F2979" t="s">
        <v>38</v>
      </c>
      <c r="G2979">
        <v>-377.13729999999998</v>
      </c>
      <c r="H2979">
        <v>1.0230729999999999</v>
      </c>
      <c r="I2979">
        <v>214.27709999999999</v>
      </c>
      <c r="J2979">
        <v>-377.82209999999998</v>
      </c>
      <c r="K2979">
        <v>1.1037090000000001</v>
      </c>
      <c r="L2979">
        <v>214.3374</v>
      </c>
      <c r="M2979">
        <v>0.9997587</v>
      </c>
      <c r="N2979">
        <v>0</v>
      </c>
      <c r="O2979">
        <v>-1.7564610000000001E-2</v>
      </c>
      <c r="P2979">
        <v>0.99856590000000001</v>
      </c>
      <c r="Q2979">
        <v>-1.701337E-2</v>
      </c>
      <c r="R2979">
        <v>5.0763000000000003E-2</v>
      </c>
      <c r="S2979">
        <v>3.0112000000000001</v>
      </c>
      <c r="T2979">
        <v>-0.25698569999999998</v>
      </c>
      <c r="U2979">
        <v>-0.20860290000000001</v>
      </c>
      <c r="V2979">
        <v>-6.8300739999999999E-2</v>
      </c>
      <c r="W2979">
        <v>-3.7697159999999898E-3</v>
      </c>
      <c r="X2979">
        <v>0.99765769999999998</v>
      </c>
      <c r="Y2979">
        <v>5.1452680000000001E-2</v>
      </c>
      <c r="Z2979">
        <v>-6.9461190000000002E-4</v>
      </c>
      <c r="AA2979">
        <v>0.99867519999999999</v>
      </c>
      <c r="AB2979">
        <v>27</v>
      </c>
      <c r="AC2979">
        <v>0.68479999999999497</v>
      </c>
      <c r="AD2979">
        <v>-8.0636000000000096E-2</v>
      </c>
      <c r="AE2979">
        <v>-6.0300000000012198E-2</v>
      </c>
      <c r="AF2979">
        <v>4.7606404028916201E-2</v>
      </c>
      <c r="AG2979">
        <v>-8.0636000000000096E-2</v>
      </c>
      <c r="AH2979">
        <v>0.67644657905188499</v>
      </c>
      <c r="AI2979">
        <v>96.7812650492519</v>
      </c>
      <c r="AJ2979">
        <v>85.974322064026296</v>
      </c>
      <c r="AK2979">
        <v>0.68289714343491204</v>
      </c>
    </row>
    <row r="2980" spans="1:37" x14ac:dyDescent="0.2">
      <c r="A2980" t="str">
        <f>"20200111155904270"</f>
        <v>20200111155904270</v>
      </c>
      <c r="B2980" t="str">
        <f>"1578729544265499"</f>
        <v>1578729544265499</v>
      </c>
      <c r="C2980" t="s">
        <v>37</v>
      </c>
      <c r="D2980">
        <v>5.4582680000000003</v>
      </c>
      <c r="E2980">
        <v>0.54640540000000004</v>
      </c>
      <c r="F2980" t="s">
        <v>38</v>
      </c>
      <c r="G2980">
        <v>-376.89550000000003</v>
      </c>
      <c r="H2980">
        <v>1.023701</v>
      </c>
      <c r="I2980">
        <v>214.27099999999999</v>
      </c>
      <c r="J2980">
        <v>-377.54270000000002</v>
      </c>
      <c r="K2980">
        <v>1.103731</v>
      </c>
      <c r="L2980">
        <v>214.33179999999999</v>
      </c>
      <c r="M2980">
        <v>0.99975230000000004</v>
      </c>
      <c r="N2980">
        <v>0</v>
      </c>
      <c r="O2980">
        <v>-1.811836E-2</v>
      </c>
      <c r="P2980">
        <v>0.99860930000000003</v>
      </c>
      <c r="Q2980">
        <v>-1.7549260000000001E-2</v>
      </c>
      <c r="R2980">
        <v>4.9716820000000002E-2</v>
      </c>
      <c r="S2980">
        <v>3.010834</v>
      </c>
      <c r="T2980">
        <v>-0.26006249999999997</v>
      </c>
      <c r="U2980">
        <v>-0.214996299999999</v>
      </c>
      <c r="V2980">
        <v>-6.7807649999999997E-2</v>
      </c>
      <c r="W2980">
        <v>-4.5830659999999898E-3</v>
      </c>
      <c r="X2980">
        <v>0.99768789999999996</v>
      </c>
      <c r="Y2980">
        <v>5.3011460000000003E-2</v>
      </c>
      <c r="Z2980">
        <v>-7.2238899999999895E-4</v>
      </c>
      <c r="AA2980">
        <v>0.99859359999999997</v>
      </c>
      <c r="AB2980">
        <v>27</v>
      </c>
      <c r="AC2980">
        <v>0.647199999999997</v>
      </c>
      <c r="AD2980">
        <v>-8.0030000000000004E-2</v>
      </c>
      <c r="AE2980">
        <v>-6.0800000000000402E-2</v>
      </c>
      <c r="AF2980">
        <v>4.8330294475257801E-2</v>
      </c>
      <c r="AG2980">
        <v>-8.0030000000000004E-2</v>
      </c>
      <c r="AH2980">
        <v>0.63851743676000206</v>
      </c>
      <c r="AI2980">
        <v>97.123871939551407</v>
      </c>
      <c r="AJ2980">
        <v>85.671454584298601</v>
      </c>
      <c r="AK2980">
        <v>0.64532560410278805</v>
      </c>
    </row>
    <row r="2981" spans="1:37" x14ac:dyDescent="0.2">
      <c r="A2981" t="str">
        <f>"20200111155904293"</f>
        <v>20200111155904293</v>
      </c>
      <c r="B2981" t="str">
        <f>"1578729544285020"</f>
        <v>1578729544285020</v>
      </c>
      <c r="C2981" t="s">
        <v>37</v>
      </c>
      <c r="D2981">
        <v>5.4822649999999999</v>
      </c>
      <c r="E2981">
        <v>0.55649680000000001</v>
      </c>
      <c r="F2981" t="s">
        <v>38</v>
      </c>
      <c r="G2981">
        <v>-376.65249999999997</v>
      </c>
      <c r="H2981">
        <v>1.0262629999999999</v>
      </c>
      <c r="I2981">
        <v>214.267</v>
      </c>
      <c r="J2981">
        <v>-377.265999999999</v>
      </c>
      <c r="K2981">
        <v>1.1037520000000001</v>
      </c>
      <c r="L2981">
        <v>214.3263</v>
      </c>
      <c r="M2981">
        <v>0.99974730000000001</v>
      </c>
      <c r="N2981">
        <v>0</v>
      </c>
      <c r="O2981">
        <v>-1.8579100000000001E-2</v>
      </c>
      <c r="P2981">
        <v>0.99864920000000001</v>
      </c>
      <c r="Q2981">
        <v>-1.6864779999999999E-2</v>
      </c>
      <c r="R2981">
        <v>4.914375E-2</v>
      </c>
      <c r="S2981">
        <v>3.0104980000000001</v>
      </c>
      <c r="T2981">
        <v>-0.26195299999999999</v>
      </c>
      <c r="U2981">
        <v>-0.21887210000000001</v>
      </c>
      <c r="V2981">
        <v>-6.7694069999999995E-2</v>
      </c>
      <c r="W2981">
        <v>-4.1847359999999997E-3</v>
      </c>
      <c r="X2981">
        <v>0.99769739999999996</v>
      </c>
      <c r="Y2981">
        <v>5.3834899999999998E-2</v>
      </c>
      <c r="Z2981">
        <v>-7.2344089999999998E-4</v>
      </c>
      <c r="AA2981">
        <v>0.99854959999999904</v>
      </c>
      <c r="AB2981">
        <v>27</v>
      </c>
      <c r="AC2981">
        <v>0.61349999999998694</v>
      </c>
      <c r="AD2981">
        <v>-7.7489000000000099E-2</v>
      </c>
      <c r="AE2981">
        <v>-5.9300000000007402E-2</v>
      </c>
      <c r="AF2981">
        <v>4.7145408455852897E-2</v>
      </c>
      <c r="AG2981">
        <v>-7.7489000000000099E-2</v>
      </c>
      <c r="AH2981">
        <v>0.604934536559531</v>
      </c>
      <c r="AI2981">
        <v>97.277712625811205</v>
      </c>
      <c r="AJ2981">
        <v>85.543676755832394</v>
      </c>
      <c r="AK2981">
        <v>0.61169684336439401</v>
      </c>
    </row>
    <row r="2982" spans="1:37" x14ac:dyDescent="0.2">
      <c r="A2982" t="str">
        <f>"20200111155904314"</f>
        <v>20200111155904314</v>
      </c>
      <c r="B2982" t="str">
        <f>"1578729544304538"</f>
        <v>1578729544304538</v>
      </c>
      <c r="C2982" t="s">
        <v>37</v>
      </c>
      <c r="D2982">
        <v>5.4483920000000001</v>
      </c>
      <c r="E2982">
        <v>0.55700109999999903</v>
      </c>
      <c r="F2982" t="s">
        <v>38</v>
      </c>
      <c r="G2982">
        <v>-376.40600000000001</v>
      </c>
      <c r="H2982">
        <v>1.0363849999999999</v>
      </c>
      <c r="I2982">
        <v>214.24010000000001</v>
      </c>
      <c r="J2982">
        <v>-377.0086</v>
      </c>
      <c r="K2982">
        <v>1.1037779999999999</v>
      </c>
      <c r="L2982">
        <v>214.3211</v>
      </c>
      <c r="M2982">
        <v>0.99974449999999904</v>
      </c>
      <c r="N2982">
        <v>0</v>
      </c>
      <c r="O2982">
        <v>-1.8914839999999999E-2</v>
      </c>
      <c r="P2982">
        <v>0.99867619999999901</v>
      </c>
      <c r="Q2982">
        <v>-1.5834890000000001E-2</v>
      </c>
      <c r="R2982">
        <v>4.8945259999999997E-2</v>
      </c>
      <c r="S2982">
        <v>3.0148619999999999</v>
      </c>
      <c r="T2982">
        <v>-0.236345899999999</v>
      </c>
      <c r="U2982">
        <v>-0.30090329999999998</v>
      </c>
      <c r="V2982">
        <v>-6.783032E-2</v>
      </c>
      <c r="W2982">
        <v>-3.4316059999999998E-3</v>
      </c>
      <c r="X2982">
        <v>0.99769099999999999</v>
      </c>
      <c r="Y2982">
        <v>8.0286360000000001E-2</v>
      </c>
      <c r="Z2982">
        <v>-1.657819E-3</v>
      </c>
      <c r="AA2982">
        <v>0.99677039999999995</v>
      </c>
      <c r="AB2982">
        <v>27</v>
      </c>
      <c r="AC2982">
        <v>0.60259999999999503</v>
      </c>
      <c r="AD2982">
        <v>-6.7392999999999995E-2</v>
      </c>
      <c r="AE2982">
        <v>-8.0999999999988803E-2</v>
      </c>
      <c r="AF2982">
        <v>6.8742017871879696E-2</v>
      </c>
      <c r="AG2982">
        <v>-6.7392999999999995E-2</v>
      </c>
      <c r="AH2982">
        <v>0.59669368826083802</v>
      </c>
      <c r="AI2982">
        <v>96.401920915599206</v>
      </c>
      <c r="AJ2982">
        <v>83.428218980524093</v>
      </c>
      <c r="AK2982">
        <v>0.60440933073573599</v>
      </c>
    </row>
    <row r="2983" spans="1:37" x14ac:dyDescent="0.2">
      <c r="A2983" t="str">
        <f>"20200111155904336"</f>
        <v>20200111155904336</v>
      </c>
      <c r="B2983" t="str">
        <f>"1578729544325034"</f>
        <v>1578729544325034</v>
      </c>
      <c r="C2983" t="s">
        <v>37</v>
      </c>
      <c r="D2983">
        <v>5.3891799999999996</v>
      </c>
      <c r="E2983">
        <v>0.55717799999999995</v>
      </c>
      <c r="F2983" t="s">
        <v>38</v>
      </c>
      <c r="G2983">
        <v>-376.1626</v>
      </c>
      <c r="H2983">
        <v>1.0386309999999901</v>
      </c>
      <c r="I2983">
        <v>214.2353</v>
      </c>
      <c r="J2983">
        <v>-376.74130000000002</v>
      </c>
      <c r="K2983">
        <v>1.1038049999999999</v>
      </c>
      <c r="L2983">
        <v>214.31569999999999</v>
      </c>
      <c r="M2983">
        <v>0.9997433</v>
      </c>
      <c r="N2983">
        <v>0</v>
      </c>
      <c r="O2983">
        <v>-1.9157520000000001E-2</v>
      </c>
      <c r="P2983">
        <v>0.99868880000000004</v>
      </c>
      <c r="Q2983">
        <v>-1.5089399999999999E-2</v>
      </c>
      <c r="R2983">
        <v>4.8921399999999997E-2</v>
      </c>
      <c r="S2983">
        <v>3.0152890000000001</v>
      </c>
      <c r="T2983">
        <v>-0.23229549999999999</v>
      </c>
      <c r="U2983">
        <v>-0.30540469999999997</v>
      </c>
      <c r="V2983">
        <v>-6.8047830000000004E-2</v>
      </c>
      <c r="W2983">
        <v>-2.984979E-3</v>
      </c>
      <c r="X2983">
        <v>0.99767759999999905</v>
      </c>
      <c r="Y2983">
        <v>8.1507109999999994E-2</v>
      </c>
      <c r="Z2983">
        <v>-1.657375E-3</v>
      </c>
      <c r="AA2983">
        <v>0.99667139999999999</v>
      </c>
      <c r="AB2983">
        <v>27</v>
      </c>
      <c r="AC2983">
        <v>0.57870000000002597</v>
      </c>
      <c r="AD2983">
        <v>-6.5173999999999996E-2</v>
      </c>
      <c r="AE2983">
        <v>-8.0399999999997293E-2</v>
      </c>
      <c r="AF2983">
        <v>6.8446270718597699E-2</v>
      </c>
      <c r="AG2983">
        <v>-6.5173999999999996E-2</v>
      </c>
      <c r="AH2983">
        <v>0.57300404235802205</v>
      </c>
      <c r="AI2983">
        <v>96.443568715680101</v>
      </c>
      <c r="AJ2983">
        <v>83.188201484458006</v>
      </c>
      <c r="AK2983">
        <v>0.58074622238109896</v>
      </c>
    </row>
    <row r="2984" spans="1:37" x14ac:dyDescent="0.2">
      <c r="A2984" t="str">
        <f>"20200111155904370"</f>
        <v>20200111155904370</v>
      </c>
      <c r="B2984" t="str">
        <f>"1578729544365051"</f>
        <v>1578729544365051</v>
      </c>
      <c r="C2984" t="s">
        <v>37</v>
      </c>
      <c r="D2984">
        <v>5.4094600000000002</v>
      </c>
      <c r="E2984">
        <v>0.55777010000000005</v>
      </c>
      <c r="F2984" t="s">
        <v>38</v>
      </c>
      <c r="G2984">
        <v>-375.91860000000003</v>
      </c>
      <c r="H2984">
        <v>1.041242</v>
      </c>
      <c r="I2984">
        <v>214.2319</v>
      </c>
      <c r="J2984">
        <v>-376.3272</v>
      </c>
      <c r="K2984">
        <v>1.1038600000000001</v>
      </c>
      <c r="L2984">
        <v>214.3074</v>
      </c>
      <c r="M2984">
        <v>0.999745199999999</v>
      </c>
      <c r="N2984">
        <v>0</v>
      </c>
      <c r="O2984">
        <v>-1.9345319999999999E-2</v>
      </c>
      <c r="P2984">
        <v>0.99866880000000002</v>
      </c>
      <c r="Q2984">
        <v>-1.482263E-2</v>
      </c>
      <c r="R2984">
        <v>4.9409519999999998E-2</v>
      </c>
      <c r="S2984">
        <v>3.0154719999999999</v>
      </c>
      <c r="T2984">
        <v>-0.22940549999999901</v>
      </c>
      <c r="U2984">
        <v>-0.30635069999999998</v>
      </c>
      <c r="V2984">
        <v>-6.8722350000000001E-2</v>
      </c>
      <c r="W2984">
        <v>-3.2065879999999998E-3</v>
      </c>
      <c r="X2984">
        <v>0.99763069999999898</v>
      </c>
      <c r="Y2984">
        <v>8.162817E-2</v>
      </c>
      <c r="Z2984">
        <v>-1.6270639999999999E-3</v>
      </c>
      <c r="AA2984">
        <v>0.99666149999999998</v>
      </c>
      <c r="AB2984">
        <v>27</v>
      </c>
      <c r="AC2984">
        <v>0.40859999999997798</v>
      </c>
      <c r="AD2984">
        <v>-6.2617999999999993E-2</v>
      </c>
      <c r="AE2984">
        <v>-7.5500000000005202E-2</v>
      </c>
      <c r="AF2984">
        <v>6.6080142505867703E-2</v>
      </c>
      <c r="AG2984">
        <v>-6.2617999999999993E-2</v>
      </c>
      <c r="AH2984">
        <v>0.40088012239270099</v>
      </c>
      <c r="AI2984">
        <v>98.761572469874906</v>
      </c>
      <c r="AJ2984">
        <v>80.639669851756693</v>
      </c>
      <c r="AK2984">
        <v>0.41108693932936202</v>
      </c>
    </row>
    <row r="2985" spans="1:37" x14ac:dyDescent="0.2">
      <c r="A2985" t="str">
        <f>"20200111155904393"</f>
        <v>20200111155904393</v>
      </c>
      <c r="B2985" t="str">
        <f>"1578729544384571"</f>
        <v>1578729544384571</v>
      </c>
      <c r="C2985" t="s">
        <v>37</v>
      </c>
      <c r="D2985">
        <v>5.5047239999999897</v>
      </c>
      <c r="E2985">
        <v>0.55778240000000001</v>
      </c>
      <c r="F2985" t="s">
        <v>38</v>
      </c>
      <c r="G2985">
        <v>-375.43389999999999</v>
      </c>
      <c r="H2985">
        <v>1.037398</v>
      </c>
      <c r="I2985">
        <v>214.21530000000001</v>
      </c>
      <c r="J2985">
        <v>-376.05699999999899</v>
      </c>
      <c r="K2985">
        <v>1.1038870000000001</v>
      </c>
      <c r="L2985">
        <v>214.3022</v>
      </c>
      <c r="M2985">
        <v>0.99974859999999899</v>
      </c>
      <c r="N2985">
        <v>0</v>
      </c>
      <c r="O2985">
        <v>-1.9361320000000001E-2</v>
      </c>
      <c r="P2985">
        <v>0.99866379999999999</v>
      </c>
      <c r="Q2985">
        <v>-1.5109650000000001E-2</v>
      </c>
      <c r="R2985">
        <v>4.9420840000000001E-2</v>
      </c>
      <c r="S2985">
        <v>3.0159609999999999</v>
      </c>
      <c r="T2985">
        <v>-0.22453310000000001</v>
      </c>
      <c r="U2985">
        <v>-0.30953979999999998</v>
      </c>
      <c r="V2985">
        <v>-6.8748379999999998E-2</v>
      </c>
      <c r="W2985">
        <v>-3.8195600000000001E-3</v>
      </c>
      <c r="X2985">
        <v>0.99762669999999998</v>
      </c>
      <c r="Y2985">
        <v>8.2643839999999996E-2</v>
      </c>
      <c r="Z2985">
        <v>-1.628741E-3</v>
      </c>
      <c r="AA2985">
        <v>0.99657779999999996</v>
      </c>
      <c r="AB2985">
        <v>27</v>
      </c>
      <c r="AC2985">
        <v>0.62309999999996502</v>
      </c>
      <c r="AD2985">
        <v>-6.6489000000000006E-2</v>
      </c>
      <c r="AE2985">
        <v>-8.6899999999985697E-2</v>
      </c>
      <c r="AF2985">
        <v>7.3992469661774696E-2</v>
      </c>
      <c r="AG2985">
        <v>-6.6489000000000006E-2</v>
      </c>
      <c r="AH2985">
        <v>0.61776590488590499</v>
      </c>
      <c r="AI2985">
        <v>96.099726677994795</v>
      </c>
      <c r="AJ2985">
        <v>83.169975850074195</v>
      </c>
      <c r="AK2985">
        <v>0.62572388952887903</v>
      </c>
    </row>
    <row r="2986" spans="1:37" x14ac:dyDescent="0.2">
      <c r="A2986" t="str">
        <f>"20200111155904415"</f>
        <v>20200111155904415</v>
      </c>
      <c r="B2986" t="str">
        <f>"1578729544405066"</f>
        <v>1578729544405066</v>
      </c>
      <c r="C2986" t="s">
        <v>37</v>
      </c>
      <c r="D2986">
        <v>5.3791969999999996</v>
      </c>
      <c r="E2986">
        <v>0.55797259999999904</v>
      </c>
      <c r="F2986" t="s">
        <v>38</v>
      </c>
      <c r="G2986">
        <v>-375.18880000000001</v>
      </c>
      <c r="H2986">
        <v>1.039409</v>
      </c>
      <c r="I2986">
        <v>214.21260000000001</v>
      </c>
      <c r="J2986">
        <v>-375.78230000000002</v>
      </c>
      <c r="K2986">
        <v>1.103904</v>
      </c>
      <c r="L2986">
        <v>214.29689999999999</v>
      </c>
      <c r="M2986">
        <v>0.99975340000000001</v>
      </c>
      <c r="N2986">
        <v>0</v>
      </c>
      <c r="O2986">
        <v>-1.930304E-2</v>
      </c>
      <c r="P2986">
        <v>0.99867249999999996</v>
      </c>
      <c r="Q2986">
        <v>-1.5302120000000001E-2</v>
      </c>
      <c r="R2986">
        <v>4.9187099999999997E-2</v>
      </c>
      <c r="S2986">
        <v>3.0159910000000001</v>
      </c>
      <c r="T2986">
        <v>-0.22413339999999901</v>
      </c>
      <c r="U2986">
        <v>-0.30961609999999901</v>
      </c>
      <c r="V2986">
        <v>-6.8456619999999996E-2</v>
      </c>
      <c r="W2986">
        <v>-4.3388970000000004E-3</v>
      </c>
      <c r="X2986">
        <v>0.99764470000000005</v>
      </c>
      <c r="Y2986">
        <v>8.2726149999999998E-2</v>
      </c>
      <c r="Z2986">
        <v>-1.6331939999999999E-3</v>
      </c>
      <c r="AA2986">
        <v>0.99657099999999899</v>
      </c>
      <c r="AB2986">
        <v>27</v>
      </c>
      <c r="AC2986">
        <v>0.59350000000000502</v>
      </c>
      <c r="AD2986">
        <v>-6.44949999999999E-2</v>
      </c>
      <c r="AE2986">
        <v>-8.4299999999984707E-2</v>
      </c>
      <c r="AF2986">
        <v>7.1993888531901695E-2</v>
      </c>
      <c r="AG2986">
        <v>-6.44949999999999E-2</v>
      </c>
      <c r="AH2986">
        <v>0.58820800713917598</v>
      </c>
      <c r="AI2986">
        <v>96.211305410206194</v>
      </c>
      <c r="AJ2986">
        <v>83.021973461436801</v>
      </c>
      <c r="AK2986">
        <v>0.59609679136326899</v>
      </c>
    </row>
    <row r="2987" spans="1:37" x14ac:dyDescent="0.2">
      <c r="A2987" t="str">
        <f>"20200111155904437"</f>
        <v>20200111155904437</v>
      </c>
      <c r="B2987" t="str">
        <f>"1578729544435322"</f>
        <v>1578729544435322</v>
      </c>
      <c r="C2987" t="s">
        <v>37</v>
      </c>
      <c r="D2987">
        <v>5.3876059999999999</v>
      </c>
      <c r="E2987">
        <v>0.55793319999999902</v>
      </c>
      <c r="F2987" t="s">
        <v>38</v>
      </c>
      <c r="G2987">
        <v>-374.94290000000001</v>
      </c>
      <c r="H2987">
        <v>1.0419099999999999</v>
      </c>
      <c r="I2987">
        <v>214.20949999999999</v>
      </c>
      <c r="J2987">
        <v>-375.51729999999998</v>
      </c>
      <c r="K2987">
        <v>1.1039159999999999</v>
      </c>
      <c r="L2987">
        <v>214.2919</v>
      </c>
      <c r="M2987">
        <v>0.99975939999999996</v>
      </c>
      <c r="N2987">
        <v>0</v>
      </c>
      <c r="O2987">
        <v>-1.9172580000000002E-2</v>
      </c>
      <c r="P2987">
        <v>0.99870340000000002</v>
      </c>
      <c r="Q2987">
        <v>-1.525896E-2</v>
      </c>
      <c r="R2987">
        <v>4.8572249999999997E-2</v>
      </c>
      <c r="S2987">
        <v>3.0159609999999999</v>
      </c>
      <c r="T2987">
        <v>-0.22304399999999999</v>
      </c>
      <c r="U2987">
        <v>-0.31225589999999998</v>
      </c>
      <c r="V2987">
        <v>-6.7711540000000001E-2</v>
      </c>
      <c r="W2987">
        <v>-4.6252009999999998E-3</v>
      </c>
      <c r="X2987">
        <v>0.99769419999999898</v>
      </c>
      <c r="Y2987">
        <v>8.3719000000000002E-2</v>
      </c>
      <c r="Z2987">
        <v>-1.6713979999999999E-3</v>
      </c>
      <c r="AA2987">
        <v>0.99648799999999904</v>
      </c>
      <c r="AB2987">
        <v>27</v>
      </c>
      <c r="AC2987">
        <v>0.57439999999996805</v>
      </c>
      <c r="AD2987">
        <v>-6.20059999999997E-2</v>
      </c>
      <c r="AE2987">
        <v>-8.2400000000006898E-2</v>
      </c>
      <c r="AF2987">
        <v>7.0565773508786095E-2</v>
      </c>
      <c r="AG2987">
        <v>-6.20059999999997E-2</v>
      </c>
      <c r="AH2987">
        <v>0.56937318624273403</v>
      </c>
      <c r="AI2987">
        <v>96.168319964588207</v>
      </c>
      <c r="AJ2987">
        <v>82.935022427262297</v>
      </c>
      <c r="AK2987">
        <v>0.57707027097148</v>
      </c>
    </row>
    <row r="2988" spans="1:37" x14ac:dyDescent="0.2">
      <c r="A2988" t="str">
        <f>"20200111155904459"</f>
        <v>20200111155904459</v>
      </c>
      <c r="B2988" t="str">
        <f>"1578729544454844"</f>
        <v>1578729544454844</v>
      </c>
      <c r="C2988" t="s">
        <v>37</v>
      </c>
      <c r="D2988">
        <v>5.313669</v>
      </c>
      <c r="E2988">
        <v>0.55823</v>
      </c>
      <c r="F2988" t="s">
        <v>38</v>
      </c>
      <c r="G2988">
        <v>-374.69529999999997</v>
      </c>
      <c r="H2988">
        <v>1.0462659999999999</v>
      </c>
      <c r="I2988">
        <v>214.2063</v>
      </c>
      <c r="J2988">
        <v>-375.24360000000001</v>
      </c>
      <c r="K2988">
        <v>1.1039219999999901</v>
      </c>
      <c r="L2988">
        <v>214.2868</v>
      </c>
      <c r="M2988">
        <v>0.99976679999999996</v>
      </c>
      <c r="N2988">
        <v>0</v>
      </c>
      <c r="O2988">
        <v>-1.8970560000000001E-2</v>
      </c>
      <c r="P2988">
        <v>0.99873889999999999</v>
      </c>
      <c r="Q2988">
        <v>-1.477822E-2</v>
      </c>
      <c r="R2988">
        <v>4.798065E-2</v>
      </c>
      <c r="S2988">
        <v>3.01593</v>
      </c>
      <c r="T2988">
        <v>-0.21148710000000001</v>
      </c>
      <c r="U2988">
        <v>-0.31385799999999903</v>
      </c>
      <c r="V2988">
        <v>-6.6918019999999995E-2</v>
      </c>
      <c r="W2988">
        <v>-4.503834E-3</v>
      </c>
      <c r="X2988">
        <v>0.99774830000000003</v>
      </c>
      <c r="Y2988">
        <v>8.4460460000000001E-2</v>
      </c>
      <c r="Z2988">
        <v>-1.6249889999999901E-3</v>
      </c>
      <c r="AA2988">
        <v>0.99642549999999996</v>
      </c>
      <c r="AB2988">
        <v>27</v>
      </c>
      <c r="AC2988">
        <v>0.54830000000003998</v>
      </c>
      <c r="AD2988">
        <v>-5.7655999999999902E-2</v>
      </c>
      <c r="AE2988">
        <v>-8.0500000000000599E-2</v>
      </c>
      <c r="AF2988">
        <v>6.9332935517401995E-2</v>
      </c>
      <c r="AG2988">
        <v>-5.7655999999999902E-2</v>
      </c>
      <c r="AH2988">
        <v>0.54384194663026697</v>
      </c>
      <c r="AI2988">
        <v>96.003438820063707</v>
      </c>
      <c r="AJ2988">
        <v>82.734708180914097</v>
      </c>
      <c r="AK2988">
        <v>0.55126702531355798</v>
      </c>
    </row>
    <row r="2989" spans="1:37" x14ac:dyDescent="0.2">
      <c r="A2989" t="str">
        <f>"20200111155904482"</f>
        <v>20200111155904482</v>
      </c>
      <c r="B2989" t="str">
        <f>"1578729544474871"</f>
        <v>1578729544474871</v>
      </c>
      <c r="C2989" t="s">
        <v>37</v>
      </c>
      <c r="D2989">
        <v>5.3200659999999997</v>
      </c>
      <c r="E2989">
        <v>0.55829410000000002</v>
      </c>
      <c r="F2989" t="s">
        <v>38</v>
      </c>
      <c r="G2989">
        <v>-374.44760000000002</v>
      </c>
      <c r="H2989">
        <v>1.048405</v>
      </c>
      <c r="I2989">
        <v>214.2022</v>
      </c>
      <c r="J2989">
        <v>-374.95920000000001</v>
      </c>
      <c r="K2989">
        <v>1.103925</v>
      </c>
      <c r="L2989">
        <v>214.2816</v>
      </c>
      <c r="M2989">
        <v>0.99977559999999999</v>
      </c>
      <c r="N2989">
        <v>0</v>
      </c>
      <c r="O2989">
        <v>-1.8709799999999999E-2</v>
      </c>
      <c r="P2989">
        <v>0.99874339999999995</v>
      </c>
      <c r="Q2989">
        <v>-1.449976E-2</v>
      </c>
      <c r="R2989">
        <v>4.7975520000000001E-2</v>
      </c>
      <c r="S2989">
        <v>3.0159910000000001</v>
      </c>
      <c r="T2989">
        <v>-0.21060419999999999</v>
      </c>
      <c r="U2989">
        <v>-0.31843569999999999</v>
      </c>
      <c r="V2989">
        <v>-6.6652520000000007E-2</v>
      </c>
      <c r="W2989">
        <v>-4.6098170000000004E-3</v>
      </c>
      <c r="X2989">
        <v>0.99776559999999903</v>
      </c>
      <c r="Y2989">
        <v>8.6210659999999995E-2</v>
      </c>
      <c r="Z2989">
        <v>-1.697062E-3</v>
      </c>
      <c r="AA2989">
        <v>0.99627549999999898</v>
      </c>
      <c r="AB2989">
        <v>27</v>
      </c>
      <c r="AC2989">
        <v>0.51159999999998695</v>
      </c>
      <c r="AD2989">
        <v>-5.552E-2</v>
      </c>
      <c r="AE2989">
        <v>-7.9399999999992504E-2</v>
      </c>
      <c r="AF2989">
        <v>6.9019958706186699E-2</v>
      </c>
      <c r="AG2989">
        <v>-5.552E-2</v>
      </c>
      <c r="AH2989">
        <v>0.50716364517468304</v>
      </c>
      <c r="AI2989">
        <v>96.190765981420498</v>
      </c>
      <c r="AJ2989">
        <v>82.250220079791603</v>
      </c>
      <c r="AK2989">
        <v>0.51484093474264003</v>
      </c>
    </row>
    <row r="2990" spans="1:37" x14ac:dyDescent="0.2">
      <c r="A2990" t="str">
        <f>"20200111155904504"</f>
        <v>20200111155904504</v>
      </c>
      <c r="B2990" t="str">
        <f>"1578729544494389"</f>
        <v>1578729544494389</v>
      </c>
      <c r="C2990" t="s">
        <v>37</v>
      </c>
      <c r="D2990">
        <v>5.2030560000000001</v>
      </c>
      <c r="E2990">
        <v>0.55827819999999995</v>
      </c>
      <c r="F2990" t="s">
        <v>38</v>
      </c>
      <c r="G2990">
        <v>-374.19819999999999</v>
      </c>
      <c r="H2990">
        <v>1.0513790000000001</v>
      </c>
      <c r="I2990">
        <v>214.20099999999999</v>
      </c>
      <c r="J2990">
        <v>-374.68299999999999</v>
      </c>
      <c r="K2990">
        <v>1.1039110000000001</v>
      </c>
      <c r="L2990">
        <v>214.27670000000001</v>
      </c>
      <c r="M2990">
        <v>0.99978459999999902</v>
      </c>
      <c r="N2990">
        <v>0</v>
      </c>
      <c r="O2990">
        <v>-1.8425670000000002E-2</v>
      </c>
      <c r="P2990">
        <v>0.998660199999999</v>
      </c>
      <c r="Q2990">
        <v>-1.434378E-2</v>
      </c>
      <c r="R2990">
        <v>4.9720859999999999E-2</v>
      </c>
      <c r="S2990">
        <v>3.0161129999999998</v>
      </c>
      <c r="T2990">
        <v>-0.208257899999999</v>
      </c>
      <c r="U2990">
        <v>-0.31938169999999999</v>
      </c>
      <c r="V2990">
        <v>-6.8112039999999999E-2</v>
      </c>
      <c r="W2990">
        <v>-4.839795E-3</v>
      </c>
      <c r="X2990">
        <v>0.99766589999999999</v>
      </c>
      <c r="Y2990">
        <v>8.6800230000000006E-2</v>
      </c>
      <c r="Z2990">
        <v>-1.717915E-3</v>
      </c>
      <c r="AA2990">
        <v>0.99622429999999995</v>
      </c>
      <c r="AB2990">
        <v>28</v>
      </c>
      <c r="AC2990">
        <v>0.48480000000006301</v>
      </c>
      <c r="AD2990">
        <v>-5.2532000000000002E-2</v>
      </c>
      <c r="AE2990">
        <v>-7.57000000000118E-2</v>
      </c>
      <c r="AF2990">
        <v>6.5997510947101906E-2</v>
      </c>
      <c r="AG2990">
        <v>-5.2532000000000002E-2</v>
      </c>
      <c r="AH2990">
        <v>0.48060388976544399</v>
      </c>
      <c r="AI2990">
        <v>96.180357665557295</v>
      </c>
      <c r="AJ2990">
        <v>82.180930377607893</v>
      </c>
      <c r="AK2990">
        <v>0.48795018324915901</v>
      </c>
    </row>
    <row r="2991" spans="1:37" x14ac:dyDescent="0.2">
      <c r="A2991" t="str">
        <f>"20200111155904527"</f>
        <v>20200111155904527</v>
      </c>
      <c r="B2991" t="str">
        <f>"1578729544514885"</f>
        <v>1578729544514885</v>
      </c>
      <c r="C2991" t="s">
        <v>37</v>
      </c>
      <c r="D2991">
        <v>5.1822239999999997</v>
      </c>
      <c r="E2991">
        <v>0.51638019999999996</v>
      </c>
      <c r="F2991" t="s">
        <v>38</v>
      </c>
      <c r="G2991">
        <v>-373.94850000000002</v>
      </c>
      <c r="H2991">
        <v>1.053396</v>
      </c>
      <c r="I2991">
        <v>214.19980000000001</v>
      </c>
      <c r="J2991">
        <v>-374.4083</v>
      </c>
      <c r="K2991">
        <v>1.103885</v>
      </c>
      <c r="L2991">
        <v>214.27199999999999</v>
      </c>
      <c r="M2991">
        <v>0.99979370000000001</v>
      </c>
      <c r="N2991">
        <v>0</v>
      </c>
      <c r="O2991">
        <v>-1.81242E-2</v>
      </c>
      <c r="P2991">
        <v>0.99856509999999998</v>
      </c>
      <c r="Q2991">
        <v>-1.3654299999999999E-2</v>
      </c>
      <c r="R2991">
        <v>5.1782420000000003E-2</v>
      </c>
      <c r="S2991">
        <v>3.0166930000000001</v>
      </c>
      <c r="T2991">
        <v>-0.20777199999999901</v>
      </c>
      <c r="U2991">
        <v>-0.31433109999999997</v>
      </c>
      <c r="V2991">
        <v>-6.9870779999999993E-2</v>
      </c>
      <c r="W2991">
        <v>-4.54186E-3</v>
      </c>
      <c r="X2991">
        <v>0.99754569999999998</v>
      </c>
      <c r="Y2991">
        <v>8.5434079999999996E-2</v>
      </c>
      <c r="Z2991">
        <v>-1.6875460000000001E-3</v>
      </c>
      <c r="AA2991">
        <v>0.99634239999999996</v>
      </c>
      <c r="AB2991">
        <v>28</v>
      </c>
      <c r="AC2991">
        <v>0.45979999999997201</v>
      </c>
      <c r="AD2991">
        <v>-5.0488999999999999E-2</v>
      </c>
      <c r="AE2991">
        <v>-7.2200000000009298E-2</v>
      </c>
      <c r="AF2991">
        <v>6.3111628103599604E-2</v>
      </c>
      <c r="AG2991">
        <v>-5.0488999999999999E-2</v>
      </c>
      <c r="AH2991">
        <v>0.45567106804192697</v>
      </c>
      <c r="AI2991">
        <v>96.263355809386894</v>
      </c>
      <c r="AJ2991">
        <v>82.114552245287697</v>
      </c>
      <c r="AK2991">
        <v>0.46278325269326398</v>
      </c>
    </row>
    <row r="2992" spans="1:37" x14ac:dyDescent="0.2">
      <c r="A2992" t="str">
        <f>"20200111155904549"</f>
        <v>20200111155904549</v>
      </c>
      <c r="B2992" t="str">
        <f>"1578729544545142"</f>
        <v>1578729544545142</v>
      </c>
      <c r="C2992" t="s">
        <v>37</v>
      </c>
      <c r="D2992">
        <v>5.0969699999999998</v>
      </c>
      <c r="E2992">
        <v>0.51045280000000004</v>
      </c>
      <c r="F2992" t="s">
        <v>50</v>
      </c>
      <c r="G2992">
        <v>-353.1225</v>
      </c>
      <c r="H2992" s="1">
        <v>1.32006E-7</v>
      </c>
      <c r="I2992">
        <v>214.45259999999999</v>
      </c>
      <c r="J2992">
        <v>-374.13049999999998</v>
      </c>
      <c r="K2992">
        <v>1.103853</v>
      </c>
      <c r="L2992">
        <v>214.2672</v>
      </c>
      <c r="M2992">
        <v>0.99980290000000005</v>
      </c>
      <c r="N2992">
        <v>0</v>
      </c>
      <c r="O2992">
        <v>-1.7810280000000001E-2</v>
      </c>
      <c r="P2992">
        <v>0.99846089999999998</v>
      </c>
      <c r="Q2992">
        <v>-1.212654E-2</v>
      </c>
      <c r="R2992">
        <v>5.41202E-2</v>
      </c>
      <c r="S2992">
        <v>3.0008539999999999</v>
      </c>
      <c r="T2992">
        <v>-0.1556246</v>
      </c>
      <c r="U2992">
        <v>2.5466920000000001E-2</v>
      </c>
      <c r="V2992">
        <v>-7.1893479999999996E-2</v>
      </c>
      <c r="W2992">
        <v>-3.4066779999999998E-3</v>
      </c>
      <c r="X2992">
        <v>0.99740649999999997</v>
      </c>
      <c r="Y2992">
        <v>-2.6236039999999999E-2</v>
      </c>
      <c r="Z2992">
        <v>1.602855E-3</v>
      </c>
      <c r="AA2992">
        <v>0.9996545</v>
      </c>
      <c r="AB2992">
        <v>28</v>
      </c>
      <c r="AC2992">
        <v>21.0079999999999</v>
      </c>
      <c r="AD2992">
        <v>-1.1038528679940001</v>
      </c>
      <c r="AE2992">
        <v>0.18539999999998699</v>
      </c>
      <c r="AF2992">
        <v>-0.55800287190442499</v>
      </c>
      <c r="AG2992">
        <v>-1.1038528679940001</v>
      </c>
      <c r="AH2992">
        <v>20.943546554761198</v>
      </c>
      <c r="AI2992">
        <v>93.0159777110607</v>
      </c>
      <c r="AJ2992">
        <v>91.5261812334697</v>
      </c>
      <c r="AK2992">
        <v>20.980038147026399</v>
      </c>
    </row>
    <row r="2993" spans="1:37" x14ac:dyDescent="0.2">
      <c r="A2993" t="str">
        <f>"20200111155904574"</f>
        <v>20200111155904574</v>
      </c>
      <c r="B2993" t="str">
        <f>"1578729544564662"</f>
        <v>1578729544564662</v>
      </c>
      <c r="C2993" t="s">
        <v>37</v>
      </c>
      <c r="D2993">
        <v>5.1157680000000001</v>
      </c>
      <c r="E2993">
        <v>0.50934590000000002</v>
      </c>
      <c r="F2993" t="s">
        <v>50</v>
      </c>
      <c r="G2993">
        <v>-354.49329999999998</v>
      </c>
      <c r="H2993" s="1">
        <v>8.4675279999999997E-7</v>
      </c>
      <c r="I2993">
        <v>214.7894</v>
      </c>
      <c r="J2993">
        <v>-373.81819999999999</v>
      </c>
      <c r="K2993">
        <v>1.1038049999999999</v>
      </c>
      <c r="L2993">
        <v>214.262</v>
      </c>
      <c r="M2993">
        <v>0.9998127</v>
      </c>
      <c r="N2993">
        <v>0</v>
      </c>
      <c r="O2993">
        <v>-1.7455020000000002E-2</v>
      </c>
      <c r="P2993">
        <v>0.99838269999999996</v>
      </c>
      <c r="Q2993">
        <v>-1.079655E-2</v>
      </c>
      <c r="R2993">
        <v>5.5815759999999999E-2</v>
      </c>
      <c r="S2993">
        <v>2.998291</v>
      </c>
      <c r="T2993">
        <v>-0.16854079999999999</v>
      </c>
      <c r="U2993">
        <v>7.972717E-2</v>
      </c>
      <c r="V2993">
        <v>-7.3233389999999995E-2</v>
      </c>
      <c r="W2993">
        <v>-2.4971999999999898E-3</v>
      </c>
      <c r="X2993">
        <v>0.99731170000000002</v>
      </c>
      <c r="Y2993">
        <v>-4.3930039999999997E-2</v>
      </c>
      <c r="Z2993">
        <v>2.213806E-3</v>
      </c>
      <c r="AA2993">
        <v>0.99903209999999998</v>
      </c>
      <c r="AB2993">
        <v>28</v>
      </c>
      <c r="AC2993">
        <v>19.3249</v>
      </c>
      <c r="AD2993">
        <v>-1.1038041532471901</v>
      </c>
      <c r="AE2993">
        <v>0.52739999999999998</v>
      </c>
      <c r="AF2993">
        <v>-0.86183829998325501</v>
      </c>
      <c r="AG2993">
        <v>-1.1038041532471901</v>
      </c>
      <c r="AH2993">
        <v>19.249993317891001</v>
      </c>
      <c r="AI2993">
        <v>93.278497841771596</v>
      </c>
      <c r="AJ2993">
        <v>92.563468118662698</v>
      </c>
      <c r="AK2993">
        <v>19.300865048046202</v>
      </c>
    </row>
    <row r="2994" spans="1:37" x14ac:dyDescent="0.2">
      <c r="A2994" t="str">
        <f>"20200111155904595"</f>
        <v>20200111155904595</v>
      </c>
      <c r="B2994" t="str">
        <f>"1578729544585157"</f>
        <v>1578729544585157</v>
      </c>
      <c r="C2994" t="s">
        <v>37</v>
      </c>
      <c r="D2994">
        <v>5.113289</v>
      </c>
      <c r="E2994">
        <v>0.50898699999999997</v>
      </c>
      <c r="F2994" t="s">
        <v>50</v>
      </c>
      <c r="G2994">
        <v>-354.24430000000001</v>
      </c>
      <c r="H2994" s="1">
        <v>7.1043539999999999E-7</v>
      </c>
      <c r="I2994">
        <v>214.87620000000001</v>
      </c>
      <c r="J2994">
        <v>-373.546999999999</v>
      </c>
      <c r="K2994">
        <v>1.1037619999999999</v>
      </c>
      <c r="L2994">
        <v>214.2576</v>
      </c>
      <c r="M2994">
        <v>0.99982090000000001</v>
      </c>
      <c r="N2994">
        <v>0</v>
      </c>
      <c r="O2994">
        <v>-1.7149330000000001E-2</v>
      </c>
      <c r="P2994">
        <v>0.99835399999999996</v>
      </c>
      <c r="Q2994">
        <v>-9.9397200000000008E-3</v>
      </c>
      <c r="R2994">
        <v>5.6483730000000003E-2</v>
      </c>
      <c r="S2994">
        <v>2.9977719999999999</v>
      </c>
      <c r="T2994">
        <v>-0.1690487</v>
      </c>
      <c r="U2994">
        <v>9.4070429999999997E-2</v>
      </c>
      <c r="V2994">
        <v>-7.3595839999999996E-2</v>
      </c>
      <c r="W2994">
        <v>-1.996004E-3</v>
      </c>
      <c r="X2994">
        <v>0.99728609999999895</v>
      </c>
      <c r="Y2994">
        <v>-4.8397460000000003E-2</v>
      </c>
      <c r="Z2994">
        <v>2.3293139999999999E-3</v>
      </c>
      <c r="AA2994">
        <v>0.99882539999999997</v>
      </c>
      <c r="AB2994">
        <v>28</v>
      </c>
      <c r="AC2994">
        <v>19.302699999999898</v>
      </c>
      <c r="AD2994">
        <v>-1.1037612895646001</v>
      </c>
      <c r="AE2994">
        <v>0.61860000000001403</v>
      </c>
      <c r="AF2994">
        <v>-0.946456500868471</v>
      </c>
      <c r="AG2994">
        <v>-1.1037612895646001</v>
      </c>
      <c r="AH2994">
        <v>19.226451097954602</v>
      </c>
      <c r="AI2994">
        <v>93.281691981405601</v>
      </c>
      <c r="AJ2994">
        <v>92.818212428770494</v>
      </c>
      <c r="AK2994">
        <v>19.281350852946399</v>
      </c>
    </row>
    <row r="2995" spans="1:37" x14ac:dyDescent="0.2">
      <c r="A2995" t="str">
        <f>"20200111155904617"</f>
        <v>20200111155904617</v>
      </c>
      <c r="B2995" t="str">
        <f>"1578729544604677"</f>
        <v>1578729544604677</v>
      </c>
      <c r="C2995" t="s">
        <v>37</v>
      </c>
      <c r="D2995">
        <v>5.1450690000000003</v>
      </c>
      <c r="E2995">
        <v>0.50905429999999996</v>
      </c>
      <c r="F2995" t="s">
        <v>50</v>
      </c>
      <c r="G2995">
        <v>-354.11009999999999</v>
      </c>
      <c r="H2995" s="1">
        <v>6.3792819999999902E-7</v>
      </c>
      <c r="I2995">
        <v>214.9015</v>
      </c>
      <c r="J2995">
        <v>-373.26990000000001</v>
      </c>
      <c r="K2995">
        <v>1.103721</v>
      </c>
      <c r="L2995">
        <v>214.25309999999999</v>
      </c>
      <c r="M2995">
        <v>0.99982899999999997</v>
      </c>
      <c r="N2995">
        <v>0</v>
      </c>
      <c r="O2995">
        <v>-1.6841910000000002E-2</v>
      </c>
      <c r="P2995">
        <v>0.99835879999999999</v>
      </c>
      <c r="Q2995">
        <v>-9.3970059999999994E-3</v>
      </c>
      <c r="R2995">
        <v>5.6492819999999999E-2</v>
      </c>
      <c r="S2995">
        <v>2.9975890000000001</v>
      </c>
      <c r="T2995">
        <v>-0.1702235</v>
      </c>
      <c r="U2995">
        <v>9.9304199999999995E-2</v>
      </c>
      <c r="V2995">
        <v>-7.3299119999999995E-2</v>
      </c>
      <c r="W2995">
        <v>-1.8125249999999999E-3</v>
      </c>
      <c r="X2995">
        <v>0.99730839999999998</v>
      </c>
      <c r="Y2995">
        <v>-4.9831029999999998E-2</v>
      </c>
      <c r="Z2995">
        <v>2.3687740000000001E-3</v>
      </c>
      <c r="AA2995">
        <v>0.9987549</v>
      </c>
      <c r="AB2995">
        <v>28</v>
      </c>
      <c r="AC2995">
        <v>19.159800000000001</v>
      </c>
      <c r="AD2995">
        <v>-1.1037203620717999</v>
      </c>
      <c r="AE2995">
        <v>0.64840000000000897</v>
      </c>
      <c r="AF2995">
        <v>-0.96779714702931996</v>
      </c>
      <c r="AG2995">
        <v>-1.1037203620717999</v>
      </c>
      <c r="AH2995">
        <v>19.082908332740999</v>
      </c>
      <c r="AI2995">
        <v>93.305955403228694</v>
      </c>
      <c r="AJ2995">
        <v>92.903290397310897</v>
      </c>
      <c r="AK2995">
        <v>19.1392847408477</v>
      </c>
    </row>
    <row r="2996" spans="1:37" x14ac:dyDescent="0.2">
      <c r="A2996" t="str">
        <f>"20200111155904638"</f>
        <v>20200111155904638</v>
      </c>
      <c r="B2996" t="str">
        <f>"1578729544634934"</f>
        <v>1578729544634934</v>
      </c>
      <c r="C2996" t="s">
        <v>37</v>
      </c>
      <c r="D2996">
        <v>5.0926929999999997</v>
      </c>
      <c r="E2996">
        <v>0.50888509999999998</v>
      </c>
      <c r="F2996" t="s">
        <v>50</v>
      </c>
      <c r="G2996">
        <v>-353.91070000000002</v>
      </c>
      <c r="H2996" s="1">
        <v>5.3231559999999896E-7</v>
      </c>
      <c r="I2996">
        <v>214.8904</v>
      </c>
      <c r="J2996">
        <v>-372.99709999999999</v>
      </c>
      <c r="K2996">
        <v>1.1036840000000001</v>
      </c>
      <c r="L2996">
        <v>214.24879999999999</v>
      </c>
      <c r="M2996">
        <v>0.99983659999999996</v>
      </c>
      <c r="N2996">
        <v>0</v>
      </c>
      <c r="O2996">
        <v>-1.654425E-2</v>
      </c>
      <c r="P2996">
        <v>0.99839049999999996</v>
      </c>
      <c r="Q2996">
        <v>-8.9974319999999997E-3</v>
      </c>
      <c r="R2996">
        <v>5.5995290000000003E-2</v>
      </c>
      <c r="S2996">
        <v>2.9977419999999899</v>
      </c>
      <c r="T2996">
        <v>-0.1709097</v>
      </c>
      <c r="U2996">
        <v>9.8678589999999997E-2</v>
      </c>
      <c r="V2996">
        <v>-7.250492E-2</v>
      </c>
      <c r="W2996">
        <v>-1.7596650000000001E-3</v>
      </c>
      <c r="X2996">
        <v>0.99736650000000004</v>
      </c>
      <c r="Y2996">
        <v>-4.9324189999999997E-2</v>
      </c>
      <c r="Z2996">
        <v>2.3468069999999998E-3</v>
      </c>
      <c r="AA2996">
        <v>0.99878009999999995</v>
      </c>
      <c r="AB2996">
        <v>28</v>
      </c>
      <c r="AC2996">
        <v>19.086399999999902</v>
      </c>
      <c r="AD2996">
        <v>-1.1036834676843901</v>
      </c>
      <c r="AE2996">
        <v>0.64160000000001005</v>
      </c>
      <c r="AF2996">
        <v>-0.95410399620705499</v>
      </c>
      <c r="AG2996">
        <v>-1.1036834676843901</v>
      </c>
      <c r="AH2996">
        <v>19.0096795925026</v>
      </c>
      <c r="AI2996">
        <v>93.318638924701503</v>
      </c>
      <c r="AJ2996">
        <v>92.873288758751499</v>
      </c>
      <c r="AK2996">
        <v>19.065580238797601</v>
      </c>
    </row>
    <row r="2997" spans="1:37" x14ac:dyDescent="0.2">
      <c r="A2997" t="str">
        <f>"20200111155904661"</f>
        <v>20200111155904661</v>
      </c>
      <c r="B2997" t="str">
        <f>"1578729544654454"</f>
        <v>1578729544654454</v>
      </c>
      <c r="C2997" t="s">
        <v>37</v>
      </c>
      <c r="D2997">
        <v>5.113505</v>
      </c>
      <c r="E2997">
        <v>0.50855680000000003</v>
      </c>
      <c r="F2997" t="s">
        <v>50</v>
      </c>
      <c r="G2997">
        <v>-353.29070000000002</v>
      </c>
      <c r="H2997" s="1">
        <v>2.0209759999999999E-7</v>
      </c>
      <c r="I2997">
        <v>214.8973</v>
      </c>
      <c r="J2997">
        <v>-372.71170000000001</v>
      </c>
      <c r="K2997">
        <v>1.103637</v>
      </c>
      <c r="L2997">
        <v>214.24440000000001</v>
      </c>
      <c r="M2997">
        <v>0.99984430000000002</v>
      </c>
      <c r="N2997">
        <v>0</v>
      </c>
      <c r="O2997">
        <v>-1.6237330000000001E-2</v>
      </c>
      <c r="P2997">
        <v>0.99845740000000005</v>
      </c>
      <c r="Q2997">
        <v>-8.6579029999999998E-3</v>
      </c>
      <c r="R2997">
        <v>5.4847680000000003E-2</v>
      </c>
      <c r="S2997">
        <v>2.99780299999999</v>
      </c>
      <c r="T2997">
        <v>-0.1678963</v>
      </c>
      <c r="U2997">
        <v>9.8648070000000004E-2</v>
      </c>
      <c r="V2997">
        <v>-7.1052439999999994E-2</v>
      </c>
      <c r="W2997">
        <v>-1.773492E-3</v>
      </c>
      <c r="X2997">
        <v>0.997470999999999</v>
      </c>
      <c r="Y2997">
        <v>-4.9011430000000002E-2</v>
      </c>
      <c r="Z2997">
        <v>2.2795239999999998E-3</v>
      </c>
      <c r="AA2997">
        <v>0.99879560000000001</v>
      </c>
      <c r="AB2997">
        <v>28</v>
      </c>
      <c r="AC2997">
        <v>19.4209999999999</v>
      </c>
      <c r="AD2997">
        <v>-1.1036367979024</v>
      </c>
      <c r="AE2997">
        <v>0.65289999999998805</v>
      </c>
      <c r="AF2997">
        <v>-0.96505369721591205</v>
      </c>
      <c r="AG2997">
        <v>-1.1036367979024</v>
      </c>
      <c r="AH2997">
        <v>19.345436118579698</v>
      </c>
      <c r="AI2997">
        <v>93.261078479967793</v>
      </c>
      <c r="AJ2997">
        <v>92.8558521526611</v>
      </c>
      <c r="AK2997">
        <v>19.4009082632294</v>
      </c>
    </row>
    <row r="2998" spans="1:37" x14ac:dyDescent="0.2">
      <c r="A2998" t="str">
        <f>"20200111155904684"</f>
        <v>20200111155904684</v>
      </c>
      <c r="B2998" t="str">
        <f>"1578729544674949"</f>
        <v>1578729544674949</v>
      </c>
      <c r="C2998" t="s">
        <v>37</v>
      </c>
      <c r="D2998">
        <v>5.1240839999999999</v>
      </c>
      <c r="E2998">
        <v>0.50819250000000005</v>
      </c>
      <c r="F2998" t="s">
        <v>50</v>
      </c>
      <c r="G2998">
        <v>-352.450999999999</v>
      </c>
      <c r="H2998" s="1">
        <v>-2.4507359999999999E-7</v>
      </c>
      <c r="I2998">
        <v>214.904</v>
      </c>
      <c r="J2998">
        <v>-372.41109999999998</v>
      </c>
      <c r="K2998">
        <v>1.1035979999999901</v>
      </c>
      <c r="L2998">
        <v>214.2398</v>
      </c>
      <c r="M2998">
        <v>0.99985190000000002</v>
      </c>
      <c r="N2998">
        <v>0</v>
      </c>
      <c r="O2998">
        <v>-1.5917560000000001E-2</v>
      </c>
      <c r="P2998">
        <v>0.99850740000000004</v>
      </c>
      <c r="Q2998">
        <v>-8.2043269999999904E-3</v>
      </c>
      <c r="R2998">
        <v>5.4003139999999998E-2</v>
      </c>
      <c r="S2998">
        <v>2.9978940000000001</v>
      </c>
      <c r="T2998">
        <v>-0.16330059999999999</v>
      </c>
      <c r="U2998">
        <v>9.7595210000000002E-2</v>
      </c>
      <c r="V2998">
        <v>-6.9889950000000006E-2</v>
      </c>
      <c r="W2998">
        <v>-1.6815860000000001E-3</v>
      </c>
      <c r="X2998">
        <v>0.99755329999999998</v>
      </c>
      <c r="Y2998">
        <v>-4.834753E-2</v>
      </c>
      <c r="Z2998">
        <v>2.1816990000000001E-3</v>
      </c>
      <c r="AA2998">
        <v>0.99882819999999894</v>
      </c>
      <c r="AB2998">
        <v>29</v>
      </c>
      <c r="AC2998">
        <v>19.960100000000001</v>
      </c>
      <c r="AD2998">
        <v>-1.1035982450735999</v>
      </c>
      <c r="AE2998">
        <v>0.664200000000022</v>
      </c>
      <c r="AF2998">
        <v>-0.97884969595680305</v>
      </c>
      <c r="AG2998">
        <v>-1.1035982450735999</v>
      </c>
      <c r="AH2998">
        <v>19.886273175175099</v>
      </c>
      <c r="AI2998">
        <v>93.172565409049497</v>
      </c>
      <c r="AJ2998">
        <v>92.817960278010901</v>
      </c>
      <c r="AK2998">
        <v>19.9409111279173</v>
      </c>
    </row>
    <row r="2999" spans="1:37" x14ac:dyDescent="0.2">
      <c r="A2999" t="str">
        <f>"20200111155904707"</f>
        <v>20200111155904707</v>
      </c>
      <c r="B2999" t="str">
        <f>"1578729544694469"</f>
        <v>1578729544694469</v>
      </c>
      <c r="C2999" t="s">
        <v>37</v>
      </c>
      <c r="D2999">
        <v>5.15923</v>
      </c>
      <c r="E2999">
        <v>0.5082063</v>
      </c>
      <c r="F2999" t="s">
        <v>50</v>
      </c>
      <c r="G2999">
        <v>-351.57799999999997</v>
      </c>
      <c r="H2999" s="1">
        <v>-7.1032789999999999E-7</v>
      </c>
      <c r="I2999">
        <v>214.9195</v>
      </c>
      <c r="J2999">
        <v>-372.12470000000002</v>
      </c>
      <c r="K2999">
        <v>1.103556</v>
      </c>
      <c r="L2999">
        <v>214.23560000000001</v>
      </c>
      <c r="M2999">
        <v>0.99985859999999904</v>
      </c>
      <c r="N2999">
        <v>0</v>
      </c>
      <c r="O2999">
        <v>-1.5614039999999999E-2</v>
      </c>
      <c r="P2999">
        <v>0.99854209999999999</v>
      </c>
      <c r="Q2999">
        <v>-7.3145989999999998E-3</v>
      </c>
      <c r="R2999">
        <v>5.3481399999999998E-2</v>
      </c>
      <c r="S2999">
        <v>2.997925</v>
      </c>
      <c r="T2999">
        <v>-0.15880949999999999</v>
      </c>
      <c r="U2999">
        <v>9.7808839999999994E-2</v>
      </c>
      <c r="V2999">
        <v>-6.9065650000000006E-2</v>
      </c>
      <c r="W2999">
        <v>-1.123995E-3</v>
      </c>
      <c r="X2999">
        <v>0.99761149999999998</v>
      </c>
      <c r="Y2999">
        <v>-4.8120950000000003E-2</v>
      </c>
      <c r="Z2999">
        <v>2.0996970000000002E-3</v>
      </c>
      <c r="AA2999">
        <v>0.99883929999999999</v>
      </c>
      <c r="AB2999">
        <v>29</v>
      </c>
      <c r="AC2999">
        <v>20.546699999999898</v>
      </c>
      <c r="AD2999">
        <v>-1.10355671032789</v>
      </c>
      <c r="AE2999">
        <v>0.68389999999999396</v>
      </c>
      <c r="AF2999">
        <v>-1.001753284146</v>
      </c>
      <c r="AG2999">
        <v>-1.10355671032789</v>
      </c>
      <c r="AH2999">
        <v>20.474518384108801</v>
      </c>
      <c r="AI2999">
        <v>93.081522714235803</v>
      </c>
      <c r="AJ2999">
        <v>92.801067202386605</v>
      </c>
      <c r="AK2999">
        <v>20.528693336800899</v>
      </c>
    </row>
    <row r="3000" spans="1:37" x14ac:dyDescent="0.2">
      <c r="A3000" t="str">
        <f>"20200111155904728"</f>
        <v>20200111155904728</v>
      </c>
      <c r="B3000" t="str">
        <f>"1578729544724726"</f>
        <v>1578729544724726</v>
      </c>
      <c r="C3000" t="s">
        <v>37</v>
      </c>
      <c r="D3000">
        <v>5.1116659999999996</v>
      </c>
      <c r="E3000">
        <v>0.50432410000000005</v>
      </c>
      <c r="F3000" t="s">
        <v>52</v>
      </c>
      <c r="G3000">
        <v>-286.68389999999999</v>
      </c>
      <c r="H3000" s="1">
        <v>3.8487860000000004E-6</v>
      </c>
      <c r="I3000">
        <v>216.94900000000001</v>
      </c>
      <c r="J3000">
        <v>-371.84219999999999</v>
      </c>
      <c r="K3000">
        <v>1.1035250000000001</v>
      </c>
      <c r="L3000">
        <v>214.23140000000001</v>
      </c>
      <c r="M3000">
        <v>0.99986509999999995</v>
      </c>
      <c r="N3000">
        <v>0</v>
      </c>
      <c r="O3000">
        <v>-1.5315270000000001E-2</v>
      </c>
      <c r="P3000">
        <v>0.99859580000000003</v>
      </c>
      <c r="Q3000">
        <v>-6.514756E-3</v>
      </c>
      <c r="R3000">
        <v>5.257183E-2</v>
      </c>
      <c r="S3000">
        <v>2.9990540000000001</v>
      </c>
      <c r="T3000">
        <v>-3.8735749999999999E-2</v>
      </c>
      <c r="U3000">
        <v>9.5245360000000001E-2</v>
      </c>
      <c r="V3000">
        <v>-6.7859719999999998E-2</v>
      </c>
      <c r="W3000">
        <v>-6.4007660000000004E-4</v>
      </c>
      <c r="X3000">
        <v>0.99769470000000005</v>
      </c>
      <c r="Y3000">
        <v>-4.7041369999999999E-2</v>
      </c>
      <c r="Z3000">
        <v>5.0146719999999997E-4</v>
      </c>
      <c r="AA3000">
        <v>0.99889280000000003</v>
      </c>
      <c r="AB3000">
        <v>29</v>
      </c>
      <c r="AC3000">
        <v>85.158299999999997</v>
      </c>
      <c r="AD3000">
        <v>-1.103521151214</v>
      </c>
      <c r="AE3000">
        <v>2.7176</v>
      </c>
      <c r="AF3000">
        <v>-4.0208520791306697</v>
      </c>
      <c r="AG3000">
        <v>-1.103521151214</v>
      </c>
      <c r="AH3000">
        <v>85.092415949069306</v>
      </c>
      <c r="AI3000">
        <v>90.742170756275101</v>
      </c>
      <c r="AJ3000">
        <v>92.705371760332795</v>
      </c>
      <c r="AK3000">
        <v>85.194508405312504</v>
      </c>
    </row>
    <row r="3001" spans="1:37" x14ac:dyDescent="0.2">
      <c r="A3001" t="str">
        <f>"20200111155904750"</f>
        <v>20200111155904750</v>
      </c>
      <c r="B3001" t="str">
        <f>"1578729544745221"</f>
        <v>1578729544745221</v>
      </c>
      <c r="C3001" t="s">
        <v>37</v>
      </c>
      <c r="D3001">
        <v>5.1155080000000002</v>
      </c>
      <c r="E3001">
        <v>0.50410489999999997</v>
      </c>
      <c r="F3001" t="s">
        <v>50</v>
      </c>
      <c r="G3001">
        <v>-347.10199999999998</v>
      </c>
      <c r="H3001" s="1">
        <v>2.2425140000000001E-6</v>
      </c>
      <c r="I3001">
        <v>215.2594</v>
      </c>
      <c r="J3001">
        <v>-371.55110000000002</v>
      </c>
      <c r="K3001">
        <v>1.1034889999999999</v>
      </c>
      <c r="L3001">
        <v>214.22730000000001</v>
      </c>
      <c r="M3001">
        <v>0.99987159999999997</v>
      </c>
      <c r="N3001">
        <v>0</v>
      </c>
      <c r="O3001">
        <v>-1.5008570000000001E-2</v>
      </c>
      <c r="P3001">
        <v>0.99859889999999996</v>
      </c>
      <c r="Q3001">
        <v>-5.7835300000000003E-3</v>
      </c>
      <c r="R3001">
        <v>5.2601149999999999E-2</v>
      </c>
      <c r="S3001">
        <v>2.9967649999999999</v>
      </c>
      <c r="T3001">
        <v>-0.13366889999999901</v>
      </c>
      <c r="U3001">
        <v>0.1245117</v>
      </c>
      <c r="V3001">
        <v>-6.7583320000000002E-2</v>
      </c>
      <c r="W3001">
        <v>-2.1835109999999999E-4</v>
      </c>
      <c r="X3001">
        <v>0.99771359999999998</v>
      </c>
      <c r="Y3001">
        <v>-5.6433169999999998E-2</v>
      </c>
      <c r="Z3001">
        <v>1.926288E-3</v>
      </c>
      <c r="AA3001">
        <v>0.99840450000000003</v>
      </c>
      <c r="AB3001">
        <v>29</v>
      </c>
      <c r="AC3001">
        <v>24.449100000000001</v>
      </c>
      <c r="AD3001">
        <v>-1.1034867574859999</v>
      </c>
      <c r="AE3001">
        <v>1.03209999999998</v>
      </c>
      <c r="AF3001">
        <v>-1.39609665474801</v>
      </c>
      <c r="AG3001">
        <v>-1.1034867574859999</v>
      </c>
      <c r="AH3001">
        <v>24.381277192473501</v>
      </c>
      <c r="AI3001">
        <v>92.5871831426211</v>
      </c>
      <c r="AJ3001">
        <v>93.277235733377097</v>
      </c>
      <c r="AK3001">
        <v>24.4461335681039</v>
      </c>
    </row>
    <row r="3002" spans="1:37" x14ac:dyDescent="0.2">
      <c r="A3002" t="str">
        <f>"20200111155904773"</f>
        <v>20200111155904773</v>
      </c>
      <c r="B3002" t="str">
        <f>"1578729544764742"</f>
        <v>1578729544764742</v>
      </c>
      <c r="C3002" t="s">
        <v>37</v>
      </c>
      <c r="D3002">
        <v>5.1145040000000002</v>
      </c>
      <c r="E3002">
        <v>0.50450249999999996</v>
      </c>
      <c r="F3002" t="s">
        <v>50</v>
      </c>
      <c r="G3002">
        <v>-346.76710000000003</v>
      </c>
      <c r="H3002" s="1">
        <v>2.0643069999999999E-6</v>
      </c>
      <c r="I3002">
        <v>215.2723</v>
      </c>
      <c r="J3002">
        <v>-371.25020000000001</v>
      </c>
      <c r="K3002">
        <v>1.1034600000000001</v>
      </c>
      <c r="L3002">
        <v>214.22309999999999</v>
      </c>
      <c r="M3002">
        <v>0.99987789999999999</v>
      </c>
      <c r="N3002">
        <v>0</v>
      </c>
      <c r="O3002">
        <v>-1.4691340000000001E-2</v>
      </c>
      <c r="P3002">
        <v>0.99857580000000001</v>
      </c>
      <c r="Q3002">
        <v>-4.5762499999999996E-3</v>
      </c>
      <c r="R3002">
        <v>5.3152940000000003E-2</v>
      </c>
      <c r="S3002">
        <v>2.9967649999999999</v>
      </c>
      <c r="T3002">
        <v>-0.1334283</v>
      </c>
      <c r="U3002">
        <v>0.126358</v>
      </c>
      <c r="V3002">
        <v>-6.7817849999999999E-2</v>
      </c>
      <c r="W3002">
        <v>6.8790119999999897E-4</v>
      </c>
      <c r="X3002">
        <v>0.99769750000000001</v>
      </c>
      <c r="Y3002">
        <v>-5.6730700000000002E-2</v>
      </c>
      <c r="Z3002">
        <v>1.915305E-3</v>
      </c>
      <c r="AA3002">
        <v>0.99838769999999999</v>
      </c>
      <c r="AB3002">
        <v>29</v>
      </c>
      <c r="AC3002">
        <v>24.483099999999901</v>
      </c>
      <c r="AD3002">
        <v>-1.1034579356930001</v>
      </c>
      <c r="AE3002">
        <v>1.0492000000000099</v>
      </c>
      <c r="AF3002">
        <v>-1.40593074562016</v>
      </c>
      <c r="AG3002">
        <v>-1.1034579356930001</v>
      </c>
      <c r="AH3002">
        <v>24.415538345760002</v>
      </c>
      <c r="AI3002">
        <v>92.583442597186206</v>
      </c>
      <c r="AJ3002">
        <v>93.295648804984694</v>
      </c>
      <c r="AK3002">
        <v>24.480865454280799</v>
      </c>
    </row>
    <row r="3003" spans="1:37" x14ac:dyDescent="0.2">
      <c r="A3003" t="str">
        <f>"20200111155904794"</f>
        <v>20200111155904794</v>
      </c>
      <c r="B3003" t="str">
        <f>"1578729544785237"</f>
        <v>1578729544785237</v>
      </c>
      <c r="C3003" t="s">
        <v>37</v>
      </c>
      <c r="D3003">
        <v>4.7975620000000001</v>
      </c>
      <c r="E3003">
        <v>0.50450249999999996</v>
      </c>
      <c r="F3003" t="s">
        <v>50</v>
      </c>
      <c r="G3003">
        <v>-346.57310000000001</v>
      </c>
      <c r="H3003" s="1">
        <v>1.9610579999999999E-6</v>
      </c>
      <c r="I3003">
        <v>215.2518</v>
      </c>
      <c r="J3003">
        <v>-370.96820000000002</v>
      </c>
      <c r="K3003">
        <v>1.1034360000000001</v>
      </c>
      <c r="L3003">
        <v>214.2192</v>
      </c>
      <c r="M3003">
        <v>0.99988369999999904</v>
      </c>
      <c r="N3003">
        <v>0</v>
      </c>
      <c r="O3003">
        <v>-1.439438E-2</v>
      </c>
      <c r="P3003">
        <v>0.99857439999999997</v>
      </c>
      <c r="Q3003">
        <v>-2.780289E-3</v>
      </c>
      <c r="R3003">
        <v>5.3305770000000002E-2</v>
      </c>
      <c r="S3003">
        <v>2.9970089999999998</v>
      </c>
      <c r="T3003">
        <v>-0.134013299999999</v>
      </c>
      <c r="U3003">
        <v>0.12493899999999999</v>
      </c>
      <c r="V3003">
        <v>-6.7675460000000007E-2</v>
      </c>
      <c r="W3003">
        <v>2.2209310000000002E-3</v>
      </c>
      <c r="X3003">
        <v>0.99770490000000001</v>
      </c>
      <c r="Y3003">
        <v>-5.5959269999999998E-2</v>
      </c>
      <c r="Z3003">
        <v>1.893055E-3</v>
      </c>
      <c r="AA3003">
        <v>0.99843130000000002</v>
      </c>
      <c r="AB3003">
        <v>29</v>
      </c>
      <c r="AC3003">
        <v>24.395099999999999</v>
      </c>
      <c r="AD3003">
        <v>-1.1034340389420001</v>
      </c>
      <c r="AE3003">
        <v>1.0326</v>
      </c>
      <c r="AF3003">
        <v>-1.3808298048974701</v>
      </c>
      <c r="AG3003">
        <v>-1.1034340389420001</v>
      </c>
      <c r="AH3003">
        <v>24.3280246207906</v>
      </c>
      <c r="AI3003">
        <v>92.592788797187495</v>
      </c>
      <c r="AJ3003">
        <v>93.2485549634997</v>
      </c>
      <c r="AK3003">
        <v>24.392151187998699</v>
      </c>
    </row>
    <row r="3004" spans="1:37" x14ac:dyDescent="0.2">
      <c r="A3004" t="str">
        <f>"20200111155904974"</f>
        <v>20200111155904974</v>
      </c>
      <c r="B3004" t="str">
        <f>"1578729544964821"</f>
        <v>1578729544964821</v>
      </c>
      <c r="C3004" t="s">
        <v>37</v>
      </c>
      <c r="D3004">
        <v>4.9205779999999999</v>
      </c>
      <c r="E3004">
        <v>0.55877319999999997</v>
      </c>
      <c r="F3004" t="s">
        <v>50</v>
      </c>
      <c r="G3004">
        <v>-345.26199999999898</v>
      </c>
      <c r="H3004" s="1">
        <v>1.2634000000000001E-6</v>
      </c>
      <c r="I3004">
        <v>215.29470000000001</v>
      </c>
      <c r="J3004">
        <v>-368.52170000000001</v>
      </c>
      <c r="K3004">
        <v>1.103267</v>
      </c>
      <c r="L3004">
        <v>214.1892</v>
      </c>
      <c r="M3004">
        <v>0.99992380000000003</v>
      </c>
      <c r="N3004">
        <v>0</v>
      </c>
      <c r="O3004">
        <v>-1.183771E-2</v>
      </c>
      <c r="P3004">
        <v>0.99829799999999902</v>
      </c>
      <c r="Q3004">
        <v>-2.9448309999999902E-3</v>
      </c>
      <c r="R3004">
        <v>5.8246920000000001E-2</v>
      </c>
      <c r="S3004">
        <v>2.9971919999999899</v>
      </c>
      <c r="T3004">
        <v>-0.128654399999999</v>
      </c>
      <c r="U3004">
        <v>0.1253967</v>
      </c>
      <c r="V3004">
        <v>-7.0060810000000001E-2</v>
      </c>
      <c r="W3004">
        <v>5.4675749999999999E-4</v>
      </c>
      <c r="X3004">
        <v>0.99754259999999995</v>
      </c>
      <c r="Y3004">
        <v>-5.3565889999999998E-2</v>
      </c>
      <c r="Z3004">
        <v>1.656329E-3</v>
      </c>
      <c r="AA3004">
        <v>0.99856290000000003</v>
      </c>
      <c r="AB3004">
        <v>31</v>
      </c>
      <c r="AC3004">
        <v>23.259699999999999</v>
      </c>
      <c r="AD3004">
        <v>-1.1032657366</v>
      </c>
      <c r="AE3004">
        <v>1.1054999999999999</v>
      </c>
      <c r="AF3004">
        <v>-1.37767324892823</v>
      </c>
      <c r="AG3004">
        <v>-1.1032657366</v>
      </c>
      <c r="AH3004">
        <v>23.1929207453042</v>
      </c>
      <c r="AI3004">
        <v>92.718669236431197</v>
      </c>
      <c r="AJ3004">
        <v>93.399408849953801</v>
      </c>
      <c r="AK3004">
        <v>23.259981761908801</v>
      </c>
    </row>
    <row r="3005" spans="1:37" x14ac:dyDescent="0.2">
      <c r="A3005" t="str">
        <f>"20200111155904996"</f>
        <v>20200111155904996</v>
      </c>
      <c r="B3005" t="str">
        <f>"1578729544984341"</f>
        <v>1578729544984341</v>
      </c>
      <c r="C3005" t="s">
        <v>37</v>
      </c>
      <c r="D3005">
        <v>5.0137210000000003</v>
      </c>
      <c r="E3005">
        <v>0.55877319999999997</v>
      </c>
      <c r="F3005" t="s">
        <v>66</v>
      </c>
      <c r="G3005">
        <v>-168.4324</v>
      </c>
      <c r="H3005">
        <v>53.450819999999901</v>
      </c>
      <c r="I3005">
        <v>193.9667</v>
      </c>
      <c r="J3005">
        <v>-368.22089999999997</v>
      </c>
      <c r="K3005">
        <v>1.1032409999999999</v>
      </c>
      <c r="L3005">
        <v>214.1859</v>
      </c>
      <c r="M3005">
        <v>0.99992780000000003</v>
      </c>
      <c r="N3005">
        <v>0</v>
      </c>
      <c r="O3005">
        <v>-1.15265E-2</v>
      </c>
      <c r="P3005">
        <v>0.99825769999999903</v>
      </c>
      <c r="Q3005">
        <v>-3.4653430000000001E-3</v>
      </c>
      <c r="R3005">
        <v>5.8904049999999999E-2</v>
      </c>
      <c r="S3005">
        <v>3.02526899999999</v>
      </c>
      <c r="T3005">
        <v>0.79147400000000001</v>
      </c>
      <c r="U3005">
        <v>-0.30575559999999902</v>
      </c>
      <c r="V3005">
        <v>-7.0407090000000006E-2</v>
      </c>
      <c r="W3005">
        <v>-1.05942099999999E-4</v>
      </c>
      <c r="X3005">
        <v>0.99751840000000003</v>
      </c>
      <c r="Y3005">
        <v>8.6580019999999994E-2</v>
      </c>
      <c r="Z3005">
        <v>8.1531680000000006E-3</v>
      </c>
      <c r="AA3005">
        <v>0.99621150000000003</v>
      </c>
      <c r="AB3005">
        <v>31</v>
      </c>
      <c r="AC3005">
        <v>199.7885</v>
      </c>
      <c r="AD3005">
        <v>52.347578999999897</v>
      </c>
      <c r="AE3005">
        <v>-20.219200000000001</v>
      </c>
      <c r="AF3005">
        <v>16.7750207201107</v>
      </c>
      <c r="AG3005">
        <v>52.347578999999897</v>
      </c>
      <c r="AH3005">
        <v>187.28141917028</v>
      </c>
      <c r="AI3005">
        <v>74.442884040368398</v>
      </c>
      <c r="AJ3005">
        <v>84.881607620970101</v>
      </c>
      <c r="AK3005">
        <v>195.18196718384499</v>
      </c>
    </row>
    <row r="3006" spans="1:37" x14ac:dyDescent="0.2">
      <c r="A3006" t="str">
        <f>"20200111155905018"</f>
        <v>20200111155905018</v>
      </c>
      <c r="B3006" t="str">
        <f>"1578729545015574"</f>
        <v>1578729545015574</v>
      </c>
      <c r="C3006" t="s">
        <v>37</v>
      </c>
      <c r="D3006">
        <v>5.2222619999999997</v>
      </c>
      <c r="E3006">
        <v>0.53699509999999995</v>
      </c>
      <c r="F3006" t="s">
        <v>66</v>
      </c>
      <c r="G3006">
        <v>-168.43219999999999</v>
      </c>
      <c r="H3006">
        <v>53.27664</v>
      </c>
      <c r="I3006">
        <v>194.16210000000001</v>
      </c>
      <c r="J3006">
        <v>-367.90910000000002</v>
      </c>
      <c r="K3006">
        <v>1.1032150000000001</v>
      </c>
      <c r="L3006">
        <v>214.18260000000001</v>
      </c>
      <c r="M3006">
        <v>0.99993180000000004</v>
      </c>
      <c r="N3006">
        <v>0</v>
      </c>
      <c r="O3006">
        <v>-1.120721E-2</v>
      </c>
      <c r="P3006">
        <v>0.99823019999999996</v>
      </c>
      <c r="Q3006">
        <v>-4.1639270000000004E-3</v>
      </c>
      <c r="R3006">
        <v>5.9324460000000002E-2</v>
      </c>
      <c r="S3006">
        <v>3.0258790000000002</v>
      </c>
      <c r="T3006">
        <v>0.79018719999999998</v>
      </c>
      <c r="U3006">
        <v>-0.30326839999999999</v>
      </c>
      <c r="V3006">
        <v>-7.0507899999999998E-2</v>
      </c>
      <c r="W3006">
        <v>-9.3070199999999896E-4</v>
      </c>
      <c r="X3006">
        <v>0.99751080000000003</v>
      </c>
      <c r="Y3006">
        <v>8.6081950000000004E-2</v>
      </c>
      <c r="Z3006">
        <v>8.1570540000000004E-3</v>
      </c>
      <c r="AA3006">
        <v>0.99625469999999905</v>
      </c>
      <c r="AB3006">
        <v>31</v>
      </c>
      <c r="AC3006">
        <v>199.4769</v>
      </c>
      <c r="AD3006">
        <v>52.173425000000002</v>
      </c>
      <c r="AE3006">
        <v>-20.020499999999998</v>
      </c>
      <c r="AF3006">
        <v>16.6556190360069</v>
      </c>
      <c r="AG3006">
        <v>52.173425000000002</v>
      </c>
      <c r="AH3006">
        <v>187.022321125052</v>
      </c>
      <c r="AI3006">
        <v>74.471023973926293</v>
      </c>
      <c r="AJ3006">
        <v>84.910844187862907</v>
      </c>
      <c r="AK3006">
        <v>194.87643397985701</v>
      </c>
    </row>
    <row r="3007" spans="1:37" x14ac:dyDescent="0.2">
      <c r="A3007" t="str">
        <f>"20200111155905040"</f>
        <v>20200111155905040</v>
      </c>
      <c r="B3007" t="str">
        <f>"1578729545035094"</f>
        <v>1578729545035094</v>
      </c>
      <c r="C3007" t="s">
        <v>37</v>
      </c>
      <c r="D3007">
        <v>5.3859589999999997</v>
      </c>
      <c r="E3007">
        <v>0.52967379999999997</v>
      </c>
      <c r="F3007" t="s">
        <v>38</v>
      </c>
      <c r="G3007">
        <v>-367.0915</v>
      </c>
      <c r="H3007">
        <v>1.044611</v>
      </c>
      <c r="I3007">
        <v>214.15170000000001</v>
      </c>
      <c r="J3007">
        <v>-367.59289999999999</v>
      </c>
      <c r="K3007">
        <v>1.1031899999999999</v>
      </c>
      <c r="L3007">
        <v>214.17939999999999</v>
      </c>
      <c r="M3007">
        <v>0.99993569999999998</v>
      </c>
      <c r="N3007">
        <v>0</v>
      </c>
      <c r="O3007">
        <v>-1.08865E-2</v>
      </c>
      <c r="P3007">
        <v>0.99819429999999998</v>
      </c>
      <c r="Q3007">
        <v>-4.6163949999999997E-3</v>
      </c>
      <c r="R3007">
        <v>5.989075E-2</v>
      </c>
      <c r="S3007">
        <v>3.01116899999999</v>
      </c>
      <c r="T3007">
        <v>-0.21589520000000001</v>
      </c>
      <c r="U3007">
        <v>-0.1135559</v>
      </c>
      <c r="V3007">
        <v>-7.0753289999999996E-2</v>
      </c>
      <c r="W3007">
        <v>-1.498655E-3</v>
      </c>
      <c r="X3007">
        <v>0.99749270000000001</v>
      </c>
      <c r="Y3007">
        <v>2.676303E-2</v>
      </c>
      <c r="Z3007">
        <v>-1.786425E-4</v>
      </c>
      <c r="AA3007">
        <v>0.99964179999999903</v>
      </c>
      <c r="AB3007">
        <v>31</v>
      </c>
      <c r="AC3007">
        <v>0.50139999999998897</v>
      </c>
      <c r="AD3007">
        <v>-5.8578999999999902E-2</v>
      </c>
      <c r="AE3007">
        <v>-2.76999999999816E-2</v>
      </c>
      <c r="AF3007">
        <v>2.19412648790288E-2</v>
      </c>
      <c r="AG3007">
        <v>-5.8578999999999902E-2</v>
      </c>
      <c r="AH3007">
        <v>0.49493678378804601</v>
      </c>
      <c r="AI3007">
        <v>96.743366266287595</v>
      </c>
      <c r="AJ3007">
        <v>87.461657040925303</v>
      </c>
      <c r="AK3007">
        <v>0.49887407057487698</v>
      </c>
    </row>
    <row r="3008" spans="1:37" x14ac:dyDescent="0.2">
      <c r="A3008" t="str">
        <f>"20200111155905063"</f>
        <v>20200111155905063</v>
      </c>
      <c r="B3008" t="str">
        <f>"1578729545054613"</f>
        <v>1578729545054613</v>
      </c>
      <c r="C3008" t="s">
        <v>37</v>
      </c>
      <c r="D3008">
        <v>5.3342400000000003</v>
      </c>
      <c r="E3008">
        <v>0.52763009999999999</v>
      </c>
      <c r="F3008" t="s">
        <v>50</v>
      </c>
      <c r="G3008">
        <v>-350.58890000000002</v>
      </c>
      <c r="H3008" s="1">
        <v>-1.1909899999999901E-6</v>
      </c>
      <c r="I3008">
        <v>213.87469999999999</v>
      </c>
      <c r="J3008">
        <v>-367.26870000000002</v>
      </c>
      <c r="K3008">
        <v>1.1031679999999999</v>
      </c>
      <c r="L3008">
        <v>214.17619999999999</v>
      </c>
      <c r="M3008">
        <v>0.99993960000000004</v>
      </c>
      <c r="N3008">
        <v>0</v>
      </c>
      <c r="O3008">
        <v>-1.056081E-2</v>
      </c>
      <c r="P3008">
        <v>0.99816299999999902</v>
      </c>
      <c r="Q3008">
        <v>-5.1857889999999997E-3</v>
      </c>
      <c r="R3008">
        <v>6.0365269999999999E-2</v>
      </c>
      <c r="S3008">
        <v>3.0077820000000002</v>
      </c>
      <c r="T3008">
        <v>-0.19514029999999999</v>
      </c>
      <c r="U3008">
        <v>-5.3894039999999997E-2</v>
      </c>
      <c r="V3008">
        <v>-7.0902069999999998E-2</v>
      </c>
      <c r="W3008">
        <v>-2.171901E-3</v>
      </c>
      <c r="X3008">
        <v>0.9974809</v>
      </c>
      <c r="Y3008">
        <v>7.3618829999999996E-3</v>
      </c>
      <c r="Z3008">
        <v>4.4582850000000001E-4</v>
      </c>
      <c r="AA3008">
        <v>0.9999728</v>
      </c>
      <c r="AB3008">
        <v>31</v>
      </c>
      <c r="AC3008">
        <v>16.6798</v>
      </c>
      <c r="AD3008">
        <v>-1.1031691909899899</v>
      </c>
      <c r="AE3008">
        <v>-0.30150000000000399</v>
      </c>
      <c r="AF3008">
        <v>0.124784512321226</v>
      </c>
      <c r="AG3008">
        <v>-1.1031691909899899</v>
      </c>
      <c r="AH3008">
        <v>16.609424039129799</v>
      </c>
      <c r="AI3008">
        <v>93.799798506697798</v>
      </c>
      <c r="AJ3008">
        <v>89.569552118350998</v>
      </c>
      <c r="AK3008">
        <v>16.646486726936999</v>
      </c>
    </row>
    <row r="3009" spans="1:37" x14ac:dyDescent="0.2">
      <c r="A3009" t="str">
        <f>"20200111155905085"</f>
        <v>20200111155905085</v>
      </c>
      <c r="B3009" t="str">
        <f>"1578729545075109"</f>
        <v>1578729545075109</v>
      </c>
      <c r="C3009" t="s">
        <v>37</v>
      </c>
      <c r="D3009">
        <v>5.2752299999999996</v>
      </c>
      <c r="E3009">
        <v>0.52114099999999997</v>
      </c>
      <c r="F3009" t="s">
        <v>50</v>
      </c>
      <c r="G3009">
        <v>-348.68560000000002</v>
      </c>
      <c r="H3009" s="1">
        <v>3.0852539999999999E-6</v>
      </c>
      <c r="I3009">
        <v>213.95240000000001</v>
      </c>
      <c r="J3009">
        <v>-366.9572</v>
      </c>
      <c r="K3009">
        <v>1.1031489999999999</v>
      </c>
      <c r="L3009">
        <v>214.17320000000001</v>
      </c>
      <c r="M3009">
        <v>0.99994309999999997</v>
      </c>
      <c r="N3009">
        <v>0</v>
      </c>
      <c r="O3009">
        <v>-1.02504E-2</v>
      </c>
      <c r="P3009">
        <v>0.9981293</v>
      </c>
      <c r="Q3009">
        <v>-5.7777660000000002E-3</v>
      </c>
      <c r="R3009">
        <v>6.0867129999999998E-2</v>
      </c>
      <c r="S3009">
        <v>3.0067750000000002</v>
      </c>
      <c r="T3009">
        <v>-0.1784934</v>
      </c>
      <c r="U3009">
        <v>-3.6209110000000003E-2</v>
      </c>
      <c r="V3009">
        <v>-7.1093630000000005E-2</v>
      </c>
      <c r="W3009">
        <v>-2.8499689999999999E-3</v>
      </c>
      <c r="X3009">
        <v>0.99746559999999995</v>
      </c>
      <c r="Y3009">
        <v>1.806156E-3</v>
      </c>
      <c r="Z3009">
        <v>5.5436959999999997E-4</v>
      </c>
      <c r="AA3009">
        <v>0.99999819999999995</v>
      </c>
      <c r="AB3009">
        <v>32</v>
      </c>
      <c r="AC3009">
        <v>18.2715999999999</v>
      </c>
      <c r="AD3009">
        <v>-1.1031459147460001</v>
      </c>
      <c r="AE3009">
        <v>-0.220799999999996</v>
      </c>
      <c r="AF3009">
        <v>3.33747365675982E-2</v>
      </c>
      <c r="AG3009">
        <v>-1.1031459147460001</v>
      </c>
      <c r="AH3009">
        <v>18.2065478552801</v>
      </c>
      <c r="AI3009">
        <v>93.467341664484707</v>
      </c>
      <c r="AJ3009">
        <v>89.894970237027593</v>
      </c>
      <c r="AK3009">
        <v>18.239967916333299</v>
      </c>
    </row>
    <row r="3010" spans="1:37" x14ac:dyDescent="0.2">
      <c r="A3010" t="str">
        <f>"20200111155905107"</f>
        <v>20200111155905107</v>
      </c>
      <c r="B3010" t="str">
        <f>"1578729545104390"</f>
        <v>1578729545104390</v>
      </c>
      <c r="C3010" t="s">
        <v>37</v>
      </c>
      <c r="D3010">
        <v>5.2611869999999996</v>
      </c>
      <c r="E3010">
        <v>0.5167022</v>
      </c>
      <c r="F3010" t="s">
        <v>50</v>
      </c>
      <c r="G3010">
        <v>-345.32319999999999</v>
      </c>
      <c r="H3010" s="1">
        <v>1.295934E-6</v>
      </c>
      <c r="I3010">
        <v>214.291</v>
      </c>
      <c r="J3010">
        <v>-366.64879999999999</v>
      </c>
      <c r="K3010">
        <v>1.1031260000000001</v>
      </c>
      <c r="L3010">
        <v>214.1703</v>
      </c>
      <c r="M3010">
        <v>0.99994629999999995</v>
      </c>
      <c r="N3010">
        <v>0</v>
      </c>
      <c r="O3010">
        <v>-9.9470510000000002E-3</v>
      </c>
      <c r="P3010">
        <v>0.99806870000000003</v>
      </c>
      <c r="Q3010">
        <v>-6.5792589999999996E-3</v>
      </c>
      <c r="R3010">
        <v>6.1767809999999999E-2</v>
      </c>
      <c r="S3010">
        <v>3.0037539999999998</v>
      </c>
      <c r="T3010">
        <v>-0.15316569999999999</v>
      </c>
      <c r="U3010">
        <v>1.6357420000000001E-2</v>
      </c>
      <c r="V3010">
        <v>-7.1690329999999997E-2</v>
      </c>
      <c r="W3010">
        <v>-3.723507E-3</v>
      </c>
      <c r="X3010">
        <v>0.99741999999999997</v>
      </c>
      <c r="Y3010">
        <v>-1.5359380000000001E-2</v>
      </c>
      <c r="Z3010">
        <v>8.9822199999999995E-4</v>
      </c>
      <c r="AA3010">
        <v>0.99988159999999904</v>
      </c>
      <c r="AB3010">
        <v>32</v>
      </c>
      <c r="AC3010">
        <v>21.325600000000001</v>
      </c>
      <c r="AD3010">
        <v>-1.1031247040659999</v>
      </c>
      <c r="AE3010">
        <v>0.120699999999999</v>
      </c>
      <c r="AF3010">
        <v>-0.33193361063979898</v>
      </c>
      <c r="AG3010">
        <v>-1.1031247040659999</v>
      </c>
      <c r="AH3010">
        <v>21.266442319238301</v>
      </c>
      <c r="AI3010">
        <v>92.9690023408901</v>
      </c>
      <c r="AJ3010">
        <v>90.894218717384106</v>
      </c>
      <c r="AK3010">
        <v>21.297620358905899</v>
      </c>
    </row>
    <row r="3011" spans="1:37" x14ac:dyDescent="0.2">
      <c r="A3011" t="str">
        <f>"20200111155905130"</f>
        <v>20200111155905130</v>
      </c>
      <c r="B3011" t="str">
        <f>"1578729545124887"</f>
        <v>1578729545124887</v>
      </c>
      <c r="C3011" t="s">
        <v>37</v>
      </c>
      <c r="D3011">
        <v>5.2415419999999999</v>
      </c>
      <c r="E3011">
        <v>0.51698820000000001</v>
      </c>
      <c r="F3011" t="s">
        <v>50</v>
      </c>
      <c r="G3011">
        <v>-342.00060000000002</v>
      </c>
      <c r="H3011" s="1">
        <v>-4.72147299999999E-7</v>
      </c>
      <c r="I3011">
        <v>214.61349999999999</v>
      </c>
      <c r="J3011">
        <v>-366.3134</v>
      </c>
      <c r="K3011">
        <v>1.1031120000000001</v>
      </c>
      <c r="L3011">
        <v>214.16730000000001</v>
      </c>
      <c r="M3011">
        <v>0.99994969999999905</v>
      </c>
      <c r="N3011">
        <v>0</v>
      </c>
      <c r="O3011">
        <v>-9.6210600000000007E-3</v>
      </c>
      <c r="P3011">
        <v>0.99803759999999997</v>
      </c>
      <c r="Q3011">
        <v>-7.1585959999999997E-3</v>
      </c>
      <c r="R3011">
        <v>6.220883E-2</v>
      </c>
      <c r="S3011">
        <v>3.001617</v>
      </c>
      <c r="T3011">
        <v>-0.13433719999999999</v>
      </c>
      <c r="U3011">
        <v>5.3970339999999999E-2</v>
      </c>
      <c r="V3011">
        <v>-7.1805720000000003E-2</v>
      </c>
      <c r="W3011">
        <v>-4.36773299999999E-3</v>
      </c>
      <c r="X3011">
        <v>0.99740899999999999</v>
      </c>
      <c r="Y3011">
        <v>-2.755902E-2</v>
      </c>
      <c r="Z3011">
        <v>1.046688E-3</v>
      </c>
      <c r="AA3011">
        <v>0.99961959999999905</v>
      </c>
      <c r="AB3011">
        <v>32</v>
      </c>
      <c r="AC3011">
        <v>24.3127999999999</v>
      </c>
      <c r="AD3011">
        <v>-1.1031124721473</v>
      </c>
      <c r="AE3011">
        <v>0.446199999999976</v>
      </c>
      <c r="AF3011">
        <v>-0.67869850439577195</v>
      </c>
      <c r="AG3011">
        <v>-1.1031124721473</v>
      </c>
      <c r="AH3011">
        <v>24.257462445666299</v>
      </c>
      <c r="AI3011">
        <v>92.602724904154897</v>
      </c>
      <c r="AJ3011">
        <v>91.602658053317597</v>
      </c>
      <c r="AK3011">
        <v>24.292014595108999</v>
      </c>
    </row>
    <row r="3012" spans="1:37" x14ac:dyDescent="0.2">
      <c r="A3012" t="str">
        <f>"20200111155905154"</f>
        <v>20200111155905154</v>
      </c>
      <c r="B3012" t="str">
        <f>"1578729545144406"</f>
        <v>1578729545144406</v>
      </c>
      <c r="C3012" t="s">
        <v>37</v>
      </c>
      <c r="D3012">
        <v>5.2567500000000003</v>
      </c>
      <c r="E3012">
        <v>0.51714950000000004</v>
      </c>
      <c r="F3012" t="s">
        <v>50</v>
      </c>
      <c r="G3012">
        <v>-341.45249999999999</v>
      </c>
      <c r="H3012" s="1">
        <v>-7.6382420000000001E-7</v>
      </c>
      <c r="I3012">
        <v>214.6063</v>
      </c>
      <c r="J3012">
        <v>-365.97320000000002</v>
      </c>
      <c r="K3012">
        <v>1.1030990000000001</v>
      </c>
      <c r="L3012">
        <v>214.1643</v>
      </c>
      <c r="M3012">
        <v>0.99995299999999998</v>
      </c>
      <c r="N3012">
        <v>0</v>
      </c>
      <c r="O3012">
        <v>-9.2949639999999993E-3</v>
      </c>
      <c r="P3012">
        <v>0.998005699999999</v>
      </c>
      <c r="Q3012">
        <v>-7.5217790000000001E-3</v>
      </c>
      <c r="R3012">
        <v>6.2674900000000006E-2</v>
      </c>
      <c r="S3012">
        <v>3.0016479999999999</v>
      </c>
      <c r="T3012">
        <v>-0.13318769999999999</v>
      </c>
      <c r="U3012">
        <v>5.3009029999999999E-2</v>
      </c>
      <c r="V3012">
        <v>-7.1945880000000004E-2</v>
      </c>
      <c r="W3012">
        <v>-4.784646E-3</v>
      </c>
      <c r="X3012">
        <v>0.99739709999999904</v>
      </c>
      <c r="Y3012">
        <v>-2.6914400000000002E-2</v>
      </c>
      <c r="Z3012">
        <v>1.008978E-3</v>
      </c>
      <c r="AA3012">
        <v>0.999637199999999</v>
      </c>
      <c r="AB3012">
        <v>32</v>
      </c>
      <c r="AC3012">
        <v>24.520700000000001</v>
      </c>
      <c r="AD3012">
        <v>-1.1030997638241999</v>
      </c>
      <c r="AE3012">
        <v>0.442000000000007</v>
      </c>
      <c r="AF3012">
        <v>-0.66854823905239902</v>
      </c>
      <c r="AG3012">
        <v>-1.1030997638241999</v>
      </c>
      <c r="AH3012">
        <v>24.466034478133501</v>
      </c>
      <c r="AI3012">
        <v>92.580583731512206</v>
      </c>
      <c r="AJ3012">
        <v>91.565250096451294</v>
      </c>
      <c r="AK3012">
        <v>24.5000128351417</v>
      </c>
    </row>
    <row r="3013" spans="1:37" x14ac:dyDescent="0.2">
      <c r="A3013" t="str">
        <f>"20200111155905174"</f>
        <v>20200111155905174</v>
      </c>
      <c r="B3013" t="str">
        <f>"1578729545164901"</f>
        <v>1578729545164901</v>
      </c>
      <c r="C3013" t="s">
        <v>37</v>
      </c>
      <c r="D3013">
        <v>6.4923349999999997</v>
      </c>
      <c r="E3013">
        <v>0.51728079999999999</v>
      </c>
      <c r="F3013" t="s">
        <v>50</v>
      </c>
      <c r="G3013">
        <v>-340.93759999999997</v>
      </c>
      <c r="H3013" s="1">
        <v>-1.037861E-6</v>
      </c>
      <c r="I3013">
        <v>214.60669999999999</v>
      </c>
      <c r="J3013">
        <v>-365.66629999999998</v>
      </c>
      <c r="K3013">
        <v>1.1030789999999999</v>
      </c>
      <c r="L3013">
        <v>214.1617</v>
      </c>
      <c r="M3013">
        <v>0.999955699999999</v>
      </c>
      <c r="N3013">
        <v>0</v>
      </c>
      <c r="O3013">
        <v>-9.0066790000000001E-3</v>
      </c>
      <c r="P3013">
        <v>0.99796799999999997</v>
      </c>
      <c r="Q3013">
        <v>-7.9024100000000003E-3</v>
      </c>
      <c r="R3013">
        <v>6.3227229999999995E-2</v>
      </c>
      <c r="S3013">
        <v>3.0016780000000001</v>
      </c>
      <c r="T3013">
        <v>-0.1322575</v>
      </c>
      <c r="U3013">
        <v>5.3039549999999998E-2</v>
      </c>
      <c r="V3013">
        <v>-7.2210140000000006E-2</v>
      </c>
      <c r="W3013">
        <v>-5.2042750000000004E-3</v>
      </c>
      <c r="X3013">
        <v>0.99737580000000003</v>
      </c>
      <c r="Y3013">
        <v>-2.663722E-2</v>
      </c>
      <c r="Z3013">
        <v>9.831302000000001E-4</v>
      </c>
      <c r="AA3013">
        <v>0.99964470000000005</v>
      </c>
      <c r="AB3013">
        <v>32</v>
      </c>
      <c r="AC3013">
        <v>24.7287</v>
      </c>
      <c r="AD3013">
        <v>-1.103080037861</v>
      </c>
      <c r="AE3013">
        <v>0.44499999999999301</v>
      </c>
      <c r="AF3013">
        <v>-0.66638070462718602</v>
      </c>
      <c r="AG3013">
        <v>-1.103080037861</v>
      </c>
      <c r="AH3013">
        <v>24.674607114581001</v>
      </c>
      <c r="AI3013">
        <v>92.558775783229194</v>
      </c>
      <c r="AJ3013">
        <v>91.5469961989361</v>
      </c>
      <c r="AK3013">
        <v>24.708239214326099</v>
      </c>
    </row>
    <row r="3014" spans="1:37" x14ac:dyDescent="0.2">
      <c r="A3014" t="str">
        <f>"20200111155905197"</f>
        <v>20200111155905197</v>
      </c>
      <c r="B3014" t="str">
        <f>"1578729545184421"</f>
        <v>1578729545184421</v>
      </c>
      <c r="C3014" t="s">
        <v>37</v>
      </c>
      <c r="D3014">
        <v>5.3346489999999998</v>
      </c>
      <c r="E3014">
        <v>0.51760329999999999</v>
      </c>
      <c r="F3014" t="s">
        <v>50</v>
      </c>
      <c r="G3014">
        <v>-340.60680000000002</v>
      </c>
      <c r="H3014" s="1">
        <v>-1.2139069999999999E-6</v>
      </c>
      <c r="I3014">
        <v>214.61</v>
      </c>
      <c r="J3014">
        <v>-365.34469999999999</v>
      </c>
      <c r="K3014">
        <v>1.1030659999999901</v>
      </c>
      <c r="L3014">
        <v>214.1591</v>
      </c>
      <c r="M3014">
        <v>0.99995849999999897</v>
      </c>
      <c r="N3014">
        <v>0</v>
      </c>
      <c r="O3014">
        <v>-8.7130409999999995E-3</v>
      </c>
      <c r="P3014">
        <v>0.99794329999999998</v>
      </c>
      <c r="Q3014">
        <v>-7.9685380000000007E-3</v>
      </c>
      <c r="R3014">
        <v>6.360789E-2</v>
      </c>
      <c r="S3014">
        <v>3.001617</v>
      </c>
      <c r="T3014">
        <v>-0.1321261</v>
      </c>
      <c r="U3014">
        <v>5.3695680000000003E-2</v>
      </c>
      <c r="V3014">
        <v>-7.2297630000000002E-2</v>
      </c>
      <c r="W3014">
        <v>-5.3022440000000002E-3</v>
      </c>
      <c r="X3014">
        <v>0.99736899999999995</v>
      </c>
      <c r="Y3014">
        <v>-2.6562909999999999E-2</v>
      </c>
      <c r="Z3014">
        <v>9.6761959999999995E-4</v>
      </c>
      <c r="AA3014">
        <v>0.999646699999999</v>
      </c>
      <c r="AB3014">
        <v>33</v>
      </c>
      <c r="AC3014">
        <v>24.7378999999999</v>
      </c>
      <c r="AD3014">
        <v>-1.1030672139069999</v>
      </c>
      <c r="AE3014">
        <v>0.45090000000001801</v>
      </c>
      <c r="AF3014">
        <v>-0.66510400807043502</v>
      </c>
      <c r="AG3014">
        <v>-1.1030672139069999</v>
      </c>
      <c r="AH3014">
        <v>24.6839698084807</v>
      </c>
      <c r="AI3014">
        <v>92.557781092336299</v>
      </c>
      <c r="AJ3014">
        <v>91.543448423947197</v>
      </c>
      <c r="AK3014">
        <v>24.717554210033299</v>
      </c>
    </row>
    <row r="3015" spans="1:37" x14ac:dyDescent="0.2">
      <c r="A3015" t="str">
        <f>"20200111155905220"</f>
        <v>20200111155905220</v>
      </c>
      <c r="B3015" t="str">
        <f>"1578729545214678"</f>
        <v>1578729545214678</v>
      </c>
      <c r="C3015" t="s">
        <v>37</v>
      </c>
      <c r="D3015">
        <v>5.3181039999999999</v>
      </c>
      <c r="E3015">
        <v>0.51795530000000001</v>
      </c>
      <c r="F3015" t="s">
        <v>50</v>
      </c>
      <c r="G3015">
        <v>-337.8732</v>
      </c>
      <c r="H3015" s="1">
        <v>2.6521239999999998E-6</v>
      </c>
      <c r="I3015">
        <v>214.63470000000001</v>
      </c>
      <c r="J3015">
        <v>-364.9939</v>
      </c>
      <c r="K3015">
        <v>1.1030519999999999</v>
      </c>
      <c r="L3015">
        <v>214.15629999999999</v>
      </c>
      <c r="M3015">
        <v>0.99996099999999999</v>
      </c>
      <c r="N3015">
        <v>0</v>
      </c>
      <c r="O3015">
        <v>-8.4041559999999994E-3</v>
      </c>
      <c r="P3015">
        <v>0.99791739999999995</v>
      </c>
      <c r="Q3015">
        <v>-8.3883399999999993E-3</v>
      </c>
      <c r="R3015">
        <v>6.3956940000000004E-2</v>
      </c>
      <c r="S3015">
        <v>3.0019529999999999</v>
      </c>
      <c r="T3015">
        <v>-0.12053750000000001</v>
      </c>
      <c r="U3015">
        <v>5.1971440000000001E-2</v>
      </c>
      <c r="V3015">
        <v>-7.2337869999999999E-2</v>
      </c>
      <c r="W3015">
        <v>-5.7477630000000004E-3</v>
      </c>
      <c r="X3015">
        <v>0.99736360000000002</v>
      </c>
      <c r="Y3015">
        <v>-2.5684809999999999E-2</v>
      </c>
      <c r="Z3015">
        <v>8.5271070000000003E-4</v>
      </c>
      <c r="AA3015">
        <v>0.99966969999999999</v>
      </c>
      <c r="AB3015">
        <v>33</v>
      </c>
      <c r="AC3015">
        <v>27.120699999999999</v>
      </c>
      <c r="AD3015">
        <v>-1.103049347876</v>
      </c>
      <c r="AE3015">
        <v>0.47840000000002098</v>
      </c>
      <c r="AF3015">
        <v>-0.70514445098380896</v>
      </c>
      <c r="AG3015">
        <v>-1.103049347876</v>
      </c>
      <c r="AH3015">
        <v>27.070954795696299</v>
      </c>
      <c r="AI3015">
        <v>92.332527116844304</v>
      </c>
      <c r="AJ3015">
        <v>91.492103528960499</v>
      </c>
      <c r="AK3015">
        <v>27.102592866942398</v>
      </c>
    </row>
    <row r="3016" spans="1:37" x14ac:dyDescent="0.2">
      <c r="A3016" t="str">
        <f>"20200111155905242"</f>
        <v>20200111155905242</v>
      </c>
      <c r="B3016" t="str">
        <f>"1578729545235174"</f>
        <v>1578729545235174</v>
      </c>
      <c r="C3016" t="s">
        <v>37</v>
      </c>
      <c r="D3016">
        <v>5.3624019999999897</v>
      </c>
      <c r="E3016">
        <v>0.51814729999999998</v>
      </c>
      <c r="F3016" t="s">
        <v>50</v>
      </c>
      <c r="G3016">
        <v>-337.48009999999999</v>
      </c>
      <c r="H3016" s="1">
        <v>2.4437660000000001E-6</v>
      </c>
      <c r="I3016">
        <v>214.6163</v>
      </c>
      <c r="J3016">
        <v>-364.65499999999997</v>
      </c>
      <c r="K3016">
        <v>1.10304</v>
      </c>
      <c r="L3016">
        <v>214.15379999999999</v>
      </c>
      <c r="M3016">
        <v>0.99996350000000001</v>
      </c>
      <c r="N3016">
        <v>0</v>
      </c>
      <c r="O3016">
        <v>-8.1186499999999998E-3</v>
      </c>
      <c r="P3016">
        <v>0.99789509999999904</v>
      </c>
      <c r="Q3016">
        <v>-8.5549419999999994E-3</v>
      </c>
      <c r="R3016">
        <v>6.4281179999999993E-2</v>
      </c>
      <c r="S3016">
        <v>3.0020449999999999</v>
      </c>
      <c r="T3016">
        <v>-0.120354399999999</v>
      </c>
      <c r="U3016">
        <v>5.018616E-2</v>
      </c>
      <c r="V3016">
        <v>-7.2377269999999994E-2</v>
      </c>
      <c r="W3016">
        <v>-5.9288450000000003E-3</v>
      </c>
      <c r="X3016">
        <v>0.99735969999999996</v>
      </c>
      <c r="Y3016">
        <v>-2.4805549999999999E-2</v>
      </c>
      <c r="Z3016">
        <v>8.2233689999999999E-4</v>
      </c>
      <c r="AA3016">
        <v>0.99969200000000003</v>
      </c>
      <c r="AB3016">
        <v>33</v>
      </c>
      <c r="AC3016">
        <v>27.174899999999901</v>
      </c>
      <c r="AD3016">
        <v>-1.103037556234</v>
      </c>
      <c r="AE3016">
        <v>0.46250000000000502</v>
      </c>
      <c r="AF3016">
        <v>-0.68198574497172504</v>
      </c>
      <c r="AG3016">
        <v>-1.103037556234</v>
      </c>
      <c r="AH3016">
        <v>27.125571088024898</v>
      </c>
      <c r="AI3016">
        <v>92.327864875504901</v>
      </c>
      <c r="AJ3016">
        <v>91.440215752647703</v>
      </c>
      <c r="AK3016">
        <v>27.156553596844802</v>
      </c>
    </row>
    <row r="3017" spans="1:37" x14ac:dyDescent="0.2">
      <c r="A3017" t="str">
        <f>"20200111155905266"</f>
        <v>20200111155905266</v>
      </c>
      <c r="B3017" t="str">
        <f>"1578729545254693"</f>
        <v>1578729545254693</v>
      </c>
      <c r="C3017" t="s">
        <v>37</v>
      </c>
      <c r="D3017">
        <v>5.3118910000000001</v>
      </c>
      <c r="E3017">
        <v>0.51835659999999995</v>
      </c>
      <c r="F3017" t="s">
        <v>50</v>
      </c>
      <c r="G3017">
        <v>-337.28190000000001</v>
      </c>
      <c r="H3017" s="1">
        <v>2.3387609999999999E-6</v>
      </c>
      <c r="I3017">
        <v>214.60570000000001</v>
      </c>
      <c r="J3017">
        <v>-364.31729999999999</v>
      </c>
      <c r="K3017">
        <v>1.10302099999999</v>
      </c>
      <c r="L3017">
        <v>214.15119999999999</v>
      </c>
      <c r="M3017">
        <v>0.99996569999999996</v>
      </c>
      <c r="N3017">
        <v>0</v>
      </c>
      <c r="O3017">
        <v>-7.8475860000000001E-3</v>
      </c>
      <c r="P3017">
        <v>0.99787289999999995</v>
      </c>
      <c r="Q3017">
        <v>-8.4895379999999996E-3</v>
      </c>
      <c r="R3017">
        <v>6.4634559999999994E-2</v>
      </c>
      <c r="S3017">
        <v>3.0021059999999999</v>
      </c>
      <c r="T3017">
        <v>-0.12097429999999899</v>
      </c>
      <c r="U3017">
        <v>4.9560550000000002E-2</v>
      </c>
      <c r="V3017">
        <v>-7.246052E-2</v>
      </c>
      <c r="W3017">
        <v>-5.864429E-3</v>
      </c>
      <c r="X3017">
        <v>0.99735399999999996</v>
      </c>
      <c r="Y3017">
        <v>-2.4326279999999999E-2</v>
      </c>
      <c r="Z3017">
        <v>8.0598390000000001E-4</v>
      </c>
      <c r="AA3017">
        <v>0.99970380000000003</v>
      </c>
      <c r="AB3017">
        <v>33</v>
      </c>
      <c r="AC3017">
        <v>27.0353999999999</v>
      </c>
      <c r="AD3017">
        <v>-1.1030186612389901</v>
      </c>
      <c r="AE3017">
        <v>0.454500000000024</v>
      </c>
      <c r="AF3017">
        <v>-0.66554185217146999</v>
      </c>
      <c r="AG3017">
        <v>-1.1030186612389901</v>
      </c>
      <c r="AH3017">
        <v>26.9860934098405</v>
      </c>
      <c r="AI3017">
        <v>92.339870958658807</v>
      </c>
      <c r="AJ3017">
        <v>91.412765095349698</v>
      </c>
      <c r="AK3017">
        <v>27.0168250105128</v>
      </c>
    </row>
    <row r="3018" spans="1:37" x14ac:dyDescent="0.2">
      <c r="A3018" t="str">
        <f>"20200111155905287"</f>
        <v>20200111155905287</v>
      </c>
      <c r="B3018" t="str">
        <f>"1578729545284950"</f>
        <v>1578729545284950</v>
      </c>
      <c r="C3018" t="s">
        <v>37</v>
      </c>
      <c r="D3018">
        <v>5.3582219999999996</v>
      </c>
      <c r="E3018">
        <v>0.5186501</v>
      </c>
      <c r="F3018" t="s">
        <v>50</v>
      </c>
      <c r="G3018">
        <v>-336.86880000000002</v>
      </c>
      <c r="H3018" s="1">
        <v>2.1192029999999998E-6</v>
      </c>
      <c r="I3018">
        <v>214.5993</v>
      </c>
      <c r="J3018">
        <v>-363.99459999999999</v>
      </c>
      <c r="K3018">
        <v>1.1030089999999999</v>
      </c>
      <c r="L3018">
        <v>214.1489</v>
      </c>
      <c r="M3018">
        <v>0.99996759999999996</v>
      </c>
      <c r="N3018">
        <v>0</v>
      </c>
      <c r="O3018">
        <v>-7.6000180000000001E-3</v>
      </c>
      <c r="P3018">
        <v>0.99786379999999997</v>
      </c>
      <c r="Q3018">
        <v>-8.2917459999999991E-3</v>
      </c>
      <c r="R3018">
        <v>6.4801689999999995E-2</v>
      </c>
      <c r="S3018">
        <v>3.002167</v>
      </c>
      <c r="T3018">
        <v>-0.1206425</v>
      </c>
      <c r="U3018">
        <v>4.9011230000000003E-2</v>
      </c>
      <c r="V3018">
        <v>-7.2380230000000004E-2</v>
      </c>
      <c r="W3018">
        <v>-5.6536219999999996E-3</v>
      </c>
      <c r="X3018">
        <v>0.997361099999999</v>
      </c>
      <c r="Y3018">
        <v>-2.3896259999999999E-2</v>
      </c>
      <c r="Z3018">
        <v>7.8518000000000001E-4</v>
      </c>
      <c r="AA3018">
        <v>0.99971409999999905</v>
      </c>
      <c r="AB3018">
        <v>33</v>
      </c>
      <c r="AC3018">
        <v>27.125799999999899</v>
      </c>
      <c r="AD3018">
        <v>-1.1030068807969999</v>
      </c>
      <c r="AE3018">
        <v>0.45040000000000102</v>
      </c>
      <c r="AF3018">
        <v>-0.65546081227581898</v>
      </c>
      <c r="AG3018">
        <v>-1.1030068807969999</v>
      </c>
      <c r="AH3018">
        <v>27.076835644471799</v>
      </c>
      <c r="AI3018">
        <v>92.332039054623806</v>
      </c>
      <c r="AJ3018">
        <v>91.3867131846565</v>
      </c>
      <c r="AK3018">
        <v>27.107218255904701</v>
      </c>
    </row>
    <row r="3019" spans="1:37" x14ac:dyDescent="0.2">
      <c r="A3019" t="str">
        <f>"20200111155905309"</f>
        <v>20200111155905309</v>
      </c>
      <c r="B3019" t="str">
        <f>"1578729545304470"</f>
        <v>1578729545304470</v>
      </c>
      <c r="C3019" t="s">
        <v>37</v>
      </c>
      <c r="D3019">
        <v>5.3864809999999999</v>
      </c>
      <c r="E3019">
        <v>0.51899390000000001</v>
      </c>
      <c r="F3019" t="s">
        <v>50</v>
      </c>
      <c r="G3019">
        <v>-336.42230000000001</v>
      </c>
      <c r="H3019" s="1">
        <v>1.8822909999999999E-6</v>
      </c>
      <c r="I3019">
        <v>214.5829</v>
      </c>
      <c r="J3019">
        <v>-363.6748</v>
      </c>
      <c r="K3019">
        <v>1.1030059999999999</v>
      </c>
      <c r="L3019">
        <v>214.14670000000001</v>
      </c>
      <c r="M3019">
        <v>0.99996939999999901</v>
      </c>
      <c r="N3019">
        <v>0</v>
      </c>
      <c r="O3019">
        <v>-7.3624700000000003E-3</v>
      </c>
      <c r="P3019">
        <v>0.99785550000000001</v>
      </c>
      <c r="Q3019">
        <v>-7.9982119999999993E-3</v>
      </c>
      <c r="R3019">
        <v>6.4969120000000005E-2</v>
      </c>
      <c r="S3019">
        <v>3.0024109999999999</v>
      </c>
      <c r="T3019">
        <v>-0.12010899999999999</v>
      </c>
      <c r="U3019">
        <v>4.7256470000000002E-2</v>
      </c>
      <c r="V3019">
        <v>-7.2311399999999998E-2</v>
      </c>
      <c r="W3019">
        <v>-5.3379459999999997E-3</v>
      </c>
      <c r="X3019">
        <v>0.99736780000000003</v>
      </c>
      <c r="Y3019">
        <v>-2.3074379999999999E-2</v>
      </c>
      <c r="Z3019">
        <v>7.5571969999999999E-4</v>
      </c>
      <c r="AA3019">
        <v>0.99973339999999999</v>
      </c>
      <c r="AB3019">
        <v>34</v>
      </c>
      <c r="AC3019">
        <v>27.252500000000001</v>
      </c>
      <c r="AD3019">
        <v>-1.103004117709</v>
      </c>
      <c r="AE3019">
        <v>0.43619999999998499</v>
      </c>
      <c r="AF3019">
        <v>-0.63579336354099203</v>
      </c>
      <c r="AG3019">
        <v>-1.103004117709</v>
      </c>
      <c r="AH3019">
        <v>27.203998265092402</v>
      </c>
      <c r="AI3019">
        <v>92.321190385637905</v>
      </c>
      <c r="AJ3019">
        <v>91.338834298924496</v>
      </c>
      <c r="AK3019">
        <v>27.233772652571599</v>
      </c>
    </row>
    <row r="3020" spans="1:37" x14ac:dyDescent="0.2">
      <c r="A3020" t="str">
        <f>"20200111155905331"</f>
        <v>20200111155905331</v>
      </c>
      <c r="B3020" t="str">
        <f>"1578729545324966"</f>
        <v>1578729545324966</v>
      </c>
      <c r="C3020" t="s">
        <v>37</v>
      </c>
      <c r="D3020">
        <v>5.4563179999999996</v>
      </c>
      <c r="E3020">
        <v>0.51923490000000005</v>
      </c>
      <c r="F3020" t="s">
        <v>50</v>
      </c>
      <c r="G3020">
        <v>-336.09140000000002</v>
      </c>
      <c r="H3020" s="1">
        <v>1.707288E-6</v>
      </c>
      <c r="I3020">
        <v>214.55850000000001</v>
      </c>
      <c r="J3020">
        <v>-363.32909999999998</v>
      </c>
      <c r="K3020">
        <v>1.1029949999999999</v>
      </c>
      <c r="L3020">
        <v>214.14439999999999</v>
      </c>
      <c r="M3020">
        <v>0.99997099999999906</v>
      </c>
      <c r="N3020">
        <v>0</v>
      </c>
      <c r="O3020">
        <v>-7.1118199999999996E-3</v>
      </c>
      <c r="P3020">
        <v>0.99785889999999999</v>
      </c>
      <c r="Q3020">
        <v>-8.2901750000000003E-3</v>
      </c>
      <c r="R3020">
        <v>6.4873330000000007E-2</v>
      </c>
      <c r="S3020">
        <v>3.0025629999999999</v>
      </c>
      <c r="T3020">
        <v>-0.12006649999999899</v>
      </c>
      <c r="U3020">
        <v>4.483032E-2</v>
      </c>
      <c r="V3020">
        <v>-7.1965550000000003E-2</v>
      </c>
      <c r="W3020">
        <v>-5.5956309999999898E-3</v>
      </c>
      <c r="X3020">
        <v>0.99739140000000004</v>
      </c>
      <c r="Y3020">
        <v>-2.2016419999999998E-2</v>
      </c>
      <c r="Z3020">
        <v>7.2425720000000003E-4</v>
      </c>
      <c r="AA3020">
        <v>0.99975729999999996</v>
      </c>
      <c r="AB3020">
        <v>34</v>
      </c>
      <c r="AC3020">
        <v>27.237699999999901</v>
      </c>
      <c r="AD3020">
        <v>-1.1029932927120001</v>
      </c>
      <c r="AE3020">
        <v>0.41410000000001901</v>
      </c>
      <c r="AF3020">
        <v>-0.60680502500858402</v>
      </c>
      <c r="AG3020">
        <v>-1.1029932927120001</v>
      </c>
      <c r="AH3020">
        <v>27.189489697748598</v>
      </c>
      <c r="AI3020">
        <v>92.322460684013393</v>
      </c>
      <c r="AJ3020">
        <v>91.2784938871376</v>
      </c>
      <c r="AK3020">
        <v>27.218617829826002</v>
      </c>
    </row>
    <row r="3021" spans="1:37" x14ac:dyDescent="0.2">
      <c r="A3021" t="str">
        <f>"20200111155905354"</f>
        <v>20200111155905354</v>
      </c>
      <c r="B3021" t="str">
        <f>"1578729545344485"</f>
        <v>1578729545344485</v>
      </c>
      <c r="C3021" t="s">
        <v>37</v>
      </c>
      <c r="D3021">
        <v>5.3673679999999999</v>
      </c>
      <c r="E3021">
        <v>0.51949389999999995</v>
      </c>
      <c r="F3021" t="s">
        <v>50</v>
      </c>
      <c r="G3021">
        <v>-336.08179999999999</v>
      </c>
      <c r="H3021" s="1">
        <v>1.703322E-6</v>
      </c>
      <c r="I3021">
        <v>214.53229999999999</v>
      </c>
      <c r="J3021">
        <v>-362.98469999999998</v>
      </c>
      <c r="K3021">
        <v>1.1029910000000001</v>
      </c>
      <c r="L3021">
        <v>214.1422</v>
      </c>
      <c r="M3021">
        <v>0.99997269999999905</v>
      </c>
      <c r="N3021">
        <v>0</v>
      </c>
      <c r="O3021">
        <v>-6.8664249999999998E-3</v>
      </c>
      <c r="P3021">
        <v>0.99783659999999996</v>
      </c>
      <c r="Q3021">
        <v>-8.4066290000000005E-3</v>
      </c>
      <c r="R3021">
        <v>6.5203639999999993E-2</v>
      </c>
      <c r="S3021">
        <v>3.0026860000000002</v>
      </c>
      <c r="T3021">
        <v>-0.121551299999999</v>
      </c>
      <c r="U3021">
        <v>4.2739869999999999E-2</v>
      </c>
      <c r="V3021">
        <v>-7.2050639999999999E-2</v>
      </c>
      <c r="W3021">
        <v>-5.6660149999999999E-3</v>
      </c>
      <c r="X3021">
        <v>0.99738490000000002</v>
      </c>
      <c r="Y3021">
        <v>-2.107498E-2</v>
      </c>
      <c r="Z3021">
        <v>7.0420409999999998E-4</v>
      </c>
      <c r="AA3021">
        <v>0.99977769999999999</v>
      </c>
      <c r="AB3021">
        <v>34</v>
      </c>
      <c r="AC3021">
        <v>26.902899999999899</v>
      </c>
      <c r="AD3021">
        <v>-1.1029892966779999</v>
      </c>
      <c r="AE3021">
        <v>0.39009999999998901</v>
      </c>
      <c r="AF3021">
        <v>-0.57385384326489497</v>
      </c>
      <c r="AG3021">
        <v>-1.1029892966779999</v>
      </c>
      <c r="AH3021">
        <v>26.854456749588099</v>
      </c>
      <c r="AI3021">
        <v>92.351443234415598</v>
      </c>
      <c r="AJ3021">
        <v>91.224169243766397</v>
      </c>
      <c r="AK3021">
        <v>26.883224154433499</v>
      </c>
    </row>
    <row r="3022" spans="1:37" x14ac:dyDescent="0.2">
      <c r="A3022" t="str">
        <f>"20200111155905376"</f>
        <v>20200111155905376</v>
      </c>
      <c r="B3022" t="str">
        <f>"1578729545364981"</f>
        <v>1578729545364981</v>
      </c>
      <c r="C3022" t="s">
        <v>37</v>
      </c>
      <c r="D3022">
        <v>5.3041089999999897</v>
      </c>
      <c r="E3022">
        <v>0.51931579999999999</v>
      </c>
      <c r="F3022" t="s">
        <v>50</v>
      </c>
      <c r="G3022">
        <v>-335.88979999999998</v>
      </c>
      <c r="H3022" s="1">
        <v>1.601835E-6</v>
      </c>
      <c r="I3022">
        <v>214.51669999999999</v>
      </c>
      <c r="J3022">
        <v>-362.6472</v>
      </c>
      <c r="K3022">
        <v>1.1029929999999999</v>
      </c>
      <c r="L3022">
        <v>214.14009999999999</v>
      </c>
      <c r="M3022">
        <v>0.99997400000000003</v>
      </c>
      <c r="N3022">
        <v>0</v>
      </c>
      <c r="O3022">
        <v>-6.6284369999999896E-3</v>
      </c>
      <c r="P3022">
        <v>0.99777380000000004</v>
      </c>
      <c r="Q3022">
        <v>-8.0252229999999997E-3</v>
      </c>
      <c r="R3022">
        <v>6.6204929999999995E-2</v>
      </c>
      <c r="S3022">
        <v>3.002777</v>
      </c>
      <c r="T3022">
        <v>-0.12223829999999999</v>
      </c>
      <c r="U3022">
        <v>4.1503909999999998E-2</v>
      </c>
      <c r="V3022">
        <v>-7.2814610000000002E-2</v>
      </c>
      <c r="W3022">
        <v>-5.2225989999999996E-3</v>
      </c>
      <c r="X3022">
        <v>0.99733179999999999</v>
      </c>
      <c r="Y3022">
        <v>-2.042565E-2</v>
      </c>
      <c r="Z3022">
        <v>6.8526749999999999E-4</v>
      </c>
      <c r="AA3022">
        <v>0.99979110000000004</v>
      </c>
      <c r="AB3022">
        <v>34</v>
      </c>
      <c r="AC3022">
        <v>26.757400000000001</v>
      </c>
      <c r="AD3022">
        <v>-1.1029913981649999</v>
      </c>
      <c r="AE3022">
        <v>0.37659999999999599</v>
      </c>
      <c r="AF3022">
        <v>-0.55301266307136898</v>
      </c>
      <c r="AG3022">
        <v>-1.1029913981649999</v>
      </c>
      <c r="AH3022">
        <v>26.708939811999201</v>
      </c>
      <c r="AI3022">
        <v>92.364277449991107</v>
      </c>
      <c r="AJ3022">
        <v>91.186148350899799</v>
      </c>
      <c r="AK3022">
        <v>26.737424687335501</v>
      </c>
    </row>
    <row r="3023" spans="1:37" x14ac:dyDescent="0.2">
      <c r="A3023" t="str">
        <f>"20200111155905408"</f>
        <v>20200111155905408</v>
      </c>
      <c r="B3023" t="str">
        <f>"1578729545404998"</f>
        <v>1578729545404998</v>
      </c>
      <c r="C3023" t="s">
        <v>37</v>
      </c>
      <c r="D3023">
        <v>5.349151</v>
      </c>
      <c r="E3023">
        <v>0.51890670000000005</v>
      </c>
      <c r="F3023" t="s">
        <v>50</v>
      </c>
      <c r="G3023">
        <v>-335.34539999999998</v>
      </c>
      <c r="H3023" s="1">
        <v>1.3102969999999899E-6</v>
      </c>
      <c r="I3023">
        <v>214.55879999999999</v>
      </c>
      <c r="J3023">
        <v>-362.14510000000001</v>
      </c>
      <c r="K3023">
        <v>1.1030149999999901</v>
      </c>
      <c r="L3023">
        <v>214.1371</v>
      </c>
      <c r="M3023">
        <v>0.99997590000000003</v>
      </c>
      <c r="N3023">
        <v>0</v>
      </c>
      <c r="O3023">
        <v>-6.2763369999999999E-3</v>
      </c>
      <c r="P3023">
        <v>0.99766250000000001</v>
      </c>
      <c r="Q3023">
        <v>-6.9414759999999898E-3</v>
      </c>
      <c r="R3023">
        <v>6.798208E-2</v>
      </c>
      <c r="S3023">
        <v>3.0026549999999999</v>
      </c>
      <c r="T3023">
        <v>-0.12130730000000001</v>
      </c>
      <c r="U3023">
        <v>4.605103E-2</v>
      </c>
      <c r="V3023">
        <v>-7.4240699999999896E-2</v>
      </c>
      <c r="W3023">
        <v>-4.0027209999999999E-3</v>
      </c>
      <c r="X3023">
        <v>0.99723229999999996</v>
      </c>
      <c r="Y3023">
        <v>-2.158757E-2</v>
      </c>
      <c r="Z3023">
        <v>6.8931410000000004E-4</v>
      </c>
      <c r="AA3023">
        <v>0.99976669999999901</v>
      </c>
      <c r="AB3023">
        <v>34</v>
      </c>
      <c r="AC3023">
        <v>26.799700000000001</v>
      </c>
      <c r="AD3023">
        <v>-1.1030136897029901</v>
      </c>
      <c r="AE3023">
        <v>0.42169999999998697</v>
      </c>
      <c r="AF3023">
        <v>-0.58889906160899297</v>
      </c>
      <c r="AG3023">
        <v>-1.1030136897029901</v>
      </c>
      <c r="AH3023">
        <v>26.751221239683399</v>
      </c>
      <c r="AI3023">
        <v>92.360526609972197</v>
      </c>
      <c r="AJ3023">
        <v>91.261100626639603</v>
      </c>
      <c r="AK3023">
        <v>26.780427164609002</v>
      </c>
    </row>
    <row r="3024" spans="1:37" x14ac:dyDescent="0.2">
      <c r="A3024" t="str">
        <f>"20200111155905432"</f>
        <v>20200111155905432</v>
      </c>
      <c r="B3024" t="str">
        <f>"1578729545424517"</f>
        <v>1578729545424517</v>
      </c>
      <c r="C3024" t="s">
        <v>37</v>
      </c>
      <c r="D3024">
        <v>5.2396919999999998</v>
      </c>
      <c r="E3024">
        <v>0.51871469999999997</v>
      </c>
      <c r="F3024" t="s">
        <v>50</v>
      </c>
      <c r="G3024">
        <v>-335.60449999999997</v>
      </c>
      <c r="H3024" s="1">
        <v>1.4454519999999999E-6</v>
      </c>
      <c r="I3024">
        <v>214.6208</v>
      </c>
      <c r="J3024">
        <v>-361.7885</v>
      </c>
      <c r="K3024">
        <v>1.1030279999999999</v>
      </c>
      <c r="L3024">
        <v>214.1352</v>
      </c>
      <c r="M3024">
        <v>0.99997709999999995</v>
      </c>
      <c r="N3024">
        <v>0</v>
      </c>
      <c r="O3024">
        <v>-6.0267640000000004E-3</v>
      </c>
      <c r="P3024">
        <v>0.99761580000000005</v>
      </c>
      <c r="Q3024">
        <v>-8.0457410000000004E-3</v>
      </c>
      <c r="R3024">
        <v>6.8542370000000005E-2</v>
      </c>
      <c r="S3024">
        <v>3.002472</v>
      </c>
      <c r="T3024">
        <v>-0.12478110000000001</v>
      </c>
      <c r="U3024">
        <v>5.4718019999999999E-2</v>
      </c>
      <c r="V3024">
        <v>-7.4551350000000002E-2</v>
      </c>
      <c r="W3024">
        <v>-4.9714720000000002E-3</v>
      </c>
      <c r="X3024">
        <v>0.9972048</v>
      </c>
      <c r="Y3024">
        <v>-2.4220660000000001E-2</v>
      </c>
      <c r="Z3024">
        <v>7.5338390000000003E-4</v>
      </c>
      <c r="AA3024">
        <v>0.99970630000000005</v>
      </c>
      <c r="AB3024">
        <v>34</v>
      </c>
      <c r="AC3024">
        <v>26.184000000000001</v>
      </c>
      <c r="AD3024">
        <v>-1.103026554548</v>
      </c>
      <c r="AE3024">
        <v>0.48560000000000503</v>
      </c>
      <c r="AF3024">
        <v>-0.64225736060985605</v>
      </c>
      <c r="AG3024">
        <v>-1.103026554548</v>
      </c>
      <c r="AH3024">
        <v>26.1342360412727</v>
      </c>
      <c r="AI3024">
        <v>92.416073605355393</v>
      </c>
      <c r="AJ3024">
        <v>91.407779076149296</v>
      </c>
      <c r="AK3024">
        <v>26.165386592944799</v>
      </c>
    </row>
    <row r="3025" spans="1:37" x14ac:dyDescent="0.2">
      <c r="A3025" t="str">
        <f>"20200111155905454"</f>
        <v>20200111155905454</v>
      </c>
      <c r="B3025" t="str">
        <f>"1578729545445013"</f>
        <v>1578729545445013</v>
      </c>
      <c r="C3025" t="s">
        <v>37</v>
      </c>
      <c r="D3025">
        <v>5.1856580000000001</v>
      </c>
      <c r="E3025">
        <v>0.51863539999999997</v>
      </c>
      <c r="F3025" t="s">
        <v>50</v>
      </c>
      <c r="G3025">
        <v>-336.7269</v>
      </c>
      <c r="H3025" s="1">
        <v>2.0427750000000001E-6</v>
      </c>
      <c r="I3025">
        <v>214.62020000000001</v>
      </c>
      <c r="J3025">
        <v>-361.44420000000002</v>
      </c>
      <c r="K3025">
        <v>1.1030469999999899</v>
      </c>
      <c r="L3025">
        <v>214.13329999999999</v>
      </c>
      <c r="M3025">
        <v>0.99997789999999998</v>
      </c>
      <c r="N3025">
        <v>0</v>
      </c>
      <c r="O3025">
        <v>-5.7852199999999998E-3</v>
      </c>
      <c r="P3025">
        <v>0.99756590000000001</v>
      </c>
      <c r="Q3025">
        <v>-9.1646969999999994E-3</v>
      </c>
      <c r="R3025">
        <v>6.9125590000000001E-2</v>
      </c>
      <c r="S3025">
        <v>3.0021059999999999</v>
      </c>
      <c r="T3025">
        <v>-0.13213059999999999</v>
      </c>
      <c r="U3025">
        <v>5.8105469999999999E-2</v>
      </c>
      <c r="V3025">
        <v>-7.4892849999999997E-2</v>
      </c>
      <c r="W3025">
        <v>-5.9296710000000001E-3</v>
      </c>
      <c r="X3025">
        <v>0.997174</v>
      </c>
      <c r="Y3025">
        <v>-2.5105229999999999E-2</v>
      </c>
      <c r="Z3025">
        <v>8.066347E-4</v>
      </c>
      <c r="AA3025">
        <v>0.99968449999999998</v>
      </c>
      <c r="AB3025">
        <v>35</v>
      </c>
      <c r="AC3025">
        <v>24.717300000000002</v>
      </c>
      <c r="AD3025">
        <v>-1.1030449572249901</v>
      </c>
      <c r="AE3025">
        <v>0.48690000000001898</v>
      </c>
      <c r="AF3025">
        <v>-0.62863618236406504</v>
      </c>
      <c r="AG3025">
        <v>-1.1030449572249901</v>
      </c>
      <c r="AH3025">
        <v>24.664967835503901</v>
      </c>
      <c r="AI3025">
        <v>92.559795043607906</v>
      </c>
      <c r="AJ3025">
        <v>91.459981800364602</v>
      </c>
      <c r="AK3025">
        <v>24.697621949367399</v>
      </c>
    </row>
    <row r="3026" spans="1:37" x14ac:dyDescent="0.2">
      <c r="A3026" t="str">
        <f>"20200111155905476"</f>
        <v>20200111155905476</v>
      </c>
      <c r="B3026" t="str">
        <f>"1578729545464533"</f>
        <v>1578729545464533</v>
      </c>
      <c r="C3026" t="s">
        <v>37</v>
      </c>
      <c r="D3026">
        <v>5.193371</v>
      </c>
      <c r="E3026">
        <v>0.51855519999999999</v>
      </c>
      <c r="F3026" t="s">
        <v>50</v>
      </c>
      <c r="G3026">
        <v>-337.56099999999998</v>
      </c>
      <c r="H3026" s="1">
        <v>2.486973E-6</v>
      </c>
      <c r="I3026">
        <v>214.61269999999999</v>
      </c>
      <c r="J3026">
        <v>-361.1062</v>
      </c>
      <c r="K3026">
        <v>1.103092</v>
      </c>
      <c r="L3026">
        <v>214.13149999999999</v>
      </c>
      <c r="M3026">
        <v>0.99997860000000005</v>
      </c>
      <c r="N3026">
        <v>0</v>
      </c>
      <c r="O3026">
        <v>-5.548313E-3</v>
      </c>
      <c r="P3026">
        <v>0.99754509999999996</v>
      </c>
      <c r="Q3026">
        <v>-9.4755359999999997E-3</v>
      </c>
      <c r="R3026">
        <v>6.9383180000000003E-2</v>
      </c>
      <c r="S3026">
        <v>3.0018919999999998</v>
      </c>
      <c r="T3026">
        <v>-0.13864219999999999</v>
      </c>
      <c r="U3026">
        <v>6.0256959999999998E-2</v>
      </c>
      <c r="V3026">
        <v>-7.4913240000000006E-2</v>
      </c>
      <c r="W3026">
        <v>-6.0146899999999996E-3</v>
      </c>
      <c r="X3026">
        <v>0.9971719</v>
      </c>
      <c r="Y3026">
        <v>-2.55827E-2</v>
      </c>
      <c r="Z3026">
        <v>8.4648389999999996E-4</v>
      </c>
      <c r="AA3026">
        <v>0.99967240000000002</v>
      </c>
      <c r="AB3026">
        <v>35</v>
      </c>
      <c r="AC3026">
        <v>23.545200000000001</v>
      </c>
      <c r="AD3026">
        <v>-1.103089513027</v>
      </c>
      <c r="AE3026">
        <v>0.48120000000000102</v>
      </c>
      <c r="AF3026">
        <v>-0.61049010590631803</v>
      </c>
      <c r="AG3026">
        <v>-1.103089513027</v>
      </c>
      <c r="AH3026">
        <v>23.4906294295326</v>
      </c>
      <c r="AI3026">
        <v>92.687654358393701</v>
      </c>
      <c r="AJ3026">
        <v>91.488705734547807</v>
      </c>
      <c r="AK3026">
        <v>23.5244378389534</v>
      </c>
    </row>
    <row r="3027" spans="1:37" x14ac:dyDescent="0.2">
      <c r="A3027" t="str">
        <f>"20200111155905497"</f>
        <v>20200111155905497</v>
      </c>
      <c r="B3027" t="str">
        <f>"1578729545494791"</f>
        <v>1578729545494791</v>
      </c>
      <c r="C3027" t="s">
        <v>37</v>
      </c>
      <c r="D3027">
        <v>5.1680760000000001</v>
      </c>
      <c r="E3027">
        <v>0.51848720000000004</v>
      </c>
      <c r="F3027" t="s">
        <v>50</v>
      </c>
      <c r="G3027">
        <v>-337.82490000000001</v>
      </c>
      <c r="H3027" s="1">
        <v>2.627499E-6</v>
      </c>
      <c r="I3027">
        <v>214.61009999999999</v>
      </c>
      <c r="J3027">
        <v>-360.76670000000001</v>
      </c>
      <c r="K3027">
        <v>1.1031599999999999</v>
      </c>
      <c r="L3027">
        <v>214.12989999999999</v>
      </c>
      <c r="M3027">
        <v>0.99997849999999999</v>
      </c>
      <c r="N3027">
        <v>0</v>
      </c>
      <c r="O3027">
        <v>-5.3104140000000003E-3</v>
      </c>
      <c r="P3027">
        <v>0.99755159999999998</v>
      </c>
      <c r="Q3027">
        <v>-9.7160300000000005E-3</v>
      </c>
      <c r="R3027">
        <v>6.9257379999999993E-2</v>
      </c>
      <c r="S3027">
        <v>3.0017399999999999</v>
      </c>
      <c r="T3027">
        <v>-0.14222489999999999</v>
      </c>
      <c r="U3027">
        <v>6.1706539999999997E-2</v>
      </c>
      <c r="V3027">
        <v>-7.4550959999999999E-2</v>
      </c>
      <c r="W3027">
        <v>-5.9215149999999996E-3</v>
      </c>
      <c r="X3027">
        <v>0.99719959999999996</v>
      </c>
      <c r="Y3027">
        <v>-2.5826709999999999E-2</v>
      </c>
      <c r="Z3027">
        <v>8.6288679999999896E-4</v>
      </c>
      <c r="AA3027">
        <v>0.99966599999999906</v>
      </c>
      <c r="AB3027">
        <v>35</v>
      </c>
      <c r="AC3027">
        <v>22.941800000000001</v>
      </c>
      <c r="AD3027">
        <v>-1.103157372501</v>
      </c>
      <c r="AE3027">
        <v>0.48019999999999602</v>
      </c>
      <c r="AF3027">
        <v>-0.60063642033258002</v>
      </c>
      <c r="AG3027">
        <v>-1.103157372501</v>
      </c>
      <c r="AH3027">
        <v>22.8860331775345</v>
      </c>
      <c r="AI3027">
        <v>92.758698762913895</v>
      </c>
      <c r="AJ3027">
        <v>91.503363805450604</v>
      </c>
      <c r="AK3027">
        <v>22.920476323609499</v>
      </c>
    </row>
    <row r="3028" spans="1:37" x14ac:dyDescent="0.2">
      <c r="A3028" t="str">
        <f>"20200111155905522"</f>
        <v>20200111155905522</v>
      </c>
      <c r="B3028" t="str">
        <f>"1578729545515285"</f>
        <v>1578729545515285</v>
      </c>
      <c r="C3028" t="s">
        <v>37</v>
      </c>
      <c r="D3028">
        <v>5.0986909999999996</v>
      </c>
      <c r="E3028">
        <v>0.5184858</v>
      </c>
      <c r="F3028" t="s">
        <v>50</v>
      </c>
      <c r="G3028">
        <v>-338.1687</v>
      </c>
      <c r="H3028" s="1">
        <v>2.811114E-6</v>
      </c>
      <c r="I3028">
        <v>214.59549999999999</v>
      </c>
      <c r="J3028">
        <v>-360.39389999999997</v>
      </c>
      <c r="K3028">
        <v>1.1032519999999999</v>
      </c>
      <c r="L3028">
        <v>214.12809999999999</v>
      </c>
      <c r="M3028">
        <v>0.99997789999999998</v>
      </c>
      <c r="N3028">
        <v>0</v>
      </c>
      <c r="O3028">
        <v>-5.0496309999999997E-3</v>
      </c>
      <c r="P3028">
        <v>0.99752600000000002</v>
      </c>
      <c r="Q3028">
        <v>-1.021619E-2</v>
      </c>
      <c r="R3028">
        <v>6.9553699999999996E-2</v>
      </c>
      <c r="S3028">
        <v>3.0016479999999999</v>
      </c>
      <c r="T3028">
        <v>-0.14653060000000001</v>
      </c>
      <c r="U3028">
        <v>6.1843870000000002E-2</v>
      </c>
      <c r="V3028">
        <v>-7.4587109999999998E-2</v>
      </c>
      <c r="W3028">
        <v>-5.9219199999999998E-3</v>
      </c>
      <c r="X3028">
        <v>0.99719690000000005</v>
      </c>
      <c r="Y3028">
        <v>-2.561078E-2</v>
      </c>
      <c r="Z3028">
        <v>8.7101759999999996E-4</v>
      </c>
      <c r="AA3028">
        <v>0.99967159999999999</v>
      </c>
      <c r="AB3028">
        <v>35</v>
      </c>
      <c r="AC3028">
        <v>22.225199999999901</v>
      </c>
      <c r="AD3028">
        <v>-1.1032491888860001</v>
      </c>
      <c r="AE3028">
        <v>0.46739999999999698</v>
      </c>
      <c r="AF3028">
        <v>-0.57820004423366</v>
      </c>
      <c r="AG3028">
        <v>-1.1032491888860001</v>
      </c>
      <c r="AH3028">
        <v>22.167956809177099</v>
      </c>
      <c r="AI3028">
        <v>92.848163889580206</v>
      </c>
      <c r="AJ3028">
        <v>91.494089559102406</v>
      </c>
      <c r="AK3028">
        <v>22.202922851675901</v>
      </c>
    </row>
    <row r="3029" spans="1:37" x14ac:dyDescent="0.2">
      <c r="A3029" t="str">
        <f>"20200111155905543"</f>
        <v>20200111155905543</v>
      </c>
      <c r="B3029" t="str">
        <f>"1578729545534805"</f>
        <v>1578729545534805</v>
      </c>
      <c r="C3029" t="s">
        <v>37</v>
      </c>
      <c r="D3029">
        <v>5.0862150000000002</v>
      </c>
      <c r="E3029">
        <v>0.51846020000000004</v>
      </c>
      <c r="F3029" t="s">
        <v>50</v>
      </c>
      <c r="G3029">
        <v>-338.34160000000003</v>
      </c>
      <c r="H3029" s="1">
        <v>2.90340399999999E-6</v>
      </c>
      <c r="I3029">
        <v>214.589</v>
      </c>
      <c r="J3029">
        <v>-360.04320000000001</v>
      </c>
      <c r="K3029">
        <v>1.1033520000000001</v>
      </c>
      <c r="L3029">
        <v>214.1266</v>
      </c>
      <c r="M3029">
        <v>0.99997639999999999</v>
      </c>
      <c r="N3029">
        <v>0</v>
      </c>
      <c r="O3029">
        <v>-4.8039509999999999E-3</v>
      </c>
      <c r="P3029">
        <v>0.99752299999999905</v>
      </c>
      <c r="Q3029">
        <v>-1.085698E-2</v>
      </c>
      <c r="R3029">
        <v>6.9500359999999997E-2</v>
      </c>
      <c r="S3029">
        <v>3.0015259999999899</v>
      </c>
      <c r="T3029">
        <v>-0.15016309999999999</v>
      </c>
      <c r="U3029">
        <v>6.2728880000000001E-2</v>
      </c>
      <c r="V3029">
        <v>-7.4288939999999998E-2</v>
      </c>
      <c r="W3029">
        <v>-5.9698879999999996E-3</v>
      </c>
      <c r="X3029">
        <v>0.99721890000000002</v>
      </c>
      <c r="Y3029">
        <v>-2.5659069999999999E-2</v>
      </c>
      <c r="Z3029">
        <v>8.8154200000000002E-4</v>
      </c>
      <c r="AA3029">
        <v>0.99967039999999996</v>
      </c>
      <c r="AB3029">
        <v>35</v>
      </c>
      <c r="AC3029">
        <v>21.7015999999999</v>
      </c>
      <c r="AD3029">
        <v>-1.103349096596</v>
      </c>
      <c r="AE3029">
        <v>0.46240000000003001</v>
      </c>
      <c r="AF3029">
        <v>-0.56518905501706596</v>
      </c>
      <c r="AG3029">
        <v>-1.103349096596</v>
      </c>
      <c r="AH3029">
        <v>21.643208239281201</v>
      </c>
      <c r="AI3029">
        <v>92.917362279939496</v>
      </c>
      <c r="AJ3029">
        <v>91.495877556105697</v>
      </c>
      <c r="AK3029">
        <v>21.678682634924101</v>
      </c>
    </row>
    <row r="3030" spans="1:37" x14ac:dyDescent="0.2">
      <c r="A3030" t="str">
        <f>"20200111155905566"</f>
        <v>20200111155905566</v>
      </c>
      <c r="B3030" t="str">
        <f>"1578729545554325"</f>
        <v>1578729545554325</v>
      </c>
      <c r="C3030" t="s">
        <v>37</v>
      </c>
      <c r="D3030">
        <v>5.1013609999999998</v>
      </c>
      <c r="E3030">
        <v>0.51848749999999999</v>
      </c>
      <c r="F3030" t="s">
        <v>50</v>
      </c>
      <c r="G3030">
        <v>-338.54640000000001</v>
      </c>
      <c r="H3030" s="1">
        <v>3.0129520000000002E-6</v>
      </c>
      <c r="I3030">
        <v>214.57550000000001</v>
      </c>
      <c r="J3030">
        <v>-359.70740000000001</v>
      </c>
      <c r="K3030">
        <v>1.1034740000000001</v>
      </c>
      <c r="L3030">
        <v>214.12520000000001</v>
      </c>
      <c r="M3030">
        <v>0.99997400000000003</v>
      </c>
      <c r="N3030">
        <v>0</v>
      </c>
      <c r="O3030">
        <v>-4.5641930000000002E-3</v>
      </c>
      <c r="P3030">
        <v>0.99751229999999902</v>
      </c>
      <c r="Q3030">
        <v>-1.130889E-2</v>
      </c>
      <c r="R3030">
        <v>6.9580370000000002E-2</v>
      </c>
      <c r="S3030">
        <v>3.0014340000000002</v>
      </c>
      <c r="T3030">
        <v>-0.15405189999999999</v>
      </c>
      <c r="U3030">
        <v>6.268311E-2</v>
      </c>
      <c r="V3030">
        <v>-7.412974E-2</v>
      </c>
      <c r="W3030">
        <v>-5.7605979999999996E-3</v>
      </c>
      <c r="X3030">
        <v>0.99723200000000001</v>
      </c>
      <c r="Y3030">
        <v>-2.5403450000000001E-2</v>
      </c>
      <c r="Z3030">
        <v>8.8551869999999998E-4</v>
      </c>
      <c r="AA3030">
        <v>0.99967689999999998</v>
      </c>
      <c r="AB3030">
        <v>35</v>
      </c>
      <c r="AC3030">
        <v>21.161000000000001</v>
      </c>
      <c r="AD3030">
        <v>-1.103470987048</v>
      </c>
      <c r="AE3030">
        <v>0.45029999999999798</v>
      </c>
      <c r="AF3030">
        <v>-0.54539730131078601</v>
      </c>
      <c r="AG3030">
        <v>-1.103470987048</v>
      </c>
      <c r="AH3030">
        <v>21.1013703193913</v>
      </c>
      <c r="AI3030">
        <v>92.992490144828906</v>
      </c>
      <c r="AJ3030">
        <v>91.480567720660204</v>
      </c>
      <c r="AK3030">
        <v>21.1372404961391</v>
      </c>
    </row>
    <row r="3031" spans="1:37" x14ac:dyDescent="0.2">
      <c r="A3031" t="str">
        <f>"20200111155905588"</f>
        <v>20200111155905588</v>
      </c>
      <c r="B3031" t="str">
        <f>"1578729545584582"</f>
        <v>1578729545584582</v>
      </c>
      <c r="C3031" t="s">
        <v>37</v>
      </c>
      <c r="D3031">
        <v>5.0746989999999998</v>
      </c>
      <c r="E3031">
        <v>0.5185459</v>
      </c>
      <c r="F3031" t="s">
        <v>50</v>
      </c>
      <c r="G3031">
        <v>-338.64240000000001</v>
      </c>
      <c r="H3031" s="1">
        <v>3.064436E-6</v>
      </c>
      <c r="I3031">
        <v>214.56620000000001</v>
      </c>
      <c r="J3031">
        <v>-359.34789999999998</v>
      </c>
      <c r="K3031">
        <v>1.103607</v>
      </c>
      <c r="L3031">
        <v>214.12379999999999</v>
      </c>
      <c r="M3031">
        <v>0.99997039999999904</v>
      </c>
      <c r="N3031">
        <v>0</v>
      </c>
      <c r="O3031">
        <v>-4.3193850000000002E-3</v>
      </c>
      <c r="P3031">
        <v>0.99750699999999903</v>
      </c>
      <c r="Q3031">
        <v>-1.110351E-2</v>
      </c>
      <c r="R3031">
        <v>6.9691470000000005E-2</v>
      </c>
      <c r="S3031">
        <v>3.001312</v>
      </c>
      <c r="T3031">
        <v>-0.157221</v>
      </c>
      <c r="U3031">
        <v>6.283569E-2</v>
      </c>
      <c r="V3031">
        <v>-7.3997450000000006E-2</v>
      </c>
      <c r="W3031">
        <v>-4.7785019999999996E-3</v>
      </c>
      <c r="X3031">
        <v>0.997246999999999</v>
      </c>
      <c r="Y3031">
        <v>-2.5209349999999998E-2</v>
      </c>
      <c r="Z3031">
        <v>8.8585349999999998E-4</v>
      </c>
      <c r="AA3031">
        <v>0.99968179999999995</v>
      </c>
      <c r="AB3031">
        <v>35</v>
      </c>
      <c r="AC3031">
        <v>20.705499999999901</v>
      </c>
      <c r="AD3031">
        <v>-1.1036039355639999</v>
      </c>
      <c r="AE3031">
        <v>0.44240000000002</v>
      </c>
      <c r="AF3031">
        <v>-0.53032679721635501</v>
      </c>
      <c r="AG3031">
        <v>-1.1036039355639999</v>
      </c>
      <c r="AH3031">
        <v>20.6447730540756</v>
      </c>
      <c r="AI3031">
        <v>93.058930531982597</v>
      </c>
      <c r="AJ3031">
        <v>91.471501100389105</v>
      </c>
      <c r="AK3031">
        <v>20.681050326632899</v>
      </c>
    </row>
    <row r="3032" spans="1:37" x14ac:dyDescent="0.2">
      <c r="A3032" t="str">
        <f>"20200111155905611"</f>
        <v>20200111155905611</v>
      </c>
      <c r="B3032" t="str">
        <f>"1578729545605078"</f>
        <v>1578729545605078</v>
      </c>
      <c r="C3032" t="s">
        <v>37</v>
      </c>
      <c r="D3032">
        <v>5.0941679999999998</v>
      </c>
      <c r="E3032">
        <v>0.51863599999999999</v>
      </c>
      <c r="F3032" t="s">
        <v>50</v>
      </c>
      <c r="G3032">
        <v>-338.51459999999997</v>
      </c>
      <c r="H3032" s="1">
        <v>2.9967219999999998E-6</v>
      </c>
      <c r="I3032">
        <v>214.5599</v>
      </c>
      <c r="J3032">
        <v>-358.98899999999998</v>
      </c>
      <c r="K3032">
        <v>1.1037219999999901</v>
      </c>
      <c r="L3032">
        <v>214.12260000000001</v>
      </c>
      <c r="M3032">
        <v>0.99996609999999997</v>
      </c>
      <c r="N3032">
        <v>0</v>
      </c>
      <c r="O3032">
        <v>-4.0723169999999998E-3</v>
      </c>
      <c r="P3032">
        <v>0.99750049999999901</v>
      </c>
      <c r="Q3032">
        <v>-1.047403E-2</v>
      </c>
      <c r="R3032">
        <v>6.9879789999999997E-2</v>
      </c>
      <c r="S3032">
        <v>3.0013429999999999</v>
      </c>
      <c r="T3032">
        <v>-0.158990299999999</v>
      </c>
      <c r="U3032">
        <v>6.2820429999999997E-2</v>
      </c>
      <c r="V3032">
        <v>-7.3939870000000005E-2</v>
      </c>
      <c r="W3032">
        <v>-3.3679230000000001E-3</v>
      </c>
      <c r="X3032">
        <v>0.99725699999999995</v>
      </c>
      <c r="Y3032">
        <v>-2.4956869999999999E-2</v>
      </c>
      <c r="Z3032">
        <v>8.760412E-4</v>
      </c>
      <c r="AA3032">
        <v>0.99968809999999997</v>
      </c>
      <c r="AB3032">
        <v>35</v>
      </c>
      <c r="AC3032">
        <v>20.474399999999999</v>
      </c>
      <c r="AD3032">
        <v>-1.10371900327799</v>
      </c>
      <c r="AE3032">
        <v>0.43729999999999303</v>
      </c>
      <c r="AF3032">
        <v>-0.51916874295221604</v>
      </c>
      <c r="AG3032">
        <v>-1.10371900327799</v>
      </c>
      <c r="AH3032">
        <v>20.413155894929201</v>
      </c>
      <c r="AI3032">
        <v>93.093913592196202</v>
      </c>
      <c r="AJ3032">
        <v>91.456892153093094</v>
      </c>
      <c r="AK3032">
        <v>20.449563941867801</v>
      </c>
    </row>
    <row r="3033" spans="1:37" x14ac:dyDescent="0.2">
      <c r="A3033" t="str">
        <f>"20200111155905635"</f>
        <v>20200111155905635</v>
      </c>
      <c r="B3033" t="str">
        <f>"1578729545624599"</f>
        <v>1578729545624599</v>
      </c>
      <c r="C3033" t="s">
        <v>37</v>
      </c>
      <c r="D3033">
        <v>5.1022790000000002</v>
      </c>
      <c r="E3033">
        <v>0.51872689999999999</v>
      </c>
      <c r="F3033" t="s">
        <v>50</v>
      </c>
      <c r="G3033">
        <v>-338.14049999999997</v>
      </c>
      <c r="H3033" s="1">
        <v>2.7977829999999999E-6</v>
      </c>
      <c r="I3033">
        <v>214.5573</v>
      </c>
      <c r="J3033">
        <v>-358.62759999999997</v>
      </c>
      <c r="K3033">
        <v>1.1038219999999901</v>
      </c>
      <c r="L3033">
        <v>214.12139999999999</v>
      </c>
      <c r="M3033">
        <v>0.999961199999999</v>
      </c>
      <c r="N3033">
        <v>0</v>
      </c>
      <c r="O3033">
        <v>-3.818199E-3</v>
      </c>
      <c r="P3033">
        <v>0.99749679999999996</v>
      </c>
      <c r="Q3033">
        <v>-9.9345630000000004E-3</v>
      </c>
      <c r="R3033">
        <v>7.0012790000000005E-2</v>
      </c>
      <c r="S3033">
        <v>3.0014340000000002</v>
      </c>
      <c r="T3033">
        <v>-0.15889589999999901</v>
      </c>
      <c r="U3033">
        <v>6.2591549999999996E-2</v>
      </c>
      <c r="V3033">
        <v>-7.3819819999999994E-2</v>
      </c>
      <c r="W3033">
        <v>-2.0475490000000001E-3</v>
      </c>
      <c r="X3033">
        <v>0.99726949999999903</v>
      </c>
      <c r="Y3033">
        <v>-2.4626869999999999E-2</v>
      </c>
      <c r="Z3033">
        <v>8.5332660000000005E-4</v>
      </c>
      <c r="AA3033">
        <v>0.99969640000000004</v>
      </c>
      <c r="AB3033">
        <v>35</v>
      </c>
      <c r="AC3033">
        <v>20.487100000000002</v>
      </c>
      <c r="AD3033">
        <v>-1.1038192022169999</v>
      </c>
      <c r="AE3033">
        <v>0.43590000000000301</v>
      </c>
      <c r="AF3033">
        <v>-0.51263564568220799</v>
      </c>
      <c r="AG3033">
        <v>-1.1038192022169999</v>
      </c>
      <c r="AH3033">
        <v>20.4260180030866</v>
      </c>
      <c r="AI3033">
        <v>93.092275484963096</v>
      </c>
      <c r="AJ3033">
        <v>91.437661243791197</v>
      </c>
      <c r="AK3033">
        <v>20.462243855423701</v>
      </c>
    </row>
    <row r="3034" spans="1:37" x14ac:dyDescent="0.2">
      <c r="A3034" t="str">
        <f>"20200111155905655"</f>
        <v>20200111155905655</v>
      </c>
      <c r="B3034" t="str">
        <f>"1578729545645094"</f>
        <v>1578729545645094</v>
      </c>
      <c r="C3034" t="s">
        <v>37</v>
      </c>
      <c r="D3034">
        <v>5.0700379999999896</v>
      </c>
      <c r="E3034">
        <v>0.51879390000000003</v>
      </c>
      <c r="F3034" t="s">
        <v>50</v>
      </c>
      <c r="G3034">
        <v>-337.79270000000002</v>
      </c>
      <c r="H3034" s="1">
        <v>2.6128429999999999E-6</v>
      </c>
      <c r="I3034">
        <v>214.55350000000001</v>
      </c>
      <c r="J3034">
        <v>-358.30349999999999</v>
      </c>
      <c r="K3034">
        <v>1.103901</v>
      </c>
      <c r="L3034">
        <v>214.12029999999999</v>
      </c>
      <c r="M3034">
        <v>0.99995630000000002</v>
      </c>
      <c r="N3034">
        <v>0</v>
      </c>
      <c r="O3034">
        <v>-3.5878629999999902E-3</v>
      </c>
      <c r="P3034">
        <v>0.99752629999999998</v>
      </c>
      <c r="Q3034">
        <v>-1.053313E-2</v>
      </c>
      <c r="R3034">
        <v>6.9501770000000004E-2</v>
      </c>
      <c r="S3034">
        <v>3.0015559999999999</v>
      </c>
      <c r="T3034">
        <v>-0.15902049999999901</v>
      </c>
      <c r="U3034">
        <v>6.2255860000000003E-2</v>
      </c>
      <c r="V3034">
        <v>-7.3079389999999994E-2</v>
      </c>
      <c r="W3034">
        <v>-1.9560989999999898E-3</v>
      </c>
      <c r="X3034">
        <v>0.99732419999999999</v>
      </c>
      <c r="Y3034">
        <v>-2.4284750000000001E-2</v>
      </c>
      <c r="Z3034">
        <v>8.3271309999999896E-4</v>
      </c>
      <c r="AA3034">
        <v>0.999704699999999</v>
      </c>
      <c r="AB3034">
        <v>35</v>
      </c>
      <c r="AC3034">
        <v>20.5107999999999</v>
      </c>
      <c r="AD3034">
        <v>-1.1038983871570001</v>
      </c>
      <c r="AE3034">
        <v>0.43320000000002701</v>
      </c>
      <c r="AF3034">
        <v>-0.50532680224235105</v>
      </c>
      <c r="AG3034">
        <v>-1.1038983871570001</v>
      </c>
      <c r="AH3034">
        <v>20.449904263721201</v>
      </c>
      <c r="AI3034">
        <v>93.088921403931593</v>
      </c>
      <c r="AJ3034">
        <v>91.415517737222402</v>
      </c>
      <c r="AK3034">
        <v>20.485910553880601</v>
      </c>
    </row>
    <row r="3035" spans="1:37" x14ac:dyDescent="0.2">
      <c r="A3035" t="str">
        <f>"20200111155905677"</f>
        <v>20200111155905677</v>
      </c>
      <c r="B3035" t="str">
        <f>"1578729545664613"</f>
        <v>1578729545664613</v>
      </c>
      <c r="C3035" t="s">
        <v>37</v>
      </c>
      <c r="D3035">
        <v>5.068702</v>
      </c>
      <c r="E3035">
        <v>0.51885999999999999</v>
      </c>
      <c r="F3035" t="s">
        <v>50</v>
      </c>
      <c r="G3035">
        <v>-337.93610000000001</v>
      </c>
      <c r="H3035" s="1">
        <v>2.6901829999999998E-6</v>
      </c>
      <c r="I3035">
        <v>214.53020000000001</v>
      </c>
      <c r="J3035">
        <v>-357.96769999999998</v>
      </c>
      <c r="K3035">
        <v>1.103963</v>
      </c>
      <c r="L3035">
        <v>214.11940000000001</v>
      </c>
      <c r="M3035">
        <v>0.99995109999999998</v>
      </c>
      <c r="N3035">
        <v>0</v>
      </c>
      <c r="O3035">
        <v>-3.3500929999999902E-3</v>
      </c>
      <c r="P3035">
        <v>0.99754109999999996</v>
      </c>
      <c r="Q3035">
        <v>-1.1363949999999999E-2</v>
      </c>
      <c r="R3035">
        <v>6.9158559999999994E-2</v>
      </c>
      <c r="S3035">
        <v>3.0015559999999999</v>
      </c>
      <c r="T3035">
        <v>-0.16268250000000001</v>
      </c>
      <c r="U3035">
        <v>6.0394290000000003E-2</v>
      </c>
      <c r="V3035">
        <v>-7.2499170000000002E-2</v>
      </c>
      <c r="W3035">
        <v>-2.1060139999999998E-3</v>
      </c>
      <c r="X3035">
        <v>0.99736619999999998</v>
      </c>
      <c r="Y3035">
        <v>-2.3427090000000001E-2</v>
      </c>
      <c r="Z3035">
        <v>8.1576800000000003E-4</v>
      </c>
      <c r="AA3035">
        <v>0.99972519999999998</v>
      </c>
      <c r="AB3035">
        <v>35</v>
      </c>
      <c r="AC3035">
        <v>20.031599999999901</v>
      </c>
      <c r="AD3035">
        <v>-1.1039603098170001</v>
      </c>
      <c r="AE3035">
        <v>0.410799999999994</v>
      </c>
      <c r="AF3035">
        <v>-0.47646181363101497</v>
      </c>
      <c r="AG3035">
        <v>-1.1039603098170001</v>
      </c>
      <c r="AH3035">
        <v>19.969485166165398</v>
      </c>
      <c r="AI3035">
        <v>93.163326769543005</v>
      </c>
      <c r="AJ3035">
        <v>91.366788993167305</v>
      </c>
      <c r="AK3035">
        <v>20.0056512522637</v>
      </c>
    </row>
    <row r="3036" spans="1:37" x14ac:dyDescent="0.2">
      <c r="A3036" t="str">
        <f>"20200111155905700"</f>
        <v>20200111155905700</v>
      </c>
      <c r="B3036" t="str">
        <f>"1578729545694403"</f>
        <v>1578729545694403</v>
      </c>
      <c r="C3036" t="s">
        <v>37</v>
      </c>
      <c r="D3036">
        <v>5.0677989999999999</v>
      </c>
      <c r="E3036">
        <v>0.5189513</v>
      </c>
      <c r="F3036" t="s">
        <v>50</v>
      </c>
      <c r="G3036">
        <v>-338.08760000000001</v>
      </c>
      <c r="H3036" s="1">
        <v>2.7717180000000001E-6</v>
      </c>
      <c r="I3036">
        <v>214.5087</v>
      </c>
      <c r="J3036">
        <v>-357.61320000000001</v>
      </c>
      <c r="K3036">
        <v>1.1040190000000001</v>
      </c>
      <c r="L3036">
        <v>214.11840000000001</v>
      </c>
      <c r="M3036">
        <v>0.99994550000000004</v>
      </c>
      <c r="N3036">
        <v>0</v>
      </c>
      <c r="O3036">
        <v>-3.102315E-3</v>
      </c>
      <c r="P3036">
        <v>0.99755309999999897</v>
      </c>
      <c r="Q3036">
        <v>-1.235841E-2</v>
      </c>
      <c r="R3036">
        <v>6.8815810000000005E-2</v>
      </c>
      <c r="S3036">
        <v>3.0014340000000002</v>
      </c>
      <c r="T3036">
        <v>-0.16667170000000001</v>
      </c>
      <c r="U3036">
        <v>5.877686E-2</v>
      </c>
      <c r="V3036">
        <v>-7.1908920000000001E-2</v>
      </c>
      <c r="W3036">
        <v>-2.438857E-3</v>
      </c>
      <c r="X3036">
        <v>0.99740819999999997</v>
      </c>
      <c r="Y3036">
        <v>-2.26413E-2</v>
      </c>
      <c r="Z3036">
        <v>8.0023399999999895E-4</v>
      </c>
      <c r="AA3036">
        <v>0.9997433</v>
      </c>
      <c r="AB3036">
        <v>35</v>
      </c>
      <c r="AC3036">
        <v>19.525600000000001</v>
      </c>
      <c r="AD3036">
        <v>-1.1040162282820001</v>
      </c>
      <c r="AE3036">
        <v>0.39029999999999598</v>
      </c>
      <c r="AF3036">
        <v>-0.44943941107138802</v>
      </c>
      <c r="AG3036">
        <v>-1.1040162282820001</v>
      </c>
      <c r="AH3036">
        <v>19.462099725724801</v>
      </c>
      <c r="AI3036">
        <v>93.245844296907805</v>
      </c>
      <c r="AJ3036">
        <v>91.322899669276595</v>
      </c>
      <c r="AK3036">
        <v>19.4985684949073</v>
      </c>
    </row>
    <row r="3037" spans="1:37" x14ac:dyDescent="0.2">
      <c r="A3037" t="str">
        <f>"20200111155905722"</f>
        <v>20200111155905722</v>
      </c>
      <c r="B3037" t="str">
        <f>"1578729545714899"</f>
        <v>1578729545714899</v>
      </c>
      <c r="C3037" t="s">
        <v>37</v>
      </c>
      <c r="D3037">
        <v>5.1863570000000001</v>
      </c>
      <c r="E3037">
        <v>0.51893990000000001</v>
      </c>
      <c r="F3037" t="s">
        <v>50</v>
      </c>
      <c r="G3037">
        <v>-338.37970000000001</v>
      </c>
      <c r="H3037" s="1">
        <v>2.9282350000000001E-6</v>
      </c>
      <c r="I3037">
        <v>214.48410000000001</v>
      </c>
      <c r="J3037">
        <v>-357.2681</v>
      </c>
      <c r="K3037">
        <v>1.104058</v>
      </c>
      <c r="L3037">
        <v>214.11760000000001</v>
      </c>
      <c r="M3037">
        <v>0.99994019999999995</v>
      </c>
      <c r="N3037">
        <v>0</v>
      </c>
      <c r="O3037">
        <v>-2.864227E-3</v>
      </c>
      <c r="P3037">
        <v>0.99756409999999995</v>
      </c>
      <c r="Q3037">
        <v>-1.2729229999999999E-2</v>
      </c>
      <c r="R3037">
        <v>6.8584930000000002E-2</v>
      </c>
      <c r="S3037">
        <v>3.0012819999999998</v>
      </c>
      <c r="T3037">
        <v>-0.1722756</v>
      </c>
      <c r="U3037">
        <v>5.7052609999999997E-2</v>
      </c>
      <c r="V3037">
        <v>-7.1440939999999994E-2</v>
      </c>
      <c r="W3037">
        <v>-2.2296709999999999E-3</v>
      </c>
      <c r="X3037">
        <v>0.99744239999999995</v>
      </c>
      <c r="Y3037">
        <v>-2.182914E-2</v>
      </c>
      <c r="Z3037">
        <v>7.9020079999999996E-4</v>
      </c>
      <c r="AA3037">
        <v>0.99976139999999902</v>
      </c>
      <c r="AB3037">
        <v>35</v>
      </c>
      <c r="AC3037">
        <v>18.888399999999901</v>
      </c>
      <c r="AD3037">
        <v>-1.104055071765</v>
      </c>
      <c r="AE3037">
        <v>0.36650000000000199</v>
      </c>
      <c r="AF3037">
        <v>-0.41917058587896899</v>
      </c>
      <c r="AG3037">
        <v>-1.104055071765</v>
      </c>
      <c r="AH3037">
        <v>18.822986746930098</v>
      </c>
      <c r="AI3037">
        <v>93.355985820704603</v>
      </c>
      <c r="AJ3037">
        <v>91.275713409032605</v>
      </c>
      <c r="AK3037">
        <v>18.8599965974722</v>
      </c>
    </row>
    <row r="3038" spans="1:37" x14ac:dyDescent="0.2">
      <c r="A3038" t="str">
        <f>"20200111155905757"</f>
        <v>20200111155905757</v>
      </c>
      <c r="B3038" t="str">
        <f>"1578729545745154"</f>
        <v>1578729545745154</v>
      </c>
      <c r="C3038" t="s">
        <v>37</v>
      </c>
      <c r="D3038">
        <v>4.6377790000000001</v>
      </c>
      <c r="E3038">
        <v>0.47431419999999902</v>
      </c>
      <c r="F3038" t="s">
        <v>50</v>
      </c>
      <c r="G3038">
        <v>-338.29349999999999</v>
      </c>
      <c r="H3038" s="1">
        <v>2.8827739999999999E-6</v>
      </c>
      <c r="I3038">
        <v>214.47470000000001</v>
      </c>
      <c r="J3038">
        <v>-356.7475</v>
      </c>
      <c r="K3038">
        <v>1.104093</v>
      </c>
      <c r="L3038">
        <v>214.11660000000001</v>
      </c>
      <c r="M3038">
        <v>0.99993279999999995</v>
      </c>
      <c r="N3038">
        <v>0</v>
      </c>
      <c r="O3038">
        <v>-2.5069670000000001E-3</v>
      </c>
      <c r="P3038">
        <v>0.99754259999999995</v>
      </c>
      <c r="Q3038">
        <v>-1.310481E-2</v>
      </c>
      <c r="R3038">
        <v>6.8827699999999895E-2</v>
      </c>
      <c r="S3038">
        <v>3.0012819999999998</v>
      </c>
      <c r="T3038">
        <v>-0.17463219999999999</v>
      </c>
      <c r="U3038">
        <v>5.647278E-2</v>
      </c>
      <c r="V3038">
        <v>-7.1327340000000003E-2</v>
      </c>
      <c r="W3038">
        <v>-1.8511860000000001E-3</v>
      </c>
      <c r="X3038">
        <v>0.99745119999999898</v>
      </c>
      <c r="Y3038">
        <v>-2.1279300000000001E-2</v>
      </c>
      <c r="Z3038">
        <v>7.6424350000000002E-4</v>
      </c>
      <c r="AA3038">
        <v>0.99977329999999998</v>
      </c>
      <c r="AB3038">
        <v>35</v>
      </c>
      <c r="AC3038">
        <v>18.454000000000001</v>
      </c>
      <c r="AD3038">
        <v>-1.104090117226</v>
      </c>
      <c r="AE3038">
        <v>0.35810000000000702</v>
      </c>
      <c r="AF3038">
        <v>-0.40292366615689001</v>
      </c>
      <c r="AG3038">
        <v>-1.104090117226</v>
      </c>
      <c r="AH3038">
        <v>18.3872509537957</v>
      </c>
      <c r="AI3038">
        <v>93.435462455808704</v>
      </c>
      <c r="AJ3038">
        <v>91.255333463099902</v>
      </c>
      <c r="AK3038">
        <v>18.424775713847001</v>
      </c>
    </row>
    <row r="3039" spans="1:37" x14ac:dyDescent="0.2">
      <c r="A3039" t="str">
        <f>"20200111155906112"</f>
        <v>20200111155906112</v>
      </c>
      <c r="B3039" t="str">
        <f>"1578729546104325"</f>
        <v>1578729546104325</v>
      </c>
      <c r="C3039" t="s">
        <v>37</v>
      </c>
      <c r="D3039">
        <v>6.1106600000000002</v>
      </c>
      <c r="E3039">
        <v>0.47819489999999998</v>
      </c>
      <c r="F3039" t="s">
        <v>50</v>
      </c>
      <c r="G3039">
        <v>-331.47710000000001</v>
      </c>
      <c r="H3039" s="1">
        <v>-8.8169259999999895E-7</v>
      </c>
      <c r="I3039">
        <v>217.61199999999999</v>
      </c>
      <c r="J3039">
        <v>-351.29739999999998</v>
      </c>
      <c r="K3039">
        <v>1.1042889999999901</v>
      </c>
      <c r="L3039">
        <v>214.1165</v>
      </c>
      <c r="M3039">
        <v>0.99989760000000005</v>
      </c>
      <c r="N3039">
        <v>0</v>
      </c>
      <c r="O3039">
        <v>1.2812360000000001E-3</v>
      </c>
      <c r="P3039">
        <v>0.99722420000000001</v>
      </c>
      <c r="Q3039">
        <v>-1.8119260000000002E-2</v>
      </c>
      <c r="R3039">
        <v>7.2220790000000007E-2</v>
      </c>
      <c r="S3039">
        <v>2.9772639999999999</v>
      </c>
      <c r="T3039">
        <v>-0.13008049999999999</v>
      </c>
      <c r="U3039">
        <v>0.41181949999999901</v>
      </c>
      <c r="V3039">
        <v>-7.0940680000000006E-2</v>
      </c>
      <c r="W3039">
        <v>-3.9305640000000001E-3</v>
      </c>
      <c r="X3039">
        <v>0.99747280000000005</v>
      </c>
      <c r="Y3039">
        <v>-0.13562170000000001</v>
      </c>
      <c r="Z3039">
        <v>2.8916279999999998E-3</v>
      </c>
      <c r="AA3039">
        <v>0.99075650000000004</v>
      </c>
      <c r="AB3039">
        <v>34</v>
      </c>
      <c r="AC3039">
        <v>19.8202999999999</v>
      </c>
      <c r="AD3039">
        <v>-1.1042898816925999</v>
      </c>
      <c r="AE3039">
        <v>3.4954999999999901</v>
      </c>
      <c r="AF3039">
        <v>-3.4596845640458902</v>
      </c>
      <c r="AG3039">
        <v>-1.1042898816925999</v>
      </c>
      <c r="AH3039">
        <v>19.765258722760599</v>
      </c>
      <c r="AI3039">
        <v>93.150011650352198</v>
      </c>
      <c r="AJ3039">
        <v>99.928395184575905</v>
      </c>
      <c r="AK3039">
        <v>20.096127134429899</v>
      </c>
    </row>
    <row r="3040" spans="1:37" x14ac:dyDescent="0.2">
      <c r="A3040" t="str">
        <f>"20200111155906135"</f>
        <v>20200111155906135</v>
      </c>
      <c r="B3040" t="str">
        <f>"1578729546124821"</f>
        <v>1578729546124821</v>
      </c>
      <c r="C3040" t="s">
        <v>37</v>
      </c>
      <c r="D3040">
        <v>5.7079719999999998</v>
      </c>
      <c r="E3040">
        <v>0.53525180000000006</v>
      </c>
      <c r="F3040" t="s">
        <v>50</v>
      </c>
      <c r="G3040">
        <v>-330.43490000000003</v>
      </c>
      <c r="H3040" s="1">
        <v>-1.403424E-6</v>
      </c>
      <c r="I3040">
        <v>216.8596</v>
      </c>
      <c r="J3040">
        <v>-350.95150000000001</v>
      </c>
      <c r="K3040">
        <v>1.1042989999999999</v>
      </c>
      <c r="L3040">
        <v>214.1172</v>
      </c>
      <c r="M3040">
        <v>0.99989669999999897</v>
      </c>
      <c r="N3040">
        <v>0</v>
      </c>
      <c r="O3040">
        <v>1.5225659999999999E-3</v>
      </c>
      <c r="P3040">
        <v>0.99718200000000001</v>
      </c>
      <c r="Q3040">
        <v>-1.7665650000000001E-2</v>
      </c>
      <c r="R3040">
        <v>7.2914090000000001E-2</v>
      </c>
      <c r="S3040">
        <v>2.97714199999999</v>
      </c>
      <c r="T3040">
        <v>-0.15758549999999999</v>
      </c>
      <c r="U3040">
        <v>0.39144899999999999</v>
      </c>
      <c r="V3040">
        <v>-7.1394100000000002E-2</v>
      </c>
      <c r="W3040">
        <v>-3.4361140000000001E-3</v>
      </c>
      <c r="X3040">
        <v>0.99744219999999895</v>
      </c>
      <c r="Y3040">
        <v>-0.12867790000000001</v>
      </c>
      <c r="Z3040">
        <v>3.3084439999999998E-3</v>
      </c>
      <c r="AA3040">
        <v>0.99168089999999998</v>
      </c>
      <c r="AB3040">
        <v>34</v>
      </c>
      <c r="AC3040">
        <v>20.516599999999901</v>
      </c>
      <c r="AD3040">
        <v>-1.1043004034239901</v>
      </c>
      <c r="AE3040">
        <v>2.7423999999999999</v>
      </c>
      <c r="AF3040">
        <v>-2.7034610328921902</v>
      </c>
      <c r="AG3040">
        <v>-1.1043004034239901</v>
      </c>
      <c r="AH3040">
        <v>20.462510756147701</v>
      </c>
      <c r="AI3040">
        <v>93.062523594778298</v>
      </c>
      <c r="AJ3040">
        <v>97.526201682190106</v>
      </c>
      <c r="AK3040">
        <v>20.669845848066501</v>
      </c>
    </row>
    <row r="3041" spans="1:37" x14ac:dyDescent="0.2">
      <c r="A3041" t="str">
        <f>"20200111155906157"</f>
        <v>20200111155906157</v>
      </c>
      <c r="B3041" t="str">
        <f>"1578729546144342"</f>
        <v>1578729546144342</v>
      </c>
      <c r="C3041" t="s">
        <v>37</v>
      </c>
      <c r="D3041">
        <v>5.326727</v>
      </c>
      <c r="E3041">
        <v>0.53491719999999998</v>
      </c>
      <c r="F3041" t="s">
        <v>50</v>
      </c>
      <c r="G3041">
        <v>-325.6259</v>
      </c>
      <c r="H3041" s="1">
        <v>1.4570369999999999E-6</v>
      </c>
      <c r="I3041">
        <v>213.6062</v>
      </c>
      <c r="J3041">
        <v>-350.62459999999999</v>
      </c>
      <c r="K3041">
        <v>1.1043129999999901</v>
      </c>
      <c r="L3041">
        <v>214.11799999999999</v>
      </c>
      <c r="M3041">
        <v>0.9998958</v>
      </c>
      <c r="N3041">
        <v>0</v>
      </c>
      <c r="O3041">
        <v>1.7507200000000001E-3</v>
      </c>
      <c r="P3041">
        <v>0.9971042</v>
      </c>
      <c r="Q3041">
        <v>-1.6785649999999999E-2</v>
      </c>
      <c r="R3041">
        <v>7.4174649999999995E-2</v>
      </c>
      <c r="S3041">
        <v>3.0105590000000002</v>
      </c>
      <c r="T3041">
        <v>-0.13127239999999901</v>
      </c>
      <c r="U3041">
        <v>-6.0745239999999999E-2</v>
      </c>
      <c r="V3041">
        <v>-7.2427759999999994E-2</v>
      </c>
      <c r="W3041">
        <v>-2.524096E-3</v>
      </c>
      <c r="X3041">
        <v>0.99737049999999905</v>
      </c>
      <c r="Y3041">
        <v>2.1901339999999998E-2</v>
      </c>
      <c r="Z3041">
        <v>-5.5352020000000001E-4</v>
      </c>
      <c r="AA3041">
        <v>0.99975999999999998</v>
      </c>
      <c r="AB3041">
        <v>34</v>
      </c>
      <c r="AC3041">
        <v>24.9986999999999</v>
      </c>
      <c r="AD3041">
        <v>-1.1043115429629999</v>
      </c>
      <c r="AE3041">
        <v>-0.51179999999999304</v>
      </c>
      <c r="AF3041">
        <v>0.55448785391161803</v>
      </c>
      <c r="AG3041">
        <v>-1.1043115429629999</v>
      </c>
      <c r="AH3041">
        <v>24.949100062535699</v>
      </c>
      <c r="AI3041">
        <v>92.533779911050402</v>
      </c>
      <c r="AJ3041">
        <v>88.726824434740493</v>
      </c>
      <c r="AK3041">
        <v>24.9796828381482</v>
      </c>
    </row>
    <row r="3042" spans="1:37" x14ac:dyDescent="0.2">
      <c r="A3042" t="str">
        <f>"20200111155906201"</f>
        <v>20200111155906201</v>
      </c>
      <c r="B3042" t="str">
        <f>"1578729546195093"</f>
        <v>1578729546195093</v>
      </c>
      <c r="C3042" t="s">
        <v>37</v>
      </c>
      <c r="D3042">
        <v>5.3138680000000003</v>
      </c>
      <c r="E3042">
        <v>0.53476239999999997</v>
      </c>
      <c r="F3042" t="s">
        <v>52</v>
      </c>
      <c r="G3042">
        <v>-313.48309999999998</v>
      </c>
      <c r="H3042" s="1">
        <v>2.4502350000000002E-6</v>
      </c>
      <c r="I3042">
        <v>213.44309999999999</v>
      </c>
      <c r="J3042">
        <v>-349.94009999999997</v>
      </c>
      <c r="K3042">
        <v>1.104336</v>
      </c>
      <c r="L3042">
        <v>214.11969999999999</v>
      </c>
      <c r="M3042">
        <v>0.99989409999999901</v>
      </c>
      <c r="N3042">
        <v>0</v>
      </c>
      <c r="O3042">
        <v>2.2280939999999999E-3</v>
      </c>
      <c r="P3042">
        <v>0.99698009999999904</v>
      </c>
      <c r="Q3042">
        <v>-1.6059199999999999E-2</v>
      </c>
      <c r="R3042">
        <v>7.5981069999999998E-2</v>
      </c>
      <c r="S3042">
        <v>3.0112610000000002</v>
      </c>
      <c r="T3042">
        <v>-8.9532139999999996E-2</v>
      </c>
      <c r="U3042">
        <v>-5.4718019999999999E-2</v>
      </c>
      <c r="V3042">
        <v>-7.3758509999999999E-2</v>
      </c>
      <c r="W3042">
        <v>-1.7450789999999901E-3</v>
      </c>
      <c r="X3042">
        <v>0.99727459999999901</v>
      </c>
      <c r="Y3042">
        <v>2.0386049999999999E-2</v>
      </c>
      <c r="Z3042">
        <v>-3.6920529999999999E-4</v>
      </c>
      <c r="AA3042">
        <v>0.99979209999999996</v>
      </c>
      <c r="AB3042">
        <v>34</v>
      </c>
      <c r="AC3042">
        <v>36.457000000000001</v>
      </c>
      <c r="AD3042">
        <v>-1.104333549765</v>
      </c>
      <c r="AE3042">
        <v>-0.67660000000000697</v>
      </c>
      <c r="AF3042">
        <v>0.75714185398810696</v>
      </c>
      <c r="AG3042">
        <v>-1.104333549765</v>
      </c>
      <c r="AH3042">
        <v>36.421993622119302</v>
      </c>
      <c r="AI3042">
        <v>91.736330482543494</v>
      </c>
      <c r="AJ3042">
        <v>88.809104579358007</v>
      </c>
      <c r="AK3042">
        <v>36.446597039859498</v>
      </c>
    </row>
    <row r="3043" spans="1:37" x14ac:dyDescent="0.2">
      <c r="A3043" t="str">
        <f>"20200111155906223"</f>
        <v>20200111155906223</v>
      </c>
      <c r="B3043" t="str">
        <f>"1578729546214614"</f>
        <v>1578729546214614</v>
      </c>
      <c r="C3043" t="s">
        <v>37</v>
      </c>
      <c r="D3043">
        <v>5.0760839999999998</v>
      </c>
      <c r="E3043">
        <v>0.53702369999999899</v>
      </c>
      <c r="F3043" t="s">
        <v>52</v>
      </c>
      <c r="G3043">
        <v>-310.5813</v>
      </c>
      <c r="H3043" s="1">
        <v>1.1634430000000001E-6</v>
      </c>
      <c r="I3043">
        <v>213.49209999999999</v>
      </c>
      <c r="J3043">
        <v>-349.61430000000001</v>
      </c>
      <c r="K3043">
        <v>1.104347</v>
      </c>
      <c r="L3043">
        <v>214.1207</v>
      </c>
      <c r="M3043">
        <v>0.99989319999999904</v>
      </c>
      <c r="N3043">
        <v>0</v>
      </c>
      <c r="O3043">
        <v>2.4553859999999999E-3</v>
      </c>
      <c r="P3043">
        <v>0.99696859999999998</v>
      </c>
      <c r="Q3043">
        <v>-1.5769200000000001E-2</v>
      </c>
      <c r="R3043">
        <v>7.6193559999999994E-2</v>
      </c>
      <c r="S3043">
        <v>3.0113829999999999</v>
      </c>
      <c r="T3043">
        <v>-8.4493990000000005E-2</v>
      </c>
      <c r="U3043">
        <v>-4.8019409999999998E-2</v>
      </c>
      <c r="V3043">
        <v>-7.3744760000000006E-2</v>
      </c>
      <c r="W3043">
        <v>-1.435048E-3</v>
      </c>
      <c r="X3043">
        <v>0.9972761</v>
      </c>
      <c r="Y3043">
        <v>1.8391020000000001E-2</v>
      </c>
      <c r="Z3043">
        <v>-3.268255E-4</v>
      </c>
      <c r="AA3043">
        <v>0.99983080000000002</v>
      </c>
      <c r="AB3043">
        <v>34</v>
      </c>
      <c r="AC3043">
        <v>39.033000000000001</v>
      </c>
      <c r="AD3043">
        <v>-1.104345836557</v>
      </c>
      <c r="AE3043">
        <v>-0.62860000000000504</v>
      </c>
      <c r="AF3043">
        <v>0.72386984681534605</v>
      </c>
      <c r="AG3043">
        <v>-1.104345836557</v>
      </c>
      <c r="AH3043">
        <v>39.000128266334301</v>
      </c>
      <c r="AI3043">
        <v>91.621701451972598</v>
      </c>
      <c r="AJ3043">
        <v>88.936672075350899</v>
      </c>
      <c r="AK3043">
        <v>39.022475217141</v>
      </c>
    </row>
    <row r="3044" spans="1:37" x14ac:dyDescent="0.2">
      <c r="A3044" t="str">
        <f>"20200111155906290"</f>
        <v>20200111155906290</v>
      </c>
      <c r="B3044" t="str">
        <f>"1578729546284816"</f>
        <v>1578729546284816</v>
      </c>
      <c r="C3044" t="s">
        <v>37</v>
      </c>
      <c r="D3044">
        <v>5.3213150000000002</v>
      </c>
      <c r="E3044">
        <v>0.53694240000000004</v>
      </c>
      <c r="F3044" t="s">
        <v>52</v>
      </c>
      <c r="G3044">
        <v>-307.9776</v>
      </c>
      <c r="H3044" s="1">
        <v>1.238159E-6</v>
      </c>
      <c r="I3044">
        <v>213.2159</v>
      </c>
      <c r="J3044">
        <v>-348.60919999999999</v>
      </c>
      <c r="K3044">
        <v>1.104374</v>
      </c>
      <c r="L3044">
        <v>214.1242</v>
      </c>
      <c r="M3044">
        <v>0.99989069999999902</v>
      </c>
      <c r="N3044">
        <v>0</v>
      </c>
      <c r="O3044">
        <v>3.158232E-3</v>
      </c>
      <c r="P3044">
        <v>0.99700419999999901</v>
      </c>
      <c r="Q3044">
        <v>-1.518133E-2</v>
      </c>
      <c r="R3044">
        <v>7.5844289999999995E-2</v>
      </c>
      <c r="S3044">
        <v>3.01287799999999</v>
      </c>
      <c r="T3044">
        <v>-7.9911709999999997E-2</v>
      </c>
      <c r="U3044">
        <v>-6.5475459999999999E-2</v>
      </c>
      <c r="V3044">
        <v>-7.2694309999999998E-2</v>
      </c>
      <c r="W3044">
        <v>-8.0192060000000001E-4</v>
      </c>
      <c r="X3044">
        <v>0.99735399999999996</v>
      </c>
      <c r="Y3044">
        <v>2.4874589999999999E-2</v>
      </c>
      <c r="Z3044">
        <v>-4.1353379999999903E-4</v>
      </c>
      <c r="AA3044">
        <v>0.99969050000000004</v>
      </c>
      <c r="AB3044">
        <v>34</v>
      </c>
      <c r="AC3044">
        <v>40.631599999999899</v>
      </c>
      <c r="AD3044">
        <v>-1.104372761841</v>
      </c>
      <c r="AE3044">
        <v>-0.908299999999997</v>
      </c>
      <c r="AF3044">
        <v>1.0358679997676401</v>
      </c>
      <c r="AG3044">
        <v>-1.104372761841</v>
      </c>
      <c r="AH3044">
        <v>40.598550781994803</v>
      </c>
      <c r="AI3044">
        <v>91.557684334200204</v>
      </c>
      <c r="AJ3044">
        <v>88.538420976462106</v>
      </c>
      <c r="AK3044">
        <v>40.626776728018299</v>
      </c>
    </row>
    <row r="3045" spans="1:37" x14ac:dyDescent="0.2">
      <c r="A3045" t="str">
        <f>"20200111155906469"</f>
        <v>20200111155906469</v>
      </c>
      <c r="B3045" t="str">
        <f>"1578729546464406"</f>
        <v>1578729546464406</v>
      </c>
      <c r="C3045" t="s">
        <v>37</v>
      </c>
      <c r="D3045">
        <v>4.2033829999999996</v>
      </c>
      <c r="E3045">
        <v>0.53740739999999998</v>
      </c>
      <c r="F3045" t="s">
        <v>52</v>
      </c>
      <c r="G3045">
        <v>-313.084</v>
      </c>
      <c r="H3045" s="1">
        <v>2.273279E-6</v>
      </c>
      <c r="I3045">
        <v>213.3492</v>
      </c>
      <c r="J3045">
        <v>-345.94569999999999</v>
      </c>
      <c r="K3045">
        <v>1.104444</v>
      </c>
      <c r="L3045">
        <v>214.13669999999999</v>
      </c>
      <c r="M3045">
        <v>0.99988250000000001</v>
      </c>
      <c r="N3045">
        <v>0</v>
      </c>
      <c r="O3045">
        <v>5.0225159999999899E-3</v>
      </c>
      <c r="P3045">
        <v>0.99698909999999996</v>
      </c>
      <c r="Q3045">
        <v>-1.2190609999999999E-2</v>
      </c>
      <c r="R3045">
        <v>7.6579350000000004E-2</v>
      </c>
      <c r="S3045">
        <v>3.0126040000000001</v>
      </c>
      <c r="T3045">
        <v>-9.3652840000000001E-2</v>
      </c>
      <c r="U3045">
        <v>-6.5719600000000003E-2</v>
      </c>
      <c r="V3045">
        <v>-7.1571739999999995E-2</v>
      </c>
      <c r="W3045">
        <v>2.231898E-3</v>
      </c>
      <c r="X3045">
        <v>0.99743289999999996</v>
      </c>
      <c r="Y3045">
        <v>2.6815889999999998E-2</v>
      </c>
      <c r="Z3045">
        <v>-5.727595E-4</v>
      </c>
      <c r="AA3045">
        <v>0.99964019999999998</v>
      </c>
      <c r="AB3045">
        <v>33</v>
      </c>
      <c r="AC3045">
        <v>32.8616999999999</v>
      </c>
      <c r="AD3045">
        <v>-1.1044417267209901</v>
      </c>
      <c r="AE3045">
        <v>-0.78749999999999398</v>
      </c>
      <c r="AF3045">
        <v>0.95148166281806301</v>
      </c>
      <c r="AG3045">
        <v>-1.1044417267209901</v>
      </c>
      <c r="AH3045">
        <v>32.820278907950403</v>
      </c>
      <c r="AI3045">
        <v>91.926535563683004</v>
      </c>
      <c r="AJ3045">
        <v>88.339422445709999</v>
      </c>
      <c r="AK3045">
        <v>32.852637892231101</v>
      </c>
    </row>
    <row r="3046" spans="1:37" x14ac:dyDescent="0.2">
      <c r="A3046" t="str">
        <f>"20200111155906526"</f>
        <v>20200111155906526</v>
      </c>
      <c r="B3046" t="str">
        <f>"1578729546514687"</f>
        <v>1578729546514687</v>
      </c>
      <c r="C3046" t="s">
        <v>37</v>
      </c>
      <c r="D3046">
        <v>5.2546720000000002</v>
      </c>
      <c r="E3046">
        <v>0.59064430000000001</v>
      </c>
      <c r="F3046" t="s">
        <v>52</v>
      </c>
      <c r="G3046">
        <v>-298.57130000000001</v>
      </c>
      <c r="H3046" s="1">
        <v>2.4148129999999999E-6</v>
      </c>
      <c r="I3046">
        <v>213.07640000000001</v>
      </c>
      <c r="J3046">
        <v>-345.11369999999999</v>
      </c>
      <c r="K3046">
        <v>1.1044529999999999</v>
      </c>
      <c r="L3046">
        <v>214.14169999999999</v>
      </c>
      <c r="M3046">
        <v>0.99987939999999997</v>
      </c>
      <c r="N3046">
        <v>0</v>
      </c>
      <c r="O3046">
        <v>5.605751E-3</v>
      </c>
      <c r="P3046">
        <v>0.99681200000000003</v>
      </c>
      <c r="Q3046">
        <v>-1.170645E-2</v>
      </c>
      <c r="R3046">
        <v>7.8924190000000005E-2</v>
      </c>
      <c r="S3046">
        <v>3.0133669999999899</v>
      </c>
      <c r="T3046">
        <v>-7.0250750000000001E-2</v>
      </c>
      <c r="U3046">
        <v>-6.744385E-2</v>
      </c>
      <c r="V3046">
        <v>-7.3336070000000003E-2</v>
      </c>
      <c r="W3046">
        <v>2.713979E-3</v>
      </c>
      <c r="X3046">
        <v>0.99730359999999996</v>
      </c>
      <c r="Y3046">
        <v>2.7971429999999999E-2</v>
      </c>
      <c r="Z3046">
        <v>-4.566328E-4</v>
      </c>
      <c r="AA3046">
        <v>0.99960859999999996</v>
      </c>
      <c r="AB3046">
        <v>33</v>
      </c>
      <c r="AC3046">
        <v>46.542400000000001</v>
      </c>
      <c r="AD3046">
        <v>-1.1044505851869999</v>
      </c>
      <c r="AE3046">
        <v>-1.0652999999999699</v>
      </c>
      <c r="AF3046">
        <v>1.3254697341203301</v>
      </c>
      <c r="AG3046">
        <v>-1.1044505851869999</v>
      </c>
      <c r="AH3046">
        <v>46.509519753402799</v>
      </c>
      <c r="AI3046">
        <v>91.359781807317404</v>
      </c>
      <c r="AJ3046">
        <v>88.3675756734565</v>
      </c>
      <c r="AK3046">
        <v>46.5415095243306</v>
      </c>
    </row>
    <row r="3047" spans="1:37" x14ac:dyDescent="0.2">
      <c r="A3047" t="str">
        <f>"20200111155906570"</f>
        <v>20200111155906570</v>
      </c>
      <c r="B3047" t="str">
        <f>"1578729546564464"</f>
        <v>1578729546564464</v>
      </c>
      <c r="C3047" t="s">
        <v>37</v>
      </c>
      <c r="D3047">
        <v>6.238035</v>
      </c>
      <c r="E3047">
        <v>0.54698290000000005</v>
      </c>
      <c r="F3047" t="s">
        <v>43</v>
      </c>
      <c r="G3047">
        <v>0</v>
      </c>
      <c r="H3047">
        <v>0</v>
      </c>
      <c r="I3047">
        <v>0</v>
      </c>
      <c r="J3047">
        <v>-344.45510000000002</v>
      </c>
      <c r="K3047">
        <v>1.104455</v>
      </c>
      <c r="L3047">
        <v>214.14599999999999</v>
      </c>
      <c r="M3047">
        <v>0.99987669999999995</v>
      </c>
      <c r="N3047">
        <v>0</v>
      </c>
      <c r="O3047">
        <v>6.0675989999999999E-3</v>
      </c>
      <c r="P3047">
        <v>0.99673789999999995</v>
      </c>
      <c r="Q3047">
        <v>-1.178806E-2</v>
      </c>
      <c r="R3047">
        <v>7.9844789999999999E-2</v>
      </c>
      <c r="S3047">
        <v>3.0674130000000002</v>
      </c>
      <c r="T3047">
        <v>1.5449459999999999</v>
      </c>
      <c r="U3047">
        <v>-0.50138850000000001</v>
      </c>
      <c r="V3047">
        <v>-7.3796410000000007E-2</v>
      </c>
      <c r="W3047">
        <v>2.630056E-3</v>
      </c>
      <c r="X3047">
        <v>0.99726990000000004</v>
      </c>
      <c r="Y3047">
        <v>0.149175799999999</v>
      </c>
      <c r="Z3047">
        <v>3.8116879999999999E-2</v>
      </c>
      <c r="AA3047">
        <v>0.9880757</v>
      </c>
      <c r="AB3047">
        <v>33</v>
      </c>
      <c r="AC3047">
        <v>3.0674130000000002</v>
      </c>
      <c r="AD3047">
        <v>1.5449459999999999</v>
      </c>
      <c r="AE3047">
        <v>-0.50138850000000001</v>
      </c>
      <c r="AF3047">
        <v>0.41696975047104001</v>
      </c>
      <c r="AG3047">
        <v>1.5449459999999999</v>
      </c>
      <c r="AH3047">
        <v>2.4571986649133701</v>
      </c>
      <c r="AI3047">
        <v>58.206005039285998</v>
      </c>
      <c r="AJ3047">
        <v>80.369043640387105</v>
      </c>
      <c r="AK3047">
        <v>2.93232794799217</v>
      </c>
    </row>
    <row r="3048" spans="1:37" x14ac:dyDescent="0.2">
      <c r="A3048" t="str">
        <f>"20200111155906593"</f>
        <v>20200111155906593</v>
      </c>
      <c r="B3048" t="str">
        <f>"1578729546584491"</f>
        <v>1578729546584491</v>
      </c>
      <c r="C3048" t="s">
        <v>37</v>
      </c>
      <c r="D3048">
        <v>5.3416809999999897</v>
      </c>
      <c r="E3048">
        <v>0.54437959999999996</v>
      </c>
      <c r="F3048" t="s">
        <v>52</v>
      </c>
      <c r="G3048">
        <v>-296.79750000000001</v>
      </c>
      <c r="H3048" s="1">
        <v>2.1001789999999999E-6</v>
      </c>
      <c r="I3048">
        <v>212.0378</v>
      </c>
      <c r="J3048">
        <v>-344.12110000000001</v>
      </c>
      <c r="K3048">
        <v>1.104452</v>
      </c>
      <c r="L3048">
        <v>214.14830000000001</v>
      </c>
      <c r="M3048">
        <v>0.99987519999999996</v>
      </c>
      <c r="N3048">
        <v>0</v>
      </c>
      <c r="O3048">
        <v>6.3020740000000004E-3</v>
      </c>
      <c r="P3048">
        <v>0.99672369999999899</v>
      </c>
      <c r="Q3048">
        <v>-1.160573E-2</v>
      </c>
      <c r="R3048">
        <v>8.0046899999999893E-2</v>
      </c>
      <c r="S3048">
        <v>3.0196839999999998</v>
      </c>
      <c r="T3048">
        <v>-6.9980500000000001E-2</v>
      </c>
      <c r="U3048">
        <v>-0.13357539999999901</v>
      </c>
      <c r="V3048">
        <v>-7.376452E-2</v>
      </c>
      <c r="W3048">
        <v>2.811254E-3</v>
      </c>
      <c r="X3048">
        <v>0.99727169999999898</v>
      </c>
      <c r="Y3048">
        <v>5.0472179999999998E-2</v>
      </c>
      <c r="Z3048">
        <v>-7.3045450000000002E-4</v>
      </c>
      <c r="AA3048">
        <v>0.99872519999999998</v>
      </c>
      <c r="AB3048">
        <v>33</v>
      </c>
      <c r="AC3048">
        <v>47.323599999999999</v>
      </c>
      <c r="AD3048">
        <v>-1.1044498998209999</v>
      </c>
      <c r="AE3048">
        <v>-2.1105</v>
      </c>
      <c r="AF3048">
        <v>2.4074175551447001</v>
      </c>
      <c r="AG3048">
        <v>-1.1044498998209999</v>
      </c>
      <c r="AH3048">
        <v>47.283655067692401</v>
      </c>
      <c r="AI3048">
        <v>91.336339099005301</v>
      </c>
      <c r="AJ3048">
        <v>87.085338221144696</v>
      </c>
      <c r="AK3048">
        <v>47.357781888793603</v>
      </c>
    </row>
    <row r="3049" spans="1:37" x14ac:dyDescent="0.2">
      <c r="A3049" t="str">
        <f>"20200111155906637"</f>
        <v>20200111155906637</v>
      </c>
      <c r="B3049" t="str">
        <f>"1578729546624508"</f>
        <v>1578729546624508</v>
      </c>
      <c r="C3049" t="s">
        <v>37</v>
      </c>
      <c r="D3049">
        <v>5.3699300000000001</v>
      </c>
      <c r="E3049">
        <v>0.54182549999999996</v>
      </c>
      <c r="F3049" t="s">
        <v>50</v>
      </c>
      <c r="G3049">
        <v>-275.17599999999999</v>
      </c>
      <c r="H3049" s="1">
        <v>1.3505039999999999E-6</v>
      </c>
      <c r="I3049">
        <v>211.57669999999999</v>
      </c>
      <c r="J3049">
        <v>-343.481999999999</v>
      </c>
      <c r="K3049">
        <v>1.1044510000000001</v>
      </c>
      <c r="L3049">
        <v>214.15280000000001</v>
      </c>
      <c r="M3049">
        <v>0.99987239999999999</v>
      </c>
      <c r="N3049">
        <v>0</v>
      </c>
      <c r="O3049">
        <v>6.7503479999999998E-3</v>
      </c>
      <c r="P3049">
        <v>0.996668199999999</v>
      </c>
      <c r="Q3049">
        <v>-1.062716E-2</v>
      </c>
      <c r="R3049">
        <v>8.0871319999999997E-2</v>
      </c>
      <c r="S3049">
        <v>3.0183719999999998</v>
      </c>
      <c r="T3049">
        <v>-4.8352119999999998E-2</v>
      </c>
      <c r="U3049">
        <v>-0.11257929999999999</v>
      </c>
      <c r="V3049">
        <v>-7.4142310000000003E-2</v>
      </c>
      <c r="W3049">
        <v>3.7859040000000001E-3</v>
      </c>
      <c r="X3049">
        <v>0.99724049999999997</v>
      </c>
      <c r="Y3049">
        <v>4.4011139999999997E-2</v>
      </c>
      <c r="Z3049">
        <v>-4.6047349999999999E-4</v>
      </c>
      <c r="AA3049">
        <v>0.99903090000000005</v>
      </c>
      <c r="AB3049">
        <v>33</v>
      </c>
      <c r="AC3049">
        <v>68.305999999999898</v>
      </c>
      <c r="AD3049">
        <v>-1.1044496494960001</v>
      </c>
      <c r="AE3049">
        <v>-2.5761000000000198</v>
      </c>
      <c r="AF3049">
        <v>3.0363861891144199</v>
      </c>
      <c r="AG3049">
        <v>-1.1044496494960001</v>
      </c>
      <c r="AH3049">
        <v>68.269228962233996</v>
      </c>
      <c r="AI3049">
        <v>90.925926719514706</v>
      </c>
      <c r="AJ3049">
        <v>87.453354364251496</v>
      </c>
      <c r="AK3049">
        <v>68.345644142224998</v>
      </c>
    </row>
    <row r="3050" spans="1:37" x14ac:dyDescent="0.2">
      <c r="A3050" t="str">
        <f>"20200111155906660"</f>
        <v>20200111155906660</v>
      </c>
      <c r="B3050" t="str">
        <f>"1578729546654764"</f>
        <v>1578729546654764</v>
      </c>
      <c r="C3050" t="s">
        <v>37</v>
      </c>
      <c r="D3050">
        <v>5.3217699999999999</v>
      </c>
      <c r="E3050">
        <v>0.53999030000000003</v>
      </c>
      <c r="F3050" t="s">
        <v>50</v>
      </c>
      <c r="G3050">
        <v>-278.7328</v>
      </c>
      <c r="H3050" s="1">
        <v>3.214713E-6</v>
      </c>
      <c r="I3050">
        <v>212.22909999999999</v>
      </c>
      <c r="J3050">
        <v>-343.13819999999998</v>
      </c>
      <c r="K3050">
        <v>1.1044529999999999</v>
      </c>
      <c r="L3050">
        <v>214.15539999999999</v>
      </c>
      <c r="M3050">
        <v>0.9998707</v>
      </c>
      <c r="N3050">
        <v>0</v>
      </c>
      <c r="O3050">
        <v>6.99227599999999E-3</v>
      </c>
      <c r="P3050">
        <v>0.99666350000000004</v>
      </c>
      <c r="Q3050">
        <v>-1.088299E-2</v>
      </c>
      <c r="R3050">
        <v>8.0892469999999994E-2</v>
      </c>
      <c r="S3050">
        <v>3.016785</v>
      </c>
      <c r="T3050">
        <v>-5.1458240000000002E-2</v>
      </c>
      <c r="U3050">
        <v>-8.9630130000000002E-2</v>
      </c>
      <c r="V3050">
        <v>-7.3922219999999997E-2</v>
      </c>
      <c r="W3050">
        <v>3.5288899999999998E-3</v>
      </c>
      <c r="X3050">
        <v>0.99725779999999997</v>
      </c>
      <c r="Y3050">
        <v>3.6680230000000001E-2</v>
      </c>
      <c r="Z3050">
        <v>-4.3199070000000001E-4</v>
      </c>
      <c r="AA3050">
        <v>0.99932690000000002</v>
      </c>
      <c r="AB3050">
        <v>33</v>
      </c>
      <c r="AC3050">
        <v>64.405399999999901</v>
      </c>
      <c r="AD3050">
        <v>-1.1044497852870001</v>
      </c>
      <c r="AE3050">
        <v>-1.9262999999999899</v>
      </c>
      <c r="AF3050">
        <v>2.3759423920835898</v>
      </c>
      <c r="AG3050">
        <v>-1.1044497852870001</v>
      </c>
      <c r="AH3050">
        <v>64.371441918602102</v>
      </c>
      <c r="AI3050">
        <v>90.982284273440797</v>
      </c>
      <c r="AJ3050">
        <v>87.886179045131797</v>
      </c>
      <c r="AK3050">
        <v>64.424742500522996</v>
      </c>
    </row>
    <row r="3051" spans="1:37" x14ac:dyDescent="0.2">
      <c r="A3051" t="str">
        <f>"20200111155906682"</f>
        <v>20200111155906682</v>
      </c>
      <c r="B3051" t="str">
        <f>"1578729546674572"</f>
        <v>1578729546674572</v>
      </c>
      <c r="C3051" t="s">
        <v>37</v>
      </c>
      <c r="D3051">
        <v>5.3032279999999998</v>
      </c>
      <c r="E3051">
        <v>0.53867189999999998</v>
      </c>
      <c r="F3051" t="s">
        <v>52</v>
      </c>
      <c r="G3051">
        <v>-298.78250000000003</v>
      </c>
      <c r="H3051" s="1">
        <v>2.45228399999999E-6</v>
      </c>
      <c r="I3051">
        <v>213.05760000000001</v>
      </c>
      <c r="J3051">
        <v>-342.8177</v>
      </c>
      <c r="K3051">
        <v>1.1044590000000001</v>
      </c>
      <c r="L3051">
        <v>214.15790000000001</v>
      </c>
      <c r="M3051">
        <v>0.99986900000000001</v>
      </c>
      <c r="N3051">
        <v>0</v>
      </c>
      <c r="O3051">
        <v>7.2175190000000004E-3</v>
      </c>
      <c r="P3051">
        <v>0.99668189999999901</v>
      </c>
      <c r="Q3051">
        <v>-9.1814449999999999E-3</v>
      </c>
      <c r="R3051">
        <v>8.0875899999999903E-2</v>
      </c>
      <c r="S3051">
        <v>3.0152890000000001</v>
      </c>
      <c r="T3051">
        <v>-7.5080389999999997E-2</v>
      </c>
      <c r="U3051">
        <v>-7.4630740000000001E-2</v>
      </c>
      <c r="V3051">
        <v>-7.3681999999999997E-2</v>
      </c>
      <c r="W3051">
        <v>5.2283210000000002E-3</v>
      </c>
      <c r="X3051">
        <v>0.99726809999999999</v>
      </c>
      <c r="Y3051">
        <v>3.1946479999999999E-2</v>
      </c>
      <c r="Z3051">
        <v>-5.7729150000000002E-4</v>
      </c>
      <c r="AA3051">
        <v>0.99948939999999997</v>
      </c>
      <c r="AB3051">
        <v>33</v>
      </c>
      <c r="AC3051">
        <v>44.035199999999897</v>
      </c>
      <c r="AD3051">
        <v>-1.104456547716</v>
      </c>
      <c r="AE3051">
        <v>-1.1003000000000001</v>
      </c>
      <c r="AF3051">
        <v>1.41723860435226</v>
      </c>
      <c r="AG3051">
        <v>-1.104456547716</v>
      </c>
      <c r="AH3051">
        <v>43.998449791205402</v>
      </c>
      <c r="AI3051">
        <v>91.437201316630393</v>
      </c>
      <c r="AJ3051">
        <v>88.155077629583602</v>
      </c>
      <c r="AK3051">
        <v>44.035122045438698</v>
      </c>
    </row>
    <row r="3052" spans="1:37" x14ac:dyDescent="0.2">
      <c r="A3052" t="str">
        <f>"20200111155906704"</f>
        <v>20200111155906704</v>
      </c>
      <c r="B3052" t="str">
        <f>"1578729546695067"</f>
        <v>1578729546695067</v>
      </c>
      <c r="C3052" t="s">
        <v>37</v>
      </c>
      <c r="D3052">
        <v>5.3109380000000002</v>
      </c>
      <c r="E3052">
        <v>0.53742219999999996</v>
      </c>
      <c r="F3052" t="s">
        <v>52</v>
      </c>
      <c r="G3052">
        <v>-300.26139999999998</v>
      </c>
      <c r="H3052" s="1">
        <v>2.606886E-6</v>
      </c>
      <c r="I3052">
        <v>213.2516</v>
      </c>
      <c r="J3052">
        <v>-342.49090000000001</v>
      </c>
      <c r="K3052">
        <v>1.104487</v>
      </c>
      <c r="L3052">
        <v>214.16050000000001</v>
      </c>
      <c r="M3052">
        <v>0.99986739999999996</v>
      </c>
      <c r="N3052">
        <v>0</v>
      </c>
      <c r="O3052">
        <v>7.4468190000000004E-3</v>
      </c>
      <c r="P3052">
        <v>0.99661489999999997</v>
      </c>
      <c r="Q3052">
        <v>-2.8883200000000002E-3</v>
      </c>
      <c r="R3052">
        <v>8.2160990000000003E-2</v>
      </c>
      <c r="S3052">
        <v>3.01443499999999</v>
      </c>
      <c r="T3052">
        <v>-7.8233239999999996E-2</v>
      </c>
      <c r="U3052">
        <v>-6.4193730000000004E-2</v>
      </c>
      <c r="V3052">
        <v>-7.4741799999999997E-2</v>
      </c>
      <c r="W3052">
        <v>1.151757E-2</v>
      </c>
      <c r="X3052">
        <v>0.99713639999999903</v>
      </c>
      <c r="Y3052">
        <v>2.8723760000000001E-2</v>
      </c>
      <c r="Z3052">
        <v>-5.6586180000000002E-4</v>
      </c>
      <c r="AA3052">
        <v>0.99958719999999901</v>
      </c>
      <c r="AB3052">
        <v>33</v>
      </c>
      <c r="AC3052">
        <v>42.229500000000002</v>
      </c>
      <c r="AD3052">
        <v>-1.104484393114</v>
      </c>
      <c r="AE3052">
        <v>-0.90890000000001603</v>
      </c>
      <c r="AF3052">
        <v>1.2225473227750501</v>
      </c>
      <c r="AG3052">
        <v>-1.104484393114</v>
      </c>
      <c r="AH3052">
        <v>42.192711170312002</v>
      </c>
      <c r="AI3052">
        <v>91.498868260222594</v>
      </c>
      <c r="AJ3052">
        <v>88.340300807152303</v>
      </c>
      <c r="AK3052">
        <v>42.224866887089497</v>
      </c>
    </row>
    <row r="3053" spans="1:37" x14ac:dyDescent="0.2">
      <c r="A3053" t="str">
        <f>"20200111155906794"</f>
        <v>20200111155906794</v>
      </c>
      <c r="B3053" t="str">
        <f>"1578729546785367"</f>
        <v>1578729546785367</v>
      </c>
      <c r="C3053" t="s">
        <v>37</v>
      </c>
      <c r="D3053">
        <v>5.4280790000000003</v>
      </c>
      <c r="E3053">
        <v>0.53678049999999999</v>
      </c>
      <c r="F3053" t="s">
        <v>52</v>
      </c>
      <c r="G3053">
        <v>-290.68419999999998</v>
      </c>
      <c r="H3053" s="1">
        <v>1.0157789999999999E-6</v>
      </c>
      <c r="I3053">
        <v>213.2945</v>
      </c>
      <c r="J3053">
        <v>-341.1814</v>
      </c>
      <c r="K3053">
        <v>1.104646</v>
      </c>
      <c r="L3053">
        <v>214.17169999999999</v>
      </c>
      <c r="M3053">
        <v>0.99986039999999998</v>
      </c>
      <c r="N3053">
        <v>0</v>
      </c>
      <c r="O3053">
        <v>8.3678229999999999E-3</v>
      </c>
      <c r="P3053">
        <v>0.99541429999999997</v>
      </c>
      <c r="Q3053">
        <v>3.1800309999999998E-2</v>
      </c>
      <c r="R3053">
        <v>9.0219499999999994E-2</v>
      </c>
      <c r="S3053">
        <v>3.0141909999999998</v>
      </c>
      <c r="T3053">
        <v>-6.4260600000000001E-2</v>
      </c>
      <c r="U3053">
        <v>-5.0384520000000002E-2</v>
      </c>
      <c r="V3053">
        <v>-8.1907259999999996E-2</v>
      </c>
      <c r="W3053">
        <v>4.617367E-2</v>
      </c>
      <c r="X3053">
        <v>0.99556979999999995</v>
      </c>
      <c r="Y3053">
        <v>2.5072790000000001E-2</v>
      </c>
      <c r="Z3053">
        <v>-4.456029E-4</v>
      </c>
      <c r="AA3053">
        <v>0.9996855</v>
      </c>
      <c r="AB3053">
        <v>33</v>
      </c>
      <c r="AC3053">
        <v>50.497199999999999</v>
      </c>
      <c r="AD3053">
        <v>-1.104644984221</v>
      </c>
      <c r="AE3053">
        <v>-0.87719999999998699</v>
      </c>
      <c r="AF3053">
        <v>1.29914361698793</v>
      </c>
      <c r="AG3053">
        <v>-1.104644984221</v>
      </c>
      <c r="AH3053">
        <v>50.463949336008199</v>
      </c>
      <c r="AI3053">
        <v>91.2535768078789</v>
      </c>
      <c r="AJ3053">
        <v>88.525303515896795</v>
      </c>
      <c r="AK3053">
        <v>50.492753908515702</v>
      </c>
    </row>
    <row r="3054" spans="1:37" x14ac:dyDescent="0.2">
      <c r="A3054" t="str">
        <f>"20200111155906817"</f>
        <v>20200111155906817</v>
      </c>
      <c r="B3054" t="str">
        <f>"1578729546804887"</f>
        <v>1578729546804887</v>
      </c>
      <c r="C3054" t="s">
        <v>37</v>
      </c>
      <c r="D3054">
        <v>5.4338430000000004</v>
      </c>
      <c r="E3054">
        <v>0.53627939999999996</v>
      </c>
      <c r="F3054" t="s">
        <v>69</v>
      </c>
      <c r="G3054">
        <v>-107.39749999999999</v>
      </c>
      <c r="H3054">
        <v>2.3123269999999998</v>
      </c>
      <c r="I3054">
        <v>212.57929999999999</v>
      </c>
      <c r="J3054">
        <v>-340.86169999999998</v>
      </c>
      <c r="K3054">
        <v>1.1046719999999901</v>
      </c>
      <c r="L3054">
        <v>214.1746</v>
      </c>
      <c r="M3054">
        <v>0.99985840000000004</v>
      </c>
      <c r="N3054">
        <v>0</v>
      </c>
      <c r="O3054">
        <v>8.5930680000000006E-3</v>
      </c>
      <c r="P3054">
        <v>0.99510279999999995</v>
      </c>
      <c r="Q3054">
        <v>3.809121E-2</v>
      </c>
      <c r="R3054">
        <v>9.1210399999999997E-2</v>
      </c>
      <c r="S3054">
        <v>3.015228</v>
      </c>
      <c r="T3054">
        <v>1.557672E-2</v>
      </c>
      <c r="U3054">
        <v>-2.053833E-2</v>
      </c>
      <c r="V3054">
        <v>-8.2679080000000002E-2</v>
      </c>
      <c r="W3054">
        <v>5.2456919999999997E-2</v>
      </c>
      <c r="X3054">
        <v>0.99519469999999999</v>
      </c>
      <c r="Y3054">
        <v>1.5404579999999999E-2</v>
      </c>
      <c r="Z3054" s="1">
        <v>8.4185119999999894E-5</v>
      </c>
      <c r="AA3054">
        <v>0.99988129999999997</v>
      </c>
      <c r="AB3054">
        <v>33</v>
      </c>
      <c r="AC3054">
        <v>233.46420000000001</v>
      </c>
      <c r="AD3054">
        <v>1.2076549999999999</v>
      </c>
      <c r="AE3054">
        <v>-1.5952999999999999</v>
      </c>
      <c r="AF3054">
        <v>3.6015284886062502</v>
      </c>
      <c r="AG3054">
        <v>1.2076549999999999</v>
      </c>
      <c r="AH3054">
        <v>233.43562262889401</v>
      </c>
      <c r="AI3054">
        <v>89.703624138363594</v>
      </c>
      <c r="AJ3054">
        <v>89.116090298346407</v>
      </c>
      <c r="AK3054">
        <v>233.466527258605</v>
      </c>
    </row>
    <row r="3055" spans="1:37" x14ac:dyDescent="0.2">
      <c r="A3055" t="str">
        <f>"20200111155906838"</f>
        <v>20200111155906838</v>
      </c>
      <c r="B3055" t="str">
        <f>"1578729546825383"</f>
        <v>1578729546825383</v>
      </c>
      <c r="C3055" t="s">
        <v>37</v>
      </c>
      <c r="D3055">
        <v>5.3000629999999997</v>
      </c>
      <c r="E3055">
        <v>0.53568559999999998</v>
      </c>
      <c r="F3055" t="s">
        <v>69</v>
      </c>
      <c r="G3055">
        <v>-107.39749999999999</v>
      </c>
      <c r="H3055">
        <v>2.2273959999999899</v>
      </c>
      <c r="I3055">
        <v>213.14439999999999</v>
      </c>
      <c r="J3055">
        <v>-340.54730000000001</v>
      </c>
      <c r="K3055">
        <v>1.1046959999999999</v>
      </c>
      <c r="L3055">
        <v>214.17760000000001</v>
      </c>
      <c r="M3055">
        <v>0.99985669999999904</v>
      </c>
      <c r="N3055">
        <v>0</v>
      </c>
      <c r="O3055">
        <v>8.8143240000000001E-3</v>
      </c>
      <c r="P3055">
        <v>0.99481799999999998</v>
      </c>
      <c r="Q3055">
        <v>4.2756929999999999E-2</v>
      </c>
      <c r="R3055">
        <v>9.2245939999999998E-2</v>
      </c>
      <c r="S3055">
        <v>3.0154109999999998</v>
      </c>
      <c r="T3055">
        <v>1.4501689999999999E-2</v>
      </c>
      <c r="U3055">
        <v>-1.330566E-2</v>
      </c>
      <c r="V3055">
        <v>-8.3498569999999994E-2</v>
      </c>
      <c r="W3055">
        <v>5.7114329999999998E-2</v>
      </c>
      <c r="X3055">
        <v>0.99486980000000003</v>
      </c>
      <c r="Y3055">
        <v>1.3227249999999999E-2</v>
      </c>
      <c r="Z3055" s="1">
        <v>7.41994E-5</v>
      </c>
      <c r="AA3055">
        <v>0.99991249999999998</v>
      </c>
      <c r="AB3055">
        <v>33</v>
      </c>
      <c r="AC3055">
        <v>233.1498</v>
      </c>
      <c r="AD3055">
        <v>1.12269999999999</v>
      </c>
      <c r="AE3055">
        <v>-1.0332000000000201</v>
      </c>
      <c r="AF3055">
        <v>3.0883607934308799</v>
      </c>
      <c r="AG3055">
        <v>1.12269999999999</v>
      </c>
      <c r="AH3055">
        <v>233.12622749700699</v>
      </c>
      <c r="AI3055">
        <v>89.724098693745304</v>
      </c>
      <c r="AJ3055">
        <v>89.241013374732603</v>
      </c>
      <c r="AK3055">
        <v>233.14938639135701</v>
      </c>
    </row>
    <row r="3056" spans="1:37" x14ac:dyDescent="0.2">
      <c r="A3056" t="str">
        <f>"20200111155906860"</f>
        <v>20200111155906860</v>
      </c>
      <c r="B3056" t="str">
        <f>"1578729546854663"</f>
        <v>1578729546854663</v>
      </c>
      <c r="C3056" t="s">
        <v>37</v>
      </c>
      <c r="D3056">
        <v>5.315105</v>
      </c>
      <c r="E3056">
        <v>0.53482159999999901</v>
      </c>
      <c r="F3056" t="s">
        <v>69</v>
      </c>
      <c r="G3056">
        <v>-107.39749999999999</v>
      </c>
      <c r="H3056">
        <v>1.8566450000000001</v>
      </c>
      <c r="I3056">
        <v>213.7765</v>
      </c>
      <c r="J3056">
        <v>-340.21370000000002</v>
      </c>
      <c r="K3056">
        <v>1.1047119999999999</v>
      </c>
      <c r="L3056">
        <v>214.1808</v>
      </c>
      <c r="M3056">
        <v>0.99985460000000004</v>
      </c>
      <c r="N3056">
        <v>0</v>
      </c>
      <c r="O3056">
        <v>9.0492899999999998E-3</v>
      </c>
      <c r="P3056">
        <v>0.99463419999999902</v>
      </c>
      <c r="Q3056">
        <v>4.6046950000000003E-2</v>
      </c>
      <c r="R3056">
        <v>9.2643900000000001E-2</v>
      </c>
      <c r="S3056">
        <v>3.015717</v>
      </c>
      <c r="T3056">
        <v>9.7268819999999992E-3</v>
      </c>
      <c r="U3056">
        <v>-5.1879880000000001E-3</v>
      </c>
      <c r="V3056">
        <v>-8.3665959999999998E-2</v>
      </c>
      <c r="W3056">
        <v>6.0398809999999997E-2</v>
      </c>
      <c r="X3056">
        <v>0.99466169999999998</v>
      </c>
      <c r="Y3056">
        <v>1.077036E-2</v>
      </c>
      <c r="Z3056" s="1">
        <v>4.6559549999999997E-5</v>
      </c>
      <c r="AA3056">
        <v>0.999942</v>
      </c>
      <c r="AB3056">
        <v>32</v>
      </c>
      <c r="AC3056">
        <v>232.81620000000001</v>
      </c>
      <c r="AD3056">
        <v>0.75193299999999996</v>
      </c>
      <c r="AE3056">
        <v>-0.40430000000000599</v>
      </c>
      <c r="AF3056">
        <v>2.5112986376703601</v>
      </c>
      <c r="AG3056">
        <v>0.75193299999999996</v>
      </c>
      <c r="AH3056">
        <v>232.80057781565401</v>
      </c>
      <c r="AI3056">
        <v>89.814949208813402</v>
      </c>
      <c r="AJ3056">
        <v>89.381955003869507</v>
      </c>
      <c r="AK3056">
        <v>232.81533681307701</v>
      </c>
    </row>
    <row r="3057" spans="1:37" x14ac:dyDescent="0.2">
      <c r="A3057" t="str">
        <f>"20200111155906884"</f>
        <v>20200111155906884</v>
      </c>
      <c r="B3057" t="str">
        <f>"1578729546875159"</f>
        <v>1578729546875159</v>
      </c>
      <c r="C3057" t="s">
        <v>37</v>
      </c>
      <c r="D3057">
        <v>5.3056010000000002</v>
      </c>
      <c r="E3057">
        <v>0.5346978</v>
      </c>
      <c r="F3057" t="s">
        <v>69</v>
      </c>
      <c r="G3057">
        <v>-107.39749999999999</v>
      </c>
      <c r="H3057">
        <v>0.74715980000000004</v>
      </c>
      <c r="I3057">
        <v>214.42570000000001</v>
      </c>
      <c r="J3057">
        <v>-339.87450000000001</v>
      </c>
      <c r="K3057">
        <v>1.1047169999999999</v>
      </c>
      <c r="L3057">
        <v>214.1841</v>
      </c>
      <c r="M3057">
        <v>0.99985239999999997</v>
      </c>
      <c r="N3057">
        <v>0</v>
      </c>
      <c r="O3057">
        <v>9.2882499999999996E-3</v>
      </c>
      <c r="P3057">
        <v>0.9945484</v>
      </c>
      <c r="Q3057">
        <v>4.8010379999999998E-2</v>
      </c>
      <c r="R3057">
        <v>9.2568220000000007E-2</v>
      </c>
      <c r="S3057">
        <v>3.0161129999999998</v>
      </c>
      <c r="T3057">
        <v>-4.6313999999999904E-3</v>
      </c>
      <c r="U3057">
        <v>3.1738280000000001E-3</v>
      </c>
      <c r="V3057">
        <v>-8.3353789999999997E-2</v>
      </c>
      <c r="W3057">
        <v>6.2357299999999997E-2</v>
      </c>
      <c r="X3057">
        <v>0.99456710000000004</v>
      </c>
      <c r="Y3057">
        <v>8.2369509999999993E-3</v>
      </c>
      <c r="Z3057" s="1">
        <v>-2.0588029999999999E-5</v>
      </c>
      <c r="AA3057">
        <v>0.99996609999999997</v>
      </c>
      <c r="AB3057">
        <v>32</v>
      </c>
      <c r="AC3057">
        <v>232.477</v>
      </c>
      <c r="AD3057">
        <v>-0.35755719999999902</v>
      </c>
      <c r="AE3057">
        <v>0.24160000000000501</v>
      </c>
      <c r="AF3057">
        <v>1.91793596415614</v>
      </c>
      <c r="AG3057">
        <v>-0.35755719999999902</v>
      </c>
      <c r="AH3057">
        <v>232.468663969581</v>
      </c>
      <c r="AI3057">
        <v>90.088122866947003</v>
      </c>
      <c r="AJ3057">
        <v>89.527303417819198</v>
      </c>
      <c r="AK3057">
        <v>232.47685057509699</v>
      </c>
    </row>
    <row r="3058" spans="1:37" x14ac:dyDescent="0.2">
      <c r="A3058" t="str">
        <f>"20200111155906950"</f>
        <v>20200111155906950</v>
      </c>
      <c r="B3058" t="str">
        <f>"1578729546944455"</f>
        <v>1578729546944455</v>
      </c>
      <c r="C3058" t="s">
        <v>37</v>
      </c>
      <c r="D3058">
        <v>5.3307019999999996</v>
      </c>
      <c r="E3058">
        <v>0.534717</v>
      </c>
      <c r="F3058" t="s">
        <v>69</v>
      </c>
      <c r="G3058">
        <v>-107.39749999999999</v>
      </c>
      <c r="H3058">
        <v>9.2505569999999995E-2</v>
      </c>
      <c r="I3058">
        <v>214.511</v>
      </c>
      <c r="J3058">
        <v>-338.92860000000002</v>
      </c>
      <c r="K3058">
        <v>1.104697</v>
      </c>
      <c r="L3058">
        <v>214.19380000000001</v>
      </c>
      <c r="M3058">
        <v>0.99984609999999996</v>
      </c>
      <c r="N3058">
        <v>0</v>
      </c>
      <c r="O3058">
        <v>9.9552960000000006E-3</v>
      </c>
      <c r="P3058">
        <v>0.99494680000000002</v>
      </c>
      <c r="Q3058">
        <v>4.3499759999999998E-2</v>
      </c>
      <c r="R3058">
        <v>9.0492100000000006E-2</v>
      </c>
      <c r="S3058">
        <v>3.016724</v>
      </c>
      <c r="T3058">
        <v>-1.313424E-2</v>
      </c>
      <c r="U3058">
        <v>4.2419429999999998E-3</v>
      </c>
      <c r="V3058">
        <v>-8.0607689999999996E-2</v>
      </c>
      <c r="W3058">
        <v>5.7845059999999997E-2</v>
      </c>
      <c r="X3058">
        <v>0.99506600000000001</v>
      </c>
      <c r="Y3058">
        <v>8.5500790000000004E-3</v>
      </c>
      <c r="Z3058" s="1">
        <v>-6.1959769999999994E-5</v>
      </c>
      <c r="AA3058">
        <v>0.99996350000000001</v>
      </c>
      <c r="AB3058">
        <v>32</v>
      </c>
      <c r="AC3058">
        <v>231.53110000000001</v>
      </c>
      <c r="AD3058">
        <v>-1.0121914299999999</v>
      </c>
      <c r="AE3058">
        <v>0.31719999999998499</v>
      </c>
      <c r="AF3058">
        <v>1.98797888552892</v>
      </c>
      <c r="AG3058">
        <v>-1.0121914299999999</v>
      </c>
      <c r="AH3058">
        <v>231.51835741201899</v>
      </c>
      <c r="AI3058">
        <v>90.250484628109604</v>
      </c>
      <c r="AJ3058">
        <v>89.508030370060197</v>
      </c>
      <c r="AK3058">
        <v>231.529104888132</v>
      </c>
    </row>
    <row r="3059" spans="1:37" x14ac:dyDescent="0.2">
      <c r="A3059" t="str">
        <f>"20200111155906973"</f>
        <v>20200111155906973</v>
      </c>
      <c r="B3059" t="str">
        <f>"1578729546964951"</f>
        <v>1578729546964951</v>
      </c>
      <c r="C3059" t="s">
        <v>37</v>
      </c>
      <c r="D3059">
        <v>5.3357729999999997</v>
      </c>
      <c r="E3059">
        <v>0.53484019999999899</v>
      </c>
      <c r="F3059" t="s">
        <v>50</v>
      </c>
      <c r="G3059">
        <v>-237.4254</v>
      </c>
      <c r="H3059" s="1">
        <v>2.4363560000000001E-6</v>
      </c>
      <c r="I3059">
        <v>214.1189</v>
      </c>
      <c r="J3059">
        <v>-338.59010000000001</v>
      </c>
      <c r="K3059">
        <v>1.1046860000000001</v>
      </c>
      <c r="L3059">
        <v>214.19739999999999</v>
      </c>
      <c r="M3059">
        <v>0.99984379999999995</v>
      </c>
      <c r="N3059">
        <v>0</v>
      </c>
      <c r="O3059">
        <v>1.019366E-2</v>
      </c>
      <c r="P3059">
        <v>0.9950563</v>
      </c>
      <c r="Q3059">
        <v>4.19374E-2</v>
      </c>
      <c r="R3059">
        <v>9.0023899999999907E-2</v>
      </c>
      <c r="S3059">
        <v>3.0168759999999999</v>
      </c>
      <c r="T3059">
        <v>-3.28337E-2</v>
      </c>
      <c r="U3059">
        <v>-2.2277829999999901E-3</v>
      </c>
      <c r="V3059">
        <v>-7.9900239999999997E-2</v>
      </c>
      <c r="W3059">
        <v>5.6281690000000002E-2</v>
      </c>
      <c r="X3059">
        <v>0.99521269999999995</v>
      </c>
      <c r="Y3059">
        <v>1.093187E-2</v>
      </c>
      <c r="Z3059">
        <v>-1.7043389999999901E-4</v>
      </c>
      <c r="AA3059">
        <v>0.99994019999999995</v>
      </c>
      <c r="AB3059">
        <v>32</v>
      </c>
      <c r="AC3059">
        <v>101.1647</v>
      </c>
      <c r="AD3059">
        <v>-1.104683563644</v>
      </c>
      <c r="AE3059">
        <v>-7.8499999999991105E-2</v>
      </c>
      <c r="AF3059">
        <v>1.1097096612517501</v>
      </c>
      <c r="AG3059">
        <v>-1.104683563644</v>
      </c>
      <c r="AH3059">
        <v>101.146581839018</v>
      </c>
      <c r="AI3059">
        <v>90.625699651102806</v>
      </c>
      <c r="AJ3059">
        <v>89.371415939072094</v>
      </c>
      <c r="AK3059">
        <v>101.15870105445801</v>
      </c>
    </row>
    <row r="3060" spans="1:37" x14ac:dyDescent="0.2">
      <c r="A3060" t="str">
        <f>"20200111155906994"</f>
        <v>20200111155906994</v>
      </c>
      <c r="B3060" t="str">
        <f>"1578729546984980"</f>
        <v>1578729546984980</v>
      </c>
      <c r="C3060" t="s">
        <v>37</v>
      </c>
      <c r="D3060">
        <v>5.3449339999999896</v>
      </c>
      <c r="E3060">
        <v>0.53489960000000003</v>
      </c>
      <c r="F3060" t="s">
        <v>50</v>
      </c>
      <c r="G3060">
        <v>-271.68520000000001</v>
      </c>
      <c r="H3060" s="1">
        <v>-6.1740879999999996E-7</v>
      </c>
      <c r="I3060">
        <v>214.0993</v>
      </c>
      <c r="J3060">
        <v>-338.28960000000001</v>
      </c>
      <c r="K3060">
        <v>1.104673</v>
      </c>
      <c r="L3060">
        <v>214.20070000000001</v>
      </c>
      <c r="M3060">
        <v>0.99984169999999895</v>
      </c>
      <c r="N3060">
        <v>0</v>
      </c>
      <c r="O3060">
        <v>1.0405609999999999E-2</v>
      </c>
      <c r="P3060">
        <v>0.99514360000000002</v>
      </c>
      <c r="Q3060">
        <v>4.0946410000000003E-2</v>
      </c>
      <c r="R3060">
        <v>8.9514709999999997E-2</v>
      </c>
      <c r="S3060">
        <v>3.0174259999999999</v>
      </c>
      <c r="T3060">
        <v>-4.9821619999999997E-2</v>
      </c>
      <c r="U3060">
        <v>-4.4250490000000003E-3</v>
      </c>
      <c r="V3060">
        <v>-7.9178559999999995E-2</v>
      </c>
      <c r="W3060">
        <v>5.5289980000000002E-2</v>
      </c>
      <c r="X3060">
        <v>0.99532600000000004</v>
      </c>
      <c r="Y3060">
        <v>1.187007E-2</v>
      </c>
      <c r="Z3060">
        <v>-2.6980279999999998E-4</v>
      </c>
      <c r="AA3060">
        <v>0.99992950000000003</v>
      </c>
      <c r="AB3060">
        <v>32</v>
      </c>
      <c r="AC3060">
        <v>66.604399999999998</v>
      </c>
      <c r="AD3060">
        <v>-1.1046736174088001</v>
      </c>
      <c r="AE3060">
        <v>-0.10140000000001199</v>
      </c>
      <c r="AF3060">
        <v>0.794307613366386</v>
      </c>
      <c r="AG3060">
        <v>-1.1046736174088001</v>
      </c>
      <c r="AH3060">
        <v>66.581422752990903</v>
      </c>
      <c r="AI3060">
        <v>90.950457717447094</v>
      </c>
      <c r="AJ3060">
        <v>89.316501313127603</v>
      </c>
      <c r="AK3060">
        <v>66.595323290739699</v>
      </c>
    </row>
    <row r="3061" spans="1:37" x14ac:dyDescent="0.2">
      <c r="A3061" t="str">
        <f>"20200111155907016"</f>
        <v>20200111155907016</v>
      </c>
      <c r="B3061" t="str">
        <f>"1578729547004500"</f>
        <v>1578729547004500</v>
      </c>
      <c r="C3061" t="s">
        <v>37</v>
      </c>
      <c r="D3061">
        <v>5.3947219999999998</v>
      </c>
      <c r="E3061">
        <v>0.53453050000000002</v>
      </c>
      <c r="F3061" t="s">
        <v>52</v>
      </c>
      <c r="G3061">
        <v>-285.46050000000002</v>
      </c>
      <c r="H3061" s="1">
        <v>4.7319999999999998E-6</v>
      </c>
      <c r="I3061">
        <v>214.09119999999999</v>
      </c>
      <c r="J3061">
        <v>-337.97859999999997</v>
      </c>
      <c r="K3061">
        <v>1.1046689999999999</v>
      </c>
      <c r="L3061">
        <v>214.20419999999999</v>
      </c>
      <c r="M3061">
        <v>0.99983940000000004</v>
      </c>
      <c r="N3061">
        <v>0</v>
      </c>
      <c r="O3061">
        <v>1.062485E-2</v>
      </c>
      <c r="P3061">
        <v>0.99518949999999995</v>
      </c>
      <c r="Q3061">
        <v>4.0855530000000001E-2</v>
      </c>
      <c r="R3061">
        <v>8.9045730000000003E-2</v>
      </c>
      <c r="S3061">
        <v>3.0178219999999998</v>
      </c>
      <c r="T3061">
        <v>-6.3103320000000004E-2</v>
      </c>
      <c r="U3061">
        <v>-6.2561040000000002E-3</v>
      </c>
      <c r="V3061">
        <v>-7.8490760000000007E-2</v>
      </c>
      <c r="W3061">
        <v>5.519665E-2</v>
      </c>
      <c r="X3061">
        <v>0.99538559999999998</v>
      </c>
      <c r="Y3061">
        <v>1.269377E-2</v>
      </c>
      <c r="Z3061">
        <v>-3.5486399999999998E-4</v>
      </c>
      <c r="AA3061">
        <v>0.99991939999999901</v>
      </c>
      <c r="AB3061">
        <v>32</v>
      </c>
      <c r="AC3061">
        <v>52.518099999999897</v>
      </c>
      <c r="AD3061">
        <v>-1.1046642680000001</v>
      </c>
      <c r="AE3061">
        <v>-0.112999999999999</v>
      </c>
      <c r="AF3061">
        <v>0.67075191785169197</v>
      </c>
      <c r="AG3061">
        <v>-1.1046642680000001</v>
      </c>
      <c r="AH3061">
        <v>52.490710996180802</v>
      </c>
      <c r="AI3061">
        <v>91.205510330058004</v>
      </c>
      <c r="AJ3061">
        <v>89.267886419162494</v>
      </c>
      <c r="AK3061">
        <v>52.5066179844491</v>
      </c>
    </row>
    <row r="3062" spans="1:37" x14ac:dyDescent="0.2">
      <c r="A3062" t="str">
        <f>"20200111155907039"</f>
        <v>20200111155907039</v>
      </c>
      <c r="B3062" t="str">
        <f>"1578729547034756"</f>
        <v>1578729547034756</v>
      </c>
      <c r="C3062" t="s">
        <v>37</v>
      </c>
      <c r="D3062">
        <v>5.3914770000000001</v>
      </c>
      <c r="E3062">
        <v>0.53362140000000002</v>
      </c>
      <c r="F3062" t="s">
        <v>52</v>
      </c>
      <c r="G3062">
        <v>-292.84429999999998</v>
      </c>
      <c r="H3062" s="1">
        <v>1.398942E-6</v>
      </c>
      <c r="I3062">
        <v>214.13730000000001</v>
      </c>
      <c r="J3062">
        <v>-337.64420000000001</v>
      </c>
      <c r="K3062">
        <v>1.1046750000000001</v>
      </c>
      <c r="L3062">
        <v>214.208</v>
      </c>
      <c r="M3062">
        <v>0.99983699999999998</v>
      </c>
      <c r="N3062">
        <v>0</v>
      </c>
      <c r="O3062">
        <v>1.0860760000000001E-2</v>
      </c>
      <c r="P3062">
        <v>0.99520259999999905</v>
      </c>
      <c r="Q3062">
        <v>4.1349660000000003E-2</v>
      </c>
      <c r="R3062">
        <v>8.8669250000000005E-2</v>
      </c>
      <c r="S3062">
        <v>3.01791399999999</v>
      </c>
      <c r="T3062">
        <v>-7.3863860000000003E-2</v>
      </c>
      <c r="U3062">
        <v>-4.4708250000000003E-3</v>
      </c>
      <c r="V3062">
        <v>-7.7878710000000004E-2</v>
      </c>
      <c r="W3062">
        <v>5.5688469999999997E-2</v>
      </c>
      <c r="X3062">
        <v>0.99540629999999997</v>
      </c>
      <c r="Y3062">
        <v>1.233628E-2</v>
      </c>
      <c r="Z3062">
        <v>-4.1674650000000002E-4</v>
      </c>
      <c r="AA3062">
        <v>0.99992380000000003</v>
      </c>
      <c r="AB3062">
        <v>32</v>
      </c>
      <c r="AC3062">
        <v>44.799900000000001</v>
      </c>
      <c r="AD3062">
        <v>-1.1046736010580001</v>
      </c>
      <c r="AE3062">
        <v>-7.0699999999987995E-2</v>
      </c>
      <c r="AF3062">
        <v>0.55696876145457797</v>
      </c>
      <c r="AG3062">
        <v>-1.1046736010580001</v>
      </c>
      <c r="AH3062">
        <v>44.769268933578999</v>
      </c>
      <c r="AI3062">
        <v>91.413366835044201</v>
      </c>
      <c r="AJ3062">
        <v>89.287227290716402</v>
      </c>
      <c r="AK3062">
        <v>44.786359070739799</v>
      </c>
    </row>
    <row r="3063" spans="1:37" x14ac:dyDescent="0.2">
      <c r="A3063" t="str">
        <f>"20200111155907062"</f>
        <v>20200111155907062</v>
      </c>
      <c r="B3063" t="str">
        <f>"1578729547055252"</f>
        <v>1578729547055252</v>
      </c>
      <c r="C3063" t="s">
        <v>37</v>
      </c>
      <c r="D3063">
        <v>5.4062869999999998</v>
      </c>
      <c r="E3063">
        <v>0.53311709999999901</v>
      </c>
      <c r="F3063" t="s">
        <v>52</v>
      </c>
      <c r="G3063">
        <v>-298.84390000000002</v>
      </c>
      <c r="H3063" s="1">
        <v>2.4631690000000002E-6</v>
      </c>
      <c r="I3063">
        <v>214.23089999999999</v>
      </c>
      <c r="J3063">
        <v>-337.31310000000002</v>
      </c>
      <c r="K3063">
        <v>1.104679</v>
      </c>
      <c r="L3063">
        <v>214.21190000000001</v>
      </c>
      <c r="M3063">
        <v>0.99983449999999996</v>
      </c>
      <c r="N3063">
        <v>0</v>
      </c>
      <c r="O3063">
        <v>1.10943E-2</v>
      </c>
      <c r="P3063">
        <v>0.99515019999999998</v>
      </c>
      <c r="Q3063">
        <v>4.2937280000000001E-2</v>
      </c>
      <c r="R3063">
        <v>8.8503620000000005E-2</v>
      </c>
      <c r="S3063">
        <v>3.01791399999999</v>
      </c>
      <c r="T3063">
        <v>-8.5922239999999997E-2</v>
      </c>
      <c r="U3063">
        <v>1.785278E-3</v>
      </c>
      <c r="V3063">
        <v>-7.7481590000000003E-2</v>
      </c>
      <c r="W3063">
        <v>5.7271910000000002E-2</v>
      </c>
      <c r="X3063">
        <v>0.99534739999999999</v>
      </c>
      <c r="Y3063">
        <v>1.049518E-2</v>
      </c>
      <c r="Z3063">
        <v>-4.651991E-4</v>
      </c>
      <c r="AA3063">
        <v>0.99994479999999997</v>
      </c>
      <c r="AB3063">
        <v>32</v>
      </c>
      <c r="AC3063">
        <v>38.469200000000001</v>
      </c>
      <c r="AD3063">
        <v>-1.1046765368310001</v>
      </c>
      <c r="AE3063">
        <v>1.8999999999977001E-2</v>
      </c>
      <c r="AF3063">
        <v>0.40749836088297497</v>
      </c>
      <c r="AG3063">
        <v>-1.1046765368310001</v>
      </c>
      <c r="AH3063">
        <v>38.435348960497599</v>
      </c>
      <c r="AI3063">
        <v>91.6462015224715</v>
      </c>
      <c r="AJ3063">
        <v>89.392562781129598</v>
      </c>
      <c r="AK3063">
        <v>38.453379758876501</v>
      </c>
    </row>
    <row r="3064" spans="1:37" x14ac:dyDescent="0.2">
      <c r="A3064" t="str">
        <f>"20200111155907084"</f>
        <v>20200111155907084</v>
      </c>
      <c r="B3064" t="str">
        <f>"1578729547075281"</f>
        <v>1578729547075281</v>
      </c>
      <c r="C3064" t="s">
        <v>37</v>
      </c>
      <c r="D3064">
        <v>5.419022</v>
      </c>
      <c r="E3064">
        <v>0.53271380000000002</v>
      </c>
      <c r="F3064" t="s">
        <v>52</v>
      </c>
      <c r="G3064">
        <v>-300.11829999999998</v>
      </c>
      <c r="H3064" s="1">
        <v>2.632264E-6</v>
      </c>
      <c r="I3064">
        <v>214.2773</v>
      </c>
      <c r="J3064">
        <v>-336.99900000000002</v>
      </c>
      <c r="K3064">
        <v>1.1046860000000001</v>
      </c>
      <c r="L3064">
        <v>214.21559999999999</v>
      </c>
      <c r="M3064">
        <v>0.99983199999999905</v>
      </c>
      <c r="N3064">
        <v>0</v>
      </c>
      <c r="O3064">
        <v>1.1316089999999999E-2</v>
      </c>
      <c r="P3064">
        <v>0.99513600000000002</v>
      </c>
      <c r="Q3064">
        <v>4.3515329999999998E-2</v>
      </c>
      <c r="R3064">
        <v>8.8380619999999993E-2</v>
      </c>
      <c r="S3064">
        <v>3.018005</v>
      </c>
      <c r="T3064">
        <v>-8.9634060000000002E-2</v>
      </c>
      <c r="U3064">
        <v>5.3100589999999998E-3</v>
      </c>
      <c r="V3064">
        <v>-7.7138250000000005E-2</v>
      </c>
      <c r="W3064">
        <v>5.7846969999999998E-2</v>
      </c>
      <c r="X3064">
        <v>0.99534089999999997</v>
      </c>
      <c r="Y3064">
        <v>9.5487090000000007E-3</v>
      </c>
      <c r="Z3064">
        <v>-4.77805599999999E-4</v>
      </c>
      <c r="AA3064">
        <v>0.99995429999999996</v>
      </c>
      <c r="AB3064">
        <v>32</v>
      </c>
      <c r="AC3064">
        <v>36.880699999999997</v>
      </c>
      <c r="AD3064">
        <v>-1.104683367736</v>
      </c>
      <c r="AE3064">
        <v>6.1700000000001802E-2</v>
      </c>
      <c r="AF3064">
        <v>0.355373833676636</v>
      </c>
      <c r="AG3064">
        <v>-1.104683367736</v>
      </c>
      <c r="AH3064">
        <v>36.845979139329998</v>
      </c>
      <c r="AI3064">
        <v>91.717196859100298</v>
      </c>
      <c r="AJ3064">
        <v>89.447408103428501</v>
      </c>
      <c r="AK3064">
        <v>36.864248190361302</v>
      </c>
    </row>
    <row r="3065" spans="1:37" x14ac:dyDescent="0.2">
      <c r="A3065" t="str">
        <f>"20200111155907106"</f>
        <v>20200111155907106</v>
      </c>
      <c r="B3065" t="str">
        <f>"1578729547094801"</f>
        <v>1578729547094801</v>
      </c>
      <c r="C3065" t="s">
        <v>37</v>
      </c>
      <c r="D3065">
        <v>5.3472239999999998</v>
      </c>
      <c r="E3065">
        <v>0.53237719999999999</v>
      </c>
      <c r="F3065" t="s">
        <v>52</v>
      </c>
      <c r="G3065">
        <v>-302.19499999999999</v>
      </c>
      <c r="H3065" s="1">
        <v>2.2639060000000002E-6</v>
      </c>
      <c r="I3065">
        <v>214.3115</v>
      </c>
      <c r="J3065">
        <v>-336.68950000000001</v>
      </c>
      <c r="K3065">
        <v>1.104689</v>
      </c>
      <c r="L3065">
        <v>214.2193</v>
      </c>
      <c r="M3065">
        <v>0.99982950000000004</v>
      </c>
      <c r="N3065">
        <v>0</v>
      </c>
      <c r="O3065">
        <v>1.153496E-2</v>
      </c>
      <c r="P3065">
        <v>0.99509629999999905</v>
      </c>
      <c r="Q3065">
        <v>4.4145839999999999E-2</v>
      </c>
      <c r="R3065">
        <v>8.8511770000000003E-2</v>
      </c>
      <c r="S3065">
        <v>3.0181879999999999</v>
      </c>
      <c r="T3065">
        <v>-9.5797779999999999E-2</v>
      </c>
      <c r="U3065">
        <v>8.3160400000000002E-3</v>
      </c>
      <c r="V3065">
        <v>-7.7051889999999998E-2</v>
      </c>
      <c r="W3065">
        <v>5.8474369999999998E-2</v>
      </c>
      <c r="X3065">
        <v>0.9953109</v>
      </c>
      <c r="Y3065">
        <v>8.77077699999999E-3</v>
      </c>
      <c r="Z3065">
        <v>-5.0521680000000001E-4</v>
      </c>
      <c r="AA3065">
        <v>0.9999614</v>
      </c>
      <c r="AB3065">
        <v>32</v>
      </c>
      <c r="AC3065">
        <v>34.494500000000002</v>
      </c>
      <c r="AD3065">
        <v>-1.104686736094</v>
      </c>
      <c r="AE3065">
        <v>9.2199999999991095E-2</v>
      </c>
      <c r="AF3065">
        <v>0.30542693951933297</v>
      </c>
      <c r="AG3065">
        <v>-1.104686736094</v>
      </c>
      <c r="AH3065">
        <v>34.457928397901497</v>
      </c>
      <c r="AI3065">
        <v>91.836144429689199</v>
      </c>
      <c r="AJ3065">
        <v>89.492157041229007</v>
      </c>
      <c r="AK3065">
        <v>34.476984321068301</v>
      </c>
    </row>
    <row r="3066" spans="1:37" x14ac:dyDescent="0.2">
      <c r="A3066" t="str">
        <f>"20200111155907128"</f>
        <v>20200111155907128</v>
      </c>
      <c r="B3066" t="str">
        <f>"1578729547125058"</f>
        <v>1578729547125058</v>
      </c>
      <c r="C3066" t="s">
        <v>37</v>
      </c>
      <c r="D3066">
        <v>5.2988179999999998</v>
      </c>
      <c r="E3066">
        <v>0.53189790000000003</v>
      </c>
      <c r="F3066" t="s">
        <v>52</v>
      </c>
      <c r="G3066">
        <v>-302.34390000000002</v>
      </c>
      <c r="H3066" s="1">
        <v>2.2374969999999999E-6</v>
      </c>
      <c r="I3066">
        <v>214.35299999999901</v>
      </c>
      <c r="J3066">
        <v>-336.35559999999998</v>
      </c>
      <c r="K3066">
        <v>1.104698</v>
      </c>
      <c r="L3066">
        <v>214.2234</v>
      </c>
      <c r="M3066">
        <v>0.99982680000000002</v>
      </c>
      <c r="N3066">
        <v>0</v>
      </c>
      <c r="O3066">
        <v>1.177082E-2</v>
      </c>
      <c r="P3066">
        <v>0.99506989999999995</v>
      </c>
      <c r="Q3066">
        <v>4.4722140000000001E-2</v>
      </c>
      <c r="R3066">
        <v>8.8520680000000004E-2</v>
      </c>
      <c r="S3066">
        <v>3.018005</v>
      </c>
      <c r="T3066">
        <v>-9.7070690000000001E-2</v>
      </c>
      <c r="U3066">
        <v>1.1749269999999999E-2</v>
      </c>
      <c r="V3066">
        <v>-7.6826220000000001E-2</v>
      </c>
      <c r="W3066">
        <v>5.9047019999999999E-2</v>
      </c>
      <c r="X3066">
        <v>0.99529449999999997</v>
      </c>
      <c r="Y3066">
        <v>7.8690400000000008E-3</v>
      </c>
      <c r="Z3066">
        <v>-5.0504249999999999E-4</v>
      </c>
      <c r="AA3066">
        <v>0.99996890000000005</v>
      </c>
      <c r="AB3066">
        <v>32</v>
      </c>
      <c r="AC3066">
        <v>34.011699999999898</v>
      </c>
      <c r="AD3066">
        <v>-1.1046957625030001</v>
      </c>
      <c r="AE3066">
        <v>0.12959999999998201</v>
      </c>
      <c r="AF3066">
        <v>0.27051081575727698</v>
      </c>
      <c r="AG3066">
        <v>-1.1046957625030001</v>
      </c>
      <c r="AH3066">
        <v>33.975027714733599</v>
      </c>
      <c r="AI3066">
        <v>91.862253360980901</v>
      </c>
      <c r="AJ3066">
        <v>89.543817868824902</v>
      </c>
      <c r="AK3066">
        <v>33.994058849246798</v>
      </c>
    </row>
    <row r="3067" spans="1:37" x14ac:dyDescent="0.2">
      <c r="A3067" t="str">
        <f>"20200111155907151"</f>
        <v>20200111155907151</v>
      </c>
      <c r="B3067" t="str">
        <f>"1578729547144578"</f>
        <v>1578729547144578</v>
      </c>
      <c r="C3067" t="s">
        <v>37</v>
      </c>
      <c r="D3067">
        <v>5.3662130000000001</v>
      </c>
      <c r="E3067">
        <v>0.53154959999999996</v>
      </c>
      <c r="F3067" t="s">
        <v>52</v>
      </c>
      <c r="G3067">
        <v>-303.93939999999998</v>
      </c>
      <c r="H3067" s="1">
        <v>1.9544709999999999E-6</v>
      </c>
      <c r="I3067">
        <v>214.3914</v>
      </c>
      <c r="J3067">
        <v>-336.03680000000003</v>
      </c>
      <c r="K3067">
        <v>1.1047</v>
      </c>
      <c r="L3067">
        <v>214.22739999999999</v>
      </c>
      <c r="M3067">
        <v>0.99982409999999999</v>
      </c>
      <c r="N3067">
        <v>0</v>
      </c>
      <c r="O3067">
        <v>1.199619E-2</v>
      </c>
      <c r="P3067">
        <v>0.99504040000000005</v>
      </c>
      <c r="Q3067">
        <v>4.497574E-2</v>
      </c>
      <c r="R3067">
        <v>8.8723529999999995E-2</v>
      </c>
      <c r="S3067">
        <v>3.018097</v>
      </c>
      <c r="T3067">
        <v>-0.10285229999999999</v>
      </c>
      <c r="U3067">
        <v>1.564026E-2</v>
      </c>
      <c r="V3067">
        <v>-7.6805170000000006E-2</v>
      </c>
      <c r="W3067">
        <v>5.9297389999999998E-2</v>
      </c>
      <c r="X3067">
        <v>0.99528130000000004</v>
      </c>
      <c r="Y3067">
        <v>6.8046469999999996E-3</v>
      </c>
      <c r="Z3067">
        <v>-5.246351E-4</v>
      </c>
      <c r="AA3067">
        <v>0.99997669999999905</v>
      </c>
      <c r="AB3067">
        <v>32</v>
      </c>
      <c r="AC3067">
        <v>32.0974</v>
      </c>
      <c r="AD3067">
        <v>-1.1046980455290001</v>
      </c>
      <c r="AE3067">
        <v>0.16400000000001499</v>
      </c>
      <c r="AF3067">
        <v>0.220836754729759</v>
      </c>
      <c r="AG3067">
        <v>-1.1046980455290001</v>
      </c>
      <c r="AH3067">
        <v>32.0590833939048</v>
      </c>
      <c r="AI3067">
        <v>91.973481324329597</v>
      </c>
      <c r="AJ3067">
        <v>89.605328270707801</v>
      </c>
      <c r="AK3067">
        <v>32.078870845174301</v>
      </c>
    </row>
    <row r="3068" spans="1:37" x14ac:dyDescent="0.2">
      <c r="A3068" t="str">
        <f>"20200111155907173"</f>
        <v>20200111155907173</v>
      </c>
      <c r="B3068" t="str">
        <f>"1578729547165073"</f>
        <v>1578729547165073</v>
      </c>
      <c r="C3068" t="s">
        <v>37</v>
      </c>
      <c r="D3068">
        <v>5.2475370000000003</v>
      </c>
      <c r="E3068">
        <v>0.5312945</v>
      </c>
      <c r="F3068" t="s">
        <v>52</v>
      </c>
      <c r="G3068">
        <v>-304.9554</v>
      </c>
      <c r="H3068" s="1">
        <v>1.7742459999999899E-6</v>
      </c>
      <c r="I3068">
        <v>214.42449999999999</v>
      </c>
      <c r="J3068">
        <v>-335.72379999999998</v>
      </c>
      <c r="K3068">
        <v>1.1046940000000001</v>
      </c>
      <c r="L3068">
        <v>214.23140000000001</v>
      </c>
      <c r="M3068">
        <v>0.99982169999999904</v>
      </c>
      <c r="N3068">
        <v>0</v>
      </c>
      <c r="O3068">
        <v>1.2217560000000001E-2</v>
      </c>
      <c r="P3068">
        <v>0.99503790000000003</v>
      </c>
      <c r="Q3068">
        <v>4.4524670000000002E-2</v>
      </c>
      <c r="R3068">
        <v>8.8979660000000002E-2</v>
      </c>
      <c r="S3068">
        <v>3.018097</v>
      </c>
      <c r="T3068">
        <v>-0.1072698</v>
      </c>
      <c r="U3068">
        <v>1.9134519999999999E-2</v>
      </c>
      <c r="V3068">
        <v>-7.6840450000000005E-2</v>
      </c>
      <c r="W3068">
        <v>5.8843279999999998E-2</v>
      </c>
      <c r="X3068">
        <v>0.99530549999999995</v>
      </c>
      <c r="Y3068">
        <v>5.8678380000000002E-3</v>
      </c>
      <c r="Z3068">
        <v>-5.3837419999999995E-4</v>
      </c>
      <c r="AA3068">
        <v>0.999982699999999</v>
      </c>
      <c r="AB3068">
        <v>32</v>
      </c>
      <c r="AC3068">
        <v>30.7683999999999</v>
      </c>
      <c r="AD3068">
        <v>-1.1046922257539999</v>
      </c>
      <c r="AE3068">
        <v>0.19309999999998601</v>
      </c>
      <c r="AF3068">
        <v>0.182632742954842</v>
      </c>
      <c r="AG3068">
        <v>-1.1046922257539999</v>
      </c>
      <c r="AH3068">
        <v>30.728852771133099</v>
      </c>
      <c r="AI3068">
        <v>92.058841593457601</v>
      </c>
      <c r="AJ3068">
        <v>89.659474362966293</v>
      </c>
      <c r="AK3068">
        <v>30.749245393381798</v>
      </c>
    </row>
    <row r="3069" spans="1:37" x14ac:dyDescent="0.2">
      <c r="A3069" t="str">
        <f>"20200111155907196"</f>
        <v>20200111155907196</v>
      </c>
      <c r="B3069" t="str">
        <f>"1578729547184595"</f>
        <v>1578729547184595</v>
      </c>
      <c r="C3069" t="s">
        <v>37</v>
      </c>
      <c r="D3069">
        <v>5.3350770000000001</v>
      </c>
      <c r="E3069">
        <v>0.53129890000000002</v>
      </c>
      <c r="F3069" t="s">
        <v>52</v>
      </c>
      <c r="G3069">
        <v>-306.35270000000003</v>
      </c>
      <c r="H3069" s="1">
        <v>1.526404E-6</v>
      </c>
      <c r="I3069">
        <v>214.4462</v>
      </c>
      <c r="J3069">
        <v>-335.40879999999999</v>
      </c>
      <c r="K3069">
        <v>1.104689</v>
      </c>
      <c r="L3069">
        <v>214.2355</v>
      </c>
      <c r="M3069">
        <v>0.99981889999999995</v>
      </c>
      <c r="N3069">
        <v>0</v>
      </c>
      <c r="O3069">
        <v>1.244019E-2</v>
      </c>
      <c r="P3069">
        <v>0.99507760000000001</v>
      </c>
      <c r="Q3069">
        <v>4.3750169999999998E-2</v>
      </c>
      <c r="R3069">
        <v>8.8919609999999996E-2</v>
      </c>
      <c r="S3069">
        <v>3.0180359999999999</v>
      </c>
      <c r="T3069">
        <v>-0.11351310000000001</v>
      </c>
      <c r="U3069">
        <v>2.2064210000000001E-2</v>
      </c>
      <c r="V3069">
        <v>-7.6557749999999994E-2</v>
      </c>
      <c r="W3069">
        <v>5.8066420000000001E-2</v>
      </c>
      <c r="X3069">
        <v>0.99537289999999901</v>
      </c>
      <c r="Y3069">
        <v>5.1187120000000001E-3</v>
      </c>
      <c r="Z3069">
        <v>-5.6398370000000002E-4</v>
      </c>
      <c r="AA3069">
        <v>0.99998679999999995</v>
      </c>
      <c r="AB3069">
        <v>32</v>
      </c>
      <c r="AC3069">
        <v>29.056099999999901</v>
      </c>
      <c r="AD3069">
        <v>-1.1046874735959999</v>
      </c>
      <c r="AE3069">
        <v>0.210700000000002</v>
      </c>
      <c r="AF3069">
        <v>0.15059953043566501</v>
      </c>
      <c r="AG3069">
        <v>-1.1046874735959999</v>
      </c>
      <c r="AH3069">
        <v>29.014535564201299</v>
      </c>
      <c r="AI3069">
        <v>92.180373399736197</v>
      </c>
      <c r="AJ3069">
        <v>89.702609749392295</v>
      </c>
      <c r="AK3069">
        <v>29.035948213192398</v>
      </c>
    </row>
    <row r="3070" spans="1:37" x14ac:dyDescent="0.2">
      <c r="A3070" t="str">
        <f>"20200111155907218"</f>
        <v>20200111155907218</v>
      </c>
      <c r="B3070" t="str">
        <f>"1578729547214850"</f>
        <v>1578729547214850</v>
      </c>
      <c r="C3070" t="s">
        <v>37</v>
      </c>
      <c r="D3070">
        <v>5.108263</v>
      </c>
      <c r="E3070">
        <v>0.5691891</v>
      </c>
      <c r="F3070" t="s">
        <v>52</v>
      </c>
      <c r="G3070">
        <v>-307.77620000000002</v>
      </c>
      <c r="H3070" s="1">
        <v>1.2738899999999999E-6</v>
      </c>
      <c r="I3070">
        <v>214.43709999999999</v>
      </c>
      <c r="J3070">
        <v>-335.08670000000001</v>
      </c>
      <c r="K3070">
        <v>1.1046819999999999</v>
      </c>
      <c r="L3070">
        <v>214.2398</v>
      </c>
      <c r="M3070">
        <v>0.99981589999999998</v>
      </c>
      <c r="N3070">
        <v>0</v>
      </c>
      <c r="O3070">
        <v>1.266836E-2</v>
      </c>
      <c r="P3070">
        <v>0.9951333</v>
      </c>
      <c r="Q3070">
        <v>4.269945E-2</v>
      </c>
      <c r="R3070">
        <v>8.880702E-2</v>
      </c>
      <c r="S3070">
        <v>3.0181879999999999</v>
      </c>
      <c r="T3070">
        <v>-0.120660199999999</v>
      </c>
      <c r="U3070">
        <v>2.2018429999999999E-2</v>
      </c>
      <c r="V3070">
        <v>-7.6216850000000003E-2</v>
      </c>
      <c r="W3070">
        <v>5.7013399999999999E-2</v>
      </c>
      <c r="X3070">
        <v>0.99545989999999995</v>
      </c>
      <c r="Y3070">
        <v>5.3604719999999998E-3</v>
      </c>
      <c r="Z3070">
        <v>-6.1338479999999997E-4</v>
      </c>
      <c r="AA3070">
        <v>0.99998549999999997</v>
      </c>
      <c r="AB3070">
        <v>32</v>
      </c>
      <c r="AC3070">
        <v>27.310499999999902</v>
      </c>
      <c r="AD3070">
        <v>-1.10468072611</v>
      </c>
      <c r="AE3070">
        <v>0.19729999999998399</v>
      </c>
      <c r="AF3070">
        <v>0.148488082510494</v>
      </c>
      <c r="AG3070">
        <v>-1.10468072611</v>
      </c>
      <c r="AH3070">
        <v>27.266199335806402</v>
      </c>
      <c r="AI3070">
        <v>92.320015664861103</v>
      </c>
      <c r="AJ3070">
        <v>89.687977916299801</v>
      </c>
      <c r="AK3070">
        <v>27.2889720296902</v>
      </c>
    </row>
    <row r="3071" spans="1:37" x14ac:dyDescent="0.2">
      <c r="A3071" t="str">
        <f>"20200111155907240"</f>
        <v>20200111155907240</v>
      </c>
      <c r="B3071" t="str">
        <f>"1578729547235346"</f>
        <v>1578729547235346</v>
      </c>
      <c r="C3071" t="s">
        <v>37</v>
      </c>
      <c r="D3071">
        <v>5.091062</v>
      </c>
      <c r="E3071">
        <v>0.57938389999999995</v>
      </c>
      <c r="F3071" t="s">
        <v>38</v>
      </c>
      <c r="G3071">
        <v>-334.26499999999999</v>
      </c>
      <c r="H3071">
        <v>1.0467690000000001</v>
      </c>
      <c r="I3071">
        <v>214.1644</v>
      </c>
      <c r="J3071">
        <v>-334.78579999999999</v>
      </c>
      <c r="K3071">
        <v>1.1046750000000001</v>
      </c>
      <c r="L3071">
        <v>214.24379999999999</v>
      </c>
      <c r="M3071">
        <v>0.99981330000000002</v>
      </c>
      <c r="N3071">
        <v>0</v>
      </c>
      <c r="O3071">
        <v>1.288127E-2</v>
      </c>
      <c r="P3071">
        <v>0.99522129999999998</v>
      </c>
      <c r="Q3071">
        <v>4.0806620000000002E-2</v>
      </c>
      <c r="R3071">
        <v>8.8711059999999994E-2</v>
      </c>
      <c r="S3071">
        <v>3.0487669999999998</v>
      </c>
      <c r="T3071">
        <v>-0.21508629999999901</v>
      </c>
      <c r="U3071">
        <v>-0.27813719999999997</v>
      </c>
      <c r="V3071">
        <v>-7.5906420000000002E-2</v>
      </c>
      <c r="W3071">
        <v>5.5120000000000002E-2</v>
      </c>
      <c r="X3071">
        <v>0.99559030000000004</v>
      </c>
      <c r="Y3071">
        <v>0.1033872</v>
      </c>
      <c r="Z3071">
        <v>-4.54083099999999E-3</v>
      </c>
      <c r="AA3071">
        <v>0.99463080000000004</v>
      </c>
      <c r="AB3071">
        <v>32</v>
      </c>
      <c r="AC3071">
        <v>0.52080000000000803</v>
      </c>
      <c r="AD3071">
        <v>-5.7905999999999999E-2</v>
      </c>
      <c r="AE3071">
        <v>-7.9399999999992504E-2</v>
      </c>
      <c r="AF3071">
        <v>8.5074828104815203E-2</v>
      </c>
      <c r="AG3071">
        <v>-5.7905999999999999E-2</v>
      </c>
      <c r="AH3071">
        <v>0.51352961788850704</v>
      </c>
      <c r="AI3071">
        <v>96.347742843718194</v>
      </c>
      <c r="AJ3071">
        <v>80.593424496655402</v>
      </c>
      <c r="AK3071">
        <v>0.523739916047822</v>
      </c>
    </row>
    <row r="3072" spans="1:37" x14ac:dyDescent="0.2">
      <c r="A3072" t="str">
        <f>"20200111155907263"</f>
        <v>20200111155907263</v>
      </c>
      <c r="B3072" t="str">
        <f>"1578729547254866"</f>
        <v>1578729547254866</v>
      </c>
      <c r="C3072" t="s">
        <v>37</v>
      </c>
      <c r="D3072">
        <v>5.0158860000000001</v>
      </c>
      <c r="E3072">
        <v>0.58354799999999996</v>
      </c>
      <c r="F3072" t="s">
        <v>52</v>
      </c>
      <c r="G3072">
        <v>-317.81189999999998</v>
      </c>
      <c r="H3072" s="1">
        <v>4.3698909999999998E-6</v>
      </c>
      <c r="I3072">
        <v>212.24369999999999</v>
      </c>
      <c r="J3072">
        <v>-334.44850000000002</v>
      </c>
      <c r="K3072">
        <v>1.1046689999999999</v>
      </c>
      <c r="L3072">
        <v>214.2484</v>
      </c>
      <c r="M3072">
        <v>0.99981030000000004</v>
      </c>
      <c r="N3072">
        <v>0</v>
      </c>
      <c r="O3072">
        <v>1.311994E-2</v>
      </c>
      <c r="P3072">
        <v>0.99529959999999995</v>
      </c>
      <c r="Q3072">
        <v>3.9308059999999999E-2</v>
      </c>
      <c r="R3072">
        <v>8.8508149999999994E-2</v>
      </c>
      <c r="S3072">
        <v>3.0546259999999998</v>
      </c>
      <c r="T3072">
        <v>-0.19879649999999999</v>
      </c>
      <c r="U3072">
        <v>-0.35993959999999903</v>
      </c>
      <c r="V3072">
        <v>-7.5463970000000005E-2</v>
      </c>
      <c r="W3072">
        <v>5.3619239999999999E-2</v>
      </c>
      <c r="X3072">
        <v>0.99570579999999997</v>
      </c>
      <c r="Y3072">
        <v>0.12974749999999999</v>
      </c>
      <c r="Z3072">
        <v>-5.0533080000000003E-3</v>
      </c>
      <c r="AA3072">
        <v>0.99153419999999903</v>
      </c>
      <c r="AB3072">
        <v>32</v>
      </c>
      <c r="AC3072">
        <v>16.636600000000001</v>
      </c>
      <c r="AD3072">
        <v>-1.104664630109</v>
      </c>
      <c r="AE3072">
        <v>-2.0047000000000099</v>
      </c>
      <c r="AF3072">
        <v>2.2132030651794401</v>
      </c>
      <c r="AG3072">
        <v>-1.104664630109</v>
      </c>
      <c r="AH3072">
        <v>16.536996814549202</v>
      </c>
      <c r="AI3072">
        <v>93.7879832780567</v>
      </c>
      <c r="AJ3072">
        <v>82.377205343378293</v>
      </c>
      <c r="AK3072">
        <v>16.7209693318643</v>
      </c>
    </row>
    <row r="3073" spans="1:37" x14ac:dyDescent="0.2">
      <c r="A3073" t="str">
        <f>"20200111155907286"</f>
        <v>20200111155907286</v>
      </c>
      <c r="B3073" t="str">
        <f>"1578729547275361"</f>
        <v>1578729547275361</v>
      </c>
      <c r="C3073" t="s">
        <v>37</v>
      </c>
      <c r="D3073">
        <v>4.9949830000000004</v>
      </c>
      <c r="E3073">
        <v>0.58594069999999898</v>
      </c>
      <c r="F3073" t="s">
        <v>52</v>
      </c>
      <c r="G3073">
        <v>-316.8372</v>
      </c>
      <c r="H3073" s="1">
        <v>3.9376759999999998E-6</v>
      </c>
      <c r="I3073">
        <v>211.9796</v>
      </c>
      <c r="J3073">
        <v>-334.14019999999999</v>
      </c>
      <c r="K3073">
        <v>1.104663</v>
      </c>
      <c r="L3073">
        <v>214.2527</v>
      </c>
      <c r="M3073">
        <v>0.99980740000000001</v>
      </c>
      <c r="N3073">
        <v>0</v>
      </c>
      <c r="O3073">
        <v>1.3337969999999999E-2</v>
      </c>
      <c r="P3073">
        <v>0.99540399999999996</v>
      </c>
      <c r="Q3073">
        <v>3.7889939999999997E-2</v>
      </c>
      <c r="R3073">
        <v>8.7950169999999994E-2</v>
      </c>
      <c r="S3073">
        <v>3.0567319999999998</v>
      </c>
      <c r="T3073">
        <v>-0.19173370000000001</v>
      </c>
      <c r="U3073">
        <v>-0.39378359999999901</v>
      </c>
      <c r="V3073">
        <v>-7.4686649999999993E-2</v>
      </c>
      <c r="W3073">
        <v>5.219977E-2</v>
      </c>
      <c r="X3073">
        <v>0.995839899999999</v>
      </c>
      <c r="Y3073">
        <v>0.14068989999999901</v>
      </c>
      <c r="Z3073">
        <v>-5.2225939999999997E-3</v>
      </c>
      <c r="AA3073">
        <v>0.99003989999999997</v>
      </c>
      <c r="AB3073">
        <v>32</v>
      </c>
      <c r="AC3073">
        <v>17.302999999999901</v>
      </c>
      <c r="AD3073">
        <v>-1.104659062324</v>
      </c>
      <c r="AE3073">
        <v>-2.2730999999999901</v>
      </c>
      <c r="AF3073">
        <v>2.4937170931081698</v>
      </c>
      <c r="AG3073">
        <v>-1.104659062324</v>
      </c>
      <c r="AH3073">
        <v>17.202215382223699</v>
      </c>
      <c r="AI3073">
        <v>93.636359640915401</v>
      </c>
      <c r="AJ3073">
        <v>81.751583558153399</v>
      </c>
      <c r="AK3073">
        <v>17.417092485281501</v>
      </c>
    </row>
    <row r="3074" spans="1:37" x14ac:dyDescent="0.2">
      <c r="A3074" t="str">
        <f>"20200111155907306"</f>
        <v>20200111155907306</v>
      </c>
      <c r="B3074" t="str">
        <f>"1578729547294882"</f>
        <v>1578729547294882</v>
      </c>
      <c r="C3074" t="s">
        <v>37</v>
      </c>
      <c r="D3074">
        <v>4.9365290000000002</v>
      </c>
      <c r="E3074">
        <v>0.58734169999999997</v>
      </c>
      <c r="F3074" t="s">
        <v>52</v>
      </c>
      <c r="G3074">
        <v>-316.35989999999998</v>
      </c>
      <c r="H3074" s="1">
        <v>3.7259850000000002E-6</v>
      </c>
      <c r="I3074">
        <v>211.84360000000001</v>
      </c>
      <c r="J3074">
        <v>-333.84070000000003</v>
      </c>
      <c r="K3074">
        <v>1.1046559999999901</v>
      </c>
      <c r="L3074">
        <v>214.2569</v>
      </c>
      <c r="M3074">
        <v>0.99980460000000004</v>
      </c>
      <c r="N3074">
        <v>0</v>
      </c>
      <c r="O3074">
        <v>1.354999E-2</v>
      </c>
      <c r="P3074">
        <v>0.99551399999999901</v>
      </c>
      <c r="Q3074">
        <v>3.6731239999999998E-2</v>
      </c>
      <c r="R3074">
        <v>8.7192699999999998E-2</v>
      </c>
      <c r="S3074">
        <v>3.0576479999999999</v>
      </c>
      <c r="T3074">
        <v>-0.18996569999999999</v>
      </c>
      <c r="U3074">
        <v>-0.41427609999999898</v>
      </c>
      <c r="V3074">
        <v>-7.3716160000000003E-2</v>
      </c>
      <c r="W3074">
        <v>5.1040219999999997E-2</v>
      </c>
      <c r="X3074">
        <v>0.99597230000000003</v>
      </c>
      <c r="Y3074">
        <v>0.14737329999999901</v>
      </c>
      <c r="Z3074">
        <v>-5.3903279999999998E-3</v>
      </c>
      <c r="AA3074">
        <v>0.98906620000000001</v>
      </c>
      <c r="AB3074">
        <v>32</v>
      </c>
      <c r="AC3074">
        <v>17.480799999999999</v>
      </c>
      <c r="AD3074">
        <v>-1.10465227401499</v>
      </c>
      <c r="AE3074">
        <v>-2.4132999999999898</v>
      </c>
      <c r="AF3074">
        <v>2.6396240132228801</v>
      </c>
      <c r="AG3074">
        <v>-1.10465227401499</v>
      </c>
      <c r="AH3074">
        <v>17.3783925539427</v>
      </c>
      <c r="AI3074">
        <v>93.595961208355405</v>
      </c>
      <c r="AJ3074">
        <v>81.363293381216906</v>
      </c>
      <c r="AK3074">
        <v>17.612393344931899</v>
      </c>
    </row>
    <row r="3075" spans="1:37" x14ac:dyDescent="0.2">
      <c r="A3075" t="str">
        <f>"20200111155907329"</f>
        <v>20200111155907329</v>
      </c>
      <c r="B3075" t="str">
        <f>"1578729547325138"</f>
        <v>1578729547325138</v>
      </c>
      <c r="C3075" t="s">
        <v>37</v>
      </c>
      <c r="D3075">
        <v>5.1392189999999998</v>
      </c>
      <c r="E3075">
        <v>0.58811250000000004</v>
      </c>
      <c r="F3075" t="s">
        <v>52</v>
      </c>
      <c r="G3075">
        <v>-315.85930000000002</v>
      </c>
      <c r="H3075" s="1">
        <v>3.50398199999999E-6</v>
      </c>
      <c r="I3075">
        <v>211.7439</v>
      </c>
      <c r="J3075">
        <v>-333.5249</v>
      </c>
      <c r="K3075">
        <v>1.1046499999999999</v>
      </c>
      <c r="L3075">
        <v>214.26140000000001</v>
      </c>
      <c r="M3075">
        <v>0.99980170000000002</v>
      </c>
      <c r="N3075">
        <v>0</v>
      </c>
      <c r="O3075">
        <v>1.377369E-2</v>
      </c>
      <c r="P3075">
        <v>0.99562229999999996</v>
      </c>
      <c r="Q3075">
        <v>3.5780810000000003E-2</v>
      </c>
      <c r="R3075">
        <v>8.6348620000000001E-2</v>
      </c>
      <c r="S3075">
        <v>3.0578919999999998</v>
      </c>
      <c r="T3075">
        <v>-0.18785479999999999</v>
      </c>
      <c r="U3075">
        <v>-0.42735289999999998</v>
      </c>
      <c r="V3075">
        <v>-7.2647249999999997E-2</v>
      </c>
      <c r="W3075">
        <v>5.00892E-2</v>
      </c>
      <c r="X3075">
        <v>0.99609910000000002</v>
      </c>
      <c r="Y3075">
        <v>0.15173220000000001</v>
      </c>
      <c r="Z3075">
        <v>-5.4753739999999999E-3</v>
      </c>
      <c r="AA3075">
        <v>0.98840649999999997</v>
      </c>
      <c r="AB3075">
        <v>32</v>
      </c>
      <c r="AC3075">
        <v>17.665599999999898</v>
      </c>
      <c r="AD3075">
        <v>-1.10464649601799</v>
      </c>
      <c r="AE3075">
        <v>-2.5175000000000098</v>
      </c>
      <c r="AF3075">
        <v>2.7500677483844398</v>
      </c>
      <c r="AG3075">
        <v>-1.10464649601799</v>
      </c>
      <c r="AH3075">
        <v>17.561942570984801</v>
      </c>
      <c r="AI3075">
        <v>93.555943215092995</v>
      </c>
      <c r="AJ3075">
        <v>81.100188093353907</v>
      </c>
      <c r="AK3075">
        <v>17.810248268018</v>
      </c>
    </row>
    <row r="3076" spans="1:37" x14ac:dyDescent="0.2">
      <c r="A3076" t="str">
        <f>"20200111155907352"</f>
        <v>20200111155907352</v>
      </c>
      <c r="B3076" t="str">
        <f>"1578729547344658"</f>
        <v>1578729547344658</v>
      </c>
      <c r="C3076" t="s">
        <v>37</v>
      </c>
      <c r="D3076">
        <v>4.8800330000000001</v>
      </c>
      <c r="E3076">
        <v>0.58891110000000002</v>
      </c>
      <c r="F3076" t="s">
        <v>52</v>
      </c>
      <c r="G3076">
        <v>-315.35250000000002</v>
      </c>
      <c r="H3076" s="1">
        <v>3.2792549999999999E-6</v>
      </c>
      <c r="I3076">
        <v>211.6687</v>
      </c>
      <c r="J3076">
        <v>-333.18959999999998</v>
      </c>
      <c r="K3076">
        <v>1.1046499999999999</v>
      </c>
      <c r="L3076">
        <v>214.2663</v>
      </c>
      <c r="M3076">
        <v>0.99979839999999998</v>
      </c>
      <c r="N3076">
        <v>0</v>
      </c>
      <c r="O3076">
        <v>1.401122E-2</v>
      </c>
      <c r="P3076">
        <v>0.99573230000000001</v>
      </c>
      <c r="Q3076">
        <v>3.5186450000000001E-2</v>
      </c>
      <c r="R3076">
        <v>8.5317359999999995E-2</v>
      </c>
      <c r="S3076">
        <v>3.0577700000000001</v>
      </c>
      <c r="T3076">
        <v>-0.18587239999999999</v>
      </c>
      <c r="U3076">
        <v>-0.43626399999999999</v>
      </c>
      <c r="V3076">
        <v>-7.1376850000000006E-2</v>
      </c>
      <c r="W3076">
        <v>4.9493410000000002E-2</v>
      </c>
      <c r="X3076">
        <v>0.99622069999999996</v>
      </c>
      <c r="Y3076">
        <v>0.1547964</v>
      </c>
      <c r="Z3076">
        <v>-5.5237589999999996E-3</v>
      </c>
      <c r="AA3076">
        <v>0.987931</v>
      </c>
      <c r="AB3076">
        <v>32</v>
      </c>
      <c r="AC3076">
        <v>17.8370999999999</v>
      </c>
      <c r="AD3076">
        <v>-1.1046467207449999</v>
      </c>
      <c r="AE3076">
        <v>-2.5975999999999999</v>
      </c>
      <c r="AF3076">
        <v>2.83663695240491</v>
      </c>
      <c r="AG3076">
        <v>-1.1046467207449999</v>
      </c>
      <c r="AH3076">
        <v>17.732353033210298</v>
      </c>
      <c r="AI3076">
        <v>93.520025794586601</v>
      </c>
      <c r="AJ3076">
        <v>80.9114228808495</v>
      </c>
      <c r="AK3076">
        <v>17.991750822857799</v>
      </c>
    </row>
    <row r="3077" spans="1:37" x14ac:dyDescent="0.2">
      <c r="A3077" t="str">
        <f>"20200111155907374"</f>
        <v>20200111155907374</v>
      </c>
      <c r="B3077" t="str">
        <f>"1578729547365153"</f>
        <v>1578729547365153</v>
      </c>
      <c r="C3077" t="s">
        <v>37</v>
      </c>
      <c r="D3077">
        <v>4.8868150000000004</v>
      </c>
      <c r="E3077">
        <v>0.58961600000000003</v>
      </c>
      <c r="F3077" t="s">
        <v>52</v>
      </c>
      <c r="G3077">
        <v>-315.12580000000003</v>
      </c>
      <c r="H3077" s="1">
        <v>3.1787249999999998E-6</v>
      </c>
      <c r="I3077">
        <v>211.63380000000001</v>
      </c>
      <c r="J3077">
        <v>-332.88499999999999</v>
      </c>
      <c r="K3077">
        <v>1.1046499999999999</v>
      </c>
      <c r="L3077">
        <v>214.27080000000001</v>
      </c>
      <c r="M3077">
        <v>0.99979549999999995</v>
      </c>
      <c r="N3077">
        <v>0</v>
      </c>
      <c r="O3077">
        <v>1.4227170000000001E-2</v>
      </c>
      <c r="P3077">
        <v>0.99582669999999995</v>
      </c>
      <c r="Q3077">
        <v>3.4794390000000001E-2</v>
      </c>
      <c r="R3077">
        <v>8.4372630000000004E-2</v>
      </c>
      <c r="S3077">
        <v>3.0576479999999999</v>
      </c>
      <c r="T3077">
        <v>-0.18698299999999901</v>
      </c>
      <c r="U3077">
        <v>-0.44560240000000001</v>
      </c>
      <c r="V3077">
        <v>-7.0215749999999993E-2</v>
      </c>
      <c r="W3077">
        <v>4.9100030000000003E-2</v>
      </c>
      <c r="X3077">
        <v>0.99632269999999901</v>
      </c>
      <c r="Y3077">
        <v>0.15796060000000001</v>
      </c>
      <c r="Z3077">
        <v>-5.6650119999999997E-3</v>
      </c>
      <c r="AA3077">
        <v>0.98742909999999995</v>
      </c>
      <c r="AB3077">
        <v>32</v>
      </c>
      <c r="AC3077">
        <v>17.7591999999999</v>
      </c>
      <c r="AD3077">
        <v>-1.10464682127499</v>
      </c>
      <c r="AE3077">
        <v>-2.637</v>
      </c>
      <c r="AF3077">
        <v>2.8785255100315301</v>
      </c>
      <c r="AG3077">
        <v>-1.10464682127499</v>
      </c>
      <c r="AH3077">
        <v>17.6530547949625</v>
      </c>
      <c r="AI3077">
        <v>93.534082365567102</v>
      </c>
      <c r="AJ3077">
        <v>80.738798199957799</v>
      </c>
      <c r="AK3077">
        <v>17.920281730642699</v>
      </c>
    </row>
    <row r="3078" spans="1:37" x14ac:dyDescent="0.2">
      <c r="A3078" t="str">
        <f>"20200111155907395"</f>
        <v>20200111155907395</v>
      </c>
      <c r="B3078" t="str">
        <f>"1578729547384673"</f>
        <v>1578729547384673</v>
      </c>
      <c r="C3078" t="s">
        <v>37</v>
      </c>
      <c r="D3078">
        <v>4.9738749999999996</v>
      </c>
      <c r="E3078">
        <v>0.5892889</v>
      </c>
      <c r="F3078" t="s">
        <v>52</v>
      </c>
      <c r="G3078">
        <v>-314.73340000000002</v>
      </c>
      <c r="H3078" s="1">
        <v>3.004706E-6</v>
      </c>
      <c r="I3078">
        <v>211.57579999999999</v>
      </c>
      <c r="J3078">
        <v>-332.58550000000002</v>
      </c>
      <c r="K3078">
        <v>1.104651</v>
      </c>
      <c r="L3078">
        <v>214.27529999999999</v>
      </c>
      <c r="M3078">
        <v>0.99979249999999997</v>
      </c>
      <c r="N3078">
        <v>0</v>
      </c>
      <c r="O3078">
        <v>1.4439250000000001E-2</v>
      </c>
      <c r="P3078">
        <v>0.99586239999999904</v>
      </c>
      <c r="Q3078">
        <v>3.5059659999999999E-2</v>
      </c>
      <c r="R3078">
        <v>8.3842479999999997E-2</v>
      </c>
      <c r="S3078">
        <v>3.0575559999999999</v>
      </c>
      <c r="T3078">
        <v>-0.1860726</v>
      </c>
      <c r="U3078">
        <v>-0.45396419999999998</v>
      </c>
      <c r="V3078">
        <v>-6.9474179999999996E-2</v>
      </c>
      <c r="W3078">
        <v>4.9362919999999998E-2</v>
      </c>
      <c r="X3078">
        <v>0.99636170000000002</v>
      </c>
      <c r="Y3078">
        <v>0.1608144</v>
      </c>
      <c r="Z3078">
        <v>-5.7356539999999998E-3</v>
      </c>
      <c r="AA3078">
        <v>0.98696799999999996</v>
      </c>
      <c r="AB3078">
        <v>31</v>
      </c>
      <c r="AC3078">
        <v>17.8521</v>
      </c>
      <c r="AD3078">
        <v>-1.104647995294</v>
      </c>
      <c r="AE3078">
        <v>-2.6995</v>
      </c>
      <c r="AF3078">
        <v>2.9459884509833199</v>
      </c>
      <c r="AG3078">
        <v>-1.104647995294</v>
      </c>
      <c r="AH3078">
        <v>17.744832131334199</v>
      </c>
      <c r="AI3078">
        <v>93.514191787678101</v>
      </c>
      <c r="AJ3078">
        <v>80.573758411952298</v>
      </c>
      <c r="AK3078">
        <v>18.021602662251301</v>
      </c>
    </row>
    <row r="3079" spans="1:37" x14ac:dyDescent="0.2">
      <c r="A3079" t="str">
        <f>"20200111155907418"</f>
        <v>20200111155907418</v>
      </c>
      <c r="B3079" t="str">
        <f>"1578729547414930"</f>
        <v>1578729547414930</v>
      </c>
      <c r="C3079" t="s">
        <v>37</v>
      </c>
      <c r="D3079">
        <v>4.9108679999999998</v>
      </c>
      <c r="E3079">
        <v>0.54859069999999899</v>
      </c>
      <c r="F3079" t="s">
        <v>52</v>
      </c>
      <c r="G3079">
        <v>-314.15089999999998</v>
      </c>
      <c r="H3079" s="1">
        <v>2.7464040000000002E-6</v>
      </c>
      <c r="I3079">
        <v>211.5429</v>
      </c>
      <c r="J3079">
        <v>-332.26799999999997</v>
      </c>
      <c r="K3079">
        <v>1.1046499999999999</v>
      </c>
      <c r="L3079">
        <v>214.2801</v>
      </c>
      <c r="M3079">
        <v>0.99978919999999905</v>
      </c>
      <c r="N3079">
        <v>0</v>
      </c>
      <c r="O3079">
        <v>1.4664150000000001E-2</v>
      </c>
      <c r="P3079">
        <v>0.99586239999999904</v>
      </c>
      <c r="Q3079">
        <v>3.6576629999999999E-2</v>
      </c>
      <c r="R3079">
        <v>8.3189970000000002E-2</v>
      </c>
      <c r="S3079">
        <v>3.0570979999999999</v>
      </c>
      <c r="T3079">
        <v>-0.18318950000000001</v>
      </c>
      <c r="U3079">
        <v>-0.453125</v>
      </c>
      <c r="V3079">
        <v>-6.859759E-2</v>
      </c>
      <c r="W3079">
        <v>5.0876890000000001E-2</v>
      </c>
      <c r="X3079">
        <v>0.99634630000000002</v>
      </c>
      <c r="Y3079">
        <v>0.1608021</v>
      </c>
      <c r="Z3079">
        <v>-5.660918E-3</v>
      </c>
      <c r="AA3079">
        <v>0.98697040000000003</v>
      </c>
      <c r="AB3079">
        <v>31</v>
      </c>
      <c r="AC3079">
        <v>18.117100000000001</v>
      </c>
      <c r="AD3079">
        <v>-1.1046472535959999</v>
      </c>
      <c r="AE3079">
        <v>-2.7372000000000001</v>
      </c>
      <c r="AF3079">
        <v>2.9917309030639898</v>
      </c>
      <c r="AG3079">
        <v>-1.1046472535959999</v>
      </c>
      <c r="AH3079">
        <v>18.009549489489501</v>
      </c>
      <c r="AI3079">
        <v>93.462606341317596</v>
      </c>
      <c r="AJ3079">
        <v>80.568203509473705</v>
      </c>
      <c r="AK3079">
        <v>18.289739532470001</v>
      </c>
    </row>
    <row r="3080" spans="1:37" x14ac:dyDescent="0.2">
      <c r="A3080" t="str">
        <f>"20200111155907442"</f>
        <v>20200111155907442</v>
      </c>
      <c r="B3080" t="str">
        <f>"1578729547435426"</f>
        <v>1578729547435426</v>
      </c>
      <c r="C3080" t="s">
        <v>37</v>
      </c>
      <c r="D3080">
        <v>4.8701080000000001</v>
      </c>
      <c r="E3080">
        <v>0.54680099999999998</v>
      </c>
      <c r="F3080" t="s">
        <v>52</v>
      </c>
      <c r="G3080">
        <v>-314.10840000000002</v>
      </c>
      <c r="H3080" s="1">
        <v>2.72755299999999E-6</v>
      </c>
      <c r="I3080">
        <v>213.49369999999999</v>
      </c>
      <c r="J3080">
        <v>-331.92930000000001</v>
      </c>
      <c r="K3080">
        <v>1.104652</v>
      </c>
      <c r="L3080">
        <v>214.28530000000001</v>
      </c>
      <c r="M3080">
        <v>0.99978579999999995</v>
      </c>
      <c r="N3080">
        <v>0</v>
      </c>
      <c r="O3080">
        <v>1.4904479999999999E-2</v>
      </c>
      <c r="P3080">
        <v>0.99588220000000005</v>
      </c>
      <c r="Q3080">
        <v>3.7075400000000001E-2</v>
      </c>
      <c r="R3080">
        <v>8.2730390000000001E-2</v>
      </c>
      <c r="S3080">
        <v>3.030243</v>
      </c>
      <c r="T3080">
        <v>-0.18432939999999901</v>
      </c>
      <c r="U3080">
        <v>-0.1312256</v>
      </c>
      <c r="V3080">
        <v>-6.7898420000000001E-2</v>
      </c>
      <c r="W3080">
        <v>5.1372620000000001E-2</v>
      </c>
      <c r="X3080">
        <v>0.99636880000000005</v>
      </c>
      <c r="Y3080">
        <v>5.8017449999999998E-2</v>
      </c>
      <c r="Z3080">
        <v>-2.6676650000000001E-3</v>
      </c>
      <c r="AA3080">
        <v>0.99831199999999998</v>
      </c>
      <c r="AB3080">
        <v>31</v>
      </c>
      <c r="AC3080">
        <v>17.820899999999899</v>
      </c>
      <c r="AD3080">
        <v>-1.1046492724470001</v>
      </c>
      <c r="AE3080">
        <v>-0.79160000000001596</v>
      </c>
      <c r="AF3080">
        <v>1.05311230116121</v>
      </c>
      <c r="AG3080">
        <v>-1.1046492724470001</v>
      </c>
      <c r="AH3080">
        <v>17.739096040492399</v>
      </c>
      <c r="AI3080">
        <v>93.557075835469405</v>
      </c>
      <c r="AJ3080">
        <v>86.602523980370506</v>
      </c>
      <c r="AK3080">
        <v>17.8046292819533</v>
      </c>
    </row>
    <row r="3081" spans="1:37" x14ac:dyDescent="0.2">
      <c r="A3081" t="str">
        <f>"20200111155907463"</f>
        <v>20200111155907463</v>
      </c>
      <c r="B3081" t="str">
        <f>"1578729547454946"</f>
        <v>1578729547454946</v>
      </c>
      <c r="C3081" t="s">
        <v>37</v>
      </c>
      <c r="D3081">
        <v>4.8957660000000001</v>
      </c>
      <c r="E3081">
        <v>0.54581230000000003</v>
      </c>
      <c r="F3081" t="s">
        <v>52</v>
      </c>
      <c r="G3081">
        <v>-313.68470000000002</v>
      </c>
      <c r="H3081" s="1">
        <v>2.539663E-6</v>
      </c>
      <c r="I3081">
        <v>213.57390000000001</v>
      </c>
      <c r="J3081">
        <v>-331.62950000000001</v>
      </c>
      <c r="K3081">
        <v>1.1046559999999901</v>
      </c>
      <c r="L3081">
        <v>214.29</v>
      </c>
      <c r="M3081">
        <v>0.99978239999999996</v>
      </c>
      <c r="N3081">
        <v>0</v>
      </c>
      <c r="O3081">
        <v>1.511523E-2</v>
      </c>
      <c r="P3081">
        <v>0.99593739999999997</v>
      </c>
      <c r="Q3081">
        <v>3.6250249999999998E-2</v>
      </c>
      <c r="R3081">
        <v>8.2428760000000004E-2</v>
      </c>
      <c r="S3081">
        <v>3.0290219999999999</v>
      </c>
      <c r="T3081">
        <v>-0.18339739999999999</v>
      </c>
      <c r="U3081">
        <v>-0.1181183</v>
      </c>
      <c r="V3081">
        <v>-6.738529E-2</v>
      </c>
      <c r="W3081">
        <v>5.0545909999999999E-2</v>
      </c>
      <c r="X3081">
        <v>0.99644580000000005</v>
      </c>
      <c r="Y3081">
        <v>5.3940490000000001E-2</v>
      </c>
      <c r="Z3081">
        <v>-2.5449779999999998E-3</v>
      </c>
      <c r="AA3081">
        <v>0.99854089999999995</v>
      </c>
      <c r="AB3081">
        <v>31</v>
      </c>
      <c r="AC3081">
        <v>17.944799999999901</v>
      </c>
      <c r="AD3081">
        <v>-1.104653460337</v>
      </c>
      <c r="AE3081">
        <v>-0.71609999999998297</v>
      </c>
      <c r="AF3081">
        <v>0.98356475629288198</v>
      </c>
      <c r="AG3081">
        <v>-1.104653460337</v>
      </c>
      <c r="AH3081">
        <v>17.864336225635199</v>
      </c>
      <c r="AI3081">
        <v>93.533081128875494</v>
      </c>
      <c r="AJ3081">
        <v>86.848622330478804</v>
      </c>
      <c r="AK3081">
        <v>17.925461435617098</v>
      </c>
    </row>
    <row r="3082" spans="1:37" x14ac:dyDescent="0.2">
      <c r="A3082" t="str">
        <f>"20200111155907486"</f>
        <v>20200111155907486</v>
      </c>
      <c r="B3082" t="str">
        <f>"1578729547474465"</f>
        <v>1578729547474465</v>
      </c>
      <c r="C3082" t="s">
        <v>37</v>
      </c>
      <c r="D3082">
        <v>4.9013279999999897</v>
      </c>
      <c r="E3082">
        <v>0.545083599999999</v>
      </c>
      <c r="F3082" t="s">
        <v>52</v>
      </c>
      <c r="G3082">
        <v>-313.7747</v>
      </c>
      <c r="H3082" s="1">
        <v>2.5795949999999999E-6</v>
      </c>
      <c r="I3082">
        <v>213.63640000000001</v>
      </c>
      <c r="J3082">
        <v>-331.33170000000001</v>
      </c>
      <c r="K3082">
        <v>1.1046530000000001</v>
      </c>
      <c r="L3082">
        <v>214.29470000000001</v>
      </c>
      <c r="M3082">
        <v>0.99977959999999999</v>
      </c>
      <c r="N3082">
        <v>0</v>
      </c>
      <c r="O3082">
        <v>1.5312920000000001E-2</v>
      </c>
      <c r="P3082">
        <v>0.99595560000000005</v>
      </c>
      <c r="Q3082">
        <v>3.550176E-2</v>
      </c>
      <c r="R3082">
        <v>8.2537669999999994E-2</v>
      </c>
      <c r="S3082">
        <v>3.0282290000000001</v>
      </c>
      <c r="T3082">
        <v>-0.18735309999999999</v>
      </c>
      <c r="U3082">
        <v>-0.1108551</v>
      </c>
      <c r="V3082">
        <v>-6.7295649999999999E-2</v>
      </c>
      <c r="W3082">
        <v>4.9795840000000001E-2</v>
      </c>
      <c r="X3082">
        <v>0.99648959999999998</v>
      </c>
      <c r="Y3082">
        <v>5.1754620000000001E-2</v>
      </c>
      <c r="Z3082">
        <v>-2.5452449999999998E-3</v>
      </c>
      <c r="AA3082">
        <v>0.99865659999999901</v>
      </c>
      <c r="AB3082">
        <v>31</v>
      </c>
      <c r="AC3082">
        <v>17.556999999999999</v>
      </c>
      <c r="AD3082">
        <v>-1.1046504204050001</v>
      </c>
      <c r="AE3082">
        <v>-0.658299999999997</v>
      </c>
      <c r="AF3082">
        <v>0.92344897059674003</v>
      </c>
      <c r="AG3082">
        <v>-1.1046504204050001</v>
      </c>
      <c r="AH3082">
        <v>17.475775812974401</v>
      </c>
      <c r="AI3082">
        <v>93.611850251519797</v>
      </c>
      <c r="AJ3082">
        <v>86.975209229764104</v>
      </c>
      <c r="AK3082">
        <v>17.534986478977899</v>
      </c>
    </row>
    <row r="3083" spans="1:37" x14ac:dyDescent="0.2">
      <c r="A3083" t="str">
        <f>"20200111155907508"</f>
        <v>20200111155907508</v>
      </c>
      <c r="B3083" t="str">
        <f>"1578729547504722"</f>
        <v>1578729547504722</v>
      </c>
      <c r="C3083" t="s">
        <v>37</v>
      </c>
      <c r="D3083">
        <v>4.8614879999999996</v>
      </c>
      <c r="E3083">
        <v>0.54420780000000002</v>
      </c>
      <c r="F3083" t="s">
        <v>38</v>
      </c>
      <c r="G3083">
        <v>-330.33170000000001</v>
      </c>
      <c r="H3083">
        <v>1.0414870000000001</v>
      </c>
      <c r="I3083">
        <v>214.25989999999999</v>
      </c>
      <c r="J3083">
        <v>-331.01729999999998</v>
      </c>
      <c r="K3083">
        <v>1.104636</v>
      </c>
      <c r="L3083">
        <v>214.2998</v>
      </c>
      <c r="M3083">
        <v>0.99977700000000003</v>
      </c>
      <c r="N3083">
        <v>0</v>
      </c>
      <c r="O3083">
        <v>1.548892E-2</v>
      </c>
      <c r="P3083">
        <v>0.99595400000000001</v>
      </c>
      <c r="Q3083">
        <v>3.5411520000000002E-2</v>
      </c>
      <c r="R3083">
        <v>8.2593910000000006E-2</v>
      </c>
      <c r="S3083">
        <v>3.027679</v>
      </c>
      <c r="T3083">
        <v>-0.1913841</v>
      </c>
      <c r="U3083">
        <v>-0.1046448</v>
      </c>
      <c r="V3083">
        <v>-6.7173830000000004E-2</v>
      </c>
      <c r="W3083">
        <v>4.9705350000000002E-2</v>
      </c>
      <c r="X3083">
        <v>0.99650239999999901</v>
      </c>
      <c r="Y3083">
        <v>4.988886E-2</v>
      </c>
      <c r="Z3083">
        <v>-2.5526820000000001E-3</v>
      </c>
      <c r="AA3083">
        <v>0.99875149999999902</v>
      </c>
      <c r="AB3083">
        <v>31</v>
      </c>
      <c r="AC3083">
        <v>0.68559999999996502</v>
      </c>
      <c r="AD3083">
        <v>-6.31489999999999E-2</v>
      </c>
      <c r="AE3083">
        <v>-3.9900000000017102E-2</v>
      </c>
      <c r="AF3083">
        <v>5.00919736201757E-2</v>
      </c>
      <c r="AG3083">
        <v>-6.31489999999999E-2</v>
      </c>
      <c r="AH3083">
        <v>0.67915726895286899</v>
      </c>
      <c r="AI3083">
        <v>95.2978602914215</v>
      </c>
      <c r="AJ3083">
        <v>85.781726273595098</v>
      </c>
      <c r="AK3083">
        <v>0.68392367848589997</v>
      </c>
    </row>
    <row r="3084" spans="1:37" x14ac:dyDescent="0.2">
      <c r="A3084" t="str">
        <f>"20200111155907541"</f>
        <v>20200111155907541</v>
      </c>
      <c r="B3084" t="str">
        <f>"1578729547534978"</f>
        <v>1578729547534978</v>
      </c>
      <c r="C3084" t="s">
        <v>37</v>
      </c>
      <c r="D3084">
        <v>4.832643</v>
      </c>
      <c r="E3084">
        <v>0.54375079999999998</v>
      </c>
      <c r="F3084" t="s">
        <v>38</v>
      </c>
      <c r="G3084">
        <v>-330.05180000000001</v>
      </c>
      <c r="H3084">
        <v>1.043113</v>
      </c>
      <c r="I3084">
        <v>214.26849999999999</v>
      </c>
      <c r="J3084">
        <v>-330.53890000000001</v>
      </c>
      <c r="K3084">
        <v>1.1045940000000001</v>
      </c>
      <c r="L3084">
        <v>214.3075</v>
      </c>
      <c r="M3084">
        <v>0.99977389999999999</v>
      </c>
      <c r="N3084">
        <v>0</v>
      </c>
      <c r="O3084">
        <v>1.568988E-2</v>
      </c>
      <c r="P3084">
        <v>0.99571790000000004</v>
      </c>
      <c r="Q3084">
        <v>3.7787500000000002E-2</v>
      </c>
      <c r="R3084">
        <v>8.4371080000000001E-2</v>
      </c>
      <c r="S3084">
        <v>3.0271300000000001</v>
      </c>
      <c r="T3084">
        <v>-0.1929263</v>
      </c>
      <c r="U3084">
        <v>-9.7518919999999995E-2</v>
      </c>
      <c r="V3084">
        <v>-6.8749640000000001E-2</v>
      </c>
      <c r="W3084">
        <v>5.2080250000000002E-2</v>
      </c>
      <c r="X3084">
        <v>0.99627359999999898</v>
      </c>
      <c r="Y3084">
        <v>4.7749069999999998E-2</v>
      </c>
      <c r="Z3084">
        <v>-2.5184639999999898E-3</v>
      </c>
      <c r="AA3084">
        <v>0.99885619999999997</v>
      </c>
      <c r="AB3084">
        <v>31</v>
      </c>
      <c r="AC3084">
        <v>0.48709999999999798</v>
      </c>
      <c r="AD3084">
        <v>-6.1481000000000098E-2</v>
      </c>
      <c r="AE3084">
        <v>-3.9000000000015599E-2</v>
      </c>
      <c r="AF3084">
        <v>4.5911760509581699E-2</v>
      </c>
      <c r="AG3084">
        <v>-6.1481000000000098E-2</v>
      </c>
      <c r="AH3084">
        <v>0.47884807841966498</v>
      </c>
      <c r="AI3084">
        <v>97.283340110645895</v>
      </c>
      <c r="AJ3084">
        <v>84.523245253193593</v>
      </c>
      <c r="AK3084">
        <v>0.48495699326878</v>
      </c>
    </row>
    <row r="3085" spans="1:37" x14ac:dyDescent="0.2">
      <c r="A3085" t="str">
        <f>"20200111155907564"</f>
        <v>20200111155907564</v>
      </c>
      <c r="B3085" t="str">
        <f>"1578729547554497"</f>
        <v>1578729547554497</v>
      </c>
      <c r="C3085" t="s">
        <v>37</v>
      </c>
      <c r="D3085">
        <v>4.8402229999999999</v>
      </c>
      <c r="E3085">
        <v>0.54366709999999996</v>
      </c>
      <c r="F3085" t="s">
        <v>52</v>
      </c>
      <c r="G3085">
        <v>-312.38249999999999</v>
      </c>
      <c r="H3085" s="1">
        <v>1.9621799999999999E-6</v>
      </c>
      <c r="I3085">
        <v>213.76929999999999</v>
      </c>
      <c r="J3085">
        <v>-330.23469999999998</v>
      </c>
      <c r="K3085">
        <v>1.10456</v>
      </c>
      <c r="L3085">
        <v>214.31229999999999</v>
      </c>
      <c r="M3085">
        <v>0.99977289999999996</v>
      </c>
      <c r="N3085">
        <v>0</v>
      </c>
      <c r="O3085">
        <v>1.5760730000000001E-2</v>
      </c>
      <c r="P3085">
        <v>0.99555269999999996</v>
      </c>
      <c r="Q3085">
        <v>3.875696E-2</v>
      </c>
      <c r="R3085">
        <v>8.5868550000000002E-2</v>
      </c>
      <c r="S3085">
        <v>3.0275270000000001</v>
      </c>
      <c r="T3085">
        <v>-0.1841872</v>
      </c>
      <c r="U3085">
        <v>-8.9736940000000001E-2</v>
      </c>
      <c r="V3085">
        <v>-7.0174470000000003E-2</v>
      </c>
      <c r="W3085">
        <v>5.3050220000000002E-2</v>
      </c>
      <c r="X3085">
        <v>0.99612309999999904</v>
      </c>
      <c r="Y3085">
        <v>4.526633E-2</v>
      </c>
      <c r="Z3085">
        <v>-2.3332449999999999E-3</v>
      </c>
      <c r="AA3085">
        <v>0.99897219999999998</v>
      </c>
      <c r="AB3085">
        <v>31</v>
      </c>
      <c r="AC3085">
        <v>17.8521999999999</v>
      </c>
      <c r="AD3085">
        <v>-1.1045580378199999</v>
      </c>
      <c r="AE3085">
        <v>-0.54300000000000603</v>
      </c>
      <c r="AF3085">
        <v>0.82118444952326597</v>
      </c>
      <c r="AG3085">
        <v>-1.1045580378199999</v>
      </c>
      <c r="AH3085">
        <v>17.773445944970799</v>
      </c>
      <c r="AI3085">
        <v>93.552380640184396</v>
      </c>
      <c r="AJ3085">
        <v>87.3546510608098</v>
      </c>
      <c r="AK3085">
        <v>17.826659056532399</v>
      </c>
    </row>
    <row r="3086" spans="1:37" x14ac:dyDescent="0.2">
      <c r="A3086" t="str">
        <f>"20200111155907587"</f>
        <v>20200111155907587</v>
      </c>
      <c r="B3086" t="str">
        <f>"1578729547574994"</f>
        <v>1578729547574994</v>
      </c>
      <c r="C3086" t="s">
        <v>37</v>
      </c>
      <c r="D3086">
        <v>4.829548</v>
      </c>
      <c r="E3086">
        <v>0.54378579999999999</v>
      </c>
      <c r="F3086" t="s">
        <v>52</v>
      </c>
      <c r="G3086">
        <v>-311.77870000000001</v>
      </c>
      <c r="H3086" s="1">
        <v>1.6944239999999899E-6</v>
      </c>
      <c r="I3086">
        <v>213.79230000000001</v>
      </c>
      <c r="J3086">
        <v>-329.91640000000001</v>
      </c>
      <c r="K3086">
        <v>1.1044929999999999</v>
      </c>
      <c r="L3086">
        <v>214.31739999999999</v>
      </c>
      <c r="M3086">
        <v>0.99977329999999998</v>
      </c>
      <c r="N3086">
        <v>0</v>
      </c>
      <c r="O3086">
        <v>1.5735470000000001E-2</v>
      </c>
      <c r="P3086">
        <v>0.99548440000000005</v>
      </c>
      <c r="Q3086">
        <v>3.892342E-2</v>
      </c>
      <c r="R3086">
        <v>8.6580710000000005E-2</v>
      </c>
      <c r="S3086">
        <v>3.027771</v>
      </c>
      <c r="T3086">
        <v>-0.1812068</v>
      </c>
      <c r="U3086">
        <v>-8.5311890000000001E-2</v>
      </c>
      <c r="V3086">
        <v>-7.0904809999999999E-2</v>
      </c>
      <c r="W3086">
        <v>5.3222129999999999E-2</v>
      </c>
      <c r="X3086">
        <v>0.99606219999999901</v>
      </c>
      <c r="Y3086">
        <v>4.3786209999999999E-2</v>
      </c>
      <c r="Z3086">
        <v>-2.2496650000000001E-3</v>
      </c>
      <c r="AA3086">
        <v>0.99903839999999999</v>
      </c>
      <c r="AB3086">
        <v>31</v>
      </c>
      <c r="AC3086">
        <v>18.137699999999899</v>
      </c>
      <c r="AD3086">
        <v>-1.1044913055759999</v>
      </c>
      <c r="AE3086">
        <v>-0.52509999999998003</v>
      </c>
      <c r="AF3086">
        <v>0.80747781162211896</v>
      </c>
      <c r="AG3086">
        <v>-1.1044913055759999</v>
      </c>
      <c r="AH3086">
        <v>18.060275788947401</v>
      </c>
      <c r="AI3086">
        <v>93.496128918405802</v>
      </c>
      <c r="AJ3086">
        <v>87.440001460362495</v>
      </c>
      <c r="AK3086">
        <v>18.1120259229385</v>
      </c>
    </row>
    <row r="3087" spans="1:37" x14ac:dyDescent="0.2">
      <c r="A3087" t="str">
        <f>"20200111155907610"</f>
        <v>20200111155907610</v>
      </c>
      <c r="B3087" t="str">
        <f>"1578729547605250"</f>
        <v>1578729547605250</v>
      </c>
      <c r="C3087" t="s">
        <v>37</v>
      </c>
      <c r="D3087">
        <v>4.8706990000000001</v>
      </c>
      <c r="E3087">
        <v>0.54395789999999999</v>
      </c>
      <c r="F3087" t="s">
        <v>38</v>
      </c>
      <c r="G3087">
        <v>-328.93669999999997</v>
      </c>
      <c r="H3087">
        <v>1.0461009999999999</v>
      </c>
      <c r="I3087">
        <v>214.29</v>
      </c>
      <c r="J3087">
        <v>-329.60610000000003</v>
      </c>
      <c r="K3087">
        <v>1.1044099999999999</v>
      </c>
      <c r="L3087">
        <v>214.32210000000001</v>
      </c>
      <c r="M3087">
        <v>0.99977549999999904</v>
      </c>
      <c r="N3087">
        <v>0</v>
      </c>
      <c r="O3087">
        <v>1.5590730000000001E-2</v>
      </c>
      <c r="P3087">
        <v>0.99554719999999997</v>
      </c>
      <c r="Q3087">
        <v>3.7961420000000003E-2</v>
      </c>
      <c r="R3087">
        <v>8.6283239999999997E-2</v>
      </c>
      <c r="S3087">
        <v>3.0279539999999998</v>
      </c>
      <c r="T3087">
        <v>-0.1806036</v>
      </c>
      <c r="U3087">
        <v>-8.4274290000000002E-2</v>
      </c>
      <c r="V3087">
        <v>-7.0740230000000001E-2</v>
      </c>
      <c r="W3087">
        <v>5.2271669999999999E-2</v>
      </c>
      <c r="X3087">
        <v>0.99612420000000002</v>
      </c>
      <c r="Y3087">
        <v>4.329964E-2</v>
      </c>
      <c r="Z3087">
        <v>-2.2189459999999999E-3</v>
      </c>
      <c r="AA3087">
        <v>0.99905969999999999</v>
      </c>
      <c r="AB3087">
        <v>31</v>
      </c>
      <c r="AC3087">
        <v>0.66940000000005195</v>
      </c>
      <c r="AD3087">
        <v>-5.8309000000000097E-2</v>
      </c>
      <c r="AE3087">
        <v>-3.2100000000013999E-2</v>
      </c>
      <c r="AF3087">
        <v>4.2214041839522799E-2</v>
      </c>
      <c r="AG3087">
        <v>-5.8309000000000097E-2</v>
      </c>
      <c r="AH3087">
        <v>0.66379312094936604</v>
      </c>
      <c r="AI3087">
        <v>95.010028286104202</v>
      </c>
      <c r="AJ3087">
        <v>86.361164980302703</v>
      </c>
      <c r="AK3087">
        <v>0.66768500973822098</v>
      </c>
    </row>
    <row r="3088" spans="1:37" x14ac:dyDescent="0.2">
      <c r="A3088" t="str">
        <f>"20200111155907632"</f>
        <v>20200111155907632</v>
      </c>
      <c r="B3088" t="str">
        <f>"1578729547624770"</f>
        <v>1578729547624770</v>
      </c>
      <c r="C3088" t="s">
        <v>37</v>
      </c>
      <c r="D3088">
        <v>4.9979040000000001</v>
      </c>
      <c r="E3088">
        <v>0.54406860000000001</v>
      </c>
      <c r="F3088" t="s">
        <v>38</v>
      </c>
      <c r="G3088">
        <v>-328.65870000000001</v>
      </c>
      <c r="H3088">
        <v>1.0468899999999901</v>
      </c>
      <c r="I3088">
        <v>214.29470000000001</v>
      </c>
      <c r="J3088">
        <v>-329.28590000000003</v>
      </c>
      <c r="K3088">
        <v>1.1043209999999899</v>
      </c>
      <c r="L3088">
        <v>214.32689999999999</v>
      </c>
      <c r="M3088">
        <v>0.99977939999999998</v>
      </c>
      <c r="N3088">
        <v>0</v>
      </c>
      <c r="O3088">
        <v>1.53359E-2</v>
      </c>
      <c r="P3088">
        <v>0.99565049999999899</v>
      </c>
      <c r="Q3088">
        <v>3.8073199999999897E-2</v>
      </c>
      <c r="R3088">
        <v>8.5032780000000002E-2</v>
      </c>
      <c r="S3088">
        <v>3.0279240000000001</v>
      </c>
      <c r="T3088">
        <v>-0.18397929999999901</v>
      </c>
      <c r="U3088">
        <v>-8.6334229999999998E-2</v>
      </c>
      <c r="V3088">
        <v>-6.9731349999999998E-2</v>
      </c>
      <c r="W3088">
        <v>5.239597E-2</v>
      </c>
      <c r="X3088">
        <v>0.99618879999999999</v>
      </c>
      <c r="Y3088">
        <v>4.3720149999999999E-2</v>
      </c>
      <c r="Z3088">
        <v>-2.2576390000000001E-3</v>
      </c>
      <c r="AA3088">
        <v>0.99904130000000002</v>
      </c>
      <c r="AB3088">
        <v>31</v>
      </c>
      <c r="AC3088">
        <v>0.62720000000001597</v>
      </c>
      <c r="AD3088">
        <v>-5.7431000000000003E-2</v>
      </c>
      <c r="AE3088">
        <v>-3.2199999999988897E-2</v>
      </c>
      <c r="AF3088">
        <v>4.1469093240044601E-2</v>
      </c>
      <c r="AG3088">
        <v>-5.7431000000000003E-2</v>
      </c>
      <c r="AH3088">
        <v>0.62143558681240896</v>
      </c>
      <c r="AI3088">
        <v>95.268435314138301</v>
      </c>
      <c r="AJ3088">
        <v>86.182248569633899</v>
      </c>
      <c r="AK3088">
        <v>0.62545998593997498</v>
      </c>
    </row>
    <row r="3089" spans="1:37" x14ac:dyDescent="0.2">
      <c r="A3089" t="str">
        <f>"20200111155907654"</f>
        <v>20200111155907654</v>
      </c>
      <c r="B3089" t="str">
        <f>"1578729547645265"</f>
        <v>1578729547645265</v>
      </c>
      <c r="C3089" t="s">
        <v>37</v>
      </c>
      <c r="D3089">
        <v>4.8879130000000002</v>
      </c>
      <c r="E3089">
        <v>0.54410769999999997</v>
      </c>
      <c r="F3089" t="s">
        <v>38</v>
      </c>
      <c r="G3089">
        <v>-328.3793</v>
      </c>
      <c r="H3089">
        <v>1.049464</v>
      </c>
      <c r="I3089">
        <v>214.2996</v>
      </c>
      <c r="J3089">
        <v>-328.98809999999997</v>
      </c>
      <c r="K3089">
        <v>1.104239</v>
      </c>
      <c r="L3089">
        <v>214.3312</v>
      </c>
      <c r="M3089">
        <v>0.99978469999999997</v>
      </c>
      <c r="N3089">
        <v>0</v>
      </c>
      <c r="O3089">
        <v>1.499531E-2</v>
      </c>
      <c r="P3089">
        <v>0.99575949999999902</v>
      </c>
      <c r="Q3089">
        <v>3.951404E-2</v>
      </c>
      <c r="R3089">
        <v>8.30766E-2</v>
      </c>
      <c r="S3089">
        <v>3.027863</v>
      </c>
      <c r="T3089">
        <v>-0.1832627</v>
      </c>
      <c r="U3089">
        <v>-9.0744019999999995E-2</v>
      </c>
      <c r="V3089">
        <v>-6.8101419999999996E-2</v>
      </c>
      <c r="W3089">
        <v>5.3848260000000002E-2</v>
      </c>
      <c r="X3089">
        <v>0.9962242</v>
      </c>
      <c r="Y3089">
        <v>4.4833560000000001E-2</v>
      </c>
      <c r="Z3089">
        <v>-2.2619250000000001E-3</v>
      </c>
      <c r="AA3089">
        <v>0.99899189999999904</v>
      </c>
      <c r="AB3089">
        <v>31</v>
      </c>
      <c r="AC3089">
        <v>0.60879999999997303</v>
      </c>
      <c r="AD3089">
        <v>-5.4774999999999997E-2</v>
      </c>
      <c r="AE3089">
        <v>-3.1599999999997401E-2</v>
      </c>
      <c r="AF3089">
        <v>4.0400368849419797E-2</v>
      </c>
      <c r="AG3089">
        <v>-5.4774999999999997E-2</v>
      </c>
      <c r="AH3089">
        <v>0.60338636118062305</v>
      </c>
      <c r="AI3089">
        <v>95.175528982193995</v>
      </c>
      <c r="AJ3089">
        <v>86.169418264349403</v>
      </c>
      <c r="AK3089">
        <v>0.60721297028881305</v>
      </c>
    </row>
    <row r="3090" spans="1:37" x14ac:dyDescent="0.2">
      <c r="A3090" t="str">
        <f>"20200111155907675"</f>
        <v>20200111155907675</v>
      </c>
      <c r="B3090" t="str">
        <f>"1578729547664785"</f>
        <v>1578729547664785</v>
      </c>
      <c r="C3090" t="s">
        <v>37</v>
      </c>
      <c r="D3090">
        <v>4.8636220000000003</v>
      </c>
      <c r="E3090">
        <v>0.54407109999999903</v>
      </c>
      <c r="F3090" t="s">
        <v>38</v>
      </c>
      <c r="G3090">
        <v>-328.09809999999999</v>
      </c>
      <c r="H3090">
        <v>1.051474</v>
      </c>
      <c r="I3090">
        <v>214.30250000000001</v>
      </c>
      <c r="J3090">
        <v>-328.69330000000002</v>
      </c>
      <c r="K3090">
        <v>1.10416</v>
      </c>
      <c r="L3090">
        <v>214.33510000000001</v>
      </c>
      <c r="M3090">
        <v>0.9997914</v>
      </c>
      <c r="N3090">
        <v>0</v>
      </c>
      <c r="O3090">
        <v>1.455408E-2</v>
      </c>
      <c r="P3090">
        <v>0.99593390000000004</v>
      </c>
      <c r="Q3090">
        <v>4.0839960000000002E-2</v>
      </c>
      <c r="R3090">
        <v>8.0300259999999998E-2</v>
      </c>
      <c r="S3090">
        <v>3.0280149999999999</v>
      </c>
      <c r="T3090">
        <v>-0.1796691</v>
      </c>
      <c r="U3090">
        <v>-9.6755980000000005E-2</v>
      </c>
      <c r="V3090">
        <v>-6.5750680000000006E-2</v>
      </c>
      <c r="W3090">
        <v>5.5184270000000001E-2</v>
      </c>
      <c r="X3090">
        <v>0.996309</v>
      </c>
      <c r="Y3090">
        <v>4.6375E-2</v>
      </c>
      <c r="Z3090">
        <v>-2.236998E-3</v>
      </c>
      <c r="AA3090">
        <v>0.99892159999999997</v>
      </c>
      <c r="AB3090">
        <v>31</v>
      </c>
      <c r="AC3090">
        <v>0.59520000000003304</v>
      </c>
      <c r="AD3090">
        <v>-5.2685999999999997E-2</v>
      </c>
      <c r="AE3090">
        <v>-3.26000000000021E-2</v>
      </c>
      <c r="AF3090">
        <v>4.0940198423520598E-2</v>
      </c>
      <c r="AG3090">
        <v>-5.2685999999999997E-2</v>
      </c>
      <c r="AH3090">
        <v>0.59005292484805605</v>
      </c>
      <c r="AI3090">
        <v>95.090252320802804</v>
      </c>
      <c r="AJ3090">
        <v>86.030953921968404</v>
      </c>
      <c r="AK3090">
        <v>0.59381341224723405</v>
      </c>
    </row>
    <row r="3091" spans="1:37" x14ac:dyDescent="0.2">
      <c r="A3091" t="str">
        <f>"20200111155907696"</f>
        <v>20200111155907696</v>
      </c>
      <c r="B3091" t="str">
        <f>"1578729547695042"</f>
        <v>1578729547695042</v>
      </c>
      <c r="C3091" t="s">
        <v>37</v>
      </c>
      <c r="D3091">
        <v>4.9007959999999997</v>
      </c>
      <c r="E3091">
        <v>0.54407299999999903</v>
      </c>
      <c r="F3091" t="s">
        <v>52</v>
      </c>
      <c r="G3091">
        <v>-309.73520000000002</v>
      </c>
      <c r="H3091" s="1">
        <v>9.2640040000000001E-7</v>
      </c>
      <c r="I3091">
        <v>213.68119999999999</v>
      </c>
      <c r="J3091">
        <v>-328.38799999999998</v>
      </c>
      <c r="K3091">
        <v>1.1040889999999901</v>
      </c>
      <c r="L3091">
        <v>214.339</v>
      </c>
      <c r="M3091">
        <v>0.99979929999999995</v>
      </c>
      <c r="N3091">
        <v>0</v>
      </c>
      <c r="O3091">
        <v>1.399946E-2</v>
      </c>
      <c r="P3091">
        <v>0.99612369999999995</v>
      </c>
      <c r="Q3091">
        <v>4.1705369999999999E-2</v>
      </c>
      <c r="R3091">
        <v>7.7450539999999998E-2</v>
      </c>
      <c r="S3091">
        <v>3.027863</v>
      </c>
      <c r="T3091">
        <v>-0.1763487</v>
      </c>
      <c r="U3091">
        <v>-0.10444639999999999</v>
      </c>
      <c r="V3091">
        <v>-6.3440460000000004E-2</v>
      </c>
      <c r="W3091">
        <v>5.6058879999999998E-2</v>
      </c>
      <c r="X3091">
        <v>0.99640989999999996</v>
      </c>
      <c r="Y3091">
        <v>4.8358239999999997E-2</v>
      </c>
      <c r="Z3091">
        <v>-2.2211679999999999E-3</v>
      </c>
      <c r="AA3091">
        <v>0.99882760000000004</v>
      </c>
      <c r="AB3091">
        <v>31</v>
      </c>
      <c r="AC3091">
        <v>18.652799999999999</v>
      </c>
      <c r="AD3091">
        <v>-1.1040880735995999</v>
      </c>
      <c r="AE3091">
        <v>-0.65780000000003702</v>
      </c>
      <c r="AF3091">
        <v>0.91568721786808005</v>
      </c>
      <c r="AG3091">
        <v>-1.1040880735995999</v>
      </c>
      <c r="AH3091">
        <v>18.576756503942999</v>
      </c>
      <c r="AI3091">
        <v>93.397192444506601</v>
      </c>
      <c r="AJ3091">
        <v>87.178055105172405</v>
      </c>
      <c r="AK3091">
        <v>18.6320523765371</v>
      </c>
    </row>
    <row r="3092" spans="1:37" x14ac:dyDescent="0.2">
      <c r="A3092" t="str">
        <f>"20200111155907721"</f>
        <v>20200111155907721</v>
      </c>
      <c r="B3092" t="str">
        <f>"1578729547714562"</f>
        <v>1578729547714562</v>
      </c>
      <c r="C3092" t="s">
        <v>37</v>
      </c>
      <c r="D3092">
        <v>4.8442559999999997</v>
      </c>
      <c r="E3092">
        <v>0.54416330000000002</v>
      </c>
      <c r="F3092" t="s">
        <v>52</v>
      </c>
      <c r="G3092">
        <v>-309.2276</v>
      </c>
      <c r="H3092" s="1">
        <v>1.01644E-6</v>
      </c>
      <c r="I3092">
        <v>213.6233</v>
      </c>
      <c r="J3092">
        <v>-328.06729999999999</v>
      </c>
      <c r="K3092">
        <v>1.1040219999999901</v>
      </c>
      <c r="L3092">
        <v>214.34289999999999</v>
      </c>
      <c r="M3092">
        <v>0.99980840000000004</v>
      </c>
      <c r="N3092">
        <v>0</v>
      </c>
      <c r="O3092">
        <v>1.3336219999999999E-2</v>
      </c>
      <c r="P3092">
        <v>0.99629869999999898</v>
      </c>
      <c r="Q3092">
        <v>4.1903790000000003E-2</v>
      </c>
      <c r="R3092">
        <v>7.5055640000000007E-2</v>
      </c>
      <c r="S3092">
        <v>3.027771</v>
      </c>
      <c r="T3092">
        <v>-0.17447070000000001</v>
      </c>
      <c r="U3092">
        <v>-0.11309809999999999</v>
      </c>
      <c r="V3092">
        <v>-6.1694499999999999E-2</v>
      </c>
      <c r="W3092">
        <v>5.6264550000000003E-2</v>
      </c>
      <c r="X3092">
        <v>0.9965079</v>
      </c>
      <c r="Y3092">
        <v>5.0546710000000002E-2</v>
      </c>
      <c r="Z3092">
        <v>-2.2223109999999998E-3</v>
      </c>
      <c r="AA3092">
        <v>0.99871919999999903</v>
      </c>
      <c r="AB3092">
        <v>31</v>
      </c>
      <c r="AC3092">
        <v>18.839700000000001</v>
      </c>
      <c r="AD3092">
        <v>-1.1040209835599999</v>
      </c>
      <c r="AE3092">
        <v>-0.71959999999998503</v>
      </c>
      <c r="AF3092">
        <v>0.96749458645656605</v>
      </c>
      <c r="AG3092">
        <v>-1.1040209835599999</v>
      </c>
      <c r="AH3092">
        <v>18.764083546501499</v>
      </c>
      <c r="AI3092">
        <v>93.362768768492501</v>
      </c>
      <c r="AJ3092">
        <v>87.048387109331102</v>
      </c>
      <c r="AK3092">
        <v>18.821417041419899</v>
      </c>
    </row>
    <row r="3093" spans="1:37" x14ac:dyDescent="0.2">
      <c r="A3093" t="str">
        <f>"20200111155907743"</f>
        <v>20200111155907743</v>
      </c>
      <c r="B3093" t="str">
        <f>"1578729547735057"</f>
        <v>1578729547735057</v>
      </c>
      <c r="C3093" t="s">
        <v>37</v>
      </c>
      <c r="D3093">
        <v>4.9671820000000002</v>
      </c>
      <c r="E3093">
        <v>0.54431260000000004</v>
      </c>
      <c r="F3093" t="s">
        <v>52</v>
      </c>
      <c r="G3093">
        <v>-308.89640000000003</v>
      </c>
      <c r="H3093" s="1">
        <v>1.0751849999999999E-6</v>
      </c>
      <c r="I3093">
        <v>213.57769999999999</v>
      </c>
      <c r="J3093">
        <v>-327.74470000000002</v>
      </c>
      <c r="K3093">
        <v>1.103966</v>
      </c>
      <c r="L3093">
        <v>214.34639999999999</v>
      </c>
      <c r="M3093">
        <v>0.99981779999999998</v>
      </c>
      <c r="N3093">
        <v>0</v>
      </c>
      <c r="O3093">
        <v>1.26122E-2</v>
      </c>
      <c r="P3093">
        <v>0.99635980000000002</v>
      </c>
      <c r="Q3093">
        <v>4.1927279999999997E-2</v>
      </c>
      <c r="R3093">
        <v>7.4224520000000002E-2</v>
      </c>
      <c r="S3093">
        <v>3.0276179999999999</v>
      </c>
      <c r="T3093">
        <v>-0.17435599999999901</v>
      </c>
      <c r="U3093">
        <v>-0.1208496</v>
      </c>
      <c r="V3093">
        <v>-6.1577510000000002E-2</v>
      </c>
      <c r="W3093">
        <v>5.629311E-2</v>
      </c>
      <c r="X3093">
        <v>0.99651350000000005</v>
      </c>
      <c r="Y3093">
        <v>5.2376739999999998E-2</v>
      </c>
      <c r="Z3093">
        <v>-2.2318360000000001E-3</v>
      </c>
      <c r="AA3093">
        <v>0.99862489999999904</v>
      </c>
      <c r="AB3093">
        <v>31</v>
      </c>
      <c r="AC3093">
        <v>18.848299999999899</v>
      </c>
      <c r="AD3093">
        <v>-1.1039649248150001</v>
      </c>
      <c r="AE3093">
        <v>-0.76869999999999505</v>
      </c>
      <c r="AF3093">
        <v>1.0029468170587601</v>
      </c>
      <c r="AG3093">
        <v>-1.1039649248150001</v>
      </c>
      <c r="AH3093">
        <v>18.7728100796418</v>
      </c>
      <c r="AI3093">
        <v>93.360711602649701</v>
      </c>
      <c r="AJ3093">
        <v>86.941851569539295</v>
      </c>
      <c r="AK3093">
        <v>18.831968541800698</v>
      </c>
    </row>
    <row r="3094" spans="1:37" x14ac:dyDescent="0.2">
      <c r="A3094" t="str">
        <f>"20200111155907766"</f>
        <v>20200111155907766</v>
      </c>
      <c r="B3094" t="str">
        <f>"1578729547754577"</f>
        <v>1578729547754577</v>
      </c>
      <c r="C3094" t="s">
        <v>37</v>
      </c>
      <c r="D3094">
        <v>4.9059799999999996</v>
      </c>
      <c r="E3094">
        <v>0.54440440000000001</v>
      </c>
      <c r="F3094" t="s">
        <v>52</v>
      </c>
      <c r="G3094">
        <v>-308.47879999999998</v>
      </c>
      <c r="H3094" s="1">
        <v>1.14927E-6</v>
      </c>
      <c r="I3094">
        <v>213.55170000000001</v>
      </c>
      <c r="J3094">
        <v>-327.45179999999999</v>
      </c>
      <c r="K3094">
        <v>1.103931</v>
      </c>
      <c r="L3094">
        <v>214.3494</v>
      </c>
      <c r="M3094">
        <v>0.9998264</v>
      </c>
      <c r="N3094">
        <v>0</v>
      </c>
      <c r="O3094">
        <v>1.192173E-2</v>
      </c>
      <c r="P3094">
        <v>0.99636939999999996</v>
      </c>
      <c r="Q3094">
        <v>4.0519149999999997E-2</v>
      </c>
      <c r="R3094">
        <v>7.487568E-2</v>
      </c>
      <c r="S3094">
        <v>3.0275569999999998</v>
      </c>
      <c r="T3094">
        <v>-0.1734832</v>
      </c>
      <c r="U3094">
        <v>-0.1248932</v>
      </c>
      <c r="V3094">
        <v>-6.2914780000000003E-2</v>
      </c>
      <c r="W3094">
        <v>5.4888609999999997E-2</v>
      </c>
      <c r="X3094">
        <v>0.99650839999999996</v>
      </c>
      <c r="Y3094">
        <v>5.3020610000000003E-2</v>
      </c>
      <c r="Z3094">
        <v>-2.199571E-3</v>
      </c>
      <c r="AA3094">
        <v>0.99859100000000001</v>
      </c>
      <c r="AB3094">
        <v>31</v>
      </c>
      <c r="AC3094">
        <v>18.972999999999999</v>
      </c>
      <c r="AD3094">
        <v>-1.1039298507299999</v>
      </c>
      <c r="AE3094">
        <v>-0.79769999999999097</v>
      </c>
      <c r="AF3094">
        <v>1.0204090702511801</v>
      </c>
      <c r="AG3094">
        <v>-1.1039298507299999</v>
      </c>
      <c r="AH3094">
        <v>18.8982749769565</v>
      </c>
      <c r="AI3094">
        <v>93.338243222631206</v>
      </c>
      <c r="AJ3094">
        <v>86.909325579437294</v>
      </c>
      <c r="AK3094">
        <v>18.957971750444202</v>
      </c>
    </row>
    <row r="3095" spans="1:37" x14ac:dyDescent="0.2">
      <c r="A3095" t="str">
        <f>"20200111155907787"</f>
        <v>20200111155907787</v>
      </c>
      <c r="B3095" t="str">
        <f>"1578729547775073"</f>
        <v>1578729547775073</v>
      </c>
      <c r="C3095" t="s">
        <v>37</v>
      </c>
      <c r="D3095">
        <v>4.9394839999999904</v>
      </c>
      <c r="E3095">
        <v>0.54445390000000005</v>
      </c>
      <c r="F3095" t="s">
        <v>38</v>
      </c>
      <c r="G3095">
        <v>-326.452</v>
      </c>
      <c r="H3095">
        <v>1.04547099999999</v>
      </c>
      <c r="I3095">
        <v>214.30840000000001</v>
      </c>
      <c r="J3095">
        <v>-327.14850000000001</v>
      </c>
      <c r="K3095">
        <v>1.103912</v>
      </c>
      <c r="L3095">
        <v>214.35230000000001</v>
      </c>
      <c r="M3095">
        <v>0.99983469999999997</v>
      </c>
      <c r="N3095">
        <v>0</v>
      </c>
      <c r="O3095">
        <v>1.119331E-2</v>
      </c>
      <c r="P3095">
        <v>0.9963417</v>
      </c>
      <c r="Q3095">
        <v>3.8840569999999998E-2</v>
      </c>
      <c r="R3095">
        <v>7.612178E-2</v>
      </c>
      <c r="S3095">
        <v>3.0274349999999899</v>
      </c>
      <c r="T3095">
        <v>-0.17707519999999999</v>
      </c>
      <c r="U3095">
        <v>-0.1238861</v>
      </c>
      <c r="V3095">
        <v>-6.488729E-2</v>
      </c>
      <c r="W3095">
        <v>5.3211649999999999E-2</v>
      </c>
      <c r="X3095">
        <v>0.99647280000000005</v>
      </c>
      <c r="Y3095">
        <v>5.1961689999999998E-2</v>
      </c>
      <c r="Z3095">
        <v>-2.1716539999999999E-3</v>
      </c>
      <c r="AA3095">
        <v>0.998646699999999</v>
      </c>
      <c r="AB3095">
        <v>31</v>
      </c>
      <c r="AC3095">
        <v>0.696500000000014</v>
      </c>
      <c r="AD3095">
        <v>-5.8441000000000097E-2</v>
      </c>
      <c r="AE3095">
        <v>-4.3900000000007801E-2</v>
      </c>
      <c r="AF3095">
        <v>5.1334210271145299E-2</v>
      </c>
      <c r="AG3095">
        <v>-5.8441000000000097E-2</v>
      </c>
      <c r="AH3095">
        <v>0.69111847181512798</v>
      </c>
      <c r="AI3095">
        <v>94.820218858409902</v>
      </c>
      <c r="AJ3095">
        <v>85.752041730719597</v>
      </c>
      <c r="AK3095">
        <v>0.69548205850995204</v>
      </c>
    </row>
    <row r="3096" spans="1:37" x14ac:dyDescent="0.2">
      <c r="A3096" t="str">
        <f>"20200111155907810"</f>
        <v>20200111155907810</v>
      </c>
      <c r="B3096" t="str">
        <f>"1578729547805329"</f>
        <v>1578729547805329</v>
      </c>
      <c r="C3096" t="s">
        <v>37</v>
      </c>
      <c r="D3096">
        <v>4.9196460000000002</v>
      </c>
      <c r="E3096">
        <v>0.54449190000000003</v>
      </c>
      <c r="F3096" t="s">
        <v>38</v>
      </c>
      <c r="G3096">
        <v>-326.1771</v>
      </c>
      <c r="H3096">
        <v>1.045731</v>
      </c>
      <c r="I3096">
        <v>214.3133</v>
      </c>
      <c r="J3096">
        <v>-326.8417</v>
      </c>
      <c r="K3096">
        <v>1.1038920000000001</v>
      </c>
      <c r="L3096">
        <v>214.35499999999999</v>
      </c>
      <c r="M3096">
        <v>0.99984289999999998</v>
      </c>
      <c r="N3096">
        <v>0</v>
      </c>
      <c r="O3096">
        <v>1.045537E-2</v>
      </c>
      <c r="P3096">
        <v>0.99629639999999997</v>
      </c>
      <c r="Q3096">
        <v>3.7549689999999997E-2</v>
      </c>
      <c r="R3096">
        <v>7.735359E-2</v>
      </c>
      <c r="S3096">
        <v>3.0273439999999998</v>
      </c>
      <c r="T3096">
        <v>-0.181308</v>
      </c>
      <c r="U3096">
        <v>-0.12123109999999999</v>
      </c>
      <c r="V3096">
        <v>-6.6856470000000001E-2</v>
      </c>
      <c r="W3096">
        <v>5.1920729999999998E-2</v>
      </c>
      <c r="X3096">
        <v>0.99641080000000004</v>
      </c>
      <c r="Y3096">
        <v>5.035038E-2</v>
      </c>
      <c r="Z3096">
        <v>-2.1312449999999999E-3</v>
      </c>
      <c r="AA3096">
        <v>0.99872929999999904</v>
      </c>
      <c r="AB3096">
        <v>31</v>
      </c>
      <c r="AC3096">
        <v>0.66460000000000696</v>
      </c>
      <c r="AD3096">
        <v>-5.8161000000000102E-2</v>
      </c>
      <c r="AE3096">
        <v>-4.1699999999991598E-2</v>
      </c>
      <c r="AF3096">
        <v>4.8278778478711003E-2</v>
      </c>
      <c r="AG3096">
        <v>-5.8161000000000102E-2</v>
      </c>
      <c r="AH3096">
        <v>0.65909971940752499</v>
      </c>
      <c r="AI3096">
        <v>95.029489222121001</v>
      </c>
      <c r="AJ3096">
        <v>85.810590211064806</v>
      </c>
      <c r="AK3096">
        <v>0.66341991415352797</v>
      </c>
    </row>
    <row r="3097" spans="1:37" x14ac:dyDescent="0.2">
      <c r="A3097" t="str">
        <f>"20200111155907832"</f>
        <v>20200111155907832</v>
      </c>
      <c r="B3097" t="str">
        <f>"1578729547824850"</f>
        <v>1578729547824850</v>
      </c>
      <c r="C3097" t="s">
        <v>37</v>
      </c>
      <c r="D3097">
        <v>4.9312250000000004</v>
      </c>
      <c r="E3097">
        <v>0.54453530000000006</v>
      </c>
      <c r="F3097" t="s">
        <v>38</v>
      </c>
      <c r="G3097">
        <v>-325.90199999999999</v>
      </c>
      <c r="H3097">
        <v>1.046602</v>
      </c>
      <c r="I3097">
        <v>214.31809999999999</v>
      </c>
      <c r="J3097">
        <v>-326.53129999999999</v>
      </c>
      <c r="K3097">
        <v>1.1038920000000001</v>
      </c>
      <c r="L3097">
        <v>214.35740000000001</v>
      </c>
      <c r="M3097">
        <v>0.99985020000000002</v>
      </c>
      <c r="N3097">
        <v>0</v>
      </c>
      <c r="O3097">
        <v>9.7217459999999999E-3</v>
      </c>
      <c r="P3097">
        <v>0.99619190000000002</v>
      </c>
      <c r="Q3097">
        <v>3.772006E-2</v>
      </c>
      <c r="R3097">
        <v>7.8606419999999996E-2</v>
      </c>
      <c r="S3097">
        <v>3.0273129999999999</v>
      </c>
      <c r="T3097">
        <v>-0.1846341</v>
      </c>
      <c r="U3097">
        <v>-0.1181335</v>
      </c>
      <c r="V3097">
        <v>-6.8841289999999999E-2</v>
      </c>
      <c r="W3097">
        <v>5.2088820000000001E-2</v>
      </c>
      <c r="X3097">
        <v>0.99626680000000001</v>
      </c>
      <c r="Y3097">
        <v>4.8598189999999999E-2</v>
      </c>
      <c r="Z3097">
        <v>-2.072281E-3</v>
      </c>
      <c r="AA3097">
        <v>0.99881629999999999</v>
      </c>
      <c r="AB3097">
        <v>31</v>
      </c>
      <c r="AC3097">
        <v>0.62929999999999997</v>
      </c>
      <c r="AD3097">
        <v>-5.7290000000000001E-2</v>
      </c>
      <c r="AE3097">
        <v>-3.9300000000025599E-2</v>
      </c>
      <c r="AF3097">
        <v>4.50447901516947E-2</v>
      </c>
      <c r="AG3097">
        <v>-5.7290000000000001E-2</v>
      </c>
      <c r="AH3097">
        <v>0.62373877690403401</v>
      </c>
      <c r="AI3097">
        <v>95.234299951527206</v>
      </c>
      <c r="AJ3097">
        <v>85.869418863301902</v>
      </c>
      <c r="AK3097">
        <v>0.62798187794995297</v>
      </c>
    </row>
    <row r="3098" spans="1:37" x14ac:dyDescent="0.2">
      <c r="A3098" t="str">
        <f>"20200111155907854"</f>
        <v>20200111155907854</v>
      </c>
      <c r="B3098" t="str">
        <f>"1578729547845345"</f>
        <v>1578729547845345</v>
      </c>
      <c r="C3098" t="s">
        <v>37</v>
      </c>
      <c r="D3098">
        <v>5.0499479999999997</v>
      </c>
      <c r="E3098">
        <v>0.54465319999999995</v>
      </c>
      <c r="F3098" t="s">
        <v>38</v>
      </c>
      <c r="G3098">
        <v>-325.6259</v>
      </c>
      <c r="H3098">
        <v>1.048843</v>
      </c>
      <c r="I3098">
        <v>214.32310000000001</v>
      </c>
      <c r="J3098">
        <v>-326.23140000000001</v>
      </c>
      <c r="K3098">
        <v>1.103898</v>
      </c>
      <c r="L3098">
        <v>214.3596</v>
      </c>
      <c r="M3098">
        <v>0.99985679999999999</v>
      </c>
      <c r="N3098">
        <v>0</v>
      </c>
      <c r="O3098">
        <v>9.0335009999999993E-3</v>
      </c>
      <c r="P3098">
        <v>0.99608249999999998</v>
      </c>
      <c r="Q3098">
        <v>3.8869960000000002E-2</v>
      </c>
      <c r="R3098">
        <v>7.9428780000000004E-2</v>
      </c>
      <c r="S3098">
        <v>3.02749599999999</v>
      </c>
      <c r="T3098">
        <v>-0.1840484</v>
      </c>
      <c r="U3098">
        <v>-0.11482239999999901</v>
      </c>
      <c r="V3098">
        <v>-7.0349999999999996E-2</v>
      </c>
      <c r="W3098">
        <v>5.323402E-2</v>
      </c>
      <c r="X3098">
        <v>0.99610089999999996</v>
      </c>
      <c r="Y3098">
        <v>4.682269E-2</v>
      </c>
      <c r="Z3098">
        <v>-1.9699439999999999E-3</v>
      </c>
      <c r="AA3098">
        <v>0.99890119999999905</v>
      </c>
      <c r="AB3098">
        <v>31</v>
      </c>
      <c r="AC3098">
        <v>0.60550000000000603</v>
      </c>
      <c r="AD3098">
        <v>-5.5055E-2</v>
      </c>
      <c r="AE3098">
        <v>-3.6499999999989499E-2</v>
      </c>
      <c r="AF3098">
        <v>4.1625965782508101E-2</v>
      </c>
      <c r="AG3098">
        <v>-5.5055E-2</v>
      </c>
      <c r="AH3098">
        <v>0.60020143500581602</v>
      </c>
      <c r="AI3098">
        <v>95.228445492677807</v>
      </c>
      <c r="AJ3098">
        <v>86.0326997385786</v>
      </c>
      <c r="AK3098">
        <v>0.60415688081438501</v>
      </c>
    </row>
    <row r="3099" spans="1:37" x14ac:dyDescent="0.2">
      <c r="A3099" t="str">
        <f>"20200111155907876"</f>
        <v>20200111155907876</v>
      </c>
      <c r="B3099" t="str">
        <f>"1578729547864865"</f>
        <v>1578729547864865</v>
      </c>
      <c r="C3099" t="s">
        <v>37</v>
      </c>
      <c r="D3099">
        <v>5.0423939999999998</v>
      </c>
      <c r="E3099">
        <v>0.54467279999999996</v>
      </c>
      <c r="F3099" t="s">
        <v>38</v>
      </c>
      <c r="G3099">
        <v>-325.34440000000001</v>
      </c>
      <c r="H3099">
        <v>1.0511999999999999</v>
      </c>
      <c r="I3099">
        <v>214.3261</v>
      </c>
      <c r="J3099">
        <v>-325.93290000000002</v>
      </c>
      <c r="K3099">
        <v>1.103917</v>
      </c>
      <c r="L3099">
        <v>214.36160000000001</v>
      </c>
      <c r="M3099">
        <v>0.99986260000000005</v>
      </c>
      <c r="N3099">
        <v>0</v>
      </c>
      <c r="O3099">
        <v>8.374823E-3</v>
      </c>
      <c r="P3099">
        <v>0.996135199999999</v>
      </c>
      <c r="Q3099">
        <v>3.9427039999999997E-2</v>
      </c>
      <c r="R3099">
        <v>7.8486650000000005E-2</v>
      </c>
      <c r="S3099">
        <v>3.027863</v>
      </c>
      <c r="T3099">
        <v>-0.180009</v>
      </c>
      <c r="U3099">
        <v>-0.11346440000000001</v>
      </c>
      <c r="V3099">
        <v>-7.0065329999999995E-2</v>
      </c>
      <c r="W3099">
        <v>5.3785409999999999E-2</v>
      </c>
      <c r="X3099">
        <v>0.99609139999999996</v>
      </c>
      <c r="Y3099">
        <v>4.5720240000000002E-2</v>
      </c>
      <c r="Z3099">
        <v>-1.854723E-3</v>
      </c>
      <c r="AA3099">
        <v>0.99895259999999997</v>
      </c>
      <c r="AB3099">
        <v>31</v>
      </c>
      <c r="AC3099">
        <v>0.58850000000001002</v>
      </c>
      <c r="AD3099">
        <v>-5.2717000000000097E-2</v>
      </c>
      <c r="AE3099">
        <v>-3.5500000000013097E-2</v>
      </c>
      <c r="AF3099">
        <v>4.0107176382006698E-2</v>
      </c>
      <c r="AG3099">
        <v>-5.2717000000000097E-2</v>
      </c>
      <c r="AH3099">
        <v>0.58351667059817003</v>
      </c>
      <c r="AI3099">
        <v>95.150207274563698</v>
      </c>
      <c r="AJ3099">
        <v>86.068041407110002</v>
      </c>
      <c r="AK3099">
        <v>0.58726431234352305</v>
      </c>
    </row>
    <row r="3100" spans="1:37" x14ac:dyDescent="0.2">
      <c r="A3100" t="str">
        <f>"20200111155907900"</f>
        <v>20200111155907900</v>
      </c>
      <c r="B3100" t="str">
        <f>"1578729547895122"</f>
        <v>1578729547895122</v>
      </c>
      <c r="C3100" t="s">
        <v>37</v>
      </c>
      <c r="D3100">
        <v>5.1568480000000001</v>
      </c>
      <c r="E3100">
        <v>0.54471559999999997</v>
      </c>
      <c r="F3100" t="s">
        <v>52</v>
      </c>
      <c r="G3100">
        <v>-307.1542</v>
      </c>
      <c r="H3100" s="1">
        <v>1.384222E-6</v>
      </c>
      <c r="I3100">
        <v>213.6422</v>
      </c>
      <c r="J3100">
        <v>-325.61250000000001</v>
      </c>
      <c r="K3100">
        <v>1.103947</v>
      </c>
      <c r="L3100">
        <v>214.36349999999999</v>
      </c>
      <c r="M3100">
        <v>0.99986790000000003</v>
      </c>
      <c r="N3100">
        <v>0</v>
      </c>
      <c r="O3100">
        <v>7.700134E-3</v>
      </c>
      <c r="P3100">
        <v>0.99625019999999997</v>
      </c>
      <c r="Q3100">
        <v>3.9824169999999999E-2</v>
      </c>
      <c r="R3100">
        <v>7.6808479999999998E-2</v>
      </c>
      <c r="S3100">
        <v>3.0278019999999999</v>
      </c>
      <c r="T3100">
        <v>-0.17799129999999999</v>
      </c>
      <c r="U3100">
        <v>-0.1159821</v>
      </c>
      <c r="V3100">
        <v>-6.9060689999999994E-2</v>
      </c>
      <c r="W3100">
        <v>5.4174899999999998E-2</v>
      </c>
      <c r="X3100">
        <v>0.99614040000000004</v>
      </c>
      <c r="Y3100">
        <v>4.5879400000000001E-2</v>
      </c>
      <c r="Z3100">
        <v>-1.799031E-3</v>
      </c>
      <c r="AA3100">
        <v>0.99894539999999998</v>
      </c>
      <c r="AB3100">
        <v>31</v>
      </c>
      <c r="AC3100">
        <v>18.458300000000001</v>
      </c>
      <c r="AD3100">
        <v>-1.1039456157780001</v>
      </c>
      <c r="AE3100">
        <v>-0.72129999999998495</v>
      </c>
      <c r="AF3100">
        <v>0.86035182113757902</v>
      </c>
      <c r="AG3100">
        <v>-1.1039456157780001</v>
      </c>
      <c r="AH3100">
        <v>18.386530701870001</v>
      </c>
      <c r="AI3100">
        <v>93.432224380333594</v>
      </c>
      <c r="AJ3100">
        <v>87.3209411381238</v>
      </c>
      <c r="AK3100">
        <v>18.439723762289301</v>
      </c>
    </row>
    <row r="3101" spans="1:37" x14ac:dyDescent="0.2">
      <c r="A3101" t="str">
        <f>"20200111155907922"</f>
        <v>20200111155907922</v>
      </c>
      <c r="B3101" t="str">
        <f>"1578729547914642"</f>
        <v>1578729547914642</v>
      </c>
      <c r="C3101" t="s">
        <v>37</v>
      </c>
      <c r="D3101">
        <v>5.0389999999999997</v>
      </c>
      <c r="E3101">
        <v>0.54478499999999996</v>
      </c>
      <c r="F3101" t="s">
        <v>52</v>
      </c>
      <c r="G3101">
        <v>-306.66559999999998</v>
      </c>
      <c r="H3101" s="1">
        <v>1.4708819999999999E-6</v>
      </c>
      <c r="I3101">
        <v>213.60550000000001</v>
      </c>
      <c r="J3101">
        <v>-325.3</v>
      </c>
      <c r="K3101">
        <v>1.103979</v>
      </c>
      <c r="L3101">
        <v>214.36519999999999</v>
      </c>
      <c r="M3101">
        <v>0.99987269999999995</v>
      </c>
      <c r="N3101">
        <v>0</v>
      </c>
      <c r="O3101">
        <v>7.0770219999999997E-3</v>
      </c>
      <c r="P3101">
        <v>0.99645699999999904</v>
      </c>
      <c r="Q3101">
        <v>3.9745910000000002E-2</v>
      </c>
      <c r="R3101">
        <v>7.4120409999999998E-2</v>
      </c>
      <c r="S3101">
        <v>3.0276489999999998</v>
      </c>
      <c r="T3101">
        <v>-0.1764068</v>
      </c>
      <c r="U3101">
        <v>-0.121124299999999</v>
      </c>
      <c r="V3101">
        <v>-6.6996050000000001E-2</v>
      </c>
      <c r="W3101">
        <v>5.4088240000000003E-2</v>
      </c>
      <c r="X3101">
        <v>0.99628609999999895</v>
      </c>
      <c r="Y3101">
        <v>4.6953670000000003E-2</v>
      </c>
      <c r="Z3101">
        <v>-1.778066E-3</v>
      </c>
      <c r="AA3101">
        <v>0.99889550000000005</v>
      </c>
      <c r="AB3101">
        <v>31</v>
      </c>
      <c r="AC3101">
        <v>18.634399999999999</v>
      </c>
      <c r="AD3101">
        <v>-1.1039775291180001</v>
      </c>
      <c r="AE3101">
        <v>-0.75969999999998095</v>
      </c>
      <c r="AF3101">
        <v>0.88845733113236103</v>
      </c>
      <c r="AG3101">
        <v>-1.1039775291180001</v>
      </c>
      <c r="AH3101">
        <v>18.563509109384899</v>
      </c>
      <c r="AI3101">
        <v>93.399506805233301</v>
      </c>
      <c r="AJ3101">
        <v>87.2598908700718</v>
      </c>
      <c r="AK3101">
        <v>18.617518450863798</v>
      </c>
    </row>
    <row r="3102" spans="1:37" x14ac:dyDescent="0.2">
      <c r="A3102" t="str">
        <f>"20200111155907943"</f>
        <v>20200111155907943</v>
      </c>
      <c r="B3102" t="str">
        <f>"1578729547935137"</f>
        <v>1578729547935137</v>
      </c>
      <c r="C3102" t="s">
        <v>37</v>
      </c>
      <c r="D3102">
        <v>5.1620669999999897</v>
      </c>
      <c r="E3102">
        <v>0.54487069999999904</v>
      </c>
      <c r="F3102" t="s">
        <v>52</v>
      </c>
      <c r="G3102">
        <v>-306.363</v>
      </c>
      <c r="H3102" s="1">
        <v>1.5245650000000001E-6</v>
      </c>
      <c r="I3102">
        <v>213.55369999999999</v>
      </c>
      <c r="J3102">
        <v>-325.010999999999</v>
      </c>
      <c r="K3102">
        <v>1.1040110000000001</v>
      </c>
      <c r="L3102">
        <v>214.36660000000001</v>
      </c>
      <c r="M3102">
        <v>0.9998764</v>
      </c>
      <c r="N3102">
        <v>0</v>
      </c>
      <c r="O3102">
        <v>6.5357660000000001E-3</v>
      </c>
      <c r="P3102">
        <v>0.99665249999999905</v>
      </c>
      <c r="Q3102">
        <v>3.9053079999999997E-2</v>
      </c>
      <c r="R3102">
        <v>7.1826340000000002E-2</v>
      </c>
      <c r="S3102">
        <v>3.0273439999999998</v>
      </c>
      <c r="T3102">
        <v>-0.17648629999999901</v>
      </c>
      <c r="U3102">
        <v>-0.12973019999999999</v>
      </c>
      <c r="V3102">
        <v>-6.5244449999999996E-2</v>
      </c>
      <c r="W3102">
        <v>5.33883E-2</v>
      </c>
      <c r="X3102">
        <v>0.99644009999999905</v>
      </c>
      <c r="Y3102">
        <v>4.9248510000000002E-2</v>
      </c>
      <c r="Z3102">
        <v>-1.814228E-3</v>
      </c>
      <c r="AA3102">
        <v>0.99878489999999998</v>
      </c>
      <c r="AB3102">
        <v>31</v>
      </c>
      <c r="AC3102">
        <v>18.6479999999999</v>
      </c>
      <c r="AD3102">
        <v>-1.1040094754350001</v>
      </c>
      <c r="AE3102">
        <v>-0.81290000000001295</v>
      </c>
      <c r="AF3102">
        <v>0.93151534399896396</v>
      </c>
      <c r="AG3102">
        <v>-1.1040094754350001</v>
      </c>
      <c r="AH3102">
        <v>18.5772992623635</v>
      </c>
      <c r="AI3102">
        <v>93.396709202357101</v>
      </c>
      <c r="AJ3102">
        <v>87.129440958567599</v>
      </c>
      <c r="AK3102">
        <v>18.633373436964298</v>
      </c>
    </row>
    <row r="3103" spans="1:37" x14ac:dyDescent="0.2">
      <c r="A3103" t="str">
        <f>"20200111155907965"</f>
        <v>20200111155907965</v>
      </c>
      <c r="B3103" t="str">
        <f>"1578729547954657"</f>
        <v>1578729547954657</v>
      </c>
      <c r="C3103" t="s">
        <v>37</v>
      </c>
      <c r="D3103">
        <v>5.0611100000000002</v>
      </c>
      <c r="E3103">
        <v>0.54488239999999999</v>
      </c>
      <c r="F3103" t="s">
        <v>52</v>
      </c>
      <c r="G3103">
        <v>-306.2602</v>
      </c>
      <c r="H3103" s="1">
        <v>1.5428099999999999E-6</v>
      </c>
      <c r="I3103">
        <v>213.51560000000001</v>
      </c>
      <c r="J3103">
        <v>-324.7158</v>
      </c>
      <c r="K3103">
        <v>1.1040369999999999</v>
      </c>
      <c r="L3103">
        <v>214.36799999999999</v>
      </c>
      <c r="M3103">
        <v>0.99987969999999904</v>
      </c>
      <c r="N3103">
        <v>0</v>
      </c>
      <c r="O3103">
        <v>6.0193039999999996E-3</v>
      </c>
      <c r="P3103">
        <v>0.99682109999999902</v>
      </c>
      <c r="Q3103">
        <v>3.8652350000000002E-2</v>
      </c>
      <c r="R3103">
        <v>6.966928E-2</v>
      </c>
      <c r="S3103">
        <v>3.02697799999999</v>
      </c>
      <c r="T3103">
        <v>-0.17822160000000001</v>
      </c>
      <c r="U3103">
        <v>-0.13739009999999999</v>
      </c>
      <c r="V3103">
        <v>-6.3606049999999997E-2</v>
      </c>
      <c r="W3103">
        <v>5.2979279999999997E-2</v>
      </c>
      <c r="X3103">
        <v>0.9965678</v>
      </c>
      <c r="Y3103">
        <v>5.1255790000000002E-2</v>
      </c>
      <c r="Z3103">
        <v>-1.8607949999999999E-3</v>
      </c>
      <c r="AA3103">
        <v>0.99868380000000001</v>
      </c>
      <c r="AB3103">
        <v>30</v>
      </c>
      <c r="AC3103">
        <v>18.4556</v>
      </c>
      <c r="AD3103">
        <v>-1.10403545719</v>
      </c>
      <c r="AE3103">
        <v>-0.85239999999998795</v>
      </c>
      <c r="AF3103">
        <v>0.96005745304886103</v>
      </c>
      <c r="AG3103">
        <v>-1.10403545719</v>
      </c>
      <c r="AH3103">
        <v>18.3844840606452</v>
      </c>
      <c r="AI3103">
        <v>93.431966236415306</v>
      </c>
      <c r="AJ3103">
        <v>87.010668381856405</v>
      </c>
      <c r="AK3103">
        <v>18.442609868996499</v>
      </c>
    </row>
    <row r="3104" spans="1:37" x14ac:dyDescent="0.2">
      <c r="A3104" t="str">
        <f>"20200111155907988"</f>
        <v>20200111155907988</v>
      </c>
      <c r="B3104" t="str">
        <f>"1578729547975153"</f>
        <v>1578729547975153</v>
      </c>
      <c r="C3104" t="s">
        <v>37</v>
      </c>
      <c r="D3104">
        <v>5.1228730000000002</v>
      </c>
      <c r="E3104">
        <v>0.54488309999999995</v>
      </c>
      <c r="F3104" t="s">
        <v>38</v>
      </c>
      <c r="G3104">
        <v>-323.72129999999999</v>
      </c>
      <c r="H3104">
        <v>1.04515</v>
      </c>
      <c r="I3104">
        <v>214.3202</v>
      </c>
      <c r="J3104">
        <v>-324.40609999999998</v>
      </c>
      <c r="K3104">
        <v>1.1040650000000001</v>
      </c>
      <c r="L3104">
        <v>214.36930000000001</v>
      </c>
      <c r="M3104">
        <v>0.99988269999999901</v>
      </c>
      <c r="N3104">
        <v>0</v>
      </c>
      <c r="O3104">
        <v>5.5213859999999997E-3</v>
      </c>
      <c r="P3104">
        <v>0.99698909999999996</v>
      </c>
      <c r="Q3104">
        <v>3.7637379999999998E-2</v>
      </c>
      <c r="R3104">
        <v>6.7795910000000001E-2</v>
      </c>
      <c r="S3104">
        <v>3.0265499999999999</v>
      </c>
      <c r="T3104">
        <v>-0.179428</v>
      </c>
      <c r="U3104">
        <v>-0.144043</v>
      </c>
      <c r="V3104">
        <v>-6.2233160000000003E-2</v>
      </c>
      <c r="W3104">
        <v>5.1954060000000003E-2</v>
      </c>
      <c r="X3104">
        <v>0.996708499999999</v>
      </c>
      <c r="Y3104">
        <v>5.2951860000000003E-2</v>
      </c>
      <c r="Z3104">
        <v>-1.8942609999999999E-3</v>
      </c>
      <c r="AA3104">
        <v>0.99859529999999996</v>
      </c>
      <c r="AB3104">
        <v>30</v>
      </c>
      <c r="AC3104">
        <v>0.68479999999999497</v>
      </c>
      <c r="AD3104">
        <v>-5.8915000000000002E-2</v>
      </c>
      <c r="AE3104">
        <v>-4.91000000000099E-2</v>
      </c>
      <c r="AF3104">
        <v>5.2494130328204297E-2</v>
      </c>
      <c r="AG3104">
        <v>-5.8915000000000002E-2</v>
      </c>
      <c r="AH3104">
        <v>0.67951467517545505</v>
      </c>
      <c r="AI3104">
        <v>94.940595831142105</v>
      </c>
      <c r="AJ3104">
        <v>85.582538056859207</v>
      </c>
      <c r="AK3104">
        <v>0.68408099280912604</v>
      </c>
    </row>
    <row r="3105" spans="1:37" x14ac:dyDescent="0.2">
      <c r="A3105" t="str">
        <f>"20200111155908011"</f>
        <v>20200111155908011</v>
      </c>
      <c r="B3105" t="str">
        <f>"1578729548004433"</f>
        <v>1578729548004433</v>
      </c>
      <c r="C3105" t="s">
        <v>37</v>
      </c>
      <c r="D3105">
        <v>5.1312220000000002</v>
      </c>
      <c r="E3105">
        <v>0.54483530000000002</v>
      </c>
      <c r="F3105" t="s">
        <v>38</v>
      </c>
      <c r="G3105">
        <v>-323.44889999999998</v>
      </c>
      <c r="H3105">
        <v>1.046346</v>
      </c>
      <c r="I3105">
        <v>214.32159999999999</v>
      </c>
      <c r="J3105">
        <v>-324.08760000000001</v>
      </c>
      <c r="K3105">
        <v>1.1040840000000001</v>
      </c>
      <c r="L3105">
        <v>214.37049999999999</v>
      </c>
      <c r="M3105">
        <v>0.99988529999999998</v>
      </c>
      <c r="N3105">
        <v>0</v>
      </c>
      <c r="O3105">
        <v>5.044967E-3</v>
      </c>
      <c r="P3105">
        <v>0.99706609999999996</v>
      </c>
      <c r="Q3105">
        <v>3.7381949999999997E-2</v>
      </c>
      <c r="R3105">
        <v>6.6796620000000001E-2</v>
      </c>
      <c r="S3105">
        <v>3.0261230000000001</v>
      </c>
      <c r="T3105">
        <v>-0.18265909999999999</v>
      </c>
      <c r="U3105">
        <v>-0.14967349999999999</v>
      </c>
      <c r="V3105">
        <v>-6.1713619999999997E-2</v>
      </c>
      <c r="W3105">
        <v>5.1679290000000003E-2</v>
      </c>
      <c r="X3105">
        <v>0.99675509999999901</v>
      </c>
      <c r="Y3105">
        <v>5.4330969999999999E-2</v>
      </c>
      <c r="Z3105">
        <v>-1.9413360000000001E-3</v>
      </c>
      <c r="AA3105">
        <v>0.99852109999999905</v>
      </c>
      <c r="AB3105">
        <v>30</v>
      </c>
      <c r="AC3105">
        <v>0.63870000000002802</v>
      </c>
      <c r="AD3105">
        <v>-5.7737999999999998E-2</v>
      </c>
      <c r="AE3105">
        <v>-4.8900000000003198E-2</v>
      </c>
      <c r="AF3105">
        <v>5.1701879791593498E-2</v>
      </c>
      <c r="AG3105">
        <v>-5.7737999999999998E-2</v>
      </c>
      <c r="AH3105">
        <v>0.63329996320977</v>
      </c>
      <c r="AI3105">
        <v>95.192080076660602</v>
      </c>
      <c r="AJ3105">
        <v>85.332789002482798</v>
      </c>
      <c r="AK3105">
        <v>0.63802476787306595</v>
      </c>
    </row>
    <row r="3106" spans="1:37" x14ac:dyDescent="0.2">
      <c r="A3106" t="str">
        <f>"20200111155908033"</f>
        <v>20200111155908033</v>
      </c>
      <c r="B3106" t="str">
        <f>"1578729548024929"</f>
        <v>1578729548024929</v>
      </c>
      <c r="C3106" t="s">
        <v>37</v>
      </c>
      <c r="D3106">
        <v>5.4593419999999897</v>
      </c>
      <c r="E3106">
        <v>0.54484330000000003</v>
      </c>
      <c r="F3106" t="s">
        <v>38</v>
      </c>
      <c r="G3106">
        <v>-323.17559999999997</v>
      </c>
      <c r="H3106">
        <v>1.0487519999999999</v>
      </c>
      <c r="I3106">
        <v>214.3245</v>
      </c>
      <c r="J3106">
        <v>-323.79399999999998</v>
      </c>
      <c r="K3106">
        <v>1.1040989999999999</v>
      </c>
      <c r="L3106">
        <v>214.3715</v>
      </c>
      <c r="M3106">
        <v>0.999887999999999</v>
      </c>
      <c r="N3106">
        <v>0</v>
      </c>
      <c r="O3106">
        <v>4.641175E-3</v>
      </c>
      <c r="P3106">
        <v>0.99705880000000002</v>
      </c>
      <c r="Q3106">
        <v>3.7910329999999999E-2</v>
      </c>
      <c r="R3106">
        <v>6.6605810000000001E-2</v>
      </c>
      <c r="S3106">
        <v>3.025909</v>
      </c>
      <c r="T3106">
        <v>-0.1836864</v>
      </c>
      <c r="U3106">
        <v>-0.15156559999999999</v>
      </c>
      <c r="V3106">
        <v>-6.192785E-2</v>
      </c>
      <c r="W3106">
        <v>5.2159299999999999E-2</v>
      </c>
      <c r="X3106">
        <v>0.99671679999999996</v>
      </c>
      <c r="Y3106">
        <v>5.455314E-2</v>
      </c>
      <c r="Z3106">
        <v>-1.9345969999999999E-3</v>
      </c>
      <c r="AA3106">
        <v>0.99850899999999998</v>
      </c>
      <c r="AB3106">
        <v>30</v>
      </c>
      <c r="AC3106">
        <v>0.61840000000006501</v>
      </c>
      <c r="AD3106">
        <v>-5.5346999999999799E-2</v>
      </c>
      <c r="AE3106">
        <v>-4.6999999999997003E-2</v>
      </c>
      <c r="AF3106">
        <v>4.9475846250752298E-2</v>
      </c>
      <c r="AG3106">
        <v>-5.5346999999999799E-2</v>
      </c>
      <c r="AH3106">
        <v>0.61329074767442104</v>
      </c>
      <c r="AI3106">
        <v>95.140133137298804</v>
      </c>
      <c r="AJ3106">
        <v>85.387780638258405</v>
      </c>
      <c r="AK3106">
        <v>0.61776750558302895</v>
      </c>
    </row>
    <row r="3107" spans="1:37" x14ac:dyDescent="0.2">
      <c r="A3107" t="str">
        <f>"20200111155908059"</f>
        <v>20200111155908059</v>
      </c>
      <c r="B3107" t="str">
        <f>"1578729548044449"</f>
        <v>1578729548044449</v>
      </c>
      <c r="C3107" t="s">
        <v>37</v>
      </c>
      <c r="D3107">
        <v>5.3021760000000002</v>
      </c>
      <c r="E3107">
        <v>0.54536629999999997</v>
      </c>
      <c r="F3107" t="s">
        <v>38</v>
      </c>
      <c r="G3107">
        <v>-322.90300000000002</v>
      </c>
      <c r="H3107">
        <v>1.050524</v>
      </c>
      <c r="I3107">
        <v>214.32650000000001</v>
      </c>
      <c r="J3107">
        <v>-323.48779999999999</v>
      </c>
      <c r="K3107">
        <v>1.104114</v>
      </c>
      <c r="L3107">
        <v>214.3724</v>
      </c>
      <c r="M3107">
        <v>0.99989069999999902</v>
      </c>
      <c r="N3107">
        <v>0</v>
      </c>
      <c r="O3107">
        <v>4.2650359999999998E-3</v>
      </c>
      <c r="P3107">
        <v>0.99705599999999905</v>
      </c>
      <c r="Q3107">
        <v>3.840623E-2</v>
      </c>
      <c r="R3107">
        <v>6.6365519999999997E-2</v>
      </c>
      <c r="S3107">
        <v>3.0259399999999999</v>
      </c>
      <c r="T3107">
        <v>-0.18206529999999899</v>
      </c>
      <c r="U3107">
        <v>-0.15235899999999999</v>
      </c>
      <c r="V3107">
        <v>-6.2066719999999999E-2</v>
      </c>
      <c r="W3107">
        <v>5.2572630000000002E-2</v>
      </c>
      <c r="X3107">
        <v>0.99668650000000003</v>
      </c>
      <c r="Y3107">
        <v>5.444098E-2</v>
      </c>
      <c r="Z3107">
        <v>-1.8915529999999901E-3</v>
      </c>
      <c r="AA3107">
        <v>0.99851520000000005</v>
      </c>
      <c r="AB3107">
        <v>30</v>
      </c>
      <c r="AC3107">
        <v>0.58479999999997201</v>
      </c>
      <c r="AD3107">
        <v>-5.3589999999999999E-2</v>
      </c>
      <c r="AE3107">
        <v>-4.5899999999988901E-2</v>
      </c>
      <c r="AF3107">
        <v>4.7993465367866098E-2</v>
      </c>
      <c r="AG3107">
        <v>-5.3589999999999999E-2</v>
      </c>
      <c r="AH3107">
        <v>0.57976013718555497</v>
      </c>
      <c r="AI3107">
        <v>95.263214426767703</v>
      </c>
      <c r="AJ3107">
        <v>85.267754345985495</v>
      </c>
      <c r="AK3107">
        <v>0.58420636549718497</v>
      </c>
    </row>
    <row r="3108" spans="1:37" x14ac:dyDescent="0.2">
      <c r="A3108" t="str">
        <f>"20200111155908077"</f>
        <v>20200111155908077</v>
      </c>
      <c r="B3108" t="str">
        <f>"1578729548064947"</f>
        <v>1578729548064947</v>
      </c>
      <c r="C3108" t="s">
        <v>37</v>
      </c>
      <c r="D3108">
        <v>5.2983709999999897</v>
      </c>
      <c r="E3108">
        <v>0.56903950000000003</v>
      </c>
      <c r="F3108" t="s">
        <v>52</v>
      </c>
      <c r="G3108">
        <v>-304.90179999999998</v>
      </c>
      <c r="H3108" s="1">
        <v>1.783769E-6</v>
      </c>
      <c r="I3108">
        <v>213.40479999999999</v>
      </c>
      <c r="J3108">
        <v>-323.20240000000001</v>
      </c>
      <c r="K3108">
        <v>1.1041299999999901</v>
      </c>
      <c r="L3108">
        <v>214.3733</v>
      </c>
      <c r="M3108">
        <v>0.99989349999999999</v>
      </c>
      <c r="N3108">
        <v>0</v>
      </c>
      <c r="O3108">
        <v>3.9637140000000001E-3</v>
      </c>
      <c r="P3108">
        <v>0.99705180000000004</v>
      </c>
      <c r="Q3108">
        <v>3.8696460000000002E-2</v>
      </c>
      <c r="R3108">
        <v>6.6264180000000006E-2</v>
      </c>
      <c r="S3108">
        <v>3.0262449999999999</v>
      </c>
      <c r="T3108">
        <v>-0.1797752</v>
      </c>
      <c r="U3108">
        <v>-0.15756229999999999</v>
      </c>
      <c r="V3108">
        <v>-6.2269989999999997E-2</v>
      </c>
      <c r="W3108">
        <v>5.2758810000000003E-2</v>
      </c>
      <c r="X3108">
        <v>0.99666390000000005</v>
      </c>
      <c r="Y3108">
        <v>5.5848009999999997E-2</v>
      </c>
      <c r="Z3108">
        <v>-1.8913839999999901E-3</v>
      </c>
      <c r="AA3108">
        <v>0.99843749999999998</v>
      </c>
      <c r="AB3108">
        <v>30</v>
      </c>
      <c r="AC3108">
        <v>18.300599999999999</v>
      </c>
      <c r="AD3108">
        <v>-1.10412821623099</v>
      </c>
      <c r="AE3108">
        <v>-0.96850000000000502</v>
      </c>
      <c r="AF3108">
        <v>1.0372727029101401</v>
      </c>
      <c r="AG3108">
        <v>-1.10412821623099</v>
      </c>
      <c r="AH3108">
        <v>18.230442434220201</v>
      </c>
      <c r="AI3108">
        <v>93.460306888955103</v>
      </c>
      <c r="AJ3108">
        <v>86.743505323351499</v>
      </c>
      <c r="AK3108">
        <v>18.293279233792301</v>
      </c>
    </row>
    <row r="3109" spans="1:37" x14ac:dyDescent="0.2">
      <c r="A3109" t="str">
        <f>"20200111155908101"</f>
        <v>20200111155908101</v>
      </c>
      <c r="B3109" t="str">
        <f>"1578729548095201"</f>
        <v>1578729548095201</v>
      </c>
      <c r="C3109" t="s">
        <v>37</v>
      </c>
      <c r="D3109">
        <v>5.3497599999999998</v>
      </c>
      <c r="E3109">
        <v>0.56816319999999998</v>
      </c>
      <c r="F3109" t="s">
        <v>38</v>
      </c>
      <c r="G3109">
        <v>-322.36989999999997</v>
      </c>
      <c r="H3109">
        <v>1.040535</v>
      </c>
      <c r="I3109">
        <v>214.27850000000001</v>
      </c>
      <c r="J3109">
        <v>-322.88420000000002</v>
      </c>
      <c r="K3109">
        <v>1.1041529999999999</v>
      </c>
      <c r="L3109">
        <v>214.3742</v>
      </c>
      <c r="M3109">
        <v>0.99989640000000002</v>
      </c>
      <c r="N3109">
        <v>0</v>
      </c>
      <c r="O3109">
        <v>3.6928829999999901E-3</v>
      </c>
      <c r="P3109">
        <v>0.99708560000000002</v>
      </c>
      <c r="Q3109">
        <v>3.8501390000000003E-2</v>
      </c>
      <c r="R3109">
        <v>6.5862939999999995E-2</v>
      </c>
      <c r="S3109">
        <v>3.0408629999999999</v>
      </c>
      <c r="T3109">
        <v>-0.23231559999999901</v>
      </c>
      <c r="U3109">
        <v>-0.34591669999999902</v>
      </c>
      <c r="V3109">
        <v>-6.2144699999999997E-2</v>
      </c>
      <c r="W3109">
        <v>5.2413099999999997E-2</v>
      </c>
      <c r="X3109">
        <v>0.99668999999999996</v>
      </c>
      <c r="Y3109">
        <v>0.1163506</v>
      </c>
      <c r="Z3109">
        <v>-4.7046579999999996E-3</v>
      </c>
      <c r="AA3109">
        <v>0.99319709999999894</v>
      </c>
      <c r="AB3109">
        <v>30</v>
      </c>
      <c r="AC3109">
        <v>0.51430000000004805</v>
      </c>
      <c r="AD3109">
        <v>-6.3618000000000105E-2</v>
      </c>
      <c r="AE3109">
        <v>-9.5699999999993596E-2</v>
      </c>
      <c r="AF3109">
        <v>9.6176411026366204E-2</v>
      </c>
      <c r="AG3109">
        <v>-6.3618000000000105E-2</v>
      </c>
      <c r="AH3109">
        <v>0.50645302649759105</v>
      </c>
      <c r="AI3109">
        <v>97.035259381218793</v>
      </c>
      <c r="AJ3109">
        <v>79.247455808703705</v>
      </c>
      <c r="AK3109">
        <v>0.51941488235367494</v>
      </c>
    </row>
    <row r="3110" spans="1:37" x14ac:dyDescent="0.2">
      <c r="A3110" t="str">
        <f>"20200111155908123"</f>
        <v>20200111155908123</v>
      </c>
      <c r="B3110" t="str">
        <f>"1578729548114721"</f>
        <v>1578729548114721</v>
      </c>
      <c r="C3110" t="s">
        <v>37</v>
      </c>
      <c r="D3110">
        <v>5.3191579999999998</v>
      </c>
      <c r="E3110">
        <v>0.56864559999999997</v>
      </c>
      <c r="F3110" t="s">
        <v>38</v>
      </c>
      <c r="G3110">
        <v>-322.09840000000003</v>
      </c>
      <c r="H3110">
        <v>1.0425979999999999</v>
      </c>
      <c r="I3110">
        <v>214.28579999999999</v>
      </c>
      <c r="J3110">
        <v>-322.57679999999999</v>
      </c>
      <c r="K3110">
        <v>1.1041799999999999</v>
      </c>
      <c r="L3110">
        <v>214.375</v>
      </c>
      <c r="M3110">
        <v>0.99989939999999999</v>
      </c>
      <c r="N3110">
        <v>0</v>
      </c>
      <c r="O3110">
        <v>3.496084E-3</v>
      </c>
      <c r="P3110">
        <v>0.99712659999999997</v>
      </c>
      <c r="Q3110">
        <v>3.8100479999999999E-2</v>
      </c>
      <c r="R3110">
        <v>6.5472069999999993E-2</v>
      </c>
      <c r="S3110">
        <v>3.0404360000000001</v>
      </c>
      <c r="T3110">
        <v>-0.23834739999999999</v>
      </c>
      <c r="U3110">
        <v>-0.34027099999999999</v>
      </c>
      <c r="V3110">
        <v>-6.195788E-2</v>
      </c>
      <c r="W3110">
        <v>5.183596E-2</v>
      </c>
      <c r="X3110">
        <v>0.99673179999999995</v>
      </c>
      <c r="Y3110">
        <v>0.114337799999999</v>
      </c>
      <c r="Z3110">
        <v>-4.73372799999999E-3</v>
      </c>
      <c r="AA3110">
        <v>0.993430699999999</v>
      </c>
      <c r="AB3110">
        <v>30</v>
      </c>
      <c r="AC3110">
        <v>0.47839999999996502</v>
      </c>
      <c r="AD3110">
        <v>-6.1581999999999998E-2</v>
      </c>
      <c r="AE3110">
        <v>-8.9200000000005206E-2</v>
      </c>
      <c r="AF3110">
        <v>8.9439903176235597E-2</v>
      </c>
      <c r="AG3110">
        <v>-6.1581999999999998E-2</v>
      </c>
      <c r="AH3110">
        <v>0.470550092566491</v>
      </c>
      <c r="AI3110">
        <v>97.3263504236957</v>
      </c>
      <c r="AJ3110">
        <v>79.237874422870703</v>
      </c>
      <c r="AK3110">
        <v>0.48291741386960502</v>
      </c>
    </row>
    <row r="3111" spans="1:37" x14ac:dyDescent="0.2">
      <c r="A3111" t="str">
        <f>"20200111155908144"</f>
        <v>20200111155908144</v>
      </c>
      <c r="B3111" t="str">
        <f>"1578729548135217"</f>
        <v>1578729548135217</v>
      </c>
      <c r="C3111" t="s">
        <v>37</v>
      </c>
      <c r="D3111">
        <v>5.3681429999999999</v>
      </c>
      <c r="E3111">
        <v>0.56862239999999997</v>
      </c>
      <c r="F3111" t="s">
        <v>38</v>
      </c>
      <c r="G3111">
        <v>-321.82499999999999</v>
      </c>
      <c r="H3111">
        <v>1.046019</v>
      </c>
      <c r="I3111">
        <v>214.28960000000001</v>
      </c>
      <c r="J3111">
        <v>-322.28820000000002</v>
      </c>
      <c r="K3111">
        <v>1.1042160000000001</v>
      </c>
      <c r="L3111">
        <v>214.3758</v>
      </c>
      <c r="M3111">
        <v>0.99990219999999896</v>
      </c>
      <c r="N3111">
        <v>0</v>
      </c>
      <c r="O3111">
        <v>3.3715450000000001E-3</v>
      </c>
      <c r="P3111">
        <v>0.99710679999999996</v>
      </c>
      <c r="Q3111">
        <v>3.8394070000000002E-2</v>
      </c>
      <c r="R3111">
        <v>6.5607120000000005E-2</v>
      </c>
      <c r="S3111">
        <v>3.0402830000000001</v>
      </c>
      <c r="T3111">
        <v>-0.2352514</v>
      </c>
      <c r="U3111">
        <v>-0.34521479999999999</v>
      </c>
      <c r="V3111">
        <v>-6.2225099999999998E-2</v>
      </c>
      <c r="W3111">
        <v>5.1950730000000001E-2</v>
      </c>
      <c r="X3111">
        <v>0.99670919999999896</v>
      </c>
      <c r="Y3111">
        <v>0.115819899999999</v>
      </c>
      <c r="Z3111">
        <v>-4.7197089999999999E-3</v>
      </c>
      <c r="AA3111">
        <v>0.993259</v>
      </c>
      <c r="AB3111">
        <v>30</v>
      </c>
      <c r="AC3111">
        <v>0.46320000000002798</v>
      </c>
      <c r="AD3111">
        <v>-5.8196999999999999E-2</v>
      </c>
      <c r="AE3111">
        <v>-8.6199999999990895E-2</v>
      </c>
      <c r="AF3111">
        <v>8.6442473206548506E-2</v>
      </c>
      <c r="AG3111">
        <v>-5.8196999999999999E-2</v>
      </c>
      <c r="AH3111">
        <v>0.45595013674801299</v>
      </c>
      <c r="AI3111">
        <v>97.1478690643834</v>
      </c>
      <c r="AJ3111">
        <v>79.264842433478506</v>
      </c>
      <c r="AK3111">
        <v>0.46770687314128301</v>
      </c>
    </row>
    <row r="3112" spans="1:37" x14ac:dyDescent="0.2">
      <c r="A3112" t="str">
        <f>"20200111155908167"</f>
        <v>20200111155908167</v>
      </c>
      <c r="B3112" t="str">
        <f>"1578729548154737"</f>
        <v>1578729548154737</v>
      </c>
      <c r="C3112" t="s">
        <v>37</v>
      </c>
      <c r="D3112">
        <v>5.3624450000000001</v>
      </c>
      <c r="E3112">
        <v>0.56839669999999998</v>
      </c>
      <c r="F3112" t="s">
        <v>38</v>
      </c>
      <c r="G3112">
        <v>-321.55309999999997</v>
      </c>
      <c r="H3112">
        <v>1.047633</v>
      </c>
      <c r="I3112">
        <v>214.29220000000001</v>
      </c>
      <c r="J3112">
        <v>-321.99259999999998</v>
      </c>
      <c r="K3112">
        <v>1.10425</v>
      </c>
      <c r="L3112">
        <v>214.3767</v>
      </c>
      <c r="M3112">
        <v>0.99990489999999999</v>
      </c>
      <c r="N3112">
        <v>0</v>
      </c>
      <c r="O3112">
        <v>3.302742E-3</v>
      </c>
      <c r="P3112">
        <v>0.99703240000000004</v>
      </c>
      <c r="Q3112">
        <v>3.8993489999999999E-2</v>
      </c>
      <c r="R3112">
        <v>6.6378359999999997E-2</v>
      </c>
      <c r="S3112">
        <v>3.0404049999999998</v>
      </c>
      <c r="T3112">
        <v>-0.23420479999999999</v>
      </c>
      <c r="U3112">
        <v>-0.34474179999999999</v>
      </c>
      <c r="V3112">
        <v>-6.3072059999999999E-2</v>
      </c>
      <c r="W3112">
        <v>5.2365490000000001E-2</v>
      </c>
      <c r="X3112">
        <v>0.99663419999999903</v>
      </c>
      <c r="Y3112">
        <v>0.115598399999999</v>
      </c>
      <c r="Z3112">
        <v>-4.6848619999999997E-3</v>
      </c>
      <c r="AA3112">
        <v>0.99328499999999997</v>
      </c>
      <c r="AB3112">
        <v>30</v>
      </c>
      <c r="AC3112">
        <v>0.43950000000000899</v>
      </c>
      <c r="AD3112">
        <v>-5.6616999999999897E-2</v>
      </c>
      <c r="AE3112">
        <v>-8.4499999999991304E-2</v>
      </c>
      <c r="AF3112">
        <v>8.4597380406958606E-2</v>
      </c>
      <c r="AG3112">
        <v>-5.6616999999999897E-2</v>
      </c>
      <c r="AH3112">
        <v>0.43230023161248299</v>
      </c>
      <c r="AI3112">
        <v>97.324012868662095</v>
      </c>
      <c r="AJ3112">
        <v>78.927640103833795</v>
      </c>
      <c r="AK3112">
        <v>0.44412350952513902</v>
      </c>
    </row>
    <row r="3113" spans="1:37" x14ac:dyDescent="0.2">
      <c r="A3113" t="str">
        <f>"20200111155908188"</f>
        <v>20200111155908188</v>
      </c>
      <c r="B3113" t="str">
        <f>"1578729548184993"</f>
        <v>1578729548184993</v>
      </c>
      <c r="C3113" t="s">
        <v>37</v>
      </c>
      <c r="D3113">
        <v>5.4039650000000004</v>
      </c>
      <c r="E3113">
        <v>0.56849459999999996</v>
      </c>
      <c r="F3113" t="s">
        <v>38</v>
      </c>
      <c r="G3113">
        <v>-321.0224</v>
      </c>
      <c r="H3113">
        <v>1.029798</v>
      </c>
      <c r="I3113">
        <v>214.2679</v>
      </c>
      <c r="J3113">
        <v>-321.68830000000003</v>
      </c>
      <c r="K3113">
        <v>1.104284</v>
      </c>
      <c r="L3113">
        <v>214.3777</v>
      </c>
      <c r="M3113">
        <v>0.9999072</v>
      </c>
      <c r="N3113">
        <v>0</v>
      </c>
      <c r="O3113">
        <v>3.3063239999999998E-3</v>
      </c>
      <c r="P3113">
        <v>0.99694249999999995</v>
      </c>
      <c r="Q3113">
        <v>3.9472479999999997E-2</v>
      </c>
      <c r="R3113">
        <v>6.7437189999999994E-2</v>
      </c>
      <c r="S3113">
        <v>3.0407099999999998</v>
      </c>
      <c r="T3113">
        <v>-0.23342350000000001</v>
      </c>
      <c r="U3113">
        <v>-0.34036250000000001</v>
      </c>
      <c r="V3113">
        <v>-6.4134579999999997E-2</v>
      </c>
      <c r="W3113">
        <v>5.2662149999999998E-2</v>
      </c>
      <c r="X3113">
        <v>0.99655079999999996</v>
      </c>
      <c r="Y3113">
        <v>0.11418449999999999</v>
      </c>
      <c r="Z3113">
        <v>-4.6154379999999899E-3</v>
      </c>
      <c r="AA3113">
        <v>0.99344889999999997</v>
      </c>
      <c r="AB3113">
        <v>30</v>
      </c>
      <c r="AC3113">
        <v>0.66590000000002103</v>
      </c>
      <c r="AD3113">
        <v>-7.4485999999999997E-2</v>
      </c>
      <c r="AE3113">
        <v>-0.109800000000007</v>
      </c>
      <c r="AF3113">
        <v>0.110653409755612</v>
      </c>
      <c r="AG3113">
        <v>-7.4485999999999997E-2</v>
      </c>
      <c r="AH3113">
        <v>0.65752402753434303</v>
      </c>
      <c r="AI3113">
        <v>96.374181680733102</v>
      </c>
      <c r="AJ3113">
        <v>80.447316231866097</v>
      </c>
      <c r="AK3113">
        <v>0.67091742269189003</v>
      </c>
    </row>
    <row r="3114" spans="1:37" x14ac:dyDescent="0.2">
      <c r="A3114" t="str">
        <f>"20200111155908212"</f>
        <v>20200111155908212</v>
      </c>
      <c r="B3114" t="str">
        <f>"1578729548204513"</f>
        <v>1578729548204513</v>
      </c>
      <c r="C3114" t="s">
        <v>37</v>
      </c>
      <c r="D3114">
        <v>5.464486</v>
      </c>
      <c r="E3114">
        <v>0.56836219999999904</v>
      </c>
      <c r="F3114" t="s">
        <v>38</v>
      </c>
      <c r="G3114">
        <v>-320.75049999999999</v>
      </c>
      <c r="H3114">
        <v>1.032518</v>
      </c>
      <c r="I3114">
        <v>214.27350000000001</v>
      </c>
      <c r="J3114">
        <v>-321.37200000000001</v>
      </c>
      <c r="K3114">
        <v>1.1043129999999901</v>
      </c>
      <c r="L3114">
        <v>214.37880000000001</v>
      </c>
      <c r="M3114">
        <v>0.99990900000000005</v>
      </c>
      <c r="N3114">
        <v>0</v>
      </c>
      <c r="O3114">
        <v>3.3830140000000002E-3</v>
      </c>
      <c r="P3114">
        <v>0.99688349999999903</v>
      </c>
      <c r="Q3114">
        <v>3.921869E-2</v>
      </c>
      <c r="R3114">
        <v>6.844915E-2</v>
      </c>
      <c r="S3114">
        <v>3.0411990000000002</v>
      </c>
      <c r="T3114">
        <v>-0.2328064</v>
      </c>
      <c r="U3114">
        <v>-0.337387099999999</v>
      </c>
      <c r="V3114">
        <v>-6.5077389999999999E-2</v>
      </c>
      <c r="W3114">
        <v>5.223262E-2</v>
      </c>
      <c r="X3114">
        <v>0.99651219999999996</v>
      </c>
      <c r="Y3114">
        <v>0.1132872</v>
      </c>
      <c r="Z3114">
        <v>-4.5744419999999997E-3</v>
      </c>
      <c r="AA3114">
        <v>0.99355170000000004</v>
      </c>
      <c r="AB3114">
        <v>30</v>
      </c>
      <c r="AC3114">
        <v>0.62150000000002503</v>
      </c>
      <c r="AD3114">
        <v>-7.1794999999999803E-2</v>
      </c>
      <c r="AE3114">
        <v>-0.10529999999999901</v>
      </c>
      <c r="AF3114">
        <v>0.106026716351994</v>
      </c>
      <c r="AG3114">
        <v>-7.1794999999999803E-2</v>
      </c>
      <c r="AH3114">
        <v>0.61318579092554704</v>
      </c>
      <c r="AI3114">
        <v>96.581299325537699</v>
      </c>
      <c r="AJ3114">
        <v>80.189916381528207</v>
      </c>
      <c r="AK3114">
        <v>0.62641280382697795</v>
      </c>
    </row>
    <row r="3115" spans="1:37" x14ac:dyDescent="0.2">
      <c r="A3115" t="str">
        <f>"20200111155908234"</f>
        <v>20200111155908234</v>
      </c>
      <c r="B3115" t="str">
        <f>"1578729548225009"</f>
        <v>1578729548225009</v>
      </c>
      <c r="C3115" t="s">
        <v>37</v>
      </c>
      <c r="D3115">
        <v>5.4568279999999998</v>
      </c>
      <c r="E3115">
        <v>0.56826239999999995</v>
      </c>
      <c r="F3115" t="s">
        <v>38</v>
      </c>
      <c r="G3115">
        <v>-320.47879999999998</v>
      </c>
      <c r="H3115">
        <v>1.0349649999999999</v>
      </c>
      <c r="I3115">
        <v>214.28099999999901</v>
      </c>
      <c r="J3115">
        <v>-321.07209999999998</v>
      </c>
      <c r="K3115">
        <v>1.1043540000000001</v>
      </c>
      <c r="L3115">
        <v>214.37989999999999</v>
      </c>
      <c r="M3115">
        <v>0.99991039999999998</v>
      </c>
      <c r="N3115">
        <v>0</v>
      </c>
      <c r="O3115">
        <v>3.537817E-3</v>
      </c>
      <c r="P3115">
        <v>0.99689450000000002</v>
      </c>
      <c r="Q3115">
        <v>3.8359530000000003E-2</v>
      </c>
      <c r="R3115">
        <v>6.8775909999999996E-2</v>
      </c>
      <c r="S3115">
        <v>3.041534</v>
      </c>
      <c r="T3115">
        <v>-0.23621489999999901</v>
      </c>
      <c r="U3115">
        <v>-0.33280939999999998</v>
      </c>
      <c r="V3115">
        <v>-6.5256159999999994E-2</v>
      </c>
      <c r="W3115">
        <v>5.1222139999999999E-2</v>
      </c>
      <c r="X3115">
        <v>0.99655300000000002</v>
      </c>
      <c r="Y3115">
        <v>0.11194510000000001</v>
      </c>
      <c r="Z3115">
        <v>-4.6011749999999999E-3</v>
      </c>
      <c r="AA3115">
        <v>0.99370369999999997</v>
      </c>
      <c r="AB3115">
        <v>30</v>
      </c>
      <c r="AC3115">
        <v>0.59329999999999905</v>
      </c>
      <c r="AD3115">
        <v>-6.9389000000000103E-2</v>
      </c>
      <c r="AE3115">
        <v>-9.8900000000014601E-2</v>
      </c>
      <c r="AF3115">
        <v>9.9672056353473301E-2</v>
      </c>
      <c r="AG3115">
        <v>-6.9389000000000103E-2</v>
      </c>
      <c r="AH3115">
        <v>0.58515877674240202</v>
      </c>
      <c r="AI3115">
        <v>96.667490463924906</v>
      </c>
      <c r="AJ3115">
        <v>80.333392476670994</v>
      </c>
      <c r="AK3115">
        <v>0.597628769502769</v>
      </c>
    </row>
    <row r="3116" spans="1:37" x14ac:dyDescent="0.2">
      <c r="A3116" t="str">
        <f>"20200111155908256"</f>
        <v>20200111155908256</v>
      </c>
      <c r="B3116" t="str">
        <f>"1578729548244529"</f>
        <v>1578729548244529</v>
      </c>
      <c r="C3116" t="s">
        <v>37</v>
      </c>
      <c r="D3116">
        <v>5.4555790000000002</v>
      </c>
      <c r="E3116">
        <v>0.56831880000000001</v>
      </c>
      <c r="F3116" t="s">
        <v>38</v>
      </c>
      <c r="G3116">
        <v>-320.2079</v>
      </c>
      <c r="H3116">
        <v>1.035927</v>
      </c>
      <c r="I3116">
        <v>214.2859</v>
      </c>
      <c r="J3116">
        <v>-320.7835</v>
      </c>
      <c r="K3116">
        <v>1.104411</v>
      </c>
      <c r="L3116">
        <v>214.3811</v>
      </c>
      <c r="M3116">
        <v>0.999911199999999</v>
      </c>
      <c r="N3116">
        <v>0</v>
      </c>
      <c r="O3116">
        <v>3.7794370000000001E-3</v>
      </c>
      <c r="P3116">
        <v>0.99692169999999902</v>
      </c>
      <c r="Q3116">
        <v>3.7595660000000003E-2</v>
      </c>
      <c r="R3116">
        <v>6.880443E-2</v>
      </c>
      <c r="S3116">
        <v>3.041382</v>
      </c>
      <c r="T3116">
        <v>-0.24080549999999901</v>
      </c>
      <c r="U3116">
        <v>-0.33056639999999998</v>
      </c>
      <c r="V3116">
        <v>-6.505242E-2</v>
      </c>
      <c r="W3116">
        <v>5.0323039999999999E-2</v>
      </c>
      <c r="X3116">
        <v>0.996612099999999</v>
      </c>
      <c r="Y3116">
        <v>0.1114536</v>
      </c>
      <c r="Z3116">
        <v>-4.6904159999999898E-3</v>
      </c>
      <c r="AA3116">
        <v>0.99375859999999905</v>
      </c>
      <c r="AB3116">
        <v>30</v>
      </c>
      <c r="AC3116">
        <v>0.57560000000000799</v>
      </c>
      <c r="AD3116">
        <v>-6.8483999999999906E-2</v>
      </c>
      <c r="AE3116">
        <v>-9.5200000000005502E-2</v>
      </c>
      <c r="AF3116">
        <v>9.6051453018108496E-2</v>
      </c>
      <c r="AG3116">
        <v>-6.8483999999999906E-2</v>
      </c>
      <c r="AH3116">
        <v>0.56741763515860999</v>
      </c>
      <c r="AI3116">
        <v>96.786352923840795</v>
      </c>
      <c r="AJ3116">
        <v>80.3921522671845</v>
      </c>
      <c r="AK3116">
        <v>0.57955044005839496</v>
      </c>
    </row>
    <row r="3117" spans="1:37" x14ac:dyDescent="0.2">
      <c r="A3117" t="str">
        <f>"20200111155908278"</f>
        <v>20200111155908278</v>
      </c>
      <c r="B3117" t="str">
        <f>"1578729548274785"</f>
        <v>1578729548274785</v>
      </c>
      <c r="C3117" t="s">
        <v>37</v>
      </c>
      <c r="D3117">
        <v>5.4862799999999998</v>
      </c>
      <c r="E3117">
        <v>0.56833459999999902</v>
      </c>
      <c r="F3117" t="s">
        <v>38</v>
      </c>
      <c r="G3117">
        <v>-319.93689999999998</v>
      </c>
      <c r="H3117">
        <v>1.036473</v>
      </c>
      <c r="I3117">
        <v>214.28870000000001</v>
      </c>
      <c r="J3117">
        <v>-320.4785</v>
      </c>
      <c r="K3117">
        <v>1.1044959999999999</v>
      </c>
      <c r="L3117">
        <v>214.38249999999999</v>
      </c>
      <c r="M3117">
        <v>0.999911199999999</v>
      </c>
      <c r="N3117">
        <v>0</v>
      </c>
      <c r="O3117">
        <v>4.1481119999999998E-3</v>
      </c>
      <c r="P3117">
        <v>0.99694380000000005</v>
      </c>
      <c r="Q3117">
        <v>3.7582579999999997E-2</v>
      </c>
      <c r="R3117">
        <v>6.8489460000000002E-2</v>
      </c>
      <c r="S3117">
        <v>3.04129</v>
      </c>
      <c r="T3117">
        <v>-0.24425759999999999</v>
      </c>
      <c r="U3117">
        <v>-0.33074949999999997</v>
      </c>
      <c r="V3117">
        <v>-6.438091E-2</v>
      </c>
      <c r="W3117">
        <v>5.0177779999999998E-2</v>
      </c>
      <c r="X3117">
        <v>0.99666309999999902</v>
      </c>
      <c r="Y3117">
        <v>0.1118695</v>
      </c>
      <c r="Z3117">
        <v>-4.8036789999999999E-3</v>
      </c>
      <c r="AA3117">
        <v>0.99371129999999996</v>
      </c>
      <c r="AB3117">
        <v>30</v>
      </c>
      <c r="AC3117">
        <v>0.54160000000001596</v>
      </c>
      <c r="AD3117">
        <v>-6.8022999999999903E-2</v>
      </c>
      <c r="AE3117">
        <v>-9.3799999999987393E-2</v>
      </c>
      <c r="AF3117">
        <v>9.4597226812850405E-2</v>
      </c>
      <c r="AG3117">
        <v>-6.8022999999999903E-2</v>
      </c>
      <c r="AH3117">
        <v>0.53304262728191398</v>
      </c>
      <c r="AI3117">
        <v>97.161648714124993</v>
      </c>
      <c r="AJ3117">
        <v>79.936689627291898</v>
      </c>
      <c r="AK3117">
        <v>0.54562826754970095</v>
      </c>
    </row>
    <row r="3118" spans="1:37" x14ac:dyDescent="0.2">
      <c r="A3118" t="str">
        <f>"20200111155908301"</f>
        <v>20200111155908301</v>
      </c>
      <c r="B3118" t="str">
        <f>"1578729548294813"</f>
        <v>1578729548294813</v>
      </c>
      <c r="C3118" t="s">
        <v>37</v>
      </c>
      <c r="D3118">
        <v>5.4939640000000001</v>
      </c>
      <c r="E3118">
        <v>0.56836830000000005</v>
      </c>
      <c r="F3118" t="s">
        <v>38</v>
      </c>
      <c r="G3118">
        <v>-319.66520000000003</v>
      </c>
      <c r="H3118">
        <v>1.038783</v>
      </c>
      <c r="I3118">
        <v>214.2936</v>
      </c>
      <c r="J3118">
        <v>-320.1628</v>
      </c>
      <c r="K3118">
        <v>1.1046049999999901</v>
      </c>
      <c r="L3118">
        <v>214.3843</v>
      </c>
      <c r="M3118">
        <v>0.99991039999999998</v>
      </c>
      <c r="N3118">
        <v>0</v>
      </c>
      <c r="O3118">
        <v>4.6646769999999999E-3</v>
      </c>
      <c r="P3118">
        <v>0.99700549999999999</v>
      </c>
      <c r="Q3118">
        <v>3.7145539999999998E-2</v>
      </c>
      <c r="R3118">
        <v>6.7826869999999997E-2</v>
      </c>
      <c r="S3118">
        <v>3.041229</v>
      </c>
      <c r="T3118">
        <v>-0.245865</v>
      </c>
      <c r="U3118">
        <v>-0.331787099999999</v>
      </c>
      <c r="V3118">
        <v>-6.3215900000000005E-2</v>
      </c>
      <c r="W3118">
        <v>4.9616760000000003E-2</v>
      </c>
      <c r="X3118">
        <v>0.99676569999999998</v>
      </c>
      <c r="Y3118">
        <v>0.1127107</v>
      </c>
      <c r="Z3118">
        <v>-4.9106230000000002E-3</v>
      </c>
      <c r="AA3118">
        <v>0.99361569999999899</v>
      </c>
      <c r="AB3118">
        <v>30</v>
      </c>
      <c r="AC3118">
        <v>0.49759999999997701</v>
      </c>
      <c r="AD3118">
        <v>-6.5821999999999797E-2</v>
      </c>
      <c r="AE3118">
        <v>-9.0699999999998199E-2</v>
      </c>
      <c r="AF3118">
        <v>9.1471267246670193E-2</v>
      </c>
      <c r="AG3118">
        <v>-6.5821999999999797E-2</v>
      </c>
      <c r="AH3118">
        <v>0.48889204750109799</v>
      </c>
      <c r="AI3118">
        <v>97.538639575009597</v>
      </c>
      <c r="AJ3118">
        <v>79.402535518616702</v>
      </c>
      <c r="AK3118">
        <v>0.50171203147376098</v>
      </c>
    </row>
    <row r="3119" spans="1:37" x14ac:dyDescent="0.2">
      <c r="A3119" t="str">
        <f>"20200111155908323"</f>
        <v>20200111155908323</v>
      </c>
      <c r="B3119" t="str">
        <f>"1578729548315308"</f>
        <v>1578729548315308</v>
      </c>
      <c r="C3119" t="s">
        <v>37</v>
      </c>
      <c r="D3119">
        <v>5.5180749999999996</v>
      </c>
      <c r="E3119">
        <v>0.56841769999999903</v>
      </c>
      <c r="F3119" t="s">
        <v>38</v>
      </c>
      <c r="G3119">
        <v>-319.3931</v>
      </c>
      <c r="H3119">
        <v>1.041927</v>
      </c>
      <c r="I3119">
        <v>214.29929999999999</v>
      </c>
      <c r="J3119">
        <v>-319.87040000000002</v>
      </c>
      <c r="K3119">
        <v>1.104716</v>
      </c>
      <c r="L3119">
        <v>214.38630000000001</v>
      </c>
      <c r="M3119">
        <v>0.99990829999999997</v>
      </c>
      <c r="N3119">
        <v>0</v>
      </c>
      <c r="O3119">
        <v>5.2864349999999999E-3</v>
      </c>
      <c r="P3119">
        <v>0.99704400000000004</v>
      </c>
      <c r="Q3119">
        <v>3.7466300000000001E-2</v>
      </c>
      <c r="R3119">
        <v>6.708066E-2</v>
      </c>
      <c r="S3119">
        <v>3.040985</v>
      </c>
      <c r="T3119">
        <v>-0.2479132</v>
      </c>
      <c r="U3119">
        <v>-0.33421329999999999</v>
      </c>
      <c r="V3119">
        <v>-6.1863910000000001E-2</v>
      </c>
      <c r="W3119">
        <v>4.9834410000000003E-2</v>
      </c>
      <c r="X3119">
        <v>0.996839699999999</v>
      </c>
      <c r="Y3119">
        <v>0.114107399999999</v>
      </c>
      <c r="Z3119">
        <v>-5.0587089999999998E-3</v>
      </c>
      <c r="AA3119">
        <v>0.99345550000000005</v>
      </c>
      <c r="AB3119">
        <v>30</v>
      </c>
      <c r="AC3119">
        <v>0.47730000000001299</v>
      </c>
      <c r="AD3119">
        <v>-6.27889999999999E-2</v>
      </c>
      <c r="AE3119">
        <v>-8.7000000000017494E-2</v>
      </c>
      <c r="AF3119">
        <v>8.8047485718971502E-2</v>
      </c>
      <c r="AG3119">
        <v>-6.27889999999999E-2</v>
      </c>
      <c r="AH3119">
        <v>0.46897843998079303</v>
      </c>
      <c r="AI3119">
        <v>97.496236263922498</v>
      </c>
      <c r="AJ3119">
        <v>79.366887450724505</v>
      </c>
      <c r="AK3119">
        <v>0.48128535758866697</v>
      </c>
    </row>
    <row r="3120" spans="1:37" x14ac:dyDescent="0.2">
      <c r="A3120" t="str">
        <f>"20200111155908350"</f>
        <v>20200111155908350</v>
      </c>
      <c r="B3120" t="str">
        <f>"1578729548344588"</f>
        <v>1578729548344588</v>
      </c>
      <c r="C3120" t="s">
        <v>37</v>
      </c>
      <c r="D3120">
        <v>5.4950769999999904</v>
      </c>
      <c r="E3120">
        <v>0.56847150000000002</v>
      </c>
      <c r="F3120" t="s">
        <v>38</v>
      </c>
      <c r="G3120">
        <v>-319.1216</v>
      </c>
      <c r="H3120">
        <v>1.0438240000000001</v>
      </c>
      <c r="I3120">
        <v>214.3031</v>
      </c>
      <c r="J3120">
        <v>-319.51679999999999</v>
      </c>
      <c r="K3120">
        <v>1.10486</v>
      </c>
      <c r="L3120">
        <v>214.38919999999999</v>
      </c>
      <c r="M3120">
        <v>0.99990369999999995</v>
      </c>
      <c r="N3120">
        <v>0</v>
      </c>
      <c r="O3120">
        <v>6.2567439999999998E-3</v>
      </c>
      <c r="P3120">
        <v>0.99704590000000004</v>
      </c>
      <c r="Q3120">
        <v>3.7616030000000002E-2</v>
      </c>
      <c r="R3120">
        <v>6.6965209999999997E-2</v>
      </c>
      <c r="S3120">
        <v>3.0408629999999999</v>
      </c>
      <c r="T3120">
        <v>-0.24749930000000001</v>
      </c>
      <c r="U3120">
        <v>-0.3368988</v>
      </c>
      <c r="V3120">
        <v>-6.0798049999999999E-2</v>
      </c>
      <c r="W3120">
        <v>4.9880609999999999E-2</v>
      </c>
      <c r="X3120">
        <v>0.99690290000000004</v>
      </c>
      <c r="Y3120">
        <v>0.1159345</v>
      </c>
      <c r="Z3120">
        <v>-5.20288E-3</v>
      </c>
      <c r="AA3120">
        <v>0.99324319999999899</v>
      </c>
      <c r="AB3120">
        <v>30</v>
      </c>
      <c r="AC3120">
        <v>0.39519999999998801</v>
      </c>
      <c r="AD3120">
        <v>-6.1035999999999799E-2</v>
      </c>
      <c r="AE3120">
        <v>-8.6099999999987603E-2</v>
      </c>
      <c r="AF3120">
        <v>8.6599144548186999E-2</v>
      </c>
      <c r="AG3120">
        <v>-6.1035999999999799E-2</v>
      </c>
      <c r="AH3120">
        <v>0.385866610251697</v>
      </c>
      <c r="AI3120">
        <v>98.773794779576605</v>
      </c>
      <c r="AJ3120">
        <v>77.350832278467607</v>
      </c>
      <c r="AK3120">
        <v>0.400147280435108</v>
      </c>
    </row>
    <row r="3121" spans="1:37" x14ac:dyDescent="0.2">
      <c r="A3121" t="str">
        <f>"20200111155908368"</f>
        <v>20200111155908368</v>
      </c>
      <c r="B3121" t="str">
        <f>"1578729548365085"</f>
        <v>1578729548365085</v>
      </c>
      <c r="C3121" t="s">
        <v>37</v>
      </c>
      <c r="D3121">
        <v>5.485487</v>
      </c>
      <c r="E3121">
        <v>0.56850840000000002</v>
      </c>
      <c r="F3121" t="s">
        <v>38</v>
      </c>
      <c r="G3121">
        <v>-318.58730000000003</v>
      </c>
      <c r="H3121">
        <v>1.029056</v>
      </c>
      <c r="I3121">
        <v>214.28579999999999</v>
      </c>
      <c r="J3121">
        <v>-319.2647</v>
      </c>
      <c r="K3121">
        <v>1.104956</v>
      </c>
      <c r="L3121">
        <v>214.39160000000001</v>
      </c>
      <c r="M3121">
        <v>0.99989889999999904</v>
      </c>
      <c r="N3121">
        <v>0</v>
      </c>
      <c r="O3121">
        <v>7.0814519999999898E-3</v>
      </c>
      <c r="P3121">
        <v>0.99706649999999997</v>
      </c>
      <c r="Q3121">
        <v>3.7531790000000002E-2</v>
      </c>
      <c r="R3121">
        <v>6.6708450000000002E-2</v>
      </c>
      <c r="S3121">
        <v>3.040924</v>
      </c>
      <c r="T3121">
        <v>-0.2481208</v>
      </c>
      <c r="U3121">
        <v>-0.33758539999999998</v>
      </c>
      <c r="V3121">
        <v>-5.9730320000000003E-2</v>
      </c>
      <c r="W3121">
        <v>4.9734880000000002E-2</v>
      </c>
      <c r="X3121">
        <v>0.99697479999999905</v>
      </c>
      <c r="Y3121">
        <v>0.116965</v>
      </c>
      <c r="Z3121">
        <v>-5.324563E-3</v>
      </c>
      <c r="AA3121">
        <v>0.993121699999999</v>
      </c>
      <c r="AB3121">
        <v>30</v>
      </c>
      <c r="AC3121">
        <v>0.67739999999997702</v>
      </c>
      <c r="AD3121">
        <v>-7.5899999999999995E-2</v>
      </c>
      <c r="AE3121">
        <v>-0.10580000000001601</v>
      </c>
      <c r="AF3121">
        <v>0.109255718563827</v>
      </c>
      <c r="AG3121">
        <v>-7.5899999999999995E-2</v>
      </c>
      <c r="AH3121">
        <v>0.66844174145181701</v>
      </c>
      <c r="AI3121">
        <v>96.393927879276106</v>
      </c>
      <c r="AJ3121">
        <v>80.717181600478597</v>
      </c>
      <c r="AK3121">
        <v>0.681551160041589</v>
      </c>
    </row>
    <row r="3122" spans="1:37" x14ac:dyDescent="0.2">
      <c r="A3122" t="str">
        <f>"20200111155908391"</f>
        <v>20200111155908391</v>
      </c>
      <c r="B3122" t="str">
        <f>"1578729548385112"</f>
        <v>1578729548385112</v>
      </c>
      <c r="C3122" t="s">
        <v>37</v>
      </c>
      <c r="D3122">
        <v>5.5355749999999997</v>
      </c>
      <c r="E3122">
        <v>0.56848639999999995</v>
      </c>
      <c r="F3122" t="s">
        <v>38</v>
      </c>
      <c r="G3122">
        <v>-318.3175</v>
      </c>
      <c r="H3122">
        <v>1.0273540000000001</v>
      </c>
      <c r="I3122">
        <v>214.2859</v>
      </c>
      <c r="J3122">
        <v>-318.94279999999998</v>
      </c>
      <c r="K3122">
        <v>1.105067</v>
      </c>
      <c r="L3122">
        <v>214.39510000000001</v>
      </c>
      <c r="M3122">
        <v>0.99989030000000001</v>
      </c>
      <c r="N3122">
        <v>0</v>
      </c>
      <c r="O3122">
        <v>8.2805540000000007E-3</v>
      </c>
      <c r="P3122">
        <v>0.99705949999999999</v>
      </c>
      <c r="Q3122">
        <v>3.7447189999999998E-2</v>
      </c>
      <c r="R3122">
        <v>6.6860050000000004E-2</v>
      </c>
      <c r="S3122">
        <v>3.0408629999999999</v>
      </c>
      <c r="T3122">
        <v>-0.2492866</v>
      </c>
      <c r="U3122">
        <v>-0.33847050000000001</v>
      </c>
      <c r="V3122">
        <v>-5.8699590000000003E-2</v>
      </c>
      <c r="W3122">
        <v>4.9586770000000002E-2</v>
      </c>
      <c r="X3122">
        <v>0.99704340000000002</v>
      </c>
      <c r="Y3122">
        <v>0.1184308</v>
      </c>
      <c r="Z3122">
        <v>-5.5071800000000004E-3</v>
      </c>
      <c r="AA3122">
        <v>0.99294699999999902</v>
      </c>
      <c r="AB3122">
        <v>30</v>
      </c>
      <c r="AC3122">
        <v>0.62529999999998098</v>
      </c>
      <c r="AD3122">
        <v>-7.7712999999999893E-2</v>
      </c>
      <c r="AE3122">
        <v>-0.10920000000001499</v>
      </c>
      <c r="AF3122">
        <v>0.11268546990665</v>
      </c>
      <c r="AG3122">
        <v>-7.7712999999999893E-2</v>
      </c>
      <c r="AH3122">
        <v>0.615153908168521</v>
      </c>
      <c r="AI3122">
        <v>97.083452640837095</v>
      </c>
      <c r="AJ3122">
        <v>79.619499970435598</v>
      </c>
      <c r="AK3122">
        <v>0.630199695518879</v>
      </c>
    </row>
    <row r="3123" spans="1:37" x14ac:dyDescent="0.2">
      <c r="A3123" t="str">
        <f>"20200111155908413"</f>
        <v>20200111155908413</v>
      </c>
      <c r="B3123" t="str">
        <f>"1578729548404632"</f>
        <v>1578729548404632</v>
      </c>
      <c r="C3123" t="s">
        <v>37</v>
      </c>
      <c r="D3123">
        <v>8.1100429999999992</v>
      </c>
      <c r="E3123">
        <v>0.57384009999999996</v>
      </c>
      <c r="F3123" t="s">
        <v>38</v>
      </c>
      <c r="G3123">
        <v>-318.04520000000002</v>
      </c>
      <c r="H3123">
        <v>1.0311950000000001</v>
      </c>
      <c r="I3123">
        <v>214.2953</v>
      </c>
      <c r="J3123">
        <v>-318.6454</v>
      </c>
      <c r="K3123">
        <v>1.105172</v>
      </c>
      <c r="L3123">
        <v>214.39879999999999</v>
      </c>
      <c r="M3123">
        <v>0.99987950000000003</v>
      </c>
      <c r="N3123">
        <v>0</v>
      </c>
      <c r="O3123">
        <v>9.5177809999999995E-3</v>
      </c>
      <c r="P3123">
        <v>0.9969983</v>
      </c>
      <c r="Q3123">
        <v>3.7497509999999998E-2</v>
      </c>
      <c r="R3123">
        <v>6.7738649999999997E-2</v>
      </c>
      <c r="S3123">
        <v>3.04089399999999</v>
      </c>
      <c r="T3123">
        <v>-0.25030829999999998</v>
      </c>
      <c r="U3123">
        <v>-0.337677</v>
      </c>
      <c r="V3123">
        <v>-5.8356760000000001E-2</v>
      </c>
      <c r="W3123">
        <v>4.9599619999999997E-2</v>
      </c>
      <c r="X3123">
        <v>0.99706289999999997</v>
      </c>
      <c r="Y3123">
        <v>0.1193915</v>
      </c>
      <c r="Z3123">
        <v>-5.67044199999999E-3</v>
      </c>
      <c r="AA3123">
        <v>0.99283109999999997</v>
      </c>
      <c r="AB3123">
        <v>30</v>
      </c>
      <c r="AC3123">
        <v>0.60019999999997198</v>
      </c>
      <c r="AD3123">
        <v>-7.3976999999999904E-2</v>
      </c>
      <c r="AE3123">
        <v>-0.103499999999996</v>
      </c>
      <c r="AF3123">
        <v>0.10762060442009599</v>
      </c>
      <c r="AG3123">
        <v>-7.3976999999999904E-2</v>
      </c>
      <c r="AH3123">
        <v>0.59047644601638305</v>
      </c>
      <c r="AI3123">
        <v>97.0264468247248</v>
      </c>
      <c r="AJ3123">
        <v>79.670616678148093</v>
      </c>
      <c r="AK3123">
        <v>0.60474558644514798</v>
      </c>
    </row>
    <row r="3124" spans="1:37" x14ac:dyDescent="0.2">
      <c r="A3124" t="str">
        <f>"20200111155908436"</f>
        <v>20200111155908436</v>
      </c>
      <c r="B3124" t="str">
        <f>"1578729548425128"</f>
        <v>1578729548425128</v>
      </c>
      <c r="C3124" t="s">
        <v>37</v>
      </c>
      <c r="D3124">
        <v>5.498786</v>
      </c>
      <c r="E3124">
        <v>0.57299899999999904</v>
      </c>
      <c r="F3124" t="s">
        <v>52</v>
      </c>
      <c r="G3124">
        <v>-290.33210000000003</v>
      </c>
      <c r="H3124" s="1">
        <v>9.5330949999999999E-7</v>
      </c>
      <c r="I3124">
        <v>210.858</v>
      </c>
      <c r="J3124">
        <v>-318.34280000000001</v>
      </c>
      <c r="K3124">
        <v>1.1052819999999901</v>
      </c>
      <c r="L3124">
        <v>214.40309999999999</v>
      </c>
      <c r="M3124">
        <v>0.99986540000000002</v>
      </c>
      <c r="N3124">
        <v>0</v>
      </c>
      <c r="O3124">
        <v>1.090031E-2</v>
      </c>
      <c r="P3124">
        <v>0.99690789999999996</v>
      </c>
      <c r="Q3124">
        <v>3.7904050000000002E-2</v>
      </c>
      <c r="R3124">
        <v>6.8831649999999994E-2</v>
      </c>
      <c r="S3124">
        <v>3.0392759999999899</v>
      </c>
      <c r="T3124">
        <v>-0.11863369999999999</v>
      </c>
      <c r="U3124">
        <v>-0.38008120000000001</v>
      </c>
      <c r="V3124">
        <v>-5.8084129999999998E-2</v>
      </c>
      <c r="W3124">
        <v>4.9995860000000003E-2</v>
      </c>
      <c r="X3124">
        <v>0.99705900000000003</v>
      </c>
      <c r="Y3124">
        <v>0.1347901</v>
      </c>
      <c r="Z3124">
        <v>-3.0432419999999998E-3</v>
      </c>
      <c r="AA3124">
        <v>0.99086949999999996</v>
      </c>
      <c r="AB3124">
        <v>30</v>
      </c>
      <c r="AC3124">
        <v>28.0106999999999</v>
      </c>
      <c r="AD3124">
        <v>-1.1052810466904901</v>
      </c>
      <c r="AE3124">
        <v>-3.5450999999999899</v>
      </c>
      <c r="AF3124">
        <v>3.8443462232460299</v>
      </c>
      <c r="AG3124">
        <v>-1.1052810466904901</v>
      </c>
      <c r="AH3124">
        <v>27.9275914328285</v>
      </c>
      <c r="AI3124">
        <v>92.245242962756507</v>
      </c>
      <c r="AJ3124">
        <v>82.162260719596802</v>
      </c>
      <c r="AK3124">
        <v>28.212603696138299</v>
      </c>
    </row>
    <row r="3125" spans="1:37" x14ac:dyDescent="0.2">
      <c r="A3125" t="str">
        <f>"20200111155908458"</f>
        <v>20200111155908458</v>
      </c>
      <c r="B3125" t="str">
        <f>"1578729548444649"</f>
        <v>1578729548444649</v>
      </c>
      <c r="C3125" t="s">
        <v>37</v>
      </c>
      <c r="D3125">
        <v>5.5276489999999896</v>
      </c>
      <c r="E3125">
        <v>0.57293570000000005</v>
      </c>
      <c r="F3125" t="s">
        <v>52</v>
      </c>
      <c r="G3125">
        <v>-293.70049999999998</v>
      </c>
      <c r="H3125" s="1">
        <v>1.5508090000000001E-6</v>
      </c>
      <c r="I3125">
        <v>211.4075</v>
      </c>
      <c r="J3125">
        <v>-318.05950000000001</v>
      </c>
      <c r="K3125">
        <v>1.1053850000000001</v>
      </c>
      <c r="L3125">
        <v>214.4076</v>
      </c>
      <c r="M3125">
        <v>0.99984879999999998</v>
      </c>
      <c r="N3125">
        <v>0</v>
      </c>
      <c r="O3125">
        <v>1.230036E-2</v>
      </c>
      <c r="P3125">
        <v>0.99675419999999904</v>
      </c>
      <c r="Q3125">
        <v>3.8691870000000003E-2</v>
      </c>
      <c r="R3125">
        <v>7.0597859999999998E-2</v>
      </c>
      <c r="S3125">
        <v>3.0400390000000002</v>
      </c>
      <c r="T3125">
        <v>-0.13635439999999999</v>
      </c>
      <c r="U3125">
        <v>-0.36955260000000001</v>
      </c>
      <c r="V3125">
        <v>-5.8468289999999999E-2</v>
      </c>
      <c r="W3125">
        <v>5.0797349999999998E-2</v>
      </c>
      <c r="X3125">
        <v>0.99699599999999899</v>
      </c>
      <c r="Y3125">
        <v>0.13273199999999999</v>
      </c>
      <c r="Z3125">
        <v>-3.513857E-3</v>
      </c>
      <c r="AA3125">
        <v>0.99114570000000002</v>
      </c>
      <c r="AB3125">
        <v>30</v>
      </c>
      <c r="AC3125">
        <v>24.359000000000002</v>
      </c>
      <c r="AD3125">
        <v>-1.105383449191</v>
      </c>
      <c r="AE3125">
        <v>-3.0001000000000002</v>
      </c>
      <c r="AF3125">
        <v>3.2928406758666</v>
      </c>
      <c r="AG3125">
        <v>-1.105383449191</v>
      </c>
      <c r="AH3125">
        <v>24.271018760901999</v>
      </c>
      <c r="AI3125">
        <v>92.583999773888195</v>
      </c>
      <c r="AJ3125">
        <v>82.273874076589394</v>
      </c>
      <c r="AK3125">
        <v>24.518299777481399</v>
      </c>
    </row>
    <row r="3126" spans="1:37" x14ac:dyDescent="0.2">
      <c r="A3126" t="str">
        <f>"20200111155908480"</f>
        <v>20200111155908480</v>
      </c>
      <c r="B3126" t="str">
        <f>"1578729548474905"</f>
        <v>1578729548474905</v>
      </c>
      <c r="C3126" t="s">
        <v>37</v>
      </c>
      <c r="D3126">
        <v>5.8088059999999997</v>
      </c>
      <c r="E3126">
        <v>0.5705363</v>
      </c>
      <c r="F3126" t="s">
        <v>52</v>
      </c>
      <c r="G3126">
        <v>-293.7414</v>
      </c>
      <c r="H3126" s="1">
        <v>1.558063E-6</v>
      </c>
      <c r="I3126">
        <v>211.49940000000001</v>
      </c>
      <c r="J3126">
        <v>-317.75439999999998</v>
      </c>
      <c r="K3126">
        <v>1.1055010000000001</v>
      </c>
      <c r="L3126">
        <v>214.41299999999899</v>
      </c>
      <c r="M3126">
        <v>0.99982709999999997</v>
      </c>
      <c r="N3126">
        <v>0</v>
      </c>
      <c r="O3126">
        <v>1.391125E-2</v>
      </c>
      <c r="P3126">
        <v>0.9965716</v>
      </c>
      <c r="Q3126">
        <v>3.8908169999999999E-2</v>
      </c>
      <c r="R3126">
        <v>7.3017529999999997E-2</v>
      </c>
      <c r="S3126">
        <v>3.040924</v>
      </c>
      <c r="T3126">
        <v>-0.1382253</v>
      </c>
      <c r="U3126">
        <v>-0.36366270000000001</v>
      </c>
      <c r="V3126">
        <v>-5.9295199999999999E-2</v>
      </c>
      <c r="W3126">
        <v>5.1047370000000002E-2</v>
      </c>
      <c r="X3126">
        <v>0.9969344</v>
      </c>
      <c r="Y3126">
        <v>0.13239679999999901</v>
      </c>
      <c r="Z3126">
        <v>-3.6267690000000002E-3</v>
      </c>
      <c r="AA3126">
        <v>0.99119009999999996</v>
      </c>
      <c r="AB3126">
        <v>30</v>
      </c>
      <c r="AC3126">
        <v>24.012999999999899</v>
      </c>
      <c r="AD3126">
        <v>-1.1054994419369999</v>
      </c>
      <c r="AE3126">
        <v>-2.91359999999997</v>
      </c>
      <c r="AF3126">
        <v>3.2406255863097799</v>
      </c>
      <c r="AG3126">
        <v>-1.1054994419369999</v>
      </c>
      <c r="AH3126">
        <v>23.920178897053098</v>
      </c>
      <c r="AI3126">
        <v>92.622189094206107</v>
      </c>
      <c r="AJ3126">
        <v>82.284732988010603</v>
      </c>
      <c r="AK3126">
        <v>24.163996806691401</v>
      </c>
    </row>
    <row r="3127" spans="1:37" x14ac:dyDescent="0.2">
      <c r="A3127" t="str">
        <f>"20200111155908502"</f>
        <v>20200111155908502</v>
      </c>
      <c r="B3127" t="str">
        <f>"1578729548494933"</f>
        <v>1578729548494933</v>
      </c>
      <c r="C3127" t="s">
        <v>37</v>
      </c>
      <c r="D3127">
        <v>5.48264</v>
      </c>
      <c r="E3127">
        <v>0.56907229999999998</v>
      </c>
      <c r="F3127" t="s">
        <v>52</v>
      </c>
      <c r="G3127">
        <v>-292.06959999999998</v>
      </c>
      <c r="H3127" s="1">
        <v>1.2615290000000001E-6</v>
      </c>
      <c r="I3127">
        <v>211.56139999999999</v>
      </c>
      <c r="J3127">
        <v>-317.44479999999999</v>
      </c>
      <c r="K3127">
        <v>1.105612</v>
      </c>
      <c r="L3127">
        <v>214.41909999999999</v>
      </c>
      <c r="M3127">
        <v>0.99980079999999905</v>
      </c>
      <c r="N3127">
        <v>0</v>
      </c>
      <c r="O3127">
        <v>1.5645039999999999E-2</v>
      </c>
      <c r="P3127">
        <v>0.99639739999999999</v>
      </c>
      <c r="Q3127">
        <v>3.8654000000000001E-2</v>
      </c>
      <c r="R3127">
        <v>7.5490180000000004E-2</v>
      </c>
      <c r="S3127">
        <v>3.0401609999999999</v>
      </c>
      <c r="T3127">
        <v>-0.13085189999999999</v>
      </c>
      <c r="U3127">
        <v>-0.3375244</v>
      </c>
      <c r="V3127">
        <v>-6.0051189999999997E-2</v>
      </c>
      <c r="W3127">
        <v>5.083878E-2</v>
      </c>
      <c r="X3127">
        <v>0.9968998</v>
      </c>
      <c r="Y3127">
        <v>0.12575169999999999</v>
      </c>
      <c r="Z3127">
        <v>-3.3679059999999999E-3</v>
      </c>
      <c r="AA3127">
        <v>0.99205599999999905</v>
      </c>
      <c r="AB3127">
        <v>30</v>
      </c>
      <c r="AC3127">
        <v>25.3752</v>
      </c>
      <c r="AD3127">
        <v>-1.1056107384710001</v>
      </c>
      <c r="AE3127">
        <v>-2.8576999999999901</v>
      </c>
      <c r="AF3127">
        <v>3.2482874107462099</v>
      </c>
      <c r="AG3127">
        <v>-1.1056107384710001</v>
      </c>
      <c r="AH3127">
        <v>25.279991303863898</v>
      </c>
      <c r="AI3127">
        <v>92.483818703027694</v>
      </c>
      <c r="AJ3127">
        <v>82.678046291545201</v>
      </c>
      <c r="AK3127">
        <v>25.511795439193801</v>
      </c>
    </row>
    <row r="3128" spans="1:37" x14ac:dyDescent="0.2">
      <c r="A3128" t="str">
        <f>"20200111155908525"</f>
        <v>20200111155908525</v>
      </c>
      <c r="B3128" t="str">
        <f>"1578729548514454"</f>
        <v>1578729548514454</v>
      </c>
      <c r="C3128" t="s">
        <v>37</v>
      </c>
      <c r="D3128">
        <v>5.5021399999999998</v>
      </c>
      <c r="E3128">
        <v>0.56785850000000004</v>
      </c>
      <c r="F3128" t="s">
        <v>52</v>
      </c>
      <c r="G3128">
        <v>-290.4006</v>
      </c>
      <c r="H3128" s="1">
        <v>9.6546420000000006E-7</v>
      </c>
      <c r="I3128">
        <v>211.58799999999999</v>
      </c>
      <c r="J3128">
        <v>-317.14429999999999</v>
      </c>
      <c r="K3128">
        <v>1.1056969999999999</v>
      </c>
      <c r="L3128">
        <v>214.42570000000001</v>
      </c>
      <c r="M3128">
        <v>0.99977059999999995</v>
      </c>
      <c r="N3128">
        <v>0</v>
      </c>
      <c r="O3128">
        <v>1.7416350000000001E-2</v>
      </c>
      <c r="P3128">
        <v>0.99627109999999997</v>
      </c>
      <c r="Q3128">
        <v>3.8359329999999997E-2</v>
      </c>
      <c r="R3128">
        <v>7.7283169999999998E-2</v>
      </c>
      <c r="S3128">
        <v>3.039825</v>
      </c>
      <c r="T3128">
        <v>-0.12427290000000001</v>
      </c>
      <c r="U3128">
        <v>-0.318222</v>
      </c>
      <c r="V3128">
        <v>-6.0087590000000003E-2</v>
      </c>
      <c r="W3128">
        <v>5.0593529999999998E-2</v>
      </c>
      <c r="X3128">
        <v>0.99691010000000002</v>
      </c>
      <c r="Y3128">
        <v>0.121308</v>
      </c>
      <c r="Z3128">
        <v>-3.1818150000000002E-3</v>
      </c>
      <c r="AA3128">
        <v>0.99260979999999999</v>
      </c>
      <c r="AB3128">
        <v>30</v>
      </c>
      <c r="AC3128">
        <v>26.743699999999901</v>
      </c>
      <c r="AD3128">
        <v>-1.1056960345358</v>
      </c>
      <c r="AE3128">
        <v>-2.8377000000000101</v>
      </c>
      <c r="AF3128">
        <v>3.2975095489167598</v>
      </c>
      <c r="AG3128">
        <v>-1.1056960345358</v>
      </c>
      <c r="AH3128">
        <v>26.645178173615101</v>
      </c>
      <c r="AI3128">
        <v>92.358271892563394</v>
      </c>
      <c r="AJ3128">
        <v>82.945154954843005</v>
      </c>
      <c r="AK3128">
        <v>26.871204901337801</v>
      </c>
    </row>
    <row r="3129" spans="1:37" x14ac:dyDescent="0.2">
      <c r="A3129" t="str">
        <f>"20200111155908547"</f>
        <v>20200111155908547</v>
      </c>
      <c r="B3129" t="str">
        <f>"1578729548534950"</f>
        <v>1578729548534950</v>
      </c>
      <c r="C3129" t="s">
        <v>37</v>
      </c>
      <c r="D3129">
        <v>5.4945769999999996</v>
      </c>
      <c r="E3129">
        <v>0.56669689999999995</v>
      </c>
      <c r="F3129" t="s">
        <v>52</v>
      </c>
      <c r="G3129">
        <v>-292.95400000000001</v>
      </c>
      <c r="H3129" s="1">
        <v>1.4184090000000001E-6</v>
      </c>
      <c r="I3129">
        <v>212.0188</v>
      </c>
      <c r="J3129">
        <v>-316.84910000000002</v>
      </c>
      <c r="K3129">
        <v>1.1057790000000001</v>
      </c>
      <c r="L3129">
        <v>214.43270000000001</v>
      </c>
      <c r="M3129">
        <v>0.99973659999999998</v>
      </c>
      <c r="N3129">
        <v>0</v>
      </c>
      <c r="O3129">
        <v>1.9237440000000001E-2</v>
      </c>
      <c r="P3129">
        <v>0.99617429999999996</v>
      </c>
      <c r="Q3129">
        <v>3.7944400000000003E-2</v>
      </c>
      <c r="R3129">
        <v>7.8724009999999997E-2</v>
      </c>
      <c r="S3129">
        <v>3.0400390000000002</v>
      </c>
      <c r="T3129">
        <v>-0.1389551</v>
      </c>
      <c r="U3129">
        <v>-0.30247499999999999</v>
      </c>
      <c r="V3129">
        <v>-5.9719809999999998E-2</v>
      </c>
      <c r="W3129">
        <v>5.0228259999999997E-2</v>
      </c>
      <c r="X3129">
        <v>0.99695069999999997</v>
      </c>
      <c r="Y3129">
        <v>0.11799229999999999</v>
      </c>
      <c r="Z3129">
        <v>-3.5655109999999999E-3</v>
      </c>
      <c r="AA3129">
        <v>0.99300809999999995</v>
      </c>
      <c r="AB3129">
        <v>30</v>
      </c>
      <c r="AC3129">
        <v>23.895099999999999</v>
      </c>
      <c r="AD3129">
        <v>-1.105777581591</v>
      </c>
      <c r="AE3129">
        <v>-2.4139000000000101</v>
      </c>
      <c r="AF3129">
        <v>2.86709193463065</v>
      </c>
      <c r="AG3129">
        <v>-1.105777581591</v>
      </c>
      <c r="AH3129">
        <v>23.793796821344799</v>
      </c>
      <c r="AI3129">
        <v>92.6417306519878</v>
      </c>
      <c r="AJ3129">
        <v>83.129130838919906</v>
      </c>
      <c r="AK3129">
        <v>23.991409449988701</v>
      </c>
    </row>
    <row r="3130" spans="1:37" x14ac:dyDescent="0.2">
      <c r="A3130" t="str">
        <f>"20200111155908582"</f>
        <v>20200111155908582</v>
      </c>
      <c r="B3130" t="str">
        <f>"1578729548574966"</f>
        <v>1578729548574966</v>
      </c>
      <c r="C3130" t="s">
        <v>37</v>
      </c>
      <c r="D3130">
        <v>5.9767919999999997</v>
      </c>
      <c r="E3130">
        <v>0.56542789999999998</v>
      </c>
      <c r="F3130" t="s">
        <v>52</v>
      </c>
      <c r="G3130">
        <v>-294.91950000000003</v>
      </c>
      <c r="H3130" s="1">
        <v>1.767047E-6</v>
      </c>
      <c r="I3130">
        <v>212.3545</v>
      </c>
      <c r="J3130">
        <v>-316.385999999999</v>
      </c>
      <c r="K3130">
        <v>1.1058790000000001</v>
      </c>
      <c r="L3130">
        <v>214.44499999999999</v>
      </c>
      <c r="M3130">
        <v>0.999673699999999</v>
      </c>
      <c r="N3130">
        <v>0</v>
      </c>
      <c r="O3130">
        <v>2.2220279999999999E-2</v>
      </c>
      <c r="P3130">
        <v>0.99596049999999903</v>
      </c>
      <c r="Q3130">
        <v>3.9730269999999998E-2</v>
      </c>
      <c r="R3130">
        <v>8.0526979999999998E-2</v>
      </c>
      <c r="S3130">
        <v>3.0401310000000001</v>
      </c>
      <c r="T3130">
        <v>-0.15329519999999999</v>
      </c>
      <c r="U3130">
        <v>-0.2881012</v>
      </c>
      <c r="V3130">
        <v>-5.856803E-2</v>
      </c>
      <c r="W3130">
        <v>5.2089780000000002E-2</v>
      </c>
      <c r="X3130">
        <v>0.99692349999999996</v>
      </c>
      <c r="Y3130">
        <v>0.1162685</v>
      </c>
      <c r="Z3130">
        <v>-4.0404960000000002E-3</v>
      </c>
      <c r="AA3130">
        <v>0.99320959999999903</v>
      </c>
      <c r="AB3130">
        <v>30</v>
      </c>
      <c r="AC3130">
        <v>21.4664999999999</v>
      </c>
      <c r="AD3130">
        <v>-1.105877232953</v>
      </c>
      <c r="AE3130">
        <v>-2.0904999999999898</v>
      </c>
      <c r="AF3130">
        <v>2.5602822740279199</v>
      </c>
      <c r="AG3130">
        <v>-1.105877232953</v>
      </c>
      <c r="AH3130">
        <v>21.3585919508125</v>
      </c>
      <c r="AI3130">
        <v>92.942908535606705</v>
      </c>
      <c r="AJ3130">
        <v>83.164495747165503</v>
      </c>
      <c r="AK3130">
        <v>21.5399038971481</v>
      </c>
    </row>
    <row r="3131" spans="1:37" x14ac:dyDescent="0.2">
      <c r="A3131" t="str">
        <f>"20200111155908603"</f>
        <v>20200111155908603</v>
      </c>
      <c r="B3131" t="str">
        <f>"1578729548594993"</f>
        <v>1578729548594993</v>
      </c>
      <c r="C3131" t="s">
        <v>37</v>
      </c>
      <c r="D3131">
        <v>5.371651</v>
      </c>
      <c r="E3131">
        <v>0.56239380000000005</v>
      </c>
      <c r="F3131" t="s">
        <v>52</v>
      </c>
      <c r="G3131">
        <v>-281.26569999999998</v>
      </c>
      <c r="H3131" s="1">
        <v>6.926296E-6</v>
      </c>
      <c r="I3131">
        <v>211.28880000000001</v>
      </c>
      <c r="J3131">
        <v>-316.08179999999999</v>
      </c>
      <c r="K3131">
        <v>1.1059299999999901</v>
      </c>
      <c r="L3131">
        <v>214.4539</v>
      </c>
      <c r="M3131">
        <v>0.99962600000000001</v>
      </c>
      <c r="N3131">
        <v>0</v>
      </c>
      <c r="O3131">
        <v>2.4241180000000001E-2</v>
      </c>
      <c r="P3131">
        <v>0.99580539999999995</v>
      </c>
      <c r="Q3131">
        <v>4.122352E-2</v>
      </c>
      <c r="R3131">
        <v>8.1685389999999997E-2</v>
      </c>
      <c r="S3131">
        <v>3.0380250000000002</v>
      </c>
      <c r="T3131">
        <v>-9.5661759999999998E-2</v>
      </c>
      <c r="U3131">
        <v>-0.27302549999999998</v>
      </c>
      <c r="V3131">
        <v>-5.7724739999999997E-2</v>
      </c>
      <c r="W3131">
        <v>5.362923E-2</v>
      </c>
      <c r="X3131">
        <v>0.99689099999999997</v>
      </c>
      <c r="Y3131">
        <v>0.11356040000000001</v>
      </c>
      <c r="Z3131">
        <v>-2.5456670000000002E-3</v>
      </c>
      <c r="AA3131">
        <v>0.99352779999999996</v>
      </c>
      <c r="AB3131">
        <v>30</v>
      </c>
      <c r="AC3131">
        <v>34.816099999999999</v>
      </c>
      <c r="AD3131">
        <v>-1.10592307370399</v>
      </c>
      <c r="AE3131">
        <v>-3.16509999999999</v>
      </c>
      <c r="AF3131">
        <v>4.0042136014562102</v>
      </c>
      <c r="AG3131">
        <v>-1.10592307370399</v>
      </c>
      <c r="AH3131">
        <v>34.6944157744691</v>
      </c>
      <c r="AI3131">
        <v>91.813716883457602</v>
      </c>
      <c r="AJ3131">
        <v>83.416406406561606</v>
      </c>
      <c r="AK3131">
        <v>34.9422277243848</v>
      </c>
    </row>
    <row r="3132" spans="1:37" x14ac:dyDescent="0.2">
      <c r="A3132" t="str">
        <f>"20200111155908626"</f>
        <v>20200111155908626</v>
      </c>
      <c r="B3132" t="str">
        <f>"1578729548614514"</f>
        <v>1578729548614514</v>
      </c>
      <c r="C3132" t="s">
        <v>37</v>
      </c>
      <c r="D3132">
        <v>5.3963890000000001</v>
      </c>
      <c r="E3132">
        <v>0.55987699999999996</v>
      </c>
      <c r="F3132" t="s">
        <v>50</v>
      </c>
      <c r="G3132">
        <v>-279.48649999999998</v>
      </c>
      <c r="H3132" s="1">
        <v>3.64764299999999E-6</v>
      </c>
      <c r="I3132">
        <v>211.50020000000001</v>
      </c>
      <c r="J3132">
        <v>-315.79160000000002</v>
      </c>
      <c r="K3132">
        <v>1.10597099999999</v>
      </c>
      <c r="L3132">
        <v>214.46299999999999</v>
      </c>
      <c r="M3132">
        <v>0.99957569999999996</v>
      </c>
      <c r="N3132">
        <v>0</v>
      </c>
      <c r="O3132">
        <v>2.621623E-2</v>
      </c>
      <c r="P3132">
        <v>0.99569180000000002</v>
      </c>
      <c r="Q3132">
        <v>4.1621449999999997E-2</v>
      </c>
      <c r="R3132">
        <v>8.2857410000000006E-2</v>
      </c>
      <c r="S3132">
        <v>3.03653</v>
      </c>
      <c r="T3132">
        <v>-9.1765280000000005E-2</v>
      </c>
      <c r="U3132">
        <v>-0.24508669999999999</v>
      </c>
      <c r="V3132">
        <v>-5.6934770000000003E-2</v>
      </c>
      <c r="W3132">
        <v>5.4063E-2</v>
      </c>
      <c r="X3132">
        <v>0.996913099999999</v>
      </c>
      <c r="Y3132">
        <v>0.1064966</v>
      </c>
      <c r="Z3132">
        <v>-2.3972160000000002E-3</v>
      </c>
      <c r="AA3132">
        <v>0.99431019999999903</v>
      </c>
      <c r="AB3132">
        <v>30</v>
      </c>
      <c r="AC3132">
        <v>36.305100000000003</v>
      </c>
      <c r="AD3132">
        <v>-1.10596735235699</v>
      </c>
      <c r="AE3132">
        <v>-2.9627999999999801</v>
      </c>
      <c r="AF3132">
        <v>3.9100365300106499</v>
      </c>
      <c r="AG3132">
        <v>-1.10596735235699</v>
      </c>
      <c r="AH3132">
        <v>36.181585582054602</v>
      </c>
      <c r="AI3132">
        <v>91.740694037337207</v>
      </c>
      <c r="AJ3132">
        <v>83.832151272261299</v>
      </c>
      <c r="AK3132">
        <v>36.409046742287003</v>
      </c>
    </row>
    <row r="3133" spans="1:37" x14ac:dyDescent="0.2">
      <c r="A3133" t="str">
        <f>"20200111155908647"</f>
        <v>20200111155908647</v>
      </c>
      <c r="B3133" t="str">
        <f>"1578729548635010"</f>
        <v>1578729548635010</v>
      </c>
      <c r="C3133" t="s">
        <v>37</v>
      </c>
      <c r="D3133">
        <v>5.3773939999999998</v>
      </c>
      <c r="E3133">
        <v>0.55797509999999995</v>
      </c>
      <c r="F3133" t="s">
        <v>52</v>
      </c>
      <c r="G3133">
        <v>-282.48559999999998</v>
      </c>
      <c r="H3133" s="1">
        <v>6.2959969999999996E-6</v>
      </c>
      <c r="I3133">
        <v>212.03809999999999</v>
      </c>
      <c r="J3133">
        <v>-315.50639999999999</v>
      </c>
      <c r="K3133">
        <v>1.1059999999999901</v>
      </c>
      <c r="L3133">
        <v>214.4726</v>
      </c>
      <c r="M3133">
        <v>0.99952169999999896</v>
      </c>
      <c r="N3133">
        <v>0</v>
      </c>
      <c r="O3133">
        <v>2.8190119999999999E-2</v>
      </c>
      <c r="P3133">
        <v>0.99556800000000001</v>
      </c>
      <c r="Q3133">
        <v>4.15564E-2</v>
      </c>
      <c r="R3133">
        <v>8.4368230000000002E-2</v>
      </c>
      <c r="S3133">
        <v>3.0355829999999999</v>
      </c>
      <c r="T3133">
        <v>-0.1008</v>
      </c>
      <c r="U3133">
        <v>-0.22100829999999999</v>
      </c>
      <c r="V3133">
        <v>-5.6483289999999998E-2</v>
      </c>
      <c r="W3133">
        <v>5.4023960000000003E-2</v>
      </c>
      <c r="X3133">
        <v>0.99694090000000002</v>
      </c>
      <c r="Y3133">
        <v>0.1006321</v>
      </c>
      <c r="Z3133">
        <v>-2.6029500000000001E-3</v>
      </c>
      <c r="AA3133">
        <v>0.99492029999999998</v>
      </c>
      <c r="AB3133">
        <v>30</v>
      </c>
      <c r="AC3133">
        <v>33.020800000000001</v>
      </c>
      <c r="AD3133">
        <v>-1.1059937040029999</v>
      </c>
      <c r="AE3133">
        <v>-2.4345000000000101</v>
      </c>
      <c r="AF3133">
        <v>3.3607181029456399</v>
      </c>
      <c r="AG3133">
        <v>-1.1059937040029999</v>
      </c>
      <c r="AH3133">
        <v>32.902328808275499</v>
      </c>
      <c r="AI3133">
        <v>91.915283523189501</v>
      </c>
      <c r="AJ3133">
        <v>84.167905839086302</v>
      </c>
      <c r="AK3133">
        <v>33.092006425247703</v>
      </c>
    </row>
    <row r="3134" spans="1:37" x14ac:dyDescent="0.2">
      <c r="A3134" t="str">
        <f>"20200111155908670"</f>
        <v>20200111155908670</v>
      </c>
      <c r="B3134" t="str">
        <f>"1578729548665266"</f>
        <v>1578729548665266</v>
      </c>
      <c r="C3134" t="s">
        <v>37</v>
      </c>
      <c r="D3134">
        <v>5.3727179999999999</v>
      </c>
      <c r="E3134">
        <v>0.55553589999999997</v>
      </c>
      <c r="F3134" t="s">
        <v>52</v>
      </c>
      <c r="G3134">
        <v>-284.5403</v>
      </c>
      <c r="H3134" s="1">
        <v>5.3390999999999901E-6</v>
      </c>
      <c r="I3134">
        <v>212.42179999999999</v>
      </c>
      <c r="J3134">
        <v>-315.20249999999999</v>
      </c>
      <c r="K3134">
        <v>1.1060140000000001</v>
      </c>
      <c r="L3134">
        <v>214.48349999999999</v>
      </c>
      <c r="M3134">
        <v>0.99945910000000004</v>
      </c>
      <c r="N3134">
        <v>0</v>
      </c>
      <c r="O3134">
        <v>3.031696E-2</v>
      </c>
      <c r="P3134">
        <v>0.99539419999999901</v>
      </c>
      <c r="Q3134">
        <v>4.1067510000000002E-2</v>
      </c>
      <c r="R3134">
        <v>8.6628029999999995E-2</v>
      </c>
      <c r="S3134">
        <v>3.0348820000000001</v>
      </c>
      <c r="T3134">
        <v>-0.10839449999999901</v>
      </c>
      <c r="U3134">
        <v>-0.2009888</v>
      </c>
      <c r="V3134">
        <v>-5.6625910000000002E-2</v>
      </c>
      <c r="W3134">
        <v>5.3556859999999998E-2</v>
      </c>
      <c r="X3134">
        <v>0.99695800000000001</v>
      </c>
      <c r="Y3134">
        <v>9.6223879999999998E-2</v>
      </c>
      <c r="Z3134">
        <v>-2.7974649999999998E-3</v>
      </c>
      <c r="AA3134">
        <v>0.99535580000000001</v>
      </c>
      <c r="AB3134">
        <v>30</v>
      </c>
      <c r="AC3134">
        <v>30.662199999999899</v>
      </c>
      <c r="AD3134">
        <v>-1.1060086608999999</v>
      </c>
      <c r="AE3134">
        <v>-2.0617000000000001</v>
      </c>
      <c r="AF3134">
        <v>2.9865440315586298</v>
      </c>
      <c r="AG3134">
        <v>-1.1060086608999999</v>
      </c>
      <c r="AH3134">
        <v>30.546029287050299</v>
      </c>
      <c r="AI3134">
        <v>92.063823640975301</v>
      </c>
      <c r="AJ3134">
        <v>84.415829985381507</v>
      </c>
      <c r="AK3134">
        <v>30.7116037617015</v>
      </c>
    </row>
    <row r="3135" spans="1:37" x14ac:dyDescent="0.2">
      <c r="A3135" t="str">
        <f>"20200111155908693"</f>
        <v>20200111155908693</v>
      </c>
      <c r="B3135" t="str">
        <f>"1578729548685292"</f>
        <v>1578729548685292</v>
      </c>
      <c r="C3135" t="s">
        <v>37</v>
      </c>
      <c r="D3135">
        <v>5.3823559999999997</v>
      </c>
      <c r="E3135">
        <v>0.55429680000000003</v>
      </c>
      <c r="F3135" t="s">
        <v>52</v>
      </c>
      <c r="G3135">
        <v>-286.9769</v>
      </c>
      <c r="H3135" s="1">
        <v>4.206948E-6</v>
      </c>
      <c r="I3135">
        <v>212.85470000000001</v>
      </c>
      <c r="J3135">
        <v>-314.89359999999999</v>
      </c>
      <c r="K3135">
        <v>1.106028</v>
      </c>
      <c r="L3135">
        <v>214.49520000000001</v>
      </c>
      <c r="M3135">
        <v>0.99939049999999996</v>
      </c>
      <c r="N3135">
        <v>0</v>
      </c>
      <c r="O3135">
        <v>3.2492599999999899E-2</v>
      </c>
      <c r="P3135">
        <v>0.9951892</v>
      </c>
      <c r="Q3135">
        <v>4.0873369999999999E-2</v>
      </c>
      <c r="R3135">
        <v>8.903962E-2</v>
      </c>
      <c r="S3135">
        <v>3.0340579999999999</v>
      </c>
      <c r="T3135">
        <v>-0.1188886</v>
      </c>
      <c r="U3135">
        <v>-0.17507929999999999</v>
      </c>
      <c r="V3135">
        <v>-5.6872220000000001E-2</v>
      </c>
      <c r="W3135">
        <v>5.338068E-2</v>
      </c>
      <c r="X3135">
        <v>0.99695339999999999</v>
      </c>
      <c r="Y3135">
        <v>8.9926060000000002E-2</v>
      </c>
      <c r="Z3135">
        <v>-3.0316259999999999E-3</v>
      </c>
      <c r="AA3135">
        <v>0.99594380000000005</v>
      </c>
      <c r="AB3135">
        <v>30</v>
      </c>
      <c r="AC3135">
        <v>27.916699999999899</v>
      </c>
      <c r="AD3135">
        <v>-1.106023793052</v>
      </c>
      <c r="AE3135">
        <v>-1.6405000000000001</v>
      </c>
      <c r="AF3135">
        <v>2.5428160977774401</v>
      </c>
      <c r="AG3135">
        <v>-1.106023793052</v>
      </c>
      <c r="AH3135">
        <v>27.805154500134101</v>
      </c>
      <c r="AI3135">
        <v>92.268434614740698</v>
      </c>
      <c r="AJ3135">
        <v>84.774763868766897</v>
      </c>
      <c r="AK3135">
        <v>27.943081775534999</v>
      </c>
    </row>
    <row r="3136" spans="1:37" x14ac:dyDescent="0.2">
      <c r="A3136" t="str">
        <f>"20200111155908714"</f>
        <v>20200111155908714</v>
      </c>
      <c r="B3136" t="str">
        <f>"1578729548704811"</f>
        <v>1578729548704811</v>
      </c>
      <c r="C3136" t="s">
        <v>37</v>
      </c>
      <c r="D3136">
        <v>5.3786709999999998</v>
      </c>
      <c r="E3136">
        <v>0.55313250000000003</v>
      </c>
      <c r="F3136" t="s">
        <v>52</v>
      </c>
      <c r="G3136">
        <v>-287.80869999999999</v>
      </c>
      <c r="H3136" s="1">
        <v>3.8108999999999998E-6</v>
      </c>
      <c r="I3136">
        <v>213.0829</v>
      </c>
      <c r="J3136">
        <v>-314.60390000000001</v>
      </c>
      <c r="K3136">
        <v>1.106044</v>
      </c>
      <c r="L3136">
        <v>214.5068</v>
      </c>
      <c r="M3136">
        <v>0.99932140000000003</v>
      </c>
      <c r="N3136">
        <v>0</v>
      </c>
      <c r="O3136">
        <v>3.4541750000000003E-2</v>
      </c>
      <c r="P3136">
        <v>0.99500319999999998</v>
      </c>
      <c r="Q3136">
        <v>4.162884E-2</v>
      </c>
      <c r="R3136">
        <v>9.0751780000000004E-2</v>
      </c>
      <c r="S3136">
        <v>3.033722</v>
      </c>
      <c r="T3136">
        <v>-0.12388339999999901</v>
      </c>
      <c r="U3136">
        <v>-0.15818789999999999</v>
      </c>
      <c r="V3136">
        <v>-5.6548979999999999E-2</v>
      </c>
      <c r="W3136">
        <v>5.4153479999999997E-2</v>
      </c>
      <c r="X3136">
        <v>0.99693009999999904</v>
      </c>
      <c r="Y3136">
        <v>8.6438479999999998E-2</v>
      </c>
      <c r="Z3136">
        <v>-3.1721520000000001E-3</v>
      </c>
      <c r="AA3136">
        <v>0.99625209999999997</v>
      </c>
      <c r="AB3136">
        <v>30</v>
      </c>
      <c r="AC3136">
        <v>26.795200000000001</v>
      </c>
      <c r="AD3136">
        <v>-1.1060401891</v>
      </c>
      <c r="AE3136">
        <v>-1.4238999999999999</v>
      </c>
      <c r="AF3136">
        <v>2.3446952522650601</v>
      </c>
      <c r="AG3136">
        <v>-1.1060401891</v>
      </c>
      <c r="AH3136">
        <v>26.684681185199501</v>
      </c>
      <c r="AI3136">
        <v>92.364366769637897</v>
      </c>
      <c r="AJ3136">
        <v>84.978504542212306</v>
      </c>
      <c r="AK3136">
        <v>26.810317616202202</v>
      </c>
    </row>
    <row r="3137" spans="1:37" x14ac:dyDescent="0.2">
      <c r="A3137" t="str">
        <f>"20200111155908736"</f>
        <v>20200111155908736</v>
      </c>
      <c r="B3137" t="str">
        <f>"1578729548725308"</f>
        <v>1578729548725308</v>
      </c>
      <c r="C3137" t="s">
        <v>37</v>
      </c>
      <c r="D3137">
        <v>5.4221550000000001</v>
      </c>
      <c r="E3137">
        <v>0.5522241</v>
      </c>
      <c r="F3137" t="s">
        <v>52</v>
      </c>
      <c r="G3137">
        <v>-288.01249999999999</v>
      </c>
      <c r="H3137" s="1">
        <v>3.7007649999999999E-6</v>
      </c>
      <c r="I3137">
        <v>213.2484</v>
      </c>
      <c r="J3137">
        <v>-314.31810000000002</v>
      </c>
      <c r="K3137">
        <v>1.106055</v>
      </c>
      <c r="L3137">
        <v>214.5189</v>
      </c>
      <c r="M3137">
        <v>0.99924930000000001</v>
      </c>
      <c r="N3137">
        <v>0</v>
      </c>
      <c r="O3137">
        <v>3.6564810000000003E-2</v>
      </c>
      <c r="P3137">
        <v>0.99482179999999998</v>
      </c>
      <c r="Q3137">
        <v>4.2078299999999999E-2</v>
      </c>
      <c r="R3137">
        <v>9.2513869999999998E-2</v>
      </c>
      <c r="S3137">
        <v>3.0334469999999998</v>
      </c>
      <c r="T3137">
        <v>-0.12617319999999899</v>
      </c>
      <c r="U3137">
        <v>-0.14355470000000001</v>
      </c>
      <c r="V3137">
        <v>-5.6299399999999999E-2</v>
      </c>
      <c r="W3137">
        <v>5.4617220000000001E-2</v>
      </c>
      <c r="X3137">
        <v>0.99691890000000005</v>
      </c>
      <c r="Y3137">
        <v>8.3662589999999995E-2</v>
      </c>
      <c r="Z3137">
        <v>-3.2577769999999999E-3</v>
      </c>
      <c r="AA3137">
        <v>0.99648879999999995</v>
      </c>
      <c r="AB3137">
        <v>30</v>
      </c>
      <c r="AC3137">
        <v>26.305599999999998</v>
      </c>
      <c r="AD3137">
        <v>-1.106051299235</v>
      </c>
      <c r="AE3137">
        <v>-1.27049999999999</v>
      </c>
      <c r="AF3137">
        <v>2.2276592521061298</v>
      </c>
      <c r="AG3137">
        <v>-1.106051299235</v>
      </c>
      <c r="AH3137">
        <v>26.1953441445153</v>
      </c>
      <c r="AI3137">
        <v>92.409090040923203</v>
      </c>
      <c r="AJ3137">
        <v>85.139246092316398</v>
      </c>
      <c r="AK3137">
        <v>26.313150135809</v>
      </c>
    </row>
    <row r="3138" spans="1:37" x14ac:dyDescent="0.2">
      <c r="A3138" t="str">
        <f>"20200111155908759"</f>
        <v>20200111155908759</v>
      </c>
      <c r="B3138" t="str">
        <f>"1578729548754589"</f>
        <v>1578729548754589</v>
      </c>
      <c r="C3138" t="s">
        <v>37</v>
      </c>
      <c r="D3138">
        <v>6.2451530000000002</v>
      </c>
      <c r="E3138">
        <v>0.55075989999999997</v>
      </c>
      <c r="F3138" t="s">
        <v>52</v>
      </c>
      <c r="G3138">
        <v>-288.4085</v>
      </c>
      <c r="H3138" s="1">
        <v>3.506669E-6</v>
      </c>
      <c r="I3138">
        <v>213.4034</v>
      </c>
      <c r="J3138">
        <v>-314.00630000000001</v>
      </c>
      <c r="K3138">
        <v>1.1060570000000001</v>
      </c>
      <c r="L3138">
        <v>214.5326</v>
      </c>
      <c r="M3138">
        <v>0.99916609999999995</v>
      </c>
      <c r="N3138">
        <v>0</v>
      </c>
      <c r="O3138">
        <v>3.8766509999999997E-2</v>
      </c>
      <c r="P3138">
        <v>0.994600499999999</v>
      </c>
      <c r="Q3138">
        <v>4.2299450000000002E-2</v>
      </c>
      <c r="R3138">
        <v>9.4767779999999996E-2</v>
      </c>
      <c r="S3138">
        <v>3.0332340000000002</v>
      </c>
      <c r="T3138">
        <v>-0.12948519999999999</v>
      </c>
      <c r="U3138">
        <v>-0.1305847</v>
      </c>
      <c r="V3138">
        <v>-5.6362860000000001E-2</v>
      </c>
      <c r="W3138">
        <v>5.4850999999999997E-2</v>
      </c>
      <c r="X3138">
        <v>0.99690249999999903</v>
      </c>
      <c r="Y3138">
        <v>8.1603490000000001E-2</v>
      </c>
      <c r="Z3138">
        <v>-3.3937289999999998E-3</v>
      </c>
      <c r="AA3138">
        <v>0.99665910000000002</v>
      </c>
      <c r="AB3138">
        <v>30</v>
      </c>
      <c r="AC3138">
        <v>25.597799999999999</v>
      </c>
      <c r="AD3138">
        <v>-1.106053493331</v>
      </c>
      <c r="AE3138">
        <v>-1.12919999999999</v>
      </c>
      <c r="AF3138">
        <v>2.1168254566903202</v>
      </c>
      <c r="AG3138">
        <v>-1.106053493331</v>
      </c>
      <c r="AH3138">
        <v>25.487283507581601</v>
      </c>
      <c r="AI3138">
        <v>92.47634948436</v>
      </c>
      <c r="AJ3138">
        <v>85.252242623309002</v>
      </c>
      <c r="AK3138">
        <v>25.598943824698001</v>
      </c>
    </row>
    <row r="3139" spans="1:37" x14ac:dyDescent="0.2">
      <c r="A3139" t="str">
        <f>"20200111155908781"</f>
        <v>20200111155908781</v>
      </c>
      <c r="B3139" t="str">
        <f>"1578729548775085"</f>
        <v>1578729548775085</v>
      </c>
      <c r="C3139" t="s">
        <v>37</v>
      </c>
      <c r="D3139">
        <v>5.5976669999999897</v>
      </c>
      <c r="E3139">
        <v>0.5498246</v>
      </c>
      <c r="F3139" t="s">
        <v>52</v>
      </c>
      <c r="G3139">
        <v>-288.5976</v>
      </c>
      <c r="H3139" s="1">
        <v>3.3999159999999999E-6</v>
      </c>
      <c r="I3139">
        <v>213.59559999999999</v>
      </c>
      <c r="J3139">
        <v>-313.6979</v>
      </c>
      <c r="K3139">
        <v>1.1060479999999999</v>
      </c>
      <c r="L3139">
        <v>214.547</v>
      </c>
      <c r="M3139">
        <v>0.99907979999999996</v>
      </c>
      <c r="N3139">
        <v>0</v>
      </c>
      <c r="O3139">
        <v>4.0929E-2</v>
      </c>
      <c r="P3139">
        <v>0.99430200000000002</v>
      </c>
      <c r="Q3139">
        <v>4.343458E-2</v>
      </c>
      <c r="R3139">
        <v>9.7349690000000003E-2</v>
      </c>
      <c r="S3139">
        <v>3.0325929999999999</v>
      </c>
      <c r="T3139">
        <v>-0.13200989999999899</v>
      </c>
      <c r="U3139">
        <v>-0.11183170000000001</v>
      </c>
      <c r="V3139">
        <v>-5.6798950000000001E-2</v>
      </c>
      <c r="W3139">
        <v>5.5995080000000003E-2</v>
      </c>
      <c r="X3139">
        <v>0.99681409999999904</v>
      </c>
      <c r="Y3139">
        <v>7.7613089999999996E-2</v>
      </c>
      <c r="Z3139">
        <v>-3.4682059999999902E-3</v>
      </c>
      <c r="AA3139">
        <v>0.99697749999999996</v>
      </c>
      <c r="AB3139">
        <v>30</v>
      </c>
      <c r="AC3139">
        <v>25.100300000000001</v>
      </c>
      <c r="AD3139">
        <v>-1.1060446000839901</v>
      </c>
      <c r="AE3139">
        <v>-0.95140000000000602</v>
      </c>
      <c r="AF3139">
        <v>1.97418943948245</v>
      </c>
      <c r="AG3139">
        <v>-1.1060446000839901</v>
      </c>
      <c r="AH3139">
        <v>24.991863202869599</v>
      </c>
      <c r="AI3139">
        <v>92.526180156389302</v>
      </c>
      <c r="AJ3139">
        <v>85.483396868553498</v>
      </c>
      <c r="AK3139">
        <v>25.094102593065301</v>
      </c>
    </row>
    <row r="3140" spans="1:37" x14ac:dyDescent="0.2">
      <c r="A3140" t="str">
        <f>"20200111155908803"</f>
        <v>20200111155908803</v>
      </c>
      <c r="B3140" t="str">
        <f>"1578729548794604"</f>
        <v>1578729548794604</v>
      </c>
      <c r="C3140" t="s">
        <v>37</v>
      </c>
      <c r="D3140">
        <v>5.470682</v>
      </c>
      <c r="E3140">
        <v>0.54924859999999998</v>
      </c>
      <c r="F3140" t="s">
        <v>52</v>
      </c>
      <c r="G3140">
        <v>-287.57799999999997</v>
      </c>
      <c r="H3140" s="1">
        <v>3.8376399999999997E-6</v>
      </c>
      <c r="I3140">
        <v>213.7166</v>
      </c>
      <c r="J3140">
        <v>-313.40530000000001</v>
      </c>
      <c r="K3140">
        <v>1.106031</v>
      </c>
      <c r="L3140">
        <v>214.56110000000001</v>
      </c>
      <c r="M3140">
        <v>0.99899439999999995</v>
      </c>
      <c r="N3140">
        <v>0</v>
      </c>
      <c r="O3140">
        <v>4.2957919999999997E-2</v>
      </c>
      <c r="P3140">
        <v>0.99402279999999998</v>
      </c>
      <c r="Q3140">
        <v>4.3891769999999997E-2</v>
      </c>
      <c r="R3140">
        <v>9.9960759999999996E-2</v>
      </c>
      <c r="S3140">
        <v>3.0322269999999998</v>
      </c>
      <c r="T3140">
        <v>-0.12839929999999999</v>
      </c>
      <c r="U3140">
        <v>-9.638977E-2</v>
      </c>
      <c r="V3140">
        <v>-5.7393949999999999E-2</v>
      </c>
      <c r="W3140">
        <v>5.645878E-2</v>
      </c>
      <c r="X3140">
        <v>0.99675389999999997</v>
      </c>
      <c r="Y3140">
        <v>7.4577599999999994E-2</v>
      </c>
      <c r="Z3140">
        <v>-3.3957009999999901E-3</v>
      </c>
      <c r="AA3140">
        <v>0.99720940000000002</v>
      </c>
      <c r="AB3140">
        <v>30</v>
      </c>
      <c r="AC3140">
        <v>25.827300000000001</v>
      </c>
      <c r="AD3140">
        <v>-1.10602716236</v>
      </c>
      <c r="AE3140">
        <v>-0.84450000000001002</v>
      </c>
      <c r="AF3140">
        <v>1.94972705366777</v>
      </c>
      <c r="AG3140">
        <v>-1.10602716236</v>
      </c>
      <c r="AH3140">
        <v>25.7200560728872</v>
      </c>
      <c r="AI3140">
        <v>92.455309746803806</v>
      </c>
      <c r="AJ3140">
        <v>85.664944004456103</v>
      </c>
      <c r="AK3140">
        <v>25.8175524800501</v>
      </c>
    </row>
    <row r="3141" spans="1:37" x14ac:dyDescent="0.2">
      <c r="A3141" t="str">
        <f>"20200111155908825"</f>
        <v>20200111155908825</v>
      </c>
      <c r="B3141" t="str">
        <f>"1578729548815100"</f>
        <v>1578729548815100</v>
      </c>
      <c r="C3141" t="s">
        <v>37</v>
      </c>
      <c r="D3141">
        <v>5.4440280000000003</v>
      </c>
      <c r="E3141">
        <v>0.54881219999999997</v>
      </c>
      <c r="F3141" t="s">
        <v>52</v>
      </c>
      <c r="G3141">
        <v>-287.4402</v>
      </c>
      <c r="H3141" s="1">
        <v>3.88328E-6</v>
      </c>
      <c r="I3141">
        <v>213.84620000000001</v>
      </c>
      <c r="J3141">
        <v>-313.11599999999999</v>
      </c>
      <c r="K3141">
        <v>1.1060030000000001</v>
      </c>
      <c r="L3141">
        <v>214.57570000000001</v>
      </c>
      <c r="M3141">
        <v>0.99890749999999995</v>
      </c>
      <c r="N3141">
        <v>0</v>
      </c>
      <c r="O3141">
        <v>4.493403E-2</v>
      </c>
      <c r="P3141">
        <v>0.99376690000000001</v>
      </c>
      <c r="Q3141">
        <v>4.331231E-2</v>
      </c>
      <c r="R3141">
        <v>0.102720899999999</v>
      </c>
      <c r="S3141">
        <v>3.0321349999999998</v>
      </c>
      <c r="T3141">
        <v>-0.129159</v>
      </c>
      <c r="U3141">
        <v>-8.3480830000000006E-2</v>
      </c>
      <c r="V3141">
        <v>-5.8184319999999998E-2</v>
      </c>
      <c r="W3141">
        <v>5.5885579999999997E-2</v>
      </c>
      <c r="X3141">
        <v>0.99674039999999997</v>
      </c>
      <c r="Y3141">
        <v>7.2308259999999999E-2</v>
      </c>
      <c r="Z3141">
        <v>-3.4518399999999999E-3</v>
      </c>
      <c r="AA3141">
        <v>0.99737640000000005</v>
      </c>
      <c r="AB3141">
        <v>30</v>
      </c>
      <c r="AC3141">
        <v>25.675799999999899</v>
      </c>
      <c r="AD3141">
        <v>-1.1059991167200001</v>
      </c>
      <c r="AE3141">
        <v>-0.72950000000000104</v>
      </c>
      <c r="AF3141">
        <v>1.8790914153570999</v>
      </c>
      <c r="AG3141">
        <v>-1.1059991167200001</v>
      </c>
      <c r="AH3141">
        <v>25.569673641261801</v>
      </c>
      <c r="AI3141">
        <v>92.470093963419203</v>
      </c>
      <c r="AJ3141">
        <v>85.796942257408304</v>
      </c>
      <c r="AK3141">
        <v>25.662471212143501</v>
      </c>
    </row>
    <row r="3142" spans="1:37" x14ac:dyDescent="0.2">
      <c r="A3142" t="str">
        <f>"20200111155908848"</f>
        <v>20200111155908848</v>
      </c>
      <c r="B3142" t="str">
        <f>"1578729548845356"</f>
        <v>1578729548845356</v>
      </c>
      <c r="C3142" t="s">
        <v>37</v>
      </c>
      <c r="D3142">
        <v>5.5811390000000003</v>
      </c>
      <c r="E3142">
        <v>0.54823319999999998</v>
      </c>
      <c r="F3142" t="s">
        <v>52</v>
      </c>
      <c r="G3142">
        <v>-288.24650000000003</v>
      </c>
      <c r="H3142" s="1">
        <v>3.5087719999999998E-6</v>
      </c>
      <c r="I3142">
        <v>213.98840000000001</v>
      </c>
      <c r="J3142">
        <v>-312.81540000000001</v>
      </c>
      <c r="K3142">
        <v>1.1059649999999901</v>
      </c>
      <c r="L3142">
        <v>214.59139999999999</v>
      </c>
      <c r="M3142">
        <v>0.99881489999999995</v>
      </c>
      <c r="N3142">
        <v>0</v>
      </c>
      <c r="O3142">
        <v>4.6944189999999997E-2</v>
      </c>
      <c r="P3142">
        <v>0.99350740000000004</v>
      </c>
      <c r="Q3142">
        <v>4.0938660000000002E-2</v>
      </c>
      <c r="R3142">
        <v>0.1061463</v>
      </c>
      <c r="S3142">
        <v>3.0320740000000002</v>
      </c>
      <c r="T3142">
        <v>-0.13484309999999999</v>
      </c>
      <c r="U3142">
        <v>-7.1594240000000003E-2</v>
      </c>
      <c r="V3142">
        <v>-5.9597890000000001E-2</v>
      </c>
      <c r="W3142">
        <v>5.351591E-2</v>
      </c>
      <c r="X3142">
        <v>0.99678690000000003</v>
      </c>
      <c r="Y3142">
        <v>7.0398730000000007E-2</v>
      </c>
      <c r="Z3142">
        <v>-3.650679E-3</v>
      </c>
      <c r="AA3142">
        <v>0.99751219999999996</v>
      </c>
      <c r="AB3142">
        <v>30</v>
      </c>
      <c r="AC3142">
        <v>24.5688999999999</v>
      </c>
      <c r="AD3142">
        <v>-1.10596149122799</v>
      </c>
      <c r="AE3142">
        <v>-0.60299999999998</v>
      </c>
      <c r="AF3142">
        <v>1.75224890347655</v>
      </c>
      <c r="AG3142">
        <v>-1.10596149122799</v>
      </c>
      <c r="AH3142">
        <v>24.463956943924401</v>
      </c>
      <c r="AI3142">
        <v>92.581847996224099</v>
      </c>
      <c r="AJ3142">
        <v>85.9031440656656</v>
      </c>
      <c r="AK3142">
        <v>24.551552219645899</v>
      </c>
    </row>
    <row r="3143" spans="1:37" x14ac:dyDescent="0.2">
      <c r="A3143" t="str">
        <f>"20200111155908872"</f>
        <v>20200111155908872</v>
      </c>
      <c r="B3143" t="str">
        <f>"1578729548864877"</f>
        <v>1578729548864877</v>
      </c>
      <c r="C3143" t="s">
        <v>37</v>
      </c>
      <c r="D3143">
        <v>5.417986</v>
      </c>
      <c r="E3143">
        <v>0.54792410000000003</v>
      </c>
      <c r="F3143" t="s">
        <v>52</v>
      </c>
      <c r="G3143">
        <v>-289.88690000000003</v>
      </c>
      <c r="H3143" s="1">
        <v>2.76033E-6</v>
      </c>
      <c r="I3143">
        <v>214.1644</v>
      </c>
      <c r="J3143">
        <v>-312.4914</v>
      </c>
      <c r="K3143">
        <v>1.105923</v>
      </c>
      <c r="L3143">
        <v>214.60910000000001</v>
      </c>
      <c r="M3143">
        <v>0.99871270000000001</v>
      </c>
      <c r="N3143">
        <v>0</v>
      </c>
      <c r="O3143">
        <v>4.906957E-2</v>
      </c>
      <c r="P3143">
        <v>0.99315699999999996</v>
      </c>
      <c r="Q3143">
        <v>3.9385679999999999E-2</v>
      </c>
      <c r="R3143">
        <v>0.1099464</v>
      </c>
      <c r="S3143">
        <v>3.0316160000000001</v>
      </c>
      <c r="T3143">
        <v>-0.1462309</v>
      </c>
      <c r="U3143">
        <v>-5.6457519999999997E-2</v>
      </c>
      <c r="V3143">
        <v>-6.1277810000000002E-2</v>
      </c>
      <c r="W3143">
        <v>5.1965480000000001E-2</v>
      </c>
      <c r="X3143">
        <v>0.99676710000000002</v>
      </c>
      <c r="Y3143">
        <v>6.7526849999999999E-2</v>
      </c>
      <c r="Z3143">
        <v>-3.9925580000000002E-3</v>
      </c>
      <c r="AA3143">
        <v>0.99770949999999903</v>
      </c>
      <c r="AB3143">
        <v>30</v>
      </c>
      <c r="AC3143">
        <v>22.604499999999899</v>
      </c>
      <c r="AD3143">
        <v>-1.1059202396700001</v>
      </c>
      <c r="AE3143">
        <v>-0.44470000000001098</v>
      </c>
      <c r="AF3143">
        <v>1.54974081325989</v>
      </c>
      <c r="AG3143">
        <v>-1.1059202396700001</v>
      </c>
      <c r="AH3143">
        <v>22.501602475116499</v>
      </c>
      <c r="AI3143">
        <v>92.807098994591001</v>
      </c>
      <c r="AJ3143">
        <v>86.060120107335905</v>
      </c>
      <c r="AK3143">
        <v>22.582003235164201</v>
      </c>
    </row>
    <row r="3144" spans="1:37" x14ac:dyDescent="0.2">
      <c r="A3144" t="str">
        <f>"20200111155908893"</f>
        <v>20200111155908893</v>
      </c>
      <c r="B3144" t="str">
        <f>"1578729548884836"</f>
        <v>1578729548884836</v>
      </c>
      <c r="C3144" t="s">
        <v>37</v>
      </c>
      <c r="D3144">
        <v>5.4822340000000001</v>
      </c>
      <c r="E3144">
        <v>0.54768989999999995</v>
      </c>
      <c r="F3144" t="s">
        <v>52</v>
      </c>
      <c r="G3144">
        <v>-290.62540000000001</v>
      </c>
      <c r="H3144" s="1">
        <v>1.0053440000000001E-6</v>
      </c>
      <c r="I3144">
        <v>214.30369999999999</v>
      </c>
      <c r="J3144">
        <v>-312.20599999999899</v>
      </c>
      <c r="K3144">
        <v>1.1058889999999999</v>
      </c>
      <c r="L3144">
        <v>214.6251</v>
      </c>
      <c r="M3144">
        <v>0.99862119999999999</v>
      </c>
      <c r="N3144">
        <v>0</v>
      </c>
      <c r="O3144">
        <v>5.0897329999999998E-2</v>
      </c>
      <c r="P3144">
        <v>0.99279419999999996</v>
      </c>
      <c r="Q3144">
        <v>3.8615679999999999E-2</v>
      </c>
      <c r="R3144">
        <v>0.11344</v>
      </c>
      <c r="S3144">
        <v>3.0314329999999998</v>
      </c>
      <c r="T3144">
        <v>-0.15332170000000001</v>
      </c>
      <c r="U3144">
        <v>-4.2327879999999998E-2</v>
      </c>
      <c r="V3144">
        <v>-6.2952320000000006E-2</v>
      </c>
      <c r="W3144">
        <v>5.1193570000000001E-2</v>
      </c>
      <c r="X3144">
        <v>0.99670270000000005</v>
      </c>
      <c r="Y3144">
        <v>6.4692399999999997E-2</v>
      </c>
      <c r="Z3144">
        <v>-4.2069469999999999E-3</v>
      </c>
      <c r="AA3144">
        <v>0.99789640000000002</v>
      </c>
      <c r="AB3144">
        <v>30</v>
      </c>
      <c r="AC3144">
        <v>21.580599999999901</v>
      </c>
      <c r="AD3144">
        <v>-1.1058879946560001</v>
      </c>
      <c r="AE3144">
        <v>-0.32140000000001101</v>
      </c>
      <c r="AF3144">
        <v>1.4157520535241701</v>
      </c>
      <c r="AG3144">
        <v>-1.1058879946560001</v>
      </c>
      <c r="AH3144">
        <v>21.4798711098836</v>
      </c>
      <c r="AI3144">
        <v>92.940892728297896</v>
      </c>
      <c r="AJ3144">
        <v>86.229052785978396</v>
      </c>
      <c r="AK3144">
        <v>21.554864996816701</v>
      </c>
    </row>
    <row r="3145" spans="1:37" x14ac:dyDescent="0.2">
      <c r="A3145" t="str">
        <f>"20200111155908915"</f>
        <v>20200111155908915</v>
      </c>
      <c r="B3145" t="str">
        <f>"1578729548905332"</f>
        <v>1578729548905332</v>
      </c>
      <c r="C3145" t="s">
        <v>37</v>
      </c>
      <c r="D3145">
        <v>5.4916320000000001</v>
      </c>
      <c r="E3145">
        <v>0.54758390000000001</v>
      </c>
      <c r="F3145" t="s">
        <v>52</v>
      </c>
      <c r="G3145">
        <v>-290.96350000000001</v>
      </c>
      <c r="H3145" s="1">
        <v>1.065314E-6</v>
      </c>
      <c r="I3145">
        <v>214.41560000000001</v>
      </c>
      <c r="J3145">
        <v>-311.92230000000001</v>
      </c>
      <c r="K3145">
        <v>1.1058490000000001</v>
      </c>
      <c r="L3145">
        <v>214.6414</v>
      </c>
      <c r="M3145">
        <v>0.99852980000000002</v>
      </c>
      <c r="N3145">
        <v>0</v>
      </c>
      <c r="O3145">
        <v>5.2663069999999999E-2</v>
      </c>
      <c r="P3145">
        <v>0.99246939999999995</v>
      </c>
      <c r="Q3145">
        <v>3.8263699999999998E-2</v>
      </c>
      <c r="R3145">
        <v>0.116363799999999</v>
      </c>
      <c r="S3145">
        <v>3.031342</v>
      </c>
      <c r="T3145">
        <v>-0.15781199999999901</v>
      </c>
      <c r="U3145">
        <v>-2.989197E-2</v>
      </c>
      <c r="V3145">
        <v>-6.4120239999999995E-2</v>
      </c>
      <c r="W3145">
        <v>5.0837359999999998E-2</v>
      </c>
      <c r="X3145">
        <v>0.99664649999999999</v>
      </c>
      <c r="Y3145">
        <v>6.2355939999999999E-2</v>
      </c>
      <c r="Z3145">
        <v>-4.361167E-3</v>
      </c>
      <c r="AA3145">
        <v>0.99804439999999905</v>
      </c>
      <c r="AB3145">
        <v>30</v>
      </c>
      <c r="AC3145">
        <v>20.9588</v>
      </c>
      <c r="AD3145">
        <v>-1.105847934686</v>
      </c>
      <c r="AE3145">
        <v>-0.22579999999999201</v>
      </c>
      <c r="AF3145">
        <v>1.3256422838167199</v>
      </c>
      <c r="AG3145">
        <v>-1.105847934686</v>
      </c>
      <c r="AH3145">
        <v>20.859753851460699</v>
      </c>
      <c r="AI3145">
        <v>93.028509417553195</v>
      </c>
      <c r="AJ3145">
        <v>86.363729605882</v>
      </c>
      <c r="AK3145">
        <v>20.931066811388799</v>
      </c>
    </row>
    <row r="3146" spans="1:37" x14ac:dyDescent="0.2">
      <c r="A3146" t="str">
        <f>"20200111155908937"</f>
        <v>20200111155908937</v>
      </c>
      <c r="B3146" t="str">
        <f>"1578729548924853"</f>
        <v>1578729548924853</v>
      </c>
      <c r="C3146" t="s">
        <v>37</v>
      </c>
      <c r="D3146">
        <v>5.5467389999999996</v>
      </c>
      <c r="E3146">
        <v>0.54742590000000002</v>
      </c>
      <c r="F3146" t="s">
        <v>52</v>
      </c>
      <c r="G3146">
        <v>-291.14319999999998</v>
      </c>
      <c r="H3146" s="1">
        <v>1.0971879999999999E-6</v>
      </c>
      <c r="I3146">
        <v>214.50659999999999</v>
      </c>
      <c r="J3146">
        <v>-311.62810000000002</v>
      </c>
      <c r="K3146">
        <v>1.105801</v>
      </c>
      <c r="L3146">
        <v>214.65889999999999</v>
      </c>
      <c r="M3146">
        <v>0.99843510000000002</v>
      </c>
      <c r="N3146">
        <v>0</v>
      </c>
      <c r="O3146">
        <v>5.4431889999999997E-2</v>
      </c>
      <c r="P3146">
        <v>0.9922588</v>
      </c>
      <c r="Q3146">
        <v>3.7938149999999997E-2</v>
      </c>
      <c r="R3146">
        <v>0.11825090000000001</v>
      </c>
      <c r="S3146">
        <v>3.0312809999999999</v>
      </c>
      <c r="T3146">
        <v>-0.16132249999999901</v>
      </c>
      <c r="U3146">
        <v>-1.9668580000000001E-2</v>
      </c>
      <c r="V3146">
        <v>-6.4241989999999999E-2</v>
      </c>
      <c r="W3146">
        <v>5.0510670000000001E-2</v>
      </c>
      <c r="X3146">
        <v>0.99665519999999996</v>
      </c>
      <c r="Y3146">
        <v>6.0751050000000001E-2</v>
      </c>
      <c r="Z3146">
        <v>-4.5094389999999996E-3</v>
      </c>
      <c r="AA3146">
        <v>0.9981428</v>
      </c>
      <c r="AB3146">
        <v>30</v>
      </c>
      <c r="AC3146">
        <v>20.4849</v>
      </c>
      <c r="AD3146">
        <v>-1.105799902812</v>
      </c>
      <c r="AE3146">
        <v>-0.15229999999999599</v>
      </c>
      <c r="AF3146">
        <v>1.2635160862463399</v>
      </c>
      <c r="AG3146">
        <v>-1.105799902812</v>
      </c>
      <c r="AH3146">
        <v>20.386831807322601</v>
      </c>
      <c r="AI3146">
        <v>93.098797520526901</v>
      </c>
      <c r="AJ3146">
        <v>86.453511737637996</v>
      </c>
      <c r="AK3146">
        <v>20.455859245343898</v>
      </c>
    </row>
    <row r="3147" spans="1:37" x14ac:dyDescent="0.2">
      <c r="A3147" t="str">
        <f>"20200111155908960"</f>
        <v>20200111155908960</v>
      </c>
      <c r="B3147" t="str">
        <f>"1578729548955108"</f>
        <v>1578729548955108</v>
      </c>
      <c r="C3147" t="s">
        <v>37</v>
      </c>
      <c r="D3147">
        <v>5.5035980000000002</v>
      </c>
      <c r="E3147">
        <v>0.48701519999999998</v>
      </c>
      <c r="F3147" t="s">
        <v>52</v>
      </c>
      <c r="G3147">
        <v>-291.55709999999999</v>
      </c>
      <c r="H3147" s="1">
        <v>1.170606E-6</v>
      </c>
      <c r="I3147">
        <v>214.57579999999999</v>
      </c>
      <c r="J3147">
        <v>-311.31810000000002</v>
      </c>
      <c r="K3147">
        <v>1.1057349999999999</v>
      </c>
      <c r="L3147">
        <v>214.67779999999999</v>
      </c>
      <c r="M3147">
        <v>0.99833590000000005</v>
      </c>
      <c r="N3147">
        <v>0</v>
      </c>
      <c r="O3147">
        <v>5.622245E-2</v>
      </c>
      <c r="P3147">
        <v>0.992193199999999</v>
      </c>
      <c r="Q3147">
        <v>3.7015760000000002E-2</v>
      </c>
      <c r="R3147">
        <v>0.11909119999999999</v>
      </c>
      <c r="S3147">
        <v>3.03125</v>
      </c>
      <c r="T3147">
        <v>-0.1670044</v>
      </c>
      <c r="U3147">
        <v>-1.255798E-2</v>
      </c>
      <c r="V3147">
        <v>-6.3286319999999993E-2</v>
      </c>
      <c r="W3147">
        <v>4.9592480000000001E-2</v>
      </c>
      <c r="X3147">
        <v>0.9967625</v>
      </c>
      <c r="Y3147">
        <v>6.0186360000000001E-2</v>
      </c>
      <c r="Z3147">
        <v>-4.7509889999999997E-3</v>
      </c>
      <c r="AA3147">
        <v>0.9981759</v>
      </c>
      <c r="AB3147">
        <v>30</v>
      </c>
      <c r="AC3147">
        <v>19.760999999999999</v>
      </c>
      <c r="AD3147">
        <v>-1.105733829394</v>
      </c>
      <c r="AE3147">
        <v>-0.102000000000003</v>
      </c>
      <c r="AF3147">
        <v>1.2091560754027799</v>
      </c>
      <c r="AG3147">
        <v>-1.105733829394</v>
      </c>
      <c r="AH3147">
        <v>19.662441563965501</v>
      </c>
      <c r="AI3147">
        <v>93.212629731071502</v>
      </c>
      <c r="AJ3147">
        <v>86.480986084060504</v>
      </c>
      <c r="AK3147">
        <v>19.730593350746101</v>
      </c>
    </row>
    <row r="3148" spans="1:37" x14ac:dyDescent="0.2">
      <c r="A3148" t="str">
        <f>"20200111155908983"</f>
        <v>20200111155908983</v>
      </c>
      <c r="B3148" t="str">
        <f>"1578729548974629"</f>
        <v>1578729548974629</v>
      </c>
      <c r="C3148" t="s">
        <v>37</v>
      </c>
      <c r="D3148">
        <v>5.4375669999999996</v>
      </c>
      <c r="E3148">
        <v>0.48438100000000001</v>
      </c>
      <c r="F3148" t="s">
        <v>52</v>
      </c>
      <c r="G3148">
        <v>-287.88549999999998</v>
      </c>
      <c r="H3148" s="1">
        <v>3.1469380000000001E-6</v>
      </c>
      <c r="I3148">
        <v>218.36680000000001</v>
      </c>
      <c r="J3148">
        <v>-311.01409999999998</v>
      </c>
      <c r="K3148">
        <v>1.1056680000000001</v>
      </c>
      <c r="L3148">
        <v>214.6968</v>
      </c>
      <c r="M3148">
        <v>0.99824020000000002</v>
      </c>
      <c r="N3148">
        <v>0</v>
      </c>
      <c r="O3148">
        <v>5.78995E-2</v>
      </c>
      <c r="P3148">
        <v>0.99221519999999996</v>
      </c>
      <c r="Q3148">
        <v>3.6328600000000003E-2</v>
      </c>
      <c r="R3148">
        <v>0.1191193</v>
      </c>
      <c r="S3148">
        <v>2.9726560000000002</v>
      </c>
      <c r="T3148">
        <v>-0.14027290000000001</v>
      </c>
      <c r="U3148">
        <v>0.46798709999999999</v>
      </c>
      <c r="V3148">
        <v>-6.1627630000000003E-2</v>
      </c>
      <c r="W3148">
        <v>4.8912850000000001E-2</v>
      </c>
      <c r="X3148">
        <v>0.99690000000000001</v>
      </c>
      <c r="Y3148">
        <v>-9.8011029999999999E-2</v>
      </c>
      <c r="Z3148">
        <v>-4.1290839999999902E-4</v>
      </c>
      <c r="AA3148">
        <v>0.99518530000000005</v>
      </c>
      <c r="AB3148">
        <v>30</v>
      </c>
      <c r="AC3148">
        <v>23.128599999999999</v>
      </c>
      <c r="AD3148">
        <v>-1.1056648530619999</v>
      </c>
      <c r="AE3148">
        <v>3.6700000000000101</v>
      </c>
      <c r="AF3148">
        <v>-2.3194274943996298</v>
      </c>
      <c r="AG3148">
        <v>-1.1056648530619999</v>
      </c>
      <c r="AH3148">
        <v>23.2504721638451</v>
      </c>
      <c r="AI3148">
        <v>92.709194704863805</v>
      </c>
      <c r="AJ3148">
        <v>95.696881330310603</v>
      </c>
      <c r="AK3148">
        <v>23.392022026982001</v>
      </c>
    </row>
    <row r="3149" spans="1:37" x14ac:dyDescent="0.2">
      <c r="A3149" t="str">
        <f>"20200111155909004"</f>
        <v>20200111155909004</v>
      </c>
      <c r="B3149" t="str">
        <f>"1578729548995125"</f>
        <v>1578729548995125</v>
      </c>
      <c r="C3149" t="s">
        <v>37</v>
      </c>
      <c r="D3149">
        <v>5.4827159999999999</v>
      </c>
      <c r="E3149">
        <v>0.48340339999999998</v>
      </c>
      <c r="F3149" t="s">
        <v>52</v>
      </c>
      <c r="G3149">
        <v>-288.55529999999999</v>
      </c>
      <c r="H3149" s="1">
        <v>2.8466870000000001E-6</v>
      </c>
      <c r="I3149">
        <v>218.39359999999999</v>
      </c>
      <c r="J3149">
        <v>-310.72519999999997</v>
      </c>
      <c r="K3149">
        <v>1.1056010000000001</v>
      </c>
      <c r="L3149">
        <v>214.71520000000001</v>
      </c>
      <c r="M3149">
        <v>0.99815149999999997</v>
      </c>
      <c r="N3149">
        <v>0</v>
      </c>
      <c r="O3149">
        <v>5.9409940000000001E-2</v>
      </c>
      <c r="P3149">
        <v>0.99228419999999895</v>
      </c>
      <c r="Q3149">
        <v>3.6135979999999998E-2</v>
      </c>
      <c r="R3149">
        <v>0.118601199999999</v>
      </c>
      <c r="S3149">
        <v>2.9701840000000002</v>
      </c>
      <c r="T3149">
        <v>-0.14622489999999999</v>
      </c>
      <c r="U3149">
        <v>0.48890689999999998</v>
      </c>
      <c r="V3149">
        <v>-5.958828E-2</v>
      </c>
      <c r="W3149">
        <v>4.872949E-2</v>
      </c>
      <c r="X3149">
        <v>0.9970329</v>
      </c>
      <c r="Y3149">
        <v>-0.10345459999999999</v>
      </c>
      <c r="Z3149">
        <v>-3.7091129999999899E-4</v>
      </c>
      <c r="AA3149">
        <v>0.99463409999999997</v>
      </c>
      <c r="AB3149">
        <v>30</v>
      </c>
      <c r="AC3149">
        <v>22.169899999999899</v>
      </c>
      <c r="AD3149">
        <v>-1.1055981533129999</v>
      </c>
      <c r="AE3149">
        <v>3.6783999999999799</v>
      </c>
      <c r="AF3149">
        <v>-2.3489958649914802</v>
      </c>
      <c r="AG3149">
        <v>-1.1055981533129999</v>
      </c>
      <c r="AH3149">
        <v>22.295323799121501</v>
      </c>
      <c r="AI3149">
        <v>92.823301872192204</v>
      </c>
      <c r="AJ3149">
        <v>96.014393469967004</v>
      </c>
      <c r="AK3149">
        <v>22.4459705104954</v>
      </c>
    </row>
    <row r="3150" spans="1:37" x14ac:dyDescent="0.2">
      <c r="A3150" t="str">
        <f>"20200111155909028"</f>
        <v>20200111155909028</v>
      </c>
      <c r="B3150" t="str">
        <f>"1578729549014644"</f>
        <v>1578729549014644</v>
      </c>
      <c r="C3150" t="s">
        <v>37</v>
      </c>
      <c r="D3150">
        <v>4.0311719999999998</v>
      </c>
      <c r="E3150">
        <v>0.48356890000000002</v>
      </c>
      <c r="F3150" t="s">
        <v>52</v>
      </c>
      <c r="G3150">
        <v>-289.96010000000001</v>
      </c>
      <c r="H3150" s="1">
        <v>8.8732670000000004E-7</v>
      </c>
      <c r="I3150">
        <v>218.1797</v>
      </c>
      <c r="J3150">
        <v>-310.42169999999999</v>
      </c>
      <c r="K3150">
        <v>1.1055269999999999</v>
      </c>
      <c r="L3150">
        <v>214.73500000000001</v>
      </c>
      <c r="M3150">
        <v>0.99806219999999901</v>
      </c>
      <c r="N3150">
        <v>0</v>
      </c>
      <c r="O3150">
        <v>6.0895980000000002E-2</v>
      </c>
      <c r="P3150">
        <v>0.99231819999999904</v>
      </c>
      <c r="Q3150">
        <v>3.636955E-2</v>
      </c>
      <c r="R3150">
        <v>0.1182444</v>
      </c>
      <c r="S3150">
        <v>2.969849</v>
      </c>
      <c r="T3150">
        <v>-0.15812409999999999</v>
      </c>
      <c r="U3150">
        <v>0.49549870000000001</v>
      </c>
      <c r="V3150">
        <v>-5.7737160000000003E-2</v>
      </c>
      <c r="W3150">
        <v>4.8964290000000001E-2</v>
      </c>
      <c r="X3150">
        <v>0.99713030000000002</v>
      </c>
      <c r="Y3150">
        <v>-0.10413269999999999</v>
      </c>
      <c r="Z3150">
        <v>-4.61288499999999E-4</v>
      </c>
      <c r="AA3150">
        <v>0.99456329999999904</v>
      </c>
      <c r="AB3150">
        <v>30</v>
      </c>
      <c r="AC3150">
        <v>20.461599999999901</v>
      </c>
      <c r="AD3150">
        <v>-1.1055261126733</v>
      </c>
      <c r="AE3150">
        <v>3.4446999999999801</v>
      </c>
      <c r="AF3150">
        <v>-2.1859695808423698</v>
      </c>
      <c r="AG3150">
        <v>-1.1055261126733</v>
      </c>
      <c r="AH3150">
        <v>20.574998486904502</v>
      </c>
      <c r="AI3150">
        <v>93.058452033219297</v>
      </c>
      <c r="AJ3150">
        <v>96.064580970491207</v>
      </c>
      <c r="AK3150">
        <v>20.720309209331202</v>
      </c>
    </row>
    <row r="3151" spans="1:37" x14ac:dyDescent="0.2">
      <c r="A3151" t="str">
        <f>"20200111155909139"</f>
        <v>20200111155909139</v>
      </c>
      <c r="B3151" t="str">
        <f>"1578729549134693"</f>
        <v>1578729549134693</v>
      </c>
      <c r="C3151" t="s">
        <v>37</v>
      </c>
      <c r="D3151">
        <v>5.4558910000000003</v>
      </c>
      <c r="E3151">
        <v>0.48228759999999998</v>
      </c>
      <c r="F3151" t="s">
        <v>52</v>
      </c>
      <c r="G3151">
        <v>-287.72460000000001</v>
      </c>
      <c r="H3151" s="1">
        <v>3.2021420000000001E-6</v>
      </c>
      <c r="I3151">
        <v>218.50210000000001</v>
      </c>
      <c r="J3151">
        <v>-308.93299999999999</v>
      </c>
      <c r="K3151">
        <v>1.105127</v>
      </c>
      <c r="L3151">
        <v>214.8364</v>
      </c>
      <c r="M3151">
        <v>0.9976912</v>
      </c>
      <c r="N3151">
        <v>0</v>
      </c>
      <c r="O3151">
        <v>6.6753229999999997E-2</v>
      </c>
      <c r="P3151">
        <v>0.99036749999999996</v>
      </c>
      <c r="Q3151">
        <v>4.3548669999999998E-2</v>
      </c>
      <c r="R3151">
        <v>0.13143859999999999</v>
      </c>
      <c r="S3151">
        <v>2.9697879999999999</v>
      </c>
      <c r="T3151">
        <v>-0.14465159999999999</v>
      </c>
      <c r="U3151">
        <v>0.49290469999999997</v>
      </c>
      <c r="V3151">
        <v>-6.5142420000000006E-2</v>
      </c>
      <c r="W3151">
        <v>5.588415E-2</v>
      </c>
      <c r="X3151">
        <v>0.99630989999999997</v>
      </c>
      <c r="Y3151">
        <v>-9.7474969999999994E-2</v>
      </c>
      <c r="Z3151">
        <v>-8.6506249999999995E-4</v>
      </c>
      <c r="AA3151">
        <v>0.99523759999999994</v>
      </c>
      <c r="AB3151">
        <v>30</v>
      </c>
      <c r="AC3151">
        <v>21.208399999999902</v>
      </c>
      <c r="AD3151">
        <v>-1.105123797858</v>
      </c>
      <c r="AE3151">
        <v>3.66570000000001</v>
      </c>
      <c r="AF3151">
        <v>-2.2357880215349</v>
      </c>
      <c r="AG3151">
        <v>-1.105123797858</v>
      </c>
      <c r="AH3151">
        <v>21.349516801074</v>
      </c>
      <c r="AI3151">
        <v>92.947092693772305</v>
      </c>
      <c r="AJ3151">
        <v>95.978401467690205</v>
      </c>
      <c r="AK3151">
        <v>21.494695027498501</v>
      </c>
    </row>
    <row r="3152" spans="1:37" x14ac:dyDescent="0.2">
      <c r="A3152" t="str">
        <f>"20200111155909162"</f>
        <v>20200111155909162</v>
      </c>
      <c r="B3152" t="str">
        <f>"1578729549155189"</f>
        <v>1578729549155189</v>
      </c>
      <c r="C3152" t="s">
        <v>37</v>
      </c>
      <c r="D3152">
        <v>5.4335829999999996</v>
      </c>
      <c r="E3152">
        <v>0.48290810000000001</v>
      </c>
      <c r="F3152" t="s">
        <v>52</v>
      </c>
      <c r="G3152">
        <v>-284.2253</v>
      </c>
      <c r="H3152" s="1">
        <v>4.6508840000000002E-6</v>
      </c>
      <c r="I3152">
        <v>219.36660000000001</v>
      </c>
      <c r="J3152">
        <v>-308.6345</v>
      </c>
      <c r="K3152">
        <v>1.1049850000000001</v>
      </c>
      <c r="L3152">
        <v>214.85730000000001</v>
      </c>
      <c r="M3152">
        <v>0.99763819999999903</v>
      </c>
      <c r="N3152">
        <v>0</v>
      </c>
      <c r="O3152">
        <v>6.7562419999999998E-2</v>
      </c>
      <c r="P3152">
        <v>0.9900542</v>
      </c>
      <c r="Q3152">
        <v>4.344216E-2</v>
      </c>
      <c r="R3152">
        <v>0.13381129999999999</v>
      </c>
      <c r="S3152">
        <v>2.9629209999999899</v>
      </c>
      <c r="T3152">
        <v>-0.132524799999999</v>
      </c>
      <c r="U3152">
        <v>0.54325869999999998</v>
      </c>
      <c r="V3152">
        <v>-6.6706139999999997E-2</v>
      </c>
      <c r="W3152">
        <v>5.5670850000000001E-2</v>
      </c>
      <c r="X3152">
        <v>0.99621839999999995</v>
      </c>
      <c r="Y3152">
        <v>-0.1134298</v>
      </c>
      <c r="Z3152">
        <v>-4.7487039999999999E-4</v>
      </c>
      <c r="AA3152">
        <v>0.99354589999999998</v>
      </c>
      <c r="AB3152">
        <v>30</v>
      </c>
      <c r="AC3152">
        <v>24.409199999999998</v>
      </c>
      <c r="AD3152">
        <v>-1.104980349116</v>
      </c>
      <c r="AE3152">
        <v>4.5092999999999899</v>
      </c>
      <c r="AF3152">
        <v>-2.8440878151022302</v>
      </c>
      <c r="AG3152">
        <v>-1.104980349116</v>
      </c>
      <c r="AH3152">
        <v>24.609333027159401</v>
      </c>
      <c r="AI3152">
        <v>92.553927078846399</v>
      </c>
      <c r="AJ3152">
        <v>96.592397219037693</v>
      </c>
      <c r="AK3152">
        <v>24.797763792600001</v>
      </c>
    </row>
    <row r="3153" spans="1:37" x14ac:dyDescent="0.2">
      <c r="A3153" t="str">
        <f>"20200111155909184"</f>
        <v>20200111155909184</v>
      </c>
      <c r="B3153" t="str">
        <f>"1578729549174708"</f>
        <v>1578729549174708</v>
      </c>
      <c r="C3153" t="s">
        <v>37</v>
      </c>
      <c r="D3153">
        <v>5.4660880000000001</v>
      </c>
      <c r="E3153">
        <v>0.48343520000000001</v>
      </c>
      <c r="F3153" t="s">
        <v>52</v>
      </c>
      <c r="G3153">
        <v>-284.84589999999997</v>
      </c>
      <c r="H3153" s="1">
        <v>4.3913510000000001E-6</v>
      </c>
      <c r="I3153">
        <v>219.23519999999999</v>
      </c>
      <c r="J3153">
        <v>-308.33569999999997</v>
      </c>
      <c r="K3153">
        <v>1.1048260000000001</v>
      </c>
      <c r="L3153">
        <v>214.8784</v>
      </c>
      <c r="M3153">
        <v>0.99759549999999997</v>
      </c>
      <c r="N3153">
        <v>0</v>
      </c>
      <c r="O3153">
        <v>6.8217040000000007E-2</v>
      </c>
      <c r="P3153">
        <v>0.98989740000000004</v>
      </c>
      <c r="Q3153">
        <v>4.2526960000000003E-2</v>
      </c>
      <c r="R3153">
        <v>0.13525870000000001</v>
      </c>
      <c r="S3153">
        <v>2.9624630000000001</v>
      </c>
      <c r="T3153">
        <v>-0.1376066</v>
      </c>
      <c r="U3153">
        <v>0.54518129999999998</v>
      </c>
      <c r="V3153">
        <v>-6.7488119999999999E-2</v>
      </c>
      <c r="W3153">
        <v>5.462769E-2</v>
      </c>
      <c r="X3153">
        <v>0.99622339999999998</v>
      </c>
      <c r="Y3153">
        <v>-0.11342619999999901</v>
      </c>
      <c r="Z3153">
        <v>-5.2316250000000004E-4</v>
      </c>
      <c r="AA3153">
        <v>0.99354629999999999</v>
      </c>
      <c r="AB3153">
        <v>30</v>
      </c>
      <c r="AC3153">
        <v>23.489799999999999</v>
      </c>
      <c r="AD3153">
        <v>-1.1048216086489999</v>
      </c>
      <c r="AE3153">
        <v>4.35679999999999</v>
      </c>
      <c r="AF3153">
        <v>-2.7382686345572602</v>
      </c>
      <c r="AG3153">
        <v>-1.1048216086489999</v>
      </c>
      <c r="AH3153">
        <v>23.681656250534399</v>
      </c>
      <c r="AI3153">
        <v>92.653432748074295</v>
      </c>
      <c r="AJ3153">
        <v>96.5957204963739</v>
      </c>
      <c r="AK3153">
        <v>23.865028570492299</v>
      </c>
    </row>
    <row r="3154" spans="1:37" x14ac:dyDescent="0.2">
      <c r="A3154" t="str">
        <f>"20200111155909205"</f>
        <v>20200111155909205</v>
      </c>
      <c r="B3154" t="str">
        <f>"1578729549195204"</f>
        <v>1578729549195204</v>
      </c>
      <c r="C3154" t="s">
        <v>37</v>
      </c>
      <c r="D3154">
        <v>4.0591730000000004</v>
      </c>
      <c r="E3154">
        <v>0.48359940000000001</v>
      </c>
      <c r="F3154" t="s">
        <v>52</v>
      </c>
      <c r="G3154">
        <v>-285.6893</v>
      </c>
      <c r="H3154" s="1">
        <v>4.0400689999999999E-6</v>
      </c>
      <c r="I3154">
        <v>219.0446</v>
      </c>
      <c r="J3154">
        <v>-308.05009999999999</v>
      </c>
      <c r="K3154">
        <v>1.1046659999999999</v>
      </c>
      <c r="L3154">
        <v>214.89850000000001</v>
      </c>
      <c r="M3154">
        <v>0.99756559999999905</v>
      </c>
      <c r="N3154">
        <v>0</v>
      </c>
      <c r="O3154">
        <v>6.8682119999999999E-2</v>
      </c>
      <c r="P3154">
        <v>0.98980299999999999</v>
      </c>
      <c r="Q3154">
        <v>4.196515E-2</v>
      </c>
      <c r="R3154">
        <v>0.13612170000000001</v>
      </c>
      <c r="S3154">
        <v>2.9623719999999998</v>
      </c>
      <c r="T3154">
        <v>-0.14452119999999999</v>
      </c>
      <c r="U3154">
        <v>0.54498290000000005</v>
      </c>
      <c r="V3154">
        <v>-6.7873139999999998E-2</v>
      </c>
      <c r="W3154">
        <v>5.3917779999999998E-2</v>
      </c>
      <c r="X3154">
        <v>0.99623600000000001</v>
      </c>
      <c r="Y3154">
        <v>-0.1129006</v>
      </c>
      <c r="Z3154">
        <v>-5.8452389999999997E-4</v>
      </c>
      <c r="AA3154">
        <v>0.99360609999999905</v>
      </c>
      <c r="AB3154">
        <v>30</v>
      </c>
      <c r="AC3154">
        <v>22.360799999999902</v>
      </c>
      <c r="AD3154">
        <v>-1.1046619599309999</v>
      </c>
      <c r="AE3154">
        <v>4.1460999999999899</v>
      </c>
      <c r="AF3154">
        <v>-2.5942879562820802</v>
      </c>
      <c r="AG3154">
        <v>-1.1046619599309999</v>
      </c>
      <c r="AH3154">
        <v>22.5395928553991</v>
      </c>
      <c r="AI3154">
        <v>92.787438569086405</v>
      </c>
      <c r="AJ3154">
        <v>96.565803008025497</v>
      </c>
      <c r="AK3154">
        <v>22.7152779893398</v>
      </c>
    </row>
    <row r="3155" spans="1:37" x14ac:dyDescent="0.2">
      <c r="A3155" t="str">
        <f>"20200111155909227"</f>
        <v>20200111155909227</v>
      </c>
      <c r="B3155" t="str">
        <f>"1578729549214725"</f>
        <v>1578729549214725</v>
      </c>
      <c r="C3155" t="s">
        <v>37</v>
      </c>
      <c r="D3155">
        <v>4.0193149999999997</v>
      </c>
      <c r="E3155">
        <v>0.48359940000000001</v>
      </c>
      <c r="F3155" t="s">
        <v>52</v>
      </c>
      <c r="G3155">
        <v>-285.98340000000002</v>
      </c>
      <c r="H3155" s="1">
        <v>3.9188569999999997E-6</v>
      </c>
      <c r="I3155">
        <v>218.96700000000001</v>
      </c>
      <c r="J3155">
        <v>-307.75220000000002</v>
      </c>
      <c r="K3155">
        <v>1.1044929999999999</v>
      </c>
      <c r="L3155">
        <v>214.9194</v>
      </c>
      <c r="M3155">
        <v>0.99754690000000001</v>
      </c>
      <c r="N3155">
        <v>0</v>
      </c>
      <c r="O3155">
        <v>6.8989339999999996E-2</v>
      </c>
      <c r="P3155">
        <v>0.98976739999999996</v>
      </c>
      <c r="Q3155">
        <v>4.1339790000000001E-2</v>
      </c>
      <c r="R3155">
        <v>0.13657179999999999</v>
      </c>
      <c r="S3155">
        <v>2.962097</v>
      </c>
      <c r="T3155">
        <v>-0.1482831</v>
      </c>
      <c r="U3155">
        <v>0.54614259999999903</v>
      </c>
      <c r="V3155">
        <v>-6.8000080000000004E-2</v>
      </c>
      <c r="W3155">
        <v>5.3107840000000003E-2</v>
      </c>
      <c r="X3155">
        <v>0.99627080000000001</v>
      </c>
      <c r="Y3155">
        <v>-0.1129849</v>
      </c>
      <c r="Z3155">
        <v>-6.1280980000000002E-4</v>
      </c>
      <c r="AA3155">
        <v>0.99359649999999999</v>
      </c>
      <c r="AB3155">
        <v>30</v>
      </c>
      <c r="AC3155">
        <v>21.768799999999999</v>
      </c>
      <c r="AD3155">
        <v>-1.1044890811429999</v>
      </c>
      <c r="AE3155">
        <v>4.0476000000000099</v>
      </c>
      <c r="AF3155">
        <v>-2.52973943396539</v>
      </c>
      <c r="AG3155">
        <v>-1.1044890811429999</v>
      </c>
      <c r="AH3155">
        <v>21.941591132330998</v>
      </c>
      <c r="AI3155">
        <v>92.862772632460107</v>
      </c>
      <c r="AJ3155">
        <v>96.576835435953299</v>
      </c>
      <c r="AK3155">
        <v>22.114540446333201</v>
      </c>
    </row>
    <row r="3156" spans="1:37" x14ac:dyDescent="0.2">
      <c r="A3156" t="str">
        <f>"20200111155909250"</f>
        <v>20200111155909250</v>
      </c>
      <c r="B3156" t="str">
        <f>"1578729549244981"</f>
        <v>1578729549244981</v>
      </c>
      <c r="C3156" t="s">
        <v>37</v>
      </c>
      <c r="D3156">
        <v>5.6051310000000001</v>
      </c>
      <c r="E3156">
        <v>0.39796049999999999</v>
      </c>
      <c r="F3156" t="s">
        <v>52</v>
      </c>
      <c r="G3156">
        <v>-285.97899999999998</v>
      </c>
      <c r="H3156" s="1">
        <v>3.9237089999999998E-6</v>
      </c>
      <c r="I3156">
        <v>218.94290000000001</v>
      </c>
      <c r="J3156">
        <v>-307.44170000000003</v>
      </c>
      <c r="K3156">
        <v>1.104331</v>
      </c>
      <c r="L3156">
        <v>214.94110000000001</v>
      </c>
      <c r="M3156">
        <v>0.99753729999999996</v>
      </c>
      <c r="N3156">
        <v>0</v>
      </c>
      <c r="O3156">
        <v>6.9169129999999995E-2</v>
      </c>
      <c r="P3156">
        <v>0.98967129999999903</v>
      </c>
      <c r="Q3156">
        <v>4.0610309999999997E-2</v>
      </c>
      <c r="R3156">
        <v>0.137483299999999</v>
      </c>
      <c r="S3156">
        <v>2.9617610000000001</v>
      </c>
      <c r="T3156">
        <v>-0.15024089999999901</v>
      </c>
      <c r="U3156">
        <v>0.54731750000000001</v>
      </c>
      <c r="V3156">
        <v>-6.8720320000000001E-2</v>
      </c>
      <c r="W3156">
        <v>5.217215E-2</v>
      </c>
      <c r="X3156">
        <v>0.99627080000000001</v>
      </c>
      <c r="Y3156">
        <v>-0.1132058</v>
      </c>
      <c r="Z3156">
        <v>-6.2435840000000002E-4</v>
      </c>
      <c r="AA3156">
        <v>0.99357129999999905</v>
      </c>
      <c r="AB3156">
        <v>30</v>
      </c>
      <c r="AC3156">
        <v>21.462699999999899</v>
      </c>
      <c r="AD3156">
        <v>-1.104327076291</v>
      </c>
      <c r="AE3156">
        <v>4.0018000000000002</v>
      </c>
      <c r="AF3156">
        <v>-2.5011584967254601</v>
      </c>
      <c r="AG3156">
        <v>-1.104327076291</v>
      </c>
      <c r="AH3156">
        <v>21.632761100896602</v>
      </c>
      <c r="AI3156">
        <v>92.903039826714803</v>
      </c>
      <c r="AJ3156">
        <v>96.595197868367606</v>
      </c>
      <c r="AK3156">
        <v>21.8048546192272</v>
      </c>
    </row>
    <row r="3157" spans="1:37" x14ac:dyDescent="0.2">
      <c r="A3157" t="str">
        <f>"20200111155909273"</f>
        <v>20200111155909273</v>
      </c>
      <c r="B3157" t="str">
        <f>"1578729549265476"</f>
        <v>1578729549265476</v>
      </c>
      <c r="C3157" t="s">
        <v>37</v>
      </c>
      <c r="D3157">
        <v>5.5304120000000001</v>
      </c>
      <c r="E3157">
        <v>0.39796049999999999</v>
      </c>
      <c r="F3157" t="s">
        <v>68</v>
      </c>
      <c r="G3157">
        <v>-273.52339999999998</v>
      </c>
      <c r="H3157">
        <v>5.0706579999999999</v>
      </c>
      <c r="I3157">
        <v>229.3775</v>
      </c>
      <c r="J3157">
        <v>-307.137</v>
      </c>
      <c r="K3157">
        <v>1.1041969999999901</v>
      </c>
      <c r="L3157">
        <v>214.9623</v>
      </c>
      <c r="M3157">
        <v>0.99753510000000001</v>
      </c>
      <c r="N3157">
        <v>0</v>
      </c>
      <c r="O3157">
        <v>6.9236980000000004E-2</v>
      </c>
      <c r="P3157">
        <v>0.98963889999999999</v>
      </c>
      <c r="Q3157">
        <v>3.9293479999999999E-2</v>
      </c>
      <c r="R3157">
        <v>0.13809749999999901</v>
      </c>
      <c r="S3157">
        <v>2.8491819999999999</v>
      </c>
      <c r="T3157">
        <v>0.33317779999999902</v>
      </c>
      <c r="U3157">
        <v>1.212677</v>
      </c>
      <c r="V3157">
        <v>-6.925597E-2</v>
      </c>
      <c r="W3157">
        <v>5.0633530000000003E-2</v>
      </c>
      <c r="X3157">
        <v>0.99631320000000001</v>
      </c>
      <c r="Y3157">
        <v>-0.32550649999999998</v>
      </c>
      <c r="Z3157">
        <v>-1.048049E-2</v>
      </c>
      <c r="AA3157">
        <v>0.94548169999999898</v>
      </c>
      <c r="AB3157">
        <v>30</v>
      </c>
      <c r="AC3157">
        <v>33.613599999999998</v>
      </c>
      <c r="AD3157">
        <v>3.9664609999999998</v>
      </c>
      <c r="AE3157">
        <v>14.4152</v>
      </c>
      <c r="AF3157">
        <v>-11.9130338798469</v>
      </c>
      <c r="AG3157">
        <v>3.9664609999999998</v>
      </c>
      <c r="AH3157">
        <v>34.129644472054601</v>
      </c>
      <c r="AI3157">
        <v>83.738257859800498</v>
      </c>
      <c r="AJ3157">
        <v>109.24166292848101</v>
      </c>
      <c r="AK3157">
        <v>36.365998142162297</v>
      </c>
    </row>
    <row r="3158" spans="1:37" x14ac:dyDescent="0.2">
      <c r="A3158" t="str">
        <f>"20200111155909294"</f>
        <v>20200111155909294</v>
      </c>
      <c r="B3158" t="str">
        <f>"1578729549284854"</f>
        <v>1578729549284854</v>
      </c>
      <c r="C3158" t="s">
        <v>37</v>
      </c>
      <c r="D3158">
        <v>5.7617560000000001</v>
      </c>
      <c r="E3158">
        <v>0.39796049999999999</v>
      </c>
      <c r="F3158" t="s">
        <v>68</v>
      </c>
      <c r="G3158">
        <v>-273.3288</v>
      </c>
      <c r="H3158">
        <v>5.0104050000000004</v>
      </c>
      <c r="I3158">
        <v>229.3775</v>
      </c>
      <c r="J3158">
        <v>-306.8494</v>
      </c>
      <c r="K3158">
        <v>1.104096</v>
      </c>
      <c r="L3158">
        <v>214.98230000000001</v>
      </c>
      <c r="M3158">
        <v>0.99754019999999999</v>
      </c>
      <c r="N3158">
        <v>0</v>
      </c>
      <c r="O3158">
        <v>6.9202159999999999E-2</v>
      </c>
      <c r="P3158">
        <v>0.98961200000000005</v>
      </c>
      <c r="Q3158">
        <v>3.8420320000000001E-2</v>
      </c>
      <c r="R3158">
        <v>0.13853560000000001</v>
      </c>
      <c r="S3158">
        <v>2.848846</v>
      </c>
      <c r="T3158">
        <v>0.32915749999999999</v>
      </c>
      <c r="U3158">
        <v>1.214691</v>
      </c>
      <c r="V3158">
        <v>-6.9720649999999995E-2</v>
      </c>
      <c r="W3158">
        <v>4.9530089999999999E-2</v>
      </c>
      <c r="X3158">
        <v>0.99633619999999901</v>
      </c>
      <c r="Y3158">
        <v>-0.32617669999999999</v>
      </c>
      <c r="Z3158">
        <v>-1.0395389999999999E-2</v>
      </c>
      <c r="AA3158">
        <v>0.94525159999999997</v>
      </c>
      <c r="AB3158">
        <v>30</v>
      </c>
      <c r="AC3158">
        <v>33.520600000000002</v>
      </c>
      <c r="AD3158">
        <v>3.9063089999999998</v>
      </c>
      <c r="AE3158">
        <v>14.3951999999999</v>
      </c>
      <c r="AF3158">
        <v>-11.904350427820299</v>
      </c>
      <c r="AG3158">
        <v>3.9063089999999998</v>
      </c>
      <c r="AH3158">
        <v>34.0461057214915</v>
      </c>
      <c r="AI3158">
        <v>83.818613221744798</v>
      </c>
      <c r="AJ3158">
        <v>109.27237350227</v>
      </c>
      <c r="AK3158">
        <v>36.278232094615703</v>
      </c>
    </row>
    <row r="3159" spans="1:37" x14ac:dyDescent="0.2">
      <c r="A3159" t="str">
        <f>"20200111155909317"</f>
        <v>20200111155909317</v>
      </c>
      <c r="B3159" t="str">
        <f>"1578729549305350"</f>
        <v>1578729549305350</v>
      </c>
      <c r="C3159" t="s">
        <v>37</v>
      </c>
      <c r="D3159">
        <v>5.633864</v>
      </c>
      <c r="E3159">
        <v>0.51202910000000001</v>
      </c>
      <c r="F3159" t="s">
        <v>68</v>
      </c>
      <c r="G3159">
        <v>-273.12009999999998</v>
      </c>
      <c r="H3159">
        <v>4.9729979999999996</v>
      </c>
      <c r="I3159">
        <v>229.3775</v>
      </c>
      <c r="J3159">
        <v>-306.5514</v>
      </c>
      <c r="K3159">
        <v>1.1039889999999899</v>
      </c>
      <c r="L3159">
        <v>215.00290000000001</v>
      </c>
      <c r="M3159">
        <v>0.99755260000000001</v>
      </c>
      <c r="N3159">
        <v>0</v>
      </c>
      <c r="O3159">
        <v>6.9067069999999994E-2</v>
      </c>
      <c r="P3159">
        <v>0.98961650000000001</v>
      </c>
      <c r="Q3159">
        <v>3.7686030000000002E-2</v>
      </c>
      <c r="R3159">
        <v>0.13870569999999999</v>
      </c>
      <c r="S3159">
        <v>2.8486020000000001</v>
      </c>
      <c r="T3159">
        <v>0.32675019999999999</v>
      </c>
      <c r="U3159">
        <v>1.2157439999999999</v>
      </c>
      <c r="V3159">
        <v>-7.0016679999999998E-2</v>
      </c>
      <c r="W3159">
        <v>4.8548510000000003E-2</v>
      </c>
      <c r="X3159">
        <v>0.99636380000000002</v>
      </c>
      <c r="Y3159">
        <v>-0.32664729999999997</v>
      </c>
      <c r="Z3159">
        <v>-1.036041E-2</v>
      </c>
      <c r="AA3159">
        <v>0.94508950000000003</v>
      </c>
      <c r="AB3159">
        <v>30</v>
      </c>
      <c r="AC3159">
        <v>33.4313</v>
      </c>
      <c r="AD3159">
        <v>3.8690090000000001</v>
      </c>
      <c r="AE3159">
        <v>14.3745999999999</v>
      </c>
      <c r="AF3159">
        <v>-11.8966550084607</v>
      </c>
      <c r="AG3159">
        <v>3.8690090000000001</v>
      </c>
      <c r="AH3159">
        <v>33.960449949478303</v>
      </c>
      <c r="AI3159">
        <v>83.863105775298195</v>
      </c>
      <c r="AJ3159">
        <v>109.305822620493</v>
      </c>
      <c r="AK3159">
        <v>36.191322051058499</v>
      </c>
    </row>
    <row r="3160" spans="1:37" x14ac:dyDescent="0.2">
      <c r="A3160" t="str">
        <f>"20200111155909340"</f>
        <v>20200111155909340</v>
      </c>
      <c r="B3160" t="str">
        <f>"1578729549334630"</f>
        <v>1578729549334630</v>
      </c>
      <c r="C3160" t="s">
        <v>37</v>
      </c>
      <c r="D3160">
        <v>5.657578</v>
      </c>
      <c r="E3160">
        <v>0.56498959999999998</v>
      </c>
      <c r="F3160" t="s">
        <v>52</v>
      </c>
      <c r="G3160">
        <v>-289.66930000000002</v>
      </c>
      <c r="H3160" s="1">
        <v>2.5350010000000001E-6</v>
      </c>
      <c r="I3160">
        <v>216.86420000000001</v>
      </c>
      <c r="J3160">
        <v>-306.24169999999998</v>
      </c>
      <c r="K3160">
        <v>1.1038709999999901</v>
      </c>
      <c r="L3160">
        <v>215.02420000000001</v>
      </c>
      <c r="M3160">
        <v>0.99757209999999996</v>
      </c>
      <c r="N3160">
        <v>0</v>
      </c>
      <c r="O3160">
        <v>6.8829790000000002E-2</v>
      </c>
      <c r="P3160">
        <v>0.98972469999999901</v>
      </c>
      <c r="Q3160">
        <v>3.7206900000000001E-2</v>
      </c>
      <c r="R3160">
        <v>0.13806209999999999</v>
      </c>
      <c r="S3160">
        <v>2.9926759999999999</v>
      </c>
      <c r="T3160">
        <v>-0.19570290000000001</v>
      </c>
      <c r="U3160">
        <v>0.32994079999999998</v>
      </c>
      <c r="V3160">
        <v>-6.9594890000000006E-2</v>
      </c>
      <c r="W3160">
        <v>4.7809320000000002E-2</v>
      </c>
      <c r="X3160">
        <v>0.99642900000000001</v>
      </c>
      <c r="Y3160">
        <v>-4.0964960000000002E-2</v>
      </c>
      <c r="Z3160">
        <v>-3.14210099999999E-3</v>
      </c>
      <c r="AA3160">
        <v>0.99915560000000003</v>
      </c>
      <c r="AB3160">
        <v>30</v>
      </c>
      <c r="AC3160">
        <v>16.572399999999899</v>
      </c>
      <c r="AD3160">
        <v>-1.1038684649989901</v>
      </c>
      <c r="AE3160">
        <v>1.84</v>
      </c>
      <c r="AF3160">
        <v>-0.69186465097587402</v>
      </c>
      <c r="AG3160">
        <v>-1.1038684649989901</v>
      </c>
      <c r="AH3160">
        <v>16.5870504344906</v>
      </c>
      <c r="AI3160">
        <v>93.804122663563206</v>
      </c>
      <c r="AJ3160">
        <v>92.388487289035695</v>
      </c>
      <c r="AK3160">
        <v>16.638132238915102</v>
      </c>
    </row>
    <row r="3161" spans="1:37" x14ac:dyDescent="0.2">
      <c r="A3161" t="str">
        <f>"20200111155909362"</f>
        <v>20200111155909362</v>
      </c>
      <c r="B3161" t="str">
        <f>"1578729549355127"</f>
        <v>1578729549355127</v>
      </c>
      <c r="C3161" t="s">
        <v>37</v>
      </c>
      <c r="D3161">
        <v>5.608644</v>
      </c>
      <c r="E3161">
        <v>0.56765399999999999</v>
      </c>
      <c r="F3161" t="s">
        <v>38</v>
      </c>
      <c r="G3161">
        <v>-305.44220000000001</v>
      </c>
      <c r="H3161">
        <v>1.0406329999999999</v>
      </c>
      <c r="I3161">
        <v>215.00059999999999</v>
      </c>
      <c r="J3161">
        <v>-305.93459999999999</v>
      </c>
      <c r="K3161">
        <v>1.1037509999999999</v>
      </c>
      <c r="L3161">
        <v>215.04509999999999</v>
      </c>
      <c r="M3161">
        <v>0.99759719999999996</v>
      </c>
      <c r="N3161">
        <v>0</v>
      </c>
      <c r="O3161">
        <v>6.8506440000000002E-2</v>
      </c>
      <c r="P3161">
        <v>0.98990919999999905</v>
      </c>
      <c r="Q3161">
        <v>3.7296870000000003E-2</v>
      </c>
      <c r="R3161">
        <v>0.1367071</v>
      </c>
      <c r="S3161">
        <v>3.0526119999999999</v>
      </c>
      <c r="T3161">
        <v>-0.24167249999999901</v>
      </c>
      <c r="U3161">
        <v>-8.8485720000000004E-2</v>
      </c>
      <c r="V3161">
        <v>-6.8543960000000001E-2</v>
      </c>
      <c r="W3161">
        <v>4.7634049999999997E-2</v>
      </c>
      <c r="X3161">
        <v>0.99651029999999996</v>
      </c>
      <c r="Y3161">
        <v>9.6870910000000005E-2</v>
      </c>
      <c r="Z3161">
        <v>-9.2402309999999998E-3</v>
      </c>
      <c r="AA3161">
        <v>0.99525399999999997</v>
      </c>
      <c r="AB3161">
        <v>30</v>
      </c>
      <c r="AC3161">
        <v>0.49239999999997502</v>
      </c>
      <c r="AD3161">
        <v>-6.3117999999999994E-2</v>
      </c>
      <c r="AE3161">
        <v>-4.4499999999999297E-2</v>
      </c>
      <c r="AF3161">
        <v>7.6876865587872295E-2</v>
      </c>
      <c r="AG3161">
        <v>-6.3117999999999994E-2</v>
      </c>
      <c r="AH3161">
        <v>0.48036531388388598</v>
      </c>
      <c r="AI3161">
        <v>97.3925331832762</v>
      </c>
      <c r="AJ3161">
        <v>80.907581418081705</v>
      </c>
      <c r="AK3161">
        <v>0.49055557194815302</v>
      </c>
    </row>
    <row r="3162" spans="1:37" x14ac:dyDescent="0.2">
      <c r="A3162" t="str">
        <f>"20200111155909384"</f>
        <v>20200111155909384</v>
      </c>
      <c r="B3162" t="str">
        <f>"1578729549374646"</f>
        <v>1578729549374646</v>
      </c>
      <c r="C3162" t="s">
        <v>37</v>
      </c>
      <c r="D3162">
        <v>5.6007540000000002</v>
      </c>
      <c r="E3162">
        <v>0.56852689999999995</v>
      </c>
      <c r="F3162" t="s">
        <v>38</v>
      </c>
      <c r="G3162">
        <v>-305.1678</v>
      </c>
      <c r="H3162">
        <v>1.0460389999999999</v>
      </c>
      <c r="I3162">
        <v>215.0164</v>
      </c>
      <c r="J3162">
        <v>-305.63569999999999</v>
      </c>
      <c r="K3162">
        <v>1.10364</v>
      </c>
      <c r="L3162">
        <v>215.06530000000001</v>
      </c>
      <c r="M3162">
        <v>0.99762729999999999</v>
      </c>
      <c r="N3162">
        <v>0</v>
      </c>
      <c r="O3162">
        <v>6.8109180000000005E-2</v>
      </c>
      <c r="P3162">
        <v>0.99023249999999996</v>
      </c>
      <c r="Q3162">
        <v>3.7709609999999998E-2</v>
      </c>
      <c r="R3162">
        <v>0.13423009999999999</v>
      </c>
      <c r="S3162">
        <v>3.05496199999999</v>
      </c>
      <c r="T3162">
        <v>-0.23000229999999899</v>
      </c>
      <c r="U3162">
        <v>-0.11386110000000001</v>
      </c>
      <c r="V3162">
        <v>-6.6439269999999995E-2</v>
      </c>
      <c r="W3162">
        <v>4.7779309999999998E-2</v>
      </c>
      <c r="X3162">
        <v>0.99664589999999997</v>
      </c>
      <c r="Y3162">
        <v>0.1047353</v>
      </c>
      <c r="Z3162">
        <v>-9.0534259999999998E-3</v>
      </c>
      <c r="AA3162">
        <v>0.99445890000000003</v>
      </c>
      <c r="AB3162">
        <v>30</v>
      </c>
      <c r="AC3162">
        <v>0.46789999999998599</v>
      </c>
      <c r="AD3162">
        <v>-5.7600999999999999E-2</v>
      </c>
      <c r="AE3162">
        <v>-4.8900000000003198E-2</v>
      </c>
      <c r="AF3162">
        <v>7.9465053916613806E-2</v>
      </c>
      <c r="AG3162">
        <v>-5.7600999999999999E-2</v>
      </c>
      <c r="AH3162">
        <v>0.45663712491446101</v>
      </c>
      <c r="AI3162">
        <v>97.084057522417893</v>
      </c>
      <c r="AJ3162">
        <v>80.128115648624103</v>
      </c>
      <c r="AK3162">
        <v>0.46706534215794199</v>
      </c>
    </row>
    <row r="3163" spans="1:37" x14ac:dyDescent="0.2">
      <c r="A3163" t="str">
        <f>"20200111155909406"</f>
        <v>20200111155909406</v>
      </c>
      <c r="B3163" t="str">
        <f>"1578729549395142"</f>
        <v>1578729549395142</v>
      </c>
      <c r="C3163" t="s">
        <v>37</v>
      </c>
      <c r="D3163">
        <v>5.768548</v>
      </c>
      <c r="E3163">
        <v>0.56774409999999997</v>
      </c>
      <c r="F3163" t="s">
        <v>38</v>
      </c>
      <c r="G3163">
        <v>-304.89229999999998</v>
      </c>
      <c r="H3163">
        <v>1.0495129999999999</v>
      </c>
      <c r="I3163">
        <v>215.03380000000001</v>
      </c>
      <c r="J3163">
        <v>-305.34199999999998</v>
      </c>
      <c r="K3163">
        <v>1.103531</v>
      </c>
      <c r="L3163">
        <v>215.0849</v>
      </c>
      <c r="M3163">
        <v>0.99766180000000004</v>
      </c>
      <c r="N3163">
        <v>0</v>
      </c>
      <c r="O3163">
        <v>6.7643250000000002E-2</v>
      </c>
      <c r="P3163">
        <v>0.99054259999999905</v>
      </c>
      <c r="Q3163">
        <v>3.8369640000000003E-2</v>
      </c>
      <c r="R3163">
        <v>0.1317335</v>
      </c>
      <c r="S3163">
        <v>3.0555110000000001</v>
      </c>
      <c r="T3163">
        <v>-0.2225472</v>
      </c>
      <c r="U3163">
        <v>-0.128418</v>
      </c>
      <c r="V3163">
        <v>-6.4384440000000001E-2</v>
      </c>
      <c r="W3163">
        <v>4.8167479999999999E-2</v>
      </c>
      <c r="X3163">
        <v>0.99676200000000004</v>
      </c>
      <c r="Y3163">
        <v>0.109014599999999</v>
      </c>
      <c r="Z3163">
        <v>-8.8802800000000008E-3</v>
      </c>
      <c r="AA3163">
        <v>0.99400049999999995</v>
      </c>
      <c r="AB3163">
        <v>30</v>
      </c>
      <c r="AC3163">
        <v>0.44970000000000698</v>
      </c>
      <c r="AD3163">
        <v>-5.4018000000000101E-2</v>
      </c>
      <c r="AE3163">
        <v>-5.1099999999991E-2</v>
      </c>
      <c r="AF3163">
        <v>8.0260267755976902E-2</v>
      </c>
      <c r="AG3163">
        <v>-5.4018000000000101E-2</v>
      </c>
      <c r="AH3163">
        <v>0.43896021610860297</v>
      </c>
      <c r="AI3163">
        <v>96.902195011980794</v>
      </c>
      <c r="AJ3163">
        <v>79.638392588782494</v>
      </c>
      <c r="AK3163">
        <v>0.44949496797002397</v>
      </c>
    </row>
    <row r="3164" spans="1:37" x14ac:dyDescent="0.2">
      <c r="A3164" t="str">
        <f>"20200111155909430"</f>
        <v>20200111155909430</v>
      </c>
      <c r="B3164" t="str">
        <f>"1578729549425399"</f>
        <v>1578729549425399</v>
      </c>
      <c r="C3164" t="s">
        <v>37</v>
      </c>
      <c r="D3164">
        <v>5.6318960000000002</v>
      </c>
      <c r="E3164">
        <v>0.56787909999999997</v>
      </c>
      <c r="F3164" t="s">
        <v>38</v>
      </c>
      <c r="G3164">
        <v>-304.35399999999998</v>
      </c>
      <c r="H3164">
        <v>1.031223</v>
      </c>
      <c r="I3164">
        <v>215.0428</v>
      </c>
      <c r="J3164">
        <v>-305.02179999999998</v>
      </c>
      <c r="K3164">
        <v>1.103424</v>
      </c>
      <c r="L3164">
        <v>215.10599999999999</v>
      </c>
      <c r="M3164">
        <v>0.99770409999999898</v>
      </c>
      <c r="N3164">
        <v>0</v>
      </c>
      <c r="O3164">
        <v>6.7061040000000002E-2</v>
      </c>
      <c r="P3164">
        <v>0.99089430000000001</v>
      </c>
      <c r="Q3164">
        <v>3.924888E-2</v>
      </c>
      <c r="R3164">
        <v>0.12879479999999999</v>
      </c>
      <c r="S3164">
        <v>3.054535</v>
      </c>
      <c r="T3164">
        <v>-0.22365160000000001</v>
      </c>
      <c r="U3164">
        <v>-0.12960819999999901</v>
      </c>
      <c r="V3164">
        <v>-6.2002719999999997E-2</v>
      </c>
      <c r="W3164">
        <v>4.874378E-2</v>
      </c>
      <c r="X3164">
        <v>0.99688500000000002</v>
      </c>
      <c r="Y3164">
        <v>0.108831399999999</v>
      </c>
      <c r="Z3164">
        <v>-8.8777990000000005E-3</v>
      </c>
      <c r="AA3164">
        <v>0.99402060000000003</v>
      </c>
      <c r="AB3164">
        <v>31</v>
      </c>
      <c r="AC3164">
        <v>0.667799999999942</v>
      </c>
      <c r="AD3164">
        <v>-7.2200999999999904E-2</v>
      </c>
      <c r="AE3164">
        <v>-6.3199999999994802E-2</v>
      </c>
      <c r="AF3164">
        <v>0.10660795489335401</v>
      </c>
      <c r="AG3164">
        <v>-7.2200999999999904E-2</v>
      </c>
      <c r="AH3164">
        <v>0.65447557934627698</v>
      </c>
      <c r="AI3164">
        <v>96.214101353301004</v>
      </c>
      <c r="AJ3164">
        <v>80.748308142813002</v>
      </c>
      <c r="AK3164">
        <v>0.66702063267052603</v>
      </c>
    </row>
    <row r="3165" spans="1:37" x14ac:dyDescent="0.2">
      <c r="A3165" t="str">
        <f>"20200111155909452"</f>
        <v>20200111155909452</v>
      </c>
      <c r="B3165" t="str">
        <f>"1578729549444919"</f>
        <v>1578729549444919</v>
      </c>
      <c r="C3165" t="s">
        <v>37</v>
      </c>
      <c r="D3165">
        <v>5.8813740000000001</v>
      </c>
      <c r="E3165">
        <v>0.56874239999999998</v>
      </c>
      <c r="F3165" t="s">
        <v>38</v>
      </c>
      <c r="G3165">
        <v>-304.07709999999997</v>
      </c>
      <c r="H3165">
        <v>1.0361719999999901</v>
      </c>
      <c r="I3165">
        <v>215.06270000000001</v>
      </c>
      <c r="J3165">
        <v>-304.69979999999998</v>
      </c>
      <c r="K3165">
        <v>1.1033409999999999</v>
      </c>
      <c r="L3165">
        <v>215.12700000000001</v>
      </c>
      <c r="M3165">
        <v>0.99774940000000001</v>
      </c>
      <c r="N3165">
        <v>0</v>
      </c>
      <c r="O3165">
        <v>6.6423700000000002E-2</v>
      </c>
      <c r="P3165">
        <v>0.99115819999999999</v>
      </c>
      <c r="Q3165">
        <v>3.9972100000000003E-2</v>
      </c>
      <c r="R3165">
        <v>0.12652079999999999</v>
      </c>
      <c r="S3165">
        <v>3.0543209999999998</v>
      </c>
      <c r="T3165">
        <v>-0.21750820000000001</v>
      </c>
      <c r="U3165">
        <v>-0.13954159999999999</v>
      </c>
      <c r="V3165">
        <v>-6.0347629999999999E-2</v>
      </c>
      <c r="W3165">
        <v>4.9170989999999998E-2</v>
      </c>
      <c r="X3165">
        <v>0.99696559999999901</v>
      </c>
      <c r="Y3165">
        <v>0.1114458</v>
      </c>
      <c r="Z3165">
        <v>-8.6823239999999999E-3</v>
      </c>
      <c r="AA3165">
        <v>0.99373259999999997</v>
      </c>
      <c r="AB3165">
        <v>31</v>
      </c>
      <c r="AC3165">
        <v>0.62270000000000802</v>
      </c>
      <c r="AD3165">
        <v>-6.7169000000000006E-2</v>
      </c>
      <c r="AE3165">
        <v>-6.4300000000002897E-2</v>
      </c>
      <c r="AF3165">
        <v>0.10432075358803999</v>
      </c>
      <c r="AG3165">
        <v>-6.7169000000000006E-2</v>
      </c>
      <c r="AH3165">
        <v>0.61003039002114201</v>
      </c>
      <c r="AI3165">
        <v>96.194186440231604</v>
      </c>
      <c r="AJ3165">
        <v>80.295770368727602</v>
      </c>
      <c r="AK3165">
        <v>0.62252033777180604</v>
      </c>
    </row>
    <row r="3166" spans="1:37" x14ac:dyDescent="0.2">
      <c r="A3166" t="str">
        <f>"20200111155909496"</f>
        <v>20200111155909496</v>
      </c>
      <c r="B3166" t="str">
        <f>"1578729549485441"</f>
        <v>1578729549485441</v>
      </c>
      <c r="C3166" t="s">
        <v>37</v>
      </c>
      <c r="D3166">
        <v>5.8571929999999996</v>
      </c>
      <c r="E3166">
        <v>0.5688993</v>
      </c>
      <c r="F3166" t="s">
        <v>38</v>
      </c>
      <c r="G3166">
        <v>-303.79899999999998</v>
      </c>
      <c r="H3166">
        <v>1.0419799999999999</v>
      </c>
      <c r="I3166">
        <v>215.08160000000001</v>
      </c>
      <c r="J3166">
        <v>-304.1019</v>
      </c>
      <c r="K3166">
        <v>1.1032309999999901</v>
      </c>
      <c r="L3166">
        <v>215.16540000000001</v>
      </c>
      <c r="M3166">
        <v>0.99783809999999995</v>
      </c>
      <c r="N3166">
        <v>0</v>
      </c>
      <c r="O3166">
        <v>6.515427E-2</v>
      </c>
      <c r="P3166">
        <v>0.99164039999999998</v>
      </c>
      <c r="Q3166">
        <v>4.0081329999999998E-2</v>
      </c>
      <c r="R3166">
        <v>0.1226498</v>
      </c>
      <c r="S3166">
        <v>3.0547789999999999</v>
      </c>
      <c r="T3166">
        <v>-0.20813389999999901</v>
      </c>
      <c r="U3166">
        <v>-0.15344240000000001</v>
      </c>
      <c r="V3166">
        <v>-5.7716400000000001E-2</v>
      </c>
      <c r="W3166">
        <v>4.8744259999999998E-2</v>
      </c>
      <c r="X3166">
        <v>0.99714230000000004</v>
      </c>
      <c r="Y3166">
        <v>0.114718899999999</v>
      </c>
      <c r="Z3166">
        <v>-8.332051E-3</v>
      </c>
      <c r="AA3166">
        <v>0.993362999999999</v>
      </c>
      <c r="AB3166">
        <v>31</v>
      </c>
      <c r="AC3166">
        <v>0.30289999999996498</v>
      </c>
      <c r="AD3166">
        <v>-6.1250999999999903E-2</v>
      </c>
      <c r="AE3166">
        <v>-8.3799999999996502E-2</v>
      </c>
      <c r="AF3166">
        <v>9.9575634214646505E-2</v>
      </c>
      <c r="AG3166">
        <v>-6.1250999999999903E-2</v>
      </c>
      <c r="AH3166">
        <v>0.28593533176649899</v>
      </c>
      <c r="AI3166">
        <v>101.43642012801099</v>
      </c>
      <c r="AJ3166">
        <v>70.799568118895905</v>
      </c>
      <c r="AK3166">
        <v>0.30891099993795401</v>
      </c>
    </row>
    <row r="3167" spans="1:37" x14ac:dyDescent="0.2">
      <c r="A3167" t="str">
        <f>"20200111155909518"</f>
        <v>20200111155909518</v>
      </c>
      <c r="B3167" t="str">
        <f>"1578729549514721"</f>
        <v>1578729549514721</v>
      </c>
      <c r="C3167" t="s">
        <v>37</v>
      </c>
      <c r="D3167">
        <v>5.8302189999999996</v>
      </c>
      <c r="E3167">
        <v>0.56945469999999998</v>
      </c>
      <c r="F3167" t="s">
        <v>38</v>
      </c>
      <c r="G3167">
        <v>-303.24290000000002</v>
      </c>
      <c r="H3167">
        <v>1.0459540000000001</v>
      </c>
      <c r="I3167">
        <v>215.11840000000001</v>
      </c>
      <c r="J3167">
        <v>-303.79419999999999</v>
      </c>
      <c r="K3167">
        <v>1.1031789999999999</v>
      </c>
      <c r="L3167">
        <v>215.1848</v>
      </c>
      <c r="M3167">
        <v>0.997884199999999</v>
      </c>
      <c r="N3167">
        <v>0</v>
      </c>
      <c r="O3167">
        <v>6.4480049999999997E-2</v>
      </c>
      <c r="P3167">
        <v>0.99190020000000001</v>
      </c>
      <c r="Q3167">
        <v>3.9808570000000001E-2</v>
      </c>
      <c r="R3167">
        <v>0.12062100000000001</v>
      </c>
      <c r="S3167">
        <v>3.0540769999999999</v>
      </c>
      <c r="T3167">
        <v>-0.20374329999999999</v>
      </c>
      <c r="U3167">
        <v>-0.16610720000000001</v>
      </c>
      <c r="V3167">
        <v>-5.6347519999999998E-2</v>
      </c>
      <c r="W3167">
        <v>4.8196540000000003E-2</v>
      </c>
      <c r="X3167">
        <v>0.9972472</v>
      </c>
      <c r="Y3167">
        <v>0.1181775</v>
      </c>
      <c r="Z3167">
        <v>-8.2280879999999997E-3</v>
      </c>
      <c r="AA3167">
        <v>0.99295840000000002</v>
      </c>
      <c r="AB3167">
        <v>31</v>
      </c>
      <c r="AC3167">
        <v>0.55129999999996904</v>
      </c>
      <c r="AD3167">
        <v>-5.7224999999999998E-2</v>
      </c>
      <c r="AE3167">
        <v>-6.6399999999987303E-2</v>
      </c>
      <c r="AF3167">
        <v>0.100740988257432</v>
      </c>
      <c r="AG3167">
        <v>-5.7224999999999998E-2</v>
      </c>
      <c r="AH3167">
        <v>0.54013459417883403</v>
      </c>
      <c r="AI3167">
        <v>95.945907433372497</v>
      </c>
      <c r="AJ3167">
        <v>79.435101193541698</v>
      </c>
      <c r="AK3167">
        <v>0.55242087865034395</v>
      </c>
    </row>
    <row r="3168" spans="1:37" x14ac:dyDescent="0.2">
      <c r="A3168" t="str">
        <f>"20200111155909541"</f>
        <v>20200111155909541</v>
      </c>
      <c r="B3168" t="str">
        <f>"1578729549535217"</f>
        <v>1578729549535217</v>
      </c>
      <c r="C3168" t="s">
        <v>37</v>
      </c>
      <c r="D3168">
        <v>5.5712349999999997</v>
      </c>
      <c r="E3168">
        <v>0.57001999999999997</v>
      </c>
      <c r="F3168" t="s">
        <v>38</v>
      </c>
      <c r="G3168">
        <v>-302.96319999999997</v>
      </c>
      <c r="H3168">
        <v>1.0480179999999999</v>
      </c>
      <c r="I3168">
        <v>215.13669999999999</v>
      </c>
      <c r="J3168">
        <v>-303.47489999999999</v>
      </c>
      <c r="K3168">
        <v>1.1031219999999999</v>
      </c>
      <c r="L3168">
        <v>215.20480000000001</v>
      </c>
      <c r="M3168">
        <v>0.99793169999999898</v>
      </c>
      <c r="N3168">
        <v>0</v>
      </c>
      <c r="O3168">
        <v>6.377729E-2</v>
      </c>
      <c r="P3168">
        <v>0.9921181</v>
      </c>
      <c r="Q3168">
        <v>3.9383370000000001E-2</v>
      </c>
      <c r="R3168">
        <v>0.11895689999999901</v>
      </c>
      <c r="S3168">
        <v>3.054138</v>
      </c>
      <c r="T3168">
        <v>-0.202771799999999</v>
      </c>
      <c r="U3168">
        <v>-0.1767273</v>
      </c>
      <c r="V3168">
        <v>-5.537504E-2</v>
      </c>
      <c r="W3168">
        <v>4.7484489999999997E-2</v>
      </c>
      <c r="X3168">
        <v>0.99733590000000005</v>
      </c>
      <c r="Y3168">
        <v>0.120918</v>
      </c>
      <c r="Z3168">
        <v>-8.2323520000000001E-3</v>
      </c>
      <c r="AA3168">
        <v>0.99262830000000002</v>
      </c>
      <c r="AB3168">
        <v>31</v>
      </c>
      <c r="AC3168">
        <v>0.51170000000001803</v>
      </c>
      <c r="AD3168">
        <v>-5.5103999999999799E-2</v>
      </c>
      <c r="AE3168">
        <v>-6.8100000000015301E-2</v>
      </c>
      <c r="AF3168">
        <v>9.9463865430944903E-2</v>
      </c>
      <c r="AG3168">
        <v>-5.5103999999999799E-2</v>
      </c>
      <c r="AH3168">
        <v>0.50061041052181998</v>
      </c>
      <c r="AI3168">
        <v>96.161972613281606</v>
      </c>
      <c r="AJ3168">
        <v>78.762522447441796</v>
      </c>
      <c r="AK3168">
        <v>0.51336175789134297</v>
      </c>
    </row>
    <row r="3169" spans="1:37" x14ac:dyDescent="0.2">
      <c r="A3169" t="str">
        <f>"20200111155909563"</f>
        <v>20200111155909563</v>
      </c>
      <c r="B3169" t="str">
        <f>"1578729549554736"</f>
        <v>1578729549554736</v>
      </c>
      <c r="C3169" t="s">
        <v>37</v>
      </c>
      <c r="D3169">
        <v>5.6159999999999997</v>
      </c>
      <c r="E3169">
        <v>0.57024249999999999</v>
      </c>
      <c r="F3169" t="s">
        <v>38</v>
      </c>
      <c r="G3169">
        <v>-302.68200000000002</v>
      </c>
      <c r="H3169">
        <v>1.0507089999999999</v>
      </c>
      <c r="I3169">
        <v>215.15610000000001</v>
      </c>
      <c r="J3169">
        <v>-303.161</v>
      </c>
      <c r="K3169">
        <v>1.1030719999999901</v>
      </c>
      <c r="L3169">
        <v>215.2242</v>
      </c>
      <c r="M3169">
        <v>0.99797789999999997</v>
      </c>
      <c r="N3169">
        <v>0</v>
      </c>
      <c r="O3169">
        <v>6.3086790000000004E-2</v>
      </c>
      <c r="P3169">
        <v>0.99226539999999996</v>
      </c>
      <c r="Q3169">
        <v>3.9397880000000003E-2</v>
      </c>
      <c r="R3169">
        <v>0.11771619999999999</v>
      </c>
      <c r="S3169">
        <v>3.0541990000000001</v>
      </c>
      <c r="T3169">
        <v>-0.2020023</v>
      </c>
      <c r="U3169">
        <v>-0.18632509999999999</v>
      </c>
      <c r="V3169">
        <v>-5.4816459999999997E-2</v>
      </c>
      <c r="W3169">
        <v>4.7216800000000003E-2</v>
      </c>
      <c r="X3169">
        <v>0.99737940000000003</v>
      </c>
      <c r="Y3169">
        <v>0.1233373</v>
      </c>
      <c r="Z3169">
        <v>-8.2346420000000004E-3</v>
      </c>
      <c r="AA3169">
        <v>0.99233069999999901</v>
      </c>
      <c r="AB3169">
        <v>31</v>
      </c>
      <c r="AC3169">
        <v>0.47899999999998499</v>
      </c>
      <c r="AD3169">
        <v>-5.2362999999999701E-2</v>
      </c>
      <c r="AE3169">
        <v>-6.8099999999986893E-2</v>
      </c>
      <c r="AF3169">
        <v>9.7047058838463096E-2</v>
      </c>
      <c r="AG3169">
        <v>-5.2362999999999701E-2</v>
      </c>
      <c r="AH3169">
        <v>0.46826443282601699</v>
      </c>
      <c r="AI3169">
        <v>96.248807252243296</v>
      </c>
      <c r="AJ3169">
        <v>78.291299766870296</v>
      </c>
      <c r="AK3169">
        <v>0.48107337740522299</v>
      </c>
    </row>
    <row r="3170" spans="1:37" x14ac:dyDescent="0.2">
      <c r="A3170" t="str">
        <f>"20200111155909587"</f>
        <v>20200111155909587</v>
      </c>
      <c r="B3170" t="str">
        <f>"1578729549575232"</f>
        <v>1578729549575232</v>
      </c>
      <c r="C3170" t="s">
        <v>37</v>
      </c>
      <c r="D3170">
        <v>5.7241900000000001</v>
      </c>
      <c r="E3170">
        <v>0.57021699999999997</v>
      </c>
      <c r="F3170" t="s">
        <v>38</v>
      </c>
      <c r="G3170">
        <v>-302.40019999999998</v>
      </c>
      <c r="H3170">
        <v>1.0530949999999999</v>
      </c>
      <c r="I3170">
        <v>215.17619999999999</v>
      </c>
      <c r="J3170">
        <v>-302.84249999999997</v>
      </c>
      <c r="K3170">
        <v>1.1030219999999999</v>
      </c>
      <c r="L3170">
        <v>215.24369999999999</v>
      </c>
      <c r="M3170">
        <v>0.99802400000000002</v>
      </c>
      <c r="N3170">
        <v>0</v>
      </c>
      <c r="O3170">
        <v>6.2387560000000002E-2</v>
      </c>
      <c r="P3170">
        <v>0.99231340000000001</v>
      </c>
      <c r="Q3170">
        <v>3.9162860000000001E-2</v>
      </c>
      <c r="R3170">
        <v>0.11739089999999899</v>
      </c>
      <c r="S3170">
        <v>3.054138</v>
      </c>
      <c r="T3170">
        <v>-0.2006395</v>
      </c>
      <c r="U3170">
        <v>-0.1919708</v>
      </c>
      <c r="V3170">
        <v>-5.5188269999999998E-2</v>
      </c>
      <c r="W3170">
        <v>4.6701439999999997E-2</v>
      </c>
      <c r="X3170">
        <v>0.99738320000000003</v>
      </c>
      <c r="Y3170">
        <v>0.1244749</v>
      </c>
      <c r="Z3170">
        <v>-8.1704259999999997E-3</v>
      </c>
      <c r="AA3170">
        <v>0.99218909999999905</v>
      </c>
      <c r="AB3170">
        <v>31</v>
      </c>
      <c r="AC3170">
        <v>0.44229999999998798</v>
      </c>
      <c r="AD3170">
        <v>-4.9926999999999798E-2</v>
      </c>
      <c r="AE3170">
        <v>-6.7499999999995397E-2</v>
      </c>
      <c r="AF3170">
        <v>9.3795354069801301E-2</v>
      </c>
      <c r="AG3170">
        <v>-4.9926999999999798E-2</v>
      </c>
      <c r="AH3170">
        <v>0.43184969135817802</v>
      </c>
      <c r="AI3170">
        <v>96.445825508900597</v>
      </c>
      <c r="AJ3170">
        <v>77.745996928258805</v>
      </c>
      <c r="AK3170">
        <v>0.44472961414800399</v>
      </c>
    </row>
    <row r="3171" spans="1:37" x14ac:dyDescent="0.2">
      <c r="A3171" t="str">
        <f>"20200111155909607"</f>
        <v>20200111155909607</v>
      </c>
      <c r="B3171" t="str">
        <f>"1578729549605022"</f>
        <v>1578729549605022</v>
      </c>
      <c r="C3171" t="s">
        <v>37</v>
      </c>
      <c r="D3171">
        <v>5.6688359999999998</v>
      </c>
      <c r="E3171">
        <v>0.56963999999999904</v>
      </c>
      <c r="F3171" t="s">
        <v>38</v>
      </c>
      <c r="G3171">
        <v>-301.84550000000002</v>
      </c>
      <c r="H3171">
        <v>1.0374129999999999</v>
      </c>
      <c r="I3171">
        <v>215.1806</v>
      </c>
      <c r="J3171">
        <v>-302.53680000000003</v>
      </c>
      <c r="K3171">
        <v>1.1029799999999901</v>
      </c>
      <c r="L3171">
        <v>215.2621</v>
      </c>
      <c r="M3171">
        <v>0.9980677</v>
      </c>
      <c r="N3171">
        <v>0</v>
      </c>
      <c r="O3171">
        <v>6.1715840000000001E-2</v>
      </c>
      <c r="P3171">
        <v>0.99229599999999996</v>
      </c>
      <c r="Q3171">
        <v>3.906097E-2</v>
      </c>
      <c r="R3171">
        <v>0.117571699999999</v>
      </c>
      <c r="S3171">
        <v>3.0540159999999998</v>
      </c>
      <c r="T3171">
        <v>-0.20105390000000001</v>
      </c>
      <c r="U3171">
        <v>-0.19296259999999901</v>
      </c>
      <c r="V3171">
        <v>-5.6040479999999997E-2</v>
      </c>
      <c r="W3171">
        <v>4.6346569999999997E-2</v>
      </c>
      <c r="X3171">
        <v>0.99735219999999902</v>
      </c>
      <c r="Y3171">
        <v>0.1241309</v>
      </c>
      <c r="Z3171">
        <v>-8.1320990000000003E-3</v>
      </c>
      <c r="AA3171">
        <v>0.99223249999999996</v>
      </c>
      <c r="AB3171">
        <v>32</v>
      </c>
      <c r="AC3171">
        <v>0.69130000000001202</v>
      </c>
      <c r="AD3171">
        <v>-6.5566999999999903E-2</v>
      </c>
      <c r="AE3171">
        <v>-8.1500000000005401E-2</v>
      </c>
      <c r="AF3171">
        <v>0.12291930974853001</v>
      </c>
      <c r="AG3171">
        <v>-6.5566999999999903E-2</v>
      </c>
      <c r="AH3171">
        <v>0.678928427834813</v>
      </c>
      <c r="AI3171">
        <v>95.428478044766393</v>
      </c>
      <c r="AJ3171">
        <v>79.737820163366294</v>
      </c>
      <c r="AK3171">
        <v>0.693074309378371</v>
      </c>
    </row>
    <row r="3172" spans="1:37" x14ac:dyDescent="0.2">
      <c r="A3172" t="str">
        <f>"20200111155909643"</f>
        <v>20200111155909643</v>
      </c>
      <c r="B3172" t="str">
        <f>"1578729549635278"</f>
        <v>1578729549635278</v>
      </c>
      <c r="C3172" t="s">
        <v>37</v>
      </c>
      <c r="D3172">
        <v>5.7024720000000002</v>
      </c>
      <c r="E3172">
        <v>0.56925170000000003</v>
      </c>
      <c r="F3172" t="s">
        <v>38</v>
      </c>
      <c r="G3172">
        <v>-301.56229999999999</v>
      </c>
      <c r="H3172">
        <v>1.0381049999999901</v>
      </c>
      <c r="I3172">
        <v>215.20189999999999</v>
      </c>
      <c r="J3172">
        <v>-302.0403</v>
      </c>
      <c r="K3172">
        <v>1.1029149999999901</v>
      </c>
      <c r="L3172">
        <v>215.29169999999999</v>
      </c>
      <c r="M3172">
        <v>0.99813739999999995</v>
      </c>
      <c r="N3172">
        <v>0</v>
      </c>
      <c r="O3172">
        <v>6.0620609999999998E-2</v>
      </c>
      <c r="P3172">
        <v>0.99225059999999998</v>
      </c>
      <c r="Q3172">
        <v>3.8889720000000003E-2</v>
      </c>
      <c r="R3172">
        <v>0.118010899999999</v>
      </c>
      <c r="S3172">
        <v>3.0535580000000002</v>
      </c>
      <c r="T3172">
        <v>-0.20331189999999999</v>
      </c>
      <c r="U3172">
        <v>-0.18792719999999999</v>
      </c>
      <c r="V3172">
        <v>-5.757557E-2</v>
      </c>
      <c r="W3172">
        <v>4.581023E-2</v>
      </c>
      <c r="X3172">
        <v>0.99728950000000005</v>
      </c>
      <c r="Y3172">
        <v>0.12142020000000001</v>
      </c>
      <c r="Z3172">
        <v>-8.062016E-3</v>
      </c>
      <c r="AA3172">
        <v>0.99256840000000002</v>
      </c>
      <c r="AB3172">
        <v>32</v>
      </c>
      <c r="AC3172">
        <v>0.47800000000000797</v>
      </c>
      <c r="AD3172">
        <v>-6.4810000000000006E-2</v>
      </c>
      <c r="AE3172">
        <v>-8.9799999999996702E-2</v>
      </c>
      <c r="AF3172">
        <v>0.11654274382282399</v>
      </c>
      <c r="AG3172">
        <v>-6.4810000000000006E-2</v>
      </c>
      <c r="AH3172">
        <v>0.46344765382797098</v>
      </c>
      <c r="AI3172">
        <v>97.723378432915993</v>
      </c>
      <c r="AJ3172">
        <v>75.884564487731794</v>
      </c>
      <c r="AK3172">
        <v>0.48225125720562301</v>
      </c>
    </row>
    <row r="3173" spans="1:37" x14ac:dyDescent="0.2">
      <c r="A3173" t="str">
        <f>"20200111155909663"</f>
        <v>20200111155909663</v>
      </c>
      <c r="B3173" t="str">
        <f>"1578729549654796"</f>
        <v>1578729549654796</v>
      </c>
      <c r="C3173" t="s">
        <v>37</v>
      </c>
      <c r="D3173">
        <v>5.6922959999999998</v>
      </c>
      <c r="E3173">
        <v>0.56893739999999904</v>
      </c>
      <c r="F3173" t="s">
        <v>38</v>
      </c>
      <c r="G3173">
        <v>-301.27099999999899</v>
      </c>
      <c r="H3173">
        <v>1.051779</v>
      </c>
      <c r="I3173">
        <v>215.24539999999999</v>
      </c>
      <c r="J3173">
        <v>-301.73520000000002</v>
      </c>
      <c r="K3173">
        <v>1.102881</v>
      </c>
      <c r="L3173">
        <v>215.30959999999999</v>
      </c>
      <c r="M3173">
        <v>0.99817990000000001</v>
      </c>
      <c r="N3173">
        <v>0</v>
      </c>
      <c r="O3173">
        <v>5.993851E-2</v>
      </c>
      <c r="P3173">
        <v>0.99224449999999997</v>
      </c>
      <c r="Q3173">
        <v>3.885487E-2</v>
      </c>
      <c r="R3173">
        <v>0.118073</v>
      </c>
      <c r="S3173">
        <v>3.0531919999999899</v>
      </c>
      <c r="T3173">
        <v>-0.20305290000000001</v>
      </c>
      <c r="U3173">
        <v>-0.1835022</v>
      </c>
      <c r="V3173">
        <v>-5.8318969999999998E-2</v>
      </c>
      <c r="W3173">
        <v>4.5581110000000001E-2</v>
      </c>
      <c r="X3173">
        <v>0.9972569</v>
      </c>
      <c r="Y3173">
        <v>0.119322699999999</v>
      </c>
      <c r="Z3173">
        <v>-7.9381750000000004E-3</v>
      </c>
      <c r="AA3173">
        <v>0.99282380000000003</v>
      </c>
      <c r="AB3173">
        <v>32</v>
      </c>
      <c r="AC3173">
        <v>0.46420000000006201</v>
      </c>
      <c r="AD3173">
        <v>-5.1101999999999898E-2</v>
      </c>
      <c r="AE3173">
        <v>-6.4199999999999494E-2</v>
      </c>
      <c r="AF3173">
        <v>9.08285514397386E-2</v>
      </c>
      <c r="AG3173">
        <v>-5.1101999999999898E-2</v>
      </c>
      <c r="AH3173">
        <v>0.45411708947983398</v>
      </c>
      <c r="AI3173">
        <v>96.296825301707401</v>
      </c>
      <c r="AJ3173">
        <v>78.689444741512006</v>
      </c>
      <c r="AK3173">
        <v>0.4659222801265</v>
      </c>
    </row>
    <row r="3174" spans="1:37" x14ac:dyDescent="0.2">
      <c r="A3174" t="str">
        <f>"20200111155909687"</f>
        <v>20200111155909687</v>
      </c>
      <c r="B3174" t="str">
        <f>"1578729549675293"</f>
        <v>1578729549675293</v>
      </c>
      <c r="C3174" t="s">
        <v>37</v>
      </c>
      <c r="D3174">
        <v>5.6472480000000003</v>
      </c>
      <c r="E3174">
        <v>0.56870989999999999</v>
      </c>
      <c r="F3174" t="s">
        <v>38</v>
      </c>
      <c r="G3174">
        <v>-300.98509999999999</v>
      </c>
      <c r="H3174">
        <v>1.0529520000000001</v>
      </c>
      <c r="I3174">
        <v>215.26499999999999</v>
      </c>
      <c r="J3174">
        <v>-301.41680000000002</v>
      </c>
      <c r="K3174">
        <v>1.1028500000000001</v>
      </c>
      <c r="L3174">
        <v>215.328</v>
      </c>
      <c r="M3174">
        <v>0.99822459999999902</v>
      </c>
      <c r="N3174">
        <v>0</v>
      </c>
      <c r="O3174">
        <v>5.9207780000000002E-2</v>
      </c>
      <c r="P3174">
        <v>0.99219020000000002</v>
      </c>
      <c r="Q3174">
        <v>3.9614179999999999E-2</v>
      </c>
      <c r="R3174">
        <v>0.118276399999999</v>
      </c>
      <c r="S3174">
        <v>3.0529790000000001</v>
      </c>
      <c r="T3174">
        <v>-0.20335429999999999</v>
      </c>
      <c r="U3174">
        <v>-0.18116760000000001</v>
      </c>
      <c r="V3174">
        <v>-5.9252220000000001E-2</v>
      </c>
      <c r="W3174">
        <v>4.6171289999999997E-2</v>
      </c>
      <c r="X3174">
        <v>0.99717469999999997</v>
      </c>
      <c r="Y3174">
        <v>0.11784699999999999</v>
      </c>
      <c r="Z3174">
        <v>-7.8530349999999995E-3</v>
      </c>
      <c r="AA3174">
        <v>0.99300069999999996</v>
      </c>
      <c r="AB3174">
        <v>32</v>
      </c>
      <c r="AC3174">
        <v>0.431700000000034</v>
      </c>
      <c r="AD3174">
        <v>-4.9897999999999998E-2</v>
      </c>
      <c r="AE3174">
        <v>-6.3000000000016598E-2</v>
      </c>
      <c r="AF3174">
        <v>8.7307910736877603E-2</v>
      </c>
      <c r="AG3174">
        <v>-4.9897999999999998E-2</v>
      </c>
      <c r="AH3174">
        <v>0.42169613565745201</v>
      </c>
      <c r="AI3174">
        <v>96.609363482194297</v>
      </c>
      <c r="AJ3174">
        <v>78.302756900286795</v>
      </c>
      <c r="AK3174">
        <v>0.43352060217441402</v>
      </c>
    </row>
    <row r="3175" spans="1:37" x14ac:dyDescent="0.2">
      <c r="A3175" t="str">
        <f>"20200111155909708"</f>
        <v>20200111155909708</v>
      </c>
      <c r="B3175" t="str">
        <f>"1578729549705549"</f>
        <v>1578729549705549</v>
      </c>
      <c r="C3175" t="s">
        <v>37</v>
      </c>
      <c r="D3175">
        <v>5.5576160000000003</v>
      </c>
      <c r="E3175">
        <v>0.56861200000000001</v>
      </c>
      <c r="F3175" t="s">
        <v>38</v>
      </c>
      <c r="G3175">
        <v>-300.41950000000003</v>
      </c>
      <c r="H3175">
        <v>1.0371189999999999</v>
      </c>
      <c r="I3175">
        <v>215.26929999999999</v>
      </c>
      <c r="J3175">
        <v>-301.09829999999999</v>
      </c>
      <c r="K3175">
        <v>1.1028199999999999</v>
      </c>
      <c r="L3175">
        <v>215.34620000000001</v>
      </c>
      <c r="M3175">
        <v>0.99827030000000005</v>
      </c>
      <c r="N3175">
        <v>0</v>
      </c>
      <c r="O3175">
        <v>5.8448439999999997E-2</v>
      </c>
      <c r="P3175">
        <v>0.99220900000000001</v>
      </c>
      <c r="Q3175">
        <v>3.9593639999999999E-2</v>
      </c>
      <c r="R3175">
        <v>0.1181271</v>
      </c>
      <c r="S3175">
        <v>3.0529169999999999</v>
      </c>
      <c r="T3175">
        <v>-0.201267</v>
      </c>
      <c r="U3175">
        <v>-0.17877199999999999</v>
      </c>
      <c r="V3175">
        <v>-5.9858399999999999E-2</v>
      </c>
      <c r="W3175">
        <v>4.6022199999999999E-2</v>
      </c>
      <c r="X3175">
        <v>0.99714539999999996</v>
      </c>
      <c r="Y3175">
        <v>0.116329</v>
      </c>
      <c r="Z3175">
        <v>-7.6730269999999998E-3</v>
      </c>
      <c r="AA3175">
        <v>0.99318109999999904</v>
      </c>
      <c r="AB3175">
        <v>32</v>
      </c>
      <c r="AC3175">
        <v>0.67879999999996699</v>
      </c>
      <c r="AD3175">
        <v>-6.5700999999999996E-2</v>
      </c>
      <c r="AE3175">
        <v>-7.69000000000232E-2</v>
      </c>
      <c r="AF3175">
        <v>0.11537693896559301</v>
      </c>
      <c r="AG3175">
        <v>-6.5700999999999996E-2</v>
      </c>
      <c r="AH3175">
        <v>0.66697547900853105</v>
      </c>
      <c r="AI3175">
        <v>95.544007544532207</v>
      </c>
      <c r="AJ3175">
        <v>80.185797571517796</v>
      </c>
      <c r="AK3175">
        <v>0.68006231261901995</v>
      </c>
    </row>
    <row r="3176" spans="1:37" x14ac:dyDescent="0.2">
      <c r="A3176" t="str">
        <f>"20200111155909730"</f>
        <v>20200111155909730</v>
      </c>
      <c r="B3176" t="str">
        <f>"1578729549725069"</f>
        <v>1578729549725069</v>
      </c>
      <c r="C3176" t="s">
        <v>37</v>
      </c>
      <c r="D3176">
        <v>5.4990519999999998</v>
      </c>
      <c r="E3176">
        <v>0.58933979999999997</v>
      </c>
      <c r="F3176" t="s">
        <v>38</v>
      </c>
      <c r="G3176">
        <v>-300.13060000000002</v>
      </c>
      <c r="H3176">
        <v>1.038913</v>
      </c>
      <c r="I3176">
        <v>215.28960000000001</v>
      </c>
      <c r="J3176">
        <v>-300.77879999999999</v>
      </c>
      <c r="K3176">
        <v>1.1027799999999901</v>
      </c>
      <c r="L3176">
        <v>215.36420000000001</v>
      </c>
      <c r="M3176">
        <v>0.99831669999999995</v>
      </c>
      <c r="N3176">
        <v>0</v>
      </c>
      <c r="O3176">
        <v>5.7661949999999997E-2</v>
      </c>
      <c r="P3176">
        <v>0.99225969999999997</v>
      </c>
      <c r="Q3176">
        <v>3.8780050000000003E-2</v>
      </c>
      <c r="R3176">
        <v>0.11797049999999901</v>
      </c>
      <c r="S3176">
        <v>3.052826</v>
      </c>
      <c r="T3176">
        <v>-0.2016406</v>
      </c>
      <c r="U3176">
        <v>-0.1783295</v>
      </c>
      <c r="V3176">
        <v>-6.0483309999999998E-2</v>
      </c>
      <c r="W3176">
        <v>4.5110949999999997E-2</v>
      </c>
      <c r="X3176">
        <v>0.99714930000000002</v>
      </c>
      <c r="Y3176">
        <v>0.115407</v>
      </c>
      <c r="Z3176">
        <v>-7.605278E-3</v>
      </c>
      <c r="AA3176">
        <v>0.99328919999999998</v>
      </c>
      <c r="AB3176">
        <v>32</v>
      </c>
      <c r="AC3176">
        <v>0.64819999999997402</v>
      </c>
      <c r="AD3176">
        <v>-6.3866999999999896E-2</v>
      </c>
      <c r="AE3176">
        <v>-7.4600000000003705E-2</v>
      </c>
      <c r="AF3176">
        <v>0.11079155816188301</v>
      </c>
      <c r="AG3176">
        <v>-6.3866999999999896E-2</v>
      </c>
      <c r="AH3176">
        <v>0.63671925390688899</v>
      </c>
      <c r="AI3176">
        <v>95.643731134940893</v>
      </c>
      <c r="AJ3176">
        <v>80.129146837025701</v>
      </c>
      <c r="AK3176">
        <v>0.64943450119675905</v>
      </c>
    </row>
    <row r="3177" spans="1:37" x14ac:dyDescent="0.2">
      <c r="A3177" t="str">
        <f>"20200111155909754"</f>
        <v>20200111155909754</v>
      </c>
      <c r="B3177" t="str">
        <f>"1578729549744589"</f>
        <v>1578729549744589</v>
      </c>
      <c r="C3177" t="s">
        <v>37</v>
      </c>
      <c r="D3177">
        <v>5.4633709999999898</v>
      </c>
      <c r="E3177">
        <v>0.59043440000000003</v>
      </c>
      <c r="F3177" t="s">
        <v>50</v>
      </c>
      <c r="G3177">
        <v>-279.29919999999998</v>
      </c>
      <c r="H3177" s="1">
        <v>3.4845260000000001E-6</v>
      </c>
      <c r="I3177">
        <v>212.95249999999999</v>
      </c>
      <c r="J3177">
        <v>-300.44130000000001</v>
      </c>
      <c r="K3177">
        <v>1.1027420000000001</v>
      </c>
      <c r="L3177">
        <v>215.38290000000001</v>
      </c>
      <c r="M3177">
        <v>0.99836669999999905</v>
      </c>
      <c r="N3177">
        <v>0</v>
      </c>
      <c r="O3177">
        <v>5.6796350000000002E-2</v>
      </c>
      <c r="P3177">
        <v>0.99236080000000004</v>
      </c>
      <c r="Q3177">
        <v>3.7638039999999998E-2</v>
      </c>
      <c r="R3177">
        <v>0.1174891</v>
      </c>
      <c r="S3177">
        <v>3.07058699999999</v>
      </c>
      <c r="T3177">
        <v>-0.15764639999999999</v>
      </c>
      <c r="U3177">
        <v>-0.34475709999999998</v>
      </c>
      <c r="V3177">
        <v>-6.08608E-2</v>
      </c>
      <c r="W3177">
        <v>4.3893840000000003E-2</v>
      </c>
      <c r="X3177">
        <v>0.99718069999999903</v>
      </c>
      <c r="Y3177">
        <v>0.16754659999999999</v>
      </c>
      <c r="Z3177">
        <v>-7.1908559999999998E-3</v>
      </c>
      <c r="AA3177">
        <v>0.98583790000000004</v>
      </c>
      <c r="AB3177">
        <v>32</v>
      </c>
      <c r="AC3177">
        <v>21.142099999999999</v>
      </c>
      <c r="AD3177">
        <v>-1.1027385154739999</v>
      </c>
      <c r="AE3177">
        <v>-2.4304000000000201</v>
      </c>
      <c r="AF3177">
        <v>3.61758038083244</v>
      </c>
      <c r="AG3177">
        <v>-1.1027385154739999</v>
      </c>
      <c r="AH3177">
        <v>20.913776429658</v>
      </c>
      <c r="AI3177">
        <v>92.974202234584396</v>
      </c>
      <c r="AJ3177">
        <v>80.186316432279298</v>
      </c>
      <c r="AK3177">
        <v>21.2529754292196</v>
      </c>
    </row>
    <row r="3178" spans="1:37" x14ac:dyDescent="0.2">
      <c r="A3178" t="str">
        <f>"20200111155909774"</f>
        <v>20200111155909774</v>
      </c>
      <c r="B3178" t="str">
        <f>"1578729549765085"</f>
        <v>1578729549765085</v>
      </c>
      <c r="C3178" t="s">
        <v>37</v>
      </c>
      <c r="D3178">
        <v>5.3918309999999998</v>
      </c>
      <c r="E3178">
        <v>0.59108039999999995</v>
      </c>
      <c r="F3178" t="s">
        <v>50</v>
      </c>
      <c r="G3178">
        <v>-278.6241</v>
      </c>
      <c r="H3178" s="1">
        <v>3.1294629999999999E-6</v>
      </c>
      <c r="I3178">
        <v>212.8561</v>
      </c>
      <c r="J3178">
        <v>-300.13510000000002</v>
      </c>
      <c r="K3178">
        <v>1.102703</v>
      </c>
      <c r="L3178">
        <v>215.39949999999999</v>
      </c>
      <c r="M3178">
        <v>0.99841369999999896</v>
      </c>
      <c r="N3178">
        <v>0</v>
      </c>
      <c r="O3178">
        <v>5.5971380000000001E-2</v>
      </c>
      <c r="P3178">
        <v>0.99241939999999995</v>
      </c>
      <c r="Q3178">
        <v>3.6517590000000003E-2</v>
      </c>
      <c r="R3178">
        <v>0.11734600000000001</v>
      </c>
      <c r="S3178">
        <v>3.071075</v>
      </c>
      <c r="T3178">
        <v>-0.155225799999999</v>
      </c>
      <c r="U3178">
        <v>-0.35568240000000001</v>
      </c>
      <c r="V3178">
        <v>-6.1536720000000003E-2</v>
      </c>
      <c r="W3178">
        <v>4.2730020000000001E-2</v>
      </c>
      <c r="X3178">
        <v>0.99718980000000002</v>
      </c>
      <c r="Y3178">
        <v>0.170183</v>
      </c>
      <c r="Z3178">
        <v>-7.1029319999999898E-3</v>
      </c>
      <c r="AA3178">
        <v>0.98538689999999995</v>
      </c>
      <c r="AB3178">
        <v>32</v>
      </c>
      <c r="AC3178">
        <v>21.510999999999999</v>
      </c>
      <c r="AD3178">
        <v>-1.1026998705369999</v>
      </c>
      <c r="AE3178">
        <v>-2.5433999999999899</v>
      </c>
      <c r="AF3178">
        <v>3.7337592306052598</v>
      </c>
      <c r="AG3178">
        <v>-1.1026998705369999</v>
      </c>
      <c r="AH3178">
        <v>21.279769116632401</v>
      </c>
      <c r="AI3178">
        <v>92.921810294654605</v>
      </c>
      <c r="AJ3178">
        <v>80.048155023626293</v>
      </c>
      <c r="AK3178">
        <v>21.632972025447501</v>
      </c>
    </row>
    <row r="3179" spans="1:37" x14ac:dyDescent="0.2">
      <c r="A3179" t="str">
        <f>"20200111155909796"</f>
        <v>20200111155909796</v>
      </c>
      <c r="B3179" t="str">
        <f>"1578729549785113"</f>
        <v>1578729549785113</v>
      </c>
      <c r="C3179" t="s">
        <v>37</v>
      </c>
      <c r="D3179">
        <v>5.3936919999999997</v>
      </c>
      <c r="E3179">
        <v>0.59145859999999995</v>
      </c>
      <c r="F3179" t="s">
        <v>50</v>
      </c>
      <c r="G3179">
        <v>-278.20409999999998</v>
      </c>
      <c r="H3179" s="1">
        <v>2.9076610000000001E-6</v>
      </c>
      <c r="I3179">
        <v>212.81729999999999</v>
      </c>
      <c r="J3179">
        <v>-299.81369999999998</v>
      </c>
      <c r="K3179">
        <v>1.102654</v>
      </c>
      <c r="L3179">
        <v>215.41669999999999</v>
      </c>
      <c r="M3179">
        <v>0.99846480000000004</v>
      </c>
      <c r="N3179">
        <v>0</v>
      </c>
      <c r="O3179">
        <v>5.5056880000000002E-2</v>
      </c>
      <c r="P3179">
        <v>0.99253210000000003</v>
      </c>
      <c r="Q3179">
        <v>3.5514419999999998E-2</v>
      </c>
      <c r="R3179">
        <v>0.116701</v>
      </c>
      <c r="S3179">
        <v>3.0713499999999998</v>
      </c>
      <c r="T3179">
        <v>-0.1544287</v>
      </c>
      <c r="U3179">
        <v>-0.36163329999999999</v>
      </c>
      <c r="V3179">
        <v>-6.1798060000000002E-2</v>
      </c>
      <c r="W3179">
        <v>4.1709059999999999E-2</v>
      </c>
      <c r="X3179">
        <v>0.99721680000000001</v>
      </c>
      <c r="Y3179">
        <v>0.1711568</v>
      </c>
      <c r="Z3179">
        <v>-7.04369E-3</v>
      </c>
      <c r="AA3179">
        <v>0.98521859999999895</v>
      </c>
      <c r="AB3179">
        <v>32</v>
      </c>
      <c r="AC3179">
        <v>21.6096</v>
      </c>
      <c r="AD3179">
        <v>-1.102651092339</v>
      </c>
      <c r="AE3179">
        <v>-2.5994000000000002</v>
      </c>
      <c r="AF3179">
        <v>3.77554617682621</v>
      </c>
      <c r="AG3179">
        <v>-1.102651092339</v>
      </c>
      <c r="AH3179">
        <v>21.378835192807699</v>
      </c>
      <c r="AI3179">
        <v>92.907600172805701</v>
      </c>
      <c r="AJ3179">
        <v>79.984715497964501</v>
      </c>
      <c r="AK3179">
        <v>21.737644365616401</v>
      </c>
    </row>
    <row r="3180" spans="1:37" x14ac:dyDescent="0.2">
      <c r="A3180" t="str">
        <f>"20200111155909820"</f>
        <v>20200111155909820</v>
      </c>
      <c r="B3180" t="str">
        <f>"1578729549815369"</f>
        <v>1578729549815369</v>
      </c>
      <c r="C3180" t="s">
        <v>37</v>
      </c>
      <c r="D3180">
        <v>5.4082759999999999</v>
      </c>
      <c r="E3180">
        <v>0.59176079999999998</v>
      </c>
      <c r="F3180" t="s">
        <v>50</v>
      </c>
      <c r="G3180">
        <v>-277.95409999999998</v>
      </c>
      <c r="H3180" s="1">
        <v>2.7751579999999998E-6</v>
      </c>
      <c r="I3180">
        <v>212.80529999999999</v>
      </c>
      <c r="J3180">
        <v>-299.47710000000001</v>
      </c>
      <c r="K3180">
        <v>1.1026119999999999</v>
      </c>
      <c r="L3180">
        <v>215.43430000000001</v>
      </c>
      <c r="M3180">
        <v>0.99852009999999902</v>
      </c>
      <c r="N3180">
        <v>0</v>
      </c>
      <c r="O3180">
        <v>5.404101E-2</v>
      </c>
      <c r="P3180">
        <v>0.99262099999999898</v>
      </c>
      <c r="Q3180">
        <v>3.5281819999999998E-2</v>
      </c>
      <c r="R3180">
        <v>0.1160128</v>
      </c>
      <c r="S3180">
        <v>3.071259</v>
      </c>
      <c r="T3180">
        <v>-0.15492210000000001</v>
      </c>
      <c r="U3180">
        <v>-0.36689759999999999</v>
      </c>
      <c r="V3180">
        <v>-6.2116249999999998E-2</v>
      </c>
      <c r="W3180">
        <v>4.1491819999999999E-2</v>
      </c>
      <c r="X3180">
        <v>0.99720609999999998</v>
      </c>
      <c r="Y3180">
        <v>0.1718218</v>
      </c>
      <c r="Z3180">
        <v>-7.0313429999999998E-3</v>
      </c>
      <c r="AA3180">
        <v>0.98510299999999995</v>
      </c>
      <c r="AB3180">
        <v>33</v>
      </c>
      <c r="AC3180">
        <v>21.523</v>
      </c>
      <c r="AD3180">
        <v>-1.1026092248420001</v>
      </c>
      <c r="AE3180">
        <v>-2.6290000000000102</v>
      </c>
      <c r="AF3180">
        <v>3.7785336496409401</v>
      </c>
      <c r="AG3180">
        <v>-1.1026092248420001</v>
      </c>
      <c r="AH3180">
        <v>21.2944067330248</v>
      </c>
      <c r="AI3180">
        <v>92.918577385046504</v>
      </c>
      <c r="AJ3180">
        <v>79.938022255872397</v>
      </c>
      <c r="AK3180">
        <v>21.6551338429406</v>
      </c>
    </row>
    <row r="3181" spans="1:37" x14ac:dyDescent="0.2">
      <c r="A3181" t="str">
        <f>"20200111155909842"</f>
        <v>20200111155909842</v>
      </c>
      <c r="B3181" t="str">
        <f>"1578729549834889"</f>
        <v>1578729549834889</v>
      </c>
      <c r="C3181" t="s">
        <v>37</v>
      </c>
      <c r="D3181">
        <v>5.3849900000000002</v>
      </c>
      <c r="E3181">
        <v>0.59176580000000001</v>
      </c>
      <c r="F3181" t="s">
        <v>50</v>
      </c>
      <c r="G3181">
        <v>-276.9966</v>
      </c>
      <c r="H3181" s="1">
        <v>2.2695500000000001E-6</v>
      </c>
      <c r="I3181">
        <v>212.71539999999999</v>
      </c>
      <c r="J3181">
        <v>-299.14909999999998</v>
      </c>
      <c r="K3181">
        <v>1.1025739999999999</v>
      </c>
      <c r="L3181">
        <v>215.4511</v>
      </c>
      <c r="M3181">
        <v>0.99857619999999903</v>
      </c>
      <c r="N3181">
        <v>0</v>
      </c>
      <c r="O3181">
        <v>5.2991339999999998E-2</v>
      </c>
      <c r="P3181">
        <v>0.99263919999999894</v>
      </c>
      <c r="Q3181">
        <v>3.6085689999999997E-2</v>
      </c>
      <c r="R3181">
        <v>0.115609199999999</v>
      </c>
      <c r="S3181">
        <v>3.071075</v>
      </c>
      <c r="T3181">
        <v>-0.1506284</v>
      </c>
      <c r="U3181">
        <v>-0.37142940000000002</v>
      </c>
      <c r="V3181">
        <v>-6.275356E-2</v>
      </c>
      <c r="W3181">
        <v>4.234222E-2</v>
      </c>
      <c r="X3181">
        <v>0.99713050000000003</v>
      </c>
      <c r="Y3181">
        <v>0.17224249999999999</v>
      </c>
      <c r="Z3181">
        <v>-6.7955150000000002E-3</v>
      </c>
      <c r="AA3181">
        <v>0.98503109999999905</v>
      </c>
      <c r="AB3181">
        <v>33</v>
      </c>
      <c r="AC3181">
        <v>22.1524999999999</v>
      </c>
      <c r="AD3181">
        <v>-1.10257173045</v>
      </c>
      <c r="AE3181">
        <v>-2.7357</v>
      </c>
      <c r="AF3181">
        <v>3.8962617956423502</v>
      </c>
      <c r="AG3181">
        <v>-1.10257173045</v>
      </c>
      <c r="AH3181">
        <v>21.922910295457299</v>
      </c>
      <c r="AI3181">
        <v>92.834809630565303</v>
      </c>
      <c r="AJ3181">
        <v>79.922301510289003</v>
      </c>
      <c r="AK3181">
        <v>22.293732666909701</v>
      </c>
    </row>
    <row r="3182" spans="1:37" x14ac:dyDescent="0.2">
      <c r="A3182" t="str">
        <f>"20200111155909864"</f>
        <v>20200111155909864</v>
      </c>
      <c r="B3182" t="str">
        <f>"1578729549855385"</f>
        <v>1578729549855385</v>
      </c>
      <c r="C3182" t="s">
        <v>37</v>
      </c>
      <c r="D3182">
        <v>5.3825289999999999</v>
      </c>
      <c r="E3182">
        <v>0.59165500000000004</v>
      </c>
      <c r="F3182" t="s">
        <v>50</v>
      </c>
      <c r="G3182">
        <v>-276.09559999999999</v>
      </c>
      <c r="H3182" s="1">
        <v>1.792807E-6</v>
      </c>
      <c r="I3182">
        <v>212.65350000000001</v>
      </c>
      <c r="J3182">
        <v>-298.82729999999998</v>
      </c>
      <c r="K3182">
        <v>1.1025309999999999</v>
      </c>
      <c r="L3182">
        <v>215.46709999999999</v>
      </c>
      <c r="M3182">
        <v>0.99863299999999999</v>
      </c>
      <c r="N3182">
        <v>0</v>
      </c>
      <c r="O3182">
        <v>5.1903810000000002E-2</v>
      </c>
      <c r="P3182">
        <v>0.99272439999999995</v>
      </c>
      <c r="Q3182">
        <v>3.6340959999999999E-2</v>
      </c>
      <c r="R3182">
        <v>0.114794699999999</v>
      </c>
      <c r="S3182">
        <v>3.0709840000000002</v>
      </c>
      <c r="T3182">
        <v>-0.14687539999999999</v>
      </c>
      <c r="U3182">
        <v>-0.37268069999999998</v>
      </c>
      <c r="V3182">
        <v>-6.301561E-2</v>
      </c>
      <c r="W3182">
        <v>4.2669520000000002E-2</v>
      </c>
      <c r="X3182">
        <v>0.99709999999999999</v>
      </c>
      <c r="Y3182">
        <v>0.17158389999999901</v>
      </c>
      <c r="Z3182">
        <v>-6.5589289999999998E-3</v>
      </c>
      <c r="AA3182">
        <v>0.98514769999999896</v>
      </c>
      <c r="AB3182">
        <v>33</v>
      </c>
      <c r="AC3182">
        <v>22.731699999999901</v>
      </c>
      <c r="AD3182">
        <v>-1.102529207193</v>
      </c>
      <c r="AE3182">
        <v>-2.8135999999999699</v>
      </c>
      <c r="AF3182">
        <v>3.9804692234934498</v>
      </c>
      <c r="AG3182">
        <v>-1.102529207193</v>
      </c>
      <c r="AH3182">
        <v>22.502881514708999</v>
      </c>
      <c r="AI3182">
        <v>92.7621532690235</v>
      </c>
      <c r="AJ3182">
        <v>79.968878785174098</v>
      </c>
      <c r="AK3182">
        <v>22.878797659775</v>
      </c>
    </row>
    <row r="3183" spans="1:37" x14ac:dyDescent="0.2">
      <c r="A3183" t="str">
        <f>"20200111155909886"</f>
        <v>20200111155909886</v>
      </c>
      <c r="B3183" t="str">
        <f>"1578729549874905"</f>
        <v>1578729549874905</v>
      </c>
      <c r="C3183" t="s">
        <v>37</v>
      </c>
      <c r="D3183">
        <v>5.3570640000000003</v>
      </c>
      <c r="E3183">
        <v>0.59171049999999903</v>
      </c>
      <c r="F3183" t="s">
        <v>50</v>
      </c>
      <c r="G3183">
        <v>-275.17750000000001</v>
      </c>
      <c r="H3183" s="1">
        <v>1.3072679999999999E-6</v>
      </c>
      <c r="I3183">
        <v>212.58330000000001</v>
      </c>
      <c r="J3183">
        <v>-298.50490000000002</v>
      </c>
      <c r="K3183">
        <v>1.1024959999999999</v>
      </c>
      <c r="L3183">
        <v>215.4828</v>
      </c>
      <c r="M3183">
        <v>0.99869110000000005</v>
      </c>
      <c r="N3183">
        <v>0</v>
      </c>
      <c r="O3183">
        <v>5.0759539999999999E-2</v>
      </c>
      <c r="P3183">
        <v>0.99278060000000001</v>
      </c>
      <c r="Q3183">
        <v>3.6420109999999999E-2</v>
      </c>
      <c r="R3183">
        <v>0.1142823</v>
      </c>
      <c r="S3183">
        <v>3.0705259999999899</v>
      </c>
      <c r="T3183">
        <v>-0.14314449999999901</v>
      </c>
      <c r="U3183">
        <v>-0.37442019999999998</v>
      </c>
      <c r="V3183">
        <v>-6.3637470000000002E-2</v>
      </c>
      <c r="W3183">
        <v>4.2848160000000003E-2</v>
      </c>
      <c r="X3183">
        <v>0.99705279999999996</v>
      </c>
      <c r="Y3183">
        <v>0.17103699999999999</v>
      </c>
      <c r="Z3183">
        <v>-6.3273929999999997E-3</v>
      </c>
      <c r="AA3183">
        <v>0.98524429999999996</v>
      </c>
      <c r="AB3183">
        <v>33</v>
      </c>
      <c r="AC3183">
        <v>23.327400000000001</v>
      </c>
      <c r="AD3183">
        <v>-1.1024946927319901</v>
      </c>
      <c r="AE3183">
        <v>-2.8994999999999802</v>
      </c>
      <c r="AF3183">
        <v>4.0709188593953902</v>
      </c>
      <c r="AG3183">
        <v>-1.1024946927319901</v>
      </c>
      <c r="AH3183">
        <v>23.0993359046964</v>
      </c>
      <c r="AI3183">
        <v>92.691152914635097</v>
      </c>
      <c r="AJ3183">
        <v>80.005093480583497</v>
      </c>
      <c r="AK3183">
        <v>23.481209384213599</v>
      </c>
    </row>
    <row r="3184" spans="1:37" x14ac:dyDescent="0.2">
      <c r="A3184" t="str">
        <f>"20200111155909909"</f>
        <v>20200111155909909</v>
      </c>
      <c r="B3184" t="str">
        <f>"1578729549905161"</f>
        <v>1578729549905161</v>
      </c>
      <c r="C3184" t="s">
        <v>37</v>
      </c>
      <c r="D3184">
        <v>5.3962029999999999</v>
      </c>
      <c r="E3184">
        <v>0.59181729999999999</v>
      </c>
      <c r="F3184" t="s">
        <v>50</v>
      </c>
      <c r="G3184">
        <v>-274.59429999999998</v>
      </c>
      <c r="H3184" s="1">
        <v>9.982783000000001E-7</v>
      </c>
      <c r="I3184">
        <v>212.5521</v>
      </c>
      <c r="J3184">
        <v>-298.16699999999997</v>
      </c>
      <c r="K3184">
        <v>1.10246</v>
      </c>
      <c r="L3184">
        <v>215.49879999999999</v>
      </c>
      <c r="M3184">
        <v>0.998753</v>
      </c>
      <c r="N3184">
        <v>0</v>
      </c>
      <c r="O3184">
        <v>4.9510209999999999E-2</v>
      </c>
      <c r="P3184">
        <v>0.99286980000000002</v>
      </c>
      <c r="Q3184">
        <v>3.6935120000000002E-2</v>
      </c>
      <c r="R3184">
        <v>0.1133371</v>
      </c>
      <c r="S3184">
        <v>3.0703130000000001</v>
      </c>
      <c r="T3184">
        <v>-0.14156869999999999</v>
      </c>
      <c r="U3184">
        <v>-0.37632749999999998</v>
      </c>
      <c r="V3184">
        <v>-6.3929979999999997E-2</v>
      </c>
      <c r="W3184">
        <v>4.3496529999999999E-2</v>
      </c>
      <c r="X3184">
        <v>0.99700599999999995</v>
      </c>
      <c r="Y3184">
        <v>0.17042309999999999</v>
      </c>
      <c r="Z3184">
        <v>-6.18653E-3</v>
      </c>
      <c r="AA3184">
        <v>0.98535159999999999</v>
      </c>
      <c r="AB3184">
        <v>33</v>
      </c>
      <c r="AC3184">
        <v>23.572700000000001</v>
      </c>
      <c r="AD3184">
        <v>-1.1024590017217</v>
      </c>
      <c r="AE3184">
        <v>-2.9466999999999901</v>
      </c>
      <c r="AF3184">
        <v>4.1013665790882197</v>
      </c>
      <c r="AG3184">
        <v>-1.1024590017217</v>
      </c>
      <c r="AH3184">
        <v>23.347612658795999</v>
      </c>
      <c r="AI3184">
        <v>92.662749362006494</v>
      </c>
      <c r="AJ3184">
        <v>80.036769646149693</v>
      </c>
      <c r="AK3184">
        <v>23.730731984743102</v>
      </c>
    </row>
    <row r="3185" spans="1:37" x14ac:dyDescent="0.2">
      <c r="A3185" t="str">
        <f>"20200111155909932"</f>
        <v>20200111155909932</v>
      </c>
      <c r="B3185" t="str">
        <f>"1578729549925657"</f>
        <v>1578729549925657</v>
      </c>
      <c r="C3185" t="s">
        <v>37</v>
      </c>
      <c r="D3185">
        <v>5.3957300000000004</v>
      </c>
      <c r="E3185">
        <v>0.59160459999999904</v>
      </c>
      <c r="F3185" t="s">
        <v>50</v>
      </c>
      <c r="G3185">
        <v>-273.68470000000002</v>
      </c>
      <c r="H3185" s="1">
        <v>5.1803029999999996E-7</v>
      </c>
      <c r="I3185">
        <v>212.4659</v>
      </c>
      <c r="J3185">
        <v>-297.82619999999997</v>
      </c>
      <c r="K3185">
        <v>1.102436</v>
      </c>
      <c r="L3185">
        <v>215.5145</v>
      </c>
      <c r="M3185">
        <v>0.99881559999999903</v>
      </c>
      <c r="N3185">
        <v>0</v>
      </c>
      <c r="O3185">
        <v>4.8213020000000002E-2</v>
      </c>
      <c r="P3185">
        <v>0.99306289999999997</v>
      </c>
      <c r="Q3185">
        <v>3.671584E-2</v>
      </c>
      <c r="R3185">
        <v>0.1117055</v>
      </c>
      <c r="S3185">
        <v>3.0701290000000001</v>
      </c>
      <c r="T3185">
        <v>-0.1382506</v>
      </c>
      <c r="U3185">
        <v>-0.38034059999999997</v>
      </c>
      <c r="V3185">
        <v>-6.358171E-2</v>
      </c>
      <c r="W3185">
        <v>4.3422699999999897E-2</v>
      </c>
      <c r="X3185">
        <v>0.99703149999999996</v>
      </c>
      <c r="Y3185">
        <v>0.1704312</v>
      </c>
      <c r="Z3185">
        <v>-5.9835590000000003E-3</v>
      </c>
      <c r="AA3185">
        <v>0.98535139999999999</v>
      </c>
      <c r="AB3185">
        <v>33</v>
      </c>
      <c r="AC3185">
        <v>24.141499999999901</v>
      </c>
      <c r="AD3185">
        <v>-1.1024354819697</v>
      </c>
      <c r="AE3185">
        <v>-3.0485999999999902</v>
      </c>
      <c r="AF3185">
        <v>4.2003923720035097</v>
      </c>
      <c r="AG3185">
        <v>-1.1024354819697</v>
      </c>
      <c r="AH3185">
        <v>23.917345666492299</v>
      </c>
      <c r="AI3185">
        <v>92.599372459961799</v>
      </c>
      <c r="AJ3185">
        <v>80.039224956919298</v>
      </c>
      <c r="AK3185">
        <v>24.308395335792301</v>
      </c>
    </row>
    <row r="3186" spans="1:37" x14ac:dyDescent="0.2">
      <c r="A3186" t="str">
        <f>"20200111155909952"</f>
        <v>20200111155909952</v>
      </c>
      <c r="B3186" t="str">
        <f>"1578729549945176"</f>
        <v>1578729549945176</v>
      </c>
      <c r="C3186" t="s">
        <v>37</v>
      </c>
      <c r="D3186">
        <v>5.4160519999999996</v>
      </c>
      <c r="E3186">
        <v>0.59146449999999995</v>
      </c>
      <c r="F3186" t="s">
        <v>50</v>
      </c>
      <c r="G3186">
        <v>-273.81580000000002</v>
      </c>
      <c r="H3186" s="1">
        <v>5.8562930000000004E-7</v>
      </c>
      <c r="I3186">
        <v>212.51519999999999</v>
      </c>
      <c r="J3186">
        <v>-297.50540000000001</v>
      </c>
      <c r="K3186">
        <v>1.102419</v>
      </c>
      <c r="L3186">
        <v>215.52879999999999</v>
      </c>
      <c r="M3186">
        <v>0.99887389999999998</v>
      </c>
      <c r="N3186">
        <v>0</v>
      </c>
      <c r="O3186">
        <v>4.6970499999999998E-2</v>
      </c>
      <c r="P3186">
        <v>0.99329880000000004</v>
      </c>
      <c r="Q3186">
        <v>3.6600769999999998E-2</v>
      </c>
      <c r="R3186">
        <v>0.1096279</v>
      </c>
      <c r="S3186">
        <v>3.0693049999999999</v>
      </c>
      <c r="T3186">
        <v>-0.140927</v>
      </c>
      <c r="U3186">
        <v>-0.38340759999999902</v>
      </c>
      <c r="V3186">
        <v>-6.2732960000000004E-2</v>
      </c>
      <c r="W3186">
        <v>4.3455090000000002E-2</v>
      </c>
      <c r="X3186">
        <v>0.99708379999999996</v>
      </c>
      <c r="Y3186">
        <v>0.1702003</v>
      </c>
      <c r="Z3186">
        <v>-6.0384230000000002E-3</v>
      </c>
      <c r="AA3186">
        <v>0.98539100000000002</v>
      </c>
      <c r="AB3186">
        <v>33</v>
      </c>
      <c r="AC3186">
        <v>23.689599999999899</v>
      </c>
      <c r="AD3186">
        <v>-1.1024184143707001</v>
      </c>
      <c r="AE3186">
        <v>-3.0135999999999901</v>
      </c>
      <c r="AF3186">
        <v>4.11424300166947</v>
      </c>
      <c r="AG3186">
        <v>-1.1024184143707001</v>
      </c>
      <c r="AH3186">
        <v>23.471877489465498</v>
      </c>
      <c r="AI3186">
        <v>92.648746720874996</v>
      </c>
      <c r="AJ3186">
        <v>80.057970499264002</v>
      </c>
      <c r="AK3186">
        <v>23.8552165095521</v>
      </c>
    </row>
    <row r="3187" spans="1:37" x14ac:dyDescent="0.2">
      <c r="A3187" t="str">
        <f>"20200111155909975"</f>
        <v>20200111155909975</v>
      </c>
      <c r="B3187" t="str">
        <f>"1578729549964696"</f>
        <v>1578729549964696</v>
      </c>
      <c r="C3187" t="s">
        <v>37</v>
      </c>
      <c r="D3187">
        <v>5.398962</v>
      </c>
      <c r="E3187">
        <v>0.59133259999999999</v>
      </c>
      <c r="F3187" t="s">
        <v>50</v>
      </c>
      <c r="G3187">
        <v>-273.54899999999998</v>
      </c>
      <c r="H3187" s="1">
        <v>4.4457509999999999E-7</v>
      </c>
      <c r="I3187">
        <v>212.4948</v>
      </c>
      <c r="J3187">
        <v>-297.1705</v>
      </c>
      <c r="K3187">
        <v>1.102422</v>
      </c>
      <c r="L3187">
        <v>215.54329999999999</v>
      </c>
      <c r="M3187">
        <v>0.99893349999999903</v>
      </c>
      <c r="N3187">
        <v>0</v>
      </c>
      <c r="O3187">
        <v>4.566042E-2</v>
      </c>
      <c r="P3187">
        <v>0.99353429999999998</v>
      </c>
      <c r="Q3187">
        <v>3.6299030000000003E-2</v>
      </c>
      <c r="R3187">
        <v>0.107575</v>
      </c>
      <c r="S3187">
        <v>3.0683289999999999</v>
      </c>
      <c r="T3187">
        <v>-0.14119799999999999</v>
      </c>
      <c r="U3187">
        <v>-0.38859559999999999</v>
      </c>
      <c r="V3187">
        <v>-6.1976860000000002E-2</v>
      </c>
      <c r="W3187">
        <v>4.3326950000000003E-2</v>
      </c>
      <c r="X3187">
        <v>0.99713669999999999</v>
      </c>
      <c r="Y3187">
        <v>0.17058670000000001</v>
      </c>
      <c r="Z3187">
        <v>-6.0001159999999998E-3</v>
      </c>
      <c r="AA3187">
        <v>0.98532439999999999</v>
      </c>
      <c r="AB3187">
        <v>33</v>
      </c>
      <c r="AC3187">
        <v>23.621499999999902</v>
      </c>
      <c r="AD3187">
        <v>-1.1024215554248999</v>
      </c>
      <c r="AE3187">
        <v>-3.04849999999999</v>
      </c>
      <c r="AF3187">
        <v>4.1150969683101204</v>
      </c>
      <c r="AG3187">
        <v>-1.1024215554248999</v>
      </c>
      <c r="AH3187">
        <v>23.4075140481667</v>
      </c>
      <c r="AI3187">
        <v>92.655792940795607</v>
      </c>
      <c r="AJ3187">
        <v>80.029152992116806</v>
      </c>
      <c r="AK3187">
        <v>23.792037959359099</v>
      </c>
    </row>
    <row r="3188" spans="1:37" x14ac:dyDescent="0.2">
      <c r="A3188" t="str">
        <f>"20200111155909997"</f>
        <v>20200111155909997</v>
      </c>
      <c r="B3188" t="str">
        <f>"1578729549994954"</f>
        <v>1578729549994954</v>
      </c>
      <c r="C3188" t="s">
        <v>37</v>
      </c>
      <c r="D3188">
        <v>5.4388120000000004</v>
      </c>
      <c r="E3188">
        <v>0.59635389999999999</v>
      </c>
      <c r="F3188" t="s">
        <v>50</v>
      </c>
      <c r="G3188">
        <v>-273.29899999999998</v>
      </c>
      <c r="H3188" s="1">
        <v>3.1227480000000002E-7</v>
      </c>
      <c r="I3188">
        <v>212.47649999999999</v>
      </c>
      <c r="J3188">
        <v>-296.83679999999998</v>
      </c>
      <c r="K3188">
        <v>1.102428</v>
      </c>
      <c r="L3188">
        <v>215.5573</v>
      </c>
      <c r="M3188">
        <v>0.99899119999999997</v>
      </c>
      <c r="N3188">
        <v>0</v>
      </c>
      <c r="O3188">
        <v>4.434768E-2</v>
      </c>
      <c r="P3188">
        <v>0.99371580000000004</v>
      </c>
      <c r="Q3188">
        <v>3.6224979999999997E-2</v>
      </c>
      <c r="R3188">
        <v>0.105909899999999</v>
      </c>
      <c r="S3188">
        <v>3.0673520000000001</v>
      </c>
      <c r="T3188">
        <v>-0.14165459999999999</v>
      </c>
      <c r="U3188">
        <v>-0.39405820000000003</v>
      </c>
      <c r="V3188">
        <v>-6.1613759999999997E-2</v>
      </c>
      <c r="W3188">
        <v>4.3443179999999998E-2</v>
      </c>
      <c r="X3188">
        <v>0.99715419999999999</v>
      </c>
      <c r="Y3188">
        <v>0.17105709999999999</v>
      </c>
      <c r="Z3188">
        <v>-5.9711719999999899E-3</v>
      </c>
      <c r="AA3188">
        <v>0.98524299999999998</v>
      </c>
      <c r="AB3188">
        <v>33</v>
      </c>
      <c r="AC3188">
        <v>23.537799999999901</v>
      </c>
      <c r="AD3188">
        <v>-1.1024276877251999</v>
      </c>
      <c r="AE3188">
        <v>-3.0808</v>
      </c>
      <c r="AF3188">
        <v>4.1127716284104601</v>
      </c>
      <c r="AG3188">
        <v>-1.1024276877251999</v>
      </c>
      <c r="AH3188">
        <v>23.3277005787753</v>
      </c>
      <c r="AI3188">
        <v>92.664653192261696</v>
      </c>
      <c r="AJ3188">
        <v>80.001265790270907</v>
      </c>
      <c r="AK3188">
        <v>23.713115602280499</v>
      </c>
    </row>
    <row r="3189" spans="1:37" x14ac:dyDescent="0.2">
      <c r="A3189" t="str">
        <f>"20200111155910021"</f>
        <v>20200111155910021</v>
      </c>
      <c r="B3189" t="str">
        <f>"1578729550015449"</f>
        <v>1578729550015449</v>
      </c>
      <c r="C3189" t="s">
        <v>37</v>
      </c>
      <c r="D3189">
        <v>5.3543890000000003</v>
      </c>
      <c r="E3189">
        <v>0.59279669999999995</v>
      </c>
      <c r="F3189" t="s">
        <v>66</v>
      </c>
      <c r="G3189">
        <v>-168.41399999999999</v>
      </c>
      <c r="H3189">
        <v>1.2204899999999901</v>
      </c>
      <c r="I3189">
        <v>196.97919999999999</v>
      </c>
      <c r="J3189">
        <v>-296.48630000000003</v>
      </c>
      <c r="K3189">
        <v>1.102433</v>
      </c>
      <c r="L3189">
        <v>215.57149999999999</v>
      </c>
      <c r="M3189">
        <v>0.9990502</v>
      </c>
      <c r="N3189">
        <v>0</v>
      </c>
      <c r="O3189">
        <v>4.296672E-2</v>
      </c>
      <c r="P3189">
        <v>0.99384740000000005</v>
      </c>
      <c r="Q3189">
        <v>3.5443830000000003E-2</v>
      </c>
      <c r="R3189">
        <v>0.1049339</v>
      </c>
      <c r="S3189">
        <v>3.0661320000000001</v>
      </c>
      <c r="T3189">
        <v>2.8195379999999999E-3</v>
      </c>
      <c r="U3189">
        <v>-0.4435577</v>
      </c>
      <c r="V3189">
        <v>-6.2011820000000002E-2</v>
      </c>
      <c r="W3189">
        <v>4.2871979999999997E-2</v>
      </c>
      <c r="X3189">
        <v>0.99715419999999999</v>
      </c>
      <c r="Y3189">
        <v>0.18556610000000001</v>
      </c>
      <c r="Z3189">
        <v>1.2420810000000001E-4</v>
      </c>
      <c r="AA3189">
        <v>0.982631699999999</v>
      </c>
      <c r="AB3189">
        <v>33</v>
      </c>
      <c r="AC3189">
        <v>128.07230000000001</v>
      </c>
      <c r="AD3189">
        <v>0.118056999999999</v>
      </c>
      <c r="AE3189">
        <v>-18.592299999999899</v>
      </c>
      <c r="AF3189">
        <v>24.078100417580501</v>
      </c>
      <c r="AG3189">
        <v>0.118056999999999</v>
      </c>
      <c r="AH3189">
        <v>127.155042573958</v>
      </c>
      <c r="AI3189">
        <v>89.947732622833101</v>
      </c>
      <c r="AJ3189">
        <v>79.277419344476499</v>
      </c>
      <c r="AK3189">
        <v>129.414735286054</v>
      </c>
    </row>
    <row r="3190" spans="1:37" x14ac:dyDescent="0.2">
      <c r="A3190" t="str">
        <f>"20200111155910042"</f>
        <v>20200111155910042</v>
      </c>
      <c r="B3190" t="str">
        <f>"1578729550034968"</f>
        <v>1578729550034968</v>
      </c>
      <c r="C3190" t="s">
        <v>37</v>
      </c>
      <c r="D3190">
        <v>5.4887329999999999</v>
      </c>
      <c r="E3190">
        <v>0.52606140000000001</v>
      </c>
      <c r="F3190" t="s">
        <v>57</v>
      </c>
      <c r="G3190">
        <v>-234.80279999999999</v>
      </c>
      <c r="H3190">
        <v>0.2242682</v>
      </c>
      <c r="I3190">
        <v>207.17420000000001</v>
      </c>
      <c r="J3190">
        <v>-296.16770000000002</v>
      </c>
      <c r="K3190">
        <v>1.1024389999999999</v>
      </c>
      <c r="L3190">
        <v>215.584</v>
      </c>
      <c r="M3190">
        <v>0.99910189999999999</v>
      </c>
      <c r="N3190">
        <v>0</v>
      </c>
      <c r="O3190">
        <v>4.1712760000000002E-2</v>
      </c>
      <c r="P3190">
        <v>0.99396149999999905</v>
      </c>
      <c r="Q3190">
        <v>3.494191E-2</v>
      </c>
      <c r="R3190">
        <v>0.104018</v>
      </c>
      <c r="S3190">
        <v>3.0641780000000001</v>
      </c>
      <c r="T3190">
        <v>-4.3621180000000002E-2</v>
      </c>
      <c r="U3190">
        <v>-0.41714479999999998</v>
      </c>
      <c r="V3190">
        <v>-6.2343580000000003E-2</v>
      </c>
      <c r="W3190">
        <v>4.2563280000000002E-2</v>
      </c>
      <c r="X3190">
        <v>0.99714669999999905</v>
      </c>
      <c r="Y3190">
        <v>0.1760852</v>
      </c>
      <c r="Z3190">
        <v>-1.8389120000000001E-3</v>
      </c>
      <c r="AA3190">
        <v>0.98437319999999995</v>
      </c>
      <c r="AB3190">
        <v>33</v>
      </c>
      <c r="AC3190">
        <v>61.364899999999999</v>
      </c>
      <c r="AD3190">
        <v>-0.87817079999999903</v>
      </c>
      <c r="AE3190">
        <v>-8.40979999999999</v>
      </c>
      <c r="AF3190">
        <v>10.9600472009949</v>
      </c>
      <c r="AG3190">
        <v>-0.87817079999999903</v>
      </c>
      <c r="AH3190">
        <v>60.948430254084499</v>
      </c>
      <c r="AI3190">
        <v>90.812454863255397</v>
      </c>
      <c r="AJ3190">
        <v>79.805742552077803</v>
      </c>
      <c r="AK3190">
        <v>61.932261132942799</v>
      </c>
    </row>
    <row r="3191" spans="1:37" x14ac:dyDescent="0.2">
      <c r="A3191" t="str">
        <f>"20200111155910065"</f>
        <v>20200111155910065</v>
      </c>
      <c r="B3191" t="str">
        <f>"1578729550055464"</f>
        <v>1578729550055464</v>
      </c>
      <c r="C3191" t="s">
        <v>37</v>
      </c>
      <c r="D3191">
        <v>5.5029820000000003</v>
      </c>
      <c r="E3191">
        <v>0.51204859999999996</v>
      </c>
      <c r="F3191" t="s">
        <v>50</v>
      </c>
      <c r="G3191">
        <v>-279.83049999999997</v>
      </c>
      <c r="H3191" s="1">
        <v>3.6252539999999998E-6</v>
      </c>
      <c r="I3191">
        <v>216.20099999999999</v>
      </c>
      <c r="J3191">
        <v>-295.83049999999997</v>
      </c>
      <c r="K3191">
        <v>1.1024479999999901</v>
      </c>
      <c r="L3191">
        <v>215.5968</v>
      </c>
      <c r="M3191">
        <v>0.99915480000000001</v>
      </c>
      <c r="N3191">
        <v>0</v>
      </c>
      <c r="O3191">
        <v>4.0388199999999902E-2</v>
      </c>
      <c r="P3191">
        <v>0.99408050000000003</v>
      </c>
      <c r="Q3191">
        <v>3.4464010000000003E-2</v>
      </c>
      <c r="R3191">
        <v>0.103035999999999</v>
      </c>
      <c r="S3191">
        <v>3.013458</v>
      </c>
      <c r="T3191">
        <v>-0.2033489</v>
      </c>
      <c r="U3191">
        <v>0.1138</v>
      </c>
      <c r="V3191">
        <v>-6.2679040000000005E-2</v>
      </c>
      <c r="W3191">
        <v>4.2290769999999998E-2</v>
      </c>
      <c r="X3191">
        <v>0.9971373</v>
      </c>
      <c r="Y3191">
        <v>2.5569159999999998E-3</v>
      </c>
      <c r="Z3191">
        <v>-2.8064919999999998E-3</v>
      </c>
      <c r="AA3191">
        <v>0.99999280000000002</v>
      </c>
      <c r="AB3191">
        <v>33</v>
      </c>
      <c r="AC3191">
        <v>16</v>
      </c>
      <c r="AD3191">
        <v>-1.10244437474599</v>
      </c>
      <c r="AE3191">
        <v>0.60419999999999097</v>
      </c>
      <c r="AF3191">
        <v>4.2322469505160602E-2</v>
      </c>
      <c r="AG3191">
        <v>-1.10244437474599</v>
      </c>
      <c r="AH3191">
        <v>15.9357985810454</v>
      </c>
      <c r="AI3191">
        <v>93.9574237784378</v>
      </c>
      <c r="AJ3191">
        <v>89.847833595053103</v>
      </c>
      <c r="AK3191">
        <v>15.973942882284399</v>
      </c>
    </row>
    <row r="3192" spans="1:37" x14ac:dyDescent="0.2">
      <c r="A3192" t="str">
        <f>"20200111155910088"</f>
        <v>20200111155910088</v>
      </c>
      <c r="B3192" t="str">
        <f>"1578729550084745"</f>
        <v>1578729550084745</v>
      </c>
      <c r="C3192" t="s">
        <v>37</v>
      </c>
      <c r="D3192">
        <v>5.4518180000000003</v>
      </c>
      <c r="E3192">
        <v>0.50543329999999997</v>
      </c>
      <c r="F3192" t="s">
        <v>50</v>
      </c>
      <c r="G3192">
        <v>-279.67110000000002</v>
      </c>
      <c r="H3192" s="1">
        <v>3.5145450000000002E-6</v>
      </c>
      <c r="I3192">
        <v>216.7928</v>
      </c>
      <c r="J3192">
        <v>-295.49489999999997</v>
      </c>
      <c r="K3192">
        <v>1.1024559999999901</v>
      </c>
      <c r="L3192">
        <v>215.60910000000001</v>
      </c>
      <c r="M3192">
        <v>0.99920549999999997</v>
      </c>
      <c r="N3192">
        <v>0</v>
      </c>
      <c r="O3192">
        <v>3.9072139999999998E-2</v>
      </c>
      <c r="P3192">
        <v>0.99416159999999998</v>
      </c>
      <c r="Q3192">
        <v>3.3893670000000001E-2</v>
      </c>
      <c r="R3192">
        <v>0.1024407</v>
      </c>
      <c r="S3192">
        <v>3.0019230000000001</v>
      </c>
      <c r="T3192">
        <v>-0.20480010000000001</v>
      </c>
      <c r="U3192">
        <v>0.22216799999999901</v>
      </c>
      <c r="V3192">
        <v>-6.3395129999999994E-2</v>
      </c>
      <c r="W3192">
        <v>4.1922500000000001E-2</v>
      </c>
      <c r="X3192">
        <v>0.99710759999999898</v>
      </c>
      <c r="Y3192">
        <v>-3.479343E-2</v>
      </c>
      <c r="Z3192">
        <v>-1.4736510000000001E-3</v>
      </c>
      <c r="AA3192">
        <v>0.99939349999999905</v>
      </c>
      <c r="AB3192">
        <v>34</v>
      </c>
      <c r="AC3192">
        <v>15.823799999999901</v>
      </c>
      <c r="AD3192">
        <v>-1.102452485455</v>
      </c>
      <c r="AE3192">
        <v>1.18369999999998</v>
      </c>
      <c r="AF3192">
        <v>-0.56179547627207804</v>
      </c>
      <c r="AG3192">
        <v>-1.102452485455</v>
      </c>
      <c r="AH3192">
        <v>15.781788952414599</v>
      </c>
      <c r="AI3192">
        <v>93.993440661255704</v>
      </c>
      <c r="AJ3192">
        <v>92.038737419104095</v>
      </c>
      <c r="AK3192">
        <v>15.8302204083961</v>
      </c>
    </row>
    <row r="3193" spans="1:37" x14ac:dyDescent="0.2">
      <c r="A3193" t="str">
        <f>"20200111155910111"</f>
        <v>20200111155910111</v>
      </c>
      <c r="B3193" t="str">
        <f>"1578729550105240"</f>
        <v>1578729550105240</v>
      </c>
      <c r="C3193" t="s">
        <v>37</v>
      </c>
      <c r="D3193">
        <v>5.4537230000000001</v>
      </c>
      <c r="E3193">
        <v>0.50377240000000001</v>
      </c>
      <c r="F3193" t="s">
        <v>50</v>
      </c>
      <c r="G3193">
        <v>-279.55200000000002</v>
      </c>
      <c r="H3193" s="1">
        <v>3.4394940000000001E-6</v>
      </c>
      <c r="I3193">
        <v>217.05950000000001</v>
      </c>
      <c r="J3193">
        <v>-295.15109999999999</v>
      </c>
      <c r="K3193">
        <v>1.1024529999999999</v>
      </c>
      <c r="L3193">
        <v>215.62119999999999</v>
      </c>
      <c r="M3193">
        <v>0.99925569999999897</v>
      </c>
      <c r="N3193">
        <v>0</v>
      </c>
      <c r="O3193">
        <v>3.7725120000000001E-2</v>
      </c>
      <c r="P3193">
        <v>0.99429299999999998</v>
      </c>
      <c r="Q3193">
        <v>3.346814E-2</v>
      </c>
      <c r="R3193">
        <v>0.10129819999999901</v>
      </c>
      <c r="S3193">
        <v>2.9965820000000001</v>
      </c>
      <c r="T3193">
        <v>-0.20721319999999999</v>
      </c>
      <c r="U3193">
        <v>0.27261350000000001</v>
      </c>
      <c r="V3193">
        <v>-6.3592549999999998E-2</v>
      </c>
      <c r="W3193">
        <v>4.170049E-2</v>
      </c>
      <c r="X3193">
        <v>0.99710429999999906</v>
      </c>
      <c r="Y3193">
        <v>-5.292898E-2</v>
      </c>
      <c r="Z3193">
        <v>-7.7465539999999999E-4</v>
      </c>
      <c r="AA3193">
        <v>0.99859799999999999</v>
      </c>
      <c r="AB3193">
        <v>34</v>
      </c>
      <c r="AC3193">
        <v>15.5990999999999</v>
      </c>
      <c r="AD3193">
        <v>-1.1024495605060001</v>
      </c>
      <c r="AE3193">
        <v>1.4383000000000199</v>
      </c>
      <c r="AF3193">
        <v>-0.84459605222569001</v>
      </c>
      <c r="AG3193">
        <v>-1.1024495605060001</v>
      </c>
      <c r="AH3193">
        <v>15.565167364215201</v>
      </c>
      <c r="AI3193">
        <v>94.045447927994999</v>
      </c>
      <c r="AJ3193">
        <v>93.105933752209793</v>
      </c>
      <c r="AK3193">
        <v>15.627001395051</v>
      </c>
    </row>
    <row r="3194" spans="1:37" x14ac:dyDescent="0.2">
      <c r="A3194" t="str">
        <f>"20200111155910133"</f>
        <v>20200111155910133</v>
      </c>
      <c r="B3194" t="str">
        <f>"1578729550124760"</f>
        <v>1578729550124760</v>
      </c>
      <c r="C3194" t="s">
        <v>37</v>
      </c>
      <c r="D3194">
        <v>6.2419789999999997</v>
      </c>
      <c r="E3194">
        <v>0.50262280000000004</v>
      </c>
      <c r="F3194" t="s">
        <v>50</v>
      </c>
      <c r="G3194">
        <v>-279.27319999999997</v>
      </c>
      <c r="H3194" s="1">
        <v>3.2885459999999999E-6</v>
      </c>
      <c r="I3194">
        <v>217.11940000000001</v>
      </c>
      <c r="J3194">
        <v>-294.79660000000001</v>
      </c>
      <c r="K3194">
        <v>1.1024659999999999</v>
      </c>
      <c r="L3194">
        <v>215.63319999999999</v>
      </c>
      <c r="M3194">
        <v>0.99930529999999995</v>
      </c>
      <c r="N3194">
        <v>0</v>
      </c>
      <c r="O3194">
        <v>3.6337189999999998E-2</v>
      </c>
      <c r="P3194">
        <v>0.99445699999999904</v>
      </c>
      <c r="Q3194">
        <v>3.346536E-2</v>
      </c>
      <c r="R3194">
        <v>9.9677730000000006E-2</v>
      </c>
      <c r="S3194">
        <v>2.995422</v>
      </c>
      <c r="T3194">
        <v>-0.207981799999999</v>
      </c>
      <c r="U3194">
        <v>0.28263850000000001</v>
      </c>
      <c r="V3194">
        <v>-6.335143E-2</v>
      </c>
      <c r="W3194">
        <v>4.1902969999999998E-2</v>
      </c>
      <c r="X3194">
        <v>0.99711119999999898</v>
      </c>
      <c r="Y3194">
        <v>-5.7648949999999997E-2</v>
      </c>
      <c r="Z3194">
        <v>-5.1845120000000003E-4</v>
      </c>
      <c r="AA3194">
        <v>0.99833680000000002</v>
      </c>
      <c r="AB3194">
        <v>34</v>
      </c>
      <c r="AC3194">
        <v>15.523400000000001</v>
      </c>
      <c r="AD3194">
        <v>-1.102462711454</v>
      </c>
      <c r="AE3194">
        <v>1.4862000000000199</v>
      </c>
      <c r="AF3194">
        <v>-0.91654153806007199</v>
      </c>
      <c r="AG3194">
        <v>-1.102462711454</v>
      </c>
      <c r="AH3194">
        <v>15.489736754670799</v>
      </c>
      <c r="AI3194">
        <v>94.0640063167113</v>
      </c>
      <c r="AJ3194">
        <v>93.386294030610898</v>
      </c>
      <c r="AK3194">
        <v>15.5559447527347</v>
      </c>
    </row>
    <row r="3195" spans="1:37" x14ac:dyDescent="0.2">
      <c r="A3195" t="str">
        <f>"20200111155910155"</f>
        <v>20200111155910155</v>
      </c>
      <c r="B3195" t="str">
        <f>"1578729550145257"</f>
        <v>1578729550145257</v>
      </c>
      <c r="C3195" t="s">
        <v>37</v>
      </c>
      <c r="D3195">
        <v>5.5318629999999898</v>
      </c>
      <c r="E3195">
        <v>0.50275820000000004</v>
      </c>
      <c r="F3195" t="s">
        <v>50</v>
      </c>
      <c r="G3195">
        <v>-277.18819999999999</v>
      </c>
      <c r="H3195" s="1">
        <v>2.17037399999999E-6</v>
      </c>
      <c r="I3195">
        <v>217.3169</v>
      </c>
      <c r="J3195">
        <v>-294.4796</v>
      </c>
      <c r="K3195">
        <v>1.102482</v>
      </c>
      <c r="L3195">
        <v>215.64349999999999</v>
      </c>
      <c r="M3195">
        <v>0.99934799999999901</v>
      </c>
      <c r="N3195">
        <v>0</v>
      </c>
      <c r="O3195">
        <v>3.5096889999999999E-2</v>
      </c>
      <c r="P3195">
        <v>0.9945908</v>
      </c>
      <c r="Q3195">
        <v>3.2999529999999999E-2</v>
      </c>
      <c r="R3195">
        <v>9.8489300000000002E-2</v>
      </c>
      <c r="S3195">
        <v>2.9943240000000002</v>
      </c>
      <c r="T3195">
        <v>-0.18747529999999901</v>
      </c>
      <c r="U3195">
        <v>0.28631590000000001</v>
      </c>
      <c r="V3195">
        <v>-6.3397309999999998E-2</v>
      </c>
      <c r="W3195">
        <v>4.1632370000000002E-2</v>
      </c>
      <c r="X3195">
        <v>0.99711959999999999</v>
      </c>
      <c r="Y3195">
        <v>-6.0139409999999997E-2</v>
      </c>
      <c r="Z3195">
        <v>-3.12558E-4</v>
      </c>
      <c r="AA3195">
        <v>0.99818989999999996</v>
      </c>
      <c r="AB3195">
        <v>34</v>
      </c>
      <c r="AC3195">
        <v>17.291399999999999</v>
      </c>
      <c r="AD3195">
        <v>-1.1024798296259899</v>
      </c>
      <c r="AE3195">
        <v>1.67340000000001</v>
      </c>
      <c r="AF3195">
        <v>-1.06119887363164</v>
      </c>
      <c r="AG3195">
        <v>-1.1024798296259899</v>
      </c>
      <c r="AH3195">
        <v>17.269925366569399</v>
      </c>
      <c r="AI3195">
        <v>93.645841182816895</v>
      </c>
      <c r="AJ3195">
        <v>93.516278268951595</v>
      </c>
      <c r="AK3195">
        <v>17.3375871155996</v>
      </c>
    </row>
    <row r="3196" spans="1:37" x14ac:dyDescent="0.2">
      <c r="A3196" t="str">
        <f>"20200111155910176"</f>
        <v>20200111155910176</v>
      </c>
      <c r="B3196" t="str">
        <f>"1578729550164777"</f>
        <v>1578729550164777</v>
      </c>
      <c r="C3196" t="s">
        <v>37</v>
      </c>
      <c r="D3196">
        <v>5.536238</v>
      </c>
      <c r="E3196">
        <v>0.50241139999999995</v>
      </c>
      <c r="F3196" t="s">
        <v>50</v>
      </c>
      <c r="G3196">
        <v>-275.60019999999997</v>
      </c>
      <c r="H3196" s="1">
        <v>1.3209379999999999E-6</v>
      </c>
      <c r="I3196">
        <v>217.4169</v>
      </c>
      <c r="J3196">
        <v>-294.1533</v>
      </c>
      <c r="K3196">
        <v>1.1024959999999999</v>
      </c>
      <c r="L3196">
        <v>215.65369999999999</v>
      </c>
      <c r="M3196">
        <v>0.99939020000000001</v>
      </c>
      <c r="N3196">
        <v>0</v>
      </c>
      <c r="O3196">
        <v>3.3821169999999998E-2</v>
      </c>
      <c r="P3196">
        <v>0.99472499999999997</v>
      </c>
      <c r="Q3196">
        <v>3.2647160000000001E-2</v>
      </c>
      <c r="R3196">
        <v>9.7243019999999999E-2</v>
      </c>
      <c r="S3196">
        <v>2.9942630000000001</v>
      </c>
      <c r="T3196">
        <v>-0.17485319999999999</v>
      </c>
      <c r="U3196">
        <v>0.28125</v>
      </c>
      <c r="V3196">
        <v>-6.3420470000000007E-2</v>
      </c>
      <c r="W3196">
        <v>4.1504680000000002E-2</v>
      </c>
      <c r="X3196">
        <v>0.99712350000000005</v>
      </c>
      <c r="Y3196">
        <v>-5.9746500000000001E-2</v>
      </c>
      <c r="Z3196">
        <v>-2.2885590000000001E-4</v>
      </c>
      <c r="AA3196">
        <v>0.99821349999999998</v>
      </c>
      <c r="AB3196">
        <v>34</v>
      </c>
      <c r="AC3196">
        <v>18.553100000000001</v>
      </c>
      <c r="AD3196">
        <v>-1.1024946790619901</v>
      </c>
      <c r="AE3196">
        <v>1.7632000000000101</v>
      </c>
      <c r="AF3196">
        <v>-1.13072295615039</v>
      </c>
      <c r="AG3196">
        <v>-1.1024946790619901</v>
      </c>
      <c r="AH3196">
        <v>18.537248238787701</v>
      </c>
      <c r="AI3196">
        <v>93.397332420248702</v>
      </c>
      <c r="AJ3196">
        <v>93.49056572117</v>
      </c>
      <c r="AK3196">
        <v>18.604397361574598</v>
      </c>
    </row>
    <row r="3197" spans="1:37" x14ac:dyDescent="0.2">
      <c r="A3197" t="str">
        <f>"20200111155910199"</f>
        <v>20200111155910199</v>
      </c>
      <c r="B3197" t="str">
        <f>"1578729550195033"</f>
        <v>1578729550195033</v>
      </c>
      <c r="C3197" t="s">
        <v>37</v>
      </c>
      <c r="D3197">
        <v>5.6017900000000003</v>
      </c>
      <c r="E3197">
        <v>0.50184770000000001</v>
      </c>
      <c r="F3197" t="s">
        <v>50</v>
      </c>
      <c r="G3197">
        <v>-275.3811</v>
      </c>
      <c r="H3197" s="1">
        <v>1.2046479999999999E-6</v>
      </c>
      <c r="I3197">
        <v>217.40969999999999</v>
      </c>
      <c r="J3197">
        <v>-293.81040000000002</v>
      </c>
      <c r="K3197">
        <v>1.102525</v>
      </c>
      <c r="L3197">
        <v>215.66399999999999</v>
      </c>
      <c r="M3197">
        <v>0.99943230000000005</v>
      </c>
      <c r="N3197">
        <v>0</v>
      </c>
      <c r="O3197">
        <v>3.2480809999999999E-2</v>
      </c>
      <c r="P3197">
        <v>0.99487930000000002</v>
      </c>
      <c r="Q3197">
        <v>3.1983949999999997E-2</v>
      </c>
      <c r="R3197">
        <v>9.5878939999999996E-2</v>
      </c>
      <c r="S3197">
        <v>2.9942929999999999</v>
      </c>
      <c r="T3197">
        <v>-0.17585529999999999</v>
      </c>
      <c r="U3197">
        <v>0.28009029999999902</v>
      </c>
      <c r="V3197">
        <v>-6.3390160000000001E-2</v>
      </c>
      <c r="W3197">
        <v>4.1104960000000003E-2</v>
      </c>
      <c r="X3197">
        <v>0.99714199999999997</v>
      </c>
      <c r="Y3197">
        <v>-6.0696569999999998E-2</v>
      </c>
      <c r="Z3197">
        <v>-1.2396919999999999E-4</v>
      </c>
      <c r="AA3197">
        <v>0.99815619999999905</v>
      </c>
      <c r="AB3197">
        <v>34</v>
      </c>
      <c r="AC3197">
        <v>18.429300000000001</v>
      </c>
      <c r="AD3197">
        <v>-1.102523795352</v>
      </c>
      <c r="AE3197">
        <v>1.7456999999999701</v>
      </c>
      <c r="AF3197">
        <v>-1.1421050528707599</v>
      </c>
      <c r="AG3197">
        <v>-1.102523795352</v>
      </c>
      <c r="AH3197">
        <v>18.410972814292901</v>
      </c>
      <c r="AI3197">
        <v>93.420451924117302</v>
      </c>
      <c r="AJ3197">
        <v>93.549733834756495</v>
      </c>
      <c r="AK3197">
        <v>18.479282525026299</v>
      </c>
    </row>
    <row r="3198" spans="1:37" x14ac:dyDescent="0.2">
      <c r="A3198" t="str">
        <f>"20200111155910221"</f>
        <v>20200111155910221</v>
      </c>
      <c r="B3198" t="str">
        <f>"1578729550214552"</f>
        <v>1578729550214552</v>
      </c>
      <c r="C3198" t="s">
        <v>37</v>
      </c>
      <c r="D3198">
        <v>5.8345690000000001</v>
      </c>
      <c r="E3198">
        <v>0.50175839999999905</v>
      </c>
      <c r="F3198" t="s">
        <v>50</v>
      </c>
      <c r="G3198">
        <v>-276.00170000000003</v>
      </c>
      <c r="H3198" s="1">
        <v>1.538295E-6</v>
      </c>
      <c r="I3198">
        <v>217.33240000000001</v>
      </c>
      <c r="J3198">
        <v>-293.46809999999999</v>
      </c>
      <c r="K3198">
        <v>1.1025579999999999</v>
      </c>
      <c r="L3198">
        <v>215.6738</v>
      </c>
      <c r="M3198">
        <v>0.99947209999999997</v>
      </c>
      <c r="N3198">
        <v>0</v>
      </c>
      <c r="O3198">
        <v>3.1144740000000001E-2</v>
      </c>
      <c r="P3198">
        <v>0.99503490000000006</v>
      </c>
      <c r="Q3198">
        <v>3.1273160000000001E-2</v>
      </c>
      <c r="R3198">
        <v>9.4486150000000005E-2</v>
      </c>
      <c r="S3198">
        <v>2.9943240000000002</v>
      </c>
      <c r="T3198">
        <v>-0.18537670000000001</v>
      </c>
      <c r="U3198">
        <v>0.28051759999999998</v>
      </c>
      <c r="V3198">
        <v>-6.3327040000000001E-2</v>
      </c>
      <c r="W3198">
        <v>4.0686170000000001E-2</v>
      </c>
      <c r="X3198">
        <v>0.99716309999999997</v>
      </c>
      <c r="Y3198">
        <v>-6.2160319999999998E-2</v>
      </c>
      <c r="Z3198" s="1">
        <v>-3.1364620000000002E-6</v>
      </c>
      <c r="AA3198">
        <v>0.99806620000000001</v>
      </c>
      <c r="AB3198">
        <v>34</v>
      </c>
      <c r="AC3198">
        <v>17.466399999999901</v>
      </c>
      <c r="AD3198">
        <v>-1.1025564617049901</v>
      </c>
      <c r="AE3198">
        <v>1.6586000000000001</v>
      </c>
      <c r="AF3198">
        <v>-1.10940443822071</v>
      </c>
      <c r="AG3198">
        <v>-1.1025564617049901</v>
      </c>
      <c r="AH3198">
        <v>17.440710124029899</v>
      </c>
      <c r="AI3198">
        <v>93.610000229888797</v>
      </c>
      <c r="AJ3198">
        <v>93.639683660147199</v>
      </c>
      <c r="AK3198">
        <v>17.510704685683798</v>
      </c>
    </row>
    <row r="3199" spans="1:37" x14ac:dyDescent="0.2">
      <c r="A3199" t="str">
        <f>"20200111155910243"</f>
        <v>20200111155910243</v>
      </c>
      <c r="B3199" t="str">
        <f>"1578729550235048"</f>
        <v>1578729550235048</v>
      </c>
      <c r="C3199" t="s">
        <v>37</v>
      </c>
      <c r="D3199">
        <v>5.8276269999999997</v>
      </c>
      <c r="E3199">
        <v>0.50112190000000001</v>
      </c>
      <c r="F3199" t="s">
        <v>50</v>
      </c>
      <c r="G3199">
        <v>-275.40820000000002</v>
      </c>
      <c r="H3199" s="1">
        <v>1.222056E-6</v>
      </c>
      <c r="I3199">
        <v>217.34190000000001</v>
      </c>
      <c r="J3199">
        <v>-293.12920000000003</v>
      </c>
      <c r="K3199">
        <v>1.1026009999999999</v>
      </c>
      <c r="L3199">
        <v>215.6831</v>
      </c>
      <c r="M3199">
        <v>0.99950949999999905</v>
      </c>
      <c r="N3199">
        <v>0</v>
      </c>
      <c r="O3199">
        <v>2.982429E-2</v>
      </c>
      <c r="P3199">
        <v>0.99512459999999903</v>
      </c>
      <c r="Q3199">
        <v>3.1054620000000002E-2</v>
      </c>
      <c r="R3199">
        <v>9.360984E-2</v>
      </c>
      <c r="S3199">
        <v>2.9944459999999999</v>
      </c>
      <c r="T3199">
        <v>-0.1828109</v>
      </c>
      <c r="U3199">
        <v>0.27658080000000002</v>
      </c>
      <c r="V3199">
        <v>-6.3765139999999998E-2</v>
      </c>
      <c r="W3199">
        <v>4.0793370000000002E-2</v>
      </c>
      <c r="X3199">
        <v>0.99713079999999998</v>
      </c>
      <c r="Y3199">
        <v>-6.2173289999999999E-2</v>
      </c>
      <c r="Z3199" s="1">
        <v>7.7573929999999995E-5</v>
      </c>
      <c r="AA3199">
        <v>0.99806539999999999</v>
      </c>
      <c r="AB3199">
        <v>34</v>
      </c>
      <c r="AC3199">
        <v>17.721</v>
      </c>
      <c r="AD3199">
        <v>-1.102599777944</v>
      </c>
      <c r="AE3199">
        <v>1.65880000000001</v>
      </c>
      <c r="AF3199">
        <v>-1.1252034742347199</v>
      </c>
      <c r="AG3199">
        <v>-1.102599777944</v>
      </c>
      <c r="AH3199">
        <v>17.694684188361101</v>
      </c>
      <c r="AI3199">
        <v>93.558463492710302</v>
      </c>
      <c r="AJ3199">
        <v>93.638534707666693</v>
      </c>
      <c r="AK3199">
        <v>17.764674431426801</v>
      </c>
    </row>
    <row r="3200" spans="1:37" x14ac:dyDescent="0.2">
      <c r="A3200" t="str">
        <f>"20200111155910267"</f>
        <v>20200111155910267</v>
      </c>
      <c r="B3200" t="str">
        <f>"1578729550255546"</f>
        <v>1578729550255546</v>
      </c>
      <c r="C3200" t="s">
        <v>37</v>
      </c>
      <c r="D3200">
        <v>5.6299320000000002</v>
      </c>
      <c r="E3200">
        <v>0.5009595</v>
      </c>
      <c r="F3200" t="s">
        <v>50</v>
      </c>
      <c r="G3200">
        <v>-275.47199999999998</v>
      </c>
      <c r="H3200" s="1">
        <v>1.256594E-6</v>
      </c>
      <c r="I3200">
        <v>217.32839999999999</v>
      </c>
      <c r="J3200">
        <v>-292.79680000000002</v>
      </c>
      <c r="K3200">
        <v>1.102654</v>
      </c>
      <c r="L3200">
        <v>215.6917</v>
      </c>
      <c r="M3200">
        <v>0.99954330000000002</v>
      </c>
      <c r="N3200">
        <v>0</v>
      </c>
      <c r="O3200">
        <v>2.853808E-2</v>
      </c>
      <c r="P3200">
        <v>0.995201</v>
      </c>
      <c r="Q3200">
        <v>3.071047E-2</v>
      </c>
      <c r="R3200">
        <v>9.2908389999999993E-2</v>
      </c>
      <c r="S3200">
        <v>2.9943240000000002</v>
      </c>
      <c r="T3200">
        <v>-0.18698049999999999</v>
      </c>
      <c r="U3200">
        <v>0.2790222</v>
      </c>
      <c r="V3200">
        <v>-6.4345639999999996E-2</v>
      </c>
      <c r="W3200">
        <v>4.0816239999999997E-2</v>
      </c>
      <c r="X3200">
        <v>0.9970926</v>
      </c>
      <c r="Y3200">
        <v>-6.4258659999999995E-2</v>
      </c>
      <c r="Z3200">
        <v>2.2423629999999999E-4</v>
      </c>
      <c r="AA3200">
        <v>0.99793330000000002</v>
      </c>
      <c r="AB3200">
        <v>34</v>
      </c>
      <c r="AC3200">
        <v>17.3248</v>
      </c>
      <c r="AD3200">
        <v>-1.1026527434060001</v>
      </c>
      <c r="AE3200">
        <v>1.6366999999999901</v>
      </c>
      <c r="AF3200">
        <v>-1.1370272397521599</v>
      </c>
      <c r="AG3200">
        <v>-1.1026527434060001</v>
      </c>
      <c r="AH3200">
        <v>17.295014644494199</v>
      </c>
      <c r="AI3200">
        <v>93.640148173866294</v>
      </c>
      <c r="AJ3200">
        <v>93.761387188241599</v>
      </c>
      <c r="AK3200">
        <v>17.367389140850999</v>
      </c>
    </row>
    <row r="3201" spans="1:37" x14ac:dyDescent="0.2">
      <c r="A3201" t="str">
        <f>"20200111155910289"</f>
        <v>20200111155910289</v>
      </c>
      <c r="B3201" t="str">
        <f>"1578729550284825"</f>
        <v>1578729550284825</v>
      </c>
      <c r="C3201" t="s">
        <v>37</v>
      </c>
      <c r="D3201">
        <v>5.6365489999999996</v>
      </c>
      <c r="E3201">
        <v>0.5007665</v>
      </c>
      <c r="F3201" t="s">
        <v>50</v>
      </c>
      <c r="G3201">
        <v>-275.63819999999998</v>
      </c>
      <c r="H3201" s="1">
        <v>1.346925E-6</v>
      </c>
      <c r="I3201">
        <v>217.2851</v>
      </c>
      <c r="J3201">
        <v>-292.45370000000003</v>
      </c>
      <c r="K3201">
        <v>1.1027260000000001</v>
      </c>
      <c r="L3201">
        <v>215.7</v>
      </c>
      <c r="M3201">
        <v>0.99957569999999996</v>
      </c>
      <c r="N3201">
        <v>0</v>
      </c>
      <c r="O3201">
        <v>2.7214309999999999E-2</v>
      </c>
      <c r="P3201">
        <v>0.99527189999999999</v>
      </c>
      <c r="Q3201">
        <v>3.0773129999999999E-2</v>
      </c>
      <c r="R3201">
        <v>9.2123549999999998E-2</v>
      </c>
      <c r="S3201">
        <v>2.9944459999999999</v>
      </c>
      <c r="T3201">
        <v>-0.19242970000000001</v>
      </c>
      <c r="U3201">
        <v>0.2780762</v>
      </c>
      <c r="V3201">
        <v>-6.4878229999999995E-2</v>
      </c>
      <c r="W3201">
        <v>4.1314110000000001E-2</v>
      </c>
      <c r="X3201">
        <v>0.99703759999999997</v>
      </c>
      <c r="Y3201">
        <v>-6.5254960000000001E-2</v>
      </c>
      <c r="Z3201">
        <v>3.4737690000000002E-4</v>
      </c>
      <c r="AA3201">
        <v>0.99786849999999905</v>
      </c>
      <c r="AB3201">
        <v>34</v>
      </c>
      <c r="AC3201">
        <v>16.8155</v>
      </c>
      <c r="AD3201">
        <v>-1.1027246530749999</v>
      </c>
      <c r="AE3201">
        <v>1.5851000000000099</v>
      </c>
      <c r="AF3201">
        <v>-1.12208298346213</v>
      </c>
      <c r="AG3201">
        <v>-1.1027246530749999</v>
      </c>
      <c r="AH3201">
        <v>16.780881106910101</v>
      </c>
      <c r="AI3201">
        <v>93.751327944483194</v>
      </c>
      <c r="AJ3201">
        <v>93.825487893571193</v>
      </c>
      <c r="AK3201">
        <v>16.85446654767</v>
      </c>
    </row>
    <row r="3202" spans="1:37" x14ac:dyDescent="0.2">
      <c r="A3202" t="str">
        <f>"20200111155910311"</f>
        <v>20200111155910311</v>
      </c>
      <c r="B3202" t="str">
        <f>"1578729550305321"</f>
        <v>1578729550305321</v>
      </c>
      <c r="C3202" t="s">
        <v>37</v>
      </c>
      <c r="D3202">
        <v>5.6065019999999999</v>
      </c>
      <c r="E3202">
        <v>0.50052050000000003</v>
      </c>
      <c r="F3202" t="s">
        <v>50</v>
      </c>
      <c r="G3202">
        <v>-275.5847</v>
      </c>
      <c r="H3202" s="1">
        <v>1.3194509999999999E-6</v>
      </c>
      <c r="I3202">
        <v>217.2619</v>
      </c>
      <c r="J3202">
        <v>-292.1139</v>
      </c>
      <c r="K3202">
        <v>1.1027929999999999</v>
      </c>
      <c r="L3202">
        <v>215.7079</v>
      </c>
      <c r="M3202">
        <v>0.99960609999999905</v>
      </c>
      <c r="N3202">
        <v>0</v>
      </c>
      <c r="O3202">
        <v>2.5897920000000001E-2</v>
      </c>
      <c r="P3202">
        <v>0.99544840000000001</v>
      </c>
      <c r="Q3202">
        <v>3.074404E-2</v>
      </c>
      <c r="R3202">
        <v>9.0208200000000002E-2</v>
      </c>
      <c r="S3202">
        <v>2.9946290000000002</v>
      </c>
      <c r="T3202">
        <v>-0.19575819999999999</v>
      </c>
      <c r="U3202">
        <v>0.2772675</v>
      </c>
      <c r="V3202">
        <v>-6.4272380000000004E-2</v>
      </c>
      <c r="W3202">
        <v>4.1723360000000001E-2</v>
      </c>
      <c r="X3202">
        <v>0.99705979999999905</v>
      </c>
      <c r="Y3202">
        <v>-6.6288429999999995E-2</v>
      </c>
      <c r="Z3202">
        <v>4.72724E-4</v>
      </c>
      <c r="AA3202">
        <v>0.99780040000000003</v>
      </c>
      <c r="AB3202">
        <v>34</v>
      </c>
      <c r="AC3202">
        <v>16.529199999999999</v>
      </c>
      <c r="AD3202">
        <v>-1.1027916805489999</v>
      </c>
      <c r="AE3202">
        <v>1.554</v>
      </c>
      <c r="AF3202">
        <v>-1.1204381160252599</v>
      </c>
      <c r="AG3202">
        <v>-1.1027916805489999</v>
      </c>
      <c r="AH3202">
        <v>16.491139797454899</v>
      </c>
      <c r="AI3202">
        <v>93.817000572823801</v>
      </c>
      <c r="AJ3202">
        <v>93.886806487972507</v>
      </c>
      <c r="AK3202">
        <v>16.5659054350111</v>
      </c>
    </row>
    <row r="3203" spans="1:37" x14ac:dyDescent="0.2">
      <c r="A3203" t="str">
        <f>"20200111155910377"</f>
        <v>20200111155910377</v>
      </c>
      <c r="B3203" t="str">
        <f>"1578729550375594"</f>
        <v>1578729550375594</v>
      </c>
      <c r="C3203" t="s">
        <v>37</v>
      </c>
      <c r="D3203">
        <v>5.643599</v>
      </c>
      <c r="E3203">
        <v>0.50001279999999904</v>
      </c>
      <c r="F3203" t="s">
        <v>50</v>
      </c>
      <c r="G3203">
        <v>-275.38690000000003</v>
      </c>
      <c r="H3203" s="1">
        <v>1.2153010000000001E-6</v>
      </c>
      <c r="I3203">
        <v>217.23660000000001</v>
      </c>
      <c r="J3203">
        <v>-291.11680000000001</v>
      </c>
      <c r="K3203">
        <v>1.1029409999999999</v>
      </c>
      <c r="L3203">
        <v>215.72839999999999</v>
      </c>
      <c r="M3203">
        <v>0.9996853</v>
      </c>
      <c r="N3203">
        <v>0</v>
      </c>
      <c r="O3203">
        <v>2.204323E-2</v>
      </c>
      <c r="P3203">
        <v>0.99597869999999999</v>
      </c>
      <c r="Q3203">
        <v>2.9268700000000002E-2</v>
      </c>
      <c r="R3203">
        <v>8.4676929999999997E-2</v>
      </c>
      <c r="S3203">
        <v>2.9949949999999999</v>
      </c>
      <c r="T3203">
        <v>-0.19745599999999999</v>
      </c>
      <c r="U3203">
        <v>0.27371220000000002</v>
      </c>
      <c r="V3203">
        <v>-6.2578690000000006E-2</v>
      </c>
      <c r="W3203">
        <v>4.1396059999999998E-2</v>
      </c>
      <c r="X3203">
        <v>0.99718119999999999</v>
      </c>
      <c r="Y3203">
        <v>-6.8934220000000004E-2</v>
      </c>
      <c r="Z3203">
        <v>8.1685359999999997E-4</v>
      </c>
      <c r="AA3203">
        <v>0.99762090000000003</v>
      </c>
      <c r="AB3203">
        <v>34</v>
      </c>
      <c r="AC3203">
        <v>15.729899999999899</v>
      </c>
      <c r="AD3203">
        <v>-1.1029397846989999</v>
      </c>
      <c r="AE3203">
        <v>1.50820000000001</v>
      </c>
      <c r="AF3203">
        <v>-1.15544189062928</v>
      </c>
      <c r="AG3203">
        <v>-1.1029397846989999</v>
      </c>
      <c r="AH3203">
        <v>15.682923418721099</v>
      </c>
      <c r="AI3203">
        <v>94.012003459209197</v>
      </c>
      <c r="AJ3203">
        <v>94.213662760165306</v>
      </c>
      <c r="AK3203">
        <v>15.764060678923</v>
      </c>
    </row>
    <row r="3204" spans="1:37" x14ac:dyDescent="0.2">
      <c r="A3204" t="str">
        <f>"20200111155910400"</f>
        <v>20200111155910400</v>
      </c>
      <c r="B3204" t="str">
        <f>"1578729550395113"</f>
        <v>1578729550395113</v>
      </c>
      <c r="C3204" t="s">
        <v>37</v>
      </c>
      <c r="D3204">
        <v>5.7044860000000002</v>
      </c>
      <c r="E3204">
        <v>0.499484699999999</v>
      </c>
      <c r="F3204" t="s">
        <v>50</v>
      </c>
      <c r="G3204">
        <v>-274.49700000000001</v>
      </c>
      <c r="H3204" s="1">
        <v>7.4452119999999996E-7</v>
      </c>
      <c r="I3204">
        <v>217.17349999999999</v>
      </c>
      <c r="J3204">
        <v>-290.77789999999999</v>
      </c>
      <c r="K3204">
        <v>1.1029639999999901</v>
      </c>
      <c r="L3204">
        <v>215.7346</v>
      </c>
      <c r="M3204">
        <v>0.99970930000000002</v>
      </c>
      <c r="N3204">
        <v>0</v>
      </c>
      <c r="O3204">
        <v>2.0741140000000002E-2</v>
      </c>
      <c r="P3204">
        <v>0.99611559999999899</v>
      </c>
      <c r="Q3204">
        <v>2.8381690000000001E-2</v>
      </c>
      <c r="R3204">
        <v>8.3357970000000003E-2</v>
      </c>
      <c r="S3204">
        <v>2.995819</v>
      </c>
      <c r="T3204">
        <v>-0.19881189999999899</v>
      </c>
      <c r="U3204">
        <v>0.26048280000000001</v>
      </c>
      <c r="V3204">
        <v>-6.2558260000000004E-2</v>
      </c>
      <c r="W3204">
        <v>4.0834339999999997E-2</v>
      </c>
      <c r="X3204">
        <v>0.99720560000000003</v>
      </c>
      <c r="Y3204">
        <v>-6.5840170000000003E-2</v>
      </c>
      <c r="Z3204">
        <v>8.0610809999999997E-4</v>
      </c>
      <c r="AA3204">
        <v>0.99782990000000005</v>
      </c>
      <c r="AB3204">
        <v>34</v>
      </c>
      <c r="AC3204">
        <v>16.2808999999999</v>
      </c>
      <c r="AD3204">
        <v>-1.10296325547879</v>
      </c>
      <c r="AE3204">
        <v>1.4388999999999801</v>
      </c>
      <c r="AF3204">
        <v>-1.0958898676001401</v>
      </c>
      <c r="AG3204">
        <v>-1.10296325547879</v>
      </c>
      <c r="AH3204">
        <v>16.233318426376499</v>
      </c>
      <c r="AI3204">
        <v>93.878153906678804</v>
      </c>
      <c r="AJ3204">
        <v>93.862102370813403</v>
      </c>
      <c r="AK3204">
        <v>16.3076095635437</v>
      </c>
    </row>
    <row r="3205" spans="1:37" x14ac:dyDescent="0.2">
      <c r="A3205" t="str">
        <f>"20200111155910423"</f>
        <v>20200111155910423</v>
      </c>
      <c r="B3205" t="str">
        <f>"1578729550414632"</f>
        <v>1578729550414632</v>
      </c>
      <c r="C3205" t="s">
        <v>37</v>
      </c>
      <c r="D3205">
        <v>5.5741610000000001</v>
      </c>
      <c r="E3205">
        <v>0.49908180000000002</v>
      </c>
      <c r="F3205" t="s">
        <v>50</v>
      </c>
      <c r="G3205">
        <v>-274.19499999999999</v>
      </c>
      <c r="H3205" s="1">
        <v>5.8356639999999999E-7</v>
      </c>
      <c r="I3205">
        <v>217.17930000000001</v>
      </c>
      <c r="J3205">
        <v>-290.44069999999999</v>
      </c>
      <c r="K3205">
        <v>1.1029879999999901</v>
      </c>
      <c r="L3205">
        <v>215.74019999999999</v>
      </c>
      <c r="M3205">
        <v>0.99973179999999995</v>
      </c>
      <c r="N3205">
        <v>0</v>
      </c>
      <c r="O3205">
        <v>1.944485E-2</v>
      </c>
      <c r="P3205">
        <v>0.99623220000000001</v>
      </c>
      <c r="Q3205">
        <v>2.7834589999999999E-2</v>
      </c>
      <c r="R3205">
        <v>8.2140710000000006E-2</v>
      </c>
      <c r="S3205">
        <v>2.995514</v>
      </c>
      <c r="T3205">
        <v>-0.19923829999999901</v>
      </c>
      <c r="U3205">
        <v>0.26097110000000001</v>
      </c>
      <c r="V3205">
        <v>-6.2633099999999997E-2</v>
      </c>
      <c r="W3205">
        <v>4.0576109999999999E-2</v>
      </c>
      <c r="X3205">
        <v>0.99721150000000003</v>
      </c>
      <c r="Y3205">
        <v>-6.7297579999999996E-2</v>
      </c>
      <c r="Z3205">
        <v>9.4214639999999996E-4</v>
      </c>
      <c r="AA3205">
        <v>0.99773250000000002</v>
      </c>
      <c r="AB3205">
        <v>33</v>
      </c>
      <c r="AC3205">
        <v>16.245699999999999</v>
      </c>
      <c r="AD3205">
        <v>-1.10298741643359</v>
      </c>
      <c r="AE3205">
        <v>1.43910000000002</v>
      </c>
      <c r="AF3205">
        <v>-1.1177951907916399</v>
      </c>
      <c r="AG3205">
        <v>-1.10298741643359</v>
      </c>
      <c r="AH3205">
        <v>16.1965348275093</v>
      </c>
      <c r="AI3205">
        <v>93.886622970136401</v>
      </c>
      <c r="AJ3205">
        <v>93.947977460863896</v>
      </c>
      <c r="AK3205">
        <v>16.272485604482501</v>
      </c>
    </row>
    <row r="3206" spans="1:37" x14ac:dyDescent="0.2">
      <c r="A3206" t="str">
        <f>"20200111155910444"</f>
        <v>20200111155910444</v>
      </c>
      <c r="B3206" t="str">
        <f>"1578729550435128"</f>
        <v>1578729550435128</v>
      </c>
      <c r="C3206" t="s">
        <v>37</v>
      </c>
      <c r="D3206">
        <v>5.535094</v>
      </c>
      <c r="E3206">
        <v>0.49887349999999903</v>
      </c>
      <c r="F3206" t="s">
        <v>50</v>
      </c>
      <c r="G3206">
        <v>-274.06310000000002</v>
      </c>
      <c r="H3206" s="1">
        <v>5.1397889999999998E-7</v>
      </c>
      <c r="I3206">
        <v>217.1653</v>
      </c>
      <c r="J3206">
        <v>-290.11489999999998</v>
      </c>
      <c r="K3206">
        <v>1.10301</v>
      </c>
      <c r="L3206">
        <v>215.74520000000001</v>
      </c>
      <c r="M3206">
        <v>0.99975219999999898</v>
      </c>
      <c r="N3206">
        <v>0</v>
      </c>
      <c r="O3206">
        <v>1.8189779999999999E-2</v>
      </c>
      <c r="P3206">
        <v>0.99629009999999996</v>
      </c>
      <c r="Q3206">
        <v>2.7792959999999998E-2</v>
      </c>
      <c r="R3206">
        <v>8.1449610000000006E-2</v>
      </c>
      <c r="S3206">
        <v>2.9954830000000001</v>
      </c>
      <c r="T3206">
        <v>-0.20173820000000001</v>
      </c>
      <c r="U3206">
        <v>0.26065060000000001</v>
      </c>
      <c r="V3206">
        <v>-6.3193650000000004E-2</v>
      </c>
      <c r="W3206">
        <v>4.0781930000000001E-2</v>
      </c>
      <c r="X3206">
        <v>0.99716769999999999</v>
      </c>
      <c r="Y3206">
        <v>-6.8436940000000002E-2</v>
      </c>
      <c r="Z3206">
        <v>1.0764349999999999E-3</v>
      </c>
      <c r="AA3206">
        <v>0.99765490000000001</v>
      </c>
      <c r="AB3206">
        <v>33</v>
      </c>
      <c r="AC3206">
        <v>16.051799999999901</v>
      </c>
      <c r="AD3206">
        <v>-1.1030094860210999</v>
      </c>
      <c r="AE3206">
        <v>1.4200999999999899</v>
      </c>
      <c r="AF3206">
        <v>-1.1226026743907001</v>
      </c>
      <c r="AG3206">
        <v>-1.1030094860210999</v>
      </c>
      <c r="AH3206">
        <v>16.0000145241751</v>
      </c>
      <c r="AI3206">
        <v>93.933978085504094</v>
      </c>
      <c r="AJ3206">
        <v>94.013443899315604</v>
      </c>
      <c r="AK3206">
        <v>16.0772302174415</v>
      </c>
    </row>
    <row r="3207" spans="1:37" x14ac:dyDescent="0.2">
      <c r="A3207" t="str">
        <f>"20200111155910468"</f>
        <v>20200111155910468</v>
      </c>
      <c r="B3207" t="str">
        <f>"1578729550465385"</f>
        <v>1578729550465385</v>
      </c>
      <c r="C3207" t="s">
        <v>37</v>
      </c>
      <c r="D3207">
        <v>5.4568019999999997</v>
      </c>
      <c r="E3207">
        <v>0.4984845</v>
      </c>
      <c r="F3207" t="s">
        <v>50</v>
      </c>
      <c r="G3207">
        <v>-273.71769999999998</v>
      </c>
      <c r="H3207" s="1">
        <v>3.3002539999999999E-7</v>
      </c>
      <c r="I3207">
        <v>217.1679</v>
      </c>
      <c r="J3207">
        <v>-289.77460000000002</v>
      </c>
      <c r="K3207">
        <v>1.1030229999999901</v>
      </c>
      <c r="L3207">
        <v>215.75</v>
      </c>
      <c r="M3207">
        <v>0.99977229999999995</v>
      </c>
      <c r="N3207">
        <v>0</v>
      </c>
      <c r="O3207">
        <v>1.6875749999999998E-2</v>
      </c>
      <c r="P3207">
        <v>0.99640309999999899</v>
      </c>
      <c r="Q3207">
        <v>2.7704820000000002E-2</v>
      </c>
      <c r="R3207">
        <v>8.0085359999999994E-2</v>
      </c>
      <c r="S3207">
        <v>2.99554399999999</v>
      </c>
      <c r="T3207">
        <v>-0.20150409999999999</v>
      </c>
      <c r="U3207">
        <v>0.259903</v>
      </c>
      <c r="V3207">
        <v>-6.3139109999999998E-2</v>
      </c>
      <c r="W3207">
        <v>4.0918669999999997E-2</v>
      </c>
      <c r="X3207">
        <v>0.99716559999999899</v>
      </c>
      <c r="Y3207">
        <v>-6.9494130000000001E-2</v>
      </c>
      <c r="Z3207">
        <v>1.1987160000000001E-3</v>
      </c>
      <c r="AA3207">
        <v>0.99758169999999902</v>
      </c>
      <c r="AB3207">
        <v>33</v>
      </c>
      <c r="AC3207">
        <v>16.056899999999999</v>
      </c>
      <c r="AD3207">
        <v>-1.1030226699746</v>
      </c>
      <c r="AE3207">
        <v>1.4178999999999999</v>
      </c>
      <c r="AF3207">
        <v>-1.1413583668095499</v>
      </c>
      <c r="AG3207">
        <v>-1.1030226699746</v>
      </c>
      <c r="AH3207">
        <v>16.003607274302599</v>
      </c>
      <c r="AI3207">
        <v>93.932825479549393</v>
      </c>
      <c r="AJ3207">
        <v>94.079360287517005</v>
      </c>
      <c r="AK3207">
        <v>16.082126840753201</v>
      </c>
    </row>
    <row r="3208" spans="1:37" x14ac:dyDescent="0.2">
      <c r="A3208" t="str">
        <f>"20200111155910490"</f>
        <v>20200111155910490</v>
      </c>
      <c r="B3208" t="str">
        <f>"1578729550484905"</f>
        <v>1578729550484905</v>
      </c>
      <c r="C3208" t="s">
        <v>37</v>
      </c>
      <c r="D3208">
        <v>5.4264460000000003</v>
      </c>
      <c r="E3208">
        <v>0.49817729999999999</v>
      </c>
      <c r="F3208" t="s">
        <v>50</v>
      </c>
      <c r="G3208">
        <v>-273.462999999999</v>
      </c>
      <c r="H3208" s="1">
        <v>1.947919E-7</v>
      </c>
      <c r="I3208">
        <v>217.16130000000001</v>
      </c>
      <c r="J3208">
        <v>-289.44189999999998</v>
      </c>
      <c r="K3208">
        <v>1.103038</v>
      </c>
      <c r="L3208">
        <v>215.7542</v>
      </c>
      <c r="M3208">
        <v>0.99979059999999897</v>
      </c>
      <c r="N3208">
        <v>0</v>
      </c>
      <c r="O3208">
        <v>1.5589499999999999E-2</v>
      </c>
      <c r="P3208">
        <v>0.99652469999999904</v>
      </c>
      <c r="Q3208">
        <v>2.720378E-2</v>
      </c>
      <c r="R3208">
        <v>7.8730960000000003E-2</v>
      </c>
      <c r="S3208">
        <v>2.9956360000000002</v>
      </c>
      <c r="T3208">
        <v>-0.20257059999999999</v>
      </c>
      <c r="U3208">
        <v>0.25918579999999902</v>
      </c>
      <c r="V3208">
        <v>-6.3067620000000005E-2</v>
      </c>
      <c r="W3208">
        <v>4.0609939999999997E-2</v>
      </c>
      <c r="X3208">
        <v>0.99718269999999998</v>
      </c>
      <c r="Y3208">
        <v>-7.0531259999999998E-2</v>
      </c>
      <c r="Z3208">
        <v>1.3266669999999999E-3</v>
      </c>
      <c r="AA3208">
        <v>0.99750869999999903</v>
      </c>
      <c r="AB3208">
        <v>33</v>
      </c>
      <c r="AC3208">
        <v>15.978899999999999</v>
      </c>
      <c r="AD3208">
        <v>-1.1030378052081</v>
      </c>
      <c r="AE3208">
        <v>1.40710000000001</v>
      </c>
      <c r="AF3208">
        <v>-1.1523550009149099</v>
      </c>
      <c r="AG3208">
        <v>-1.1030378052081</v>
      </c>
      <c r="AH3208">
        <v>15.9235994780007</v>
      </c>
      <c r="AI3208">
        <v>93.952282086885702</v>
      </c>
      <c r="AJ3208">
        <v>94.139150774142493</v>
      </c>
      <c r="AK3208">
        <v>16.0033007465221</v>
      </c>
    </row>
    <row r="3209" spans="1:37" x14ac:dyDescent="0.2">
      <c r="A3209" t="str">
        <f>"20200111155910512"</f>
        <v>20200111155910512</v>
      </c>
      <c r="B3209" t="str">
        <f>"1578729550505401"</f>
        <v>1578729550505401</v>
      </c>
      <c r="C3209" t="s">
        <v>37</v>
      </c>
      <c r="D3209">
        <v>5.3883099999999997</v>
      </c>
      <c r="E3209">
        <v>0.49788260000000001</v>
      </c>
      <c r="F3209" t="s">
        <v>50</v>
      </c>
      <c r="G3209">
        <v>-273.12810000000002</v>
      </c>
      <c r="H3209" s="1">
        <v>1.6795360000000001E-8</v>
      </c>
      <c r="I3209">
        <v>217.15610000000001</v>
      </c>
      <c r="J3209">
        <v>-289.1148</v>
      </c>
      <c r="K3209">
        <v>1.1030549999999999</v>
      </c>
      <c r="L3209">
        <v>215.75799999999899</v>
      </c>
      <c r="M3209">
        <v>0.99980729999999995</v>
      </c>
      <c r="N3209">
        <v>0</v>
      </c>
      <c r="O3209">
        <v>1.432573E-2</v>
      </c>
      <c r="P3209">
        <v>0.99666589999999999</v>
      </c>
      <c r="Q3209">
        <v>2.7802009999999999E-2</v>
      </c>
      <c r="R3209">
        <v>7.6709550000000001E-2</v>
      </c>
      <c r="S3209">
        <v>2.9956360000000002</v>
      </c>
      <c r="T3209">
        <v>-0.20254639999999999</v>
      </c>
      <c r="U3209">
        <v>0.25743100000000002</v>
      </c>
      <c r="V3209">
        <v>-6.230343E-2</v>
      </c>
      <c r="W3209">
        <v>4.137176E-2</v>
      </c>
      <c r="X3209">
        <v>0.99719939999999996</v>
      </c>
      <c r="Y3209">
        <v>-7.1207720000000002E-2</v>
      </c>
      <c r="Z3209">
        <v>1.4345060000000001E-3</v>
      </c>
      <c r="AA3209">
        <v>0.99746049999999997</v>
      </c>
      <c r="AB3209">
        <v>33</v>
      </c>
      <c r="AC3209">
        <v>15.9866999999999</v>
      </c>
      <c r="AD3209">
        <v>-1.1030549832046399</v>
      </c>
      <c r="AE3209">
        <v>1.3981000000000201</v>
      </c>
      <c r="AF3209">
        <v>-1.16341800625458</v>
      </c>
      <c r="AG3209">
        <v>-1.1030549832046399</v>
      </c>
      <c r="AH3209">
        <v>15.929827251030099</v>
      </c>
      <c r="AI3209">
        <v>93.950613431247106</v>
      </c>
      <c r="AJ3209">
        <v>94.177120050538704</v>
      </c>
      <c r="AK3209">
        <v>16.0102988104817</v>
      </c>
    </row>
    <row r="3210" spans="1:37" x14ac:dyDescent="0.2">
      <c r="A3210" t="str">
        <f>"20200111155910533"</f>
        <v>20200111155910533</v>
      </c>
      <c r="B3210" t="str">
        <f>"1578729550524920"</f>
        <v>1578729550524920</v>
      </c>
      <c r="C3210" t="s">
        <v>37</v>
      </c>
      <c r="D3210">
        <v>5.318238</v>
      </c>
      <c r="E3210">
        <v>0.4975502</v>
      </c>
      <c r="F3210" t="s">
        <v>50</v>
      </c>
      <c r="G3210">
        <v>-272.6293</v>
      </c>
      <c r="H3210" s="1">
        <v>-2.485985E-7</v>
      </c>
      <c r="I3210">
        <v>217.15539999999999</v>
      </c>
      <c r="J3210">
        <v>-288.78969999999998</v>
      </c>
      <c r="K3210">
        <v>1.1030719999999901</v>
      </c>
      <c r="L3210">
        <v>215.76130000000001</v>
      </c>
      <c r="M3210">
        <v>0.99982269999999895</v>
      </c>
      <c r="N3210">
        <v>0</v>
      </c>
      <c r="O3210">
        <v>1.306946E-2</v>
      </c>
      <c r="P3210">
        <v>0.99681759999999997</v>
      </c>
      <c r="Q3210">
        <v>2.7801889999999999E-2</v>
      </c>
      <c r="R3210">
        <v>7.4713070000000006E-2</v>
      </c>
      <c r="S3210">
        <v>2.9960939999999998</v>
      </c>
      <c r="T3210">
        <v>-0.20046989999999901</v>
      </c>
      <c r="U3210">
        <v>0.25396729999999901</v>
      </c>
      <c r="V3210">
        <v>-6.15589E-2</v>
      </c>
      <c r="W3210">
        <v>4.1513250000000002E-2</v>
      </c>
      <c r="X3210">
        <v>0.99723980000000001</v>
      </c>
      <c r="Y3210">
        <v>-7.1302820000000003E-2</v>
      </c>
      <c r="Z3210">
        <v>1.5066459999999999E-3</v>
      </c>
      <c r="AA3210">
        <v>0.99745360000000005</v>
      </c>
      <c r="AB3210">
        <v>33</v>
      </c>
      <c r="AC3210">
        <v>16.1603999999999</v>
      </c>
      <c r="AD3210">
        <v>-1.1030722485984901</v>
      </c>
      <c r="AE3210">
        <v>1.3940999999999799</v>
      </c>
      <c r="AF3210">
        <v>-1.1773090967606901</v>
      </c>
      <c r="AG3210">
        <v>-1.1030722485984901</v>
      </c>
      <c r="AH3210">
        <v>16.102770803899801</v>
      </c>
      <c r="AI3210">
        <v>93.908354917067697</v>
      </c>
      <c r="AJ3210">
        <v>94.181580694611</v>
      </c>
      <c r="AK3210">
        <v>16.1833881699066</v>
      </c>
    </row>
    <row r="3211" spans="1:37" x14ac:dyDescent="0.2">
      <c r="A3211" t="str">
        <f>"20200111155910556"</f>
        <v>20200111155910556</v>
      </c>
      <c r="B3211" t="str">
        <f>"1578729550545416"</f>
        <v>1578729550545416</v>
      </c>
      <c r="C3211" t="s">
        <v>37</v>
      </c>
      <c r="D3211">
        <v>5.3829079999999996</v>
      </c>
      <c r="E3211">
        <v>0.49763409999999902</v>
      </c>
      <c r="F3211" t="s">
        <v>50</v>
      </c>
      <c r="G3211">
        <v>-272.34089999999998</v>
      </c>
      <c r="H3211" s="1">
        <v>-4.0133699999999999E-7</v>
      </c>
      <c r="I3211">
        <v>217.13849999999999</v>
      </c>
      <c r="J3211">
        <v>-288.46129999999999</v>
      </c>
      <c r="K3211">
        <v>1.1030879999999901</v>
      </c>
      <c r="L3211">
        <v>215.76419999999999</v>
      </c>
      <c r="M3211">
        <v>0.99983670000000002</v>
      </c>
      <c r="N3211">
        <v>0</v>
      </c>
      <c r="O3211">
        <v>1.1800690000000001E-2</v>
      </c>
      <c r="P3211">
        <v>0.99698880000000001</v>
      </c>
      <c r="Q3211">
        <v>2.7418870000000001E-2</v>
      </c>
      <c r="R3211">
        <v>7.2536699999999996E-2</v>
      </c>
      <c r="S3211">
        <v>2.9963679999999999</v>
      </c>
      <c r="T3211">
        <v>-0.2009387</v>
      </c>
      <c r="U3211">
        <v>0.25086979999999998</v>
      </c>
      <c r="V3211">
        <v>-6.0647470000000002E-2</v>
      </c>
      <c r="W3211">
        <v>4.1254560000000003E-2</v>
      </c>
      <c r="X3211">
        <v>0.99730629999999998</v>
      </c>
      <c r="Y3211">
        <v>-7.1533040000000006E-2</v>
      </c>
      <c r="Z3211">
        <v>1.602607E-3</v>
      </c>
      <c r="AA3211">
        <v>0.99743689999999996</v>
      </c>
      <c r="AB3211">
        <v>33</v>
      </c>
      <c r="AC3211">
        <v>16.1204</v>
      </c>
      <c r="AD3211">
        <v>-1.1030884013369999</v>
      </c>
      <c r="AE3211">
        <v>1.3743000000000001</v>
      </c>
      <c r="AF3211">
        <v>-1.17847633832479</v>
      </c>
      <c r="AG3211">
        <v>-1.1030884013369999</v>
      </c>
      <c r="AH3211">
        <v>16.060835810540301</v>
      </c>
      <c r="AI3211">
        <v>93.918510110446604</v>
      </c>
      <c r="AJ3211">
        <v>94.196601727530194</v>
      </c>
      <c r="AK3211">
        <v>16.141748896395601</v>
      </c>
    </row>
    <row r="3212" spans="1:37" x14ac:dyDescent="0.2">
      <c r="A3212" t="str">
        <f>"20200111155910603"</f>
        <v>20200111155910603</v>
      </c>
      <c r="B3212" t="str">
        <f>"1578729550595194"</f>
        <v>1578729550595194</v>
      </c>
      <c r="C3212" t="s">
        <v>37</v>
      </c>
      <c r="D3212">
        <v>5.2938689999999999</v>
      </c>
      <c r="E3212">
        <v>0.49762329999999999</v>
      </c>
      <c r="F3212" t="s">
        <v>50</v>
      </c>
      <c r="G3212">
        <v>-272.15260000000001</v>
      </c>
      <c r="H3212" s="1">
        <v>-4.9939089999999996E-7</v>
      </c>
      <c r="I3212">
        <v>217.09</v>
      </c>
      <c r="J3212">
        <v>-287.77159999999998</v>
      </c>
      <c r="K3212">
        <v>1.103102</v>
      </c>
      <c r="L3212">
        <v>215.76910000000001</v>
      </c>
      <c r="M3212">
        <v>0.99986160000000002</v>
      </c>
      <c r="N3212">
        <v>0</v>
      </c>
      <c r="O3212">
        <v>9.1344759999999903E-3</v>
      </c>
      <c r="P3212">
        <v>0.99726009999999998</v>
      </c>
      <c r="Q3212">
        <v>2.7208369999999999E-2</v>
      </c>
      <c r="R3212">
        <v>6.8789980000000001E-2</v>
      </c>
      <c r="S3212">
        <v>2.996918</v>
      </c>
      <c r="T3212">
        <v>-0.2027061</v>
      </c>
      <c r="U3212">
        <v>0.2436371</v>
      </c>
      <c r="V3212">
        <v>-5.9559849999999998E-2</v>
      </c>
      <c r="W3212">
        <v>4.1254560000000003E-2</v>
      </c>
      <c r="X3212">
        <v>0.99737189999999998</v>
      </c>
      <c r="Y3212">
        <v>-7.17777E-2</v>
      </c>
      <c r="Z3212">
        <v>1.80459E-3</v>
      </c>
      <c r="AA3212">
        <v>0.99741899999999994</v>
      </c>
      <c r="AB3212">
        <v>33</v>
      </c>
      <c r="AC3212">
        <v>15.6189999999999</v>
      </c>
      <c r="AD3212">
        <v>-1.10310249939089</v>
      </c>
      <c r="AE3212">
        <v>1.32089999999999</v>
      </c>
      <c r="AF3212">
        <v>-1.1723535485830701</v>
      </c>
      <c r="AG3212">
        <v>-1.10310249939089</v>
      </c>
      <c r="AH3212">
        <v>15.553385979738399</v>
      </c>
      <c r="AI3212">
        <v>94.045393727066497</v>
      </c>
      <c r="AJ3212">
        <v>94.310581030758101</v>
      </c>
      <c r="AK3212">
        <v>15.636465821973999</v>
      </c>
    </row>
    <row r="3213" spans="1:37" x14ac:dyDescent="0.2">
      <c r="A3213" t="str">
        <f>"20200111155910624"</f>
        <v>20200111155910624</v>
      </c>
      <c r="B3213" t="str">
        <f>"1578729550614712"</f>
        <v>1578729550614712</v>
      </c>
      <c r="C3213" t="s">
        <v>37</v>
      </c>
      <c r="D3213">
        <v>5.2864649999999997</v>
      </c>
      <c r="E3213">
        <v>0.49757889999999999</v>
      </c>
      <c r="F3213" t="s">
        <v>50</v>
      </c>
      <c r="G3213">
        <v>-271.36720000000003</v>
      </c>
      <c r="H3213" s="1">
        <v>-9.1516509999999997E-7</v>
      </c>
      <c r="I3213">
        <v>217.04050000000001</v>
      </c>
      <c r="J3213">
        <v>-287.4545</v>
      </c>
      <c r="K3213">
        <v>1.1031120000000001</v>
      </c>
      <c r="L3213">
        <v>215.77070000000001</v>
      </c>
      <c r="M3213">
        <v>0.99987099999999995</v>
      </c>
      <c r="N3213">
        <v>0</v>
      </c>
      <c r="O3213">
        <v>7.908221E-3</v>
      </c>
      <c r="P3213">
        <v>0.99736480000000005</v>
      </c>
      <c r="Q3213">
        <v>2.7175660000000001E-2</v>
      </c>
      <c r="R3213">
        <v>6.7270140000000006E-2</v>
      </c>
      <c r="S3213">
        <v>2.9977419999999899</v>
      </c>
      <c r="T3213">
        <v>-0.20158180000000001</v>
      </c>
      <c r="U3213">
        <v>0.23234560000000001</v>
      </c>
      <c r="V3213">
        <v>-5.9262969999999998E-2</v>
      </c>
      <c r="W3213">
        <v>4.1298870000000001E-2</v>
      </c>
      <c r="X3213">
        <v>0.99738780000000005</v>
      </c>
      <c r="Y3213">
        <v>-6.9249669999999999E-2</v>
      </c>
      <c r="Z3213">
        <v>1.791836E-3</v>
      </c>
      <c r="AA3213">
        <v>0.99759779999999998</v>
      </c>
      <c r="AB3213">
        <v>33</v>
      </c>
      <c r="AC3213">
        <v>16.0872999999999</v>
      </c>
      <c r="AD3213">
        <v>-1.1031129151651</v>
      </c>
      <c r="AE3213">
        <v>1.2698</v>
      </c>
      <c r="AF3213">
        <v>-1.1372119745034099</v>
      </c>
      <c r="AG3213">
        <v>-1.1031129151651</v>
      </c>
      <c r="AH3213">
        <v>16.0219723739534</v>
      </c>
      <c r="AI3213">
        <v>93.928746429632994</v>
      </c>
      <c r="AJ3213">
        <v>94.059946887578107</v>
      </c>
      <c r="AK3213">
        <v>16.1001151527026</v>
      </c>
    </row>
    <row r="3214" spans="1:37" x14ac:dyDescent="0.2">
      <c r="A3214" t="str">
        <f>"20200111155910645"</f>
        <v>20200111155910645</v>
      </c>
      <c r="B3214" t="str">
        <f>"1578729550635209"</f>
        <v>1578729550635209</v>
      </c>
      <c r="C3214" t="s">
        <v>37</v>
      </c>
      <c r="D3214">
        <v>5.3267769999999999</v>
      </c>
      <c r="E3214">
        <v>0.49749969999999999</v>
      </c>
      <c r="F3214" t="s">
        <v>50</v>
      </c>
      <c r="G3214">
        <v>-271.0865</v>
      </c>
      <c r="H3214" s="1">
        <v>-1.0636000000000001E-6</v>
      </c>
      <c r="I3214">
        <v>217.0181</v>
      </c>
      <c r="J3214">
        <v>-287.135999999999</v>
      </c>
      <c r="K3214">
        <v>1.103124</v>
      </c>
      <c r="L3214">
        <v>215.77189999999999</v>
      </c>
      <c r="M3214">
        <v>0.99987890000000001</v>
      </c>
      <c r="N3214">
        <v>0</v>
      </c>
      <c r="O3214">
        <v>6.675856E-3</v>
      </c>
      <c r="P3214">
        <v>0.99744489999999997</v>
      </c>
      <c r="Q3214">
        <v>2.7251029999999999E-2</v>
      </c>
      <c r="R3214">
        <v>6.603842E-2</v>
      </c>
      <c r="S3214">
        <v>2.9980159999999998</v>
      </c>
      <c r="T3214">
        <v>-0.20204920000000001</v>
      </c>
      <c r="U3214">
        <v>0.2284851</v>
      </c>
      <c r="V3214">
        <v>-5.9260720000000003E-2</v>
      </c>
      <c r="W3214">
        <v>4.1441319999999997E-2</v>
      </c>
      <c r="X3214">
        <v>0.99738199999999999</v>
      </c>
      <c r="Y3214">
        <v>-6.9191849999999999E-2</v>
      </c>
      <c r="Z3214">
        <v>1.876796E-3</v>
      </c>
      <c r="AA3214">
        <v>0.99760159999999998</v>
      </c>
      <c r="AB3214">
        <v>33</v>
      </c>
      <c r="AC3214">
        <v>16.049499999999899</v>
      </c>
      <c r="AD3214">
        <v>-1.1031250636000001</v>
      </c>
      <c r="AE3214">
        <v>1.24620000000001</v>
      </c>
      <c r="AF3214">
        <v>-1.13369380791895</v>
      </c>
      <c r="AG3214">
        <v>-1.1031250636000001</v>
      </c>
      <c r="AH3214">
        <v>15.9824112547134</v>
      </c>
      <c r="AI3214">
        <v>93.938496207626798</v>
      </c>
      <c r="AJ3214">
        <v>94.057413674678102</v>
      </c>
      <c r="AK3214">
        <v>16.060498624602101</v>
      </c>
    </row>
    <row r="3215" spans="1:37" x14ac:dyDescent="0.2">
      <c r="A3215" t="str">
        <f>"20200111155910724"</f>
        <v>20200111155910724</v>
      </c>
      <c r="B3215" t="str">
        <f>"1578729550715241"</f>
        <v>1578729550715241</v>
      </c>
      <c r="C3215" t="s">
        <v>37</v>
      </c>
      <c r="D3215">
        <v>5.306432</v>
      </c>
      <c r="E3215">
        <v>0.4921468</v>
      </c>
      <c r="F3215" t="s">
        <v>50</v>
      </c>
      <c r="G3215">
        <v>-270.62599999999998</v>
      </c>
      <c r="H3215" s="1">
        <v>-1.3084729999999999E-6</v>
      </c>
      <c r="I3215">
        <v>217.0137</v>
      </c>
      <c r="J3215">
        <v>-285.98219999999998</v>
      </c>
      <c r="K3215">
        <v>1.1031610000000001</v>
      </c>
      <c r="L3215">
        <v>215.773</v>
      </c>
      <c r="M3215">
        <v>0.99989629999999996</v>
      </c>
      <c r="N3215">
        <v>0</v>
      </c>
      <c r="O3215">
        <v>2.2085970000000001E-3</v>
      </c>
      <c r="P3215">
        <v>0.9977859</v>
      </c>
      <c r="Q3215">
        <v>2.6320650000000001E-2</v>
      </c>
      <c r="R3215">
        <v>6.1079340000000003E-2</v>
      </c>
      <c r="S3215">
        <v>2.99823</v>
      </c>
      <c r="T3215">
        <v>-0.20032759999999999</v>
      </c>
      <c r="U3215">
        <v>0.2255096</v>
      </c>
      <c r="V3215">
        <v>-5.8761750000000001E-2</v>
      </c>
      <c r="W3215">
        <v>4.068426E-2</v>
      </c>
      <c r="X3215">
        <v>0.99744270000000002</v>
      </c>
      <c r="Y3215">
        <v>-7.2643460000000007E-2</v>
      </c>
      <c r="Z3215">
        <v>2.2735279999999999E-3</v>
      </c>
      <c r="AA3215">
        <v>0.9973554</v>
      </c>
      <c r="AB3215">
        <v>33</v>
      </c>
      <c r="AC3215">
        <v>15.356199999999999</v>
      </c>
      <c r="AD3215">
        <v>-1.103162308473</v>
      </c>
      <c r="AE3215">
        <v>1.2406999999999999</v>
      </c>
      <c r="AF3215">
        <v>-1.2006219775718301</v>
      </c>
      <c r="AG3215">
        <v>-1.103162308473</v>
      </c>
      <c r="AH3215">
        <v>15.280555605489401</v>
      </c>
      <c r="AI3215">
        <v>94.116596072290704</v>
      </c>
      <c r="AJ3215">
        <v>94.492607172023398</v>
      </c>
      <c r="AK3215">
        <v>15.3672977398213</v>
      </c>
    </row>
    <row r="3216" spans="1:37" x14ac:dyDescent="0.2">
      <c r="A3216" t="str">
        <f>"20200111155910746"</f>
        <v>20200111155910746</v>
      </c>
      <c r="B3216" t="str">
        <f>"1578729550734760"</f>
        <v>1578729550734760</v>
      </c>
      <c r="C3216" t="s">
        <v>37</v>
      </c>
      <c r="D3216">
        <v>5.5109069999999996</v>
      </c>
      <c r="E3216">
        <v>0.49493959999999998</v>
      </c>
      <c r="F3216" t="s">
        <v>50</v>
      </c>
      <c r="G3216">
        <v>-253.40719999999999</v>
      </c>
      <c r="H3216" s="1">
        <v>1.06542999999999E-7</v>
      </c>
      <c r="I3216">
        <v>218.5008</v>
      </c>
      <c r="J3216">
        <v>-285.661</v>
      </c>
      <c r="K3216">
        <v>1.103173</v>
      </c>
      <c r="L3216">
        <v>215.7724</v>
      </c>
      <c r="M3216">
        <v>0.99989779999999995</v>
      </c>
      <c r="N3216">
        <v>0</v>
      </c>
      <c r="O3216">
        <v>9.6441300000000001E-4</v>
      </c>
      <c r="P3216">
        <v>0.99785919999999895</v>
      </c>
      <c r="Q3216">
        <v>2.6686939999999999E-2</v>
      </c>
      <c r="R3216">
        <v>5.9708280000000002E-2</v>
      </c>
      <c r="S3216">
        <v>2.99401899999999</v>
      </c>
      <c r="T3216">
        <v>-0.1013932</v>
      </c>
      <c r="U3216">
        <v>0.25071719999999997</v>
      </c>
      <c r="V3216">
        <v>-5.8631419999999997E-2</v>
      </c>
      <c r="W3216">
        <v>4.1083040000000001E-2</v>
      </c>
      <c r="X3216">
        <v>0.99743400000000004</v>
      </c>
      <c r="Y3216">
        <v>-8.2439709999999999E-2</v>
      </c>
      <c r="Z3216">
        <v>1.360488E-3</v>
      </c>
      <c r="AA3216">
        <v>0.99659509999999996</v>
      </c>
      <c r="AB3216">
        <v>33</v>
      </c>
      <c r="AC3216">
        <v>32.253799999999998</v>
      </c>
      <c r="AD3216">
        <v>-1.103172893457</v>
      </c>
      <c r="AE3216">
        <v>2.7283999999999899</v>
      </c>
      <c r="AF3216">
        <v>-2.6941602461212502</v>
      </c>
      <c r="AG3216">
        <v>-1.103172893457</v>
      </c>
      <c r="AH3216">
        <v>32.218993386522698</v>
      </c>
      <c r="AI3216">
        <v>91.954216645062999</v>
      </c>
      <c r="AJ3216">
        <v>94.779966980630107</v>
      </c>
      <c r="AK3216">
        <v>32.350255404021603</v>
      </c>
    </row>
    <row r="3217" spans="1:37" x14ac:dyDescent="0.2">
      <c r="A3217" t="str">
        <f>"20200111155910768"</f>
        <v>20200111155910768</v>
      </c>
      <c r="B3217" t="str">
        <f>"1578729550765017"</f>
        <v>1578729550765017</v>
      </c>
      <c r="C3217" t="s">
        <v>37</v>
      </c>
      <c r="D3217">
        <v>5.4238580000000001</v>
      </c>
      <c r="E3217">
        <v>0.49585259999999998</v>
      </c>
      <c r="F3217" t="s">
        <v>50</v>
      </c>
      <c r="G3217">
        <v>-263.12240000000003</v>
      </c>
      <c r="H3217" s="1">
        <v>1.5450040000000001E-10</v>
      </c>
      <c r="I3217">
        <v>217.46770000000001</v>
      </c>
      <c r="J3217">
        <v>-285.32560000000001</v>
      </c>
      <c r="K3217">
        <v>1.103186</v>
      </c>
      <c r="L3217">
        <v>215.7713</v>
      </c>
      <c r="M3217">
        <v>0.999897699999999</v>
      </c>
      <c r="N3217">
        <v>0</v>
      </c>
      <c r="O3217">
        <v>-3.3546470000000002E-4</v>
      </c>
      <c r="P3217">
        <v>0.99793920000000003</v>
      </c>
      <c r="Q3217">
        <v>2.6900859999999999E-2</v>
      </c>
      <c r="R3217">
        <v>5.8255429999999997E-2</v>
      </c>
      <c r="S3217">
        <v>2.9968870000000001</v>
      </c>
      <c r="T3217">
        <v>-0.14668529999999999</v>
      </c>
      <c r="U3217">
        <v>0.22541810000000001</v>
      </c>
      <c r="V3217">
        <v>-5.8475300000000001E-2</v>
      </c>
      <c r="W3217">
        <v>4.1326499999999898E-2</v>
      </c>
      <c r="X3217">
        <v>0.99743309999999996</v>
      </c>
      <c r="Y3217">
        <v>-7.5250109999999995E-2</v>
      </c>
      <c r="Z3217">
        <v>1.854287E-3</v>
      </c>
      <c r="AA3217">
        <v>0.99716289999999996</v>
      </c>
      <c r="AB3217">
        <v>33</v>
      </c>
      <c r="AC3217">
        <v>22.203199999999899</v>
      </c>
      <c r="AD3217">
        <v>-1.10318599984549</v>
      </c>
      <c r="AE3217">
        <v>1.6964000000000099</v>
      </c>
      <c r="AF3217">
        <v>-1.6996774331539499</v>
      </c>
      <c r="AG3217">
        <v>-1.10318599984549</v>
      </c>
      <c r="AH3217">
        <v>22.148269749664699</v>
      </c>
      <c r="AI3217">
        <v>92.843150408061504</v>
      </c>
      <c r="AJ3217">
        <v>94.388326787613593</v>
      </c>
      <c r="AK3217">
        <v>22.240768323754899</v>
      </c>
    </row>
    <row r="3218" spans="1:37" x14ac:dyDescent="0.2">
      <c r="A3218" t="str">
        <f>"20200111155910791"</f>
        <v>20200111155910791</v>
      </c>
      <c r="B3218" t="str">
        <f>"1578729550785513"</f>
        <v>1578729550785513</v>
      </c>
      <c r="C3218" t="s">
        <v>37</v>
      </c>
      <c r="D3218">
        <v>5.3724089999999904</v>
      </c>
      <c r="E3218">
        <v>0.49610759999999998</v>
      </c>
      <c r="F3218" t="s">
        <v>50</v>
      </c>
      <c r="G3218">
        <v>-263.0498</v>
      </c>
      <c r="H3218" s="1">
        <v>-3.3810209999999997E-8</v>
      </c>
      <c r="I3218">
        <v>217.3613</v>
      </c>
      <c r="J3218">
        <v>-284.99439999999998</v>
      </c>
      <c r="K3218">
        <v>1.1031930000000001</v>
      </c>
      <c r="L3218">
        <v>215.76990000000001</v>
      </c>
      <c r="M3218">
        <v>0.99989619999999901</v>
      </c>
      <c r="N3218">
        <v>0</v>
      </c>
      <c r="O3218">
        <v>-1.619084E-3</v>
      </c>
      <c r="P3218">
        <v>0.99800929999999999</v>
      </c>
      <c r="Q3218">
        <v>2.660962E-2</v>
      </c>
      <c r="R3218">
        <v>5.7179840000000003E-2</v>
      </c>
      <c r="S3218">
        <v>2.997681</v>
      </c>
      <c r="T3218">
        <v>-0.14845739999999999</v>
      </c>
      <c r="U3218">
        <v>0.2139587</v>
      </c>
      <c r="V3218">
        <v>-5.868189E-2</v>
      </c>
      <c r="W3218">
        <v>4.1059699999999998E-2</v>
      </c>
      <c r="X3218">
        <v>0.99743199999999999</v>
      </c>
      <c r="Y3218">
        <v>-7.2718060000000001E-2</v>
      </c>
      <c r="Z3218">
        <v>1.877306E-3</v>
      </c>
      <c r="AA3218">
        <v>0.99735079999999998</v>
      </c>
      <c r="AB3218">
        <v>33</v>
      </c>
      <c r="AC3218">
        <v>21.944599999999902</v>
      </c>
      <c r="AD3218">
        <v>-1.1031930338102001</v>
      </c>
      <c r="AE3218">
        <v>1.5913999999999899</v>
      </c>
      <c r="AF3218">
        <v>-1.6228518151061799</v>
      </c>
      <c r="AG3218">
        <v>-1.1031930338102001</v>
      </c>
      <c r="AH3218">
        <v>21.886969951674299</v>
      </c>
      <c r="AI3218">
        <v>92.877614221315994</v>
      </c>
      <c r="AJ3218">
        <v>94.240546819108204</v>
      </c>
      <c r="AK3218">
        <v>21.974761353633301</v>
      </c>
    </row>
    <row r="3219" spans="1:37" x14ac:dyDescent="0.2">
      <c r="A3219" t="str">
        <f>"20200111155910812"</f>
        <v>20200111155910812</v>
      </c>
      <c r="B3219" t="str">
        <f>"1578729550805032"</f>
        <v>1578729550805032</v>
      </c>
      <c r="C3219" t="s">
        <v>37</v>
      </c>
      <c r="D3219">
        <v>5.4889809999999999</v>
      </c>
      <c r="E3219">
        <v>0.496299299999999</v>
      </c>
      <c r="F3219" t="s">
        <v>50</v>
      </c>
      <c r="G3219">
        <v>-261.47160000000002</v>
      </c>
      <c r="H3219" s="1">
        <v>-8.7565989999999995E-7</v>
      </c>
      <c r="I3219">
        <v>217.40629999999999</v>
      </c>
      <c r="J3219">
        <v>-284.67349999999999</v>
      </c>
      <c r="K3219">
        <v>1.103205</v>
      </c>
      <c r="L3219">
        <v>215.768</v>
      </c>
      <c r="M3219">
        <v>0.99989300000000003</v>
      </c>
      <c r="N3219">
        <v>0</v>
      </c>
      <c r="O3219">
        <v>-2.8639259999999902E-3</v>
      </c>
      <c r="P3219">
        <v>0.9980696</v>
      </c>
      <c r="Q3219">
        <v>2.6555619999999999E-2</v>
      </c>
      <c r="R3219">
        <v>5.6141199999999898E-2</v>
      </c>
      <c r="S3219">
        <v>2.9977419999999899</v>
      </c>
      <c r="T3219">
        <v>-0.1405902</v>
      </c>
      <c r="U3219">
        <v>0.208541899999999</v>
      </c>
      <c r="V3219">
        <v>-5.8886010000000003E-2</v>
      </c>
      <c r="W3219">
        <v>4.1026340000000001E-2</v>
      </c>
      <c r="X3219">
        <v>0.99742129999999996</v>
      </c>
      <c r="Y3219">
        <v>-7.2173539999999994E-2</v>
      </c>
      <c r="Z3219">
        <v>1.8235510000000001E-3</v>
      </c>
      <c r="AA3219">
        <v>0.99739040000000001</v>
      </c>
      <c r="AB3219">
        <v>33</v>
      </c>
      <c r="AC3219">
        <v>23.201899999999899</v>
      </c>
      <c r="AD3219">
        <v>-1.1032058756598999</v>
      </c>
      <c r="AE3219">
        <v>1.6382999999999801</v>
      </c>
      <c r="AF3219">
        <v>-1.7009222411660401</v>
      </c>
      <c r="AG3219">
        <v>-1.1032058756598999</v>
      </c>
      <c r="AH3219">
        <v>23.145045188645099</v>
      </c>
      <c r="AI3219">
        <v>92.721602880439704</v>
      </c>
      <c r="AJ3219">
        <v>94.203093455590803</v>
      </c>
      <c r="AK3219">
        <v>23.2336677358313</v>
      </c>
    </row>
    <row r="3220" spans="1:37" x14ac:dyDescent="0.2">
      <c r="A3220" t="str">
        <f>"20200111155910835"</f>
        <v>20200111155910835</v>
      </c>
      <c r="B3220" t="str">
        <f>"1578729550825529"</f>
        <v>1578729550825529</v>
      </c>
      <c r="C3220" t="s">
        <v>37</v>
      </c>
      <c r="D3220">
        <v>5.4468059999999996</v>
      </c>
      <c r="E3220">
        <v>0.49515540000000002</v>
      </c>
      <c r="F3220" t="s">
        <v>50</v>
      </c>
      <c r="G3220">
        <v>-262.37889999999999</v>
      </c>
      <c r="H3220" s="1">
        <v>-3.8752729999999998E-7</v>
      </c>
      <c r="I3220">
        <v>217.28599999999901</v>
      </c>
      <c r="J3220">
        <v>-284.35570000000001</v>
      </c>
      <c r="K3220">
        <v>1.103213</v>
      </c>
      <c r="L3220">
        <v>215.76580000000001</v>
      </c>
      <c r="M3220">
        <v>0.99988860000000002</v>
      </c>
      <c r="N3220">
        <v>0</v>
      </c>
      <c r="O3220">
        <v>-4.0971779999999999E-3</v>
      </c>
      <c r="P3220">
        <v>0.99813399999999997</v>
      </c>
      <c r="Q3220">
        <v>2.6872799999999999E-2</v>
      </c>
      <c r="R3220">
        <v>5.4832400000000003E-2</v>
      </c>
      <c r="S3220">
        <v>2.998291</v>
      </c>
      <c r="T3220">
        <v>-0.14836529999999901</v>
      </c>
      <c r="U3220">
        <v>0.2041473</v>
      </c>
      <c r="V3220">
        <v>-5.8807209999999999E-2</v>
      </c>
      <c r="W3220">
        <v>4.1359380000000001E-2</v>
      </c>
      <c r="X3220">
        <v>0.99741219999999997</v>
      </c>
      <c r="Y3220">
        <v>-7.1925600000000006E-2</v>
      </c>
      <c r="Z3220">
        <v>1.9788279999999902E-3</v>
      </c>
      <c r="AA3220">
        <v>0.99740799999999996</v>
      </c>
      <c r="AB3220">
        <v>33</v>
      </c>
      <c r="AC3220">
        <v>21.976800000000001</v>
      </c>
      <c r="AD3220">
        <v>-1.1032133875273</v>
      </c>
      <c r="AE3220">
        <v>1.52019999999996</v>
      </c>
      <c r="AF3220">
        <v>-1.6062110948958299</v>
      </c>
      <c r="AG3220">
        <v>-1.1032133875273</v>
      </c>
      <c r="AH3220">
        <v>21.915423774225602</v>
      </c>
      <c r="AI3220">
        <v>92.874117272152603</v>
      </c>
      <c r="AJ3220">
        <v>94.191790441893403</v>
      </c>
      <c r="AK3220">
        <v>22.0018815800758</v>
      </c>
    </row>
    <row r="3221" spans="1:37" x14ac:dyDescent="0.2">
      <c r="A3221" t="str">
        <f>"20200111155910857"</f>
        <v>20200111155910857</v>
      </c>
      <c r="B3221" t="str">
        <f>"1578729550854809"</f>
        <v>1578729550854809</v>
      </c>
      <c r="C3221" t="s">
        <v>37</v>
      </c>
      <c r="D3221">
        <v>5.4065019999999997</v>
      </c>
      <c r="E3221">
        <v>0.49336340000000001</v>
      </c>
      <c r="F3221" t="s">
        <v>50</v>
      </c>
      <c r="G3221">
        <v>-263.00479999999999</v>
      </c>
      <c r="H3221" s="1">
        <v>-5.3250439999999998E-8</v>
      </c>
      <c r="I3221">
        <v>217.25810000000001</v>
      </c>
      <c r="J3221">
        <v>-284.02539999999999</v>
      </c>
      <c r="K3221">
        <v>1.1032230000000001</v>
      </c>
      <c r="L3221">
        <v>215.76310000000001</v>
      </c>
      <c r="M3221">
        <v>0.9998823</v>
      </c>
      <c r="N3221">
        <v>0</v>
      </c>
      <c r="O3221">
        <v>-5.3788040000000001E-3</v>
      </c>
      <c r="P3221">
        <v>0.99819429999999998</v>
      </c>
      <c r="Q3221">
        <v>2.7395099999999901E-2</v>
      </c>
      <c r="R3221">
        <v>5.3458869999999999E-2</v>
      </c>
      <c r="S3221">
        <v>2.9982599999999899</v>
      </c>
      <c r="T3221">
        <v>-0.15492239999999999</v>
      </c>
      <c r="U3221">
        <v>0.20956420000000001</v>
      </c>
      <c r="V3221">
        <v>-5.8712199999999999E-2</v>
      </c>
      <c r="W3221">
        <v>4.1895830000000002E-2</v>
      </c>
      <c r="X3221">
        <v>0.99739539999999904</v>
      </c>
      <c r="Y3221">
        <v>-7.4983720000000004E-2</v>
      </c>
      <c r="Z3221">
        <v>2.2110319999999999E-3</v>
      </c>
      <c r="AA3221">
        <v>0.99718229999999997</v>
      </c>
      <c r="AB3221">
        <v>33</v>
      </c>
      <c r="AC3221">
        <v>21.020600000000002</v>
      </c>
      <c r="AD3221">
        <v>-1.1032230532504399</v>
      </c>
      <c r="AE3221">
        <v>1.4950000000000001</v>
      </c>
      <c r="AF3221">
        <v>-1.6036607411627499</v>
      </c>
      <c r="AG3221">
        <v>-1.1032230532504399</v>
      </c>
      <c r="AH3221">
        <v>20.9548249739344</v>
      </c>
      <c r="AI3221">
        <v>93.004937274456594</v>
      </c>
      <c r="AJ3221">
        <v>94.376282856405595</v>
      </c>
      <c r="AK3221">
        <v>21.045035485030599</v>
      </c>
    </row>
    <row r="3222" spans="1:37" x14ac:dyDescent="0.2">
      <c r="A3222" t="str">
        <f>"20200111155910881"</f>
        <v>20200111155910881</v>
      </c>
      <c r="B3222" t="str">
        <f>"1578729550875305"</f>
        <v>1578729550875305</v>
      </c>
      <c r="C3222" t="s">
        <v>37</v>
      </c>
      <c r="D3222">
        <v>5.4502100000000002</v>
      </c>
      <c r="E3222">
        <v>0.4931989</v>
      </c>
      <c r="F3222" t="s">
        <v>50</v>
      </c>
      <c r="G3222">
        <v>-261.18150000000003</v>
      </c>
      <c r="H3222" s="1">
        <v>-1.031279E-6</v>
      </c>
      <c r="I3222">
        <v>217.435</v>
      </c>
      <c r="J3222">
        <v>-283.68810000000002</v>
      </c>
      <c r="K3222">
        <v>1.103232</v>
      </c>
      <c r="L3222">
        <v>215.75989999999999</v>
      </c>
      <c r="M3222">
        <v>0.99987420000000005</v>
      </c>
      <c r="N3222">
        <v>0</v>
      </c>
      <c r="O3222">
        <v>-6.6880639999999996E-3</v>
      </c>
      <c r="P3222">
        <v>0.99823859999999998</v>
      </c>
      <c r="Q3222">
        <v>2.7862979999999999E-2</v>
      </c>
      <c r="R3222">
        <v>5.237675E-2</v>
      </c>
      <c r="S3222">
        <v>2.9976500000000001</v>
      </c>
      <c r="T3222">
        <v>-0.1447687</v>
      </c>
      <c r="U3222">
        <v>0.2193909</v>
      </c>
      <c r="V3222">
        <v>-5.8935960000000003E-2</v>
      </c>
      <c r="W3222">
        <v>4.2376530000000003E-2</v>
      </c>
      <c r="X3222">
        <v>0.99736190000000002</v>
      </c>
      <c r="Y3222">
        <v>-7.9561670000000001E-2</v>
      </c>
      <c r="Z3222">
        <v>2.2399260000000002E-3</v>
      </c>
      <c r="AA3222">
        <v>0.99682739999999903</v>
      </c>
      <c r="AB3222">
        <v>33</v>
      </c>
      <c r="AC3222">
        <v>22.506599999999899</v>
      </c>
      <c r="AD3222">
        <v>-1.103233031279</v>
      </c>
      <c r="AE3222">
        <v>1.67510000000001</v>
      </c>
      <c r="AF3222">
        <v>-1.8212517128868899</v>
      </c>
      <c r="AG3222">
        <v>-1.103233031279</v>
      </c>
      <c r="AH3222">
        <v>22.441267721091499</v>
      </c>
      <c r="AI3222">
        <v>92.805238339556695</v>
      </c>
      <c r="AJ3222">
        <v>94.639748676276099</v>
      </c>
      <c r="AK3222">
        <v>22.5420624134684</v>
      </c>
    </row>
    <row r="3223" spans="1:37" x14ac:dyDescent="0.2">
      <c r="A3223" t="str">
        <f>"20200111155910902"</f>
        <v>20200111155910902</v>
      </c>
      <c r="B3223" t="str">
        <f>"1578729550894824"</f>
        <v>1578729550894824</v>
      </c>
      <c r="C3223" t="s">
        <v>37</v>
      </c>
      <c r="D3223">
        <v>5.4734210000000001</v>
      </c>
      <c r="E3223">
        <v>0.49225740000000001</v>
      </c>
      <c r="F3223" t="s">
        <v>50</v>
      </c>
      <c r="G3223">
        <v>-260.28050000000002</v>
      </c>
      <c r="H3223" s="1">
        <v>-1.511697E-6</v>
      </c>
      <c r="I3223">
        <v>217.4573</v>
      </c>
      <c r="J3223">
        <v>-283.37079999999997</v>
      </c>
      <c r="K3223">
        <v>1.1032409999999999</v>
      </c>
      <c r="L3223">
        <v>215.75649999999999</v>
      </c>
      <c r="M3223">
        <v>0.99986509999999995</v>
      </c>
      <c r="N3223">
        <v>0</v>
      </c>
      <c r="O3223">
        <v>-7.9203009999999994E-3</v>
      </c>
      <c r="P3223">
        <v>0.99826179999999998</v>
      </c>
      <c r="Q3223">
        <v>2.8605539999999999E-2</v>
      </c>
      <c r="R3223">
        <v>5.1529789999999999E-2</v>
      </c>
      <c r="S3223">
        <v>2.997833</v>
      </c>
      <c r="T3223">
        <v>-0.141292</v>
      </c>
      <c r="U3223">
        <v>0.217392</v>
      </c>
      <c r="V3223">
        <v>-5.9316880000000002E-2</v>
      </c>
      <c r="W3223">
        <v>4.312829E-2</v>
      </c>
      <c r="X3223">
        <v>0.9973071</v>
      </c>
      <c r="Y3223">
        <v>-8.0127309999999993E-2</v>
      </c>
      <c r="Z3223">
        <v>2.2573989999999898E-3</v>
      </c>
      <c r="AA3223">
        <v>0.9967821</v>
      </c>
      <c r="AB3223">
        <v>33</v>
      </c>
      <c r="AC3223">
        <v>23.0902999999999</v>
      </c>
      <c r="AD3223">
        <v>-1.1032425116969999</v>
      </c>
      <c r="AE3223">
        <v>1.7008000000000101</v>
      </c>
      <c r="AF3223">
        <v>-1.8793804584081899</v>
      </c>
      <c r="AG3223">
        <v>-1.1032425116969999</v>
      </c>
      <c r="AH3223">
        <v>23.023826387215301</v>
      </c>
      <c r="AI3223">
        <v>92.734287549827798</v>
      </c>
      <c r="AJ3223">
        <v>94.666572666360693</v>
      </c>
      <c r="AK3223">
        <v>23.126733371916</v>
      </c>
    </row>
    <row r="3224" spans="1:37" x14ac:dyDescent="0.2">
      <c r="A3224" t="str">
        <f>"20200111155910925"</f>
        <v>20200111155910925</v>
      </c>
      <c r="B3224" t="str">
        <f>"1578729550915320"</f>
        <v>1578729550915320</v>
      </c>
      <c r="C3224" t="s">
        <v>37</v>
      </c>
      <c r="D3224">
        <v>5.4764210000000002</v>
      </c>
      <c r="E3224">
        <v>0.49138949999999998</v>
      </c>
      <c r="F3224" t="s">
        <v>50</v>
      </c>
      <c r="G3224">
        <v>-259.6318</v>
      </c>
      <c r="H3224" s="1">
        <v>3.4619709999999999E-6</v>
      </c>
      <c r="I3224">
        <v>217.51679999999999</v>
      </c>
      <c r="J3224">
        <v>-283.04680000000002</v>
      </c>
      <c r="K3224">
        <v>1.1032489999999999</v>
      </c>
      <c r="L3224">
        <v>215.7526</v>
      </c>
      <c r="M3224">
        <v>0.99985419999999903</v>
      </c>
      <c r="N3224">
        <v>0</v>
      </c>
      <c r="O3224">
        <v>-9.1785119999999998E-3</v>
      </c>
      <c r="P3224">
        <v>0.9983168</v>
      </c>
      <c r="Q3224">
        <v>2.8781459999999998E-2</v>
      </c>
      <c r="R3224">
        <v>5.0353250000000002E-2</v>
      </c>
      <c r="S3224">
        <v>2.9977419999999899</v>
      </c>
      <c r="T3224">
        <v>-0.13931559999999901</v>
      </c>
      <c r="U3224">
        <v>0.22228999999999999</v>
      </c>
      <c r="V3224">
        <v>-5.9396770000000002E-2</v>
      </c>
      <c r="W3224">
        <v>4.3312169999999997E-2</v>
      </c>
      <c r="X3224">
        <v>0.99729439999999903</v>
      </c>
      <c r="Y3224">
        <v>-8.3001729999999996E-2</v>
      </c>
      <c r="Z3224">
        <v>2.3508320000000002E-3</v>
      </c>
      <c r="AA3224">
        <v>0.99654659999999995</v>
      </c>
      <c r="AB3224">
        <v>33</v>
      </c>
      <c r="AC3224">
        <v>23.414999999999999</v>
      </c>
      <c r="AD3224">
        <v>-1.1032455380289901</v>
      </c>
      <c r="AE3224">
        <v>1.76419999999998</v>
      </c>
      <c r="AF3224">
        <v>-1.97470368495186</v>
      </c>
      <c r="AG3224">
        <v>-1.1032455380289901</v>
      </c>
      <c r="AH3224">
        <v>23.346282518325499</v>
      </c>
      <c r="AI3224">
        <v>92.695928654470904</v>
      </c>
      <c r="AJ3224">
        <v>94.8347534854326</v>
      </c>
      <c r="AK3224">
        <v>23.455607278133201</v>
      </c>
    </row>
    <row r="3225" spans="1:37" x14ac:dyDescent="0.2">
      <c r="A3225" t="str">
        <f>"20200111155910969"</f>
        <v>20200111155910969</v>
      </c>
      <c r="B3225" t="str">
        <f>"1578729550965097"</f>
        <v>1578729550965097</v>
      </c>
      <c r="C3225" t="s">
        <v>37</v>
      </c>
      <c r="D3225">
        <v>5.4566699999999999</v>
      </c>
      <c r="E3225">
        <v>0.48944860000000001</v>
      </c>
      <c r="F3225" t="s">
        <v>50</v>
      </c>
      <c r="G3225">
        <v>-259.39690000000002</v>
      </c>
      <c r="H3225" s="1">
        <v>3.3361180000000002E-6</v>
      </c>
      <c r="I3225">
        <v>217.53630000000001</v>
      </c>
      <c r="J3225">
        <v>-282.39170000000001</v>
      </c>
      <c r="K3225">
        <v>1.1032599999999999</v>
      </c>
      <c r="L3225">
        <v>215.74350000000001</v>
      </c>
      <c r="M3225">
        <v>0.99982729999999997</v>
      </c>
      <c r="N3225">
        <v>0</v>
      </c>
      <c r="O3225">
        <v>-1.1723849999999999E-2</v>
      </c>
      <c r="P3225">
        <v>0.99847659999999905</v>
      </c>
      <c r="Q3225">
        <v>2.8065739999999999E-2</v>
      </c>
      <c r="R3225">
        <v>4.750704E-2</v>
      </c>
      <c r="S3225">
        <v>2.9977109999999998</v>
      </c>
      <c r="T3225">
        <v>-0.13984009999999999</v>
      </c>
      <c r="U3225">
        <v>0.2260895</v>
      </c>
      <c r="V3225">
        <v>-5.90947E-2</v>
      </c>
      <c r="W3225">
        <v>4.2607109999999997E-2</v>
      </c>
      <c r="X3225">
        <v>0.99734269999999903</v>
      </c>
      <c r="Y3225">
        <v>-8.6787249999999996E-2</v>
      </c>
      <c r="Z3225">
        <v>2.5662459999999999E-3</v>
      </c>
      <c r="AA3225">
        <v>0.99622359999999899</v>
      </c>
      <c r="AB3225">
        <v>32</v>
      </c>
      <c r="AC3225">
        <v>22.994800000000001</v>
      </c>
      <c r="AD3225">
        <v>-1.1032566638820001</v>
      </c>
      <c r="AE3225">
        <v>1.79279999999999</v>
      </c>
      <c r="AF3225">
        <v>-2.0575845605168701</v>
      </c>
      <c r="AG3225">
        <v>-1.1032566638820001</v>
      </c>
      <c r="AH3225">
        <v>22.919757492452799</v>
      </c>
      <c r="AI3225">
        <v>92.744819107047505</v>
      </c>
      <c r="AJ3225">
        <v>95.129885401087193</v>
      </c>
      <c r="AK3225">
        <v>23.0383617690782</v>
      </c>
    </row>
    <row r="3226" spans="1:37" x14ac:dyDescent="0.2">
      <c r="A3226" t="str">
        <f>"20200111155910991"</f>
        <v>20200111155910991</v>
      </c>
      <c r="B3226" t="str">
        <f>"1578729550984616"</f>
        <v>1578729550984616</v>
      </c>
      <c r="C3226" t="s">
        <v>37</v>
      </c>
      <c r="D3226">
        <v>5.0856750000000002</v>
      </c>
      <c r="E3226">
        <v>0.48702209999999901</v>
      </c>
      <c r="F3226" t="s">
        <v>50</v>
      </c>
      <c r="G3226">
        <v>-258.40339999999998</v>
      </c>
      <c r="H3226" s="1">
        <v>2.8043380000000002E-6</v>
      </c>
      <c r="I3226">
        <v>217.60720000000001</v>
      </c>
      <c r="J3226">
        <v>-282.07119999999998</v>
      </c>
      <c r="K3226">
        <v>1.1032690000000001</v>
      </c>
      <c r="L3226">
        <v>215.73830000000001</v>
      </c>
      <c r="M3226">
        <v>0.99981209999999898</v>
      </c>
      <c r="N3226">
        <v>0</v>
      </c>
      <c r="O3226">
        <v>-1.29701E-2</v>
      </c>
      <c r="P3226">
        <v>0.99855179999999999</v>
      </c>
      <c r="Q3226">
        <v>2.7689990000000001E-2</v>
      </c>
      <c r="R3226">
        <v>4.6127040000000001E-2</v>
      </c>
      <c r="S3226">
        <v>2.9973749999999999</v>
      </c>
      <c r="T3226">
        <v>-0.13785359999999999</v>
      </c>
      <c r="U3226">
        <v>0.23287959999999999</v>
      </c>
      <c r="V3226">
        <v>-5.8960560000000002E-2</v>
      </c>
      <c r="W3226">
        <v>4.2235509999999997E-2</v>
      </c>
      <c r="X3226">
        <v>0.99736639999999999</v>
      </c>
      <c r="Y3226">
        <v>-9.0278529999999996E-2</v>
      </c>
      <c r="Z3226">
        <v>2.6672329999999902E-3</v>
      </c>
      <c r="AA3226">
        <v>0.99591299999999905</v>
      </c>
      <c r="AB3226">
        <v>32</v>
      </c>
      <c r="AC3226">
        <v>23.6678</v>
      </c>
      <c r="AD3226">
        <v>-1.103266195662</v>
      </c>
      <c r="AE3226">
        <v>1.86889999999999</v>
      </c>
      <c r="AF3226">
        <v>-2.1710600381302898</v>
      </c>
      <c r="AG3226">
        <v>-1.103266195662</v>
      </c>
      <c r="AH3226">
        <v>23.590623403868001</v>
      </c>
      <c r="AI3226">
        <v>92.666357889033605</v>
      </c>
      <c r="AJ3226">
        <v>95.258155427815595</v>
      </c>
      <c r="AK3226">
        <v>23.715990609097101</v>
      </c>
    </row>
    <row r="3227" spans="1:37" x14ac:dyDescent="0.2">
      <c r="A3227" t="str">
        <f>"20200111155911013"</f>
        <v>20200111155911013</v>
      </c>
      <c r="B3227" t="str">
        <f>"1578729551004642"</f>
        <v>1578729551004642</v>
      </c>
      <c r="C3227" t="s">
        <v>37</v>
      </c>
      <c r="D3227">
        <v>5.5287459999999999</v>
      </c>
      <c r="E3227">
        <v>0.486616299999999</v>
      </c>
      <c r="F3227" t="s">
        <v>50</v>
      </c>
      <c r="G3227">
        <v>-257.88630000000001</v>
      </c>
      <c r="H3227" s="1">
        <v>2.5234639999999999E-6</v>
      </c>
      <c r="I3227">
        <v>217.7379</v>
      </c>
      <c r="J3227">
        <v>-281.75979999999998</v>
      </c>
      <c r="K3227">
        <v>1.103272</v>
      </c>
      <c r="L3227">
        <v>215.733</v>
      </c>
      <c r="M3227">
        <v>0.9997954</v>
      </c>
      <c r="N3227">
        <v>0</v>
      </c>
      <c r="O3227">
        <v>-1.418094E-2</v>
      </c>
      <c r="P3227">
        <v>0.99860260000000001</v>
      </c>
      <c r="Q3227">
        <v>2.7614E-2</v>
      </c>
      <c r="R3227">
        <v>4.5061249999999997E-2</v>
      </c>
      <c r="S3227">
        <v>2.9967039999999998</v>
      </c>
      <c r="T3227">
        <v>-0.13670379999999999</v>
      </c>
      <c r="U3227">
        <v>0.24775700000000001</v>
      </c>
      <c r="V3227">
        <v>-5.910485E-2</v>
      </c>
      <c r="W3227">
        <v>4.2161669999999998E-2</v>
      </c>
      <c r="X3227">
        <v>0.99736100000000005</v>
      </c>
      <c r="Y3227">
        <v>-9.6407000000000007E-2</v>
      </c>
      <c r="Z3227">
        <v>2.8396879999999999E-3</v>
      </c>
      <c r="AA3227">
        <v>0.99533799999999995</v>
      </c>
      <c r="AB3227">
        <v>32</v>
      </c>
      <c r="AC3227">
        <v>23.8734999999999</v>
      </c>
      <c r="AD3227">
        <v>-1.103269476536</v>
      </c>
      <c r="AE3227">
        <v>2.0048999999999899</v>
      </c>
      <c r="AF3227">
        <v>-2.3383233740065599</v>
      </c>
      <c r="AG3227">
        <v>-1.103269476536</v>
      </c>
      <c r="AH3227">
        <v>23.792208495795901</v>
      </c>
      <c r="AI3227">
        <v>92.642250936087095</v>
      </c>
      <c r="AJ3227">
        <v>95.613063523855502</v>
      </c>
      <c r="AK3227">
        <v>23.932282483012401</v>
      </c>
    </row>
    <row r="3228" spans="1:37" x14ac:dyDescent="0.2">
      <c r="A3228" t="str">
        <f>"20200111155911035"</f>
        <v>20200111155911035</v>
      </c>
      <c r="B3228" t="str">
        <f>"1578729551025138"</f>
        <v>1578729551025138</v>
      </c>
      <c r="C3228" t="s">
        <v>37</v>
      </c>
      <c r="D3228">
        <v>6.5907179999999901</v>
      </c>
      <c r="E3228">
        <v>0.48614279999999999</v>
      </c>
      <c r="F3228" t="s">
        <v>50</v>
      </c>
      <c r="G3228">
        <v>-257.62549999999999</v>
      </c>
      <c r="H3228" s="1">
        <v>2.3850999999999998E-6</v>
      </c>
      <c r="I3228">
        <v>217.7277</v>
      </c>
      <c r="J3228">
        <v>-281.43880000000001</v>
      </c>
      <c r="K3228">
        <v>1.103281</v>
      </c>
      <c r="L3228">
        <v>215.72720000000001</v>
      </c>
      <c r="M3228">
        <v>0.99977709999999997</v>
      </c>
      <c r="N3228">
        <v>0</v>
      </c>
      <c r="O3228">
        <v>-1.5429200000000001E-2</v>
      </c>
      <c r="P3228">
        <v>0.9986389</v>
      </c>
      <c r="Q3228">
        <v>2.73814E-2</v>
      </c>
      <c r="R3228">
        <v>4.4397029999999997E-2</v>
      </c>
      <c r="S3228">
        <v>2.9967959999999998</v>
      </c>
      <c r="T3228">
        <v>-0.13699449999999999</v>
      </c>
      <c r="U3228">
        <v>0.2476807</v>
      </c>
      <c r="V3228">
        <v>-5.9687990000000003E-2</v>
      </c>
      <c r="W3228">
        <v>4.1932509999999999E-2</v>
      </c>
      <c r="X3228">
        <v>0.997336</v>
      </c>
      <c r="Y3228">
        <v>-9.7618919999999998E-2</v>
      </c>
      <c r="Z3228">
        <v>2.930228E-3</v>
      </c>
      <c r="AA3228">
        <v>0.99521949999999904</v>
      </c>
      <c r="AB3228">
        <v>32</v>
      </c>
      <c r="AC3228">
        <v>23.813300000000002</v>
      </c>
      <c r="AD3228">
        <v>-1.1032786149</v>
      </c>
      <c r="AE3228">
        <v>2.0004999999999802</v>
      </c>
      <c r="AF3228">
        <v>-2.3626841803872098</v>
      </c>
      <c r="AG3228">
        <v>-1.1032786149</v>
      </c>
      <c r="AH3228">
        <v>23.729017984883601</v>
      </c>
      <c r="AI3228">
        <v>92.648965282852203</v>
      </c>
      <c r="AJ3228">
        <v>95.686165039768696</v>
      </c>
      <c r="AK3228">
        <v>23.8718619878148</v>
      </c>
    </row>
    <row r="3229" spans="1:37" x14ac:dyDescent="0.2">
      <c r="A3229" t="str">
        <f>"20200111155911058"</f>
        <v>20200111155911058</v>
      </c>
      <c r="B3229" t="str">
        <f>"1578729551055395"</f>
        <v>1578729551055395</v>
      </c>
      <c r="C3229" t="s">
        <v>37</v>
      </c>
      <c r="D3229">
        <v>5.6722169999999998</v>
      </c>
      <c r="E3229">
        <v>0.4860777</v>
      </c>
      <c r="F3229" t="s">
        <v>50</v>
      </c>
      <c r="G3229">
        <v>-256.5181</v>
      </c>
      <c r="H3229" s="1">
        <v>1.7926439999999999E-6</v>
      </c>
      <c r="I3229">
        <v>217.8</v>
      </c>
      <c r="J3229">
        <v>-281.1121</v>
      </c>
      <c r="K3229">
        <v>1.1032850000000001</v>
      </c>
      <c r="L3229">
        <v>215.7208</v>
      </c>
      <c r="M3229">
        <v>0.99975669999999905</v>
      </c>
      <c r="N3229">
        <v>0</v>
      </c>
      <c r="O3229">
        <v>-1.669781E-2</v>
      </c>
      <c r="P3229">
        <v>0.99865300000000001</v>
      </c>
      <c r="Q3229">
        <v>2.7587199999999999E-2</v>
      </c>
      <c r="R3229">
        <v>4.395023E-2</v>
      </c>
      <c r="S3229">
        <v>2.9966430000000002</v>
      </c>
      <c r="T3229">
        <v>-0.13266620000000001</v>
      </c>
      <c r="U3229">
        <v>0.24925229999999901</v>
      </c>
      <c r="V3229">
        <v>-6.0507329999999998E-2</v>
      </c>
      <c r="W3229">
        <v>4.2140709999999998E-2</v>
      </c>
      <c r="X3229">
        <v>0.99727779999999999</v>
      </c>
      <c r="Y3229">
        <v>-9.9408460000000004E-2</v>
      </c>
      <c r="Z3229">
        <v>2.9334069999999999E-3</v>
      </c>
      <c r="AA3229">
        <v>0.99504239999999999</v>
      </c>
      <c r="AB3229">
        <v>32</v>
      </c>
      <c r="AC3229">
        <v>24.593999999999902</v>
      </c>
      <c r="AD3229">
        <v>-1.1032832073559999</v>
      </c>
      <c r="AE3229">
        <v>2.0792000000000099</v>
      </c>
      <c r="AF3229">
        <v>-2.4846540096209502</v>
      </c>
      <c r="AG3229">
        <v>-1.1032832073559999</v>
      </c>
      <c r="AH3229">
        <v>24.506880923282299</v>
      </c>
      <c r="AI3229">
        <v>92.564547508615306</v>
      </c>
      <c r="AJ3229">
        <v>95.789206559483503</v>
      </c>
      <c r="AK3229">
        <v>24.6572089249999</v>
      </c>
    </row>
    <row r="3230" spans="1:37" x14ac:dyDescent="0.2">
      <c r="A3230" t="str">
        <f>"20200111155911082"</f>
        <v>20200111155911082</v>
      </c>
      <c r="B3230" t="str">
        <f>"1578729551074914"</f>
        <v>1578729551074914</v>
      </c>
      <c r="C3230" t="s">
        <v>37</v>
      </c>
      <c r="D3230">
        <v>5.7522830000000003</v>
      </c>
      <c r="E3230">
        <v>0.48602339999999999</v>
      </c>
      <c r="F3230" t="s">
        <v>50</v>
      </c>
      <c r="G3230">
        <v>-256.58690000000001</v>
      </c>
      <c r="H3230" s="1">
        <v>1.8313139999999999E-6</v>
      </c>
      <c r="I3230">
        <v>217.75380000000001</v>
      </c>
      <c r="J3230">
        <v>-280.77670000000001</v>
      </c>
      <c r="K3230">
        <v>1.1032949999999999</v>
      </c>
      <c r="L3230">
        <v>215.71379999999999</v>
      </c>
      <c r="M3230">
        <v>0.99973400000000001</v>
      </c>
      <c r="N3230">
        <v>0</v>
      </c>
      <c r="O3230">
        <v>-1.7998E-2</v>
      </c>
      <c r="P3230">
        <v>0.99866219999999895</v>
      </c>
      <c r="Q3230">
        <v>2.7382839999999999E-2</v>
      </c>
      <c r="R3230">
        <v>4.3865220000000003E-2</v>
      </c>
      <c r="S3230">
        <v>2.996826</v>
      </c>
      <c r="T3230">
        <v>-0.13481470000000001</v>
      </c>
      <c r="U3230">
        <v>0.24842829999999999</v>
      </c>
      <c r="V3230">
        <v>-6.1720900000000002E-2</v>
      </c>
      <c r="W3230">
        <v>4.1938219999999998E-2</v>
      </c>
      <c r="X3230">
        <v>0.99721199999999999</v>
      </c>
      <c r="Y3230">
        <v>-0.1004198</v>
      </c>
      <c r="Z3230">
        <v>3.061795E-3</v>
      </c>
      <c r="AA3230">
        <v>0.99494050000000001</v>
      </c>
      <c r="AB3230">
        <v>32</v>
      </c>
      <c r="AC3230">
        <v>24.189799999999899</v>
      </c>
      <c r="AD3230">
        <v>-1.1032931686859999</v>
      </c>
      <c r="AE3230">
        <v>2.04000000000002</v>
      </c>
      <c r="AF3230">
        <v>-2.46998089036363</v>
      </c>
      <c r="AG3230">
        <v>-1.1032931686859999</v>
      </c>
      <c r="AH3230">
        <v>24.099382337783499</v>
      </c>
      <c r="AI3230">
        <v>92.607585367039803</v>
      </c>
      <c r="AJ3230">
        <v>95.851894792132398</v>
      </c>
      <c r="AK3230">
        <v>24.250737936761901</v>
      </c>
    </row>
    <row r="3231" spans="1:37" x14ac:dyDescent="0.2">
      <c r="A3231" t="str">
        <f>"20200111155911103"</f>
        <v>20200111155911103</v>
      </c>
      <c r="B3231" t="str">
        <f>"1578729551094942"</f>
        <v>1578729551094942</v>
      </c>
      <c r="C3231" t="s">
        <v>37</v>
      </c>
      <c r="D3231">
        <v>6.2126890000000001</v>
      </c>
      <c r="E3231">
        <v>0.48610179999999997</v>
      </c>
      <c r="F3231" t="s">
        <v>50</v>
      </c>
      <c r="G3231">
        <v>-256.4633</v>
      </c>
      <c r="H3231" s="1">
        <v>1.7666449999999999E-6</v>
      </c>
      <c r="I3231">
        <v>217.7287</v>
      </c>
      <c r="J3231">
        <v>-280.46420000000001</v>
      </c>
      <c r="K3231">
        <v>1.1032979999999999</v>
      </c>
      <c r="L3231">
        <v>215.70689999999999</v>
      </c>
      <c r="M3231">
        <v>0.99971149999999998</v>
      </c>
      <c r="N3231">
        <v>0</v>
      </c>
      <c r="O3231">
        <v>-1.9207829999999999E-2</v>
      </c>
      <c r="P3231">
        <v>0.99869969999999997</v>
      </c>
      <c r="Q3231">
        <v>2.7119979999999998E-2</v>
      </c>
      <c r="R3231">
        <v>4.3166749999999997E-2</v>
      </c>
      <c r="S3231">
        <v>2.996826</v>
      </c>
      <c r="T3231">
        <v>-0.13599029999999901</v>
      </c>
      <c r="U3231">
        <v>0.24835209999999999</v>
      </c>
      <c r="V3231">
        <v>-6.2232269999999999E-2</v>
      </c>
      <c r="W3231">
        <v>4.1676669999999999E-2</v>
      </c>
      <c r="X3231">
        <v>0.9971911</v>
      </c>
      <c r="Y3231">
        <v>-0.101594</v>
      </c>
      <c r="Z3231">
        <v>3.1698519999999999E-3</v>
      </c>
      <c r="AA3231">
        <v>0.99482090000000001</v>
      </c>
      <c r="AB3231">
        <v>32</v>
      </c>
      <c r="AC3231">
        <v>24.000900000000001</v>
      </c>
      <c r="AD3231">
        <v>-1.1032962333549901</v>
      </c>
      <c r="AE3231">
        <v>2.02180000000001</v>
      </c>
      <c r="AF3231">
        <v>-2.47728210949216</v>
      </c>
      <c r="AG3231">
        <v>-1.1032962333549901</v>
      </c>
      <c r="AH3231">
        <v>23.907468817180401</v>
      </c>
      <c r="AI3231">
        <v>92.628193471931496</v>
      </c>
      <c r="AJ3231">
        <v>95.915852573560201</v>
      </c>
      <c r="AK3231">
        <v>24.060782499183201</v>
      </c>
    </row>
    <row r="3232" spans="1:37" x14ac:dyDescent="0.2">
      <c r="A3232" t="str">
        <f>"20200111155911127"</f>
        <v>20200111155911127</v>
      </c>
      <c r="B3232" t="str">
        <f>"1578729551115438"</f>
        <v>1578729551115438</v>
      </c>
      <c r="C3232" t="s">
        <v>37</v>
      </c>
      <c r="D3232">
        <v>5.8407819999999999</v>
      </c>
      <c r="E3232">
        <v>0.54012899999999997</v>
      </c>
      <c r="F3232" t="s">
        <v>50</v>
      </c>
      <c r="G3232">
        <v>-256.0881</v>
      </c>
      <c r="H3232" s="1">
        <v>1.567997E-6</v>
      </c>
      <c r="I3232">
        <v>217.70529999999999</v>
      </c>
      <c r="J3232">
        <v>-280.13200000000001</v>
      </c>
      <c r="K3232">
        <v>1.1033139999999999</v>
      </c>
      <c r="L3232">
        <v>215.69909999999999</v>
      </c>
      <c r="M3232">
        <v>0.99968619999999997</v>
      </c>
      <c r="N3232">
        <v>0</v>
      </c>
      <c r="O3232">
        <v>-2.0487700000000001E-2</v>
      </c>
      <c r="P3232">
        <v>0.99873140000000005</v>
      </c>
      <c r="Q3232">
        <v>2.7497690000000002E-2</v>
      </c>
      <c r="R3232">
        <v>4.218711E-2</v>
      </c>
      <c r="S3232">
        <v>2.9969790000000001</v>
      </c>
      <c r="T3232">
        <v>-0.1356475</v>
      </c>
      <c r="U3232">
        <v>0.245696999999999</v>
      </c>
      <c r="V3232">
        <v>-6.2529890000000005E-2</v>
      </c>
      <c r="W3232">
        <v>4.2053519999999997E-2</v>
      </c>
      <c r="X3232">
        <v>0.99715669999999901</v>
      </c>
      <c r="Y3232">
        <v>-0.10198699999999999</v>
      </c>
      <c r="Z3232">
        <v>3.2285209999999998E-3</v>
      </c>
      <c r="AA3232">
        <v>0.99478049999999996</v>
      </c>
      <c r="AB3232">
        <v>32</v>
      </c>
      <c r="AC3232">
        <v>24.043900000000001</v>
      </c>
      <c r="AD3232">
        <v>-1.1033124320029899</v>
      </c>
      <c r="AE3232">
        <v>2.0062000000000002</v>
      </c>
      <c r="AF3232">
        <v>-2.4932206448290501</v>
      </c>
      <c r="AG3232">
        <v>-1.1033124320029899</v>
      </c>
      <c r="AH3232">
        <v>23.947668676720401</v>
      </c>
      <c r="AI3232">
        <v>92.623693923771199</v>
      </c>
      <c r="AJ3232">
        <v>95.943719431554001</v>
      </c>
      <c r="AK3232">
        <v>24.102370890773201</v>
      </c>
    </row>
    <row r="3233" spans="1:37" x14ac:dyDescent="0.2">
      <c r="A3233" t="str">
        <f>"20200111155911148"</f>
        <v>20200111155911148</v>
      </c>
      <c r="B3233" t="str">
        <f>"1578729551144719"</f>
        <v>1578729551144719</v>
      </c>
      <c r="C3233" t="s">
        <v>37</v>
      </c>
      <c r="D3233">
        <v>5.7491430000000001</v>
      </c>
      <c r="E3233">
        <v>0.55099860000000001</v>
      </c>
      <c r="F3233" t="s">
        <v>38</v>
      </c>
      <c r="G3233">
        <v>-279.14659999999998</v>
      </c>
      <c r="H3233">
        <v>1.0364450000000001</v>
      </c>
      <c r="I3233">
        <v>215.63810000000001</v>
      </c>
      <c r="J3233">
        <v>-279.82459999999998</v>
      </c>
      <c r="K3233">
        <v>1.103329</v>
      </c>
      <c r="L3233">
        <v>215.69149999999999</v>
      </c>
      <c r="M3233">
        <v>0.99966139999999903</v>
      </c>
      <c r="N3233">
        <v>0</v>
      </c>
      <c r="O3233">
        <v>-2.1659609999999999E-2</v>
      </c>
      <c r="P3233">
        <v>0.99877490000000002</v>
      </c>
      <c r="Q3233">
        <v>2.7956720000000001E-2</v>
      </c>
      <c r="R3233">
        <v>4.0831010000000001E-2</v>
      </c>
      <c r="S3233">
        <v>3.0173030000000001</v>
      </c>
      <c r="T3233">
        <v>-0.2048285</v>
      </c>
      <c r="U3233">
        <v>-0.18611150000000001</v>
      </c>
      <c r="V3233">
        <v>-6.234468E-2</v>
      </c>
      <c r="W3233">
        <v>4.2509440000000003E-2</v>
      </c>
      <c r="X3233">
        <v>0.99714899999999995</v>
      </c>
      <c r="Y3233">
        <v>3.9887390000000002E-2</v>
      </c>
      <c r="Z3233">
        <v>1.1606189999999999E-4</v>
      </c>
      <c r="AA3233">
        <v>0.99920419999999999</v>
      </c>
      <c r="AB3233">
        <v>32</v>
      </c>
      <c r="AC3233">
        <v>0.67799999999999705</v>
      </c>
      <c r="AD3233">
        <v>-6.6883999999999902E-2</v>
      </c>
      <c r="AE3233">
        <v>-5.3399999999982101E-2</v>
      </c>
      <c r="AF3233">
        <v>3.8330013797991301E-2</v>
      </c>
      <c r="AG3233">
        <v>-6.6883999999999902E-2</v>
      </c>
      <c r="AH3233">
        <v>0.67249354975507902</v>
      </c>
      <c r="AI3233">
        <v>95.670628478476004</v>
      </c>
      <c r="AJ3233">
        <v>86.737850527420704</v>
      </c>
      <c r="AK3233">
        <v>0.67689750618239097</v>
      </c>
    </row>
    <row r="3234" spans="1:37" x14ac:dyDescent="0.2">
      <c r="A3234" t="str">
        <f>"20200111155911171"</f>
        <v>20200111155911171</v>
      </c>
      <c r="B3234" t="str">
        <f>"1578729551165215"</f>
        <v>1578729551165215</v>
      </c>
      <c r="C3234" t="s">
        <v>37</v>
      </c>
      <c r="D3234">
        <v>5.7563589999999998</v>
      </c>
      <c r="E3234">
        <v>0.55313889999999999</v>
      </c>
      <c r="F3234" t="s">
        <v>38</v>
      </c>
      <c r="G3234">
        <v>-278.8553</v>
      </c>
      <c r="H3234">
        <v>1.045641</v>
      </c>
      <c r="I3234">
        <v>215.60220000000001</v>
      </c>
      <c r="J3234">
        <v>-279.49619999999999</v>
      </c>
      <c r="K3234">
        <v>1.103348</v>
      </c>
      <c r="L3234">
        <v>215.6831</v>
      </c>
      <c r="M3234">
        <v>0.99963380000000002</v>
      </c>
      <c r="N3234">
        <v>0</v>
      </c>
      <c r="O3234">
        <v>-2.2897959999999998E-2</v>
      </c>
      <c r="P3234">
        <v>0.9988726</v>
      </c>
      <c r="Q3234">
        <v>2.7943229999999999E-2</v>
      </c>
      <c r="R3234">
        <v>3.8380919999999999E-2</v>
      </c>
      <c r="S3234">
        <v>3.0200200000000001</v>
      </c>
      <c r="T3234">
        <v>-0.17981759999999999</v>
      </c>
      <c r="U3234">
        <v>-0.27751160000000002</v>
      </c>
      <c r="V3234">
        <v>-6.1134599999999997E-2</v>
      </c>
      <c r="W3234">
        <v>4.2490859999999998E-2</v>
      </c>
      <c r="X3234">
        <v>0.99722469999999996</v>
      </c>
      <c r="Y3234">
        <v>6.8596649999999995E-2</v>
      </c>
      <c r="Z3234">
        <v>-6.7708079999999999E-4</v>
      </c>
      <c r="AA3234">
        <v>0.99764419999999898</v>
      </c>
      <c r="AB3234">
        <v>32</v>
      </c>
      <c r="AC3234">
        <v>0.64089999999998704</v>
      </c>
      <c r="AD3234">
        <v>-5.7706999999999897E-2</v>
      </c>
      <c r="AE3234">
        <v>-8.0899999999985497E-2</v>
      </c>
      <c r="AF3234">
        <v>6.5677836513972299E-2</v>
      </c>
      <c r="AG3234">
        <v>-5.7706999999999897E-2</v>
      </c>
      <c r="AH3234">
        <v>0.63749723939902903</v>
      </c>
      <c r="AI3234">
        <v>95.145297642220399</v>
      </c>
      <c r="AJ3234">
        <v>84.117883213568504</v>
      </c>
      <c r="AK3234">
        <v>0.64346437842318704</v>
      </c>
    </row>
    <row r="3235" spans="1:37" x14ac:dyDescent="0.2">
      <c r="A3235" t="str">
        <f>"20200111155911193"</f>
        <v>20200111155911193</v>
      </c>
      <c r="B3235" t="str">
        <f>"1578729551184735"</f>
        <v>1578729551184735</v>
      </c>
      <c r="C3235" t="s">
        <v>37</v>
      </c>
      <c r="D3235">
        <v>5.6913749999999999</v>
      </c>
      <c r="E3235">
        <v>0.55504299999999995</v>
      </c>
      <c r="F3235" t="s">
        <v>38</v>
      </c>
      <c r="G3235">
        <v>-278.57080000000002</v>
      </c>
      <c r="H3235">
        <v>1.0442450000000001</v>
      </c>
      <c r="I3235">
        <v>215.59030000000001</v>
      </c>
      <c r="J3235">
        <v>-279.17649999999998</v>
      </c>
      <c r="K3235">
        <v>1.1033709999999901</v>
      </c>
      <c r="L3235">
        <v>215.67449999999999</v>
      </c>
      <c r="M3235">
        <v>0.99960599999999999</v>
      </c>
      <c r="N3235">
        <v>0</v>
      </c>
      <c r="O3235">
        <v>-2.4081140000000001E-2</v>
      </c>
      <c r="P3235">
        <v>0.99896799999999997</v>
      </c>
      <c r="Q3235">
        <v>2.775029E-2</v>
      </c>
      <c r="R3235">
        <v>3.5955090000000002E-2</v>
      </c>
      <c r="S3235">
        <v>3.0204469999999999</v>
      </c>
      <c r="T3235">
        <v>-0.19298709999999999</v>
      </c>
      <c r="U3235">
        <v>-0.30177309999999902</v>
      </c>
      <c r="V3235">
        <v>-5.9894910000000003E-2</v>
      </c>
      <c r="W3235">
        <v>4.2291719999999998E-2</v>
      </c>
      <c r="X3235">
        <v>0.99730839999999998</v>
      </c>
      <c r="Y3235">
        <v>7.5318560000000007E-2</v>
      </c>
      <c r="Z3235">
        <v>-8.6493780000000003E-4</v>
      </c>
      <c r="AA3235">
        <v>0.99715909999999996</v>
      </c>
      <c r="AB3235">
        <v>32</v>
      </c>
      <c r="AC3235">
        <v>0.60569999999995605</v>
      </c>
      <c r="AD3235">
        <v>-5.91259999999997E-2</v>
      </c>
      <c r="AE3235">
        <v>-8.4199999999981401E-2</v>
      </c>
      <c r="AF3235">
        <v>6.8943613541696605E-2</v>
      </c>
      <c r="AG3235">
        <v>-5.91259999999997E-2</v>
      </c>
      <c r="AH3235">
        <v>0.60192522250205804</v>
      </c>
      <c r="AI3235">
        <v>95.5738501238597</v>
      </c>
      <c r="AJ3235">
        <v>83.465901700083705</v>
      </c>
      <c r="AK3235">
        <v>0.60873892532705598</v>
      </c>
    </row>
    <row r="3236" spans="1:37" x14ac:dyDescent="0.2">
      <c r="A3236" t="str">
        <f>"20200111155911215"</f>
        <v>20200111155911215</v>
      </c>
      <c r="B3236" t="str">
        <f>"1578729551204762"</f>
        <v>1578729551204762</v>
      </c>
      <c r="C3236" t="s">
        <v>37</v>
      </c>
      <c r="D3236">
        <v>6.3579179999999997</v>
      </c>
      <c r="E3236">
        <v>0.55684919999999904</v>
      </c>
      <c r="F3236" t="s">
        <v>38</v>
      </c>
      <c r="G3236">
        <v>-278.2842</v>
      </c>
      <c r="H3236">
        <v>1.045409</v>
      </c>
      <c r="I3236">
        <v>215.57859999999999</v>
      </c>
      <c r="J3236">
        <v>-278.86660000000001</v>
      </c>
      <c r="K3236">
        <v>1.103399</v>
      </c>
      <c r="L3236">
        <v>215.66579999999999</v>
      </c>
      <c r="M3236">
        <v>0.99957879999999999</v>
      </c>
      <c r="N3236">
        <v>0</v>
      </c>
      <c r="O3236">
        <v>-2.51912E-2</v>
      </c>
      <c r="P3236">
        <v>0.9990793</v>
      </c>
      <c r="Q3236">
        <v>2.758451E-2</v>
      </c>
      <c r="R3236">
        <v>3.286538E-2</v>
      </c>
      <c r="S3236">
        <v>3.0202640000000001</v>
      </c>
      <c r="T3236">
        <v>-0.19618669999999999</v>
      </c>
      <c r="U3236">
        <v>-0.32435609999999998</v>
      </c>
      <c r="V3236">
        <v>-5.792025E-2</v>
      </c>
      <c r="W3236">
        <v>4.211736E-2</v>
      </c>
      <c r="X3236">
        <v>0.9974324</v>
      </c>
      <c r="Y3236">
        <v>8.1578230000000002E-2</v>
      </c>
      <c r="Z3236">
        <v>-1.009741E-3</v>
      </c>
      <c r="AA3236">
        <v>0.99666639999999995</v>
      </c>
      <c r="AB3236">
        <v>32</v>
      </c>
      <c r="AC3236">
        <v>0.58240000000000602</v>
      </c>
      <c r="AD3236">
        <v>-5.7989999999999903E-2</v>
      </c>
      <c r="AE3236">
        <v>-8.7199999999995698E-2</v>
      </c>
      <c r="AF3236">
        <v>7.1803171513208405E-2</v>
      </c>
      <c r="AG3236">
        <v>-5.7989999999999903E-2</v>
      </c>
      <c r="AH3236">
        <v>0.578799449332007</v>
      </c>
      <c r="AI3236">
        <v>95.678141465559705</v>
      </c>
      <c r="AJ3236">
        <v>82.928281290034604</v>
      </c>
      <c r="AK3236">
        <v>0.586112052500535</v>
      </c>
    </row>
    <row r="3237" spans="1:37" x14ac:dyDescent="0.2">
      <c r="A3237" t="str">
        <f>"20200111155911238"</f>
        <v>20200111155911238</v>
      </c>
      <c r="B3237" t="str">
        <f>"1578729551235019"</f>
        <v>1578729551235019</v>
      </c>
      <c r="C3237" t="s">
        <v>37</v>
      </c>
      <c r="D3237">
        <v>7.9613389999999997</v>
      </c>
      <c r="E3237">
        <v>0.55893499999999996</v>
      </c>
      <c r="F3237" t="s">
        <v>38</v>
      </c>
      <c r="G3237">
        <v>-277.99419999999998</v>
      </c>
      <c r="H3237">
        <v>1.0508850000000001</v>
      </c>
      <c r="I3237">
        <v>215.56479999999999</v>
      </c>
      <c r="J3237">
        <v>-278.53590000000003</v>
      </c>
      <c r="K3237">
        <v>1.103437</v>
      </c>
      <c r="L3237">
        <v>215.65620000000001</v>
      </c>
      <c r="M3237">
        <v>0.99954969999999999</v>
      </c>
      <c r="N3237">
        <v>0</v>
      </c>
      <c r="O3237">
        <v>-2.6317E-2</v>
      </c>
      <c r="P3237">
        <v>0.999208599999999</v>
      </c>
      <c r="Q3237">
        <v>2.6795880000000001E-2</v>
      </c>
      <c r="R3237">
        <v>2.9395729999999998E-2</v>
      </c>
      <c r="S3237">
        <v>3.01922599999999</v>
      </c>
      <c r="T3237">
        <v>-0.1818746</v>
      </c>
      <c r="U3237">
        <v>-0.34860229999999998</v>
      </c>
      <c r="V3237">
        <v>-5.5585259999999997E-2</v>
      </c>
      <c r="W3237">
        <v>4.1316970000000001E-2</v>
      </c>
      <c r="X3237">
        <v>0.99759869999999995</v>
      </c>
      <c r="Y3237">
        <v>8.8402069999999999E-2</v>
      </c>
      <c r="Z3237">
        <v>-1.073353E-3</v>
      </c>
      <c r="AA3237">
        <v>0.99608430000000003</v>
      </c>
      <c r="AB3237">
        <v>32</v>
      </c>
      <c r="AC3237">
        <v>0.54170000000004803</v>
      </c>
      <c r="AD3237">
        <v>-5.2551999999999897E-2</v>
      </c>
      <c r="AE3237">
        <v>-9.1400000000021395E-2</v>
      </c>
      <c r="AF3237">
        <v>7.6411691422018396E-2</v>
      </c>
      <c r="AG3237">
        <v>-5.2551999999999897E-2</v>
      </c>
      <c r="AH3237">
        <v>0.53898569634936799</v>
      </c>
      <c r="AI3237">
        <v>95.514039676728004</v>
      </c>
      <c r="AJ3237">
        <v>81.9309822211154</v>
      </c>
      <c r="AK3237">
        <v>0.54690587870234797</v>
      </c>
    </row>
    <row r="3238" spans="1:37" x14ac:dyDescent="0.2">
      <c r="A3238" t="str">
        <f>"20200111155911260"</f>
        <v>20200111155911260</v>
      </c>
      <c r="B3238" t="str">
        <f>"1578729551255515"</f>
        <v>1578729551255515</v>
      </c>
      <c r="C3238" t="s">
        <v>37</v>
      </c>
      <c r="D3238">
        <v>5.7627899999999999</v>
      </c>
      <c r="E3238">
        <v>0.55995890000000004</v>
      </c>
      <c r="F3238" t="s">
        <v>50</v>
      </c>
      <c r="G3238">
        <v>-258.36520000000002</v>
      </c>
      <c r="H3238" s="1">
        <v>2.9791009999999998E-6</v>
      </c>
      <c r="I3238">
        <v>213.1448</v>
      </c>
      <c r="J3238">
        <v>-278.21789999999999</v>
      </c>
      <c r="K3238">
        <v>1.103497</v>
      </c>
      <c r="L3238">
        <v>215.64670000000001</v>
      </c>
      <c r="M3238">
        <v>0.99952289999999899</v>
      </c>
      <c r="N3238">
        <v>0</v>
      </c>
      <c r="O3238">
        <v>-2.7320529999999999E-2</v>
      </c>
      <c r="P3238">
        <v>0.99930450000000004</v>
      </c>
      <c r="Q3238">
        <v>2.6737029999999998E-2</v>
      </c>
      <c r="R3238">
        <v>2.6000160000000001E-2</v>
      </c>
      <c r="S3238">
        <v>3.0178529999999899</v>
      </c>
      <c r="T3238">
        <v>-0.1650915</v>
      </c>
      <c r="U3238">
        <v>-0.37574770000000002</v>
      </c>
      <c r="V3238">
        <v>-5.3202060000000002E-2</v>
      </c>
      <c r="W3238">
        <v>4.1244080000000002E-2</v>
      </c>
      <c r="X3238">
        <v>0.997731699999999</v>
      </c>
      <c r="Y3238">
        <v>9.629269E-2</v>
      </c>
      <c r="Z3238">
        <v>-1.134669E-3</v>
      </c>
      <c r="AA3238">
        <v>0.99535239999999903</v>
      </c>
      <c r="AB3238">
        <v>32</v>
      </c>
      <c r="AC3238">
        <v>19.852699999999899</v>
      </c>
      <c r="AD3238">
        <v>-1.1034940208990001</v>
      </c>
      <c r="AE3238">
        <v>-2.5019</v>
      </c>
      <c r="AF3238">
        <v>1.9525849506053301</v>
      </c>
      <c r="AG3238">
        <v>-1.1034940208990001</v>
      </c>
      <c r="AH3238">
        <v>19.8532687495814</v>
      </c>
      <c r="AI3238">
        <v>93.166123724187997</v>
      </c>
      <c r="AJ3238">
        <v>84.382978444484607</v>
      </c>
      <c r="AK3238">
        <v>19.979553725911799</v>
      </c>
    </row>
    <row r="3239" spans="1:37" x14ac:dyDescent="0.2">
      <c r="A3239" t="str">
        <f>"20200111155911282"</f>
        <v>20200111155911282</v>
      </c>
      <c r="B3239" t="str">
        <f>"1578729551275035"</f>
        <v>1578729551275035</v>
      </c>
      <c r="C3239" t="s">
        <v>37</v>
      </c>
      <c r="D3239">
        <v>5.7460589999999998</v>
      </c>
      <c r="E3239">
        <v>0.56071190000000004</v>
      </c>
      <c r="F3239" t="s">
        <v>50</v>
      </c>
      <c r="G3239">
        <v>-256.83260000000001</v>
      </c>
      <c r="H3239" s="1">
        <v>2.1762780000000001E-6</v>
      </c>
      <c r="I3239">
        <v>212.85319999999999</v>
      </c>
      <c r="J3239">
        <v>-277.90480000000002</v>
      </c>
      <c r="K3239">
        <v>1.103572</v>
      </c>
      <c r="L3239">
        <v>215.63720000000001</v>
      </c>
      <c r="M3239">
        <v>0.9994982</v>
      </c>
      <c r="N3239">
        <v>0</v>
      </c>
      <c r="O3239">
        <v>-2.820918E-2</v>
      </c>
      <c r="P3239">
        <v>0.99941049999999998</v>
      </c>
      <c r="Q3239">
        <v>2.6445799999999998E-2</v>
      </c>
      <c r="R3239">
        <v>2.1890119999999999E-2</v>
      </c>
      <c r="S3239">
        <v>3.0165099999999998</v>
      </c>
      <c r="T3239">
        <v>-0.1556543</v>
      </c>
      <c r="U3239">
        <v>-0.39404299999999998</v>
      </c>
      <c r="V3239">
        <v>-4.9992010000000003E-2</v>
      </c>
      <c r="W3239">
        <v>4.0935340000000001E-2</v>
      </c>
      <c r="X3239">
        <v>0.99791039999999998</v>
      </c>
      <c r="Y3239">
        <v>0.1014067</v>
      </c>
      <c r="Z3239">
        <v>-1.155704E-3</v>
      </c>
      <c r="AA3239">
        <v>0.99484439999999996</v>
      </c>
      <c r="AB3239">
        <v>32</v>
      </c>
      <c r="AC3239">
        <v>21.072199999999999</v>
      </c>
      <c r="AD3239">
        <v>-1.103569823722</v>
      </c>
      <c r="AE3239">
        <v>-2.7840000000000198</v>
      </c>
      <c r="AF3239">
        <v>2.1825173443705501</v>
      </c>
      <c r="AG3239">
        <v>-1.103569823722</v>
      </c>
      <c r="AH3239">
        <v>21.085515591063999</v>
      </c>
      <c r="AI3239">
        <v>92.980109520849695</v>
      </c>
      <c r="AJ3239">
        <v>84.090479122129693</v>
      </c>
      <c r="AK3239">
        <v>21.226874853715799</v>
      </c>
    </row>
    <row r="3240" spans="1:37" x14ac:dyDescent="0.2">
      <c r="A3240" t="str">
        <f>"20200111155911304"</f>
        <v>20200111155911304</v>
      </c>
      <c r="B3240" t="str">
        <f>"1578729551295062"</f>
        <v>1578729551295062</v>
      </c>
      <c r="C3240" t="s">
        <v>37</v>
      </c>
      <c r="D3240">
        <v>5.7845079999999998</v>
      </c>
      <c r="E3240">
        <v>0.5610889</v>
      </c>
      <c r="F3240" t="s">
        <v>50</v>
      </c>
      <c r="G3240">
        <v>-254.9716</v>
      </c>
      <c r="H3240" s="1">
        <v>1.2013799999999999E-6</v>
      </c>
      <c r="I3240">
        <v>212.49959999999999</v>
      </c>
      <c r="J3240">
        <v>-277.59210000000002</v>
      </c>
      <c r="K3240">
        <v>1.1036629999999901</v>
      </c>
      <c r="L3240">
        <v>215.6275</v>
      </c>
      <c r="M3240">
        <v>0.99947629999999998</v>
      </c>
      <c r="N3240">
        <v>0</v>
      </c>
      <c r="O3240">
        <v>-2.8974449999999999E-2</v>
      </c>
      <c r="P3240">
        <v>0.99952189999999996</v>
      </c>
      <c r="Q3240">
        <v>2.5867660000000001E-2</v>
      </c>
      <c r="R3240">
        <v>1.6935720000000001E-2</v>
      </c>
      <c r="S3240">
        <v>3.0146790000000001</v>
      </c>
      <c r="T3240">
        <v>-0.14506959999999999</v>
      </c>
      <c r="U3240">
        <v>-0.41244510000000001</v>
      </c>
      <c r="V3240">
        <v>-4.5818159999999997E-2</v>
      </c>
      <c r="W3240">
        <v>4.033788E-2</v>
      </c>
      <c r="X3240">
        <v>0.99813499999999999</v>
      </c>
      <c r="Y3240">
        <v>0.1066945</v>
      </c>
      <c r="Z3240">
        <v>-1.1674260000000001E-3</v>
      </c>
      <c r="AA3240">
        <v>0.99429120000000004</v>
      </c>
      <c r="AB3240">
        <v>32</v>
      </c>
      <c r="AC3240">
        <v>22.6205</v>
      </c>
      <c r="AD3240">
        <v>-1.1036617986199999</v>
      </c>
      <c r="AE3240">
        <v>-3.1279000000000101</v>
      </c>
      <c r="AF3240">
        <v>2.4653432613530799</v>
      </c>
      <c r="AG3240">
        <v>-1.1036617986199999</v>
      </c>
      <c r="AH3240">
        <v>22.6487357627473</v>
      </c>
      <c r="AI3240">
        <v>92.773432037855102</v>
      </c>
      <c r="AJ3240">
        <v>83.787741089968407</v>
      </c>
      <c r="AK3240">
        <v>22.8092353754522</v>
      </c>
    </row>
    <row r="3241" spans="1:37" x14ac:dyDescent="0.2">
      <c r="A3241" t="str">
        <f>"20200111155911327"</f>
        <v>20200111155911327</v>
      </c>
      <c r="B3241" t="str">
        <f>"1578729551314584"</f>
        <v>1578729551314584</v>
      </c>
      <c r="C3241" t="s">
        <v>37</v>
      </c>
      <c r="D3241">
        <v>5.7939550000000004</v>
      </c>
      <c r="E3241">
        <v>0.56096610000000002</v>
      </c>
      <c r="F3241" t="s">
        <v>50</v>
      </c>
      <c r="G3241">
        <v>-254.13489999999999</v>
      </c>
      <c r="H3241" s="1">
        <v>7.6594439999999996E-7</v>
      </c>
      <c r="I3241">
        <v>212.2748</v>
      </c>
      <c r="J3241">
        <v>-277.2826</v>
      </c>
      <c r="K3241">
        <v>1.103775</v>
      </c>
      <c r="L3241">
        <v>215.61779999999999</v>
      </c>
      <c r="M3241">
        <v>0.99945859999999997</v>
      </c>
      <c r="N3241">
        <v>0</v>
      </c>
      <c r="O3241">
        <v>-2.9582810000000001E-2</v>
      </c>
      <c r="P3241">
        <v>0.999604099999999</v>
      </c>
      <c r="Q3241">
        <v>2.5662109999999998E-2</v>
      </c>
      <c r="R3241">
        <v>1.1543400000000001E-2</v>
      </c>
      <c r="S3241">
        <v>3.0124209999999998</v>
      </c>
      <c r="T3241">
        <v>-0.1417342</v>
      </c>
      <c r="U3241">
        <v>-0.43055729999999998</v>
      </c>
      <c r="V3241">
        <v>-4.1049500000000003E-2</v>
      </c>
      <c r="W3241">
        <v>4.011253E-2</v>
      </c>
      <c r="X3241">
        <v>0.99835160000000001</v>
      </c>
      <c r="Y3241">
        <v>0.11205</v>
      </c>
      <c r="Z3241">
        <v>-1.237875E-3</v>
      </c>
      <c r="AA3241">
        <v>0.99370179999999997</v>
      </c>
      <c r="AB3241">
        <v>32</v>
      </c>
      <c r="AC3241">
        <v>23.1477</v>
      </c>
      <c r="AD3241">
        <v>-1.1037742340556</v>
      </c>
      <c r="AE3241">
        <v>-3.34299999999998</v>
      </c>
      <c r="AF3241">
        <v>2.6507874409237702</v>
      </c>
      <c r="AG3241">
        <v>-1.1037742340556</v>
      </c>
      <c r="AH3241">
        <v>23.184832794333499</v>
      </c>
      <c r="AI3241">
        <v>92.708040787534898</v>
      </c>
      <c r="AJ3241">
        <v>83.477533792953594</v>
      </c>
      <c r="AK3241">
        <v>23.361966169779599</v>
      </c>
    </row>
    <row r="3242" spans="1:37" x14ac:dyDescent="0.2">
      <c r="A3242" t="str">
        <f>"20200111155911349"</f>
        <v>20200111155911349</v>
      </c>
      <c r="B3242" t="str">
        <f>"1578729551344839"</f>
        <v>1578729551344839</v>
      </c>
      <c r="C3242" t="s">
        <v>37</v>
      </c>
      <c r="D3242">
        <v>5.8142290000000001</v>
      </c>
      <c r="E3242">
        <v>0.56104609999999899</v>
      </c>
      <c r="F3242" t="s">
        <v>50</v>
      </c>
      <c r="G3242">
        <v>-255.2296</v>
      </c>
      <c r="H3242" s="1">
        <v>1.345008E-6</v>
      </c>
      <c r="I3242">
        <v>212.3546</v>
      </c>
      <c r="J3242">
        <v>-276.9572</v>
      </c>
      <c r="K3242">
        <v>1.1039079999999999</v>
      </c>
      <c r="L3242">
        <v>215.60759999999999</v>
      </c>
      <c r="M3242">
        <v>0.99944449999999996</v>
      </c>
      <c r="N3242">
        <v>0</v>
      </c>
      <c r="O3242">
        <v>-3.0054500000000001E-2</v>
      </c>
      <c r="P3242">
        <v>0.99966619999999995</v>
      </c>
      <c r="Q3242">
        <v>2.5171430000000002E-2</v>
      </c>
      <c r="R3242">
        <v>5.8697559999999899E-3</v>
      </c>
      <c r="S3242">
        <v>3.0101930000000001</v>
      </c>
      <c r="T3242">
        <v>-0.15066309999999999</v>
      </c>
      <c r="U3242">
        <v>-0.44541930000000002</v>
      </c>
      <c r="V3242">
        <v>-3.5865029999999999E-2</v>
      </c>
      <c r="W3242">
        <v>3.9602239999999997E-2</v>
      </c>
      <c r="X3242">
        <v>0.9985716</v>
      </c>
      <c r="Y3242">
        <v>0.1164708</v>
      </c>
      <c r="Z3242">
        <v>-1.4028199999999999E-3</v>
      </c>
      <c r="AA3242">
        <v>0.99319310000000005</v>
      </c>
      <c r="AB3242">
        <v>32</v>
      </c>
      <c r="AC3242">
        <v>21.727599999999899</v>
      </c>
      <c r="AD3242">
        <v>-1.10390665499199</v>
      </c>
      <c r="AE3242">
        <v>-3.2529999999999801</v>
      </c>
      <c r="AF3242">
        <v>2.5919064540358501</v>
      </c>
      <c r="AG3242">
        <v>-1.10390665499199</v>
      </c>
      <c r="AH3242">
        <v>21.760620645430102</v>
      </c>
      <c r="AI3242">
        <v>92.883750693309494</v>
      </c>
      <c r="AJ3242">
        <v>83.207504013096894</v>
      </c>
      <c r="AK3242">
        <v>21.942224131653699</v>
      </c>
    </row>
    <row r="3243" spans="1:37" x14ac:dyDescent="0.2">
      <c r="A3243" t="str">
        <f>"20200111155911372"</f>
        <v>20200111155911372</v>
      </c>
      <c r="B3243" t="str">
        <f>"1578729551365335"</f>
        <v>1578729551365335</v>
      </c>
      <c r="C3243" t="s">
        <v>37</v>
      </c>
      <c r="D3243">
        <v>5.808738</v>
      </c>
      <c r="E3243">
        <v>0.56079799999999902</v>
      </c>
      <c r="F3243" t="s">
        <v>50</v>
      </c>
      <c r="G3243">
        <v>-253.80930000000001</v>
      </c>
      <c r="H3243" s="1">
        <v>6.0295039999999995E-7</v>
      </c>
      <c r="I3243">
        <v>212.04040000000001</v>
      </c>
      <c r="J3243">
        <v>-276.63909999999998</v>
      </c>
      <c r="K3243">
        <v>1.104025</v>
      </c>
      <c r="L3243">
        <v>215.5976</v>
      </c>
      <c r="M3243">
        <v>0.99943490000000001</v>
      </c>
      <c r="N3243">
        <v>0</v>
      </c>
      <c r="O3243">
        <v>-3.0377049999999999E-2</v>
      </c>
      <c r="P3243">
        <v>0.99969399999999997</v>
      </c>
      <c r="Q3243">
        <v>2.4705810000000002E-2</v>
      </c>
      <c r="R3243">
        <v>1.335775E-3</v>
      </c>
      <c r="S3243">
        <v>3.0073240000000001</v>
      </c>
      <c r="T3243">
        <v>-0.14341770000000001</v>
      </c>
      <c r="U3243">
        <v>-0.46343990000000002</v>
      </c>
      <c r="V3243">
        <v>-3.1668010000000003E-2</v>
      </c>
      <c r="W3243">
        <v>3.9120530000000001E-2</v>
      </c>
      <c r="X3243">
        <v>0.99873259999999897</v>
      </c>
      <c r="Y3243">
        <v>0.1221081</v>
      </c>
      <c r="Z3243">
        <v>-1.4544270000000001E-3</v>
      </c>
      <c r="AA3243">
        <v>0.992515699999999</v>
      </c>
      <c r="AB3243">
        <v>32</v>
      </c>
      <c r="AC3243">
        <v>22.829799999999899</v>
      </c>
      <c r="AD3243">
        <v>-1.1040243970496</v>
      </c>
      <c r="AE3243">
        <v>-3.5571999999999901</v>
      </c>
      <c r="AF3243">
        <v>2.85546477899701</v>
      </c>
      <c r="AG3243">
        <v>-1.1040243970496</v>
      </c>
      <c r="AH3243">
        <v>22.8751031538524</v>
      </c>
      <c r="AI3243">
        <v>92.741883572750098</v>
      </c>
      <c r="AJ3243">
        <v>82.884658995132398</v>
      </c>
      <c r="AK3243">
        <v>23.0790574606668</v>
      </c>
    </row>
    <row r="3244" spans="1:37" x14ac:dyDescent="0.2">
      <c r="A3244" t="str">
        <f>"20200111155911395"</f>
        <v>20200111155911395</v>
      </c>
      <c r="B3244" t="str">
        <f>"1578729551384855"</f>
        <v>1578729551384855</v>
      </c>
      <c r="C3244" t="s">
        <v>37</v>
      </c>
      <c r="D3244">
        <v>5.7765610000000001</v>
      </c>
      <c r="E3244">
        <v>0.56038529999999998</v>
      </c>
      <c r="F3244" t="s">
        <v>50</v>
      </c>
      <c r="G3244">
        <v>-253.5701</v>
      </c>
      <c r="H3244" s="1">
        <v>4.7973359999999995E-7</v>
      </c>
      <c r="I3244">
        <v>211.9469</v>
      </c>
      <c r="J3244">
        <v>-276.32150000000001</v>
      </c>
      <c r="K3244">
        <v>1.104139</v>
      </c>
      <c r="L3244">
        <v>215.58760000000001</v>
      </c>
      <c r="M3244">
        <v>0.99942919999999902</v>
      </c>
      <c r="N3244">
        <v>0</v>
      </c>
      <c r="O3244">
        <v>-3.056319E-2</v>
      </c>
      <c r="P3244">
        <v>0.9996796</v>
      </c>
      <c r="Q3244">
        <v>2.5176270000000001E-2</v>
      </c>
      <c r="R3244">
        <v>-2.6338640000000001E-3</v>
      </c>
      <c r="S3244">
        <v>3.005096</v>
      </c>
      <c r="T3244">
        <v>-0.14381649999999899</v>
      </c>
      <c r="U3244">
        <v>-0.47555540000000002</v>
      </c>
      <c r="V3244">
        <v>-2.78959999999999E-2</v>
      </c>
      <c r="W3244">
        <v>3.9577460000000002E-2</v>
      </c>
      <c r="X3244">
        <v>0.99882700000000002</v>
      </c>
      <c r="Y3244">
        <v>0.1259345</v>
      </c>
      <c r="Z3244">
        <v>-1.5412150000000001E-3</v>
      </c>
      <c r="AA3244">
        <v>0.99203739999999996</v>
      </c>
      <c r="AB3244">
        <v>32</v>
      </c>
      <c r="AC3244">
        <v>22.7514</v>
      </c>
      <c r="AD3244">
        <v>-1.10413852026639</v>
      </c>
      <c r="AE3244">
        <v>-3.6406999999999998</v>
      </c>
      <c r="AF3244">
        <v>2.9368272778897402</v>
      </c>
      <c r="AG3244">
        <v>-1.10413852026639</v>
      </c>
      <c r="AH3244">
        <v>22.799694590626199</v>
      </c>
      <c r="AI3244">
        <v>92.749857477335297</v>
      </c>
      <c r="AJ3244">
        <v>82.660150311638802</v>
      </c>
      <c r="AK3244">
        <v>23.014563861996599</v>
      </c>
    </row>
    <row r="3245" spans="1:37" x14ac:dyDescent="0.2">
      <c r="A3245" t="str">
        <f>"20200111155911416"</f>
        <v>20200111155911416</v>
      </c>
      <c r="B3245" t="str">
        <f>"1578729551404881"</f>
        <v>1578729551404881</v>
      </c>
      <c r="C3245" t="s">
        <v>37</v>
      </c>
      <c r="D3245">
        <v>5.7463959999999998</v>
      </c>
      <c r="E3245">
        <v>0.55993359999999903</v>
      </c>
      <c r="F3245" t="s">
        <v>50</v>
      </c>
      <c r="G3245">
        <v>-253.99539999999999</v>
      </c>
      <c r="H3245" s="1">
        <v>7.0422939999999999E-7</v>
      </c>
      <c r="I3245">
        <v>211.98849999999999</v>
      </c>
      <c r="J3245">
        <v>-276.0179</v>
      </c>
      <c r="K3245">
        <v>1.104241</v>
      </c>
      <c r="L3245">
        <v>215.57820000000001</v>
      </c>
      <c r="M3245">
        <v>0.99942770000000003</v>
      </c>
      <c r="N3245">
        <v>0</v>
      </c>
      <c r="O3245">
        <v>-3.0619520000000001E-2</v>
      </c>
      <c r="P3245">
        <v>0.9996488</v>
      </c>
      <c r="Q3245">
        <v>2.572903E-2</v>
      </c>
      <c r="R3245">
        <v>-6.3918559999999996E-3</v>
      </c>
      <c r="S3245">
        <v>3.0034480000000001</v>
      </c>
      <c r="T3245">
        <v>-0.1485358</v>
      </c>
      <c r="U3245">
        <v>-0.48417659999999901</v>
      </c>
      <c r="V3245">
        <v>-2.4205089999999999E-2</v>
      </c>
      <c r="W3245">
        <v>4.012015E-2</v>
      </c>
      <c r="X3245">
        <v>0.9989017</v>
      </c>
      <c r="Y3245">
        <v>0.12872839999999999</v>
      </c>
      <c r="Z3245">
        <v>-1.658091E-3</v>
      </c>
      <c r="AA3245">
        <v>0.99167850000000002</v>
      </c>
      <c r="AB3245">
        <v>32</v>
      </c>
      <c r="AC3245">
        <v>22.022500000000001</v>
      </c>
      <c r="AD3245">
        <v>-1.1042402957705999</v>
      </c>
      <c r="AE3245">
        <v>-3.5897000000000201</v>
      </c>
      <c r="AF3245">
        <v>2.9065100812689799</v>
      </c>
      <c r="AG3245">
        <v>-1.1042402957705999</v>
      </c>
      <c r="AH3245">
        <v>22.068051294728502</v>
      </c>
      <c r="AI3245">
        <v>92.840088389749198</v>
      </c>
      <c r="AJ3245">
        <v>82.4969476940433</v>
      </c>
      <c r="AK3245">
        <v>22.286005371759401</v>
      </c>
    </row>
    <row r="3246" spans="1:37" x14ac:dyDescent="0.2">
      <c r="A3246" t="str">
        <f>"20200111155911439"</f>
        <v>20200111155911439</v>
      </c>
      <c r="B3246" t="str">
        <f>"1578729551435137"</f>
        <v>1578729551435137</v>
      </c>
      <c r="C3246" t="s">
        <v>37</v>
      </c>
      <c r="D3246">
        <v>5.7488700000000001</v>
      </c>
      <c r="E3246">
        <v>0.55943940000000003</v>
      </c>
      <c r="F3246" t="s">
        <v>50</v>
      </c>
      <c r="G3246">
        <v>-254.2234</v>
      </c>
      <c r="H3246" s="1">
        <v>8.2480059999999998E-7</v>
      </c>
      <c r="I3246">
        <v>212.00630000000001</v>
      </c>
      <c r="J3246">
        <v>-275.69990000000001</v>
      </c>
      <c r="K3246">
        <v>1.1043540000000001</v>
      </c>
      <c r="L3246">
        <v>215.5685</v>
      </c>
      <c r="M3246">
        <v>0.99942980000000003</v>
      </c>
      <c r="N3246">
        <v>0</v>
      </c>
      <c r="O3246">
        <v>-3.054714E-2</v>
      </c>
      <c r="P3246">
        <v>0.99961180000000005</v>
      </c>
      <c r="Q3246">
        <v>2.639785E-2</v>
      </c>
      <c r="R3246">
        <v>-8.9155090000000003E-3</v>
      </c>
      <c r="S3246">
        <v>3.0018310000000001</v>
      </c>
      <c r="T3246">
        <v>-0.15209110000000001</v>
      </c>
      <c r="U3246">
        <v>-0.49197390000000002</v>
      </c>
      <c r="V3246">
        <v>-2.1619010000000001E-2</v>
      </c>
      <c r="W3246">
        <v>4.0778599999999998E-2</v>
      </c>
      <c r="X3246">
        <v>0.99893430000000005</v>
      </c>
      <c r="Y3246">
        <v>0.1313841</v>
      </c>
      <c r="Z3246">
        <v>-1.7687200000000001E-3</v>
      </c>
      <c r="AA3246">
        <v>0.99132999999999905</v>
      </c>
      <c r="AB3246">
        <v>32</v>
      </c>
      <c r="AC3246">
        <v>21.476500000000001</v>
      </c>
      <c r="AD3246">
        <v>-1.10435317519939</v>
      </c>
      <c r="AE3246">
        <v>-3.56219999999999</v>
      </c>
      <c r="AF3246">
        <v>2.8969687527880099</v>
      </c>
      <c r="AG3246">
        <v>-1.10435317519939</v>
      </c>
      <c r="AH3246">
        <v>21.519922966408799</v>
      </c>
      <c r="AI3246">
        <v>92.911494394202506</v>
      </c>
      <c r="AJ3246">
        <v>82.3330491749321</v>
      </c>
      <c r="AK3246">
        <v>21.742104506472501</v>
      </c>
    </row>
    <row r="3247" spans="1:37" x14ac:dyDescent="0.2">
      <c r="A3247" t="str">
        <f>"20200111155911461"</f>
        <v>20200111155911461</v>
      </c>
      <c r="B3247" t="str">
        <f>"1578729551455633"</f>
        <v>1578729551455633</v>
      </c>
      <c r="C3247" t="s">
        <v>37</v>
      </c>
      <c r="D3247">
        <v>8.4580500000000001</v>
      </c>
      <c r="E3247">
        <v>0.55897220000000003</v>
      </c>
      <c r="F3247" t="s">
        <v>50</v>
      </c>
      <c r="G3247">
        <v>-254.32220000000001</v>
      </c>
      <c r="H3247" s="1">
        <v>8.758959E-7</v>
      </c>
      <c r="I3247">
        <v>212.03970000000001</v>
      </c>
      <c r="J3247">
        <v>-275.38490000000002</v>
      </c>
      <c r="K3247">
        <v>1.104468</v>
      </c>
      <c r="L3247">
        <v>215.559</v>
      </c>
      <c r="M3247">
        <v>0.99943609999999905</v>
      </c>
      <c r="N3247">
        <v>0</v>
      </c>
      <c r="O3247">
        <v>-3.0342000000000001E-2</v>
      </c>
      <c r="P3247">
        <v>0.9995849</v>
      </c>
      <c r="Q3247">
        <v>2.678709E-2</v>
      </c>
      <c r="R3247">
        <v>-1.060083E-2</v>
      </c>
      <c r="S3247">
        <v>3.0008539999999999</v>
      </c>
      <c r="T3247">
        <v>-0.1550213</v>
      </c>
      <c r="U3247">
        <v>-0.49534609999999901</v>
      </c>
      <c r="V3247">
        <v>-1.9739550000000002E-2</v>
      </c>
      <c r="W3247">
        <v>4.1159279999999999E-2</v>
      </c>
      <c r="X3247">
        <v>0.998957599999999</v>
      </c>
      <c r="Y3247">
        <v>0.13271669999999999</v>
      </c>
      <c r="Z3247">
        <v>-1.8478429999999901E-3</v>
      </c>
      <c r="AA3247">
        <v>0.99115229999999999</v>
      </c>
      <c r="AB3247">
        <v>32</v>
      </c>
      <c r="AC3247">
        <v>21.0627</v>
      </c>
      <c r="AD3247">
        <v>-1.1044671241041</v>
      </c>
      <c r="AE3247">
        <v>-3.5193000000000101</v>
      </c>
      <c r="AF3247">
        <v>2.8708493057298701</v>
      </c>
      <c r="AG3247">
        <v>-1.1044671241041</v>
      </c>
      <c r="AH3247">
        <v>21.103343032782501</v>
      </c>
      <c r="AI3247">
        <v>92.968612118616704</v>
      </c>
      <c r="AJ3247">
        <v>82.253171153226603</v>
      </c>
      <c r="AK3247">
        <v>21.326338422798401</v>
      </c>
    </row>
    <row r="3248" spans="1:37" x14ac:dyDescent="0.2">
      <c r="A3248" t="str">
        <f>"20200111155911484"</f>
        <v>20200111155911484</v>
      </c>
      <c r="B3248" t="str">
        <f>"1578729551475152"</f>
        <v>1578729551475152</v>
      </c>
      <c r="C3248" t="s">
        <v>37</v>
      </c>
      <c r="D3248">
        <v>6.0812309999999998</v>
      </c>
      <c r="E3248">
        <v>0.55856110000000003</v>
      </c>
      <c r="F3248" t="s">
        <v>50</v>
      </c>
      <c r="G3248">
        <v>-254.0343</v>
      </c>
      <c r="H3248" s="1">
        <v>7.2342519999999997E-7</v>
      </c>
      <c r="I3248">
        <v>212.02279999999999</v>
      </c>
      <c r="J3248">
        <v>-275.05959999999999</v>
      </c>
      <c r="K3248">
        <v>1.1045959999999999</v>
      </c>
      <c r="L3248">
        <v>215.54939999999999</v>
      </c>
      <c r="M3248">
        <v>0.99944659999999996</v>
      </c>
      <c r="N3248">
        <v>0</v>
      </c>
      <c r="O3248">
        <v>-2.999715E-2</v>
      </c>
      <c r="P3248">
        <v>0.99957689999999999</v>
      </c>
      <c r="Q3248">
        <v>2.6730050000000002E-2</v>
      </c>
      <c r="R3248">
        <v>-1.147548E-2</v>
      </c>
      <c r="S3248">
        <v>3.0001530000000001</v>
      </c>
      <c r="T3248">
        <v>-0.15519820000000001</v>
      </c>
      <c r="U3248">
        <v>-0.49690249999999903</v>
      </c>
      <c r="V3248">
        <v>-1.853254E-2</v>
      </c>
      <c r="W3248">
        <v>4.1093999999999999E-2</v>
      </c>
      <c r="X3248">
        <v>0.99898339999999997</v>
      </c>
      <c r="Y3248">
        <v>0.1335944</v>
      </c>
      <c r="Z3248">
        <v>-1.890517E-3</v>
      </c>
      <c r="AA3248">
        <v>0.99103430000000003</v>
      </c>
      <c r="AB3248">
        <v>31</v>
      </c>
      <c r="AC3248">
        <v>21.025299999999898</v>
      </c>
      <c r="AD3248">
        <v>-1.1045952765747999</v>
      </c>
      <c r="AE3248">
        <v>-3.5266000000000002</v>
      </c>
      <c r="AF3248">
        <v>2.88649941969893</v>
      </c>
      <c r="AG3248">
        <v>-1.1045952765747999</v>
      </c>
      <c r="AH3248">
        <v>21.0650848270142</v>
      </c>
      <c r="AI3248">
        <v>92.973944523625093</v>
      </c>
      <c r="AJ3248">
        <v>82.197485733424003</v>
      </c>
      <c r="AK3248">
        <v>21.290603758330899</v>
      </c>
    </row>
    <row r="3249" spans="1:37" x14ac:dyDescent="0.2">
      <c r="A3249" t="str">
        <f>"20200111155911507"</f>
        <v>20200111155911507</v>
      </c>
      <c r="B3249" t="str">
        <f>"1578729551495649"</f>
        <v>1578729551495649</v>
      </c>
      <c r="C3249" t="s">
        <v>37</v>
      </c>
      <c r="D3249">
        <v>5.5969559999999996</v>
      </c>
      <c r="E3249">
        <v>0.52770030000000001</v>
      </c>
      <c r="F3249" t="s">
        <v>50</v>
      </c>
      <c r="G3249">
        <v>-253.7133</v>
      </c>
      <c r="H3249" s="1">
        <v>5.5276959999999997E-7</v>
      </c>
      <c r="I3249">
        <v>212.01900000000001</v>
      </c>
      <c r="J3249">
        <v>-274.75080000000003</v>
      </c>
      <c r="K3249">
        <v>1.104706</v>
      </c>
      <c r="L3249">
        <v>215.54060000000001</v>
      </c>
      <c r="M3249">
        <v>0.99946000000000002</v>
      </c>
      <c r="N3249">
        <v>0</v>
      </c>
      <c r="O3249">
        <v>-2.9543449999999999E-2</v>
      </c>
      <c r="P3249">
        <v>0.99956319999999999</v>
      </c>
      <c r="Q3249">
        <v>2.740867E-2</v>
      </c>
      <c r="R3249">
        <v>-1.1045269999999999E-2</v>
      </c>
      <c r="S3249">
        <v>2.999695</v>
      </c>
      <c r="T3249">
        <v>-0.15522330000000001</v>
      </c>
      <c r="U3249">
        <v>-0.49610900000000002</v>
      </c>
      <c r="V3249">
        <v>-1.852059E-2</v>
      </c>
      <c r="W3249">
        <v>4.176386E-2</v>
      </c>
      <c r="X3249">
        <v>0.99895579999999995</v>
      </c>
      <c r="Y3249">
        <v>0.1338126</v>
      </c>
      <c r="Z3249">
        <v>-1.9200179999999999E-3</v>
      </c>
      <c r="AA3249">
        <v>0.99100480000000002</v>
      </c>
      <c r="AB3249">
        <v>31</v>
      </c>
      <c r="AC3249">
        <v>21.037500000000001</v>
      </c>
      <c r="AD3249">
        <v>-1.1047054472303901</v>
      </c>
      <c r="AE3249">
        <v>-3.5215999999999998</v>
      </c>
      <c r="AF3249">
        <v>2.8907241562171802</v>
      </c>
      <c r="AG3249">
        <v>-1.1047054472303901</v>
      </c>
      <c r="AH3249">
        <v>21.0758350612474</v>
      </c>
      <c r="AI3249">
        <v>92.972674114372893</v>
      </c>
      <c r="AJ3249">
        <v>82.190143206336003</v>
      </c>
      <c r="AK3249">
        <v>21.3018187909245</v>
      </c>
    </row>
    <row r="3250" spans="1:37" x14ac:dyDescent="0.2">
      <c r="A3250" t="str">
        <f>"20200111155911528"</f>
        <v>20200111155911528</v>
      </c>
      <c r="B3250" t="str">
        <f>"1578729551515169"</f>
        <v>1578729551515169</v>
      </c>
      <c r="C3250" t="s">
        <v>37</v>
      </c>
      <c r="D3250">
        <v>5.553007</v>
      </c>
      <c r="E3250">
        <v>0.52491279999999996</v>
      </c>
      <c r="F3250" t="s">
        <v>50</v>
      </c>
      <c r="G3250">
        <v>-216.26130000000001</v>
      </c>
      <c r="H3250" s="1">
        <v>1.9686659999999998E-6</v>
      </c>
      <c r="I3250">
        <v>210.64699999999999</v>
      </c>
      <c r="J3250">
        <v>-274.44060000000002</v>
      </c>
      <c r="K3250">
        <v>1.1048069999999901</v>
      </c>
      <c r="L3250">
        <v>215.53200000000001</v>
      </c>
      <c r="M3250">
        <v>0.99947659999999905</v>
      </c>
      <c r="N3250">
        <v>0</v>
      </c>
      <c r="O3250">
        <v>-2.898477E-2</v>
      </c>
      <c r="P3250">
        <v>0.99955869999999902</v>
      </c>
      <c r="Q3250">
        <v>2.800074E-2</v>
      </c>
      <c r="R3250">
        <v>-9.9178249999999999E-3</v>
      </c>
      <c r="S3250">
        <v>3.0001220000000002</v>
      </c>
      <c r="T3250">
        <v>-5.6663989999999997E-2</v>
      </c>
      <c r="U3250">
        <v>-0.25100709999999998</v>
      </c>
      <c r="V3250">
        <v>-1.909887E-2</v>
      </c>
      <c r="W3250">
        <v>4.2347460000000003E-2</v>
      </c>
      <c r="X3250">
        <v>0.99892039999999904</v>
      </c>
      <c r="Y3250">
        <v>5.444794E-2</v>
      </c>
      <c r="Z3250" s="1">
        <v>3.3029359999999902E-5</v>
      </c>
      <c r="AA3250">
        <v>0.99851659999999998</v>
      </c>
      <c r="AB3250">
        <v>31</v>
      </c>
      <c r="AC3250">
        <v>58.179299999999998</v>
      </c>
      <c r="AD3250">
        <v>-1.1048050313339901</v>
      </c>
      <c r="AE3250">
        <v>-4.88499999999999</v>
      </c>
      <c r="AF3250">
        <v>3.1953152811380598</v>
      </c>
      <c r="AG3250">
        <v>-1.1048050313339901</v>
      </c>
      <c r="AH3250">
        <v>58.275588851804201</v>
      </c>
      <c r="AI3250">
        <v>91.084470830943104</v>
      </c>
      <c r="AJ3250">
        <v>86.861551432870399</v>
      </c>
      <c r="AK3250">
        <v>58.373580410384797</v>
      </c>
    </row>
    <row r="3251" spans="1:37" x14ac:dyDescent="0.2">
      <c r="A3251" t="str">
        <f>"20200111155911551"</f>
        <v>20200111155911551</v>
      </c>
      <c r="B3251" t="str">
        <f>"1578729551545426"</f>
        <v>1578729551545426</v>
      </c>
      <c r="C3251" t="s">
        <v>37</v>
      </c>
      <c r="D3251">
        <v>5.5539639999999997</v>
      </c>
      <c r="E3251">
        <v>0.52301699999999995</v>
      </c>
      <c r="F3251" t="s">
        <v>50</v>
      </c>
      <c r="G3251">
        <v>-235.77799999999999</v>
      </c>
      <c r="H3251" s="1">
        <v>1.624598E-6</v>
      </c>
      <c r="I3251">
        <v>212.63480000000001</v>
      </c>
      <c r="J3251">
        <v>-274.12110000000001</v>
      </c>
      <c r="K3251">
        <v>1.104884</v>
      </c>
      <c r="L3251">
        <v>215.52350000000001</v>
      </c>
      <c r="M3251">
        <v>0.99949529999999998</v>
      </c>
      <c r="N3251">
        <v>0</v>
      </c>
      <c r="O3251">
        <v>-2.833039E-2</v>
      </c>
      <c r="P3251">
        <v>0.99958369999999996</v>
      </c>
      <c r="Q3251">
        <v>2.7713939999999999E-2</v>
      </c>
      <c r="R3251">
        <v>-8.0154200000000005E-3</v>
      </c>
      <c r="S3251">
        <v>3.001465</v>
      </c>
      <c r="T3251">
        <v>-8.5768700000000003E-2</v>
      </c>
      <c r="U3251">
        <v>-0.22491459999999999</v>
      </c>
      <c r="V3251">
        <v>-2.0354219999999999E-2</v>
      </c>
      <c r="W3251">
        <v>4.205209E-2</v>
      </c>
      <c r="X3251">
        <v>0.99890800000000002</v>
      </c>
      <c r="Y3251">
        <v>4.643398E-2</v>
      </c>
      <c r="Z3251">
        <v>1.4567280000000001E-4</v>
      </c>
      <c r="AA3251">
        <v>0.99892130000000001</v>
      </c>
      <c r="AB3251">
        <v>31</v>
      </c>
      <c r="AC3251">
        <v>38.3431</v>
      </c>
      <c r="AD3251">
        <v>-1.1048823754019901</v>
      </c>
      <c r="AE3251">
        <v>-2.8887</v>
      </c>
      <c r="AF3251">
        <v>1.7996671981474901</v>
      </c>
      <c r="AG3251">
        <v>-1.1048823754019901</v>
      </c>
      <c r="AH3251">
        <v>38.377865933672702</v>
      </c>
      <c r="AI3251">
        <v>91.647256373193798</v>
      </c>
      <c r="AJ3251">
        <v>87.315175026123299</v>
      </c>
      <c r="AK3251">
        <v>38.435922789891798</v>
      </c>
    </row>
    <row r="3252" spans="1:37" x14ac:dyDescent="0.2">
      <c r="A3252" t="str">
        <f>"20200111155911573"</f>
        <v>20200111155911573</v>
      </c>
      <c r="B3252" t="str">
        <f>"1578729551564947"</f>
        <v>1578729551564947</v>
      </c>
      <c r="C3252" t="s">
        <v>37</v>
      </c>
      <c r="D3252">
        <v>5.4584019999999898</v>
      </c>
      <c r="E3252">
        <v>0.52247109999999997</v>
      </c>
      <c r="F3252" t="s">
        <v>50</v>
      </c>
      <c r="G3252">
        <v>-249.85429999999999</v>
      </c>
      <c r="H3252" s="1">
        <v>3.7393139999999999E-6</v>
      </c>
      <c r="I3252">
        <v>213.8811</v>
      </c>
      <c r="J3252">
        <v>-273.81490000000002</v>
      </c>
      <c r="K3252">
        <v>1.1049290000000001</v>
      </c>
      <c r="L3252">
        <v>215.5155</v>
      </c>
      <c r="M3252">
        <v>0.99951429999999997</v>
      </c>
      <c r="N3252">
        <v>0</v>
      </c>
      <c r="O3252">
        <v>-2.765082E-2</v>
      </c>
      <c r="P3252">
        <v>0.99963500000000005</v>
      </c>
      <c r="Q3252">
        <v>2.647946E-2</v>
      </c>
      <c r="R3252">
        <v>-5.3607910000000002E-3</v>
      </c>
      <c r="S3252">
        <v>3.0034179999999999</v>
      </c>
      <c r="T3252">
        <v>-0.13674700000000001</v>
      </c>
      <c r="U3252">
        <v>-0.20326229999999901</v>
      </c>
      <c r="V3252">
        <v>-2.2333470000000001E-2</v>
      </c>
      <c r="W3252">
        <v>4.0809560000000002E-2</v>
      </c>
      <c r="X3252">
        <v>0.99891730000000001</v>
      </c>
      <c r="Y3252">
        <v>3.9893539999999998E-2</v>
      </c>
      <c r="Z3252">
        <v>3.4990349999999999E-4</v>
      </c>
      <c r="AA3252">
        <v>0.99920390000000003</v>
      </c>
      <c r="AB3252">
        <v>31</v>
      </c>
      <c r="AC3252">
        <v>23.960599999999999</v>
      </c>
      <c r="AD3252">
        <v>-1.1049252606860001</v>
      </c>
      <c r="AE3252">
        <v>-1.6343999999999901</v>
      </c>
      <c r="AF3252">
        <v>0.96912493655411602</v>
      </c>
      <c r="AG3252">
        <v>-1.1049252606860001</v>
      </c>
      <c r="AH3252">
        <v>23.945947957569398</v>
      </c>
      <c r="AI3252">
        <v>92.639737145689693</v>
      </c>
      <c r="AJ3252">
        <v>87.682427013816394</v>
      </c>
      <c r="AK3252">
        <v>23.991008452355199</v>
      </c>
    </row>
    <row r="3253" spans="1:37" x14ac:dyDescent="0.2">
      <c r="A3253" t="str">
        <f>"20200111155911595"</f>
        <v>20200111155911595</v>
      </c>
      <c r="B3253" t="str">
        <f>"1578729551585442"</f>
        <v>1578729551585442</v>
      </c>
      <c r="C3253" t="s">
        <v>37</v>
      </c>
      <c r="D3253">
        <v>5.4980919999999998</v>
      </c>
      <c r="E3253">
        <v>0.52240140000000002</v>
      </c>
      <c r="F3253" t="s">
        <v>50</v>
      </c>
      <c r="G3253">
        <v>-252.8381</v>
      </c>
      <c r="H3253" s="1">
        <v>-7.5122409999999905E-9</v>
      </c>
      <c r="I3253">
        <v>214.1825</v>
      </c>
      <c r="J3253">
        <v>-273.51280000000003</v>
      </c>
      <c r="K3253">
        <v>1.104959</v>
      </c>
      <c r="L3253">
        <v>215.50790000000001</v>
      </c>
      <c r="M3253">
        <v>0.99953349999999996</v>
      </c>
      <c r="N3253">
        <v>0</v>
      </c>
      <c r="O3253">
        <v>-2.6951280000000001E-2</v>
      </c>
      <c r="P3253">
        <v>0.9996853</v>
      </c>
      <c r="Q3253">
        <v>2.4985650000000002E-2</v>
      </c>
      <c r="R3253">
        <v>-2.2164089999999999E-3</v>
      </c>
      <c r="S3253">
        <v>3.0042419999999899</v>
      </c>
      <c r="T3253">
        <v>-0.15824549999999901</v>
      </c>
      <c r="U3253">
        <v>-0.19090270000000001</v>
      </c>
      <c r="V3253">
        <v>-2.478033E-2</v>
      </c>
      <c r="W3253">
        <v>3.9307309999999998E-2</v>
      </c>
      <c r="X3253">
        <v>0.99891980000000002</v>
      </c>
      <c r="Y3253">
        <v>3.6480489999999997E-2</v>
      </c>
      <c r="Z3253">
        <v>4.577812E-4</v>
      </c>
      <c r="AA3253">
        <v>0.99933430000000001</v>
      </c>
      <c r="AB3253">
        <v>31</v>
      </c>
      <c r="AC3253">
        <v>20.674700000000001</v>
      </c>
      <c r="AD3253">
        <v>-1.10495900751224</v>
      </c>
      <c r="AE3253">
        <v>-1.3253999999999999</v>
      </c>
      <c r="AF3253">
        <v>0.76547377774666503</v>
      </c>
      <c r="AG3253">
        <v>-1.10495900751224</v>
      </c>
      <c r="AH3253">
        <v>20.644187231159901</v>
      </c>
      <c r="AI3253">
        <v>93.061674524686694</v>
      </c>
      <c r="AJ3253">
        <v>87.8764805397971</v>
      </c>
      <c r="AK3253">
        <v>20.687903493295</v>
      </c>
    </row>
    <row r="3254" spans="1:37" x14ac:dyDescent="0.2">
      <c r="A3254" t="str">
        <f>"20200111155911617"</f>
        <v>20200111155911617</v>
      </c>
      <c r="B3254" t="str">
        <f>"1578729551605225"</f>
        <v>1578729551605225</v>
      </c>
      <c r="C3254" t="s">
        <v>37</v>
      </c>
      <c r="D3254">
        <v>5.4851939999999999</v>
      </c>
      <c r="E3254">
        <v>0.52249809999999997</v>
      </c>
      <c r="F3254" t="s">
        <v>50</v>
      </c>
      <c r="G3254">
        <v>-252.63390000000001</v>
      </c>
      <c r="H3254" s="1">
        <v>-1.18992E-7</v>
      </c>
      <c r="I3254">
        <v>214.24700000000001</v>
      </c>
      <c r="J3254">
        <v>-273.1986</v>
      </c>
      <c r="K3254">
        <v>1.104975</v>
      </c>
      <c r="L3254">
        <v>215.50020000000001</v>
      </c>
      <c r="M3254">
        <v>0.99955339999999904</v>
      </c>
      <c r="N3254">
        <v>0</v>
      </c>
      <c r="O3254">
        <v>-2.6211749999999999E-2</v>
      </c>
      <c r="P3254">
        <v>0.99969359999999996</v>
      </c>
      <c r="Q3254">
        <v>2.4745759999999999E-2</v>
      </c>
      <c r="R3254">
        <v>7.2778039999999995E-4</v>
      </c>
      <c r="S3254">
        <v>3.0045169999999999</v>
      </c>
      <c r="T3254">
        <v>-0.1590065</v>
      </c>
      <c r="U3254">
        <v>-0.181442299999999</v>
      </c>
      <c r="V3254">
        <v>-2.6985889999999998E-2</v>
      </c>
      <c r="W3254">
        <v>3.905906E-2</v>
      </c>
      <c r="X3254">
        <v>0.99887250000000005</v>
      </c>
      <c r="Y3254">
        <v>3.4081550000000002E-2</v>
      </c>
      <c r="Z3254">
        <v>4.8432129999999898E-4</v>
      </c>
      <c r="AA3254">
        <v>0.9994189</v>
      </c>
      <c r="AB3254">
        <v>31</v>
      </c>
      <c r="AC3254">
        <v>20.564699999999899</v>
      </c>
      <c r="AD3254">
        <v>-1.1049751189920001</v>
      </c>
      <c r="AE3254">
        <v>-1.2531999999999901</v>
      </c>
      <c r="AF3254">
        <v>0.71163010020793604</v>
      </c>
      <c r="AG3254">
        <v>-1.1049751189920001</v>
      </c>
      <c r="AH3254">
        <v>20.5314279742677</v>
      </c>
      <c r="AI3254">
        <v>93.078768144388604</v>
      </c>
      <c r="AJ3254">
        <v>88.0148928077638</v>
      </c>
      <c r="AK3254">
        <v>20.573451875551999</v>
      </c>
    </row>
    <row r="3255" spans="1:37" x14ac:dyDescent="0.2">
      <c r="A3255" t="str">
        <f>"20200111155911640"</f>
        <v>20200111155911640</v>
      </c>
      <c r="B3255" t="str">
        <f>"1578729551635481"</f>
        <v>1578729551635481</v>
      </c>
      <c r="C3255" t="s">
        <v>37</v>
      </c>
      <c r="D3255">
        <v>5.4908169999999998</v>
      </c>
      <c r="E3255">
        <v>0.52273119999999995</v>
      </c>
      <c r="F3255" t="s">
        <v>50</v>
      </c>
      <c r="G3255">
        <v>-253.4692</v>
      </c>
      <c r="H3255" s="1">
        <v>3.205236E-7</v>
      </c>
      <c r="I3255">
        <v>214.36019999999999</v>
      </c>
      <c r="J3255">
        <v>-272.88260000000002</v>
      </c>
      <c r="K3255">
        <v>1.1049799999999901</v>
      </c>
      <c r="L3255">
        <v>215.49270000000001</v>
      </c>
      <c r="M3255">
        <v>0.99957249999999997</v>
      </c>
      <c r="N3255">
        <v>0</v>
      </c>
      <c r="O3255">
        <v>-2.5468060000000001E-2</v>
      </c>
      <c r="P3255">
        <v>0.99969569999999996</v>
      </c>
      <c r="Q3255">
        <v>2.4505599999999999E-2</v>
      </c>
      <c r="R3255">
        <v>2.8385870000000001E-3</v>
      </c>
      <c r="S3255">
        <v>3.0052189999999999</v>
      </c>
      <c r="T3255">
        <v>-0.1683115</v>
      </c>
      <c r="U3255">
        <v>-0.17364499999999999</v>
      </c>
      <c r="V3255">
        <v>-2.83536E-2</v>
      </c>
      <c r="W3255">
        <v>3.881225E-2</v>
      </c>
      <c r="X3255">
        <v>0.99884409999999901</v>
      </c>
      <c r="Y3255">
        <v>3.2227400000000003E-2</v>
      </c>
      <c r="Z3255">
        <v>5.2282819999999999E-4</v>
      </c>
      <c r="AA3255">
        <v>0.99948040000000005</v>
      </c>
      <c r="AB3255">
        <v>31</v>
      </c>
      <c r="AC3255">
        <v>19.413399999999999</v>
      </c>
      <c r="AD3255">
        <v>-1.10497967947639</v>
      </c>
      <c r="AE3255">
        <v>-1.13250000000002</v>
      </c>
      <c r="AF3255">
        <v>0.63560776740567504</v>
      </c>
      <c r="AG3255">
        <v>-1.10497967947639</v>
      </c>
      <c r="AH3255">
        <v>19.373396044063899</v>
      </c>
      <c r="AI3255">
        <v>93.262629755106403</v>
      </c>
      <c r="AJ3255">
        <v>88.120898142881899</v>
      </c>
      <c r="AK3255">
        <v>19.4152891198198</v>
      </c>
    </row>
    <row r="3256" spans="1:37" x14ac:dyDescent="0.2">
      <c r="A3256" t="str">
        <f>"20200111155911661"</f>
        <v>20200111155911661</v>
      </c>
      <c r="B3256" t="str">
        <f>"1578729551655000"</f>
        <v>1578729551655000</v>
      </c>
      <c r="C3256" t="s">
        <v>37</v>
      </c>
      <c r="D3256">
        <v>5.5067760000000003</v>
      </c>
      <c r="E3256">
        <v>0.52307349999999997</v>
      </c>
      <c r="F3256" t="s">
        <v>50</v>
      </c>
      <c r="G3256">
        <v>-254.38560000000001</v>
      </c>
      <c r="H3256" s="1">
        <v>8.0413440000000001E-7</v>
      </c>
      <c r="I3256">
        <v>214.4537</v>
      </c>
      <c r="J3256">
        <v>-272.58170000000001</v>
      </c>
      <c r="K3256">
        <v>1.104975</v>
      </c>
      <c r="L3256">
        <v>215.48580000000001</v>
      </c>
      <c r="M3256">
        <v>0.99959019999999998</v>
      </c>
      <c r="N3256">
        <v>0</v>
      </c>
      <c r="O3256">
        <v>-2.4766050000000001E-2</v>
      </c>
      <c r="P3256">
        <v>0.99968919999999994</v>
      </c>
      <c r="Q3256">
        <v>2.4599449999999998E-2</v>
      </c>
      <c r="R3256">
        <v>4.05167299999999E-3</v>
      </c>
      <c r="S3256">
        <v>3.0057680000000002</v>
      </c>
      <c r="T3256">
        <v>-0.17955950000000001</v>
      </c>
      <c r="U3256">
        <v>-0.1688385</v>
      </c>
      <c r="V3256">
        <v>-2.886503E-2</v>
      </c>
      <c r="W3256">
        <v>3.8901829999999998E-2</v>
      </c>
      <c r="X3256">
        <v>0.99882599999999999</v>
      </c>
      <c r="Y3256">
        <v>3.1324629999999999E-2</v>
      </c>
      <c r="Z3256">
        <v>5.4271309999999896E-4</v>
      </c>
      <c r="AA3256">
        <v>0.99950910000000004</v>
      </c>
      <c r="AB3256">
        <v>31</v>
      </c>
      <c r="AC3256">
        <v>18.196100000000001</v>
      </c>
      <c r="AD3256">
        <v>-1.1049741958656001</v>
      </c>
      <c r="AE3256">
        <v>-1.03210000000001</v>
      </c>
      <c r="AF3256">
        <v>0.57896324338681304</v>
      </c>
      <c r="AG3256">
        <v>-1.1049741958656001</v>
      </c>
      <c r="AH3256">
        <v>18.149367748631398</v>
      </c>
      <c r="AI3256">
        <v>93.482228149335299</v>
      </c>
      <c r="AJ3256">
        <v>88.172889236617806</v>
      </c>
      <c r="AK3256">
        <v>18.192188325921201</v>
      </c>
    </row>
    <row r="3257" spans="1:37" x14ac:dyDescent="0.2">
      <c r="A3257" t="str">
        <f>"20200111155911683"</f>
        <v>20200111155911683</v>
      </c>
      <c r="B3257" t="str">
        <f>"1578729551675496"</f>
        <v>1578729551675496</v>
      </c>
      <c r="C3257" t="s">
        <v>37</v>
      </c>
      <c r="D3257">
        <v>5.4647129999999997</v>
      </c>
      <c r="E3257">
        <v>0.52331660000000002</v>
      </c>
      <c r="F3257" t="s">
        <v>50</v>
      </c>
      <c r="G3257">
        <v>-254.57299999999901</v>
      </c>
      <c r="H3257" s="1">
        <v>9.0269579999999996E-7</v>
      </c>
      <c r="I3257">
        <v>214.47989999999999</v>
      </c>
      <c r="J3257">
        <v>-272.28570000000002</v>
      </c>
      <c r="K3257">
        <v>1.1049690000000001</v>
      </c>
      <c r="L3257">
        <v>215.47919999999999</v>
      </c>
      <c r="M3257">
        <v>0.99960700000000002</v>
      </c>
      <c r="N3257">
        <v>0</v>
      </c>
      <c r="O3257">
        <v>-2.4082320000000001E-2</v>
      </c>
      <c r="P3257">
        <v>0.99969159999999901</v>
      </c>
      <c r="Q3257">
        <v>2.4178410000000001E-2</v>
      </c>
      <c r="R3257">
        <v>5.6730289999999996E-3</v>
      </c>
      <c r="S3257">
        <v>3.0061650000000002</v>
      </c>
      <c r="T3257">
        <v>-0.1844519</v>
      </c>
      <c r="U3257">
        <v>-0.16792299999999999</v>
      </c>
      <c r="V3257">
        <v>-2.980234E-2</v>
      </c>
      <c r="W3257">
        <v>3.8475380000000003E-2</v>
      </c>
      <c r="X3257">
        <v>0.99881509999999996</v>
      </c>
      <c r="Y3257">
        <v>3.169483E-2</v>
      </c>
      <c r="Z3257">
        <v>5.042073E-4</v>
      </c>
      <c r="AA3257">
        <v>0.99949750000000004</v>
      </c>
      <c r="AB3257">
        <v>31</v>
      </c>
      <c r="AC3257">
        <v>17.712700000000002</v>
      </c>
      <c r="AD3257">
        <v>-1.1049680973042</v>
      </c>
      <c r="AE3257">
        <v>-0.99930000000000496</v>
      </c>
      <c r="AF3257">
        <v>0.570191368641632</v>
      </c>
      <c r="AG3257">
        <v>-1.1049680973042</v>
      </c>
      <c r="AH3257">
        <v>17.663109881360398</v>
      </c>
      <c r="AI3257">
        <v>93.577783363496494</v>
      </c>
      <c r="AJ3257">
        <v>88.151049390731103</v>
      </c>
      <c r="AK3257">
        <v>17.706821379737899</v>
      </c>
    </row>
    <row r="3258" spans="1:37" x14ac:dyDescent="0.2">
      <c r="A3258" t="str">
        <f>"20200111155911718"</f>
        <v>20200111155911718</v>
      </c>
      <c r="B3258" t="str">
        <f>"1578729551715513"</f>
        <v>1578729551715513</v>
      </c>
      <c r="C3258" t="s">
        <v>37</v>
      </c>
      <c r="D3258">
        <v>5.4855419999999997</v>
      </c>
      <c r="E3258">
        <v>0.52386429999999995</v>
      </c>
      <c r="F3258" t="s">
        <v>50</v>
      </c>
      <c r="G3258">
        <v>-254.7475</v>
      </c>
      <c r="H3258" s="1">
        <v>9.940435999999999E-7</v>
      </c>
      <c r="I3258">
        <v>214.5145</v>
      </c>
      <c r="J3258">
        <v>-271.8073</v>
      </c>
      <c r="K3258">
        <v>1.104962</v>
      </c>
      <c r="L3258">
        <v>215.46899999999999</v>
      </c>
      <c r="M3258">
        <v>0.99963299999999999</v>
      </c>
      <c r="N3258">
        <v>0</v>
      </c>
      <c r="O3258">
        <v>-2.298629E-2</v>
      </c>
      <c r="P3258">
        <v>0.99972070000000002</v>
      </c>
      <c r="Q3258">
        <v>2.287339E-2</v>
      </c>
      <c r="R3258">
        <v>5.9627350000000003E-3</v>
      </c>
      <c r="S3258">
        <v>3.0064700000000002</v>
      </c>
      <c r="T3258">
        <v>-0.18941839999999999</v>
      </c>
      <c r="U3258">
        <v>-0.16537479999999999</v>
      </c>
      <c r="V3258">
        <v>-2.899554E-2</v>
      </c>
      <c r="W3258">
        <v>3.7166440000000002E-2</v>
      </c>
      <c r="X3258">
        <v>0.99888829999999995</v>
      </c>
      <c r="Y3258">
        <v>3.1937119999999999E-2</v>
      </c>
      <c r="Z3258">
        <v>4.4119660000000002E-4</v>
      </c>
      <c r="AA3258">
        <v>0.99948979999999998</v>
      </c>
      <c r="AB3258">
        <v>31</v>
      </c>
      <c r="AC3258">
        <v>17.0597999999999</v>
      </c>
      <c r="AD3258">
        <v>-1.1049610059563999</v>
      </c>
      <c r="AE3258">
        <v>-0.954500000000024</v>
      </c>
      <c r="AF3258">
        <v>0.559725147058318</v>
      </c>
      <c r="AG3258">
        <v>-1.1049610059563999</v>
      </c>
      <c r="AH3258">
        <v>17.006113885628999</v>
      </c>
      <c r="AI3258">
        <v>93.715523594963003</v>
      </c>
      <c r="AJ3258">
        <v>88.114894669015598</v>
      </c>
      <c r="AK3258">
        <v>17.051162440018999</v>
      </c>
    </row>
    <row r="3259" spans="1:37" x14ac:dyDescent="0.2">
      <c r="A3259" t="str">
        <f>"20200111155911740"</f>
        <v>20200111155911740</v>
      </c>
      <c r="B3259" t="str">
        <f>"1578729551735033"</f>
        <v>1578729551735033</v>
      </c>
      <c r="C3259" t="s">
        <v>37</v>
      </c>
      <c r="D3259">
        <v>5.4944949999999997</v>
      </c>
      <c r="E3259">
        <v>0.52421899999999999</v>
      </c>
      <c r="F3259" t="s">
        <v>50</v>
      </c>
      <c r="G3259">
        <v>-255.0642</v>
      </c>
      <c r="H3259" s="1">
        <v>1.1621389999999899E-6</v>
      </c>
      <c r="I3259">
        <v>214.5247</v>
      </c>
      <c r="J3259">
        <v>-271.49020000000002</v>
      </c>
      <c r="K3259">
        <v>1.104957</v>
      </c>
      <c r="L3259">
        <v>215.46260000000001</v>
      </c>
      <c r="M3259">
        <v>0.99964929999999996</v>
      </c>
      <c r="N3259">
        <v>0</v>
      </c>
      <c r="O3259">
        <v>-2.2262339999999999E-2</v>
      </c>
      <c r="P3259">
        <v>0.99973519999999905</v>
      </c>
      <c r="Q3259">
        <v>2.216046E-2</v>
      </c>
      <c r="R3259">
        <v>6.2121149999999998E-3</v>
      </c>
      <c r="S3259">
        <v>3.00637799999999</v>
      </c>
      <c r="T3259">
        <v>-0.19840659999999999</v>
      </c>
      <c r="U3259">
        <v>-0.1695709</v>
      </c>
      <c r="V3259">
        <v>-2.8520460000000001E-2</v>
      </c>
      <c r="W3259">
        <v>3.6451669999999999E-2</v>
      </c>
      <c r="X3259">
        <v>0.99892839999999905</v>
      </c>
      <c r="Y3259">
        <v>3.4045409999999998E-2</v>
      </c>
      <c r="Z3259">
        <v>3.4497199999999998E-4</v>
      </c>
      <c r="AA3259">
        <v>0.99942019999999998</v>
      </c>
      <c r="AB3259">
        <v>31</v>
      </c>
      <c r="AC3259">
        <v>16.425999999999998</v>
      </c>
      <c r="AD3259">
        <v>-1.104955837861</v>
      </c>
      <c r="AE3259">
        <v>-0.93790000000001295</v>
      </c>
      <c r="AF3259">
        <v>0.56938057998132197</v>
      </c>
      <c r="AG3259">
        <v>-1.104955837861</v>
      </c>
      <c r="AH3259">
        <v>16.368979964643099</v>
      </c>
      <c r="AI3259">
        <v>93.859453472176796</v>
      </c>
      <c r="AJ3259">
        <v>88.007819882229896</v>
      </c>
      <c r="AK3259">
        <v>16.416108757296001</v>
      </c>
    </row>
    <row r="3260" spans="1:37" x14ac:dyDescent="0.2">
      <c r="A3260" t="str">
        <f>"20200111155911762"</f>
        <v>20200111155911762</v>
      </c>
      <c r="B3260" t="str">
        <f>"1578729551755528"</f>
        <v>1578729551755528</v>
      </c>
      <c r="C3260" t="s">
        <v>37</v>
      </c>
      <c r="D3260">
        <v>5.5437769999999897</v>
      </c>
      <c r="E3260">
        <v>0.52450659999999905</v>
      </c>
      <c r="F3260" t="s">
        <v>50</v>
      </c>
      <c r="G3260">
        <v>-255.11420000000001</v>
      </c>
      <c r="H3260" s="1">
        <v>1.1887139999999999E-6</v>
      </c>
      <c r="I3260">
        <v>214.5249</v>
      </c>
      <c r="J3260">
        <v>-271.19479999999999</v>
      </c>
      <c r="K3260">
        <v>1.1049639999999901</v>
      </c>
      <c r="L3260">
        <v>215.45670000000001</v>
      </c>
      <c r="M3260">
        <v>0.9996642</v>
      </c>
      <c r="N3260">
        <v>0</v>
      </c>
      <c r="O3260">
        <v>-2.1588119999999999E-2</v>
      </c>
      <c r="P3260">
        <v>0.99972070000000002</v>
      </c>
      <c r="Q3260">
        <v>2.262786E-2</v>
      </c>
      <c r="R3260">
        <v>6.8561330000000004E-3</v>
      </c>
      <c r="S3260">
        <v>3.006348</v>
      </c>
      <c r="T3260">
        <v>-0.202849799999999</v>
      </c>
      <c r="U3260">
        <v>-0.17213439999999999</v>
      </c>
      <c r="V3260">
        <v>-2.8490919999999999E-2</v>
      </c>
      <c r="W3260">
        <v>3.6915330000000003E-2</v>
      </c>
      <c r="X3260">
        <v>0.99891219999999903</v>
      </c>
      <c r="Y3260">
        <v>3.5563339999999999E-2</v>
      </c>
      <c r="Z3260">
        <v>2.5617519999999999E-4</v>
      </c>
      <c r="AA3260">
        <v>0.99936740000000002</v>
      </c>
      <c r="AB3260">
        <v>31</v>
      </c>
      <c r="AC3260">
        <v>16.080599999999901</v>
      </c>
      <c r="AD3260">
        <v>-1.1049628112859999</v>
      </c>
      <c r="AE3260">
        <v>-0.93180000000000895</v>
      </c>
      <c r="AF3260">
        <v>0.58166002586848797</v>
      </c>
      <c r="AG3260">
        <v>-1.1049628112859999</v>
      </c>
      <c r="AH3260">
        <v>16.021574912258899</v>
      </c>
      <c r="AI3260">
        <v>93.942691688132797</v>
      </c>
      <c r="AJ3260">
        <v>87.920801518923398</v>
      </c>
      <c r="AK3260">
        <v>16.070162845134501</v>
      </c>
    </row>
    <row r="3261" spans="1:37" x14ac:dyDescent="0.2">
      <c r="A3261" t="str">
        <f>"20200111155911784"</f>
        <v>20200111155911784</v>
      </c>
      <c r="B3261" t="str">
        <f>"1578729551775048"</f>
        <v>1578729551775048</v>
      </c>
      <c r="C3261" t="s">
        <v>37</v>
      </c>
      <c r="D3261">
        <v>5.5069249999999998</v>
      </c>
      <c r="E3261">
        <v>0.524707699999999</v>
      </c>
      <c r="F3261" t="s">
        <v>50</v>
      </c>
      <c r="G3261">
        <v>-254.87029999999999</v>
      </c>
      <c r="H3261" s="1">
        <v>1.059195E-6</v>
      </c>
      <c r="I3261">
        <v>214.51929999999999</v>
      </c>
      <c r="J3261">
        <v>-270.8886</v>
      </c>
      <c r="K3261">
        <v>1.1049709999999999</v>
      </c>
      <c r="L3261">
        <v>215.45089999999999</v>
      </c>
      <c r="M3261">
        <v>0.99967899999999998</v>
      </c>
      <c r="N3261">
        <v>0</v>
      </c>
      <c r="O3261">
        <v>-2.0889700000000001E-2</v>
      </c>
      <c r="P3261">
        <v>0.99969079999999999</v>
      </c>
      <c r="Q3261">
        <v>2.370469E-2</v>
      </c>
      <c r="R3261">
        <v>7.516989E-3</v>
      </c>
      <c r="S3261">
        <v>3.0066220000000001</v>
      </c>
      <c r="T3261">
        <v>-0.2035112</v>
      </c>
      <c r="U3261">
        <v>-0.17265320000000001</v>
      </c>
      <c r="V3261">
        <v>-2.8454050000000002E-2</v>
      </c>
      <c r="W3261">
        <v>3.7988880000000003E-2</v>
      </c>
      <c r="X3261">
        <v>0.99887300000000001</v>
      </c>
      <c r="Y3261">
        <v>3.6424440000000002E-2</v>
      </c>
      <c r="Z3261">
        <v>1.8073389999999999E-4</v>
      </c>
      <c r="AA3261">
        <v>0.99933639999999901</v>
      </c>
      <c r="AB3261">
        <v>31</v>
      </c>
      <c r="AC3261">
        <v>16.0183</v>
      </c>
      <c r="AD3261">
        <v>-1.104969940805</v>
      </c>
      <c r="AE3261">
        <v>-0.93160000000000298</v>
      </c>
      <c r="AF3261">
        <v>0.59392813182772197</v>
      </c>
      <c r="AG3261">
        <v>-1.104969940805</v>
      </c>
      <c r="AH3261">
        <v>15.958584130461899</v>
      </c>
      <c r="AI3261">
        <v>93.9580980282349</v>
      </c>
      <c r="AJ3261">
        <v>87.868615619456605</v>
      </c>
      <c r="AK3261">
        <v>16.007814236955902</v>
      </c>
    </row>
    <row r="3262" spans="1:37" x14ac:dyDescent="0.2">
      <c r="A3262" t="str">
        <f>"20200111155911806"</f>
        <v>20200111155911806</v>
      </c>
      <c r="B3262" t="str">
        <f>"1578729551794803"</f>
        <v>1578729551794803</v>
      </c>
      <c r="C3262" t="s">
        <v>37</v>
      </c>
      <c r="D3262">
        <v>5.5337589999999999</v>
      </c>
      <c r="E3262">
        <v>0.52493339999999999</v>
      </c>
      <c r="F3262" t="s">
        <v>50</v>
      </c>
      <c r="G3262">
        <v>-254.48759999999999</v>
      </c>
      <c r="H3262" s="1">
        <v>8.5593900000000005E-7</v>
      </c>
      <c r="I3262">
        <v>214.50980000000001</v>
      </c>
      <c r="J3262">
        <v>-270.58909999999997</v>
      </c>
      <c r="K3262">
        <v>1.104978</v>
      </c>
      <c r="L3262">
        <v>215.44540000000001</v>
      </c>
      <c r="M3262">
        <v>0.9996931</v>
      </c>
      <c r="N3262">
        <v>0</v>
      </c>
      <c r="O3262">
        <v>-2.0206430000000001E-2</v>
      </c>
      <c r="P3262">
        <v>0.99965569999999904</v>
      </c>
      <c r="Q3262">
        <v>2.493283E-2</v>
      </c>
      <c r="R3262">
        <v>8.1819790000000007E-3</v>
      </c>
      <c r="S3262">
        <v>3.0070189999999899</v>
      </c>
      <c r="T3262">
        <v>-0.20258899999999999</v>
      </c>
      <c r="U3262">
        <v>-0.17254639999999999</v>
      </c>
      <c r="V3262">
        <v>-2.8436510000000002E-2</v>
      </c>
      <c r="W3262">
        <v>3.9213440000000002E-2</v>
      </c>
      <c r="X3262">
        <v>0.99882610000000005</v>
      </c>
      <c r="Y3262">
        <v>3.7061900000000002E-2</v>
      </c>
      <c r="Z3262">
        <v>1.125337E-4</v>
      </c>
      <c r="AA3262">
        <v>0.99931289999999995</v>
      </c>
      <c r="AB3262">
        <v>31</v>
      </c>
      <c r="AC3262">
        <v>16.101499999999898</v>
      </c>
      <c r="AD3262">
        <v>-1.1049771440609999</v>
      </c>
      <c r="AE3262">
        <v>-0.93559999999999299</v>
      </c>
      <c r="AF3262">
        <v>0.60717183812917697</v>
      </c>
      <c r="AG3262">
        <v>-1.1049771440609999</v>
      </c>
      <c r="AH3262">
        <v>16.041824350129598</v>
      </c>
      <c r="AI3262">
        <v>93.9375569750338</v>
      </c>
      <c r="AJ3262">
        <v>87.832429466297199</v>
      </c>
      <c r="AK3262">
        <v>16.0912945598023</v>
      </c>
    </row>
    <row r="3263" spans="1:37" x14ac:dyDescent="0.2">
      <c r="A3263" t="str">
        <f>"20200111155911829"</f>
        <v>20200111155911829</v>
      </c>
      <c r="B3263" t="str">
        <f>"1578729551825058"</f>
        <v>1578729551825058</v>
      </c>
      <c r="C3263" t="s">
        <v>37</v>
      </c>
      <c r="D3263">
        <v>5.5735140000000003</v>
      </c>
      <c r="E3263">
        <v>0.525254</v>
      </c>
      <c r="F3263" t="s">
        <v>38</v>
      </c>
      <c r="G3263">
        <v>-269.60899999999998</v>
      </c>
      <c r="H3263">
        <v>1.039704</v>
      </c>
      <c r="I3263">
        <v>215.38890000000001</v>
      </c>
      <c r="J3263">
        <v>-270.27120000000002</v>
      </c>
      <c r="K3263">
        <v>1.104984</v>
      </c>
      <c r="L3263">
        <v>215.43979999999999</v>
      </c>
      <c r="M3263">
        <v>0.99970749999999997</v>
      </c>
      <c r="N3263">
        <v>0</v>
      </c>
      <c r="O3263">
        <v>-1.9481660000000001E-2</v>
      </c>
      <c r="P3263">
        <v>0.99960959999999999</v>
      </c>
      <c r="Q3263">
        <v>2.6296679999999999E-2</v>
      </c>
      <c r="R3263">
        <v>9.455237E-3</v>
      </c>
      <c r="S3263">
        <v>3.0074160000000001</v>
      </c>
      <c r="T3263">
        <v>-0.20041909999999999</v>
      </c>
      <c r="U3263">
        <v>-0.1726685</v>
      </c>
      <c r="V3263">
        <v>-2.8985980000000001E-2</v>
      </c>
      <c r="W3263">
        <v>4.0572299999999999E-2</v>
      </c>
      <c r="X3263">
        <v>0.99875609999999904</v>
      </c>
      <c r="Y3263">
        <v>3.7816799999999998E-2</v>
      </c>
      <c r="Z3263" s="1">
        <v>3.8020199999999999E-5</v>
      </c>
      <c r="AA3263">
        <v>0.99928470000000003</v>
      </c>
      <c r="AB3263">
        <v>31</v>
      </c>
      <c r="AC3263">
        <v>0.66219999999998402</v>
      </c>
      <c r="AD3263">
        <v>-6.5279999999999699E-2</v>
      </c>
      <c r="AE3263">
        <v>-5.0899999999984402E-2</v>
      </c>
      <c r="AF3263">
        <v>3.7624763606977397E-2</v>
      </c>
      <c r="AG3263">
        <v>-6.5279999999999699E-2</v>
      </c>
      <c r="AH3263">
        <v>0.65672140913823696</v>
      </c>
      <c r="AI3263">
        <v>95.6674844007578</v>
      </c>
      <c r="AJ3263">
        <v>86.721005085018305</v>
      </c>
      <c r="AK3263">
        <v>0.66102958364735198</v>
      </c>
    </row>
    <row r="3264" spans="1:37" x14ac:dyDescent="0.2">
      <c r="A3264" t="str">
        <f>"20200111155911852"</f>
        <v>20200111155911852</v>
      </c>
      <c r="B3264" t="str">
        <f>"1578729551845554"</f>
        <v>1578729551845554</v>
      </c>
      <c r="C3264" t="s">
        <v>37</v>
      </c>
      <c r="D3264">
        <v>5.5637080000000001</v>
      </c>
      <c r="E3264">
        <v>0.52546169999999903</v>
      </c>
      <c r="F3264" t="s">
        <v>38</v>
      </c>
      <c r="G3264">
        <v>-269.33190000000002</v>
      </c>
      <c r="H3264">
        <v>1.0430299999999999</v>
      </c>
      <c r="I3264">
        <v>215.3862</v>
      </c>
      <c r="J3264">
        <v>-269.95580000000001</v>
      </c>
      <c r="K3264">
        <v>1.1049819999999999</v>
      </c>
      <c r="L3264">
        <v>215.43440000000001</v>
      </c>
      <c r="M3264">
        <v>0.99972129999999904</v>
      </c>
      <c r="N3264">
        <v>0</v>
      </c>
      <c r="O3264">
        <v>-1.8762029999999999E-2</v>
      </c>
      <c r="P3264">
        <v>0.99956809999999996</v>
      </c>
      <c r="Q3264">
        <v>2.7151729999999999E-2</v>
      </c>
      <c r="R3264">
        <v>1.124962E-2</v>
      </c>
      <c r="S3264">
        <v>3.0080259999999899</v>
      </c>
      <c r="T3264">
        <v>-0.1984069</v>
      </c>
      <c r="U3264">
        <v>-0.17175289999999999</v>
      </c>
      <c r="V3264">
        <v>-3.0060750000000001E-2</v>
      </c>
      <c r="W3264">
        <v>4.1421779999999998E-2</v>
      </c>
      <c r="X3264">
        <v>0.99868939999999995</v>
      </c>
      <c r="Y3264">
        <v>3.8219759999999998E-2</v>
      </c>
      <c r="Z3264" s="1">
        <v>-2.2993539999999999E-5</v>
      </c>
      <c r="AA3264">
        <v>0.99926939999999997</v>
      </c>
      <c r="AB3264">
        <v>31</v>
      </c>
      <c r="AC3264">
        <v>0.62389999999999102</v>
      </c>
      <c r="AD3264">
        <v>-6.1952E-2</v>
      </c>
      <c r="AE3264">
        <v>-4.8200000000008403E-2</v>
      </c>
      <c r="AF3264">
        <v>3.6130545031232503E-2</v>
      </c>
      <c r="AG3264">
        <v>-6.1952E-2</v>
      </c>
      <c r="AH3264">
        <v>0.61863101522309205</v>
      </c>
      <c r="AI3264">
        <v>95.709080809652093</v>
      </c>
      <c r="AJ3264">
        <v>86.657492527980494</v>
      </c>
      <c r="AK3264">
        <v>0.622774276591614</v>
      </c>
    </row>
    <row r="3265" spans="1:37" x14ac:dyDescent="0.2">
      <c r="A3265" t="str">
        <f>"20200111155911873"</f>
        <v>20200111155911873</v>
      </c>
      <c r="B3265" t="str">
        <f>"1578729551865074"</f>
        <v>1578729551865074</v>
      </c>
      <c r="C3265" t="s">
        <v>37</v>
      </c>
      <c r="D3265">
        <v>5.6806849999999898</v>
      </c>
      <c r="E3265">
        <v>0.52556459999999905</v>
      </c>
      <c r="F3265" t="s">
        <v>38</v>
      </c>
      <c r="G3265">
        <v>-269.0548</v>
      </c>
      <c r="H3265">
        <v>1.0459179999999999</v>
      </c>
      <c r="I3265">
        <v>215.38399999999999</v>
      </c>
      <c r="J3265">
        <v>-269.66160000000002</v>
      </c>
      <c r="K3265">
        <v>1.104976</v>
      </c>
      <c r="L3265">
        <v>215.4297</v>
      </c>
      <c r="M3265">
        <v>0.99973389999999995</v>
      </c>
      <c r="N3265">
        <v>0</v>
      </c>
      <c r="O3265">
        <v>-1.809032E-2</v>
      </c>
      <c r="P3265">
        <v>0.99957320000000005</v>
      </c>
      <c r="Q3265">
        <v>2.6535590000000001E-2</v>
      </c>
      <c r="R3265">
        <v>1.2234899999999899E-2</v>
      </c>
      <c r="S3265">
        <v>3.0085449999999998</v>
      </c>
      <c r="T3265">
        <v>-0.19726469999999999</v>
      </c>
      <c r="U3265">
        <v>-0.16798399999999999</v>
      </c>
      <c r="V3265">
        <v>-3.0373919999999999E-2</v>
      </c>
      <c r="W3265">
        <v>4.0801469999999999E-2</v>
      </c>
      <c r="X3265">
        <v>0.99870550000000002</v>
      </c>
      <c r="Y3265">
        <v>3.763383E-2</v>
      </c>
      <c r="Z3265" s="1">
        <v>-4.7629929999999998E-5</v>
      </c>
      <c r="AA3265">
        <v>0.99929159999999995</v>
      </c>
      <c r="AB3265">
        <v>31</v>
      </c>
      <c r="AC3265">
        <v>0.60680000000002099</v>
      </c>
      <c r="AD3265">
        <v>-5.9057999999999798E-2</v>
      </c>
      <c r="AE3265">
        <v>-4.5699999999982303E-2</v>
      </c>
      <c r="AF3265">
        <v>3.4390263448383501E-2</v>
      </c>
      <c r="AG3265">
        <v>-5.9057999999999798E-2</v>
      </c>
      <c r="AH3265">
        <v>0.60185852072544199</v>
      </c>
      <c r="AI3265">
        <v>95.595198592923197</v>
      </c>
      <c r="AJ3265">
        <v>86.729668834278996</v>
      </c>
      <c r="AK3265">
        <v>0.60572618942379097</v>
      </c>
    </row>
    <row r="3266" spans="1:37" x14ac:dyDescent="0.2">
      <c r="A3266" t="str">
        <f>"20200111155911896"</f>
        <v>20200111155911896</v>
      </c>
      <c r="B3266" t="str">
        <f>"1578729551885570"</f>
        <v>1578729551885570</v>
      </c>
      <c r="C3266" t="s">
        <v>37</v>
      </c>
      <c r="D3266">
        <v>5.5918659999999996</v>
      </c>
      <c r="E3266">
        <v>0.52574489999999996</v>
      </c>
      <c r="F3266" t="s">
        <v>38</v>
      </c>
      <c r="G3266">
        <v>-268.78039999999999</v>
      </c>
      <c r="H3266">
        <v>1.0462830000000001</v>
      </c>
      <c r="I3266">
        <v>215.3811</v>
      </c>
      <c r="J3266">
        <v>-269.36110000000002</v>
      </c>
      <c r="K3266">
        <v>1.104967</v>
      </c>
      <c r="L3266">
        <v>215.42500000000001</v>
      </c>
      <c r="M3266">
        <v>0.99974609999999997</v>
      </c>
      <c r="N3266">
        <v>0</v>
      </c>
      <c r="O3266">
        <v>-1.740382E-2</v>
      </c>
      <c r="P3266">
        <v>0.9995908</v>
      </c>
      <c r="Q3266">
        <v>2.507363E-2</v>
      </c>
      <c r="R3266">
        <v>1.377629E-2</v>
      </c>
      <c r="S3266">
        <v>3.0086360000000001</v>
      </c>
      <c r="T3266">
        <v>-0.20039999999999999</v>
      </c>
      <c r="U3266">
        <v>-0.16592409999999999</v>
      </c>
      <c r="V3266">
        <v>-3.1227230000000002E-2</v>
      </c>
      <c r="W3266">
        <v>3.9335420000000003E-2</v>
      </c>
      <c r="X3266">
        <v>0.99873799999999902</v>
      </c>
      <c r="Y3266">
        <v>3.7633369999999999E-2</v>
      </c>
      <c r="Z3266" s="1">
        <v>-9.3997109999999996E-5</v>
      </c>
      <c r="AA3266">
        <v>0.99929159999999995</v>
      </c>
      <c r="AB3266">
        <v>31</v>
      </c>
      <c r="AC3266">
        <v>0.58070000000003497</v>
      </c>
      <c r="AD3266">
        <v>-5.8683999999999903E-2</v>
      </c>
      <c r="AE3266">
        <v>-4.3900000000007801E-2</v>
      </c>
      <c r="AF3266">
        <v>3.3446284046340397E-2</v>
      </c>
      <c r="AG3266">
        <v>-5.8683999999999903E-2</v>
      </c>
      <c r="AH3266">
        <v>0.57553186780089804</v>
      </c>
      <c r="AI3266">
        <v>95.812293209670898</v>
      </c>
      <c r="AJ3266">
        <v>86.674071227838198</v>
      </c>
      <c r="AK3266">
        <v>0.57948200716406895</v>
      </c>
    </row>
    <row r="3267" spans="1:37" x14ac:dyDescent="0.2">
      <c r="A3267" t="str">
        <f>"20200111155911918"</f>
        <v>20200111155911918</v>
      </c>
      <c r="B3267" t="str">
        <f>"1578729551914850"</f>
        <v>1578729551914850</v>
      </c>
      <c r="C3267" t="s">
        <v>37</v>
      </c>
      <c r="D3267">
        <v>5.5153059999999998</v>
      </c>
      <c r="E3267">
        <v>0.52596659999999995</v>
      </c>
      <c r="F3267" t="s">
        <v>38</v>
      </c>
      <c r="G3267">
        <v>-268.50650000000002</v>
      </c>
      <c r="H3267">
        <v>1.046484</v>
      </c>
      <c r="I3267">
        <v>215.37860000000001</v>
      </c>
      <c r="J3267">
        <v>-269.05380000000002</v>
      </c>
      <c r="K3267">
        <v>1.1049610000000001</v>
      </c>
      <c r="L3267">
        <v>215.4204</v>
      </c>
      <c r="M3267">
        <v>0.99975809999999998</v>
      </c>
      <c r="N3267">
        <v>0</v>
      </c>
      <c r="O3267">
        <v>-1.670135E-2</v>
      </c>
      <c r="P3267">
        <v>0.99961080000000002</v>
      </c>
      <c r="Q3267">
        <v>2.320494E-2</v>
      </c>
      <c r="R3267">
        <v>1.5487920000000001E-2</v>
      </c>
      <c r="S3267">
        <v>3.0086059999999999</v>
      </c>
      <c r="T3267">
        <v>-0.2059879</v>
      </c>
      <c r="U3267">
        <v>-0.16305539999999999</v>
      </c>
      <c r="V3267">
        <v>-3.2233909999999998E-2</v>
      </c>
      <c r="W3267">
        <v>3.7462349999999998E-2</v>
      </c>
      <c r="X3267">
        <v>0.99877800000000005</v>
      </c>
      <c r="Y3267">
        <v>3.7382520000000002E-2</v>
      </c>
      <c r="Z3267">
        <v>-1.3603439999999999E-4</v>
      </c>
      <c r="AA3267">
        <v>0.99930099999999999</v>
      </c>
      <c r="AB3267">
        <v>31</v>
      </c>
      <c r="AC3267">
        <v>0.547300000000007</v>
      </c>
      <c r="AD3267">
        <v>-5.8477000000000098E-2</v>
      </c>
      <c r="AE3267">
        <v>-4.1799999999994897E-2</v>
      </c>
      <c r="AF3267">
        <v>3.22861380889072E-2</v>
      </c>
      <c r="AG3267">
        <v>-5.8477000000000098E-2</v>
      </c>
      <c r="AH3267">
        <v>0.54177275141209702</v>
      </c>
      <c r="AI3267">
        <v>96.149624029281995</v>
      </c>
      <c r="AJ3267">
        <v>86.589577006493897</v>
      </c>
      <c r="AK3267">
        <v>0.54587513994898995</v>
      </c>
    </row>
    <row r="3268" spans="1:37" x14ac:dyDescent="0.2">
      <c r="A3268" t="str">
        <f>"20200111155911941"</f>
        <v>20200111155911941</v>
      </c>
      <c r="B3268" t="str">
        <f>"1578729551935346"</f>
        <v>1578729551935346</v>
      </c>
      <c r="C3268" t="s">
        <v>37</v>
      </c>
      <c r="D3268">
        <v>5.6199089999999998</v>
      </c>
      <c r="E3268">
        <v>0.52618310000000001</v>
      </c>
      <c r="F3268" t="s">
        <v>38</v>
      </c>
      <c r="G3268">
        <v>-268.23259999999999</v>
      </c>
      <c r="H3268">
        <v>1.0469999999999999</v>
      </c>
      <c r="I3268">
        <v>215.3767</v>
      </c>
      <c r="J3268">
        <v>-268.7457</v>
      </c>
      <c r="K3268">
        <v>1.1049599999999999</v>
      </c>
      <c r="L3268">
        <v>215.4161</v>
      </c>
      <c r="M3268">
        <v>0.99976969999999998</v>
      </c>
      <c r="N3268">
        <v>0</v>
      </c>
      <c r="O3268">
        <v>-1.5996860000000002E-2</v>
      </c>
      <c r="P3268">
        <v>0.9996176</v>
      </c>
      <c r="Q3268">
        <v>2.155845E-2</v>
      </c>
      <c r="R3268">
        <v>1.732854E-2</v>
      </c>
      <c r="S3268">
        <v>3.008575</v>
      </c>
      <c r="T3268">
        <v>-0.2124625</v>
      </c>
      <c r="U3268">
        <v>-0.1599121</v>
      </c>
      <c r="V3268">
        <v>-3.3367969999999997E-2</v>
      </c>
      <c r="W3268">
        <v>3.5811219999999998E-2</v>
      </c>
      <c r="X3268">
        <v>0.99880139999999995</v>
      </c>
      <c r="Y3268">
        <v>3.7042190000000003E-2</v>
      </c>
      <c r="Z3268">
        <v>-1.779521E-4</v>
      </c>
      <c r="AA3268">
        <v>0.99931369999999897</v>
      </c>
      <c r="AB3268">
        <v>31</v>
      </c>
      <c r="AC3268">
        <v>0.51310000000000799</v>
      </c>
      <c r="AD3268">
        <v>-5.7959999999999998E-2</v>
      </c>
      <c r="AE3268">
        <v>-3.9400000000000497E-2</v>
      </c>
      <c r="AF3268">
        <v>3.0795479809819299E-2</v>
      </c>
      <c r="AG3268">
        <v>-5.7959999999999998E-2</v>
      </c>
      <c r="AH3268">
        <v>0.50723032228874299</v>
      </c>
      <c r="AI3268">
        <v>96.506899821174699</v>
      </c>
      <c r="AJ3268">
        <v>86.525665436767795</v>
      </c>
      <c r="AK3268">
        <v>0.51145901402346805</v>
      </c>
    </row>
    <row r="3269" spans="1:37" x14ac:dyDescent="0.2">
      <c r="A3269" t="str">
        <f>"20200111155911963"</f>
        <v>20200111155911963</v>
      </c>
      <c r="B3269" t="str">
        <f>"1578729551954866"</f>
        <v>1578729551954866</v>
      </c>
      <c r="C3269" t="s">
        <v>37</v>
      </c>
      <c r="D3269">
        <v>5.6209489999999898</v>
      </c>
      <c r="E3269">
        <v>0.5264257</v>
      </c>
      <c r="F3269" t="s">
        <v>38</v>
      </c>
      <c r="G3269">
        <v>-267.95870000000002</v>
      </c>
      <c r="H3269">
        <v>1.047855</v>
      </c>
      <c r="I3269">
        <v>215.3751</v>
      </c>
      <c r="J3269">
        <v>-268.44299999999998</v>
      </c>
      <c r="K3269">
        <v>1.104954</v>
      </c>
      <c r="L3269">
        <v>215.41200000000001</v>
      </c>
      <c r="M3269">
        <v>0.99978060000000002</v>
      </c>
      <c r="N3269">
        <v>0</v>
      </c>
      <c r="O3269">
        <v>-1.530429E-2</v>
      </c>
      <c r="P3269">
        <v>0.99959799999999999</v>
      </c>
      <c r="Q3269">
        <v>2.08525E-2</v>
      </c>
      <c r="R3269">
        <v>1.9214040000000002E-2</v>
      </c>
      <c r="S3269">
        <v>3.0086059999999999</v>
      </c>
      <c r="T3269">
        <v>-0.218438299999999</v>
      </c>
      <c r="U3269">
        <v>-0.15628049999999999</v>
      </c>
      <c r="V3269">
        <v>-3.4559479999999997E-2</v>
      </c>
      <c r="W3269">
        <v>3.5100230000000003E-2</v>
      </c>
      <c r="X3269">
        <v>0.99878609999999901</v>
      </c>
      <c r="Y3269">
        <v>3.6527539999999997E-2</v>
      </c>
      <c r="Z3269">
        <v>-2.144739E-4</v>
      </c>
      <c r="AA3269">
        <v>0.99933259999999902</v>
      </c>
      <c r="AB3269">
        <v>31</v>
      </c>
      <c r="AC3269">
        <v>0.48429999999996198</v>
      </c>
      <c r="AD3269">
        <v>-5.7098999999999997E-2</v>
      </c>
      <c r="AE3269">
        <v>-3.6900000000002799E-2</v>
      </c>
      <c r="AF3269">
        <v>2.90811446674069E-2</v>
      </c>
      <c r="AG3269">
        <v>-5.7098999999999997E-2</v>
      </c>
      <c r="AH3269">
        <v>0.47819924788587898</v>
      </c>
      <c r="AI3269">
        <v>96.796680187474394</v>
      </c>
      <c r="AJ3269">
        <v>86.519908128838395</v>
      </c>
      <c r="AK3269">
        <v>0.48247334584906099</v>
      </c>
    </row>
    <row r="3270" spans="1:37" x14ac:dyDescent="0.2">
      <c r="A3270" t="str">
        <f>"20200111155911986"</f>
        <v>20200111155911986</v>
      </c>
      <c r="B3270" t="str">
        <f>"1578729551975362"</f>
        <v>1578729551975362</v>
      </c>
      <c r="C3270" t="s">
        <v>37</v>
      </c>
      <c r="D3270">
        <v>6.2906309999999896</v>
      </c>
      <c r="E3270">
        <v>0.52651910000000002</v>
      </c>
      <c r="F3270" t="s">
        <v>38</v>
      </c>
      <c r="G3270">
        <v>-267.68239999999997</v>
      </c>
      <c r="H3270">
        <v>1.04898</v>
      </c>
      <c r="I3270">
        <v>215.3734</v>
      </c>
      <c r="J3270">
        <v>-268.13810000000001</v>
      </c>
      <c r="K3270">
        <v>1.104951</v>
      </c>
      <c r="L3270">
        <v>215.40809999999999</v>
      </c>
      <c r="M3270">
        <v>0.99979110000000004</v>
      </c>
      <c r="N3270">
        <v>0</v>
      </c>
      <c r="O3270">
        <v>-1.460671E-2</v>
      </c>
      <c r="P3270">
        <v>0.99958619999999898</v>
      </c>
      <c r="Q3270">
        <v>1.929384E-2</v>
      </c>
      <c r="R3270">
        <v>2.1338659999999999E-2</v>
      </c>
      <c r="S3270">
        <v>3.008759</v>
      </c>
      <c r="T3270">
        <v>-0.2213879</v>
      </c>
      <c r="U3270">
        <v>-0.1526642</v>
      </c>
      <c r="V3270">
        <v>-3.5984439999999999E-2</v>
      </c>
      <c r="W3270">
        <v>3.3536169999999997E-2</v>
      </c>
      <c r="X3270">
        <v>0.9987895</v>
      </c>
      <c r="Y3270">
        <v>3.6022169999999999E-2</v>
      </c>
      <c r="Z3270">
        <v>-2.5001789999999998E-4</v>
      </c>
      <c r="AA3270">
        <v>0.99935099999999999</v>
      </c>
      <c r="AB3270">
        <v>31</v>
      </c>
      <c r="AC3270">
        <v>0.45570000000003502</v>
      </c>
      <c r="AD3270">
        <v>-5.5970999999999903E-2</v>
      </c>
      <c r="AE3270">
        <v>-3.4699999999986603E-2</v>
      </c>
      <c r="AF3270">
        <v>2.76249967615259E-2</v>
      </c>
      <c r="AG3270">
        <v>-5.5970999999999903E-2</v>
      </c>
      <c r="AH3270">
        <v>0.44941754479526302</v>
      </c>
      <c r="AI3270">
        <v>97.085894353356395</v>
      </c>
      <c r="AJ3270">
        <v>86.482543268483695</v>
      </c>
      <c r="AK3270">
        <v>0.453731223145241</v>
      </c>
    </row>
    <row r="3271" spans="1:37" x14ac:dyDescent="0.2">
      <c r="A3271" t="str">
        <f>"20200111155912007"</f>
        <v>20200111155912007</v>
      </c>
      <c r="B3271" t="str">
        <f>"1578729551994882"</f>
        <v>1578729551994882</v>
      </c>
      <c r="C3271" t="s">
        <v>37</v>
      </c>
      <c r="D3271">
        <v>5.756138</v>
      </c>
      <c r="E3271">
        <v>0.52575930000000004</v>
      </c>
      <c r="F3271" t="s">
        <v>38</v>
      </c>
      <c r="G3271">
        <v>-267.15339999999998</v>
      </c>
      <c r="H3271">
        <v>1.0308619999999999</v>
      </c>
      <c r="I3271">
        <v>215.36009999999999</v>
      </c>
      <c r="J3271">
        <v>-267.83580000000001</v>
      </c>
      <c r="K3271">
        <v>1.104946</v>
      </c>
      <c r="L3271">
        <v>215.40450000000001</v>
      </c>
      <c r="M3271">
        <v>0.99980079999999905</v>
      </c>
      <c r="N3271">
        <v>0</v>
      </c>
      <c r="O3271">
        <v>-1.391533E-2</v>
      </c>
      <c r="P3271">
        <v>0.9995404</v>
      </c>
      <c r="Q3271">
        <v>1.9121539999999999E-2</v>
      </c>
      <c r="R3271">
        <v>2.352309E-2</v>
      </c>
      <c r="S3271">
        <v>3.008759</v>
      </c>
      <c r="T3271">
        <v>-0.22639519999999999</v>
      </c>
      <c r="U3271">
        <v>-0.1467743</v>
      </c>
      <c r="V3271">
        <v>-3.7476740000000001E-2</v>
      </c>
      <c r="W3271">
        <v>3.3357930000000001E-2</v>
      </c>
      <c r="X3271">
        <v>0.99874059999999898</v>
      </c>
      <c r="Y3271">
        <v>3.4760680000000002E-2</v>
      </c>
      <c r="Z3271">
        <v>-2.6021129999999999E-4</v>
      </c>
      <c r="AA3271">
        <v>0.99939560000000005</v>
      </c>
      <c r="AB3271">
        <v>30</v>
      </c>
      <c r="AC3271">
        <v>0.68240000000002898</v>
      </c>
      <c r="AD3271">
        <v>-7.4083999999999803E-2</v>
      </c>
      <c r="AE3271">
        <v>-4.4400000000024399E-2</v>
      </c>
      <c r="AF3271">
        <v>3.4494069467752402E-2</v>
      </c>
      <c r="AG3271">
        <v>-7.4083999999999803E-2</v>
      </c>
      <c r="AH3271">
        <v>0.67502938078027697</v>
      </c>
      <c r="AI3271">
        <v>96.255009145976601</v>
      </c>
      <c r="AJ3271">
        <v>87.074724295017703</v>
      </c>
      <c r="AK3271">
        <v>0.67995804635363399</v>
      </c>
    </row>
    <row r="3272" spans="1:37" x14ac:dyDescent="0.2">
      <c r="A3272" t="str">
        <f>"20200111155912030"</f>
        <v>20200111155912030</v>
      </c>
      <c r="B3272" t="str">
        <f>"1578729552025140"</f>
        <v>1578729552025140</v>
      </c>
      <c r="C3272" t="s">
        <v>37</v>
      </c>
      <c r="D3272">
        <v>5.9572459999999996</v>
      </c>
      <c r="E3272">
        <v>0.50840799999999997</v>
      </c>
      <c r="F3272" t="s">
        <v>50</v>
      </c>
      <c r="G3272">
        <v>-241.17779999999999</v>
      </c>
      <c r="H3272" s="1">
        <v>-8.9241010000000003E-7</v>
      </c>
      <c r="I3272">
        <v>214.21350000000001</v>
      </c>
      <c r="J3272">
        <v>-267.5274</v>
      </c>
      <c r="K3272">
        <v>1.1049420000000001</v>
      </c>
      <c r="L3272">
        <v>215.40099999999899</v>
      </c>
      <c r="M3272">
        <v>0.99981049999999905</v>
      </c>
      <c r="N3272">
        <v>0</v>
      </c>
      <c r="O3272">
        <v>-1.320905E-2</v>
      </c>
      <c r="P3272">
        <v>0.99952199999999902</v>
      </c>
      <c r="Q3272">
        <v>1.860125E-2</v>
      </c>
      <c r="R3272">
        <v>2.4695930000000001E-2</v>
      </c>
      <c r="S3272">
        <v>3.0069270000000001</v>
      </c>
      <c r="T3272">
        <v>-0.12463389999999901</v>
      </c>
      <c r="U3272">
        <v>-0.1343384</v>
      </c>
      <c r="V3272">
        <v>-3.7942690000000001E-2</v>
      </c>
      <c r="W3272">
        <v>3.28337E-2</v>
      </c>
      <c r="X3272">
        <v>0.99874039999999997</v>
      </c>
      <c r="Y3272">
        <v>3.141505E-2</v>
      </c>
      <c r="Z3272">
        <v>-1.034594E-4</v>
      </c>
      <c r="AA3272">
        <v>0.99950640000000002</v>
      </c>
      <c r="AB3272">
        <v>30</v>
      </c>
      <c r="AC3272">
        <v>26.349599999999999</v>
      </c>
      <c r="AD3272">
        <v>-1.1049428924100999</v>
      </c>
      <c r="AE3272">
        <v>-1.18749999999997</v>
      </c>
      <c r="AF3272">
        <v>0.837837288108085</v>
      </c>
      <c r="AG3272">
        <v>-1.1049428924100999</v>
      </c>
      <c r="AH3272">
        <v>26.3168048996843</v>
      </c>
      <c r="AI3272">
        <v>92.403004462732795</v>
      </c>
      <c r="AJ3272">
        <v>88.176513754676293</v>
      </c>
      <c r="AK3272">
        <v>26.353312699637598</v>
      </c>
    </row>
    <row r="3273" spans="1:37" x14ac:dyDescent="0.2">
      <c r="A3273" t="str">
        <f>"20200111155912052"</f>
        <v>20200111155912052</v>
      </c>
      <c r="B3273" t="str">
        <f>"1578729552045634"</f>
        <v>1578729552045634</v>
      </c>
      <c r="C3273" t="s">
        <v>37</v>
      </c>
      <c r="D3273">
        <v>5.5985329999999998</v>
      </c>
      <c r="E3273">
        <v>0.5057526</v>
      </c>
      <c r="F3273" t="s">
        <v>50</v>
      </c>
      <c r="G3273">
        <v>-250.16050000000001</v>
      </c>
      <c r="H3273" s="1">
        <v>-1.4875529999999999E-6</v>
      </c>
      <c r="I3273">
        <v>215.44380000000001</v>
      </c>
      <c r="J3273">
        <v>-267.22879999999998</v>
      </c>
      <c r="K3273">
        <v>1.1049439999999999</v>
      </c>
      <c r="L3273">
        <v>215.39779999999999</v>
      </c>
      <c r="M3273">
        <v>0.99981939999999903</v>
      </c>
      <c r="N3273">
        <v>0</v>
      </c>
      <c r="O3273">
        <v>-1.2525420000000001E-2</v>
      </c>
      <c r="P3273">
        <v>0.99947509999999995</v>
      </c>
      <c r="Q3273">
        <v>1.977493E-2</v>
      </c>
      <c r="R3273">
        <v>2.5667969999999998E-2</v>
      </c>
      <c r="S3273">
        <v>3.0048520000000001</v>
      </c>
      <c r="T3273">
        <v>-0.19117960000000001</v>
      </c>
      <c r="U3273">
        <v>7.4157709999999998E-3</v>
      </c>
      <c r="V3273">
        <v>-3.8232170000000003E-2</v>
      </c>
      <c r="W3273">
        <v>3.4003209999999999E-2</v>
      </c>
      <c r="X3273">
        <v>0.99869019999999997</v>
      </c>
      <c r="Y3273">
        <v>-1.493885E-2</v>
      </c>
      <c r="Z3273">
        <v>1.2709259999999999E-3</v>
      </c>
      <c r="AA3273">
        <v>0.99988759999999999</v>
      </c>
      <c r="AB3273">
        <v>30</v>
      </c>
      <c r="AC3273">
        <v>17.068299999999901</v>
      </c>
      <c r="AD3273">
        <v>-1.104945487553</v>
      </c>
      <c r="AE3273">
        <v>4.6000000000020601E-2</v>
      </c>
      <c r="AF3273">
        <v>-0.25872160347909701</v>
      </c>
      <c r="AG3273">
        <v>-1.104945487553</v>
      </c>
      <c r="AH3273">
        <v>16.995161057661999</v>
      </c>
      <c r="AI3273">
        <v>93.719437135541298</v>
      </c>
      <c r="AJ3273">
        <v>90.872160666361395</v>
      </c>
      <c r="AK3273">
        <v>17.033007390782199</v>
      </c>
    </row>
    <row r="3274" spans="1:37" x14ac:dyDescent="0.2">
      <c r="A3274" t="str">
        <f>"20200111155912073"</f>
        <v>20200111155912073</v>
      </c>
      <c r="B3274" t="str">
        <f>"1578729552065154"</f>
        <v>1578729552065154</v>
      </c>
      <c r="C3274" t="s">
        <v>37</v>
      </c>
      <c r="D3274">
        <v>5.6736750000000002</v>
      </c>
      <c r="E3274">
        <v>0.50512769999999996</v>
      </c>
      <c r="F3274" t="s">
        <v>50</v>
      </c>
      <c r="G3274">
        <v>-249.52709999999999</v>
      </c>
      <c r="H3274" s="1">
        <v>3.490736E-6</v>
      </c>
      <c r="I3274">
        <v>215.5848</v>
      </c>
      <c r="J3274">
        <v>-266.93400000000003</v>
      </c>
      <c r="K3274">
        <v>1.104956</v>
      </c>
      <c r="L3274">
        <v>215.39490000000001</v>
      </c>
      <c r="M3274">
        <v>0.99982769999999999</v>
      </c>
      <c r="N3274">
        <v>0</v>
      </c>
      <c r="O3274">
        <v>-1.1850009999999999E-2</v>
      </c>
      <c r="P3274">
        <v>0.99942710000000001</v>
      </c>
      <c r="Q3274">
        <v>2.1676270000000001E-2</v>
      </c>
      <c r="R3274">
        <v>2.599011E-2</v>
      </c>
      <c r="S3274">
        <v>3.0044559999999998</v>
      </c>
      <c r="T3274">
        <v>-0.18753810000000001</v>
      </c>
      <c r="U3274">
        <v>3.1738280000000001E-2</v>
      </c>
      <c r="V3274">
        <v>-3.7881529999999997E-2</v>
      </c>
      <c r="W3274">
        <v>3.5901280000000001E-2</v>
      </c>
      <c r="X3274">
        <v>0.99863709999999895</v>
      </c>
      <c r="Y3274">
        <v>-2.2346419999999999E-2</v>
      </c>
      <c r="Z3274">
        <v>1.435747E-3</v>
      </c>
      <c r="AA3274">
        <v>0.9997492</v>
      </c>
      <c r="AB3274">
        <v>30</v>
      </c>
      <c r="AC3274">
        <v>17.4069</v>
      </c>
      <c r="AD3274">
        <v>-1.104952509264</v>
      </c>
      <c r="AE3274">
        <v>0.18989999999999399</v>
      </c>
      <c r="AF3274">
        <v>-0.39458987514007798</v>
      </c>
      <c r="AG3274">
        <v>-1.104952509264</v>
      </c>
      <c r="AH3274">
        <v>17.333590700786999</v>
      </c>
      <c r="AI3274">
        <v>93.646517298891695</v>
      </c>
      <c r="AJ3274">
        <v>91.304082386552693</v>
      </c>
      <c r="AK3274">
        <v>17.3732549569648</v>
      </c>
    </row>
    <row r="3275" spans="1:37" x14ac:dyDescent="0.2">
      <c r="A3275" t="str">
        <f>"20200111155912097"</f>
        <v>20200111155912097</v>
      </c>
      <c r="B3275" t="str">
        <f>"1578729552085651"</f>
        <v>1578729552085651</v>
      </c>
      <c r="C3275" t="s">
        <v>37</v>
      </c>
      <c r="D3275">
        <v>5.6508149999999997</v>
      </c>
      <c r="E3275">
        <v>0.50441590000000003</v>
      </c>
      <c r="F3275" t="s">
        <v>50</v>
      </c>
      <c r="G3275">
        <v>-248.25479999999999</v>
      </c>
      <c r="H3275" s="1">
        <v>2.81171E-6</v>
      </c>
      <c r="I3275">
        <v>215.6301</v>
      </c>
      <c r="J3275">
        <v>-266.62639999999999</v>
      </c>
      <c r="K3275">
        <v>1.1049629999999999</v>
      </c>
      <c r="L3275">
        <v>215.392</v>
      </c>
      <c r="M3275">
        <v>0.99983580000000005</v>
      </c>
      <c r="N3275">
        <v>0</v>
      </c>
      <c r="O3275">
        <v>-1.1145520000000001E-2</v>
      </c>
      <c r="P3275">
        <v>0.99937039999999999</v>
      </c>
      <c r="Q3275">
        <v>2.3823960000000002E-2</v>
      </c>
      <c r="R3275">
        <v>2.6297250000000001E-2</v>
      </c>
      <c r="S3275">
        <v>3.0046080000000002</v>
      </c>
      <c r="T3275">
        <v>-0.17773559999999999</v>
      </c>
      <c r="U3275">
        <v>3.7841800000000002E-2</v>
      </c>
      <c r="V3275">
        <v>-3.748713E-2</v>
      </c>
      <c r="W3275">
        <v>3.804606E-2</v>
      </c>
      <c r="X3275">
        <v>0.99857260000000003</v>
      </c>
      <c r="Y3275">
        <v>-2.3677710000000001E-2</v>
      </c>
      <c r="Z3275">
        <v>1.3584529999999999E-3</v>
      </c>
      <c r="AA3275">
        <v>0.99971869999999996</v>
      </c>
      <c r="AB3275">
        <v>30</v>
      </c>
      <c r="AC3275">
        <v>18.371600000000001</v>
      </c>
      <c r="AD3275">
        <v>-1.10496018829</v>
      </c>
      <c r="AE3275">
        <v>0.238100000000002</v>
      </c>
      <c r="AF3275">
        <v>-0.44127115092820202</v>
      </c>
      <c r="AG3275">
        <v>-1.10496018829</v>
      </c>
      <c r="AH3275">
        <v>18.301611077152799</v>
      </c>
      <c r="AI3275">
        <v>93.4540386222629</v>
      </c>
      <c r="AJ3275">
        <v>91.381194082360096</v>
      </c>
      <c r="AK3275">
        <v>18.340246052485501</v>
      </c>
    </row>
    <row r="3276" spans="1:37" x14ac:dyDescent="0.2">
      <c r="A3276" t="str">
        <f>"20200111155912120"</f>
        <v>20200111155912120</v>
      </c>
      <c r="B3276" t="str">
        <f>"1578729552115011"</f>
        <v>1578729552115011</v>
      </c>
      <c r="C3276" t="s">
        <v>37</v>
      </c>
      <c r="D3276">
        <v>5.8258599999999996</v>
      </c>
      <c r="E3276">
        <v>0.50369920000000001</v>
      </c>
      <c r="F3276" t="s">
        <v>50</v>
      </c>
      <c r="G3276">
        <v>-245.16319999999999</v>
      </c>
      <c r="H3276" s="1">
        <v>1.1631980000000001E-6</v>
      </c>
      <c r="I3276">
        <v>215.7056</v>
      </c>
      <c r="J3276">
        <v>-266.31130000000002</v>
      </c>
      <c r="K3276">
        <v>1.1049709999999999</v>
      </c>
      <c r="L3276">
        <v>215.38929999999999</v>
      </c>
      <c r="M3276">
        <v>0.9998437</v>
      </c>
      <c r="N3276">
        <v>0</v>
      </c>
      <c r="O3276">
        <v>-1.0423750000000001E-2</v>
      </c>
      <c r="P3276">
        <v>0.99932389999999904</v>
      </c>
      <c r="Q3276">
        <v>2.4692550000000001E-2</v>
      </c>
      <c r="R3276">
        <v>2.7244150000000002E-2</v>
      </c>
      <c r="S3276">
        <v>3.0044249999999999</v>
      </c>
      <c r="T3276">
        <v>-0.1546729</v>
      </c>
      <c r="U3276">
        <v>4.3899540000000001E-2</v>
      </c>
      <c r="V3276">
        <v>-3.7712990000000002E-2</v>
      </c>
      <c r="W3276">
        <v>3.8910409999999999E-2</v>
      </c>
      <c r="X3276">
        <v>0.99853080000000005</v>
      </c>
      <c r="Y3276">
        <v>-2.4986080000000001E-2</v>
      </c>
      <c r="Z3276">
        <v>1.179009E-3</v>
      </c>
      <c r="AA3276">
        <v>0.99968709999999905</v>
      </c>
      <c r="AB3276">
        <v>30</v>
      </c>
      <c r="AC3276">
        <v>21.148099999999999</v>
      </c>
      <c r="AD3276">
        <v>-1.104969836802</v>
      </c>
      <c r="AE3276">
        <v>0.31630000000001202</v>
      </c>
      <c r="AF3276">
        <v>-0.53528680856114597</v>
      </c>
      <c r="AG3276">
        <v>-1.104969836802</v>
      </c>
      <c r="AH3276">
        <v>21.0861018612427</v>
      </c>
      <c r="AI3276">
        <v>92.998748604803495</v>
      </c>
      <c r="AJ3276">
        <v>91.454184821971694</v>
      </c>
      <c r="AK3276">
        <v>21.121817677708599</v>
      </c>
    </row>
    <row r="3277" spans="1:37" x14ac:dyDescent="0.2">
      <c r="A3277" t="str">
        <f>"20200111155912143"</f>
        <v>20200111155912143</v>
      </c>
      <c r="B3277" t="str">
        <f>"1578729552135508"</f>
        <v>1578729552135508</v>
      </c>
      <c r="C3277" t="s">
        <v>37</v>
      </c>
      <c r="D3277">
        <v>5.6888389999999998</v>
      </c>
      <c r="E3277">
        <v>0.50369909999999996</v>
      </c>
      <c r="F3277" t="s">
        <v>50</v>
      </c>
      <c r="G3277">
        <v>-243.88759999999999</v>
      </c>
      <c r="H3277" s="1">
        <v>4.8112779999999998E-7</v>
      </c>
      <c r="I3277">
        <v>215.78030000000001</v>
      </c>
      <c r="J3277">
        <v>-266.0059</v>
      </c>
      <c r="K3277">
        <v>1.1049739999999999</v>
      </c>
      <c r="L3277">
        <v>215.3869</v>
      </c>
      <c r="M3277">
        <v>0.99985079999999904</v>
      </c>
      <c r="N3277">
        <v>0</v>
      </c>
      <c r="O3277">
        <v>-9.7236660000000006E-3</v>
      </c>
      <c r="P3277">
        <v>0.99929590000000001</v>
      </c>
      <c r="Q3277">
        <v>2.517985E-2</v>
      </c>
      <c r="R3277">
        <v>2.78200999999999E-2</v>
      </c>
      <c r="S3277">
        <v>3.0042719999999998</v>
      </c>
      <c r="T3277">
        <v>-0.14804110000000001</v>
      </c>
      <c r="U3277">
        <v>5.238342E-2</v>
      </c>
      <c r="V3277">
        <v>-3.7589919999999999E-2</v>
      </c>
      <c r="W3277">
        <v>3.9394499999999999E-2</v>
      </c>
      <c r="X3277">
        <v>0.99851639999999997</v>
      </c>
      <c r="Y3277">
        <v>-2.7111329999999999E-2</v>
      </c>
      <c r="Z3277">
        <v>1.146403E-3</v>
      </c>
      <c r="AA3277">
        <v>0.99963179999999996</v>
      </c>
      <c r="AB3277">
        <v>30</v>
      </c>
      <c r="AC3277">
        <v>22.118300000000001</v>
      </c>
      <c r="AD3277">
        <v>-1.1049735188721901</v>
      </c>
      <c r="AE3277">
        <v>0.39340000000001402</v>
      </c>
      <c r="AF3277">
        <v>-0.60695994330206304</v>
      </c>
      <c r="AG3277">
        <v>-1.1049735188721901</v>
      </c>
      <c r="AH3277">
        <v>22.058393721860501</v>
      </c>
      <c r="AI3277">
        <v>92.866643445470103</v>
      </c>
      <c r="AJ3277">
        <v>91.576156031966505</v>
      </c>
      <c r="AK3277">
        <v>22.094390700781901</v>
      </c>
    </row>
    <row r="3278" spans="1:37" x14ac:dyDescent="0.2">
      <c r="A3278" t="str">
        <f>"20200111155912164"</f>
        <v>20200111155912164</v>
      </c>
      <c r="B3278" t="str">
        <f>"1578729552155027"</f>
        <v>1578729552155027</v>
      </c>
      <c r="C3278" t="s">
        <v>37</v>
      </c>
      <c r="D3278">
        <v>5.7232260000000004</v>
      </c>
      <c r="E3278">
        <v>0.50385709999999995</v>
      </c>
      <c r="F3278" t="s">
        <v>50</v>
      </c>
      <c r="G3278">
        <v>-244.54300000000001</v>
      </c>
      <c r="H3278" s="1">
        <v>8.3008539999999998E-7</v>
      </c>
      <c r="I3278">
        <v>215.77529999999999</v>
      </c>
      <c r="J3278">
        <v>-265.7165</v>
      </c>
      <c r="K3278">
        <v>1.10497</v>
      </c>
      <c r="L3278">
        <v>215.38480000000001</v>
      </c>
      <c r="M3278">
        <v>0.99985709999999905</v>
      </c>
      <c r="N3278">
        <v>0</v>
      </c>
      <c r="O3278">
        <v>-9.0601829999999994E-3</v>
      </c>
      <c r="P3278">
        <v>0.99928459999999997</v>
      </c>
      <c r="Q3278">
        <v>2.4694000000000001E-2</v>
      </c>
      <c r="R3278">
        <v>2.8651360000000001E-2</v>
      </c>
      <c r="S3278">
        <v>3.0044559999999998</v>
      </c>
      <c r="T3278">
        <v>-0.15467819999999999</v>
      </c>
      <c r="U3278">
        <v>5.4367070000000003E-2</v>
      </c>
      <c r="V3278">
        <v>-3.7756820000000003E-2</v>
      </c>
      <c r="W3278">
        <v>3.890565E-2</v>
      </c>
      <c r="X3278">
        <v>0.99852929999999995</v>
      </c>
      <c r="Y3278">
        <v>-2.7103519999999999E-2</v>
      </c>
      <c r="Z3278">
        <v>1.163316E-3</v>
      </c>
      <c r="AA3278">
        <v>0.99963189999999902</v>
      </c>
      <c r="AB3278">
        <v>30</v>
      </c>
      <c r="AC3278">
        <v>21.173499999999901</v>
      </c>
      <c r="AD3278">
        <v>-1.1049691699146</v>
      </c>
      <c r="AE3278">
        <v>0.39049999999997398</v>
      </c>
      <c r="AF3278">
        <v>-0.58075818236133603</v>
      </c>
      <c r="AG3278">
        <v>-1.1049691699146</v>
      </c>
      <c r="AH3278">
        <v>21.111616110017799</v>
      </c>
      <c r="AI3278">
        <v>92.994961537971193</v>
      </c>
      <c r="AJ3278">
        <v>91.575748766784002</v>
      </c>
      <c r="AK3278">
        <v>21.148488638898201</v>
      </c>
    </row>
    <row r="3279" spans="1:37" x14ac:dyDescent="0.2">
      <c r="A3279" t="str">
        <f>"20200111155912186"</f>
        <v>20200111155912186</v>
      </c>
      <c r="B3279" t="str">
        <f>"1578729552175523"</f>
        <v>1578729552175523</v>
      </c>
      <c r="C3279" t="s">
        <v>37</v>
      </c>
      <c r="D3279">
        <v>5.7519900000000002</v>
      </c>
      <c r="E3279">
        <v>0.50339639999999997</v>
      </c>
      <c r="F3279" t="s">
        <v>50</v>
      </c>
      <c r="G3279">
        <v>-245.48560000000001</v>
      </c>
      <c r="H3279" s="1">
        <v>1.3323599999999999E-6</v>
      </c>
      <c r="I3279">
        <v>215.76060000000001</v>
      </c>
      <c r="J3279">
        <v>-265.42419999999998</v>
      </c>
      <c r="K3279">
        <v>1.104973</v>
      </c>
      <c r="L3279">
        <v>215.38290000000001</v>
      </c>
      <c r="M3279">
        <v>0.99986299999999995</v>
      </c>
      <c r="N3279">
        <v>0</v>
      </c>
      <c r="O3279">
        <v>-8.3900229999999999E-3</v>
      </c>
      <c r="P3279">
        <v>0.99925919999999901</v>
      </c>
      <c r="Q3279">
        <v>2.4047559999999999E-2</v>
      </c>
      <c r="R3279">
        <v>3.0048350000000001E-2</v>
      </c>
      <c r="S3279">
        <v>3.0046390000000001</v>
      </c>
      <c r="T3279">
        <v>-0.164107</v>
      </c>
      <c r="U3279">
        <v>5.5816650000000002E-2</v>
      </c>
      <c r="V3279">
        <v>-3.8482919999999997E-2</v>
      </c>
      <c r="W3279">
        <v>3.8255240000000003E-2</v>
      </c>
      <c r="X3279">
        <v>0.99852669999999999</v>
      </c>
      <c r="Y3279">
        <v>-2.6909800000000001E-2</v>
      </c>
      <c r="Z3279">
        <v>1.192184E-3</v>
      </c>
      <c r="AA3279">
        <v>0.99963709999999995</v>
      </c>
      <c r="AB3279">
        <v>30</v>
      </c>
      <c r="AC3279">
        <v>19.938599999999902</v>
      </c>
      <c r="AD3279">
        <v>-1.1049716676399901</v>
      </c>
      <c r="AE3279">
        <v>0.37770000000000398</v>
      </c>
      <c r="AF3279">
        <v>-0.54332097982155103</v>
      </c>
      <c r="AG3279">
        <v>-1.1049716676399901</v>
      </c>
      <c r="AH3279">
        <v>19.8737139076269</v>
      </c>
      <c r="AI3279">
        <v>93.181162998865801</v>
      </c>
      <c r="AJ3279">
        <v>91.5660005539482</v>
      </c>
      <c r="AK3279">
        <v>19.911822230916101</v>
      </c>
    </row>
    <row r="3280" spans="1:37" x14ac:dyDescent="0.2">
      <c r="A3280" t="str">
        <f>"20200111155912210"</f>
        <v>20200111155912210</v>
      </c>
      <c r="B3280" t="str">
        <f>"1578729552205310"</f>
        <v>1578729552205310</v>
      </c>
      <c r="C3280" t="s">
        <v>37</v>
      </c>
      <c r="D3280">
        <v>5.7293580000000004</v>
      </c>
      <c r="E3280">
        <v>0.50358619999999998</v>
      </c>
      <c r="F3280" t="s">
        <v>50</v>
      </c>
      <c r="G3280">
        <v>-244.8854</v>
      </c>
      <c r="H3280" s="1">
        <v>1.0104159999999999E-6</v>
      </c>
      <c r="I3280">
        <v>215.81899999999999</v>
      </c>
      <c r="J3280">
        <v>-265.108</v>
      </c>
      <c r="K3280">
        <v>1.104975</v>
      </c>
      <c r="L3280">
        <v>215.3811</v>
      </c>
      <c r="M3280">
        <v>0.9998688</v>
      </c>
      <c r="N3280">
        <v>0</v>
      </c>
      <c r="O3280">
        <v>-7.6649099999999996E-3</v>
      </c>
      <c r="P3280">
        <v>0.99915830000000005</v>
      </c>
      <c r="Q3280">
        <v>2.5878129999999999E-2</v>
      </c>
      <c r="R3280">
        <v>3.1833189999999997E-2</v>
      </c>
      <c r="S3280">
        <v>3.004181</v>
      </c>
      <c r="T3280">
        <v>-0.16162260000000001</v>
      </c>
      <c r="U3280">
        <v>6.3781740000000003E-2</v>
      </c>
      <c r="V3280">
        <v>-3.9545179999999999E-2</v>
      </c>
      <c r="W3280">
        <v>4.0079650000000001E-2</v>
      </c>
      <c r="X3280">
        <v>0.99841360000000001</v>
      </c>
      <c r="Y3280">
        <v>-2.8836779999999999E-2</v>
      </c>
      <c r="Z3280">
        <v>1.1871200000000001E-3</v>
      </c>
      <c r="AA3280">
        <v>0.99958340000000001</v>
      </c>
      <c r="AB3280">
        <v>30</v>
      </c>
      <c r="AC3280">
        <v>20.2226</v>
      </c>
      <c r="AD3280">
        <v>-1.1049739895840001</v>
      </c>
      <c r="AE3280">
        <v>0.437900000000013</v>
      </c>
      <c r="AF3280">
        <v>-0.59114324297518706</v>
      </c>
      <c r="AG3280">
        <v>-1.1049739895840001</v>
      </c>
      <c r="AH3280">
        <v>20.158492236986898</v>
      </c>
      <c r="AI3280">
        <v>93.136143772677499</v>
      </c>
      <c r="AJ3280">
        <v>91.679704452340701</v>
      </c>
      <c r="AK3280">
        <v>20.197406445383798</v>
      </c>
    </row>
    <row r="3281" spans="1:37" x14ac:dyDescent="0.2">
      <c r="A3281" t="str">
        <f>"20200111155912231"</f>
        <v>20200111155912231</v>
      </c>
      <c r="B3281" t="str">
        <f>"1578729552224830"</f>
        <v>1578729552224830</v>
      </c>
      <c r="C3281" t="s">
        <v>37</v>
      </c>
      <c r="D3281">
        <v>5.7674459999999996</v>
      </c>
      <c r="E3281">
        <v>0.50363500000000005</v>
      </c>
      <c r="F3281" t="s">
        <v>50</v>
      </c>
      <c r="G3281">
        <v>-244.2047</v>
      </c>
      <c r="H3281" s="1">
        <v>6.467174E-7</v>
      </c>
      <c r="I3281">
        <v>215.85239999999999</v>
      </c>
      <c r="J3281">
        <v>-264.81110000000001</v>
      </c>
      <c r="K3281">
        <v>1.104984</v>
      </c>
      <c r="L3281">
        <v>215.37960000000001</v>
      </c>
      <c r="M3281">
        <v>0.99987389999999998</v>
      </c>
      <c r="N3281">
        <v>0</v>
      </c>
      <c r="O3281">
        <v>-6.9839009999999998E-3</v>
      </c>
      <c r="P3281">
        <v>0.99905659999999896</v>
      </c>
      <c r="Q3281">
        <v>2.7132E-2</v>
      </c>
      <c r="R3281">
        <v>3.3913859999999997E-2</v>
      </c>
      <c r="S3281">
        <v>3.0045169999999999</v>
      </c>
      <c r="T3281">
        <v>-0.15882270000000001</v>
      </c>
      <c r="U3281">
        <v>6.7749019999999993E-2</v>
      </c>
      <c r="V3281">
        <v>-4.0946070000000001E-2</v>
      </c>
      <c r="W3281">
        <v>4.1327450000000002E-2</v>
      </c>
      <c r="X3281">
        <v>0.99830629999999998</v>
      </c>
      <c r="Y3281">
        <v>-2.9474730000000001E-2</v>
      </c>
      <c r="Z3281">
        <v>1.147311E-3</v>
      </c>
      <c r="AA3281">
        <v>0.99956489999999998</v>
      </c>
      <c r="AB3281">
        <v>30</v>
      </c>
      <c r="AC3281">
        <v>20.606400000000001</v>
      </c>
      <c r="AD3281">
        <v>-1.1049833532825999</v>
      </c>
      <c r="AE3281">
        <v>0.47279999999997802</v>
      </c>
      <c r="AF3281">
        <v>-0.61494883363302</v>
      </c>
      <c r="AG3281">
        <v>-1.1049833532825999</v>
      </c>
      <c r="AH3281">
        <v>20.543553959299899</v>
      </c>
      <c r="AI3281">
        <v>93.077445619936299</v>
      </c>
      <c r="AJ3281">
        <v>91.714574549215698</v>
      </c>
      <c r="AK3281">
        <v>20.582438134431101</v>
      </c>
    </row>
    <row r="3282" spans="1:37" x14ac:dyDescent="0.2">
      <c r="A3282" t="str">
        <f>"20200111155912254"</f>
        <v>20200111155912254</v>
      </c>
      <c r="B3282" t="str">
        <f>"1578729552245326"</f>
        <v>1578729552245326</v>
      </c>
      <c r="C3282" t="s">
        <v>37</v>
      </c>
      <c r="D3282">
        <v>5.7867259999999998</v>
      </c>
      <c r="E3282">
        <v>0.50367229999999996</v>
      </c>
      <c r="F3282" t="s">
        <v>50</v>
      </c>
      <c r="G3282">
        <v>-243.46039999999999</v>
      </c>
      <c r="H3282" s="1">
        <v>2.4848859999999997E-7</v>
      </c>
      <c r="I3282">
        <v>215.90129999999999</v>
      </c>
      <c r="J3282">
        <v>-264.51839999999999</v>
      </c>
      <c r="K3282">
        <v>1.1049869999999999</v>
      </c>
      <c r="L3282">
        <v>215.3783</v>
      </c>
      <c r="M3282">
        <v>0.99987839999999995</v>
      </c>
      <c r="N3282">
        <v>0</v>
      </c>
      <c r="O3282">
        <v>-6.3127859999999999E-3</v>
      </c>
      <c r="P3282">
        <v>0.99894269999999996</v>
      </c>
      <c r="Q3282">
        <v>2.7831560000000002E-2</v>
      </c>
      <c r="R3282">
        <v>3.6592760000000002E-2</v>
      </c>
      <c r="S3282">
        <v>3.004578</v>
      </c>
      <c r="T3282">
        <v>-0.15549869999999999</v>
      </c>
      <c r="U3282">
        <v>7.3410030000000001E-2</v>
      </c>
      <c r="V3282">
        <v>-4.2954539999999999E-2</v>
      </c>
      <c r="W3282">
        <v>4.2019699999999903E-2</v>
      </c>
      <c r="X3282">
        <v>0.998193</v>
      </c>
      <c r="Y3282">
        <v>-3.0686999999999999E-2</v>
      </c>
      <c r="Z3282">
        <v>1.1199199999999999E-3</v>
      </c>
      <c r="AA3282">
        <v>0.99952839999999998</v>
      </c>
      <c r="AB3282">
        <v>30</v>
      </c>
      <c r="AC3282">
        <v>21.058</v>
      </c>
      <c r="AD3282">
        <v>-1.1049867515114</v>
      </c>
      <c r="AE3282">
        <v>0.52299999999999602</v>
      </c>
      <c r="AF3282">
        <v>-0.65413770502756696</v>
      </c>
      <c r="AG3282">
        <v>-1.1049867515114</v>
      </c>
      <c r="AH3282">
        <v>20.996500857577399</v>
      </c>
      <c r="AI3282">
        <v>93.011078244204896</v>
      </c>
      <c r="AJ3282">
        <v>91.784450232866305</v>
      </c>
      <c r="AK3282">
        <v>21.035730082894801</v>
      </c>
    </row>
    <row r="3283" spans="1:37" x14ac:dyDescent="0.2">
      <c r="A3283" t="str">
        <f>"20200111155912275"</f>
        <v>20200111155912275</v>
      </c>
      <c r="B3283" t="str">
        <f>"1578729552264846"</f>
        <v>1578729552264846</v>
      </c>
      <c r="C3283" t="s">
        <v>37</v>
      </c>
      <c r="D3283">
        <v>5.723821</v>
      </c>
      <c r="E3283">
        <v>0.50385199999999997</v>
      </c>
      <c r="F3283" t="s">
        <v>50</v>
      </c>
      <c r="G3283">
        <v>-242.99209999999999</v>
      </c>
      <c r="H3283" s="1">
        <v>-3.2092229999999999E-9</v>
      </c>
      <c r="I3283">
        <v>215.95830000000001</v>
      </c>
      <c r="J3283">
        <v>-264.22219999999999</v>
      </c>
      <c r="K3283">
        <v>1.104981</v>
      </c>
      <c r="L3283">
        <v>215.37719999999999</v>
      </c>
      <c r="M3283">
        <v>0.99988259999999995</v>
      </c>
      <c r="N3283">
        <v>0</v>
      </c>
      <c r="O3283">
        <v>-5.6334449999999999E-3</v>
      </c>
      <c r="P3283">
        <v>0.99883089999999997</v>
      </c>
      <c r="Q3283">
        <v>2.7933489999999998E-2</v>
      </c>
      <c r="R3283">
        <v>3.9462699999999899E-2</v>
      </c>
      <c r="S3283">
        <v>3.0045169999999999</v>
      </c>
      <c r="T3283">
        <v>-0.15422739999999999</v>
      </c>
      <c r="U3283">
        <v>8.094788E-2</v>
      </c>
      <c r="V3283">
        <v>-4.514518E-2</v>
      </c>
      <c r="W3283">
        <v>4.2114499999999999E-2</v>
      </c>
      <c r="X3283">
        <v>0.99809230000000004</v>
      </c>
      <c r="Y3283">
        <v>-3.2513640000000003E-2</v>
      </c>
      <c r="Z3283">
        <v>1.1227589999999899E-3</v>
      </c>
      <c r="AA3283">
        <v>0.99947070000000005</v>
      </c>
      <c r="AB3283">
        <v>30</v>
      </c>
      <c r="AC3283">
        <v>21.2301</v>
      </c>
      <c r="AD3283">
        <v>-1.10498100320922</v>
      </c>
      <c r="AE3283">
        <v>0.58110000000002004</v>
      </c>
      <c r="AF3283">
        <v>-0.69880987841437903</v>
      </c>
      <c r="AG3283">
        <v>-1.10498100320922</v>
      </c>
      <c r="AH3283">
        <v>21.1691851920069</v>
      </c>
      <c r="AI3283">
        <v>92.986367647818099</v>
      </c>
      <c r="AJ3283">
        <v>91.890687917902497</v>
      </c>
      <c r="AK3283">
        <v>21.2095195597899</v>
      </c>
    </row>
    <row r="3284" spans="1:37" x14ac:dyDescent="0.2">
      <c r="A3284" t="str">
        <f>"20200111155912298"</f>
        <v>20200111155912298</v>
      </c>
      <c r="B3284" t="str">
        <f>"1578729552295102"</f>
        <v>1578729552295102</v>
      </c>
      <c r="C3284" t="s">
        <v>37</v>
      </c>
      <c r="D3284">
        <v>5.8167289999999996</v>
      </c>
      <c r="E3284">
        <v>0.50316959999999999</v>
      </c>
      <c r="F3284" t="s">
        <v>50</v>
      </c>
      <c r="G3284">
        <v>-243.0882</v>
      </c>
      <c r="H3284" s="1">
        <v>4.6389150000000001E-8</v>
      </c>
      <c r="I3284">
        <v>215.99369999999999</v>
      </c>
      <c r="J3284">
        <v>-263.92059999999998</v>
      </c>
      <c r="K3284">
        <v>1.1049690000000001</v>
      </c>
      <c r="L3284">
        <v>215.37629999999999</v>
      </c>
      <c r="M3284">
        <v>0.99988619999999995</v>
      </c>
      <c r="N3284">
        <v>0</v>
      </c>
      <c r="O3284">
        <v>-4.9413529999999999E-3</v>
      </c>
      <c r="P3284">
        <v>0.99873230000000002</v>
      </c>
      <c r="Q3284">
        <v>2.6745359999999999E-2</v>
      </c>
      <c r="R3284">
        <v>4.2645710000000003E-2</v>
      </c>
      <c r="S3284">
        <v>3.0044249999999999</v>
      </c>
      <c r="T3284">
        <v>-0.15708469999999999</v>
      </c>
      <c r="U3284">
        <v>8.7631230000000004E-2</v>
      </c>
      <c r="V3284">
        <v>-4.7635070000000002E-2</v>
      </c>
      <c r="W3284">
        <v>4.0918669999999997E-2</v>
      </c>
      <c r="X3284">
        <v>0.99802630000000003</v>
      </c>
      <c r="Y3284">
        <v>-3.4041179999999997E-2</v>
      </c>
      <c r="Z3284">
        <v>1.1472710000000001E-3</v>
      </c>
      <c r="AA3284">
        <v>0.99941970000000002</v>
      </c>
      <c r="AB3284">
        <v>30</v>
      </c>
      <c r="AC3284">
        <v>20.8323999999999</v>
      </c>
      <c r="AD3284">
        <v>-1.10496895361085</v>
      </c>
      <c r="AE3284">
        <v>0.61740000000000295</v>
      </c>
      <c r="AF3284">
        <v>-0.71832404874823397</v>
      </c>
      <c r="AG3284">
        <v>-1.10496895361085</v>
      </c>
      <c r="AH3284">
        <v>20.770710813290702</v>
      </c>
      <c r="AI3284">
        <v>93.043358309077405</v>
      </c>
      <c r="AJ3284">
        <v>91.980699663608604</v>
      </c>
      <c r="AK3284">
        <v>20.8124811955905</v>
      </c>
    </row>
    <row r="3285" spans="1:37" x14ac:dyDescent="0.2">
      <c r="A3285" t="str">
        <f>"20200111155912321"</f>
        <v>20200111155912321</v>
      </c>
      <c r="B3285" t="str">
        <f>"1578729552315599"</f>
        <v>1578729552315599</v>
      </c>
      <c r="C3285" t="s">
        <v>37</v>
      </c>
      <c r="D3285">
        <v>5.7674820000000002</v>
      </c>
      <c r="E3285">
        <v>0.47803559999999901</v>
      </c>
      <c r="F3285" t="s">
        <v>50</v>
      </c>
      <c r="G3285">
        <v>-243.54040000000001</v>
      </c>
      <c r="H3285" s="1">
        <v>2.8365989999999999E-7</v>
      </c>
      <c r="I3285">
        <v>216.07079999999999</v>
      </c>
      <c r="J3285">
        <v>-263.60640000000001</v>
      </c>
      <c r="K3285">
        <v>1.1049610000000001</v>
      </c>
      <c r="L3285">
        <v>215.37559999999999</v>
      </c>
      <c r="M3285">
        <v>0.99988960000000005</v>
      </c>
      <c r="N3285">
        <v>0</v>
      </c>
      <c r="O3285">
        <v>-4.2198189999999997E-3</v>
      </c>
      <c r="P3285">
        <v>0.99862859999999998</v>
      </c>
      <c r="Q3285">
        <v>2.529377E-2</v>
      </c>
      <c r="R3285">
        <v>4.5842399999999998E-2</v>
      </c>
      <c r="S3285">
        <v>3.0038149999999999</v>
      </c>
      <c r="T3285">
        <v>-0.16286020000000001</v>
      </c>
      <c r="U3285">
        <v>0.102355999999999</v>
      </c>
      <c r="V3285">
        <v>-5.0108720000000002E-2</v>
      </c>
      <c r="W3285">
        <v>3.9459769999999998E-2</v>
      </c>
      <c r="X3285">
        <v>0.99796399999999996</v>
      </c>
      <c r="Y3285">
        <v>-3.8210809999999998E-2</v>
      </c>
      <c r="Z3285">
        <v>1.263375E-3</v>
      </c>
      <c r="AA3285">
        <v>0.99926890000000002</v>
      </c>
      <c r="AB3285">
        <v>30</v>
      </c>
      <c r="AC3285">
        <v>20.065999999999999</v>
      </c>
      <c r="AD3285">
        <v>-1.1049607163401001</v>
      </c>
      <c r="AE3285">
        <v>0.69519999999999904</v>
      </c>
      <c r="AF3285">
        <v>-0.77752243797078102</v>
      </c>
      <c r="AG3285">
        <v>-1.1049607163401001</v>
      </c>
      <c r="AH3285">
        <v>20.002307125294099</v>
      </c>
      <c r="AI3285">
        <v>93.159519164781798</v>
      </c>
      <c r="AJ3285">
        <v>92.226060045398</v>
      </c>
      <c r="AK3285">
        <v>20.047886912609901</v>
      </c>
    </row>
    <row r="3286" spans="1:37" x14ac:dyDescent="0.2">
      <c r="A3286" t="str">
        <f>"20200111155912342"</f>
        <v>20200111155912342</v>
      </c>
      <c r="B3286" t="str">
        <f>"1578729552335118"</f>
        <v>1578729552335118</v>
      </c>
      <c r="C3286" t="s">
        <v>37</v>
      </c>
      <c r="D3286">
        <v>9.0163010000000003</v>
      </c>
      <c r="E3286">
        <v>0.47816340000000002</v>
      </c>
      <c r="F3286" t="s">
        <v>50</v>
      </c>
      <c r="G3286">
        <v>-250.1798</v>
      </c>
      <c r="H3286" s="1">
        <v>-1.535355E-6</v>
      </c>
      <c r="I3286">
        <v>216.77250000000001</v>
      </c>
      <c r="J3286">
        <v>-263.32080000000002</v>
      </c>
      <c r="K3286">
        <v>1.104967</v>
      </c>
      <c r="L3286">
        <v>215.3751</v>
      </c>
      <c r="M3286">
        <v>0.99989219999999901</v>
      </c>
      <c r="N3286">
        <v>0</v>
      </c>
      <c r="O3286">
        <v>-3.5639619999999999E-3</v>
      </c>
      <c r="P3286">
        <v>0.99849880000000002</v>
      </c>
      <c r="Q3286">
        <v>2.4867940000000002E-2</v>
      </c>
      <c r="R3286">
        <v>4.8807059999999999E-2</v>
      </c>
      <c r="S3286">
        <v>2.9960629999999999</v>
      </c>
      <c r="T3286">
        <v>-0.24656529999999999</v>
      </c>
      <c r="U3286">
        <v>0.3117065</v>
      </c>
      <c r="V3286">
        <v>-5.2417430000000001E-2</v>
      </c>
      <c r="W3286">
        <v>3.9026669999999999E-2</v>
      </c>
      <c r="X3286">
        <v>0.99786239999999904</v>
      </c>
      <c r="Y3286">
        <v>-0.106656</v>
      </c>
      <c r="Z3286">
        <v>4.6616330000000001E-3</v>
      </c>
      <c r="AA3286">
        <v>0.99428499999999997</v>
      </c>
      <c r="AB3286">
        <v>30</v>
      </c>
      <c r="AC3286">
        <v>13.141</v>
      </c>
      <c r="AD3286">
        <v>-1.1049685353550001</v>
      </c>
      <c r="AE3286">
        <v>1.3974</v>
      </c>
      <c r="AF3286">
        <v>-1.4342029194019099</v>
      </c>
      <c r="AG3286">
        <v>-1.1049685353550001</v>
      </c>
      <c r="AH3286">
        <v>13.0447357376655</v>
      </c>
      <c r="AI3286">
        <v>94.812879441718096</v>
      </c>
      <c r="AJ3286">
        <v>96.274182485172204</v>
      </c>
      <c r="AK3286">
        <v>13.169776913208199</v>
      </c>
    </row>
    <row r="3287" spans="1:37" x14ac:dyDescent="0.2">
      <c r="A3287" t="str">
        <f>"20200111155912387"</f>
        <v>20200111155912387</v>
      </c>
      <c r="B3287" t="str">
        <f>"1578729552375135"</f>
        <v>1578729552375135</v>
      </c>
      <c r="C3287" t="s">
        <v>37</v>
      </c>
      <c r="D3287">
        <v>6.2844499999999996</v>
      </c>
      <c r="E3287">
        <v>0.48252010000000001</v>
      </c>
      <c r="F3287" t="s">
        <v>50</v>
      </c>
      <c r="G3287">
        <v>-250.12620000000001</v>
      </c>
      <c r="H3287" s="1">
        <v>-1.564331E-6</v>
      </c>
      <c r="I3287">
        <v>216.7825</v>
      </c>
      <c r="J3287">
        <v>-262.72680000000003</v>
      </c>
      <c r="K3287">
        <v>1.1049690000000001</v>
      </c>
      <c r="L3287">
        <v>215.37469999999999</v>
      </c>
      <c r="M3287">
        <v>0.99989609999999995</v>
      </c>
      <c r="N3287">
        <v>0</v>
      </c>
      <c r="O3287">
        <v>-2.1990859999999998E-3</v>
      </c>
      <c r="P3287">
        <v>0.99831630000000005</v>
      </c>
      <c r="Q3287">
        <v>2.4185620000000001E-2</v>
      </c>
      <c r="R3287">
        <v>5.2722619999999998E-2</v>
      </c>
      <c r="S3287">
        <v>2.9951479999999999</v>
      </c>
      <c r="T3287">
        <v>-0.25082470000000001</v>
      </c>
      <c r="U3287">
        <v>0.31947329999999902</v>
      </c>
      <c r="V3287">
        <v>-5.4968169999999997E-2</v>
      </c>
      <c r="W3287">
        <v>3.8333390000000002E-2</v>
      </c>
      <c r="X3287">
        <v>0.99775199999999997</v>
      </c>
      <c r="Y3287">
        <v>-0.1078677</v>
      </c>
      <c r="Z3287">
        <v>4.6793859999999998E-3</v>
      </c>
      <c r="AA3287">
        <v>0.99415429999999905</v>
      </c>
      <c r="AB3287">
        <v>30</v>
      </c>
      <c r="AC3287">
        <v>12.6006</v>
      </c>
      <c r="AD3287">
        <v>-1.1049705643309999</v>
      </c>
      <c r="AE3287">
        <v>1.4077999999999999</v>
      </c>
      <c r="AF3287">
        <v>-1.4246886087316799</v>
      </c>
      <c r="AG3287">
        <v>-1.1049705643309999</v>
      </c>
      <c r="AH3287">
        <v>12.5025159230842</v>
      </c>
      <c r="AI3287">
        <v>95.018360392778305</v>
      </c>
      <c r="AJ3287">
        <v>96.500935798049895</v>
      </c>
      <c r="AK3287">
        <v>12.631848716116799</v>
      </c>
    </row>
    <row r="3288" spans="1:37" x14ac:dyDescent="0.2">
      <c r="A3288" t="str">
        <f>"20200111155912410"</f>
        <v>20200111155912410</v>
      </c>
      <c r="B3288" t="str">
        <f>"1578729552404923"</f>
        <v>1578729552404923</v>
      </c>
      <c r="C3288" t="s">
        <v>37</v>
      </c>
      <c r="D3288">
        <v>6.1203129999999897</v>
      </c>
      <c r="E3288">
        <v>0.48386479999999998</v>
      </c>
      <c r="F3288" t="s">
        <v>50</v>
      </c>
      <c r="G3288">
        <v>-235.1052</v>
      </c>
      <c r="H3288" s="1">
        <v>1.0270700000000001E-6</v>
      </c>
      <c r="I3288">
        <v>218.11369999999999</v>
      </c>
      <c r="J3288">
        <v>-262.42259999999999</v>
      </c>
      <c r="K3288">
        <v>1.104973</v>
      </c>
      <c r="L3288">
        <v>215.3749</v>
      </c>
      <c r="M3288">
        <v>0.99989740000000005</v>
      </c>
      <c r="N3288">
        <v>0</v>
      </c>
      <c r="O3288">
        <v>-1.5000789999999901E-3</v>
      </c>
      <c r="P3288">
        <v>0.99826250000000005</v>
      </c>
      <c r="Q3288">
        <v>2.4441319999999999E-2</v>
      </c>
      <c r="R3288">
        <v>5.361863E-2</v>
      </c>
      <c r="S3288">
        <v>2.9923099999999998</v>
      </c>
      <c r="T3288">
        <v>-0.1197038</v>
      </c>
      <c r="U3288">
        <v>0.2967224</v>
      </c>
      <c r="V3288">
        <v>-5.5166970000000003E-2</v>
      </c>
      <c r="W3288">
        <v>3.858545E-2</v>
      </c>
      <c r="X3288">
        <v>0.99773129999999999</v>
      </c>
      <c r="Y3288">
        <v>-0.10009</v>
      </c>
      <c r="Z3288">
        <v>2.0561469999999999E-3</v>
      </c>
      <c r="AA3288">
        <v>0.99497630000000004</v>
      </c>
      <c r="AB3288">
        <v>30</v>
      </c>
      <c r="AC3288">
        <v>27.3173999999999</v>
      </c>
      <c r="AD3288">
        <v>-1.10497197293</v>
      </c>
      <c r="AE3288">
        <v>2.7387999999999901</v>
      </c>
      <c r="AF3288">
        <v>-2.77528373567548</v>
      </c>
      <c r="AG3288">
        <v>-1.10497197293</v>
      </c>
      <c r="AH3288">
        <v>27.269088046353801</v>
      </c>
      <c r="AI3288">
        <v>92.308503596477607</v>
      </c>
      <c r="AJ3288">
        <v>95.811210813782196</v>
      </c>
      <c r="AK3288">
        <v>27.432213285738701</v>
      </c>
    </row>
    <row r="3289" spans="1:37" x14ac:dyDescent="0.2">
      <c r="A3289" t="str">
        <f>"20200111155912455"</f>
        <v>20200111155912455</v>
      </c>
      <c r="B3289" t="str">
        <f>"1578729552444938"</f>
        <v>1578729552444938</v>
      </c>
      <c r="C3289" t="s">
        <v>37</v>
      </c>
      <c r="D3289">
        <v>6.2541709999999897</v>
      </c>
      <c r="E3289">
        <v>0.48569209999999902</v>
      </c>
      <c r="F3289" t="s">
        <v>50</v>
      </c>
      <c r="G3289">
        <v>-235.1807</v>
      </c>
      <c r="H3289" s="1">
        <v>1.072165E-6</v>
      </c>
      <c r="I3289">
        <v>218.00149999999999</v>
      </c>
      <c r="J3289">
        <v>-261.839</v>
      </c>
      <c r="K3289">
        <v>1.1049719999999901</v>
      </c>
      <c r="L3289">
        <v>215.37569999999999</v>
      </c>
      <c r="M3289">
        <v>0.99989869999999903</v>
      </c>
      <c r="N3289">
        <v>0</v>
      </c>
      <c r="O3289">
        <v>-1.583283E-4</v>
      </c>
      <c r="P3289">
        <v>0.99836579999999997</v>
      </c>
      <c r="Q3289">
        <v>2.3074560000000001E-2</v>
      </c>
      <c r="R3289">
        <v>5.2280010000000002E-2</v>
      </c>
      <c r="S3289">
        <v>2.9927060000000001</v>
      </c>
      <c r="T3289">
        <v>-0.121388699999999</v>
      </c>
      <c r="U3289">
        <v>0.28855900000000001</v>
      </c>
      <c r="V3289">
        <v>-5.2486230000000002E-2</v>
      </c>
      <c r="W3289">
        <v>3.7218849999999998E-2</v>
      </c>
      <c r="X3289">
        <v>0.99792780000000003</v>
      </c>
      <c r="Y3289">
        <v>-9.6054870000000001E-2</v>
      </c>
      <c r="Z3289">
        <v>1.9491700000000001E-3</v>
      </c>
      <c r="AA3289">
        <v>0.99537410000000004</v>
      </c>
      <c r="AB3289">
        <v>30</v>
      </c>
      <c r="AC3289">
        <v>26.658300000000001</v>
      </c>
      <c r="AD3289">
        <v>-1.1049709278349999</v>
      </c>
      <c r="AE3289">
        <v>2.6257999999999901</v>
      </c>
      <c r="AF3289">
        <v>-2.6255536584707202</v>
      </c>
      <c r="AG3289">
        <v>-1.1049709278349999</v>
      </c>
      <c r="AH3289">
        <v>26.612601328417199</v>
      </c>
      <c r="AI3289">
        <v>92.366114747354402</v>
      </c>
      <c r="AJ3289">
        <v>95.634469708629396</v>
      </c>
      <c r="AK3289">
        <v>26.764622960732002</v>
      </c>
    </row>
    <row r="3290" spans="1:37" x14ac:dyDescent="0.2">
      <c r="A3290" t="str">
        <f>"20200111155912476"</f>
        <v>20200111155912476</v>
      </c>
      <c r="B3290" t="str">
        <f>"1578729552465434"</f>
        <v>1578729552465434</v>
      </c>
      <c r="C3290" t="s">
        <v>37</v>
      </c>
      <c r="D3290">
        <v>5.9830649999999999</v>
      </c>
      <c r="E3290">
        <v>0.486635499999999</v>
      </c>
      <c r="F3290" t="s">
        <v>50</v>
      </c>
      <c r="G3290">
        <v>-238.75989999999999</v>
      </c>
      <c r="H3290" s="1">
        <v>3.0007700000000002E-6</v>
      </c>
      <c r="I3290">
        <v>217.45359999999999</v>
      </c>
      <c r="J3290">
        <v>-261.5532</v>
      </c>
      <c r="K3290">
        <v>1.104975</v>
      </c>
      <c r="L3290">
        <v>215.37639999999999</v>
      </c>
      <c r="M3290">
        <v>0.99989869999999903</v>
      </c>
      <c r="N3290">
        <v>0</v>
      </c>
      <c r="O3290">
        <v>4.9907769999999905E-4</v>
      </c>
      <c r="P3290">
        <v>0.99840830000000003</v>
      </c>
      <c r="Q3290">
        <v>2.3073349999999999E-2</v>
      </c>
      <c r="R3290">
        <v>5.1466610000000003E-2</v>
      </c>
      <c r="S3290">
        <v>2.99411</v>
      </c>
      <c r="T3290">
        <v>-0.14335029999999899</v>
      </c>
      <c r="U3290">
        <v>0.26957700000000001</v>
      </c>
      <c r="V3290">
        <v>-5.1016760000000001E-2</v>
      </c>
      <c r="W3290">
        <v>3.7217430000000003E-2</v>
      </c>
      <c r="X3290">
        <v>0.99800409999999995</v>
      </c>
      <c r="Y3290">
        <v>-8.9075290000000001E-2</v>
      </c>
      <c r="Z3290">
        <v>2.1029989999999999E-3</v>
      </c>
      <c r="AA3290">
        <v>0.99602269999999904</v>
      </c>
      <c r="AB3290">
        <v>30</v>
      </c>
      <c r="AC3290">
        <v>22.793299999999999</v>
      </c>
      <c r="AD3290">
        <v>-1.10497199923</v>
      </c>
      <c r="AE3290">
        <v>2.0771999999999999</v>
      </c>
      <c r="AF3290">
        <v>-2.0610192363763602</v>
      </c>
      <c r="AG3290">
        <v>-1.10497199923</v>
      </c>
      <c r="AH3290">
        <v>22.741329535325601</v>
      </c>
      <c r="AI3290">
        <v>92.770404223506006</v>
      </c>
      <c r="AJ3290">
        <v>95.178500230254201</v>
      </c>
      <c r="AK3290">
        <v>22.861251769010099</v>
      </c>
    </row>
    <row r="3291" spans="1:37" x14ac:dyDescent="0.2">
      <c r="A3291" t="str">
        <f>"20200111155912500"</f>
        <v>20200111155912500</v>
      </c>
      <c r="B3291" t="str">
        <f>"1578729552495219"</f>
        <v>1578729552495219</v>
      </c>
      <c r="C3291" t="s">
        <v>37</v>
      </c>
      <c r="D3291">
        <v>6.519552</v>
      </c>
      <c r="E3291">
        <v>0.4868304</v>
      </c>
      <c r="F3291" t="s">
        <v>50</v>
      </c>
      <c r="G3291">
        <v>-239.93719999999999</v>
      </c>
      <c r="H3291" s="1">
        <v>3.6362879999999999E-6</v>
      </c>
      <c r="I3291">
        <v>217.24770000000001</v>
      </c>
      <c r="J3291">
        <v>-261.24669999999998</v>
      </c>
      <c r="K3291">
        <v>1.1049719999999901</v>
      </c>
      <c r="L3291">
        <v>215.37729999999999</v>
      </c>
      <c r="M3291">
        <v>0.99989799999999995</v>
      </c>
      <c r="N3291">
        <v>0</v>
      </c>
      <c r="O3291">
        <v>1.204225E-3</v>
      </c>
      <c r="P3291">
        <v>0.99844390000000005</v>
      </c>
      <c r="Q3291">
        <v>2.2910570000000002E-2</v>
      </c>
      <c r="R3291">
        <v>5.0842020000000002E-2</v>
      </c>
      <c r="S3291">
        <v>2.9949949999999999</v>
      </c>
      <c r="T3291">
        <v>-0.15309919999999999</v>
      </c>
      <c r="U3291">
        <v>0.25927729999999999</v>
      </c>
      <c r="V3291">
        <v>-4.9687389999999998E-2</v>
      </c>
      <c r="W3291">
        <v>3.7054459999999997E-2</v>
      </c>
      <c r="X3291">
        <v>0.998077199999999</v>
      </c>
      <c r="Y3291">
        <v>-8.4939199999999895E-2</v>
      </c>
      <c r="Z3291">
        <v>2.1041089999999998E-3</v>
      </c>
      <c r="AA3291">
        <v>0.99638389999999999</v>
      </c>
      <c r="AB3291">
        <v>30</v>
      </c>
      <c r="AC3291">
        <v>21.3094999999999</v>
      </c>
      <c r="AD3291">
        <v>-1.10496836371199</v>
      </c>
      <c r="AE3291">
        <v>1.8704000000000101</v>
      </c>
      <c r="AF3291">
        <v>-1.8398255693132699</v>
      </c>
      <c r="AG3291">
        <v>-1.10496836371199</v>
      </c>
      <c r="AH3291">
        <v>21.255024270922799</v>
      </c>
      <c r="AI3291">
        <v>92.964845530241007</v>
      </c>
      <c r="AJ3291">
        <v>94.947166467243704</v>
      </c>
      <c r="AK3291">
        <v>21.363098323226001</v>
      </c>
    </row>
    <row r="3292" spans="1:37" x14ac:dyDescent="0.2">
      <c r="A3292" t="str">
        <f>"20200111155912522"</f>
        <v>20200111155912522</v>
      </c>
      <c r="B3292" t="str">
        <f>"1578729552514739"</f>
        <v>1578729552514739</v>
      </c>
      <c r="C3292" t="s">
        <v>37</v>
      </c>
      <c r="D3292">
        <v>5.841145</v>
      </c>
      <c r="E3292">
        <v>0.486641299999999</v>
      </c>
      <c r="F3292" t="s">
        <v>50</v>
      </c>
      <c r="G3292">
        <v>-239.8415</v>
      </c>
      <c r="H3292" s="1">
        <v>3.587224E-6</v>
      </c>
      <c r="I3292">
        <v>217.2047</v>
      </c>
      <c r="J3292">
        <v>-260.9436</v>
      </c>
      <c r="K3292">
        <v>1.1049719999999901</v>
      </c>
      <c r="L3292">
        <v>215.3785</v>
      </c>
      <c r="M3292">
        <v>0.99989709999999998</v>
      </c>
      <c r="N3292">
        <v>0</v>
      </c>
      <c r="O3292">
        <v>1.9010889999999999E-3</v>
      </c>
      <c r="P3292">
        <v>0.99842559999999902</v>
      </c>
      <c r="Q3292">
        <v>2.337964E-2</v>
      </c>
      <c r="R3292">
        <v>5.0988430000000001E-2</v>
      </c>
      <c r="S3292">
        <v>2.995209</v>
      </c>
      <c r="T3292">
        <v>-0.15461710000000001</v>
      </c>
      <c r="U3292">
        <v>0.25570679999999901</v>
      </c>
      <c r="V3292">
        <v>-4.9138269999999998E-2</v>
      </c>
      <c r="W3292">
        <v>3.7521440000000003E-2</v>
      </c>
      <c r="X3292">
        <v>0.9980869</v>
      </c>
      <c r="Y3292">
        <v>-8.3060700000000001E-2</v>
      </c>
      <c r="Z3292">
        <v>2.040647E-3</v>
      </c>
      <c r="AA3292">
        <v>0.99654240000000005</v>
      </c>
      <c r="AB3292">
        <v>30</v>
      </c>
      <c r="AC3292">
        <v>21.1021</v>
      </c>
      <c r="AD3292">
        <v>-1.10496841277599</v>
      </c>
      <c r="AE3292">
        <v>1.8262</v>
      </c>
      <c r="AF3292">
        <v>-1.78122806584215</v>
      </c>
      <c r="AG3292">
        <v>-1.10496841277599</v>
      </c>
      <c r="AH3292">
        <v>21.048251221182198</v>
      </c>
      <c r="AI3292">
        <v>92.994409919377802</v>
      </c>
      <c r="AJ3292">
        <v>94.837183981369805</v>
      </c>
      <c r="AK3292">
        <v>21.152366489019101</v>
      </c>
    </row>
    <row r="3293" spans="1:37" x14ac:dyDescent="0.2">
      <c r="A3293" t="str">
        <f>"20200111155912544"</f>
        <v>20200111155912544</v>
      </c>
      <c r="B3293" t="str">
        <f>"1578729552535235"</f>
        <v>1578729552535235</v>
      </c>
      <c r="C3293" t="s">
        <v>37</v>
      </c>
      <c r="D3293">
        <v>5.9326869999999996</v>
      </c>
      <c r="E3293">
        <v>0.48676000000000003</v>
      </c>
      <c r="F3293" t="s">
        <v>50</v>
      </c>
      <c r="G3293">
        <v>-239.005</v>
      </c>
      <c r="H3293" s="1">
        <v>3.1394869999999899E-6</v>
      </c>
      <c r="I3293">
        <v>217.2645</v>
      </c>
      <c r="J3293">
        <v>-260.66210000000001</v>
      </c>
      <c r="K3293">
        <v>1.10497</v>
      </c>
      <c r="L3293">
        <v>215.37970000000001</v>
      </c>
      <c r="M3293">
        <v>0.9998958</v>
      </c>
      <c r="N3293">
        <v>0</v>
      </c>
      <c r="O3293">
        <v>2.549595E-3</v>
      </c>
      <c r="P3293">
        <v>0.99839059999999902</v>
      </c>
      <c r="Q3293">
        <v>2.4018370000000001E-2</v>
      </c>
      <c r="R3293">
        <v>5.1378029999999998E-2</v>
      </c>
      <c r="S3293">
        <v>2.9950869999999998</v>
      </c>
      <c r="T3293">
        <v>-0.15085170000000001</v>
      </c>
      <c r="U3293">
        <v>0.25747680000000001</v>
      </c>
      <c r="V3293">
        <v>-4.8881050000000002E-2</v>
      </c>
      <c r="W3293">
        <v>3.8151850000000001E-2</v>
      </c>
      <c r="X3293">
        <v>0.99807570000000001</v>
      </c>
      <c r="Y3293">
        <v>-8.3008499999999999E-2</v>
      </c>
      <c r="Z3293">
        <v>1.9571509999999999E-3</v>
      </c>
      <c r="AA3293">
        <v>0.99654690000000001</v>
      </c>
      <c r="AB3293">
        <v>30</v>
      </c>
      <c r="AC3293">
        <v>21.6571</v>
      </c>
      <c r="AD3293">
        <v>-1.1049668605130001</v>
      </c>
      <c r="AE3293">
        <v>1.88479999999998</v>
      </c>
      <c r="AF3293">
        <v>-1.8248568114755901</v>
      </c>
      <c r="AG3293">
        <v>-1.1049668605130001</v>
      </c>
      <c r="AH3293">
        <v>21.6060148177794</v>
      </c>
      <c r="AI3293">
        <v>92.917280249907293</v>
      </c>
      <c r="AJ3293">
        <v>94.827777440230307</v>
      </c>
      <c r="AK3293">
        <v>21.711078518842001</v>
      </c>
    </row>
    <row r="3294" spans="1:37" x14ac:dyDescent="0.2">
      <c r="A3294" t="str">
        <f>"20200111155912656"</f>
        <v>20200111155912656</v>
      </c>
      <c r="B3294" t="str">
        <f>"1578729552645057"</f>
        <v>1578729552645057</v>
      </c>
      <c r="C3294" t="s">
        <v>37</v>
      </c>
      <c r="D3294">
        <v>6.0192119999999996</v>
      </c>
      <c r="E3294">
        <v>0.48679070000000002</v>
      </c>
      <c r="F3294" t="s">
        <v>50</v>
      </c>
      <c r="G3294">
        <v>-239.6283</v>
      </c>
      <c r="H3294" s="1">
        <v>3.4745170000000002E-6</v>
      </c>
      <c r="I3294">
        <v>217.18780000000001</v>
      </c>
      <c r="J3294">
        <v>-259.18779999999998</v>
      </c>
      <c r="K3294">
        <v>1.1049169999999999</v>
      </c>
      <c r="L3294">
        <v>215.38939999999999</v>
      </c>
      <c r="M3294">
        <v>0.99988480000000002</v>
      </c>
      <c r="N3294">
        <v>0</v>
      </c>
      <c r="O3294">
        <v>5.9426679999999999E-3</v>
      </c>
      <c r="P3294">
        <v>0.99829349999999994</v>
      </c>
      <c r="Q3294">
        <v>1.9767799999999999E-2</v>
      </c>
      <c r="R3294">
        <v>5.4946780000000001E-2</v>
      </c>
      <c r="S3294">
        <v>2.9953310000000002</v>
      </c>
      <c r="T3294">
        <v>-0.1573531</v>
      </c>
      <c r="U3294">
        <v>0.25747680000000001</v>
      </c>
      <c r="V3294">
        <v>-4.905603E-2</v>
      </c>
      <c r="W3294">
        <v>3.3650550000000001E-2</v>
      </c>
      <c r="X3294">
        <v>0.99822900000000003</v>
      </c>
      <c r="Y3294">
        <v>-7.9619789999999996E-2</v>
      </c>
      <c r="Z3294">
        <v>1.7746400000000001E-3</v>
      </c>
      <c r="AA3294">
        <v>0.99682369999999898</v>
      </c>
      <c r="AB3294">
        <v>29</v>
      </c>
      <c r="AC3294">
        <v>19.5594999999999</v>
      </c>
      <c r="AD3294">
        <v>-1.104913525483</v>
      </c>
      <c r="AE3294">
        <v>1.79840000000001</v>
      </c>
      <c r="AF3294">
        <v>-1.67681524780389</v>
      </c>
      <c r="AG3294">
        <v>-1.104913525483</v>
      </c>
      <c r="AH3294">
        <v>19.508112322401001</v>
      </c>
      <c r="AI3294">
        <v>93.229809327670594</v>
      </c>
      <c r="AJ3294">
        <v>94.912770240114099</v>
      </c>
      <c r="AK3294">
        <v>19.6111955183124</v>
      </c>
    </row>
    <row r="3295" spans="1:37" x14ac:dyDescent="0.2">
      <c r="A3295" t="str">
        <f>"20200111155912678"</f>
        <v>20200111155912678</v>
      </c>
      <c r="B3295" t="str">
        <f>"1578729552675312"</f>
        <v>1578729552675312</v>
      </c>
      <c r="C3295" t="s">
        <v>37</v>
      </c>
      <c r="D3295">
        <v>5.8787099999999999</v>
      </c>
      <c r="E3295">
        <v>0.5339178</v>
      </c>
      <c r="F3295" t="s">
        <v>50</v>
      </c>
      <c r="G3295">
        <v>-239.3973</v>
      </c>
      <c r="H3295" s="1">
        <v>3.3531230000000001E-6</v>
      </c>
      <c r="I3295">
        <v>217.15280000000001</v>
      </c>
      <c r="J3295">
        <v>-258.90300000000002</v>
      </c>
      <c r="K3295">
        <v>1.1049069999999901</v>
      </c>
      <c r="L3295">
        <v>215.39189999999999</v>
      </c>
      <c r="M3295">
        <v>0.99988159999999904</v>
      </c>
      <c r="N3295">
        <v>0</v>
      </c>
      <c r="O3295">
        <v>6.6025559999999999E-3</v>
      </c>
      <c r="P3295">
        <v>0.99835219999999902</v>
      </c>
      <c r="Q3295">
        <v>1.9510739999999999E-2</v>
      </c>
      <c r="R3295">
        <v>5.3968969999999998E-2</v>
      </c>
      <c r="S3295">
        <v>2.993744</v>
      </c>
      <c r="T3295">
        <v>-0.1671425</v>
      </c>
      <c r="U3295">
        <v>0.2667542</v>
      </c>
      <c r="V3295">
        <v>-4.7418090000000003E-2</v>
      </c>
      <c r="W3295">
        <v>3.3342209999999997E-2</v>
      </c>
      <c r="X3295">
        <v>0.9983185</v>
      </c>
      <c r="Y3295">
        <v>-8.2056610000000002E-2</v>
      </c>
      <c r="Z3295">
        <v>1.91672E-3</v>
      </c>
      <c r="AA3295">
        <v>0.99662580000000001</v>
      </c>
      <c r="AB3295">
        <v>29</v>
      </c>
      <c r="AC3295">
        <v>19.505700000000001</v>
      </c>
      <c r="AD3295">
        <v>-1.1049036468769999</v>
      </c>
      <c r="AE3295">
        <v>1.7609000000000199</v>
      </c>
      <c r="AF3295">
        <v>-1.62688374919352</v>
      </c>
      <c r="AG3295">
        <v>-1.1049036468769999</v>
      </c>
      <c r="AH3295">
        <v>19.454982234058001</v>
      </c>
      <c r="AI3295">
        <v>93.239216483697405</v>
      </c>
      <c r="AJ3295">
        <v>94.780122839644207</v>
      </c>
      <c r="AK3295">
        <v>19.554127352806798</v>
      </c>
    </row>
    <row r="3296" spans="1:37" x14ac:dyDescent="0.2">
      <c r="A3296" t="str">
        <f>"20200111155912701"</f>
        <v>20200111155912701</v>
      </c>
      <c r="B3296" t="str">
        <f>"1578729552694832"</f>
        <v>1578729552694832</v>
      </c>
      <c r="C3296" t="s">
        <v>37</v>
      </c>
      <c r="D3296">
        <v>6.0095279999999898</v>
      </c>
      <c r="E3296">
        <v>0.53687189999999996</v>
      </c>
      <c r="F3296" t="s">
        <v>38</v>
      </c>
      <c r="G3296">
        <v>-258.08440000000002</v>
      </c>
      <c r="H3296">
        <v>1.041841</v>
      </c>
      <c r="I3296">
        <v>215.3612</v>
      </c>
      <c r="J3296">
        <v>-258.60129999999998</v>
      </c>
      <c r="K3296">
        <v>1.104911</v>
      </c>
      <c r="L3296">
        <v>215.3947</v>
      </c>
      <c r="M3296">
        <v>0.99987729999999997</v>
      </c>
      <c r="N3296">
        <v>0</v>
      </c>
      <c r="O3296">
        <v>7.3145329999999998E-3</v>
      </c>
      <c r="P3296">
        <v>0.99842209999999998</v>
      </c>
      <c r="Q3296">
        <v>1.9956350000000001E-2</v>
      </c>
      <c r="R3296">
        <v>5.2489960000000002E-2</v>
      </c>
      <c r="S3296">
        <v>3.0155939999999899</v>
      </c>
      <c r="T3296">
        <v>-0.23234099999999999</v>
      </c>
      <c r="U3296">
        <v>-0.1128845</v>
      </c>
      <c r="V3296">
        <v>-4.5228089999999999E-2</v>
      </c>
      <c r="W3296">
        <v>3.3736809999999999E-2</v>
      </c>
      <c r="X3296">
        <v>0.99840680000000004</v>
      </c>
      <c r="Y3296">
        <v>4.4562959999999999E-2</v>
      </c>
      <c r="Z3296">
        <v>-2.276171E-3</v>
      </c>
      <c r="AA3296">
        <v>0.999004</v>
      </c>
      <c r="AB3296">
        <v>29</v>
      </c>
      <c r="AC3296">
        <v>0.51689999999996405</v>
      </c>
      <c r="AD3296">
        <v>-6.3069999999999904E-2</v>
      </c>
      <c r="AE3296">
        <v>-3.3500000000003603E-2</v>
      </c>
      <c r="AF3296">
        <v>3.6735719485648903E-2</v>
      </c>
      <c r="AG3296">
        <v>-6.3069999999999904E-2</v>
      </c>
      <c r="AH3296">
        <v>0.50909349281970695</v>
      </c>
      <c r="AI3296">
        <v>97.044080871928202</v>
      </c>
      <c r="AJ3296">
        <v>85.872742635430697</v>
      </c>
      <c r="AK3296">
        <v>0.51429905932005804</v>
      </c>
    </row>
    <row r="3297" spans="1:37" x14ac:dyDescent="0.2">
      <c r="A3297" t="str">
        <f>"20200111155912723"</f>
        <v>20200111155912723</v>
      </c>
      <c r="B3297" t="str">
        <f>"1578729552715328"</f>
        <v>1578729552715328</v>
      </c>
      <c r="C3297" t="s">
        <v>37</v>
      </c>
      <c r="D3297">
        <v>5.9767710000000003</v>
      </c>
      <c r="E3297">
        <v>0.5389159</v>
      </c>
      <c r="F3297" t="s">
        <v>38</v>
      </c>
      <c r="G3297">
        <v>-257.81880000000001</v>
      </c>
      <c r="H3297">
        <v>1.046638</v>
      </c>
      <c r="I3297">
        <v>215.35769999999999</v>
      </c>
      <c r="J3297">
        <v>-258.31369999999998</v>
      </c>
      <c r="K3297">
        <v>1.1049169999999999</v>
      </c>
      <c r="L3297">
        <v>215.39760000000001</v>
      </c>
      <c r="M3297">
        <v>0.9998726</v>
      </c>
      <c r="N3297">
        <v>0</v>
      </c>
      <c r="O3297">
        <v>8.0134079999999996E-3</v>
      </c>
      <c r="P3297">
        <v>0.99850019999999995</v>
      </c>
      <c r="Q3297">
        <v>2.0273200000000002E-2</v>
      </c>
      <c r="R3297">
        <v>5.0858260000000002E-2</v>
      </c>
      <c r="S3297">
        <v>3.0166169999999899</v>
      </c>
      <c r="T3297">
        <v>-0.22490549999999901</v>
      </c>
      <c r="U3297">
        <v>-0.14144899999999999</v>
      </c>
      <c r="V3297">
        <v>-4.2899079999999999E-2</v>
      </c>
      <c r="W3297">
        <v>3.4009879999999999E-2</v>
      </c>
      <c r="X3297">
        <v>0.99850030000000001</v>
      </c>
      <c r="Y3297">
        <v>5.4668750000000002E-2</v>
      </c>
      <c r="Z3297">
        <v>-2.6303629999999902E-3</v>
      </c>
      <c r="AA3297">
        <v>0.99850110000000003</v>
      </c>
      <c r="AB3297">
        <v>29</v>
      </c>
      <c r="AC3297">
        <v>0.49489999999997197</v>
      </c>
      <c r="AD3297">
        <v>-5.82789999999999E-2</v>
      </c>
      <c r="AE3297">
        <v>-3.9900000000017102E-2</v>
      </c>
      <c r="AF3297">
        <v>4.3268789471622798E-2</v>
      </c>
      <c r="AG3297">
        <v>-5.82789999999999E-2</v>
      </c>
      <c r="AH3297">
        <v>0.487843005526574</v>
      </c>
      <c r="AI3297">
        <v>96.786029077570007</v>
      </c>
      <c r="AJ3297">
        <v>84.931466217853995</v>
      </c>
      <c r="AK3297">
        <v>0.49321336967335</v>
      </c>
    </row>
    <row r="3298" spans="1:37" x14ac:dyDescent="0.2">
      <c r="A3298" t="str">
        <f>"20200111155912745"</f>
        <v>20200111155912745</v>
      </c>
      <c r="B3298" t="str">
        <f>"1578729552734849"</f>
        <v>1578729552734849</v>
      </c>
      <c r="C3298" t="s">
        <v>37</v>
      </c>
      <c r="D3298">
        <v>5.9573460000000003</v>
      </c>
      <c r="E3298">
        <v>0.53944250000000005</v>
      </c>
      <c r="F3298" t="s">
        <v>38</v>
      </c>
      <c r="G3298">
        <v>-257.55439999999999</v>
      </c>
      <c r="H3298">
        <v>1.050022</v>
      </c>
      <c r="I3298">
        <v>215.35659999999999</v>
      </c>
      <c r="J3298">
        <v>-258.02050000000003</v>
      </c>
      <c r="K3298">
        <v>1.1049359999999999</v>
      </c>
      <c r="L3298">
        <v>215.4007</v>
      </c>
      <c r="M3298">
        <v>0.9998669</v>
      </c>
      <c r="N3298">
        <v>0</v>
      </c>
      <c r="O3298">
        <v>8.7592199999999999E-3</v>
      </c>
      <c r="P3298">
        <v>0.99858189999999902</v>
      </c>
      <c r="Q3298">
        <v>1.987649E-2</v>
      </c>
      <c r="R3298">
        <v>4.9390299999999998E-2</v>
      </c>
      <c r="S3298">
        <v>3.0171969999999999</v>
      </c>
      <c r="T3298">
        <v>-0.21822320000000001</v>
      </c>
      <c r="U3298">
        <v>-0.1623077</v>
      </c>
      <c r="V3298">
        <v>-4.0686569999999998E-2</v>
      </c>
      <c r="W3298">
        <v>3.3571440000000001E-2</v>
      </c>
      <c r="X3298">
        <v>0.99860780000000005</v>
      </c>
      <c r="Y3298">
        <v>6.2276850000000002E-2</v>
      </c>
      <c r="Z3298">
        <v>-2.8799089999999999E-3</v>
      </c>
      <c r="AA3298">
        <v>0.99805469999999896</v>
      </c>
      <c r="AB3298">
        <v>29</v>
      </c>
      <c r="AC3298">
        <v>0.46610000000003898</v>
      </c>
      <c r="AD3298">
        <v>-5.4914000000000102E-2</v>
      </c>
      <c r="AE3298">
        <v>-4.4100000000014399E-2</v>
      </c>
      <c r="AF3298">
        <v>4.7527510511549201E-2</v>
      </c>
      <c r="AG3298">
        <v>-5.4914000000000102E-2</v>
      </c>
      <c r="AH3298">
        <v>0.45937596278901699</v>
      </c>
      <c r="AI3298">
        <v>96.780958360760195</v>
      </c>
      <c r="AJ3298">
        <v>84.0931358362092</v>
      </c>
      <c r="AK3298">
        <v>0.46508137657808002</v>
      </c>
    </row>
    <row r="3299" spans="1:37" x14ac:dyDescent="0.2">
      <c r="A3299" t="str">
        <f>"20200111155912766"</f>
        <v>20200111155912766</v>
      </c>
      <c r="B3299" t="str">
        <f>"1578729552755346"</f>
        <v>1578729552755346</v>
      </c>
      <c r="C3299" t="s">
        <v>37</v>
      </c>
      <c r="D3299">
        <v>5.9521920000000001</v>
      </c>
      <c r="E3299">
        <v>0.54038160000000002</v>
      </c>
      <c r="F3299" t="s">
        <v>38</v>
      </c>
      <c r="G3299">
        <v>-257.0455</v>
      </c>
      <c r="H3299">
        <v>1.028322</v>
      </c>
      <c r="I3299">
        <v>215.34520000000001</v>
      </c>
      <c r="J3299">
        <v>-257.74939999999998</v>
      </c>
      <c r="K3299">
        <v>1.1049709999999999</v>
      </c>
      <c r="L3299">
        <v>215.40389999999999</v>
      </c>
      <c r="M3299">
        <v>0.99986070000000005</v>
      </c>
      <c r="N3299">
        <v>0</v>
      </c>
      <c r="O3299">
        <v>9.4952390000000008E-3</v>
      </c>
      <c r="P3299">
        <v>0.99861949999999999</v>
      </c>
      <c r="Q3299">
        <v>1.9617229999999999E-2</v>
      </c>
      <c r="R3299">
        <v>4.8729799999999997E-2</v>
      </c>
      <c r="S3299">
        <v>3.017471</v>
      </c>
      <c r="T3299">
        <v>-0.23716199999999901</v>
      </c>
      <c r="U3299">
        <v>-0.17158509999999999</v>
      </c>
      <c r="V3299">
        <v>-3.9292680000000003E-2</v>
      </c>
      <c r="W3299">
        <v>3.3275970000000002E-2</v>
      </c>
      <c r="X3299">
        <v>0.99867349999999999</v>
      </c>
      <c r="Y3299">
        <v>6.6018250000000001E-2</v>
      </c>
      <c r="Z3299">
        <v>-3.3329729999999999E-3</v>
      </c>
      <c r="AA3299">
        <v>0.9978129</v>
      </c>
      <c r="AB3299">
        <v>29</v>
      </c>
      <c r="AC3299">
        <v>0.70389999999997599</v>
      </c>
      <c r="AD3299">
        <v>-7.6648999999999898E-2</v>
      </c>
      <c r="AE3299">
        <v>-5.8699999999987498E-2</v>
      </c>
      <c r="AF3299">
        <v>6.4620736881019394E-2</v>
      </c>
      <c r="AG3299">
        <v>-7.6648999999999898E-2</v>
      </c>
      <c r="AH3299">
        <v>0.69512535357407201</v>
      </c>
      <c r="AI3299">
        <v>96.265582283247198</v>
      </c>
      <c r="AJ3299">
        <v>84.688893589607403</v>
      </c>
      <c r="AK3299">
        <v>0.70231771016935296</v>
      </c>
    </row>
    <row r="3300" spans="1:37" x14ac:dyDescent="0.2">
      <c r="A3300" t="str">
        <f>"20200111155912791"</f>
        <v>20200111155912791</v>
      </c>
      <c r="B3300" t="str">
        <f>"1578729552785601"</f>
        <v>1578729552785601</v>
      </c>
      <c r="C3300" t="s">
        <v>37</v>
      </c>
      <c r="D3300">
        <v>5.6641329999999996</v>
      </c>
      <c r="E3300">
        <v>0.54674269999999903</v>
      </c>
      <c r="F3300" t="s">
        <v>38</v>
      </c>
      <c r="G3300">
        <v>-256.78269999999998</v>
      </c>
      <c r="H3300">
        <v>1.0320689999999999</v>
      </c>
      <c r="I3300">
        <v>215.34559999999999</v>
      </c>
      <c r="J3300">
        <v>-257.4169</v>
      </c>
      <c r="K3300">
        <v>1.105019</v>
      </c>
      <c r="L3300">
        <v>215.40819999999999</v>
      </c>
      <c r="M3300">
        <v>0.99985159999999995</v>
      </c>
      <c r="N3300">
        <v>0</v>
      </c>
      <c r="O3300">
        <v>1.045776E-2</v>
      </c>
      <c r="P3300">
        <v>0.99865759999999903</v>
      </c>
      <c r="Q3300">
        <v>1.9914669999999999E-2</v>
      </c>
      <c r="R3300">
        <v>4.7819109999999998E-2</v>
      </c>
      <c r="S3300">
        <v>3.0174560000000001</v>
      </c>
      <c r="T3300">
        <v>-0.22775139999999999</v>
      </c>
      <c r="U3300">
        <v>-0.181121799999999</v>
      </c>
      <c r="V3300">
        <v>-3.7423669999999999E-2</v>
      </c>
      <c r="W3300">
        <v>3.3534269999999998E-2</v>
      </c>
      <c r="X3300">
        <v>0.99873670000000003</v>
      </c>
      <c r="Y3300">
        <v>7.0125069999999998E-2</v>
      </c>
      <c r="Z3300">
        <v>-3.4279520000000002E-3</v>
      </c>
      <c r="AA3300">
        <v>0.99753230000000004</v>
      </c>
      <c r="AB3300">
        <v>29</v>
      </c>
      <c r="AC3300">
        <v>0.63420000000002097</v>
      </c>
      <c r="AD3300">
        <v>-7.2949999999999807E-2</v>
      </c>
      <c r="AE3300">
        <v>-6.2600000000003306E-2</v>
      </c>
      <c r="AF3300">
        <v>6.8334093491459497E-2</v>
      </c>
      <c r="AG3300">
        <v>-7.2949999999999807E-2</v>
      </c>
      <c r="AH3300">
        <v>0.62531675922903696</v>
      </c>
      <c r="AI3300">
        <v>96.615068617351099</v>
      </c>
      <c r="AJ3300">
        <v>83.763511722282303</v>
      </c>
      <c r="AK3300">
        <v>0.63325531991922901</v>
      </c>
    </row>
    <row r="3301" spans="1:37" x14ac:dyDescent="0.2">
      <c r="A3301" t="str">
        <f>"20200111155912812"</f>
        <v>20200111155912812</v>
      </c>
      <c r="B3301" t="str">
        <f>"1578729552805121"</f>
        <v>1578729552805121</v>
      </c>
      <c r="C3301" t="s">
        <v>37</v>
      </c>
      <c r="D3301">
        <v>5.8814699999999904</v>
      </c>
      <c r="E3301">
        <v>0.54920740000000001</v>
      </c>
      <c r="F3301" t="s">
        <v>38</v>
      </c>
      <c r="G3301">
        <v>-256.51310000000001</v>
      </c>
      <c r="H3301">
        <v>1.047412</v>
      </c>
      <c r="I3301">
        <v>215.3382</v>
      </c>
      <c r="J3301">
        <v>-257.1377</v>
      </c>
      <c r="K3301">
        <v>1.105059</v>
      </c>
      <c r="L3301">
        <v>215.41210000000001</v>
      </c>
      <c r="M3301">
        <v>0.99984259999999903</v>
      </c>
      <c r="N3301">
        <v>0</v>
      </c>
      <c r="O3301">
        <v>1.132551E-2</v>
      </c>
      <c r="P3301">
        <v>0.99869479999999999</v>
      </c>
      <c r="Q3301">
        <v>1.9884260000000001E-2</v>
      </c>
      <c r="R3301">
        <v>4.7048970000000002E-2</v>
      </c>
      <c r="S3301">
        <v>3.0190579999999998</v>
      </c>
      <c r="T3301">
        <v>-0.19246849999999999</v>
      </c>
      <c r="U3301">
        <v>-0.2335663</v>
      </c>
      <c r="V3301">
        <v>-3.5789719999999997E-2</v>
      </c>
      <c r="W3301">
        <v>3.3474690000000001E-2</v>
      </c>
      <c r="X3301">
        <v>0.99879850000000003</v>
      </c>
      <c r="Y3301">
        <v>8.8220439999999997E-2</v>
      </c>
      <c r="Z3301">
        <v>-3.5253929999999999E-3</v>
      </c>
      <c r="AA3301">
        <v>0.99609479999999995</v>
      </c>
      <c r="AB3301">
        <v>29</v>
      </c>
      <c r="AC3301">
        <v>0.62459999999998606</v>
      </c>
      <c r="AD3301">
        <v>-5.7646999999999997E-2</v>
      </c>
      <c r="AE3301">
        <v>-7.3900000000008903E-2</v>
      </c>
      <c r="AF3301">
        <v>8.02953013019648E-2</v>
      </c>
      <c r="AG3301">
        <v>-5.7646999999999997E-2</v>
      </c>
      <c r="AH3301">
        <v>0.61852688173324599</v>
      </c>
      <c r="AI3301">
        <v>95.280556739323004</v>
      </c>
      <c r="AJ3301">
        <v>82.603399251047406</v>
      </c>
      <c r="AK3301">
        <v>0.62637529919915202</v>
      </c>
    </row>
    <row r="3302" spans="1:37" x14ac:dyDescent="0.2">
      <c r="A3302" t="str">
        <f>"20200111155912834"</f>
        <v>20200111155912834</v>
      </c>
      <c r="B3302" t="str">
        <f>"1578729552825616"</f>
        <v>1578729552825616</v>
      </c>
      <c r="C3302" t="s">
        <v>37</v>
      </c>
      <c r="D3302">
        <v>5.7221409999999997</v>
      </c>
      <c r="E3302">
        <v>0.55120279999999999</v>
      </c>
      <c r="F3302" t="s">
        <v>38</v>
      </c>
      <c r="G3302">
        <v>-256.24869999999999</v>
      </c>
      <c r="H3302">
        <v>1.0517110000000001</v>
      </c>
      <c r="I3302">
        <v>215.33680000000001</v>
      </c>
      <c r="J3302">
        <v>-256.86070000000001</v>
      </c>
      <c r="K3302">
        <v>1.1051089999999999</v>
      </c>
      <c r="L3302">
        <v>215.4162</v>
      </c>
      <c r="M3302">
        <v>0.99983199999999905</v>
      </c>
      <c r="N3302">
        <v>0</v>
      </c>
      <c r="O3302">
        <v>1.2257759999999999E-2</v>
      </c>
      <c r="P3302">
        <v>0.99871239999999994</v>
      </c>
      <c r="Q3302">
        <v>1.9671859999999999E-2</v>
      </c>
      <c r="R3302">
        <v>4.6766530000000001E-2</v>
      </c>
      <c r="S3302">
        <v>3.0195919999999998</v>
      </c>
      <c r="T3302">
        <v>-0.18121660000000001</v>
      </c>
      <c r="U3302">
        <v>-0.25532529999999998</v>
      </c>
      <c r="V3302">
        <v>-3.4579310000000002E-2</v>
      </c>
      <c r="W3302">
        <v>3.323545E-2</v>
      </c>
      <c r="X3302">
        <v>0.99884919999999999</v>
      </c>
      <c r="Y3302">
        <v>9.6270590000000003E-2</v>
      </c>
      <c r="Z3302">
        <v>-3.6148640000000002E-3</v>
      </c>
      <c r="AA3302">
        <v>0.99534859999999903</v>
      </c>
      <c r="AB3302">
        <v>29</v>
      </c>
      <c r="AC3302">
        <v>0.61200000000002297</v>
      </c>
      <c r="AD3302">
        <v>-5.3398000000000001E-2</v>
      </c>
      <c r="AE3302">
        <v>-7.9399999999992504E-2</v>
      </c>
      <c r="AF3302">
        <v>8.6250734990689401E-2</v>
      </c>
      <c r="AG3302">
        <v>-5.3398000000000001E-2</v>
      </c>
      <c r="AH3302">
        <v>0.60644034097289901</v>
      </c>
      <c r="AI3302">
        <v>94.982122967784804</v>
      </c>
      <c r="AJ3302">
        <v>81.905417975523207</v>
      </c>
      <c r="AK3302">
        <v>0.61486618288027595</v>
      </c>
    </row>
    <row r="3303" spans="1:37" x14ac:dyDescent="0.2">
      <c r="A3303" t="str">
        <f>"20200111155912856"</f>
        <v>20200111155912856</v>
      </c>
      <c r="B3303" t="str">
        <f>"1578729552845137"</f>
        <v>1578729552845137</v>
      </c>
      <c r="C3303" t="s">
        <v>37</v>
      </c>
      <c r="D3303">
        <v>5.7078369999999996</v>
      </c>
      <c r="E3303">
        <v>0.55242910000000001</v>
      </c>
      <c r="F3303" t="s">
        <v>50</v>
      </c>
      <c r="G3303">
        <v>-236.7878</v>
      </c>
      <c r="H3303" s="1">
        <v>2.11939699999999E-6</v>
      </c>
      <c r="I3303">
        <v>213.6087</v>
      </c>
      <c r="J3303">
        <v>-256.57150000000001</v>
      </c>
      <c r="K3303">
        <v>1.105167</v>
      </c>
      <c r="L3303">
        <v>215.42089999999999</v>
      </c>
      <c r="M3303">
        <v>0.99981869999999995</v>
      </c>
      <c r="N3303">
        <v>0</v>
      </c>
      <c r="O3303">
        <v>1.33168E-2</v>
      </c>
      <c r="P3303">
        <v>0.99870590000000004</v>
      </c>
      <c r="Q3303">
        <v>2.0135839999999999E-2</v>
      </c>
      <c r="R3303">
        <v>4.6699129999999998E-2</v>
      </c>
      <c r="S3303">
        <v>3.0199129999999998</v>
      </c>
      <c r="T3303">
        <v>-0.16626079999999999</v>
      </c>
      <c r="U3303">
        <v>-0.27194209999999902</v>
      </c>
      <c r="V3303">
        <v>-3.345857E-2</v>
      </c>
      <c r="W3303">
        <v>3.3673420000000003E-2</v>
      </c>
      <c r="X3303">
        <v>0.99887269999999995</v>
      </c>
      <c r="Y3303">
        <v>0.10276879999999999</v>
      </c>
      <c r="Z3303">
        <v>-3.552407E-3</v>
      </c>
      <c r="AA3303">
        <v>0.99469889999999905</v>
      </c>
      <c r="AB3303">
        <v>29</v>
      </c>
      <c r="AC3303">
        <v>19.7837</v>
      </c>
      <c r="AD3303">
        <v>-1.1051648806030001</v>
      </c>
      <c r="AE3303">
        <v>-1.81219999999998</v>
      </c>
      <c r="AF3303">
        <v>2.0691160856596902</v>
      </c>
      <c r="AG3303">
        <v>-1.1051648806030001</v>
      </c>
      <c r="AH3303">
        <v>19.696855764447101</v>
      </c>
      <c r="AI3303">
        <v>93.193886830345093</v>
      </c>
      <c r="AJ3303">
        <v>84.003184609372894</v>
      </c>
      <c r="AK3303">
        <v>19.836046929635199</v>
      </c>
    </row>
    <row r="3304" spans="1:37" x14ac:dyDescent="0.2">
      <c r="A3304" t="str">
        <f>"20200111155912879"</f>
        <v>20200111155912879</v>
      </c>
      <c r="B3304" t="str">
        <f>"1578729552875393"</f>
        <v>1578729552875393</v>
      </c>
      <c r="C3304" t="s">
        <v>37</v>
      </c>
      <c r="D3304">
        <v>6.4377899999999997</v>
      </c>
      <c r="E3304">
        <v>0.55213840000000003</v>
      </c>
      <c r="F3304" t="s">
        <v>50</v>
      </c>
      <c r="G3304">
        <v>-235.22399999999999</v>
      </c>
      <c r="H3304" s="1">
        <v>1.2950849999999999E-6</v>
      </c>
      <c r="I3304">
        <v>213.4288</v>
      </c>
      <c r="J3304">
        <v>-256.27659999999997</v>
      </c>
      <c r="K3304">
        <v>1.105235</v>
      </c>
      <c r="L3304">
        <v>215.42609999999999</v>
      </c>
      <c r="M3304">
        <v>0.99980270000000004</v>
      </c>
      <c r="N3304">
        <v>0</v>
      </c>
      <c r="O3304">
        <v>1.4488900000000001E-2</v>
      </c>
      <c r="P3304">
        <v>0.99866069999999996</v>
      </c>
      <c r="Q3304">
        <v>2.0345599999999998E-2</v>
      </c>
      <c r="R3304">
        <v>4.757364E-2</v>
      </c>
      <c r="S3304">
        <v>3.0202179999999998</v>
      </c>
      <c r="T3304">
        <v>-0.15635789999999999</v>
      </c>
      <c r="U3304">
        <v>-0.28184509999999902</v>
      </c>
      <c r="V3304">
        <v>-3.316877E-2</v>
      </c>
      <c r="W3304">
        <v>3.3857859999999997E-2</v>
      </c>
      <c r="X3304">
        <v>0.99887610000000004</v>
      </c>
      <c r="Y3304">
        <v>0.107172</v>
      </c>
      <c r="Z3304">
        <v>-3.5144619999999999E-3</v>
      </c>
      <c r="AA3304">
        <v>0.99423430000000002</v>
      </c>
      <c r="AB3304">
        <v>29</v>
      </c>
      <c r="AC3304">
        <v>21.052599999999899</v>
      </c>
      <c r="AD3304">
        <v>-1.1052337049150001</v>
      </c>
      <c r="AE3304">
        <v>-1.9972999999999901</v>
      </c>
      <c r="AF3304">
        <v>2.29587623951535</v>
      </c>
      <c r="AG3304">
        <v>-1.1052337049150001</v>
      </c>
      <c r="AH3304">
        <v>20.964184146820799</v>
      </c>
      <c r="AI3304">
        <v>92.999941840138902</v>
      </c>
      <c r="AJ3304">
        <v>83.750203444592898</v>
      </c>
      <c r="AK3304">
        <v>21.118465999959898</v>
      </c>
    </row>
    <row r="3305" spans="1:37" x14ac:dyDescent="0.2">
      <c r="A3305" t="str">
        <f>"20200111155912902"</f>
        <v>20200111155912902</v>
      </c>
      <c r="B3305" t="str">
        <f>"1578729552894913"</f>
        <v>1578729552894913</v>
      </c>
      <c r="C3305" t="s">
        <v>37</v>
      </c>
      <c r="D3305">
        <v>5.9504080000000004</v>
      </c>
      <c r="E3305">
        <v>0.55143390000000003</v>
      </c>
      <c r="F3305" t="s">
        <v>50</v>
      </c>
      <c r="G3305">
        <v>-234.6078</v>
      </c>
      <c r="H3305" s="1">
        <v>9.666227999999999E-7</v>
      </c>
      <c r="I3305">
        <v>213.44130000000001</v>
      </c>
      <c r="J3305">
        <v>-255.97829999999999</v>
      </c>
      <c r="K3305">
        <v>1.105313</v>
      </c>
      <c r="L3305">
        <v>215.43180000000001</v>
      </c>
      <c r="M3305">
        <v>0.99978349999999905</v>
      </c>
      <c r="N3305">
        <v>0</v>
      </c>
      <c r="O3305">
        <v>1.5769769999999999E-2</v>
      </c>
      <c r="P3305">
        <v>0.99854739999999997</v>
      </c>
      <c r="Q3305">
        <v>2.1514370000000001E-2</v>
      </c>
      <c r="R3305">
        <v>4.9399989999999998E-2</v>
      </c>
      <c r="S3305">
        <v>3.02034</v>
      </c>
      <c r="T3305">
        <v>-0.15405489999999999</v>
      </c>
      <c r="U3305">
        <v>-0.27665709999999999</v>
      </c>
      <c r="V3305">
        <v>-3.3724699999999899E-2</v>
      </c>
      <c r="W3305">
        <v>3.5004920000000002E-2</v>
      </c>
      <c r="X3305">
        <v>0.99881799999999998</v>
      </c>
      <c r="Y3305">
        <v>0.10675229999999999</v>
      </c>
      <c r="Z3305">
        <v>-3.5173969999999998E-3</v>
      </c>
      <c r="AA3305">
        <v>0.99427940000000004</v>
      </c>
      <c r="AB3305">
        <v>29</v>
      </c>
      <c r="AC3305">
        <v>21.3705</v>
      </c>
      <c r="AD3305">
        <v>-1.1053120333772</v>
      </c>
      <c r="AE3305">
        <v>-1.9904999999999899</v>
      </c>
      <c r="AF3305">
        <v>2.3211354884013899</v>
      </c>
      <c r="AG3305">
        <v>-1.1053120333772</v>
      </c>
      <c r="AH3305">
        <v>21.280012857399502</v>
      </c>
      <c r="AI3305">
        <v>92.955846318872801</v>
      </c>
      <c r="AJ3305">
        <v>83.775023617178306</v>
      </c>
      <c r="AK3305">
        <v>21.434745901403499</v>
      </c>
    </row>
    <row r="3306" spans="1:37" x14ac:dyDescent="0.2">
      <c r="A3306" t="str">
        <f>"20200111155912922"</f>
        <v>20200111155912922</v>
      </c>
      <c r="B3306" t="str">
        <f>"1578729552915408"</f>
        <v>1578729552915408</v>
      </c>
      <c r="C3306" t="s">
        <v>37</v>
      </c>
      <c r="D3306">
        <v>8.5836360000000003</v>
      </c>
      <c r="E3306">
        <v>0.55100209999999905</v>
      </c>
      <c r="F3306" t="s">
        <v>50</v>
      </c>
      <c r="G3306">
        <v>-234.27930000000001</v>
      </c>
      <c r="H3306" s="1">
        <v>7.8829999999999898E-7</v>
      </c>
      <c r="I3306">
        <v>213.52119999999999</v>
      </c>
      <c r="J3306">
        <v>-255.7123</v>
      </c>
      <c r="K3306">
        <v>1.10538</v>
      </c>
      <c r="L3306">
        <v>215.43729999999999</v>
      </c>
      <c r="M3306">
        <v>0.99976350000000003</v>
      </c>
      <c r="N3306">
        <v>0</v>
      </c>
      <c r="O3306">
        <v>1.6993520000000002E-2</v>
      </c>
      <c r="P3306">
        <v>0.99837089999999995</v>
      </c>
      <c r="Q3306">
        <v>2.287573E-2</v>
      </c>
      <c r="R3306">
        <v>5.2270079999999997E-2</v>
      </c>
      <c r="S3306">
        <v>3.0208439999999999</v>
      </c>
      <c r="T3306">
        <v>-0.15387699999999899</v>
      </c>
      <c r="U3306">
        <v>-0.26599119999999998</v>
      </c>
      <c r="V3306">
        <v>-3.5382759999999999E-2</v>
      </c>
      <c r="W3306">
        <v>3.6350180000000003E-2</v>
      </c>
      <c r="X3306">
        <v>0.9987125</v>
      </c>
      <c r="Y3306">
        <v>0.1044732</v>
      </c>
      <c r="Z3306">
        <v>-3.5176059999999999E-3</v>
      </c>
      <c r="AA3306">
        <v>0.99452149999999995</v>
      </c>
      <c r="AB3306">
        <v>29</v>
      </c>
      <c r="AC3306">
        <v>21.433</v>
      </c>
      <c r="AD3306">
        <v>-1.1053792117000001</v>
      </c>
      <c r="AE3306">
        <v>-1.9160999999999999</v>
      </c>
      <c r="AF3306">
        <v>2.2740781803156498</v>
      </c>
      <c r="AG3306">
        <v>-1.1053792117000001</v>
      </c>
      <c r="AH3306">
        <v>21.341026426072499</v>
      </c>
      <c r="AI3306">
        <v>92.948378737158706</v>
      </c>
      <c r="AJ3306">
        <v>83.917572038402099</v>
      </c>
      <c r="AK3306">
        <v>21.490293243466201</v>
      </c>
    </row>
    <row r="3307" spans="1:37" x14ac:dyDescent="0.2">
      <c r="A3307" t="str">
        <f>"20200111155912951"</f>
        <v>20200111155912951</v>
      </c>
      <c r="B3307" t="str">
        <f>"1578729552945665"</f>
        <v>1578729552945665</v>
      </c>
      <c r="C3307" t="s">
        <v>37</v>
      </c>
      <c r="D3307">
        <v>5.9454849999999997</v>
      </c>
      <c r="E3307">
        <v>0.55034669999999997</v>
      </c>
      <c r="F3307" t="s">
        <v>50</v>
      </c>
      <c r="G3307">
        <v>-233.56899999999999</v>
      </c>
      <c r="H3307" s="1">
        <v>4.07922099999999E-7</v>
      </c>
      <c r="I3307">
        <v>213.57660000000001</v>
      </c>
      <c r="J3307">
        <v>-255.3407</v>
      </c>
      <c r="K3307">
        <v>1.1054660000000001</v>
      </c>
      <c r="L3307">
        <v>215.44579999999999</v>
      </c>
      <c r="M3307">
        <v>0.99973089999999998</v>
      </c>
      <c r="N3307">
        <v>0</v>
      </c>
      <c r="O3307">
        <v>1.881565E-2</v>
      </c>
      <c r="P3307">
        <v>0.99817099999999903</v>
      </c>
      <c r="Q3307">
        <v>2.4619720000000001E-2</v>
      </c>
      <c r="R3307">
        <v>5.5215119999999999E-2</v>
      </c>
      <c r="S3307">
        <v>3.021652</v>
      </c>
      <c r="T3307">
        <v>-0.150839</v>
      </c>
      <c r="U3307">
        <v>-0.25392150000000002</v>
      </c>
      <c r="V3307">
        <v>-3.6521409999999997E-2</v>
      </c>
      <c r="W3307">
        <v>3.808752E-2</v>
      </c>
      <c r="X3307">
        <v>0.99860680000000002</v>
      </c>
      <c r="Y3307">
        <v>0.1023255</v>
      </c>
      <c r="Z3307">
        <v>-3.4852030000000001E-3</v>
      </c>
      <c r="AA3307">
        <v>0.99474490000000004</v>
      </c>
      <c r="AB3307">
        <v>29</v>
      </c>
      <c r="AC3307">
        <v>21.7716999999999</v>
      </c>
      <c r="AD3307">
        <v>-1.1054655920779</v>
      </c>
      <c r="AE3307">
        <v>-1.86919999999997</v>
      </c>
      <c r="AF3307">
        <v>2.27273887939646</v>
      </c>
      <c r="AG3307">
        <v>-1.1054655920779</v>
      </c>
      <c r="AH3307">
        <v>21.677193774911299</v>
      </c>
      <c r="AI3307">
        <v>92.903480258641196</v>
      </c>
      <c r="AJ3307">
        <v>84.014708193067904</v>
      </c>
      <c r="AK3307">
        <v>21.824026350429499</v>
      </c>
    </row>
    <row r="3308" spans="1:37" x14ac:dyDescent="0.2">
      <c r="A3308" t="str">
        <f>"20200111155912969"</f>
        <v>20200111155912969</v>
      </c>
      <c r="B3308" t="str">
        <f>"1578729552965185"</f>
        <v>1578729552965185</v>
      </c>
      <c r="C3308" t="s">
        <v>37</v>
      </c>
      <c r="D3308">
        <v>5.9379489999999997</v>
      </c>
      <c r="E3308">
        <v>0.54992419999999997</v>
      </c>
      <c r="F3308" t="s">
        <v>50</v>
      </c>
      <c r="G3308">
        <v>-232.73070000000001</v>
      </c>
      <c r="H3308" s="1">
        <v>-4.1489620000000001E-8</v>
      </c>
      <c r="I3308">
        <v>213.6514</v>
      </c>
      <c r="J3308">
        <v>-255.11879999999999</v>
      </c>
      <c r="K3308">
        <v>1.1055079999999999</v>
      </c>
      <c r="L3308">
        <v>215.4511</v>
      </c>
      <c r="M3308">
        <v>0.99970879999999995</v>
      </c>
      <c r="N3308">
        <v>0</v>
      </c>
      <c r="O3308">
        <v>1.994841E-2</v>
      </c>
      <c r="P3308">
        <v>0.99798999999999904</v>
      </c>
      <c r="Q3308">
        <v>2.6481370000000001E-2</v>
      </c>
      <c r="R3308">
        <v>5.757437E-2</v>
      </c>
      <c r="S3308">
        <v>3.0224000000000002</v>
      </c>
      <c r="T3308">
        <v>-0.14777299999999999</v>
      </c>
      <c r="U3308">
        <v>-0.2398682</v>
      </c>
      <c r="V3308">
        <v>-3.7760019999999998E-2</v>
      </c>
      <c r="W3308">
        <v>3.9946240000000001E-2</v>
      </c>
      <c r="X3308">
        <v>0.99848809999999999</v>
      </c>
      <c r="Y3308">
        <v>9.8845619999999995E-2</v>
      </c>
      <c r="Z3308">
        <v>-3.3846379999999902E-3</v>
      </c>
      <c r="AA3308">
        <v>0.99509699999999901</v>
      </c>
      <c r="AB3308">
        <v>29</v>
      </c>
      <c r="AC3308">
        <v>22.388099999999898</v>
      </c>
      <c r="AD3308">
        <v>-1.1055080414896199</v>
      </c>
      <c r="AE3308">
        <v>-1.7997000000000001</v>
      </c>
      <c r="AF3308">
        <v>2.2405618750217902</v>
      </c>
      <c r="AG3308">
        <v>-1.1055080414896199</v>
      </c>
      <c r="AH3308">
        <v>22.293729657817199</v>
      </c>
      <c r="AI3308">
        <v>92.824668205163604</v>
      </c>
      <c r="AJ3308">
        <v>84.260937046309095</v>
      </c>
      <c r="AK3308">
        <v>22.4332932847907</v>
      </c>
    </row>
    <row r="3309" spans="1:37" x14ac:dyDescent="0.2">
      <c r="A3309" t="str">
        <f>"20200111155912991"</f>
        <v>20200111155912991</v>
      </c>
      <c r="B3309" t="str">
        <f>"1578729552984704"</f>
        <v>1578729552984704</v>
      </c>
      <c r="C3309" t="s">
        <v>37</v>
      </c>
      <c r="D3309">
        <v>5.9497279999999897</v>
      </c>
      <c r="E3309">
        <v>0.54977889999999996</v>
      </c>
      <c r="F3309" t="s">
        <v>50</v>
      </c>
      <c r="G3309">
        <v>-231.99930000000001</v>
      </c>
      <c r="H3309" s="1">
        <v>-4.3269370000000002E-7</v>
      </c>
      <c r="I3309">
        <v>213.69749999999999</v>
      </c>
      <c r="J3309">
        <v>-254.82900000000001</v>
      </c>
      <c r="K3309">
        <v>1.1055379999999999</v>
      </c>
      <c r="L3309">
        <v>215.45859999999999</v>
      </c>
      <c r="M3309">
        <v>0.99967739999999905</v>
      </c>
      <c r="N3309">
        <v>0</v>
      </c>
      <c r="O3309">
        <v>2.1464879999999999E-2</v>
      </c>
      <c r="P3309">
        <v>0.99784119999999998</v>
      </c>
      <c r="Q3309">
        <v>2.7237330000000001E-2</v>
      </c>
      <c r="R3309">
        <v>5.9762120000000002E-2</v>
      </c>
      <c r="S3309">
        <v>3.0231020000000002</v>
      </c>
      <c r="T3309">
        <v>-0.1445563</v>
      </c>
      <c r="U3309">
        <v>-0.22930909999999999</v>
      </c>
      <c r="V3309">
        <v>-3.8440149999999999E-2</v>
      </c>
      <c r="W3309">
        <v>4.070522E-2</v>
      </c>
      <c r="X3309">
        <v>0.99843150000000003</v>
      </c>
      <c r="Y3309">
        <v>9.6888390000000005E-2</v>
      </c>
      <c r="Z3309">
        <v>-3.3364079999999999E-3</v>
      </c>
      <c r="AA3309">
        <v>0.99528969999999894</v>
      </c>
      <c r="AB3309">
        <v>29</v>
      </c>
      <c r="AC3309">
        <v>22.829699999999999</v>
      </c>
      <c r="AD3309">
        <v>-1.1055384326936999</v>
      </c>
      <c r="AE3309">
        <v>-1.7610999999999899</v>
      </c>
      <c r="AF3309">
        <v>2.2455414220883898</v>
      </c>
      <c r="AG3309">
        <v>-1.1055384326936999</v>
      </c>
      <c r="AH3309">
        <v>22.733638283113802</v>
      </c>
      <c r="AI3309">
        <v>92.770642254215602</v>
      </c>
      <c r="AJ3309">
        <v>84.358842018481099</v>
      </c>
      <c r="AK3309">
        <v>22.871007435002401</v>
      </c>
    </row>
    <row r="3310" spans="1:37" x14ac:dyDescent="0.2">
      <c r="A3310" t="str">
        <f>"20200111155913013"</f>
        <v>20200111155913013</v>
      </c>
      <c r="B3310" t="str">
        <f>"1578729553005200"</f>
        <v>1578729553005200</v>
      </c>
      <c r="C3310" t="s">
        <v>37</v>
      </c>
      <c r="D3310">
        <v>6.0807190000000002</v>
      </c>
      <c r="E3310">
        <v>0.54420740000000001</v>
      </c>
      <c r="F3310" t="s">
        <v>50</v>
      </c>
      <c r="G3310">
        <v>-231.4376</v>
      </c>
      <c r="H3310" s="1">
        <v>-7.336386E-7</v>
      </c>
      <c r="I3310">
        <v>213.74369999999999</v>
      </c>
      <c r="J3310">
        <v>-254.54560000000001</v>
      </c>
      <c r="K3310">
        <v>1.1055520000000001</v>
      </c>
      <c r="L3310">
        <v>215.46629999999999</v>
      </c>
      <c r="M3310">
        <v>0.99964370000000002</v>
      </c>
      <c r="N3310">
        <v>0</v>
      </c>
      <c r="O3310">
        <v>2.2970170000000002E-2</v>
      </c>
      <c r="P3310">
        <v>0.99774449999999903</v>
      </c>
      <c r="Q3310">
        <v>2.6861929999999999E-2</v>
      </c>
      <c r="R3310">
        <v>6.1517559999999999E-2</v>
      </c>
      <c r="S3310">
        <v>3.0236509999999899</v>
      </c>
      <c r="T3310">
        <v>-0.1429057</v>
      </c>
      <c r="U3310">
        <v>-0.22167970000000001</v>
      </c>
      <c r="V3310">
        <v>-3.8694489999999998E-2</v>
      </c>
      <c r="W3310">
        <v>4.0335509999999998E-2</v>
      </c>
      <c r="X3310">
        <v>0.99843669999999995</v>
      </c>
      <c r="Y3310">
        <v>9.5878480000000002E-2</v>
      </c>
      <c r="Z3310">
        <v>-3.3452719999999998E-3</v>
      </c>
      <c r="AA3310">
        <v>0.99538740000000003</v>
      </c>
      <c r="AB3310">
        <v>29</v>
      </c>
      <c r="AC3310">
        <v>23.108000000000001</v>
      </c>
      <c r="AD3310">
        <v>-1.1055527336386</v>
      </c>
      <c r="AE3310">
        <v>-1.7225999999999999</v>
      </c>
      <c r="AF3310">
        <v>2.24787235353591</v>
      </c>
      <c r="AG3310">
        <v>-1.1055527336386</v>
      </c>
      <c r="AH3310">
        <v>23.009952460860902</v>
      </c>
      <c r="AI3310">
        <v>92.737745883361697</v>
      </c>
      <c r="AJ3310">
        <v>84.420405198391407</v>
      </c>
      <c r="AK3310">
        <v>23.145908692806302</v>
      </c>
    </row>
    <row r="3311" spans="1:37" x14ac:dyDescent="0.2">
      <c r="A3311" t="str">
        <f>"20200111155913035"</f>
        <v>20200111155913035</v>
      </c>
      <c r="B3311" t="str">
        <f>"1578729553024721"</f>
        <v>1578729553024721</v>
      </c>
      <c r="C3311" t="s">
        <v>37</v>
      </c>
      <c r="D3311">
        <v>8.3449170000000006</v>
      </c>
      <c r="E3311">
        <v>0.54790660000000002</v>
      </c>
      <c r="F3311" t="s">
        <v>38</v>
      </c>
      <c r="G3311">
        <v>-253.67670000000001</v>
      </c>
      <c r="H3311">
        <v>1.0200069999999899</v>
      </c>
      <c r="I3311">
        <v>215.416</v>
      </c>
      <c r="J3311">
        <v>-254.2594</v>
      </c>
      <c r="K3311">
        <v>1.105556</v>
      </c>
      <c r="L3311">
        <v>215.47460000000001</v>
      </c>
      <c r="M3311">
        <v>0.99960709999999997</v>
      </c>
      <c r="N3311">
        <v>0</v>
      </c>
      <c r="O3311">
        <v>2.4500020000000001E-2</v>
      </c>
      <c r="P3311">
        <v>0.99774909999999895</v>
      </c>
      <c r="Q3311">
        <v>2.566177E-2</v>
      </c>
      <c r="R3311">
        <v>6.1952109999999998E-2</v>
      </c>
      <c r="S3311">
        <v>3.025604</v>
      </c>
      <c r="T3311">
        <v>-0.29791259999999897</v>
      </c>
      <c r="U3311">
        <v>-0.17503360000000001</v>
      </c>
      <c r="V3311">
        <v>-3.7597430000000001E-2</v>
      </c>
      <c r="W3311">
        <v>3.9145779999999998E-2</v>
      </c>
      <c r="X3311">
        <v>0.99852589999999997</v>
      </c>
      <c r="Y3311">
        <v>8.1686309999999998E-2</v>
      </c>
      <c r="Z3311">
        <v>-6.4135650000000004E-3</v>
      </c>
      <c r="AA3311">
        <v>0.99663749999999995</v>
      </c>
      <c r="AB3311">
        <v>29</v>
      </c>
      <c r="AC3311">
        <v>0.58269999999998801</v>
      </c>
      <c r="AD3311">
        <v>-8.5549000000000097E-2</v>
      </c>
      <c r="AE3311">
        <v>-5.86000000000126E-2</v>
      </c>
      <c r="AF3311">
        <v>7.1337633732155001E-2</v>
      </c>
      <c r="AG3311">
        <v>-8.5549000000000097E-2</v>
      </c>
      <c r="AH3311">
        <v>0.56894855475311201</v>
      </c>
      <c r="AI3311">
        <v>98.485659194561293</v>
      </c>
      <c r="AJ3311">
        <v>82.853263270406202</v>
      </c>
      <c r="AK3311">
        <v>0.57975007317218796</v>
      </c>
    </row>
    <row r="3312" spans="1:37" x14ac:dyDescent="0.2">
      <c r="A3312" t="str">
        <f>"20200111155913057"</f>
        <v>20200111155913057</v>
      </c>
      <c r="B3312" t="str">
        <f>"1578729553045218"</f>
        <v>1578729553045218</v>
      </c>
      <c r="C3312" t="s">
        <v>37</v>
      </c>
      <c r="D3312">
        <v>5.9186559999999897</v>
      </c>
      <c r="E3312">
        <v>0.54728980000000005</v>
      </c>
      <c r="F3312" t="s">
        <v>38</v>
      </c>
      <c r="G3312">
        <v>-253.39859999999999</v>
      </c>
      <c r="H3312">
        <v>1.053674</v>
      </c>
      <c r="I3312">
        <v>215.41749999999999</v>
      </c>
      <c r="J3312">
        <v>-253.97399999999999</v>
      </c>
      <c r="K3312">
        <v>1.1055600000000001</v>
      </c>
      <c r="L3312">
        <v>215.48330000000001</v>
      </c>
      <c r="M3312">
        <v>0.99956859999999903</v>
      </c>
      <c r="N3312">
        <v>0</v>
      </c>
      <c r="O3312">
        <v>2.6025260000000001E-2</v>
      </c>
      <c r="P3312">
        <v>0.99780389999999997</v>
      </c>
      <c r="Q3312">
        <v>2.4166569999999998E-2</v>
      </c>
      <c r="R3312">
        <v>6.167388E-2</v>
      </c>
      <c r="S3312">
        <v>3.023911</v>
      </c>
      <c r="T3312">
        <v>-0.1823099</v>
      </c>
      <c r="U3312">
        <v>-0.20047000000000001</v>
      </c>
      <c r="V3312">
        <v>-3.5790099999999998E-2</v>
      </c>
      <c r="W3312">
        <v>3.7664870000000003E-2</v>
      </c>
      <c r="X3312">
        <v>0.99864929999999996</v>
      </c>
      <c r="Y3312">
        <v>9.1884750000000001E-2</v>
      </c>
      <c r="Z3312">
        <v>-4.3305640000000003E-3</v>
      </c>
      <c r="AA3312">
        <v>0.99576030000000004</v>
      </c>
      <c r="AB3312">
        <v>29</v>
      </c>
      <c r="AC3312">
        <v>0.57540000000003</v>
      </c>
      <c r="AD3312">
        <v>-5.1886000000000099E-2</v>
      </c>
      <c r="AE3312">
        <v>-6.58000000000242E-2</v>
      </c>
      <c r="AF3312">
        <v>8.0111031404657695E-2</v>
      </c>
      <c r="AG3312">
        <v>-5.1886000000000099E-2</v>
      </c>
      <c r="AH3312">
        <v>0.56892604651408696</v>
      </c>
      <c r="AI3312">
        <v>95.160325417389004</v>
      </c>
      <c r="AJ3312">
        <v>81.984822451172306</v>
      </c>
      <c r="AK3312">
        <v>0.57687674658532395</v>
      </c>
    </row>
    <row r="3313" spans="1:37" x14ac:dyDescent="0.2">
      <c r="A3313" t="str">
        <f>"20200111155913080"</f>
        <v>20200111155913080</v>
      </c>
      <c r="B3313" t="str">
        <f>"1578729553075472"</f>
        <v>1578729553075472</v>
      </c>
      <c r="C3313" t="s">
        <v>37</v>
      </c>
      <c r="D3313">
        <v>5.8895140000000001</v>
      </c>
      <c r="E3313">
        <v>0.54759080000000004</v>
      </c>
      <c r="F3313" t="s">
        <v>38</v>
      </c>
      <c r="G3313">
        <v>-253.14349999999999</v>
      </c>
      <c r="H3313">
        <v>1.0511029999999999</v>
      </c>
      <c r="I3313">
        <v>215.42910000000001</v>
      </c>
      <c r="J3313">
        <v>-253.68170000000001</v>
      </c>
      <c r="K3313">
        <v>1.105551</v>
      </c>
      <c r="L3313">
        <v>215.49260000000001</v>
      </c>
      <c r="M3313">
        <v>0.99952680000000005</v>
      </c>
      <c r="N3313">
        <v>0</v>
      </c>
      <c r="O3313">
        <v>2.7583659999999999E-2</v>
      </c>
      <c r="P3313">
        <v>0.99788339999999998</v>
      </c>
      <c r="Q3313">
        <v>2.2235290000000001E-2</v>
      </c>
      <c r="R3313">
        <v>6.1112850000000003E-2</v>
      </c>
      <c r="S3313">
        <v>3.0235599999999998</v>
      </c>
      <c r="T3313">
        <v>-0.19842279999999901</v>
      </c>
      <c r="U3313">
        <v>-0.1965027</v>
      </c>
      <c r="V3313">
        <v>-3.3663810000000002E-2</v>
      </c>
      <c r="W3313">
        <v>3.5747840000000003E-2</v>
      </c>
      <c r="X3313">
        <v>0.99879370000000001</v>
      </c>
      <c r="Y3313">
        <v>9.2100669999999996E-2</v>
      </c>
      <c r="Z3313">
        <v>-4.8224100000000001E-3</v>
      </c>
      <c r="AA3313">
        <v>0.99573799999999901</v>
      </c>
      <c r="AB3313">
        <v>29</v>
      </c>
      <c r="AC3313">
        <v>0.538200000000017</v>
      </c>
      <c r="AD3313">
        <v>-5.4447999999999802E-2</v>
      </c>
      <c r="AE3313">
        <v>-6.3500000000004705E-2</v>
      </c>
      <c r="AF3313">
        <v>7.7540029605828495E-2</v>
      </c>
      <c r="AG3313">
        <v>-5.4447999999999802E-2</v>
      </c>
      <c r="AH3313">
        <v>0.530884588810418</v>
      </c>
      <c r="AI3313">
        <v>95.794773178713996</v>
      </c>
      <c r="AJ3313">
        <v>81.690241710772099</v>
      </c>
      <c r="AK3313">
        <v>0.53927311033619996</v>
      </c>
    </row>
    <row r="3314" spans="1:37" x14ac:dyDescent="0.2">
      <c r="A3314" t="str">
        <f>"20200111155913102"</f>
        <v>20200111155913102</v>
      </c>
      <c r="B3314" t="str">
        <f>"1578729553094992"</f>
        <v>1578729553094992</v>
      </c>
      <c r="C3314" t="s">
        <v>37</v>
      </c>
      <c r="D3314">
        <v>5.8928159999999998</v>
      </c>
      <c r="E3314">
        <v>0.54635330000000004</v>
      </c>
      <c r="F3314" t="s">
        <v>38</v>
      </c>
      <c r="G3314">
        <v>-252.8862</v>
      </c>
      <c r="H3314">
        <v>1.0512319999999999</v>
      </c>
      <c r="I3314">
        <v>215.43969999999999</v>
      </c>
      <c r="J3314">
        <v>-253.39359999999999</v>
      </c>
      <c r="K3314">
        <v>1.1055379999999999</v>
      </c>
      <c r="L3314">
        <v>215.50219999999999</v>
      </c>
      <c r="M3314">
        <v>0.99948329999999996</v>
      </c>
      <c r="N3314">
        <v>0</v>
      </c>
      <c r="O3314">
        <v>2.9113360000000001E-2</v>
      </c>
      <c r="P3314">
        <v>0.99799090000000001</v>
      </c>
      <c r="Q3314">
        <v>2.007275E-2</v>
      </c>
      <c r="R3314">
        <v>6.009424E-2</v>
      </c>
      <c r="S3314">
        <v>3.0232700000000001</v>
      </c>
      <c r="T3314">
        <v>-0.2064908</v>
      </c>
      <c r="U3314">
        <v>-0.20094300000000001</v>
      </c>
      <c r="V3314">
        <v>-3.1107059999999999E-2</v>
      </c>
      <c r="W3314">
        <v>3.360051E-2</v>
      </c>
      <c r="X3314">
        <v>0.99895109999999998</v>
      </c>
      <c r="Y3314">
        <v>9.5054849999999996E-2</v>
      </c>
      <c r="Z3314">
        <v>-5.2232229999999999E-3</v>
      </c>
      <c r="AA3314">
        <v>0.99545830000000002</v>
      </c>
      <c r="AB3314">
        <v>29</v>
      </c>
      <c r="AC3314">
        <v>0.50739999999998897</v>
      </c>
      <c r="AD3314">
        <v>-5.4305999999999903E-2</v>
      </c>
      <c r="AE3314">
        <v>-6.25E-2</v>
      </c>
      <c r="AF3314">
        <v>7.6385078989654506E-2</v>
      </c>
      <c r="AG3314">
        <v>-5.4305999999999903E-2</v>
      </c>
      <c r="AH3314">
        <v>0.49972632290156699</v>
      </c>
      <c r="AI3314">
        <v>96.131416522745596</v>
      </c>
      <c r="AJ3314">
        <v>81.309387766796107</v>
      </c>
      <c r="AK3314">
        <v>0.508439002958051</v>
      </c>
    </row>
    <row r="3315" spans="1:37" x14ac:dyDescent="0.2">
      <c r="A3315" t="str">
        <f>"20200111155913136"</f>
        <v>20200111155913136</v>
      </c>
      <c r="B3315" t="str">
        <f>"1578729553125248"</f>
        <v>1578729553125248</v>
      </c>
      <c r="C3315" t="s">
        <v>37</v>
      </c>
      <c r="D3315">
        <v>5.8893300000000002</v>
      </c>
      <c r="E3315">
        <v>0.54675309999999999</v>
      </c>
      <c r="F3315" t="s">
        <v>38</v>
      </c>
      <c r="G3315">
        <v>-252.64250000000001</v>
      </c>
      <c r="H3315">
        <v>1.0298799999999999</v>
      </c>
      <c r="I3315">
        <v>215.45339999999999</v>
      </c>
      <c r="J3315">
        <v>-252.96350000000001</v>
      </c>
      <c r="K3315">
        <v>1.105531</v>
      </c>
      <c r="L3315">
        <v>215.51750000000001</v>
      </c>
      <c r="M3315">
        <v>0.99941420000000003</v>
      </c>
      <c r="N3315">
        <v>0</v>
      </c>
      <c r="O3315">
        <v>3.1388949999999999E-2</v>
      </c>
      <c r="P3315">
        <v>0.99809389999999998</v>
      </c>
      <c r="Q3315">
        <v>1.8894439999999998E-2</v>
      </c>
      <c r="R3315">
        <v>5.8751299999999999E-2</v>
      </c>
      <c r="S3315">
        <v>3.0240330000000002</v>
      </c>
      <c r="T3315">
        <v>-0.3046799</v>
      </c>
      <c r="U3315">
        <v>-0.19645689999999999</v>
      </c>
      <c r="V3315">
        <v>-2.7482989999999999E-2</v>
      </c>
      <c r="W3315">
        <v>3.2442430000000001E-2</v>
      </c>
      <c r="X3315">
        <v>0.99909570000000003</v>
      </c>
      <c r="Y3315">
        <v>9.5482499999999998E-2</v>
      </c>
      <c r="Z3315">
        <v>-7.9448560000000001E-3</v>
      </c>
      <c r="AA3315">
        <v>0.99539940000000005</v>
      </c>
      <c r="AB3315">
        <v>29</v>
      </c>
      <c r="AC3315">
        <v>0.32099999999999701</v>
      </c>
      <c r="AD3315">
        <v>-7.5651000000000093E-2</v>
      </c>
      <c r="AE3315">
        <v>-6.4100000000024596E-2</v>
      </c>
      <c r="AF3315">
        <v>7.0385762106729005E-2</v>
      </c>
      <c r="AG3315">
        <v>-7.5651000000000093E-2</v>
      </c>
      <c r="AH3315">
        <v>0.30266373557489101</v>
      </c>
      <c r="AI3315">
        <v>103.682715732548</v>
      </c>
      <c r="AJ3315">
        <v>76.908314031286096</v>
      </c>
      <c r="AK3315">
        <v>0.319816456956944</v>
      </c>
    </row>
    <row r="3316" spans="1:37" x14ac:dyDescent="0.2">
      <c r="A3316" t="str">
        <f>"20200111155913158"</f>
        <v>20200111155913158</v>
      </c>
      <c r="B3316" t="str">
        <f>"1578729553155505"</f>
        <v>1578729553155505</v>
      </c>
      <c r="C3316" t="s">
        <v>37</v>
      </c>
      <c r="D3316">
        <v>8.2770609999999998</v>
      </c>
      <c r="E3316">
        <v>0.54753149999999995</v>
      </c>
      <c r="F3316" t="s">
        <v>38</v>
      </c>
      <c r="G3316">
        <v>-252.13419999999999</v>
      </c>
      <c r="H3316">
        <v>1.0191649999999901</v>
      </c>
      <c r="I3316">
        <v>215.46119999999999</v>
      </c>
      <c r="J3316">
        <v>-252.68520000000001</v>
      </c>
      <c r="K3316">
        <v>1.1055189999999999</v>
      </c>
      <c r="L3316">
        <v>215.52780000000001</v>
      </c>
      <c r="M3316">
        <v>0.99936689999999995</v>
      </c>
      <c r="N3316">
        <v>0</v>
      </c>
      <c r="O3316">
        <v>3.2857419999999998E-2</v>
      </c>
      <c r="P3316">
        <v>0.9981563</v>
      </c>
      <c r="Q3316">
        <v>1.833102E-2</v>
      </c>
      <c r="R3316">
        <v>5.7860509999999997E-2</v>
      </c>
      <c r="S3316">
        <v>3.0237430000000001</v>
      </c>
      <c r="T3316">
        <v>-0.31499729999999998</v>
      </c>
      <c r="U3316">
        <v>-0.2047272</v>
      </c>
      <c r="V3316">
        <v>-2.5119909999999999E-2</v>
      </c>
      <c r="W3316">
        <v>3.1890050000000003E-2</v>
      </c>
      <c r="X3316">
        <v>0.9991757</v>
      </c>
      <c r="Y3316">
        <v>9.9587010000000004E-2</v>
      </c>
      <c r="Z3316">
        <v>-8.5779589999999996E-3</v>
      </c>
      <c r="AA3316">
        <v>0.99499190000000004</v>
      </c>
      <c r="AB3316">
        <v>29</v>
      </c>
      <c r="AC3316">
        <v>0.55100000000001603</v>
      </c>
      <c r="AD3316">
        <v>-8.6354000000000194E-2</v>
      </c>
      <c r="AE3316">
        <v>-6.6600000000022405E-2</v>
      </c>
      <c r="AF3316">
        <v>8.2668890898924194E-2</v>
      </c>
      <c r="AG3316">
        <v>-8.6354000000000194E-2</v>
      </c>
      <c r="AH3316">
        <v>0.53554923612185501</v>
      </c>
      <c r="AI3316">
        <v>99.054319617964893</v>
      </c>
      <c r="AJ3316">
        <v>81.224921593993997</v>
      </c>
      <c r="AK3316">
        <v>0.54872957196524397</v>
      </c>
    </row>
    <row r="3317" spans="1:37" x14ac:dyDescent="0.2">
      <c r="A3317" t="str">
        <f>"20200111155913180"</f>
        <v>20200111155913180</v>
      </c>
      <c r="B3317" t="str">
        <f>"1578729553175024"</f>
        <v>1578729553175024</v>
      </c>
      <c r="C3317" t="s">
        <v>37</v>
      </c>
      <c r="D3317">
        <v>5.8946360000000002</v>
      </c>
      <c r="E3317">
        <v>0.54770059999999998</v>
      </c>
      <c r="F3317" t="s">
        <v>38</v>
      </c>
      <c r="G3317">
        <v>-251.863</v>
      </c>
      <c r="H3317">
        <v>1.047361</v>
      </c>
      <c r="I3317">
        <v>215.47030000000001</v>
      </c>
      <c r="J3317">
        <v>-252.38900000000001</v>
      </c>
      <c r="K3317">
        <v>1.105507</v>
      </c>
      <c r="L3317">
        <v>215.5394</v>
      </c>
      <c r="M3317">
        <v>0.99931440000000005</v>
      </c>
      <c r="N3317">
        <v>0</v>
      </c>
      <c r="O3317">
        <v>3.4419289999999998E-2</v>
      </c>
      <c r="P3317">
        <v>0.9981641</v>
      </c>
      <c r="Q3317">
        <v>1.8060010000000001E-2</v>
      </c>
      <c r="R3317">
        <v>5.7812309999999999E-2</v>
      </c>
      <c r="S3317">
        <v>3.0217130000000001</v>
      </c>
      <c r="T3317">
        <v>-0.21373400000000001</v>
      </c>
      <c r="U3317">
        <v>-0.2116547</v>
      </c>
      <c r="V3317">
        <v>-2.3508270000000001E-2</v>
      </c>
      <c r="W3317">
        <v>3.1628410000000003E-2</v>
      </c>
      <c r="X3317">
        <v>0.99922319999999998</v>
      </c>
      <c r="Y3317">
        <v>0.103826399999999</v>
      </c>
      <c r="Z3317">
        <v>-6.0920760000000001E-3</v>
      </c>
      <c r="AA3317">
        <v>0.99457680000000004</v>
      </c>
      <c r="AB3317">
        <v>29</v>
      </c>
      <c r="AC3317">
        <v>0.52600000000001002</v>
      </c>
      <c r="AD3317">
        <v>-5.8146000000000003E-2</v>
      </c>
      <c r="AE3317">
        <v>-6.9099999999991696E-2</v>
      </c>
      <c r="AF3317">
        <v>8.6130627004728302E-2</v>
      </c>
      <c r="AG3317">
        <v>-5.8146000000000003E-2</v>
      </c>
      <c r="AH3317">
        <v>0.51709798890840697</v>
      </c>
      <c r="AI3317">
        <v>96.329297904566502</v>
      </c>
      <c r="AJ3317">
        <v>80.543323907690095</v>
      </c>
      <c r="AK3317">
        <v>0.52743698425247698</v>
      </c>
    </row>
    <row r="3318" spans="1:37" x14ac:dyDescent="0.2">
      <c r="A3318" t="str">
        <f>"20200111155913202"</f>
        <v>20200111155913202</v>
      </c>
      <c r="B3318" t="str">
        <f>"1578729553195520"</f>
        <v>1578729553195520</v>
      </c>
      <c r="C3318" t="s">
        <v>37</v>
      </c>
      <c r="D3318">
        <v>8.2902939999999994</v>
      </c>
      <c r="E3318">
        <v>0.54768539999999999</v>
      </c>
      <c r="F3318" t="s">
        <v>38</v>
      </c>
      <c r="G3318">
        <v>-251.6071</v>
      </c>
      <c r="H3318">
        <v>1.047415</v>
      </c>
      <c r="I3318">
        <v>215.48410000000001</v>
      </c>
      <c r="J3318">
        <v>-252.114</v>
      </c>
      <c r="K3318">
        <v>1.105507</v>
      </c>
      <c r="L3318">
        <v>215.5504</v>
      </c>
      <c r="M3318">
        <v>0.99926329999999997</v>
      </c>
      <c r="N3318">
        <v>0</v>
      </c>
      <c r="O3318">
        <v>3.5869289999999998E-2</v>
      </c>
      <c r="P3318">
        <v>0.99811209999999995</v>
      </c>
      <c r="Q3318">
        <v>1.7543340000000001E-2</v>
      </c>
      <c r="R3318">
        <v>5.8860559999999999E-2</v>
      </c>
      <c r="S3318">
        <v>3.0219419999999899</v>
      </c>
      <c r="T3318">
        <v>-0.22467519999999999</v>
      </c>
      <c r="U3318">
        <v>-0.213165299999999</v>
      </c>
      <c r="V3318">
        <v>-2.3105549999999999E-2</v>
      </c>
      <c r="W3318">
        <v>3.111558E-2</v>
      </c>
      <c r="X3318">
        <v>0.99924869999999899</v>
      </c>
      <c r="Y3318">
        <v>0.10571369999999999</v>
      </c>
      <c r="Z3318">
        <v>-6.5800340000000002E-3</v>
      </c>
      <c r="AA3318">
        <v>0.9943748</v>
      </c>
      <c r="AB3318">
        <v>29</v>
      </c>
      <c r="AC3318">
        <v>0.50690000000000102</v>
      </c>
      <c r="AD3318">
        <v>-5.8091999999999998E-2</v>
      </c>
      <c r="AE3318">
        <v>-6.6299999999983997E-2</v>
      </c>
      <c r="AF3318">
        <v>8.3364690187209101E-2</v>
      </c>
      <c r="AG3318">
        <v>-5.8091999999999998E-2</v>
      </c>
      <c r="AH3318">
        <v>0.49776779974948798</v>
      </c>
      <c r="AI3318">
        <v>96.565961880061494</v>
      </c>
      <c r="AJ3318">
        <v>80.492506259444795</v>
      </c>
      <c r="AK3318">
        <v>0.50803261165151203</v>
      </c>
    </row>
    <row r="3319" spans="1:37" x14ac:dyDescent="0.2">
      <c r="A3319" t="str">
        <f>"20200111155913224"</f>
        <v>20200111155913224</v>
      </c>
      <c r="B3319" t="str">
        <f>"1578729553215041"</f>
        <v>1578729553215041</v>
      </c>
      <c r="C3319" t="s">
        <v>37</v>
      </c>
      <c r="D3319">
        <v>6.1039870000000001</v>
      </c>
      <c r="E3319">
        <v>0.54758009999999901</v>
      </c>
      <c r="F3319" t="s">
        <v>38</v>
      </c>
      <c r="G3319">
        <v>-251.3501</v>
      </c>
      <c r="H3319">
        <v>1.048837</v>
      </c>
      <c r="I3319">
        <v>215.4973</v>
      </c>
      <c r="J3319">
        <v>-251.8313</v>
      </c>
      <c r="K3319">
        <v>1.1055010000000001</v>
      </c>
      <c r="L3319">
        <v>215.56219999999999</v>
      </c>
      <c r="M3319">
        <v>0.99920869999999995</v>
      </c>
      <c r="N3319">
        <v>0</v>
      </c>
      <c r="O3319">
        <v>3.7360539999999998E-2</v>
      </c>
      <c r="P3319">
        <v>0.99803839999999999</v>
      </c>
      <c r="Q3319">
        <v>1.7640820000000001E-2</v>
      </c>
      <c r="R3319">
        <v>6.0068690000000001E-2</v>
      </c>
      <c r="S3319">
        <v>3.02200299999999</v>
      </c>
      <c r="T3319">
        <v>-0.22417609999999999</v>
      </c>
      <c r="U3319">
        <v>-0.20993039999999999</v>
      </c>
      <c r="V3319">
        <v>-2.2823880000000001E-2</v>
      </c>
      <c r="W3319">
        <v>3.1215670000000001E-2</v>
      </c>
      <c r="X3319">
        <v>0.99925200000000003</v>
      </c>
      <c r="Y3319">
        <v>0.10613350000000001</v>
      </c>
      <c r="Z3319">
        <v>-6.691448E-3</v>
      </c>
      <c r="AA3319">
        <v>0.99432940000000003</v>
      </c>
      <c r="AB3319">
        <v>29</v>
      </c>
      <c r="AC3319">
        <v>0.48120000000000102</v>
      </c>
      <c r="AD3319">
        <v>-5.6663999999999999E-2</v>
      </c>
      <c r="AE3319">
        <v>-6.4899999999994407E-2</v>
      </c>
      <c r="AF3319">
        <v>8.1721312648720595E-2</v>
      </c>
      <c r="AG3319">
        <v>-5.6663999999999999E-2</v>
      </c>
      <c r="AH3319">
        <v>0.47201090864144601</v>
      </c>
      <c r="AI3319">
        <v>96.746072225159594</v>
      </c>
      <c r="AJ3319">
        <v>80.177503497252005</v>
      </c>
      <c r="AK3319">
        <v>0.48237276012805103</v>
      </c>
    </row>
    <row r="3320" spans="1:37" x14ac:dyDescent="0.2">
      <c r="A3320" t="str">
        <f>"20200111155913248"</f>
        <v>20200111155913248</v>
      </c>
      <c r="B3320" t="str">
        <f>"1578729553245296"</f>
        <v>1578729553245296</v>
      </c>
      <c r="C3320" t="s">
        <v>37</v>
      </c>
      <c r="D3320">
        <v>5.9272849999999897</v>
      </c>
      <c r="E3320">
        <v>0.54723520000000003</v>
      </c>
      <c r="F3320" t="s">
        <v>38</v>
      </c>
      <c r="G3320">
        <v>-251.09190000000001</v>
      </c>
      <c r="H3320">
        <v>1.051898</v>
      </c>
      <c r="I3320">
        <v>215.51179999999999</v>
      </c>
      <c r="J3320">
        <v>-251.54239999999999</v>
      </c>
      <c r="K3320">
        <v>1.105502</v>
      </c>
      <c r="L3320">
        <v>215.57480000000001</v>
      </c>
      <c r="M3320">
        <v>0.99915049999999905</v>
      </c>
      <c r="N3320">
        <v>0</v>
      </c>
      <c r="O3320">
        <v>3.8883859999999999E-2</v>
      </c>
      <c r="P3320">
        <v>0.99791730000000001</v>
      </c>
      <c r="Q3320">
        <v>1.8002199999999999E-2</v>
      </c>
      <c r="R3320">
        <v>6.1944649999999997E-2</v>
      </c>
      <c r="S3320">
        <v>3.022141</v>
      </c>
      <c r="T3320">
        <v>-0.21929119999999999</v>
      </c>
      <c r="U3320">
        <v>-0.2055206</v>
      </c>
      <c r="V3320">
        <v>-2.3180490000000002E-2</v>
      </c>
      <c r="W3320">
        <v>3.1577889999999997E-2</v>
      </c>
      <c r="X3320">
        <v>0.99923249999999997</v>
      </c>
      <c r="Y3320">
        <v>0.106214899999999</v>
      </c>
      <c r="Z3320">
        <v>-6.6592680000000003E-3</v>
      </c>
      <c r="AA3320">
        <v>0.99432089999999995</v>
      </c>
      <c r="AB3320">
        <v>29</v>
      </c>
      <c r="AC3320">
        <v>0.45049999999997598</v>
      </c>
      <c r="AD3320">
        <v>-5.3603999999999902E-2</v>
      </c>
      <c r="AE3320">
        <v>-6.3000000000016598E-2</v>
      </c>
      <c r="AF3320">
        <v>7.9368998246337405E-2</v>
      </c>
      <c r="AG3320">
        <v>-5.3603999999999902E-2</v>
      </c>
      <c r="AH3320">
        <v>0.44157735460061998</v>
      </c>
      <c r="AI3320">
        <v>96.813259117684694</v>
      </c>
      <c r="AJ3320">
        <v>79.810470836107001</v>
      </c>
      <c r="AK3320">
        <v>0.451844427645964</v>
      </c>
    </row>
    <row r="3321" spans="1:37" x14ac:dyDescent="0.2">
      <c r="A3321" t="str">
        <f>"20200111155913270"</f>
        <v>20200111155913270</v>
      </c>
      <c r="B3321" t="str">
        <f>"1578729553264817"</f>
        <v>1578729553264817</v>
      </c>
      <c r="C3321" t="s">
        <v>37</v>
      </c>
      <c r="D3321">
        <v>5.8841449999999904</v>
      </c>
      <c r="E3321">
        <v>0.54750659999999995</v>
      </c>
      <c r="F3321" t="s">
        <v>38</v>
      </c>
      <c r="G3321">
        <v>-250.59059999999999</v>
      </c>
      <c r="H3321">
        <v>1.0375129999999999</v>
      </c>
      <c r="I3321">
        <v>215.5128</v>
      </c>
      <c r="J3321">
        <v>-251.24860000000001</v>
      </c>
      <c r="K3321">
        <v>1.10549599999999</v>
      </c>
      <c r="L3321">
        <v>215.58799999999999</v>
      </c>
      <c r="M3321">
        <v>0.99908889999999995</v>
      </c>
      <c r="N3321">
        <v>0</v>
      </c>
      <c r="O3321">
        <v>4.043443E-2</v>
      </c>
      <c r="P3321">
        <v>0.99776149999999997</v>
      </c>
      <c r="Q3321">
        <v>1.86137E-2</v>
      </c>
      <c r="R3321">
        <v>6.4232040000000004E-2</v>
      </c>
      <c r="S3321">
        <v>3.022354</v>
      </c>
      <c r="T3321">
        <v>-0.21602399999999899</v>
      </c>
      <c r="U3321">
        <v>-0.19631960000000001</v>
      </c>
      <c r="V3321">
        <v>-2.3922369999999998E-2</v>
      </c>
      <c r="W3321">
        <v>3.2187929999999997E-2</v>
      </c>
      <c r="X3321">
        <v>0.99919550000000001</v>
      </c>
      <c r="Y3321">
        <v>0.10475039999999999</v>
      </c>
      <c r="Z3321">
        <v>-6.61883099999999E-3</v>
      </c>
      <c r="AA3321">
        <v>0.99447649999999999</v>
      </c>
      <c r="AB3321">
        <v>29</v>
      </c>
      <c r="AC3321">
        <v>0.65800000000001502</v>
      </c>
      <c r="AD3321">
        <v>-6.7982999999999905E-2</v>
      </c>
      <c r="AE3321">
        <v>-7.5199999999995201E-2</v>
      </c>
      <c r="AF3321">
        <v>0.10068590673363401</v>
      </c>
      <c r="AG3321">
        <v>-6.7982999999999905E-2</v>
      </c>
      <c r="AH3321">
        <v>0.64759715926852501</v>
      </c>
      <c r="AI3321">
        <v>95.922170747865707</v>
      </c>
      <c r="AJ3321">
        <v>81.162628156082107</v>
      </c>
      <c r="AK3321">
        <v>0.65889408921042703</v>
      </c>
    </row>
    <row r="3322" spans="1:37" x14ac:dyDescent="0.2">
      <c r="A3322" t="str">
        <f>"20200111155913292"</f>
        <v>20200111155913292</v>
      </c>
      <c r="B3322" t="str">
        <f>"1578729553285313"</f>
        <v>1578729553285313</v>
      </c>
      <c r="C3322" t="s">
        <v>37</v>
      </c>
      <c r="D3322">
        <v>5.9156040000000001</v>
      </c>
      <c r="E3322">
        <v>0.54561769999999998</v>
      </c>
      <c r="F3322" t="s">
        <v>38</v>
      </c>
      <c r="G3322">
        <v>-250.33439999999999</v>
      </c>
      <c r="H3322">
        <v>1.0409569999999999</v>
      </c>
      <c r="I3322">
        <v>215.5301</v>
      </c>
      <c r="J3322">
        <v>-250.96510000000001</v>
      </c>
      <c r="K3322">
        <v>1.1054919999999999</v>
      </c>
      <c r="L3322">
        <v>215.6011</v>
      </c>
      <c r="M3322">
        <v>0.99902739999999901</v>
      </c>
      <c r="N3322">
        <v>0</v>
      </c>
      <c r="O3322">
        <v>4.19304E-2</v>
      </c>
      <c r="P3322">
        <v>0.99764039999999998</v>
      </c>
      <c r="Q3322">
        <v>1.7864399999999999E-2</v>
      </c>
      <c r="R3322">
        <v>6.6291760000000005E-2</v>
      </c>
      <c r="S3322">
        <v>3.0229949999999999</v>
      </c>
      <c r="T3322">
        <v>-0.21348249999999999</v>
      </c>
      <c r="U3322">
        <v>-0.19105529999999901</v>
      </c>
      <c r="V3322">
        <v>-2.4486589999999999E-2</v>
      </c>
      <c r="W3322">
        <v>3.1437769999999997E-2</v>
      </c>
      <c r="X3322">
        <v>0.99920569999999898</v>
      </c>
      <c r="Y3322">
        <v>0.10450669999999999</v>
      </c>
      <c r="Z3322">
        <v>-6.6369459999999899E-3</v>
      </c>
      <c r="AA3322">
        <v>0.994502</v>
      </c>
      <c r="AB3322">
        <v>29</v>
      </c>
      <c r="AC3322">
        <v>0.63070000000001802</v>
      </c>
      <c r="AD3322">
        <v>-6.4534999999999995E-2</v>
      </c>
      <c r="AE3322">
        <v>-7.0999999999997898E-2</v>
      </c>
      <c r="AF3322">
        <v>9.6388951423240596E-2</v>
      </c>
      <c r="AG3322">
        <v>-6.4534999999999995E-2</v>
      </c>
      <c r="AH3322">
        <v>0.62074998778129198</v>
      </c>
      <c r="AI3322">
        <v>95.865523269541498</v>
      </c>
      <c r="AJ3322">
        <v>81.173700988669296</v>
      </c>
      <c r="AK3322">
        <v>0.63149516507408499</v>
      </c>
    </row>
    <row r="3323" spans="1:37" x14ac:dyDescent="0.2">
      <c r="A3323" t="str">
        <f>"20200111155913314"</f>
        <v>20200111155913314</v>
      </c>
      <c r="B3323" t="str">
        <f>"1578729553304833"</f>
        <v>1578729553304833</v>
      </c>
      <c r="C3323" t="s">
        <v>37</v>
      </c>
      <c r="D3323">
        <v>5.3945679999999996</v>
      </c>
      <c r="E3323">
        <v>0.45892579999999999</v>
      </c>
      <c r="F3323" t="s">
        <v>38</v>
      </c>
      <c r="G3323">
        <v>-250.0796</v>
      </c>
      <c r="H3323">
        <v>1.0423719999999901</v>
      </c>
      <c r="I3323">
        <v>215.55099999999999</v>
      </c>
      <c r="J3323">
        <v>-250.69149999999999</v>
      </c>
      <c r="K3323">
        <v>1.105491</v>
      </c>
      <c r="L3323">
        <v>215.61420000000001</v>
      </c>
      <c r="M3323">
        <v>0.99896569999999996</v>
      </c>
      <c r="N3323">
        <v>0</v>
      </c>
      <c r="O3323">
        <v>4.3374280000000001E-2</v>
      </c>
      <c r="P3323">
        <v>0.99746569999999901</v>
      </c>
      <c r="Q3323">
        <v>1.8109070000000001E-2</v>
      </c>
      <c r="R3323">
        <v>6.8807770000000004E-2</v>
      </c>
      <c r="S3323">
        <v>3.0222470000000001</v>
      </c>
      <c r="T3323">
        <v>-0.21567359999999999</v>
      </c>
      <c r="U3323">
        <v>-0.16984560000000001</v>
      </c>
      <c r="V3323">
        <v>-2.556365E-2</v>
      </c>
      <c r="W3323">
        <v>3.1679400000000003E-2</v>
      </c>
      <c r="X3323">
        <v>0.99917109999999998</v>
      </c>
      <c r="Y3323">
        <v>9.9005949999999995E-2</v>
      </c>
      <c r="Z3323">
        <v>-6.6147910000000001E-3</v>
      </c>
      <c r="AA3323">
        <v>0.99506489999999903</v>
      </c>
      <c r="AB3323">
        <v>29</v>
      </c>
      <c r="AC3323">
        <v>0.61189999999999101</v>
      </c>
      <c r="AD3323">
        <v>-6.3119000000000106E-2</v>
      </c>
      <c r="AE3323">
        <v>-6.3200000000023196E-2</v>
      </c>
      <c r="AF3323">
        <v>8.8749340340837396E-2</v>
      </c>
      <c r="AG3323">
        <v>-6.3119000000000106E-2</v>
      </c>
      <c r="AH3323">
        <v>0.60224204205689302</v>
      </c>
      <c r="AI3323">
        <v>95.919667688568197</v>
      </c>
      <c r="AJ3323">
        <v>81.616948782737794</v>
      </c>
      <c r="AK3323">
        <v>0.612009747302108</v>
      </c>
    </row>
    <row r="3324" spans="1:37" x14ac:dyDescent="0.2">
      <c r="A3324" t="str">
        <f>"20200111155913337"</f>
        <v>20200111155913337</v>
      </c>
      <c r="B3324" t="str">
        <f>"1578729553325328"</f>
        <v>1578729553325328</v>
      </c>
      <c r="C3324" t="s">
        <v>37</v>
      </c>
      <c r="D3324">
        <v>5.8285269999999896</v>
      </c>
      <c r="E3324">
        <v>0.46623199999999998</v>
      </c>
      <c r="F3324" t="s">
        <v>50</v>
      </c>
      <c r="G3324">
        <v>-217.2045</v>
      </c>
      <c r="H3324">
        <v>8.0000360000000006E-2</v>
      </c>
      <c r="I3324">
        <v>221.5866</v>
      </c>
      <c r="J3324">
        <v>-250.40280000000001</v>
      </c>
      <c r="K3324">
        <v>1.1054930000000001</v>
      </c>
      <c r="L3324">
        <v>215.6284</v>
      </c>
      <c r="M3324">
        <v>0.99889850000000002</v>
      </c>
      <c r="N3324">
        <v>0</v>
      </c>
      <c r="O3324">
        <v>4.4894799999999999E-2</v>
      </c>
      <c r="P3324">
        <v>0.99730249999999998</v>
      </c>
      <c r="Q3324">
        <v>1.9267699999999999E-2</v>
      </c>
      <c r="R3324">
        <v>7.0828859999999993E-2</v>
      </c>
      <c r="S3324">
        <v>2.9726870000000001</v>
      </c>
      <c r="T3324">
        <v>-9.1034290000000004E-2</v>
      </c>
      <c r="U3324">
        <v>0.53018189999999998</v>
      </c>
      <c r="V3324">
        <v>-2.6071520000000001E-2</v>
      </c>
      <c r="W3324">
        <v>3.2835610000000001E-2</v>
      </c>
      <c r="X3324">
        <v>0.99912069999999997</v>
      </c>
      <c r="Y3324">
        <v>-0.13116269999999999</v>
      </c>
      <c r="Z3324">
        <v>6.2996250000000003E-4</v>
      </c>
      <c r="AA3324">
        <v>0.99136069999999998</v>
      </c>
      <c r="AB3324">
        <v>29</v>
      </c>
      <c r="AC3324">
        <v>33.198300000000003</v>
      </c>
      <c r="AD3324">
        <v>-1.02549264</v>
      </c>
      <c r="AE3324">
        <v>5.9581999999999997</v>
      </c>
      <c r="AF3324">
        <v>-4.4575009346336696</v>
      </c>
      <c r="AG3324">
        <v>-1.02549264</v>
      </c>
      <c r="AH3324">
        <v>33.401461017104502</v>
      </c>
      <c r="AI3324">
        <v>91.743100583902105</v>
      </c>
      <c r="AJ3324">
        <v>97.601339038428307</v>
      </c>
      <c r="AK3324">
        <v>33.713180624410199</v>
      </c>
    </row>
    <row r="3325" spans="1:37" x14ac:dyDescent="0.2">
      <c r="A3325" t="str">
        <f>"20200111155913359"</f>
        <v>20200111155913359</v>
      </c>
      <c r="B3325" t="str">
        <f>"1578729553355584"</f>
        <v>1578729553355584</v>
      </c>
      <c r="C3325" t="s">
        <v>37</v>
      </c>
      <c r="D3325">
        <v>5.9553099999999999</v>
      </c>
      <c r="E3325">
        <v>0.47010999999999997</v>
      </c>
      <c r="F3325" t="s">
        <v>50</v>
      </c>
      <c r="G3325">
        <v>-230.5455</v>
      </c>
      <c r="H3325" s="1">
        <v>-1.42972E-6</v>
      </c>
      <c r="I3325">
        <v>218.8075</v>
      </c>
      <c r="J3325">
        <v>-250.12029999999999</v>
      </c>
      <c r="K3325">
        <v>1.105494</v>
      </c>
      <c r="L3325">
        <v>215.64279999999999</v>
      </c>
      <c r="M3325">
        <v>0.99883069999999896</v>
      </c>
      <c r="N3325">
        <v>0</v>
      </c>
      <c r="O3325">
        <v>4.6377359999999999E-2</v>
      </c>
      <c r="P3325">
        <v>0.99718249999999997</v>
      </c>
      <c r="Q3325">
        <v>1.9350860000000001E-2</v>
      </c>
      <c r="R3325">
        <v>7.2474590000000005E-2</v>
      </c>
      <c r="S3325">
        <v>2.9774780000000001</v>
      </c>
      <c r="T3325">
        <v>-0.16576189999999999</v>
      </c>
      <c r="U3325">
        <v>0.47668459999999901</v>
      </c>
      <c r="V3325">
        <v>-2.6236760000000001E-2</v>
      </c>
      <c r="W3325">
        <v>3.2921399999999899E-2</v>
      </c>
      <c r="X3325">
        <v>0.99911349999999999</v>
      </c>
      <c r="Y3325">
        <v>-0.11201609999999999</v>
      </c>
      <c r="Z3325">
        <v>5.3517259999999998E-4</v>
      </c>
      <c r="AA3325">
        <v>0.99370619999999998</v>
      </c>
      <c r="AB3325">
        <v>29</v>
      </c>
      <c r="AC3325">
        <v>19.5747999999999</v>
      </c>
      <c r="AD3325">
        <v>-1.1054954297199999</v>
      </c>
      <c r="AE3325">
        <v>3.1647000000000101</v>
      </c>
      <c r="AF3325">
        <v>-2.24639963194902</v>
      </c>
      <c r="AG3325">
        <v>-1.1054954297199999</v>
      </c>
      <c r="AH3325">
        <v>19.639473475352901</v>
      </c>
      <c r="AI3325">
        <v>93.200921565856305</v>
      </c>
      <c r="AJ3325">
        <v>96.525239777066801</v>
      </c>
      <c r="AK3325">
        <v>19.798417862057601</v>
      </c>
    </row>
    <row r="3326" spans="1:37" x14ac:dyDescent="0.2">
      <c r="A3326" t="str">
        <f>"20200111155913381"</f>
        <v>20200111155913381</v>
      </c>
      <c r="B3326" t="str">
        <f>"1578729553375104"</f>
        <v>1578729553375104</v>
      </c>
      <c r="C3326" t="s">
        <v>37</v>
      </c>
      <c r="D3326">
        <v>5.7753079999999999</v>
      </c>
      <c r="E3326">
        <v>0.47152060000000001</v>
      </c>
      <c r="F3326" t="s">
        <v>50</v>
      </c>
      <c r="G3326">
        <v>-227.58340000000001</v>
      </c>
      <c r="H3326" s="1">
        <v>2.3045819999999999E-6</v>
      </c>
      <c r="I3326">
        <v>219.05760000000001</v>
      </c>
      <c r="J3326">
        <v>-249.8289</v>
      </c>
      <c r="K3326">
        <v>1.1054889999999999</v>
      </c>
      <c r="L3326">
        <v>215.65799999999999</v>
      </c>
      <c r="M3326">
        <v>0.9987587</v>
      </c>
      <c r="N3326">
        <v>0</v>
      </c>
      <c r="O3326">
        <v>4.7898990000000002E-2</v>
      </c>
      <c r="P3326">
        <v>0.99703430000000004</v>
      </c>
      <c r="Q3326">
        <v>1.9652739999999998E-2</v>
      </c>
      <c r="R3326">
        <v>7.4408260000000004E-2</v>
      </c>
      <c r="S3326">
        <v>2.9785159999999999</v>
      </c>
      <c r="T3326">
        <v>-0.14610390000000001</v>
      </c>
      <c r="U3326">
        <v>0.45130920000000002</v>
      </c>
      <c r="V3326">
        <v>-2.6653340000000001E-2</v>
      </c>
      <c r="W3326">
        <v>3.3237839999999998E-2</v>
      </c>
      <c r="X3326">
        <v>0.99909199999999998</v>
      </c>
      <c r="Y3326">
        <v>-0.1022129</v>
      </c>
      <c r="Z3326">
        <v>1.589044E-4</v>
      </c>
      <c r="AA3326">
        <v>0.99476249999999999</v>
      </c>
      <c r="AB3326">
        <v>28</v>
      </c>
      <c r="AC3326">
        <v>22.2455</v>
      </c>
      <c r="AD3326">
        <v>-1.105486695418</v>
      </c>
      <c r="AE3326">
        <v>3.3996000000000199</v>
      </c>
      <c r="AF3326">
        <v>-2.3244512614124799</v>
      </c>
      <c r="AG3326">
        <v>-1.105486695418</v>
      </c>
      <c r="AH3326">
        <v>22.328929537280899</v>
      </c>
      <c r="AI3326">
        <v>92.819142551427305</v>
      </c>
      <c r="AJ3326">
        <v>95.943108925661505</v>
      </c>
      <c r="AK3326">
        <v>22.476794005847101</v>
      </c>
    </row>
    <row r="3327" spans="1:37" x14ac:dyDescent="0.2">
      <c r="A3327" t="str">
        <f>"20200111155913404"</f>
        <v>20200111155913404</v>
      </c>
      <c r="B3327" t="str">
        <f>"1578729553395600"</f>
        <v>1578729553395600</v>
      </c>
      <c r="C3327" t="s">
        <v>37</v>
      </c>
      <c r="D3327">
        <v>5.8101599999999998</v>
      </c>
      <c r="E3327">
        <v>0.47223300000000001</v>
      </c>
      <c r="F3327" t="s">
        <v>50</v>
      </c>
      <c r="G3327">
        <v>-226.04390000000001</v>
      </c>
      <c r="H3327" s="1">
        <v>1.478075E-6</v>
      </c>
      <c r="I3327">
        <v>219.22329999999999</v>
      </c>
      <c r="J3327">
        <v>-249.55269999999999</v>
      </c>
      <c r="K3327">
        <v>1.1054889999999999</v>
      </c>
      <c r="L3327">
        <v>215.6728</v>
      </c>
      <c r="M3327">
        <v>0.99868840000000003</v>
      </c>
      <c r="N3327">
        <v>0</v>
      </c>
      <c r="O3327">
        <v>4.9334780000000002E-2</v>
      </c>
      <c r="P3327">
        <v>0.99687789999999998</v>
      </c>
      <c r="Q3327">
        <v>1.9429950000000001E-2</v>
      </c>
      <c r="R3327">
        <v>7.6532299999999998E-2</v>
      </c>
      <c r="S3327">
        <v>2.9783330000000001</v>
      </c>
      <c r="T3327">
        <v>-0.13842750000000001</v>
      </c>
      <c r="U3327">
        <v>0.4464417</v>
      </c>
      <c r="V3327">
        <v>-2.734429E-2</v>
      </c>
      <c r="W3327">
        <v>3.3045779999999997E-2</v>
      </c>
      <c r="X3327">
        <v>0.99907969999999902</v>
      </c>
      <c r="Y3327">
        <v>-9.9212949999999994E-2</v>
      </c>
      <c r="Z3327" s="1">
        <v>1.51225799999999E-5</v>
      </c>
      <c r="AA3327">
        <v>0.99506620000000001</v>
      </c>
      <c r="AB3327">
        <v>28</v>
      </c>
      <c r="AC3327">
        <v>23.508799999999901</v>
      </c>
      <c r="AD3327">
        <v>-1.105487521925</v>
      </c>
      <c r="AE3327">
        <v>3.5504999999999902</v>
      </c>
      <c r="AF3327">
        <v>-2.3811175496836801</v>
      </c>
      <c r="AG3327">
        <v>-1.105487521925</v>
      </c>
      <c r="AH3327">
        <v>23.604315395378499</v>
      </c>
      <c r="AI3327">
        <v>92.667918128766303</v>
      </c>
      <c r="AJ3327">
        <v>95.760303713165996</v>
      </c>
      <c r="AK3327">
        <v>23.749853235989601</v>
      </c>
    </row>
    <row r="3328" spans="1:37" x14ac:dyDescent="0.2">
      <c r="A3328" t="str">
        <f>"20200111155913425"</f>
        <v>20200111155913425</v>
      </c>
      <c r="B3328" t="str">
        <f>"1578729553415120"</f>
        <v>1578729553415120</v>
      </c>
      <c r="C3328" t="s">
        <v>37</v>
      </c>
      <c r="D3328">
        <v>5.9721359999999999</v>
      </c>
      <c r="E3328">
        <v>0.473010499999999</v>
      </c>
      <c r="F3328" t="s">
        <v>50</v>
      </c>
      <c r="G3328">
        <v>-228.62520000000001</v>
      </c>
      <c r="H3328" s="1">
        <v>2.8697100000000001E-6</v>
      </c>
      <c r="I3328">
        <v>218.8117</v>
      </c>
      <c r="J3328">
        <v>-249.27850000000001</v>
      </c>
      <c r="K3328">
        <v>1.105491</v>
      </c>
      <c r="L3328">
        <v>215.68790000000001</v>
      </c>
      <c r="M3328">
        <v>0.99861679999999997</v>
      </c>
      <c r="N3328">
        <v>0</v>
      </c>
      <c r="O3328">
        <v>5.0754309999999997E-2</v>
      </c>
      <c r="P3328">
        <v>0.99668469999999998</v>
      </c>
      <c r="Q3328">
        <v>1.9669789999999999E-2</v>
      </c>
      <c r="R3328">
        <v>7.8951270000000004E-2</v>
      </c>
      <c r="S3328">
        <v>2.9781650000000002</v>
      </c>
      <c r="T3328">
        <v>-0.15732009999999999</v>
      </c>
      <c r="U3328">
        <v>0.44668580000000002</v>
      </c>
      <c r="V3328">
        <v>-2.8349220000000001E-2</v>
      </c>
      <c r="W3328">
        <v>3.3322669999999999E-2</v>
      </c>
      <c r="X3328">
        <v>0.99904249999999895</v>
      </c>
      <c r="Y3328">
        <v>-9.7874840000000005E-2</v>
      </c>
      <c r="Z3328" s="1">
        <v>-9.2253549999999997E-5</v>
      </c>
      <c r="AA3328">
        <v>0.99519869999999899</v>
      </c>
      <c r="AB3328">
        <v>28</v>
      </c>
      <c r="AC3328">
        <v>20.653300000000002</v>
      </c>
      <c r="AD3328">
        <v>-1.1054881302899999</v>
      </c>
      <c r="AE3328">
        <v>3.1237999999999801</v>
      </c>
      <c r="AF3328">
        <v>-2.0656446196534701</v>
      </c>
      <c r="AG3328">
        <v>-1.1054881302899999</v>
      </c>
      <c r="AH3328">
        <v>20.727181732684699</v>
      </c>
      <c r="AI3328">
        <v>93.037967800531902</v>
      </c>
      <c r="AJ3328">
        <v>95.691232782735298</v>
      </c>
      <c r="AK3328">
        <v>20.8591719461884</v>
      </c>
    </row>
    <row r="3329" spans="1:37" x14ac:dyDescent="0.2">
      <c r="A3329" t="str">
        <f>"20200111155913449"</f>
        <v>20200111155913449</v>
      </c>
      <c r="B3329" t="str">
        <f>"1578729553445377"</f>
        <v>1578729553445377</v>
      </c>
      <c r="C3329" t="s">
        <v>37</v>
      </c>
      <c r="D3329">
        <v>5.8349390000000003</v>
      </c>
      <c r="E3329">
        <v>0.47349009999999903</v>
      </c>
      <c r="F3329" t="s">
        <v>50</v>
      </c>
      <c r="G3329">
        <v>-229.2756</v>
      </c>
      <c r="H3329" s="1">
        <v>3.2209599999999999E-6</v>
      </c>
      <c r="I3329">
        <v>218.69460000000001</v>
      </c>
      <c r="J3329">
        <v>-248.98929999999999</v>
      </c>
      <c r="K3329">
        <v>1.1054930000000001</v>
      </c>
      <c r="L3329">
        <v>215.70429999999999</v>
      </c>
      <c r="M3329">
        <v>0.99853939999999997</v>
      </c>
      <c r="N3329">
        <v>0</v>
      </c>
      <c r="O3329">
        <v>5.2242570000000002E-2</v>
      </c>
      <c r="P3329">
        <v>0.99648340000000002</v>
      </c>
      <c r="Q3329">
        <v>2.0027550000000002E-2</v>
      </c>
      <c r="R3329">
        <v>8.1361379999999997E-2</v>
      </c>
      <c r="S3329">
        <v>2.9777529999999999</v>
      </c>
      <c r="T3329">
        <v>-0.16456960000000001</v>
      </c>
      <c r="U3329">
        <v>0.44758609999999999</v>
      </c>
      <c r="V3329">
        <v>-2.9277290000000001E-2</v>
      </c>
      <c r="W3329">
        <v>3.3718699999999997E-2</v>
      </c>
      <c r="X3329">
        <v>0.99900250000000002</v>
      </c>
      <c r="Y3329">
        <v>-9.6703869999999997E-2</v>
      </c>
      <c r="Z3329">
        <v>-2.1015810000000001E-4</v>
      </c>
      <c r="AA3329">
        <v>0.99531320000000001</v>
      </c>
      <c r="AB3329">
        <v>28</v>
      </c>
      <c r="AC3329">
        <v>19.7136999999999</v>
      </c>
      <c r="AD3329">
        <v>-1.10548977904</v>
      </c>
      <c r="AE3329">
        <v>2.9903000000000102</v>
      </c>
      <c r="AF3329">
        <v>-1.95022878629172</v>
      </c>
      <c r="AG3329">
        <v>-1.10548977904</v>
      </c>
      <c r="AH3329">
        <v>19.782201044375402</v>
      </c>
      <c r="AI3329">
        <v>93.183137134779102</v>
      </c>
      <c r="AJ3329">
        <v>95.630312546492505</v>
      </c>
      <c r="AK3329">
        <v>19.9088165929201</v>
      </c>
    </row>
    <row r="3330" spans="1:37" x14ac:dyDescent="0.2">
      <c r="A3330" t="str">
        <f>"20200111155913471"</f>
        <v>20200111155913471</v>
      </c>
      <c r="B3330" t="str">
        <f>"1578729553464897"</f>
        <v>1578729553464897</v>
      </c>
      <c r="C3330" t="s">
        <v>37</v>
      </c>
      <c r="D3330">
        <v>6.8683690000000004</v>
      </c>
      <c r="E3330">
        <v>0.47403119999999999</v>
      </c>
      <c r="F3330" t="s">
        <v>50</v>
      </c>
      <c r="G3330">
        <v>-228.9366</v>
      </c>
      <c r="H3330" s="1">
        <v>3.0385639999999999E-6</v>
      </c>
      <c r="I3330">
        <v>218.7406</v>
      </c>
      <c r="J3330">
        <v>-248.697</v>
      </c>
      <c r="K3330">
        <v>1.105494</v>
      </c>
      <c r="L3330">
        <v>215.72130000000001</v>
      </c>
      <c r="M3330">
        <v>0.9984596</v>
      </c>
      <c r="N3330">
        <v>0</v>
      </c>
      <c r="O3330">
        <v>5.3737229999999997E-2</v>
      </c>
      <c r="P3330">
        <v>0.99625919999999901</v>
      </c>
      <c r="Q3330">
        <v>2.0491639999999998E-2</v>
      </c>
      <c r="R3330">
        <v>8.3952199999999894E-2</v>
      </c>
      <c r="S3330">
        <v>2.9770810000000001</v>
      </c>
      <c r="T3330">
        <v>-0.1641243</v>
      </c>
      <c r="U3330">
        <v>0.45077509999999998</v>
      </c>
      <c r="V3330">
        <v>-3.0380959999999999E-2</v>
      </c>
      <c r="W3330">
        <v>3.4218129999999999E-2</v>
      </c>
      <c r="X3330">
        <v>0.99895249999999902</v>
      </c>
      <c r="Y3330">
        <v>-9.6292589999999997E-2</v>
      </c>
      <c r="Z3330">
        <v>-3.0249500000000001E-4</v>
      </c>
      <c r="AA3330">
        <v>0.99535300000000004</v>
      </c>
      <c r="AB3330">
        <v>28</v>
      </c>
      <c r="AC3330">
        <v>19.760400000000001</v>
      </c>
      <c r="AD3330">
        <v>-1.105490961436</v>
      </c>
      <c r="AE3330">
        <v>3.0192999999999799</v>
      </c>
      <c r="AF3330">
        <v>-1.9470114047556399</v>
      </c>
      <c r="AG3330">
        <v>-1.105490961436</v>
      </c>
      <c r="AH3330">
        <v>19.833448371698498</v>
      </c>
      <c r="AI3330">
        <v>93.175061235977594</v>
      </c>
      <c r="AJ3330">
        <v>95.606651929771104</v>
      </c>
      <c r="AK3330">
        <v>19.959424791032799</v>
      </c>
    </row>
    <row r="3331" spans="1:37" x14ac:dyDescent="0.2">
      <c r="A3331" t="str">
        <f>"20200111155913493"</f>
        <v>20200111155913493</v>
      </c>
      <c r="B3331" t="str">
        <f>"1578729553485392"</f>
        <v>1578729553485392</v>
      </c>
      <c r="C3331" t="s">
        <v>37</v>
      </c>
      <c r="D3331">
        <v>9.6434149999999992</v>
      </c>
      <c r="E3331">
        <v>0.47444129999999901</v>
      </c>
      <c r="F3331" t="s">
        <v>50</v>
      </c>
      <c r="G3331">
        <v>-227.99250000000001</v>
      </c>
      <c r="H3331" s="1">
        <v>2.5298490000000002E-6</v>
      </c>
      <c r="I3331">
        <v>218.88470000000001</v>
      </c>
      <c r="J3331">
        <v>-248.4272</v>
      </c>
      <c r="K3331">
        <v>1.1054850000000001</v>
      </c>
      <c r="L3331">
        <v>215.73740000000001</v>
      </c>
      <c r="M3331">
        <v>0.99838439999999995</v>
      </c>
      <c r="N3331">
        <v>0</v>
      </c>
      <c r="O3331">
        <v>5.5108690000000002E-2</v>
      </c>
      <c r="P3331">
        <v>0.9961023</v>
      </c>
      <c r="Q3331">
        <v>1.999358E-2</v>
      </c>
      <c r="R3331">
        <v>8.5909100000000002E-2</v>
      </c>
      <c r="S3331">
        <v>2.9762119999999999</v>
      </c>
      <c r="T3331">
        <v>-0.158911</v>
      </c>
      <c r="U3331">
        <v>0.4547272</v>
      </c>
      <c r="V3331">
        <v>-3.096877E-2</v>
      </c>
      <c r="W3331">
        <v>3.375206E-2</v>
      </c>
      <c r="X3331">
        <v>0.99895029999999996</v>
      </c>
      <c r="Y3331">
        <v>-9.6266060000000001E-2</v>
      </c>
      <c r="Z3331">
        <v>-3.6616479999999999E-4</v>
      </c>
      <c r="AA3331">
        <v>0.99535549999999995</v>
      </c>
      <c r="AB3331">
        <v>28</v>
      </c>
      <c r="AC3331">
        <v>20.4346999999999</v>
      </c>
      <c r="AD3331">
        <v>-1.105482470151</v>
      </c>
      <c r="AE3331">
        <v>3.1473</v>
      </c>
      <c r="AF3331">
        <v>-2.0105311374536301</v>
      </c>
      <c r="AG3331">
        <v>-1.105482470151</v>
      </c>
      <c r="AH3331">
        <v>20.518442541224701</v>
      </c>
      <c r="AI3331">
        <v>93.069300634942806</v>
      </c>
      <c r="AJ3331">
        <v>95.596349811979707</v>
      </c>
      <c r="AK3331">
        <v>20.646326822561502</v>
      </c>
    </row>
    <row r="3332" spans="1:37" x14ac:dyDescent="0.2">
      <c r="A3332" t="str">
        <f>"20200111155913515"</f>
        <v>20200111155913515</v>
      </c>
      <c r="B3332" t="str">
        <f>"1578729553504912"</f>
        <v>1578729553504912</v>
      </c>
      <c r="C3332" t="s">
        <v>37</v>
      </c>
      <c r="D3332">
        <v>5.8264050000000003</v>
      </c>
      <c r="E3332">
        <v>0.47499949999999902</v>
      </c>
      <c r="F3332" t="s">
        <v>50</v>
      </c>
      <c r="G3332">
        <v>-227.15599999999901</v>
      </c>
      <c r="H3332" s="1">
        <v>2.0793670000000001E-6</v>
      </c>
      <c r="I3332">
        <v>219.00630000000001</v>
      </c>
      <c r="J3332">
        <v>-248.15209999999999</v>
      </c>
      <c r="K3332">
        <v>1.1054820000000001</v>
      </c>
      <c r="L3332">
        <v>215.75409999999999</v>
      </c>
      <c r="M3332">
        <v>0.99830629999999998</v>
      </c>
      <c r="N3332">
        <v>0</v>
      </c>
      <c r="O3332">
        <v>5.6496640000000001E-2</v>
      </c>
      <c r="P3332">
        <v>0.99593589999999999</v>
      </c>
      <c r="Q3332">
        <v>1.9652019999999999E-2</v>
      </c>
      <c r="R3332">
        <v>8.7895180000000003E-2</v>
      </c>
      <c r="S3332">
        <v>2.9753880000000001</v>
      </c>
      <c r="T3332">
        <v>-0.15463350000000001</v>
      </c>
      <c r="U3332">
        <v>0.45724490000000001</v>
      </c>
      <c r="V3332">
        <v>-3.1570229999999998E-2</v>
      </c>
      <c r="W3332">
        <v>3.344039E-2</v>
      </c>
      <c r="X3332">
        <v>0.998942</v>
      </c>
      <c r="Y3332">
        <v>-9.5751779999999995E-2</v>
      </c>
      <c r="Z3332">
        <v>-4.4109299999999999E-4</v>
      </c>
      <c r="AA3332">
        <v>0.99540509999999904</v>
      </c>
      <c r="AB3332">
        <v>28</v>
      </c>
      <c r="AC3332">
        <v>20.996099999999998</v>
      </c>
      <c r="AD3332">
        <v>-1.1054799206329999</v>
      </c>
      <c r="AE3332">
        <v>3.25220000000001</v>
      </c>
      <c r="AF3332">
        <v>-2.0551174543906101</v>
      </c>
      <c r="AG3332">
        <v>-1.1054799206329999</v>
      </c>
      <c r="AH3332">
        <v>21.089220714415099</v>
      </c>
      <c r="AI3332">
        <v>92.986531011949495</v>
      </c>
      <c r="AJ3332">
        <v>95.565826307439906</v>
      </c>
      <c r="AK3332">
        <v>21.2179363734455</v>
      </c>
    </row>
    <row r="3333" spans="1:37" x14ac:dyDescent="0.2">
      <c r="A3333" t="str">
        <f>"20200111155913538"</f>
        <v>20200111155913538</v>
      </c>
      <c r="B3333" t="str">
        <f>"1578729553535169"</f>
        <v>1578729553535169</v>
      </c>
      <c r="C3333" t="s">
        <v>37</v>
      </c>
      <c r="D3333">
        <v>5.8257729999999999</v>
      </c>
      <c r="E3333">
        <v>0.47546159999999998</v>
      </c>
      <c r="F3333" t="s">
        <v>50</v>
      </c>
      <c r="G3333">
        <v>-226.893</v>
      </c>
      <c r="H3333" s="1">
        <v>1.9383670000000001E-6</v>
      </c>
      <c r="I3333">
        <v>219.0307</v>
      </c>
      <c r="J3333">
        <v>-247.86660000000001</v>
      </c>
      <c r="K3333">
        <v>1.1054820000000001</v>
      </c>
      <c r="L3333">
        <v>215.77189999999999</v>
      </c>
      <c r="M3333">
        <v>0.998224</v>
      </c>
      <c r="N3333">
        <v>0</v>
      </c>
      <c r="O3333">
        <v>5.7925070000000002E-2</v>
      </c>
      <c r="P3333">
        <v>0.99575569999999902</v>
      </c>
      <c r="Q3333">
        <v>1.9858339999999999E-2</v>
      </c>
      <c r="R3333">
        <v>8.9868459999999997E-2</v>
      </c>
      <c r="S3333">
        <v>2.97482299999999</v>
      </c>
      <c r="T3333">
        <v>-0.15469169999999999</v>
      </c>
      <c r="U3333">
        <v>0.45849609999999902</v>
      </c>
      <c r="V3333">
        <v>-3.2120620000000003E-2</v>
      </c>
      <c r="W3333">
        <v>3.3674849999999999E-2</v>
      </c>
      <c r="X3333">
        <v>0.99891659999999904</v>
      </c>
      <c r="Y3333">
        <v>-9.4767879999999999E-2</v>
      </c>
      <c r="Z3333">
        <v>-5.4028330000000001E-4</v>
      </c>
      <c r="AA3333">
        <v>0.99549929999999998</v>
      </c>
      <c r="AB3333">
        <v>28</v>
      </c>
      <c r="AC3333">
        <v>20.973600000000001</v>
      </c>
      <c r="AD3333">
        <v>-1.1054800616329901</v>
      </c>
      <c r="AE3333">
        <v>3.2587999999999999</v>
      </c>
      <c r="AF3333">
        <v>-2.0327980767171798</v>
      </c>
      <c r="AG3333">
        <v>-1.1054800616329901</v>
      </c>
      <c r="AH3333">
        <v>21.070005778801999</v>
      </c>
      <c r="AI3333">
        <v>92.989528206574903</v>
      </c>
      <c r="AJ3333">
        <v>95.510742818808097</v>
      </c>
      <c r="AK3333">
        <v>21.196686007631499</v>
      </c>
    </row>
    <row r="3334" spans="1:37" x14ac:dyDescent="0.2">
      <c r="A3334" t="str">
        <f>"20200111155913561"</f>
        <v>20200111155913561</v>
      </c>
      <c r="B3334" t="str">
        <f>"1578729553554688"</f>
        <v>1578729553554688</v>
      </c>
      <c r="C3334" t="s">
        <v>37</v>
      </c>
      <c r="D3334">
        <v>8.6191049999999994</v>
      </c>
      <c r="E3334">
        <v>0.47570420000000002</v>
      </c>
      <c r="F3334" t="s">
        <v>50</v>
      </c>
      <c r="G3334">
        <v>-225.7424</v>
      </c>
      <c r="H3334" s="1">
        <v>1.318579E-6</v>
      </c>
      <c r="I3334">
        <v>219.20189999999999</v>
      </c>
      <c r="J3334">
        <v>-247.5812</v>
      </c>
      <c r="K3334">
        <v>1.10547</v>
      </c>
      <c r="L3334">
        <v>215.79</v>
      </c>
      <c r="M3334">
        <v>0.99814080000000005</v>
      </c>
      <c r="N3334">
        <v>0</v>
      </c>
      <c r="O3334">
        <v>5.9335880000000001E-2</v>
      </c>
      <c r="P3334">
        <v>0.99555149999999903</v>
      </c>
      <c r="Q3334">
        <v>2.047641E-2</v>
      </c>
      <c r="R3334">
        <v>9.1967069999999998E-2</v>
      </c>
      <c r="S3334">
        <v>2.9741360000000001</v>
      </c>
      <c r="T3334">
        <v>-0.1486085</v>
      </c>
      <c r="U3334">
        <v>0.4610901</v>
      </c>
      <c r="V3334">
        <v>-3.281531E-2</v>
      </c>
      <c r="W3334">
        <v>3.4317260000000002E-2</v>
      </c>
      <c r="X3334">
        <v>0.99887209999999904</v>
      </c>
      <c r="Y3334">
        <v>-9.4249479999999997E-2</v>
      </c>
      <c r="Z3334">
        <v>-6.0178830000000001E-4</v>
      </c>
      <c r="AA3334">
        <v>0.9955484</v>
      </c>
      <c r="AB3334">
        <v>28</v>
      </c>
      <c r="AC3334">
        <v>21.8387999999999</v>
      </c>
      <c r="AD3334">
        <v>-1.105468681421</v>
      </c>
      <c r="AE3334">
        <v>3.4119000000000002</v>
      </c>
      <c r="AF3334">
        <v>-2.1046726850023001</v>
      </c>
      <c r="AG3334">
        <v>-1.105468681421</v>
      </c>
      <c r="AH3334">
        <v>21.947884125597799</v>
      </c>
      <c r="AI3334">
        <v>92.870286250117303</v>
      </c>
      <c r="AJ3334">
        <v>95.477578401920795</v>
      </c>
      <c r="AK3334">
        <v>22.0762615881237</v>
      </c>
    </row>
    <row r="3335" spans="1:37" x14ac:dyDescent="0.2">
      <c r="A3335" t="str">
        <f>"20200111155913582"</f>
        <v>20200111155913582</v>
      </c>
      <c r="B3335" t="str">
        <f>"1578729553575185"</f>
        <v>1578729553575185</v>
      </c>
      <c r="C3335" t="s">
        <v>37</v>
      </c>
      <c r="D3335">
        <v>5.8757109999999999</v>
      </c>
      <c r="E3335">
        <v>0.47621579999999902</v>
      </c>
      <c r="F3335" t="s">
        <v>50</v>
      </c>
      <c r="G3335">
        <v>-225.023</v>
      </c>
      <c r="H3335" s="1">
        <v>9.305605E-7</v>
      </c>
      <c r="I3335">
        <v>219.32040000000001</v>
      </c>
      <c r="J3335">
        <v>-247.30080000000001</v>
      </c>
      <c r="K3335">
        <v>1.1054580000000001</v>
      </c>
      <c r="L3335">
        <v>215.8082</v>
      </c>
      <c r="M3335">
        <v>0.99805869999999997</v>
      </c>
      <c r="N3335">
        <v>0</v>
      </c>
      <c r="O3335">
        <v>6.0697889999999997E-2</v>
      </c>
      <c r="P3335">
        <v>0.99529400000000001</v>
      </c>
      <c r="Q3335">
        <v>2.0765280000000001E-2</v>
      </c>
      <c r="R3335">
        <v>9.4652699999999895E-2</v>
      </c>
      <c r="S3335">
        <v>2.9734500000000001</v>
      </c>
      <c r="T3335">
        <v>-0.14571419999999999</v>
      </c>
      <c r="U3335">
        <v>0.46534730000000002</v>
      </c>
      <c r="V3335">
        <v>-3.4147129999999998E-2</v>
      </c>
      <c r="W3335">
        <v>3.462606E-2</v>
      </c>
      <c r="X3335">
        <v>0.99881679999999995</v>
      </c>
      <c r="Y3335">
        <v>-9.4320509999999996E-2</v>
      </c>
      <c r="Z3335">
        <v>-6.5445740000000003E-4</v>
      </c>
      <c r="AA3335">
        <v>0.99554169999999997</v>
      </c>
      <c r="AB3335">
        <v>28</v>
      </c>
      <c r="AC3335">
        <v>22.277799999999999</v>
      </c>
      <c r="AD3335">
        <v>-1.1054570694395001</v>
      </c>
      <c r="AE3335">
        <v>3.5122</v>
      </c>
      <c r="AF3335">
        <v>-2.14821459918993</v>
      </c>
      <c r="AG3335">
        <v>-1.1054570694395001</v>
      </c>
      <c r="AH3335">
        <v>22.396111381434601</v>
      </c>
      <c r="AI3335">
        <v>92.812898466515904</v>
      </c>
      <c r="AJ3335">
        <v>95.478996880021398</v>
      </c>
      <c r="AK3335">
        <v>22.526044177932601</v>
      </c>
    </row>
    <row r="3336" spans="1:37" x14ac:dyDescent="0.2">
      <c r="A3336" t="str">
        <f>"20200111155913608"</f>
        <v>20200111155913608</v>
      </c>
      <c r="B3336" t="str">
        <f>"1578729553605441"</f>
        <v>1578729553605441</v>
      </c>
      <c r="C3336" t="s">
        <v>37</v>
      </c>
      <c r="D3336">
        <v>5.8996259999999996</v>
      </c>
      <c r="E3336">
        <v>0.47693149999999901</v>
      </c>
      <c r="F3336" t="s">
        <v>50</v>
      </c>
      <c r="G3336">
        <v>-224.92089999999999</v>
      </c>
      <c r="H3336" s="1">
        <v>8.7521699999999899E-7</v>
      </c>
      <c r="I3336">
        <v>219.3433</v>
      </c>
      <c r="J3336">
        <v>-246.98910000000001</v>
      </c>
      <c r="K3336">
        <v>1.1054299999999999</v>
      </c>
      <c r="L3336">
        <v>215.8289</v>
      </c>
      <c r="M3336">
        <v>0.99796770000000001</v>
      </c>
      <c r="N3336">
        <v>0</v>
      </c>
      <c r="O3336">
        <v>6.2170629999999998E-2</v>
      </c>
      <c r="P3336">
        <v>0.9949981</v>
      </c>
      <c r="Q3336">
        <v>2.093658E-2</v>
      </c>
      <c r="R3336">
        <v>9.7676310000000002E-2</v>
      </c>
      <c r="S3336">
        <v>2.9725799999999998</v>
      </c>
      <c r="T3336">
        <v>-0.14683060000000001</v>
      </c>
      <c r="U3336">
        <v>0.4695435</v>
      </c>
      <c r="V3336">
        <v>-3.570665E-2</v>
      </c>
      <c r="W3336">
        <v>3.4815260000000001E-2</v>
      </c>
      <c r="X3336">
        <v>0.99875569999999902</v>
      </c>
      <c r="Y3336">
        <v>-9.4268489999999996E-2</v>
      </c>
      <c r="Z3336">
        <v>-7.3281419999999999E-4</v>
      </c>
      <c r="AA3336">
        <v>0.9955465</v>
      </c>
      <c r="AB3336">
        <v>28</v>
      </c>
      <c r="AC3336">
        <v>22.068200000000001</v>
      </c>
      <c r="AD3336">
        <v>-1.1054291247829999</v>
      </c>
      <c r="AE3336">
        <v>3.51439999999999</v>
      </c>
      <c r="AF3336">
        <v>-2.1302593576255902</v>
      </c>
      <c r="AG3336">
        <v>-1.1054291247829999</v>
      </c>
      <c r="AH3336">
        <v>22.189714920453</v>
      </c>
      <c r="AI3336">
        <v>92.838925862390894</v>
      </c>
      <c r="AJ3336">
        <v>95.4837099913983</v>
      </c>
      <c r="AK3336">
        <v>22.319126925837502</v>
      </c>
    </row>
    <row r="3337" spans="1:37" x14ac:dyDescent="0.2">
      <c r="A3337" t="str">
        <f>"20200111155913629"</f>
        <v>20200111155913629</v>
      </c>
      <c r="B3337" t="str">
        <f>"1578729553615201"</f>
        <v>1578729553615201</v>
      </c>
      <c r="C3337" t="s">
        <v>37</v>
      </c>
      <c r="D3337">
        <v>6.5088619999999997</v>
      </c>
      <c r="E3337">
        <v>0.477182</v>
      </c>
      <c r="F3337" t="s">
        <v>50</v>
      </c>
      <c r="G3337">
        <v>-225.06720000000001</v>
      </c>
      <c r="H3337" s="1">
        <v>9.542326E-7</v>
      </c>
      <c r="I3337">
        <v>219.3168</v>
      </c>
      <c r="J3337">
        <v>-246.72669999999999</v>
      </c>
      <c r="K3337">
        <v>1.1054079999999999</v>
      </c>
      <c r="L3337">
        <v>215.8466</v>
      </c>
      <c r="M3337">
        <v>0.99789189999999905</v>
      </c>
      <c r="N3337">
        <v>0</v>
      </c>
      <c r="O3337">
        <v>6.3371860000000002E-2</v>
      </c>
      <c r="P3337">
        <v>0.99473880000000003</v>
      </c>
      <c r="Q3337">
        <v>2.089061E-2</v>
      </c>
      <c r="R3337">
        <v>0.1002922</v>
      </c>
      <c r="S3337">
        <v>2.9718169999999899</v>
      </c>
      <c r="T3337">
        <v>-0.14985619999999999</v>
      </c>
      <c r="U3337">
        <v>0.47283940000000002</v>
      </c>
      <c r="V3337">
        <v>-3.712824E-2</v>
      </c>
      <c r="W3337">
        <v>3.4782840000000002E-2</v>
      </c>
      <c r="X3337">
        <v>0.99870499999999995</v>
      </c>
      <c r="Y3337">
        <v>-9.4186539999999999E-2</v>
      </c>
      <c r="Z3337">
        <v>-8.0997169999999996E-4</v>
      </c>
      <c r="AA3337">
        <v>0.99555419999999994</v>
      </c>
      <c r="AB3337">
        <v>28</v>
      </c>
      <c r="AC3337">
        <v>21.659499999999898</v>
      </c>
      <c r="AD3337">
        <v>-1.1054070457673999</v>
      </c>
      <c r="AE3337">
        <v>3.4702000000000002</v>
      </c>
      <c r="AF3337">
        <v>-2.0851910538812901</v>
      </c>
      <c r="AG3337">
        <v>-1.1054070457673999</v>
      </c>
      <c r="AH3337">
        <v>21.780579301954699</v>
      </c>
      <c r="AI3337">
        <v>92.892178988807302</v>
      </c>
      <c r="AJ3337">
        <v>95.468616484521405</v>
      </c>
      <c r="AK3337">
        <v>21.908071142771998</v>
      </c>
    </row>
    <row r="3338" spans="1:37" x14ac:dyDescent="0.2">
      <c r="A3338" t="str">
        <f>"20200111155913650"</f>
        <v>20200111155913650</v>
      </c>
      <c r="B3338" t="str">
        <f>"1578729553645457"</f>
        <v>1578729553645457</v>
      </c>
      <c r="C3338" t="s">
        <v>37</v>
      </c>
      <c r="D3338">
        <v>5.9010850000000001</v>
      </c>
      <c r="E3338">
        <v>0.47777550000000002</v>
      </c>
      <c r="F3338" t="s">
        <v>50</v>
      </c>
      <c r="G3338">
        <v>-224.59370000000001</v>
      </c>
      <c r="H3338" s="1">
        <v>6.9791430000000001E-7</v>
      </c>
      <c r="I3338">
        <v>219.41640000000001</v>
      </c>
      <c r="J3338">
        <v>-246.4639</v>
      </c>
      <c r="K3338">
        <v>1.10538</v>
      </c>
      <c r="L3338">
        <v>215.8646</v>
      </c>
      <c r="M3338">
        <v>0.9978167</v>
      </c>
      <c r="N3338">
        <v>0</v>
      </c>
      <c r="O3338">
        <v>6.4541260000000003E-2</v>
      </c>
      <c r="P3338">
        <v>0.99452879999999999</v>
      </c>
      <c r="Q3338">
        <v>2.1244880000000001E-2</v>
      </c>
      <c r="R3338">
        <v>0.10228139999999999</v>
      </c>
      <c r="S3338">
        <v>2.970688</v>
      </c>
      <c r="T3338">
        <v>-0.14836759999999999</v>
      </c>
      <c r="U3338">
        <v>0.47914119999999999</v>
      </c>
      <c r="V3338">
        <v>-3.7954460000000002E-2</v>
      </c>
      <c r="W3338">
        <v>3.5150260000000003E-2</v>
      </c>
      <c r="X3338">
        <v>0.99866100000000002</v>
      </c>
      <c r="Y3338">
        <v>-9.5138570000000006E-2</v>
      </c>
      <c r="Z3338">
        <v>-8.3620539999999896E-4</v>
      </c>
      <c r="AA3338">
        <v>0.99546369999999895</v>
      </c>
      <c r="AB3338">
        <v>28</v>
      </c>
      <c r="AC3338">
        <v>21.870199999999901</v>
      </c>
      <c r="AD3338">
        <v>-1.1053793020856999</v>
      </c>
      <c r="AE3338">
        <v>3.5518000000000098</v>
      </c>
      <c r="AF3338">
        <v>-2.1274293804094202</v>
      </c>
      <c r="AG3338">
        <v>-1.1053793020856999</v>
      </c>
      <c r="AH3338">
        <v>21.999098660859101</v>
      </c>
      <c r="AI3338">
        <v>92.863162884254905</v>
      </c>
      <c r="AJ3338">
        <v>95.523629298054203</v>
      </c>
      <c r="AK3338">
        <v>22.1293506696496</v>
      </c>
    </row>
    <row r="3339" spans="1:37" x14ac:dyDescent="0.2">
      <c r="A3339" t="str">
        <f>"20200111155913671"</f>
        <v>20200111155913671</v>
      </c>
      <c r="B3339" t="str">
        <f>"1578729553664976"</f>
        <v>1578729553664976</v>
      </c>
      <c r="C3339" t="s">
        <v>37</v>
      </c>
      <c r="D3339">
        <v>5.8543810000000001</v>
      </c>
      <c r="E3339">
        <v>0.47821350000000001</v>
      </c>
      <c r="F3339" t="s">
        <v>50</v>
      </c>
      <c r="G3339">
        <v>-224.565</v>
      </c>
      <c r="H3339" s="1">
        <v>6.8290459999999896E-7</v>
      </c>
      <c r="I3339">
        <v>219.41040000000001</v>
      </c>
      <c r="J3339">
        <v>-246.1893</v>
      </c>
      <c r="K3339">
        <v>1.1053459999999999</v>
      </c>
      <c r="L3339">
        <v>215.8837</v>
      </c>
      <c r="M3339">
        <v>0.99773999999999996</v>
      </c>
      <c r="N3339">
        <v>0</v>
      </c>
      <c r="O3339">
        <v>6.5716860000000002E-2</v>
      </c>
      <c r="P3339">
        <v>0.99437109999999995</v>
      </c>
      <c r="Q3339">
        <v>2.116668E-2</v>
      </c>
      <c r="R3339">
        <v>0.1038193</v>
      </c>
      <c r="S3339">
        <v>2.9702449999999998</v>
      </c>
      <c r="T3339">
        <v>-0.14992729999999899</v>
      </c>
      <c r="U3339">
        <v>0.48092649999999998</v>
      </c>
      <c r="V3339">
        <v>-3.8319310000000002E-2</v>
      </c>
      <c r="W3339">
        <v>3.5085449999999997E-2</v>
      </c>
      <c r="X3339">
        <v>0.99864940000000002</v>
      </c>
      <c r="Y3339">
        <v>-9.4573439999999995E-2</v>
      </c>
      <c r="Z3339">
        <v>-9.1789309999999995E-4</v>
      </c>
      <c r="AA3339">
        <v>0.99551749999999894</v>
      </c>
      <c r="AB3339">
        <v>28</v>
      </c>
      <c r="AC3339">
        <v>21.624300000000002</v>
      </c>
      <c r="AD3339">
        <v>-1.1053453170954</v>
      </c>
      <c r="AE3339">
        <v>3.5266999999999999</v>
      </c>
      <c r="AF3339">
        <v>-2.0925285841437602</v>
      </c>
      <c r="AG3339">
        <v>-1.1053453170954</v>
      </c>
      <c r="AH3339">
        <v>21.7539653457982</v>
      </c>
      <c r="AI3339">
        <v>92.8954249535484</v>
      </c>
      <c r="AJ3339">
        <v>95.494415287672894</v>
      </c>
      <c r="AK3339">
        <v>21.882309576725898</v>
      </c>
    </row>
    <row r="3340" spans="1:37" x14ac:dyDescent="0.2">
      <c r="A3340" t="str">
        <f>"20200111155913694"</f>
        <v>20200111155913694</v>
      </c>
      <c r="B3340" t="str">
        <f>"1578729553685472"</f>
        <v>1578729553685472</v>
      </c>
      <c r="C3340" t="s">
        <v>37</v>
      </c>
      <c r="D3340">
        <v>5.8353999999999999</v>
      </c>
      <c r="E3340">
        <v>0.4784486</v>
      </c>
      <c r="F3340" t="s">
        <v>50</v>
      </c>
      <c r="G3340">
        <v>-224.97810000000001</v>
      </c>
      <c r="H3340" s="1">
        <v>9.062474E-7</v>
      </c>
      <c r="I3340">
        <v>219.3304</v>
      </c>
      <c r="J3340">
        <v>-245.9205</v>
      </c>
      <c r="K3340">
        <v>1.10531</v>
      </c>
      <c r="L3340">
        <v>215.90260000000001</v>
      </c>
      <c r="M3340">
        <v>0.99766730000000003</v>
      </c>
      <c r="N3340">
        <v>0</v>
      </c>
      <c r="O3340">
        <v>6.6809359999999998E-2</v>
      </c>
      <c r="P3340">
        <v>0.9942725</v>
      </c>
      <c r="Q3340">
        <v>2.1053769999999999E-2</v>
      </c>
      <c r="R3340">
        <v>0.1047828</v>
      </c>
      <c r="S3340">
        <v>2.96991</v>
      </c>
      <c r="T3340">
        <v>-0.15476599999999999</v>
      </c>
      <c r="U3340">
        <v>0.48258970000000001</v>
      </c>
      <c r="V3340">
        <v>-3.8188970000000003E-2</v>
      </c>
      <c r="W3340">
        <v>3.4985860000000001E-2</v>
      </c>
      <c r="X3340">
        <v>0.99865789999999999</v>
      </c>
      <c r="Y3340">
        <v>-9.4044059999999999E-2</v>
      </c>
      <c r="Z3340">
        <v>-1.0175060000000001E-3</v>
      </c>
      <c r="AA3340">
        <v>0.99556749999999905</v>
      </c>
      <c r="AB3340">
        <v>28</v>
      </c>
      <c r="AC3340">
        <v>20.9423999999999</v>
      </c>
      <c r="AD3340">
        <v>-1.1053090937526</v>
      </c>
      <c r="AE3340">
        <v>3.4277999999999902</v>
      </c>
      <c r="AF3340">
        <v>-2.0153866261697102</v>
      </c>
      <c r="AG3340">
        <v>-1.1053090937526</v>
      </c>
      <c r="AH3340">
        <v>21.067478211958498</v>
      </c>
      <c r="AI3340">
        <v>92.989656142731405</v>
      </c>
      <c r="AJ3340">
        <v>95.464480271905501</v>
      </c>
      <c r="AK3340">
        <v>21.192501731910401</v>
      </c>
    </row>
    <row r="3341" spans="1:37" x14ac:dyDescent="0.2">
      <c r="A3341" t="str">
        <f>"20200111155913716"</f>
        <v>20200111155913716</v>
      </c>
      <c r="B3341" t="str">
        <f>"1578729553704993"</f>
        <v>1578729553704993</v>
      </c>
      <c r="C3341" t="s">
        <v>37</v>
      </c>
      <c r="D3341">
        <v>5.817717</v>
      </c>
      <c r="E3341">
        <v>0.47864049999999903</v>
      </c>
      <c r="F3341" t="s">
        <v>50</v>
      </c>
      <c r="G3341">
        <v>-224.917</v>
      </c>
      <c r="H3341" s="1">
        <v>8.7405450000000004E-7</v>
      </c>
      <c r="I3341">
        <v>219.3235</v>
      </c>
      <c r="J3341">
        <v>-245.6422</v>
      </c>
      <c r="K3341">
        <v>1.1052599999999999</v>
      </c>
      <c r="L3341">
        <v>215.92250000000001</v>
      </c>
      <c r="M3341">
        <v>0.99759560000000003</v>
      </c>
      <c r="N3341">
        <v>0</v>
      </c>
      <c r="O3341">
        <v>6.7868200000000004E-2</v>
      </c>
      <c r="P3341">
        <v>0.99413799999999997</v>
      </c>
      <c r="Q3341">
        <v>2.1782260000000001E-2</v>
      </c>
      <c r="R3341">
        <v>0.10590239999999999</v>
      </c>
      <c r="S3341">
        <v>2.9696199999999999</v>
      </c>
      <c r="T3341">
        <v>-0.1562762</v>
      </c>
      <c r="U3341">
        <v>0.48365779999999903</v>
      </c>
      <c r="V3341">
        <v>-3.8251779999999999E-2</v>
      </c>
      <c r="W3341">
        <v>3.5726399999999998E-2</v>
      </c>
      <c r="X3341">
        <v>0.99862929999999905</v>
      </c>
      <c r="Y3341">
        <v>-9.3353270000000002E-2</v>
      </c>
      <c r="Z3341">
        <v>-1.1006049999999999E-3</v>
      </c>
      <c r="AA3341">
        <v>0.99563250000000003</v>
      </c>
      <c r="AB3341">
        <v>28</v>
      </c>
      <c r="AC3341">
        <v>20.725200000000001</v>
      </c>
      <c r="AD3341">
        <v>-1.1052591259455</v>
      </c>
      <c r="AE3341">
        <v>3.4009999999999798</v>
      </c>
      <c r="AF3341">
        <v>-1.98095011386707</v>
      </c>
      <c r="AG3341">
        <v>-1.1052591259455</v>
      </c>
      <c r="AH3341">
        <v>20.850502853818</v>
      </c>
      <c r="AI3341">
        <v>93.020760490053604</v>
      </c>
      <c r="AJ3341">
        <v>95.427227381608404</v>
      </c>
      <c r="AK3341">
        <v>20.973536429181198</v>
      </c>
    </row>
    <row r="3342" spans="1:37" x14ac:dyDescent="0.2">
      <c r="A3342" t="str">
        <f>"20200111155913739"</f>
        <v>20200111155913739</v>
      </c>
      <c r="B3342" t="str">
        <f>"1578729553735248"</f>
        <v>1578729553735248</v>
      </c>
      <c r="C3342" t="s">
        <v>37</v>
      </c>
      <c r="D3342">
        <v>5.8539019999999997</v>
      </c>
      <c r="E3342">
        <v>0.47842420000000002</v>
      </c>
      <c r="F3342" t="s">
        <v>50</v>
      </c>
      <c r="G3342">
        <v>-224.66749999999999</v>
      </c>
      <c r="H3342" s="1">
        <v>7.4000640000000004E-7</v>
      </c>
      <c r="I3342">
        <v>219.352</v>
      </c>
      <c r="J3342">
        <v>-245.36</v>
      </c>
      <c r="K3342">
        <v>1.1051959999999901</v>
      </c>
      <c r="L3342">
        <v>215.94290000000001</v>
      </c>
      <c r="M3342">
        <v>0.99752809999999903</v>
      </c>
      <c r="N3342">
        <v>0</v>
      </c>
      <c r="O3342">
        <v>6.8852070000000001E-2</v>
      </c>
      <c r="P3342">
        <v>0.99407670000000004</v>
      </c>
      <c r="Q3342">
        <v>2.271801E-2</v>
      </c>
      <c r="R3342">
        <v>0.10627979999999999</v>
      </c>
      <c r="S3342">
        <v>2.969376</v>
      </c>
      <c r="T3342">
        <v>-0.15647039999999901</v>
      </c>
      <c r="U3342">
        <v>0.4855042</v>
      </c>
      <c r="V3342">
        <v>-3.7643339999999997E-2</v>
      </c>
      <c r="W3342">
        <v>3.6674680000000001E-2</v>
      </c>
      <c r="X3342">
        <v>0.99861800000000001</v>
      </c>
      <c r="Y3342">
        <v>-9.2989009999999997E-2</v>
      </c>
      <c r="Z3342">
        <v>-1.162756E-3</v>
      </c>
      <c r="AA3342">
        <v>0.99566639999999995</v>
      </c>
      <c r="AB3342">
        <v>28</v>
      </c>
      <c r="AC3342">
        <v>20.692499999999999</v>
      </c>
      <c r="AD3342">
        <v>-1.1051952599935999</v>
      </c>
      <c r="AE3342">
        <v>3.4090999999999898</v>
      </c>
      <c r="AF3342">
        <v>-1.97067319656442</v>
      </c>
      <c r="AG3342">
        <v>-1.1051952599935999</v>
      </c>
      <c r="AH3342">
        <v>20.820307215558501</v>
      </c>
      <c r="AI3342">
        <v>93.025059851605207</v>
      </c>
      <c r="AJ3342">
        <v>95.407022561384906</v>
      </c>
      <c r="AK3342">
        <v>20.942545259843801</v>
      </c>
    </row>
    <row r="3343" spans="1:37" x14ac:dyDescent="0.2">
      <c r="A3343" t="str">
        <f>"20200111155913763"</f>
        <v>20200111155913763</v>
      </c>
      <c r="B3343" t="str">
        <f>"1578729553755744"</f>
        <v>1578729553755744</v>
      </c>
      <c r="C3343" t="s">
        <v>37</v>
      </c>
      <c r="D3343">
        <v>5.7068699999999897</v>
      </c>
      <c r="E3343">
        <v>0.47854259999999899</v>
      </c>
      <c r="F3343" t="s">
        <v>50</v>
      </c>
      <c r="G3343">
        <v>-223.91309999999999</v>
      </c>
      <c r="H3343" s="1">
        <v>3.3340389999999901E-7</v>
      </c>
      <c r="I3343">
        <v>219.47049999999999</v>
      </c>
      <c r="J3343">
        <v>-245.0641</v>
      </c>
      <c r="K3343">
        <v>1.1051200000000001</v>
      </c>
      <c r="L3343">
        <v>215.96440000000001</v>
      </c>
      <c r="M3343">
        <v>0.99746429999999997</v>
      </c>
      <c r="N3343">
        <v>0</v>
      </c>
      <c r="O3343">
        <v>6.9768910000000003E-2</v>
      </c>
      <c r="P3343">
        <v>0.99405339999999998</v>
      </c>
      <c r="Q3343">
        <v>2.351754E-2</v>
      </c>
      <c r="R3343">
        <v>0.1063249</v>
      </c>
      <c r="S3343">
        <v>2.9691770000000002</v>
      </c>
      <c r="T3343">
        <v>-0.15300720000000001</v>
      </c>
      <c r="U3343">
        <v>0.4883728</v>
      </c>
      <c r="V3343">
        <v>-3.676509E-2</v>
      </c>
      <c r="W3343">
        <v>3.7488559999999997E-2</v>
      </c>
      <c r="X3343">
        <v>0.99862050000000002</v>
      </c>
      <c r="Y3343">
        <v>-9.302378E-2</v>
      </c>
      <c r="Z3343">
        <v>-1.1828100000000001E-3</v>
      </c>
      <c r="AA3343">
        <v>0.99566319999999997</v>
      </c>
      <c r="AB3343">
        <v>28</v>
      </c>
      <c r="AC3343">
        <v>21.151</v>
      </c>
      <c r="AD3343">
        <v>-1.1051196665961001</v>
      </c>
      <c r="AE3343">
        <v>3.5060999999999698</v>
      </c>
      <c r="AF3343">
        <v>-2.0163693860075602</v>
      </c>
      <c r="AG3343">
        <v>-1.1051196665961001</v>
      </c>
      <c r="AH3343">
        <v>21.287529544694099</v>
      </c>
      <c r="AI3343">
        <v>92.958563424683902</v>
      </c>
      <c r="AJ3343">
        <v>95.410951666479903</v>
      </c>
      <c r="AK3343">
        <v>21.4113509404369</v>
      </c>
    </row>
    <row r="3344" spans="1:37" x14ac:dyDescent="0.2">
      <c r="A3344" t="str">
        <f>"20200111155913783"</f>
        <v>20200111155913783</v>
      </c>
      <c r="B3344" t="str">
        <f>"1578729553775264"</f>
        <v>1578729553775264</v>
      </c>
      <c r="C3344" t="s">
        <v>37</v>
      </c>
      <c r="D3344">
        <v>5.6158279999999996</v>
      </c>
      <c r="E3344">
        <v>0.47860849999999999</v>
      </c>
      <c r="F3344" t="s">
        <v>50</v>
      </c>
      <c r="G3344">
        <v>-223.38159999999999</v>
      </c>
      <c r="H3344" s="1">
        <v>4.80979E-8</v>
      </c>
      <c r="I3344">
        <v>219.5265</v>
      </c>
      <c r="J3344">
        <v>-244.81039999999999</v>
      </c>
      <c r="K3344">
        <v>1.1050389999999899</v>
      </c>
      <c r="L3344">
        <v>215.9829</v>
      </c>
      <c r="M3344">
        <v>0.99741729999999995</v>
      </c>
      <c r="N3344">
        <v>0</v>
      </c>
      <c r="O3344">
        <v>7.0440139999999998E-2</v>
      </c>
      <c r="P3344">
        <v>0.99404629999999905</v>
      </c>
      <c r="Q3344">
        <v>2.4000670000000002E-2</v>
      </c>
      <c r="R3344">
        <v>0.10628499999999901</v>
      </c>
      <c r="S3344">
        <v>2.96936</v>
      </c>
      <c r="T3344">
        <v>-0.15134300000000001</v>
      </c>
      <c r="U3344">
        <v>0.48782349999999902</v>
      </c>
      <c r="V3344">
        <v>-3.6046809999999999E-2</v>
      </c>
      <c r="W3344">
        <v>3.7983169999999997E-2</v>
      </c>
      <c r="X3344">
        <v>0.99862799999999996</v>
      </c>
      <c r="Y3344">
        <v>-9.2167109999999997E-2</v>
      </c>
      <c r="Z3344">
        <v>-1.2253909999999999E-3</v>
      </c>
      <c r="AA3344">
        <v>0.99574280000000004</v>
      </c>
      <c r="AB3344">
        <v>28</v>
      </c>
      <c r="AC3344">
        <v>21.428799999999899</v>
      </c>
      <c r="AD3344">
        <v>-1.10503895190209</v>
      </c>
      <c r="AE3344">
        <v>3.5435999999999899</v>
      </c>
      <c r="AF3344">
        <v>-2.0199710498224599</v>
      </c>
      <c r="AG3344">
        <v>-1.10503895190209</v>
      </c>
      <c r="AH3344">
        <v>21.569365196639399</v>
      </c>
      <c r="AI3344">
        <v>92.920051221760104</v>
      </c>
      <c r="AJ3344">
        <v>95.350145328798305</v>
      </c>
      <c r="AK3344">
        <v>21.6919088397803</v>
      </c>
    </row>
    <row r="3345" spans="1:37" x14ac:dyDescent="0.2">
      <c r="A3345" t="str">
        <f>"20200111155913806"</f>
        <v>20200111155913806</v>
      </c>
      <c r="B3345" t="str">
        <f>"1578729553795760"</f>
        <v>1578729553795760</v>
      </c>
      <c r="C3345" t="s">
        <v>37</v>
      </c>
      <c r="D3345">
        <v>5.661232</v>
      </c>
      <c r="E3345">
        <v>0.47870000000000001</v>
      </c>
      <c r="F3345" t="s">
        <v>50</v>
      </c>
      <c r="G3345">
        <v>-222.6893</v>
      </c>
      <c r="H3345">
        <v>5.598156E-3</v>
      </c>
      <c r="I3345">
        <v>219.6163</v>
      </c>
      <c r="J3345">
        <v>-244.53799999999899</v>
      </c>
      <c r="K3345">
        <v>1.1049469999999999</v>
      </c>
      <c r="L3345">
        <v>216.00290000000001</v>
      </c>
      <c r="M3345">
        <v>0.99737509999999996</v>
      </c>
      <c r="N3345">
        <v>0</v>
      </c>
      <c r="O3345">
        <v>7.1032010000000007E-2</v>
      </c>
      <c r="P3345">
        <v>0.99407469999999998</v>
      </c>
      <c r="Q3345">
        <v>2.3932370000000001E-2</v>
      </c>
      <c r="R3345">
        <v>0.1060321</v>
      </c>
      <c r="S3345">
        <v>2.969376</v>
      </c>
      <c r="T3345">
        <v>-0.147580399999999</v>
      </c>
      <c r="U3345">
        <v>0.4877167</v>
      </c>
      <c r="V3345">
        <v>-3.5189739999999997E-2</v>
      </c>
      <c r="W3345">
        <v>3.7927889999999999E-2</v>
      </c>
      <c r="X3345">
        <v>0.99866069999999996</v>
      </c>
      <c r="Y3345">
        <v>-9.1543289999999999E-2</v>
      </c>
      <c r="Z3345">
        <v>-1.2394189999999901E-3</v>
      </c>
      <c r="AA3345">
        <v>0.99580029999999997</v>
      </c>
      <c r="AB3345">
        <v>28</v>
      </c>
      <c r="AC3345">
        <v>21.848699999999901</v>
      </c>
      <c r="AD3345">
        <v>-1.0993488440000001</v>
      </c>
      <c r="AE3345">
        <v>3.61339999999998</v>
      </c>
      <c r="AF3345">
        <v>-2.0471158388205599</v>
      </c>
      <c r="AG3345">
        <v>-1.0993488440000001</v>
      </c>
      <c r="AH3345">
        <v>21.995986859710001</v>
      </c>
      <c r="AI3345">
        <v>92.848943495845006</v>
      </c>
      <c r="AJ3345">
        <v>95.317070103368494</v>
      </c>
      <c r="AK3345">
        <v>22.118378988318501</v>
      </c>
    </row>
    <row r="3346" spans="1:37" x14ac:dyDescent="0.2">
      <c r="A3346" t="str">
        <f>"20200111155913828"</f>
        <v>20200111155913828</v>
      </c>
      <c r="B3346" t="str">
        <f>"1578729553825547"</f>
        <v>1578729553825547</v>
      </c>
      <c r="C3346" t="s">
        <v>37</v>
      </c>
      <c r="D3346">
        <v>5.610703</v>
      </c>
      <c r="E3346">
        <v>0.47877120000000001</v>
      </c>
      <c r="F3346" t="s">
        <v>50</v>
      </c>
      <c r="G3346">
        <v>-222.46709999999999</v>
      </c>
      <c r="H3346">
        <v>4.9889499999999998E-3</v>
      </c>
      <c r="I3346">
        <v>219.6163</v>
      </c>
      <c r="J3346">
        <v>-244.26259999999999</v>
      </c>
      <c r="K3346">
        <v>1.10484</v>
      </c>
      <c r="L3346">
        <v>216.0231</v>
      </c>
      <c r="M3346">
        <v>0.99734349999999905</v>
      </c>
      <c r="N3346">
        <v>0</v>
      </c>
      <c r="O3346">
        <v>7.1476219999999993E-2</v>
      </c>
      <c r="P3346">
        <v>0.99405290000000002</v>
      </c>
      <c r="Q3346">
        <v>2.443874E-2</v>
      </c>
      <c r="R3346">
        <v>0.10612149999999999</v>
      </c>
      <c r="S3346">
        <v>2.9696039999999999</v>
      </c>
      <c r="T3346">
        <v>-0.1479975</v>
      </c>
      <c r="U3346">
        <v>0.48617549999999998</v>
      </c>
      <c r="V3346">
        <v>-3.4825710000000003E-2</v>
      </c>
      <c r="W3346">
        <v>3.8444880000000001E-2</v>
      </c>
      <c r="X3346">
        <v>0.99865369999999998</v>
      </c>
      <c r="Y3346">
        <v>-9.0585760000000001E-2</v>
      </c>
      <c r="Z3346">
        <v>-1.288455E-3</v>
      </c>
      <c r="AA3346">
        <v>0.99588779999999999</v>
      </c>
      <c r="AB3346">
        <v>28</v>
      </c>
      <c r="AC3346">
        <v>21.795500000000001</v>
      </c>
      <c r="AD3346">
        <v>-1.0998510500000001</v>
      </c>
      <c r="AE3346">
        <v>3.5931999999999902</v>
      </c>
      <c r="AF3346">
        <v>-2.0209842227485102</v>
      </c>
      <c r="AG3346">
        <v>-1.0998510500000001</v>
      </c>
      <c r="AH3346">
        <v>21.942200243445399</v>
      </c>
      <c r="AI3346">
        <v>92.857470131115804</v>
      </c>
      <c r="AJ3346">
        <v>95.262374931748397</v>
      </c>
      <c r="AK3346">
        <v>22.062506681794801</v>
      </c>
    </row>
    <row r="3347" spans="1:37" x14ac:dyDescent="0.2">
      <c r="A3347" t="str">
        <f>"20200111155913850"</f>
        <v>20200111155913850</v>
      </c>
      <c r="B3347" t="str">
        <f>"1578729553845067"</f>
        <v>1578729553845067</v>
      </c>
      <c r="C3347" t="s">
        <v>37</v>
      </c>
      <c r="D3347">
        <v>5.6514480000000002</v>
      </c>
      <c r="E3347">
        <v>0.47888029999999998</v>
      </c>
      <c r="F3347" t="s">
        <v>50</v>
      </c>
      <c r="G3347">
        <v>-222.30500000000001</v>
      </c>
      <c r="H3347">
        <v>4.2820379999999998E-2</v>
      </c>
      <c r="I3347">
        <v>219.6163</v>
      </c>
      <c r="J3347">
        <v>-243.97900000000001</v>
      </c>
      <c r="K3347">
        <v>1.1047549999999999</v>
      </c>
      <c r="L3347">
        <v>216.04390000000001</v>
      </c>
      <c r="M3347">
        <v>0.99731959999999997</v>
      </c>
      <c r="N3347">
        <v>0</v>
      </c>
      <c r="O3347">
        <v>7.1807209999999996E-2</v>
      </c>
      <c r="P3347">
        <v>0.994058</v>
      </c>
      <c r="Q3347">
        <v>2.5795999999999999E-2</v>
      </c>
      <c r="R3347">
        <v>0.1057526</v>
      </c>
      <c r="S3347">
        <v>2.969589</v>
      </c>
      <c r="T3347">
        <v>-0.14362929999999999</v>
      </c>
      <c r="U3347">
        <v>0.48594670000000001</v>
      </c>
      <c r="V3347">
        <v>-3.4117670000000003E-2</v>
      </c>
      <c r="W3347">
        <v>3.9811880000000001E-2</v>
      </c>
      <c r="X3347">
        <v>0.99862459999999997</v>
      </c>
      <c r="Y3347">
        <v>-9.01835E-2</v>
      </c>
      <c r="Z3347">
        <v>-1.275963E-3</v>
      </c>
      <c r="AA3347">
        <v>0.99592440000000004</v>
      </c>
      <c r="AB3347">
        <v>28</v>
      </c>
      <c r="AC3347">
        <v>21.673999999999999</v>
      </c>
      <c r="AD3347">
        <v>-1.0619346199999999</v>
      </c>
      <c r="AE3347">
        <v>3.57239999999998</v>
      </c>
      <c r="AF3347">
        <v>-2.0019942271894098</v>
      </c>
      <c r="AG3347">
        <v>-1.0619346199999999</v>
      </c>
      <c r="AH3347">
        <v>21.8235837729619</v>
      </c>
      <c r="AI3347">
        <v>92.774182611841596</v>
      </c>
      <c r="AJ3347">
        <v>95.241378858364996</v>
      </c>
      <c r="AK3347">
        <v>21.940931947352201</v>
      </c>
    </row>
    <row r="3348" spans="1:37" x14ac:dyDescent="0.2">
      <c r="A3348" t="str">
        <f>"20200111155913872"</f>
        <v>20200111155913872</v>
      </c>
      <c r="B3348" t="str">
        <f>"1578729553865563"</f>
        <v>1578729553865563</v>
      </c>
      <c r="C3348" t="s">
        <v>37</v>
      </c>
      <c r="D3348">
        <v>5.5754469999999996</v>
      </c>
      <c r="E3348">
        <v>0.47901589999999999</v>
      </c>
      <c r="F3348" t="s">
        <v>50</v>
      </c>
      <c r="G3348">
        <v>-221.91069999999999</v>
      </c>
      <c r="H3348">
        <v>7.654909E-2</v>
      </c>
      <c r="I3348">
        <v>219.6429</v>
      </c>
      <c r="J3348">
        <v>-243.7073</v>
      </c>
      <c r="K3348">
        <v>1.1046799999999899</v>
      </c>
      <c r="L3348">
        <v>216.06379999999999</v>
      </c>
      <c r="M3348">
        <v>0.99730509999999895</v>
      </c>
      <c r="N3348">
        <v>0</v>
      </c>
      <c r="O3348">
        <v>7.2007139999999997E-2</v>
      </c>
      <c r="P3348">
        <v>0.99410239999999905</v>
      </c>
      <c r="Q3348">
        <v>2.6841050000000002E-2</v>
      </c>
      <c r="R3348">
        <v>0.10507229999999999</v>
      </c>
      <c r="S3348">
        <v>2.9700009999999999</v>
      </c>
      <c r="T3348">
        <v>-0.13837839999999901</v>
      </c>
      <c r="U3348">
        <v>0.484359699999999</v>
      </c>
      <c r="V3348">
        <v>-3.3227220000000002E-2</v>
      </c>
      <c r="W3348">
        <v>4.0864839999999999E-2</v>
      </c>
      <c r="X3348">
        <v>0.99861200000000006</v>
      </c>
      <c r="Y3348">
        <v>-8.9445949999999996E-2</v>
      </c>
      <c r="Z3348">
        <v>-1.255532E-3</v>
      </c>
      <c r="AA3348">
        <v>0.99599090000000001</v>
      </c>
      <c r="AB3348">
        <v>28</v>
      </c>
      <c r="AC3348">
        <v>21.796600000000002</v>
      </c>
      <c r="AD3348">
        <v>-1.02813090999999</v>
      </c>
      <c r="AE3348">
        <v>3.5791000000000102</v>
      </c>
      <c r="AF3348">
        <v>-1.9958173927549501</v>
      </c>
      <c r="AG3348">
        <v>-1.02813090999999</v>
      </c>
      <c r="AH3348">
        <v>21.950197848405399</v>
      </c>
      <c r="AI3348">
        <v>92.670730480162206</v>
      </c>
      <c r="AJ3348">
        <v>95.195321705930297</v>
      </c>
      <c r="AK3348">
        <v>22.0647122305609</v>
      </c>
    </row>
    <row r="3349" spans="1:37" x14ac:dyDescent="0.2">
      <c r="A3349" t="str">
        <f>"20200111155913894"</f>
        <v>20200111155913894</v>
      </c>
      <c r="B3349" t="str">
        <f>"1578729553885084"</f>
        <v>1578729553885084</v>
      </c>
      <c r="C3349" t="s">
        <v>37</v>
      </c>
      <c r="D3349">
        <v>5.5852449999999996</v>
      </c>
      <c r="E3349">
        <v>0.47911720000000002</v>
      </c>
      <c r="F3349" t="s">
        <v>50</v>
      </c>
      <c r="G3349">
        <v>-221.24170000000001</v>
      </c>
      <c r="H3349">
        <v>8.0000150000000006E-2</v>
      </c>
      <c r="I3349">
        <v>219.70480000000001</v>
      </c>
      <c r="J3349">
        <v>-243.43770000000001</v>
      </c>
      <c r="K3349">
        <v>1.104614</v>
      </c>
      <c r="L3349">
        <v>216.08340000000001</v>
      </c>
      <c r="M3349">
        <v>0.99729859999999904</v>
      </c>
      <c r="N3349">
        <v>0</v>
      </c>
      <c r="O3349">
        <v>7.2099689999999994E-2</v>
      </c>
      <c r="P3349">
        <v>0.99414439999999904</v>
      </c>
      <c r="Q3349">
        <v>2.7389779999999999E-2</v>
      </c>
      <c r="R3349">
        <v>0.10453270000000001</v>
      </c>
      <c r="S3349">
        <v>2.9705509999999999</v>
      </c>
      <c r="T3349">
        <v>-0.13549</v>
      </c>
      <c r="U3349">
        <v>0.48144529999999902</v>
      </c>
      <c r="V3349">
        <v>-3.2585530000000001E-2</v>
      </c>
      <c r="W3349">
        <v>4.1419879999999999E-2</v>
      </c>
      <c r="X3349">
        <v>0.99861029999999995</v>
      </c>
      <c r="Y3349">
        <v>-8.8374190000000005E-2</v>
      </c>
      <c r="Z3349">
        <v>-1.257696E-3</v>
      </c>
      <c r="AA3349">
        <v>0.99608649999999999</v>
      </c>
      <c r="AB3349">
        <v>28</v>
      </c>
      <c r="AC3349">
        <v>22.195999999999898</v>
      </c>
      <c r="AD3349">
        <v>-1.0246138499999999</v>
      </c>
      <c r="AE3349">
        <v>3.6213999999999902</v>
      </c>
      <c r="AF3349">
        <v>-2.0073241381090599</v>
      </c>
      <c r="AG3349">
        <v>-1.0246138499999999</v>
      </c>
      <c r="AH3349">
        <v>22.352951841000401</v>
      </c>
      <c r="AI3349">
        <v>92.613980826261994</v>
      </c>
      <c r="AJ3349">
        <v>95.131471171239099</v>
      </c>
      <c r="AK3349">
        <v>22.466277834637602</v>
      </c>
    </row>
    <row r="3350" spans="1:37" x14ac:dyDescent="0.2">
      <c r="A3350" t="str">
        <f>"20200111155914030"</f>
        <v>20200111155914030</v>
      </c>
      <c r="B3350" t="str">
        <f>"1578729554025666"</f>
        <v>1578729554025666</v>
      </c>
      <c r="C3350" t="s">
        <v>37</v>
      </c>
      <c r="D3350">
        <v>5.6139549999999998</v>
      </c>
      <c r="E3350">
        <v>0.47920569999999901</v>
      </c>
      <c r="F3350" t="s">
        <v>50</v>
      </c>
      <c r="G3350">
        <v>-220.61969999999999</v>
      </c>
      <c r="H3350">
        <v>7.9999979999999998E-2</v>
      </c>
      <c r="I3350">
        <v>219.76300000000001</v>
      </c>
      <c r="J3350">
        <v>-241.7885</v>
      </c>
      <c r="K3350">
        <v>1.104217</v>
      </c>
      <c r="L3350">
        <v>216.2011</v>
      </c>
      <c r="M3350">
        <v>0.99738349999999898</v>
      </c>
      <c r="N3350">
        <v>0</v>
      </c>
      <c r="O3350">
        <v>7.0915080000000005E-2</v>
      </c>
      <c r="P3350">
        <v>0.99465149999999902</v>
      </c>
      <c r="Q3350">
        <v>2.425194E-2</v>
      </c>
      <c r="R3350">
        <v>0.10040109999999999</v>
      </c>
      <c r="S3350">
        <v>2.9709779999999899</v>
      </c>
      <c r="T3350">
        <v>-0.13340779999999999</v>
      </c>
      <c r="U3350">
        <v>0.47909550000000001</v>
      </c>
      <c r="V3350">
        <v>-2.9579169999999998E-2</v>
      </c>
      <c r="W3350">
        <v>3.830575E-2</v>
      </c>
      <c r="X3350">
        <v>0.99882819999999894</v>
      </c>
      <c r="Y3350">
        <v>-8.8765839999999999E-2</v>
      </c>
      <c r="Z3350">
        <v>-1.177001E-3</v>
      </c>
      <c r="AA3350">
        <v>0.99605180000000004</v>
      </c>
      <c r="AB3350">
        <v>27</v>
      </c>
      <c r="AC3350">
        <v>21.168800000000001</v>
      </c>
      <c r="AD3350">
        <v>-1.02421702</v>
      </c>
      <c r="AE3350">
        <v>3.5619000000000001</v>
      </c>
      <c r="AF3350">
        <v>-2.0469356085213999</v>
      </c>
      <c r="AG3350">
        <v>-1.02421702</v>
      </c>
      <c r="AH3350">
        <v>21.319577417015399</v>
      </c>
      <c r="AI3350">
        <v>92.737869463028005</v>
      </c>
      <c r="AJ3350">
        <v>95.484272623995295</v>
      </c>
      <c r="AK3350">
        <v>21.442092881283902</v>
      </c>
    </row>
    <row r="3351" spans="1:37" x14ac:dyDescent="0.2">
      <c r="A3351" t="str">
        <f>"20200111155914052"</f>
        <v>20200111155914052</v>
      </c>
      <c r="B3351" t="str">
        <f>"1578729554045186"</f>
        <v>1578729554045186</v>
      </c>
      <c r="C3351" t="s">
        <v>37</v>
      </c>
      <c r="D3351">
        <v>5.4823709999999997</v>
      </c>
      <c r="E3351">
        <v>0.47933549999999903</v>
      </c>
      <c r="F3351" t="s">
        <v>50</v>
      </c>
      <c r="G3351">
        <v>-219.9837</v>
      </c>
      <c r="H3351">
        <v>6.1611109999999997E-2</v>
      </c>
      <c r="I3351">
        <v>219.62790000000001</v>
      </c>
      <c r="J3351">
        <v>-241.512</v>
      </c>
      <c r="K3351">
        <v>1.104196</v>
      </c>
      <c r="L3351">
        <v>216.22030000000001</v>
      </c>
      <c r="M3351">
        <v>0.99741170000000001</v>
      </c>
      <c r="N3351">
        <v>0</v>
      </c>
      <c r="O3351">
        <v>7.0517839999999998E-2</v>
      </c>
      <c r="P3351">
        <v>0.99491379999999996</v>
      </c>
      <c r="Q3351">
        <v>2.3663710000000001E-2</v>
      </c>
      <c r="R3351">
        <v>9.7912239999999998E-2</v>
      </c>
      <c r="S3351">
        <v>2.9724430000000002</v>
      </c>
      <c r="T3351">
        <v>-0.142128799999999</v>
      </c>
      <c r="U3351">
        <v>0.4671478</v>
      </c>
      <c r="V3351">
        <v>-2.747457E-2</v>
      </c>
      <c r="W3351">
        <v>3.7716810000000003E-2</v>
      </c>
      <c r="X3351">
        <v>0.99891070000000004</v>
      </c>
      <c r="Y3351">
        <v>-8.5181350000000003E-2</v>
      </c>
      <c r="Z3351">
        <v>-1.3201059999999999E-3</v>
      </c>
      <c r="AA3351">
        <v>0.99636460000000004</v>
      </c>
      <c r="AB3351">
        <v>27</v>
      </c>
      <c r="AC3351">
        <v>21.528300000000002</v>
      </c>
      <c r="AD3351">
        <v>-1.0425848900000001</v>
      </c>
      <c r="AE3351">
        <v>3.4076</v>
      </c>
      <c r="AF3351">
        <v>-1.8765427567236099</v>
      </c>
      <c r="AG3351">
        <v>-1.0425848900000001</v>
      </c>
      <c r="AH3351">
        <v>21.6654447864213</v>
      </c>
      <c r="AI3351">
        <v>92.744802273960701</v>
      </c>
      <c r="AJ3351">
        <v>94.950293676716996</v>
      </c>
      <c r="AK3351">
        <v>21.7715386172897</v>
      </c>
    </row>
    <row r="3352" spans="1:37" x14ac:dyDescent="0.2">
      <c r="A3352" t="str">
        <f>"20200111155914095"</f>
        <v>20200111155914095</v>
      </c>
      <c r="B3352" t="str">
        <f>"1578729554085203"</f>
        <v>1578729554085203</v>
      </c>
      <c r="C3352" t="s">
        <v>37</v>
      </c>
      <c r="D3352">
        <v>5.5661329999999998</v>
      </c>
      <c r="E3352">
        <v>0.47945979999999999</v>
      </c>
      <c r="F3352" t="s">
        <v>50</v>
      </c>
      <c r="G3352">
        <v>-219.51859999999999</v>
      </c>
      <c r="H3352">
        <v>4.9490140000000002E-2</v>
      </c>
      <c r="I3352">
        <v>219.6163</v>
      </c>
      <c r="J3352">
        <v>-240.98179999999999</v>
      </c>
      <c r="K3352">
        <v>1.1041799999999999</v>
      </c>
      <c r="L3352">
        <v>216.2568</v>
      </c>
      <c r="M3352">
        <v>0.99746759999999901</v>
      </c>
      <c r="N3352">
        <v>0</v>
      </c>
      <c r="O3352">
        <v>6.9721889999999995E-2</v>
      </c>
      <c r="P3352">
        <v>0.99543719999999902</v>
      </c>
      <c r="Q3352">
        <v>2.36461E-2</v>
      </c>
      <c r="R3352">
        <v>9.2444349999999995E-2</v>
      </c>
      <c r="S3352">
        <v>2.973557</v>
      </c>
      <c r="T3352">
        <v>-0.1425989</v>
      </c>
      <c r="U3352">
        <v>0.45915220000000001</v>
      </c>
      <c r="V3352">
        <v>-2.2779710000000002E-2</v>
      </c>
      <c r="W3352">
        <v>3.7694409999999998E-2</v>
      </c>
      <c r="X3352">
        <v>0.99902959999999996</v>
      </c>
      <c r="Y3352">
        <v>-8.3304459999999997E-2</v>
      </c>
      <c r="Z3352">
        <v>-1.3312860000000001E-3</v>
      </c>
      <c r="AA3352">
        <v>0.9965233</v>
      </c>
      <c r="AB3352">
        <v>27</v>
      </c>
      <c r="AC3352">
        <v>21.463200000000001</v>
      </c>
      <c r="AD3352">
        <v>-1.0546898600000001</v>
      </c>
      <c r="AE3352">
        <v>3.3594999999999899</v>
      </c>
      <c r="AF3352">
        <v>-1.85035927071724</v>
      </c>
      <c r="AG3352">
        <v>-1.0546898600000001</v>
      </c>
      <c r="AH3352">
        <v>21.594315557342501</v>
      </c>
      <c r="AI3352">
        <v>92.785973356936907</v>
      </c>
      <c r="AJ3352">
        <v>94.897559338073407</v>
      </c>
      <c r="AK3352">
        <v>21.699093633642899</v>
      </c>
    </row>
    <row r="3353" spans="1:37" x14ac:dyDescent="0.2">
      <c r="A3353" t="str">
        <f>"20200111155914120"</f>
        <v>20200111155914120</v>
      </c>
      <c r="B3353" t="str">
        <f>"1578729554115459"</f>
        <v>1578729554115459</v>
      </c>
      <c r="C3353" t="s">
        <v>37</v>
      </c>
      <c r="D3353">
        <v>5.6247069999999999</v>
      </c>
      <c r="E3353">
        <v>0.47937349999999901</v>
      </c>
      <c r="F3353" t="s">
        <v>50</v>
      </c>
      <c r="G3353">
        <v>-218.3792</v>
      </c>
      <c r="H3353">
        <v>1.4218679999999999E-2</v>
      </c>
      <c r="I3353">
        <v>219.6163</v>
      </c>
      <c r="J3353">
        <v>-240.69730000000001</v>
      </c>
      <c r="K3353">
        <v>1.1041780000000001</v>
      </c>
      <c r="L3353">
        <v>216.27619999999999</v>
      </c>
      <c r="M3353">
        <v>0.99749730000000003</v>
      </c>
      <c r="N3353">
        <v>0</v>
      </c>
      <c r="O3353">
        <v>6.9297689999999995E-2</v>
      </c>
      <c r="P3353">
        <v>0.99562019999999996</v>
      </c>
      <c r="Q3353">
        <v>2.3323650000000001E-2</v>
      </c>
      <c r="R3353">
        <v>9.053419E-2</v>
      </c>
      <c r="S3353">
        <v>2.9760740000000001</v>
      </c>
      <c r="T3353">
        <v>-0.1435148</v>
      </c>
      <c r="U3353">
        <v>0.44235229999999998</v>
      </c>
      <c r="V3353">
        <v>-2.1286510000000002E-2</v>
      </c>
      <c r="W3353">
        <v>3.736896E-2</v>
      </c>
      <c r="X3353">
        <v>0.99907479999999904</v>
      </c>
      <c r="Y3353">
        <v>-7.8106010000000003E-2</v>
      </c>
      <c r="Z3353">
        <v>-1.443775E-3</v>
      </c>
      <c r="AA3353">
        <v>0.99694400000000005</v>
      </c>
      <c r="AB3353">
        <v>27</v>
      </c>
      <c r="AC3353">
        <v>22.318100000000001</v>
      </c>
      <c r="AD3353">
        <v>-1.08995932</v>
      </c>
      <c r="AE3353">
        <v>3.3401000000000001</v>
      </c>
      <c r="AF3353">
        <v>-1.7811685960452199</v>
      </c>
      <c r="AG3353">
        <v>-1.08995932</v>
      </c>
      <c r="AH3353">
        <v>22.443563887527901</v>
      </c>
      <c r="AI3353">
        <v>92.771652466915597</v>
      </c>
      <c r="AJ3353">
        <v>94.537603466100506</v>
      </c>
      <c r="AK3353">
        <v>22.5404998360804</v>
      </c>
    </row>
    <row r="3354" spans="1:37" x14ac:dyDescent="0.2">
      <c r="A3354" t="str">
        <f>"20200111155914140"</f>
        <v>20200111155914140</v>
      </c>
      <c r="B3354" t="str">
        <f>"1578729554134978"</f>
        <v>1578729554134978</v>
      </c>
      <c r="C3354" t="s">
        <v>37</v>
      </c>
      <c r="D3354">
        <v>5.6716809999999898</v>
      </c>
      <c r="E3354">
        <v>0.479421599999999</v>
      </c>
      <c r="F3354" t="s">
        <v>50</v>
      </c>
      <c r="G3354">
        <v>-217.9579</v>
      </c>
      <c r="H3354">
        <v>3.9271449999999999E-2</v>
      </c>
      <c r="I3354">
        <v>219.6163</v>
      </c>
      <c r="J3354">
        <v>-240.43279999999999</v>
      </c>
      <c r="K3354">
        <v>1.1041840000000001</v>
      </c>
      <c r="L3354">
        <v>216.29409999999999</v>
      </c>
      <c r="M3354">
        <v>0.99752399999999997</v>
      </c>
      <c r="N3354">
        <v>0</v>
      </c>
      <c r="O3354">
        <v>6.8911970000000003E-2</v>
      </c>
      <c r="P3354">
        <v>0.99572680000000002</v>
      </c>
      <c r="Q3354">
        <v>2.2888229999999999E-2</v>
      </c>
      <c r="R3354">
        <v>8.9467489999999997E-2</v>
      </c>
      <c r="S3354">
        <v>2.9767000000000001</v>
      </c>
      <c r="T3354">
        <v>-0.13940159999999999</v>
      </c>
      <c r="U3354">
        <v>0.43724059999999998</v>
      </c>
      <c r="V3354">
        <v>-2.0602740000000001E-2</v>
      </c>
      <c r="W3354">
        <v>3.6930570000000003E-2</v>
      </c>
      <c r="X3354">
        <v>0.99910549999999998</v>
      </c>
      <c r="Y3354">
        <v>-7.678712E-2</v>
      </c>
      <c r="Z3354">
        <v>-1.4151910000000001E-3</v>
      </c>
      <c r="AA3354">
        <v>0.99704649999999995</v>
      </c>
      <c r="AB3354">
        <v>27</v>
      </c>
      <c r="AC3354">
        <v>22.474899999999899</v>
      </c>
      <c r="AD3354">
        <v>-1.0649125500000001</v>
      </c>
      <c r="AE3354">
        <v>3.3222</v>
      </c>
      <c r="AF3354">
        <v>-1.7614883792029901</v>
      </c>
      <c r="AG3354">
        <v>-1.0649125500000001</v>
      </c>
      <c r="AH3354">
        <v>22.600767175768699</v>
      </c>
      <c r="AI3354">
        <v>92.689547161249493</v>
      </c>
      <c r="AJ3354">
        <v>94.456584652343196</v>
      </c>
      <c r="AK3354">
        <v>22.694306708567201</v>
      </c>
    </row>
    <row r="3355" spans="1:37" x14ac:dyDescent="0.2">
      <c r="A3355" t="str">
        <f>"20200111155914163"</f>
        <v>20200111155914163</v>
      </c>
      <c r="B3355" t="str">
        <f>"1578729554155474"</f>
        <v>1578729554155474</v>
      </c>
      <c r="C3355" t="s">
        <v>37</v>
      </c>
      <c r="D3355">
        <v>6.1287440000000002</v>
      </c>
      <c r="E3355">
        <v>0.47946830000000001</v>
      </c>
      <c r="F3355" t="s">
        <v>50</v>
      </c>
      <c r="G3355">
        <v>-217.63050000000001</v>
      </c>
      <c r="H3355">
        <v>2.4543530000000001E-2</v>
      </c>
      <c r="I3355">
        <v>219.6163</v>
      </c>
      <c r="J3355">
        <v>-240.1643</v>
      </c>
      <c r="K3355">
        <v>1.1041879999999999</v>
      </c>
      <c r="L3355">
        <v>216.31219999999999</v>
      </c>
      <c r="M3355">
        <v>0.99755039999999995</v>
      </c>
      <c r="N3355">
        <v>0</v>
      </c>
      <c r="O3355">
        <v>6.8528820000000004E-2</v>
      </c>
      <c r="P3355">
        <v>0.99574799999999997</v>
      </c>
      <c r="Q3355">
        <v>2.1973619999999999E-2</v>
      </c>
      <c r="R3355">
        <v>8.9459720000000006E-2</v>
      </c>
      <c r="S3355">
        <v>2.97714199999999</v>
      </c>
      <c r="T3355">
        <v>-0.14096120000000001</v>
      </c>
      <c r="U3355">
        <v>0.43376160000000002</v>
      </c>
      <c r="V3355">
        <v>-2.0977900000000001E-2</v>
      </c>
      <c r="W3355">
        <v>3.601422E-2</v>
      </c>
      <c r="X3355">
        <v>0.99913109999999905</v>
      </c>
      <c r="Y3355">
        <v>-7.6008279999999998E-2</v>
      </c>
      <c r="Z3355">
        <v>-1.43132E-3</v>
      </c>
      <c r="AA3355">
        <v>0.9971061</v>
      </c>
      <c r="AB3355">
        <v>27</v>
      </c>
      <c r="AC3355">
        <v>22.5337999999999</v>
      </c>
      <c r="AD3355">
        <v>-1.0796444700000001</v>
      </c>
      <c r="AE3355">
        <v>3.3041</v>
      </c>
      <c r="AF3355">
        <v>-1.7480358298252601</v>
      </c>
      <c r="AG3355">
        <v>-1.0796444700000001</v>
      </c>
      <c r="AH3355">
        <v>22.6563492336536</v>
      </c>
      <c r="AI3355">
        <v>92.7201834664004</v>
      </c>
      <c r="AJ3355">
        <v>94.411877973494995</v>
      </c>
      <c r="AK3355">
        <v>22.749316957685402</v>
      </c>
    </row>
    <row r="3356" spans="1:37" x14ac:dyDescent="0.2">
      <c r="A3356" t="str">
        <f>"20200111155914185"</f>
        <v>20200111155914185</v>
      </c>
      <c r="B3356" t="str">
        <f>"1578729554174995"</f>
        <v>1578729554174995</v>
      </c>
      <c r="C3356" t="s">
        <v>37</v>
      </c>
      <c r="D3356">
        <v>5.7117420000000001</v>
      </c>
      <c r="E3356">
        <v>0.47963149999999899</v>
      </c>
      <c r="F3356" t="s">
        <v>50</v>
      </c>
      <c r="G3356">
        <v>-217.4708</v>
      </c>
      <c r="H3356">
        <v>2.4161510000000001E-2</v>
      </c>
      <c r="I3356">
        <v>219.6163</v>
      </c>
      <c r="J3356">
        <v>-239.8989</v>
      </c>
      <c r="K3356">
        <v>1.1041920000000001</v>
      </c>
      <c r="L3356">
        <v>216.33</v>
      </c>
      <c r="M3356">
        <v>0.99757589999999996</v>
      </c>
      <c r="N3356">
        <v>0</v>
      </c>
      <c r="O3356">
        <v>6.815628E-2</v>
      </c>
      <c r="P3356">
        <v>0.99574110000000005</v>
      </c>
      <c r="Q3356">
        <v>2.0562480000000001E-2</v>
      </c>
      <c r="R3356">
        <v>8.9871210000000007E-2</v>
      </c>
      <c r="S3356">
        <v>2.9769739999999998</v>
      </c>
      <c r="T3356">
        <v>-0.141679799999999</v>
      </c>
      <c r="U3356">
        <v>0.43344120000000003</v>
      </c>
      <c r="V3356">
        <v>-2.1764120000000001E-2</v>
      </c>
      <c r="W3356">
        <v>3.4600810000000003E-2</v>
      </c>
      <c r="X3356">
        <v>0.99916419999999995</v>
      </c>
      <c r="Y3356">
        <v>-7.6282779999999994E-2</v>
      </c>
      <c r="Z3356">
        <v>-1.414654E-3</v>
      </c>
      <c r="AA3356">
        <v>0.99708519999999901</v>
      </c>
      <c r="AB3356">
        <v>27</v>
      </c>
      <c r="AC3356">
        <v>22.428100000000001</v>
      </c>
      <c r="AD3356">
        <v>-1.08003049</v>
      </c>
      <c r="AE3356">
        <v>3.2862999999999798</v>
      </c>
      <c r="AF3356">
        <v>-1.7459266501588999</v>
      </c>
      <c r="AG3356">
        <v>-1.08003049</v>
      </c>
      <c r="AH3356">
        <v>22.548750874926601</v>
      </c>
      <c r="AI3356">
        <v>92.734062162959503</v>
      </c>
      <c r="AJ3356">
        <v>94.427519513173493</v>
      </c>
      <c r="AK3356">
        <v>22.6420160707161</v>
      </c>
    </row>
    <row r="3357" spans="1:37" x14ac:dyDescent="0.2">
      <c r="A3357" t="str">
        <f>"20200111155914207"</f>
        <v>20200111155914207</v>
      </c>
      <c r="B3357" t="str">
        <f>"1578729554195490"</f>
        <v>1578729554195490</v>
      </c>
      <c r="C3357" t="s">
        <v>37</v>
      </c>
      <c r="D3357">
        <v>5.7690830000000002</v>
      </c>
      <c r="E3357">
        <v>0.47977419999999998</v>
      </c>
      <c r="F3357" t="s">
        <v>50</v>
      </c>
      <c r="G3357">
        <v>-217.50380000000001</v>
      </c>
      <c r="H3357" s="1">
        <v>2.2389669999999998E-6</v>
      </c>
      <c r="I3357">
        <v>219.59020000000001</v>
      </c>
      <c r="J3357">
        <v>-239.63059999999999</v>
      </c>
      <c r="K3357">
        <v>1.1041939999999999</v>
      </c>
      <c r="L3357">
        <v>216.34790000000001</v>
      </c>
      <c r="M3357">
        <v>0.99760139999999997</v>
      </c>
      <c r="N3357">
        <v>0</v>
      </c>
      <c r="O3357">
        <v>6.7783029999999994E-2</v>
      </c>
      <c r="P3357">
        <v>0.99572059999999996</v>
      </c>
      <c r="Q3357">
        <v>1.9584509999999999E-2</v>
      </c>
      <c r="R3357">
        <v>9.0315759999999995E-2</v>
      </c>
      <c r="S3357">
        <v>2.9767610000000002</v>
      </c>
      <c r="T3357">
        <v>-0.14676919999999999</v>
      </c>
      <c r="U3357">
        <v>0.4333496</v>
      </c>
      <c r="V3357">
        <v>-2.2583869999999999E-2</v>
      </c>
      <c r="W3357">
        <v>3.3620999999999998E-2</v>
      </c>
      <c r="X3357">
        <v>0.9991795</v>
      </c>
      <c r="Y3357">
        <v>-7.6634480000000005E-2</v>
      </c>
      <c r="Z3357">
        <v>-1.438677E-3</v>
      </c>
      <c r="AA3357">
        <v>0.99705820000000001</v>
      </c>
      <c r="AB3357">
        <v>27</v>
      </c>
      <c r="AC3357">
        <v>22.1267999999999</v>
      </c>
      <c r="AD3357">
        <v>-1.1041917610330001</v>
      </c>
      <c r="AE3357">
        <v>3.2423000000000002</v>
      </c>
      <c r="AF3357">
        <v>-1.7306530328393901</v>
      </c>
      <c r="AG3357">
        <v>-1.1041917610330001</v>
      </c>
      <c r="AH3357">
        <v>22.241471110687701</v>
      </c>
      <c r="AI3357">
        <v>92.833600042066394</v>
      </c>
      <c r="AJ3357">
        <v>94.449333031313699</v>
      </c>
      <c r="AK3357">
        <v>22.336012100031699</v>
      </c>
    </row>
    <row r="3358" spans="1:37" x14ac:dyDescent="0.2">
      <c r="A3358" t="str">
        <f>"20200111155914230"</f>
        <v>20200111155914230</v>
      </c>
      <c r="B3358" t="str">
        <f>"1578729554225747"</f>
        <v>1578729554225747</v>
      </c>
      <c r="C3358" t="s">
        <v>37</v>
      </c>
      <c r="D3358">
        <v>5.7458260000000001</v>
      </c>
      <c r="E3358">
        <v>0.48010269999999999</v>
      </c>
      <c r="F3358" t="s">
        <v>50</v>
      </c>
      <c r="G3358">
        <v>-217.72120000000001</v>
      </c>
      <c r="H3358" s="1">
        <v>2.3567619999999998E-6</v>
      </c>
      <c r="I3358">
        <v>219.54159999999999</v>
      </c>
      <c r="J3358">
        <v>-239.35140000000001</v>
      </c>
      <c r="K3358">
        <v>1.1042049999999899</v>
      </c>
      <c r="L3358">
        <v>216.3664</v>
      </c>
      <c r="M3358">
        <v>0.99762770000000001</v>
      </c>
      <c r="N3358">
        <v>0</v>
      </c>
      <c r="O3358">
        <v>6.7396059999999994E-2</v>
      </c>
      <c r="P3358">
        <v>0.99567499999999998</v>
      </c>
      <c r="Q3358">
        <v>2.0040209999999999E-2</v>
      </c>
      <c r="R3358">
        <v>9.0716480000000002E-2</v>
      </c>
      <c r="S3358">
        <v>2.976486</v>
      </c>
      <c r="T3358">
        <v>-0.15000929999999901</v>
      </c>
      <c r="U3358">
        <v>0.43388369999999998</v>
      </c>
      <c r="V3358">
        <v>-2.33744E-2</v>
      </c>
      <c r="W3358">
        <v>3.4073739999999998E-2</v>
      </c>
      <c r="X3358">
        <v>0.99914590000000003</v>
      </c>
      <c r="Y3358">
        <v>-7.7207860000000003E-2</v>
      </c>
      <c r="Z3358">
        <v>-1.4368370000000001E-3</v>
      </c>
      <c r="AA3358">
        <v>0.99701399999999996</v>
      </c>
      <c r="AB3358">
        <v>27</v>
      </c>
      <c r="AC3358">
        <v>21.630199999999999</v>
      </c>
      <c r="AD3358">
        <v>-1.1042026432379899</v>
      </c>
      <c r="AE3358">
        <v>3.1751999999999798</v>
      </c>
      <c r="AF3358">
        <v>-1.7056941487784201</v>
      </c>
      <c r="AG3358">
        <v>-1.1042026432379899</v>
      </c>
      <c r="AH3358">
        <v>21.739568236996998</v>
      </c>
      <c r="AI3358">
        <v>92.898792026946296</v>
      </c>
      <c r="AJ3358">
        <v>94.4862561827413</v>
      </c>
      <c r="AK3358">
        <v>21.834318930013801</v>
      </c>
    </row>
    <row r="3359" spans="1:37" x14ac:dyDescent="0.2">
      <c r="A3359" t="str">
        <f>"20200111155914253"</f>
        <v>20200111155914253</v>
      </c>
      <c r="B3359" t="str">
        <f>"1578729554245266"</f>
        <v>1578729554245266</v>
      </c>
      <c r="C3359" t="s">
        <v>37</v>
      </c>
      <c r="D3359">
        <v>5.744516</v>
      </c>
      <c r="E3359">
        <v>0.48019059999999902</v>
      </c>
      <c r="F3359" t="s">
        <v>50</v>
      </c>
      <c r="G3359">
        <v>-217.2825</v>
      </c>
      <c r="H3359" s="1">
        <v>2.1218449999999999E-6</v>
      </c>
      <c r="I3359">
        <v>219.57470000000001</v>
      </c>
      <c r="J3359">
        <v>-239.08539999999999</v>
      </c>
      <c r="K3359">
        <v>1.104209</v>
      </c>
      <c r="L3359">
        <v>216.38390000000001</v>
      </c>
      <c r="M3359">
        <v>0.99765280000000001</v>
      </c>
      <c r="N3359">
        <v>0</v>
      </c>
      <c r="O3359">
        <v>6.7027379999999998E-2</v>
      </c>
      <c r="P3359">
        <v>0.99565409999999899</v>
      </c>
      <c r="Q3359">
        <v>2.034654E-2</v>
      </c>
      <c r="R3359">
        <v>9.0879779999999993E-2</v>
      </c>
      <c r="S3359">
        <v>2.9766240000000002</v>
      </c>
      <c r="T3359">
        <v>-0.14893339999999999</v>
      </c>
      <c r="U3359">
        <v>0.43273929999999999</v>
      </c>
      <c r="V3359">
        <v>-2.390776E-2</v>
      </c>
      <c r="W3359">
        <v>3.43773E-2</v>
      </c>
      <c r="X3359">
        <v>0.99912289999999904</v>
      </c>
      <c r="Y3359">
        <v>-7.7194139999999994E-2</v>
      </c>
      <c r="Z3359">
        <v>-1.4086050000000001E-3</v>
      </c>
      <c r="AA3359">
        <v>0.99701509999999904</v>
      </c>
      <c r="AB3359">
        <v>27</v>
      </c>
      <c r="AC3359">
        <v>21.802899999999902</v>
      </c>
      <c r="AD3359">
        <v>-1.1042068781550001</v>
      </c>
      <c r="AE3359">
        <v>3.1907999999999901</v>
      </c>
      <c r="AF3359">
        <v>-1.7177747000547401</v>
      </c>
      <c r="AG3359">
        <v>-1.1042068781550001</v>
      </c>
      <c r="AH3359">
        <v>21.9127248891396</v>
      </c>
      <c r="AI3359">
        <v>92.875950462196499</v>
      </c>
      <c r="AJ3359">
        <v>94.482344086847903</v>
      </c>
      <c r="AK3359">
        <v>22.0076699088529</v>
      </c>
    </row>
    <row r="3360" spans="1:37" x14ac:dyDescent="0.2">
      <c r="A3360" t="str">
        <f>"20200111155914273"</f>
        <v>20200111155914273</v>
      </c>
      <c r="B3360" t="str">
        <f>"1578729554265762"</f>
        <v>1578729554265762</v>
      </c>
      <c r="C3360" t="s">
        <v>37</v>
      </c>
      <c r="D3360">
        <v>5.7570940000000004</v>
      </c>
      <c r="E3360">
        <v>0.48027929999999902</v>
      </c>
      <c r="F3360" t="s">
        <v>50</v>
      </c>
      <c r="G3360">
        <v>-216.8844</v>
      </c>
      <c r="H3360" s="1">
        <v>1.9083189999999999E-6</v>
      </c>
      <c r="I3360">
        <v>219.61269999999999</v>
      </c>
      <c r="J3360">
        <v>-238.83260000000001</v>
      </c>
      <c r="K3360">
        <v>1.1042130000000001</v>
      </c>
      <c r="L3360">
        <v>216.40049999999999</v>
      </c>
      <c r="M3360">
        <v>0.99767609999999995</v>
      </c>
      <c r="N3360">
        <v>0</v>
      </c>
      <c r="O3360">
        <v>6.6676979999999997E-2</v>
      </c>
      <c r="P3360">
        <v>0.99572909999999903</v>
      </c>
      <c r="Q3360">
        <v>2.0073819999999999E-2</v>
      </c>
      <c r="R3360">
        <v>9.0115619999999994E-2</v>
      </c>
      <c r="S3360">
        <v>2.9766240000000002</v>
      </c>
      <c r="T3360">
        <v>-0.1480476</v>
      </c>
      <c r="U3360">
        <v>0.43290709999999999</v>
      </c>
      <c r="V3360">
        <v>-2.349207E-2</v>
      </c>
      <c r="W3360">
        <v>3.4101380000000001E-2</v>
      </c>
      <c r="X3360">
        <v>0.99914219999999898</v>
      </c>
      <c r="Y3360">
        <v>-7.7598589999999995E-2</v>
      </c>
      <c r="Z3360">
        <v>-1.372973E-3</v>
      </c>
      <c r="AA3360">
        <v>0.99698379999999998</v>
      </c>
      <c r="AB3360">
        <v>27</v>
      </c>
      <c r="AC3360">
        <v>21.9482</v>
      </c>
      <c r="AD3360">
        <v>-1.104211091681</v>
      </c>
      <c r="AE3360">
        <v>3.21219999999999</v>
      </c>
      <c r="AF3360">
        <v>-1.73716195588856</v>
      </c>
      <c r="AG3360">
        <v>-1.104211091681</v>
      </c>
      <c r="AH3360">
        <v>22.058885974986499</v>
      </c>
      <c r="AI3360">
        <v>92.856857053770796</v>
      </c>
      <c r="AJ3360">
        <v>94.502813674185305</v>
      </c>
      <c r="AK3360">
        <v>22.1547165238789</v>
      </c>
    </row>
    <row r="3361" spans="1:37" x14ac:dyDescent="0.2">
      <c r="A3361" t="str">
        <f>"20200111155914298"</f>
        <v>20200111155914298</v>
      </c>
      <c r="B3361" t="str">
        <f>"1578729554295041"</f>
        <v>1578729554295041</v>
      </c>
      <c r="C3361" t="s">
        <v>37</v>
      </c>
      <c r="D3361">
        <v>6.4948930000000002</v>
      </c>
      <c r="E3361">
        <v>0.52363470000000001</v>
      </c>
      <c r="F3361" t="s">
        <v>50</v>
      </c>
      <c r="G3361">
        <v>-216.72499999999999</v>
      </c>
      <c r="H3361" s="1">
        <v>1.8242850000000001E-6</v>
      </c>
      <c r="I3361">
        <v>219.59479999999999</v>
      </c>
      <c r="J3361">
        <v>-238.53960000000001</v>
      </c>
      <c r="K3361">
        <v>1.1042149999999999</v>
      </c>
      <c r="L3361">
        <v>216.4196</v>
      </c>
      <c r="M3361">
        <v>0.99770329999999996</v>
      </c>
      <c r="N3361">
        <v>0</v>
      </c>
      <c r="O3361">
        <v>6.6270490000000001E-2</v>
      </c>
      <c r="P3361">
        <v>0.99585170000000001</v>
      </c>
      <c r="Q3361">
        <v>1.9592189999999999E-2</v>
      </c>
      <c r="R3361">
        <v>8.8857060000000002E-2</v>
      </c>
      <c r="S3361">
        <v>2.9769290000000002</v>
      </c>
      <c r="T3361">
        <v>-0.1486884</v>
      </c>
      <c r="U3361">
        <v>0.43013000000000001</v>
      </c>
      <c r="V3361">
        <v>-2.2635800000000001E-2</v>
      </c>
      <c r="W3361">
        <v>3.3617189999999998E-2</v>
      </c>
      <c r="X3361">
        <v>0.99917839999999902</v>
      </c>
      <c r="Y3361">
        <v>-7.7079339999999996E-2</v>
      </c>
      <c r="Z3361">
        <v>-1.3716729999999999E-3</v>
      </c>
      <c r="AA3361">
        <v>0.99702400000000002</v>
      </c>
      <c r="AB3361">
        <v>27</v>
      </c>
      <c r="AC3361">
        <v>21.814599999999999</v>
      </c>
      <c r="AD3361">
        <v>-1.104213175715</v>
      </c>
      <c r="AE3361">
        <v>3.1751999999999798</v>
      </c>
      <c r="AF3361">
        <v>-1.7181016157657401</v>
      </c>
      <c r="AG3361">
        <v>-1.104213175715</v>
      </c>
      <c r="AH3361">
        <v>21.922074916649802</v>
      </c>
      <c r="AI3361">
        <v>92.874746401810796</v>
      </c>
      <c r="AJ3361">
        <v>94.481289314555696</v>
      </c>
      <c r="AK3361">
        <v>22.017005440130301</v>
      </c>
    </row>
    <row r="3362" spans="1:37" x14ac:dyDescent="0.2">
      <c r="A3362" t="str">
        <f>"20200111155914320"</f>
        <v>20200111155914320</v>
      </c>
      <c r="B3362" t="str">
        <f>"1578729554315538"</f>
        <v>1578729554315538</v>
      </c>
      <c r="C3362" t="s">
        <v>37</v>
      </c>
      <c r="D3362">
        <v>5.7568289999999998</v>
      </c>
      <c r="E3362">
        <v>0.57889709999999905</v>
      </c>
      <c r="F3362" t="s">
        <v>49</v>
      </c>
      <c r="G3362">
        <v>-209.92099999999999</v>
      </c>
      <c r="H3362" s="1">
        <v>6.3911910000000003E-6</v>
      </c>
      <c r="I3362">
        <v>217.19390000000001</v>
      </c>
      <c r="J3362">
        <v>-238.28039999999999</v>
      </c>
      <c r="K3362">
        <v>1.1042130000000001</v>
      </c>
      <c r="L3362">
        <v>216.43639999999999</v>
      </c>
      <c r="M3362">
        <v>0.99772709999999998</v>
      </c>
      <c r="N3362">
        <v>0</v>
      </c>
      <c r="O3362">
        <v>6.5910360000000001E-2</v>
      </c>
      <c r="P3362">
        <v>0.996143</v>
      </c>
      <c r="Q3362">
        <v>1.9152220000000001E-2</v>
      </c>
      <c r="R3362">
        <v>8.5628170000000003E-2</v>
      </c>
      <c r="S3362">
        <v>3.0075379999999998</v>
      </c>
      <c r="T3362">
        <v>-0.1160417</v>
      </c>
      <c r="U3362">
        <v>8.1375119999999995E-2</v>
      </c>
      <c r="V3362">
        <v>-1.9755890000000002E-2</v>
      </c>
      <c r="W3362">
        <v>3.3173979999999999E-2</v>
      </c>
      <c r="X3362">
        <v>0.99925429999999904</v>
      </c>
      <c r="Y3362">
        <v>3.8826599999999899E-2</v>
      </c>
      <c r="Z3362">
        <v>-3.2885689999999999E-3</v>
      </c>
      <c r="AA3362">
        <v>0.99924059999999904</v>
      </c>
      <c r="AB3362">
        <v>27</v>
      </c>
      <c r="AC3362">
        <v>28.359399999999901</v>
      </c>
      <c r="AD3362">
        <v>-1.1042066088089999</v>
      </c>
      <c r="AE3362">
        <v>0.75750000000002105</v>
      </c>
      <c r="AF3362">
        <v>1.11182501587868</v>
      </c>
      <c r="AG3362">
        <v>-1.1042066088089999</v>
      </c>
      <c r="AH3362">
        <v>28.304773546051599</v>
      </c>
      <c r="AI3362">
        <v>92.232331401891201</v>
      </c>
      <c r="AJ3362">
        <v>87.750550889131404</v>
      </c>
      <c r="AK3362">
        <v>28.348115150643299</v>
      </c>
    </row>
    <row r="3363" spans="1:37" x14ac:dyDescent="0.2">
      <c r="A3363" t="str">
        <f>"20200111155914341"</f>
        <v>20200111155914341</v>
      </c>
      <c r="B3363" t="str">
        <f>"1578729554335058"</f>
        <v>1578729554335058</v>
      </c>
      <c r="C3363" t="s">
        <v>37</v>
      </c>
      <c r="D3363">
        <v>5.739509</v>
      </c>
      <c r="E3363">
        <v>0.58728100000000005</v>
      </c>
      <c r="F3363" t="s">
        <v>50</v>
      </c>
      <c r="G3363">
        <v>-210.72409999999999</v>
      </c>
      <c r="H3363" s="1">
        <v>-1.0857649999999999E-6</v>
      </c>
      <c r="I3363">
        <v>213.11320000000001</v>
      </c>
      <c r="J3363">
        <v>-238.0111</v>
      </c>
      <c r="K3363">
        <v>1.1042130000000001</v>
      </c>
      <c r="L3363">
        <v>216.4537</v>
      </c>
      <c r="M3363">
        <v>0.99775199999999997</v>
      </c>
      <c r="N3363">
        <v>0</v>
      </c>
      <c r="O3363">
        <v>6.5534480000000006E-2</v>
      </c>
      <c r="P3363">
        <v>0.99646619999999997</v>
      </c>
      <c r="Q3363">
        <v>1.8112E-2</v>
      </c>
      <c r="R3363">
        <v>8.2018560000000004E-2</v>
      </c>
      <c r="S3363">
        <v>3.0455320000000001</v>
      </c>
      <c r="T3363">
        <v>-0.1220382</v>
      </c>
      <c r="U3363">
        <v>-0.36727909999999903</v>
      </c>
      <c r="V3363">
        <v>-1.6510569999999999E-2</v>
      </c>
      <c r="W3363">
        <v>3.2129310000000001E-2</v>
      </c>
      <c r="X3363">
        <v>0.99934730000000005</v>
      </c>
      <c r="Y3363">
        <v>0.1843426</v>
      </c>
      <c r="Z3363">
        <v>-6.2955800000000003E-3</v>
      </c>
      <c r="AA3363">
        <v>0.98284189999999905</v>
      </c>
      <c r="AB3363">
        <v>27</v>
      </c>
      <c r="AC3363">
        <v>27.286999999999999</v>
      </c>
      <c r="AD3363">
        <v>-1.10421408576499</v>
      </c>
      <c r="AE3363">
        <v>-3.3404999999999898</v>
      </c>
      <c r="AF3363">
        <v>5.1134823730945396</v>
      </c>
      <c r="AG3363">
        <v>-1.10421408576499</v>
      </c>
      <c r="AH3363">
        <v>26.965884346811301</v>
      </c>
      <c r="AI3363">
        <v>92.303858880538996</v>
      </c>
      <c r="AJ3363">
        <v>79.262614625679007</v>
      </c>
      <c r="AK3363">
        <v>27.468635010366899</v>
      </c>
    </row>
    <row r="3364" spans="1:37" x14ac:dyDescent="0.2">
      <c r="A3364" t="str">
        <f>"20200111155914364"</f>
        <v>20200111155914364</v>
      </c>
      <c r="B3364" t="str">
        <f>"1578729554355554"</f>
        <v>1578729554355554</v>
      </c>
      <c r="C3364" t="s">
        <v>37</v>
      </c>
      <c r="D3364">
        <v>8.0164720000000003</v>
      </c>
      <c r="E3364">
        <v>0.59107109999999996</v>
      </c>
      <c r="F3364" t="s">
        <v>50</v>
      </c>
      <c r="G3364">
        <v>-221.0522</v>
      </c>
      <c r="H3364" s="1">
        <v>-9.4934400000000001E-7</v>
      </c>
      <c r="I3364">
        <v>213.98660000000001</v>
      </c>
      <c r="J3364">
        <v>-237.7466</v>
      </c>
      <c r="K3364">
        <v>1.1042080000000001</v>
      </c>
      <c r="L3364">
        <v>216.47059999999999</v>
      </c>
      <c r="M3364">
        <v>0.99777649999999996</v>
      </c>
      <c r="N3364">
        <v>0</v>
      </c>
      <c r="O3364">
        <v>6.5160120000000002E-2</v>
      </c>
      <c r="P3364">
        <v>0.99689669999999897</v>
      </c>
      <c r="Q3364">
        <v>1.8066700000000002E-2</v>
      </c>
      <c r="R3364">
        <v>7.6621739999999994E-2</v>
      </c>
      <c r="S3364">
        <v>3.0507810000000002</v>
      </c>
      <c r="T3364">
        <v>-0.19864009999999999</v>
      </c>
      <c r="U3364">
        <v>-0.44380190000000003</v>
      </c>
      <c r="V3364">
        <v>-1.1472090000000001E-2</v>
      </c>
      <c r="W3364">
        <v>3.2078790000000003E-2</v>
      </c>
      <c r="X3364">
        <v>0.99941950000000002</v>
      </c>
      <c r="Y3364">
        <v>0.20757129999999999</v>
      </c>
      <c r="Z3364">
        <v>-1.093443E-2</v>
      </c>
      <c r="AA3364">
        <v>0.97815879999999999</v>
      </c>
      <c r="AB3364">
        <v>27</v>
      </c>
      <c r="AC3364">
        <v>16.694400000000002</v>
      </c>
      <c r="AD3364">
        <v>-1.1042089493439999</v>
      </c>
      <c r="AE3364">
        <v>-2.48399999999998</v>
      </c>
      <c r="AF3364">
        <v>3.5514354719109602</v>
      </c>
      <c r="AG3364">
        <v>-1.1042089493439999</v>
      </c>
      <c r="AH3364">
        <v>16.426733258638802</v>
      </c>
      <c r="AI3364">
        <v>93.759059094711603</v>
      </c>
      <c r="AJ3364">
        <v>77.800499735022697</v>
      </c>
      <c r="AK3364">
        <v>16.842492002831101</v>
      </c>
    </row>
    <row r="3365" spans="1:37" x14ac:dyDescent="0.2">
      <c r="A3365" t="str">
        <f>"20200111155914387"</f>
        <v>20200111155914387</v>
      </c>
      <c r="B3365" t="str">
        <f>"1578729554384834"</f>
        <v>1578729554384834</v>
      </c>
      <c r="C3365" t="s">
        <v>37</v>
      </c>
      <c r="D3365">
        <v>7.6258559999999997</v>
      </c>
      <c r="E3365">
        <v>0.59369369999999999</v>
      </c>
      <c r="F3365" t="s">
        <v>50</v>
      </c>
      <c r="G3365">
        <v>-219.2354</v>
      </c>
      <c r="H3365" s="1">
        <v>3.4269189999999899E-6</v>
      </c>
      <c r="I3365">
        <v>213.49350000000001</v>
      </c>
      <c r="J3365">
        <v>-237.47739999999999</v>
      </c>
      <c r="K3365">
        <v>1.1042000000000001</v>
      </c>
      <c r="L3365">
        <v>216.48769999999999</v>
      </c>
      <c r="M3365">
        <v>0.99780230000000003</v>
      </c>
      <c r="N3365">
        <v>0</v>
      </c>
      <c r="O3365">
        <v>6.4765870000000003E-2</v>
      </c>
      <c r="P3365">
        <v>0.99732299999999996</v>
      </c>
      <c r="Q3365">
        <v>1.8883400000000002E-2</v>
      </c>
      <c r="R3365">
        <v>7.0643510000000007E-2</v>
      </c>
      <c r="S3365">
        <v>3.0503390000000001</v>
      </c>
      <c r="T3365">
        <v>-0.18195520000000001</v>
      </c>
      <c r="U3365">
        <v>-0.4905853</v>
      </c>
      <c r="V3365">
        <v>-5.8726769999999998E-3</v>
      </c>
      <c r="W3365">
        <v>3.2889460000000002E-2</v>
      </c>
      <c r="X3365">
        <v>0.99944169999999999</v>
      </c>
      <c r="Y3365">
        <v>0.2219083</v>
      </c>
      <c r="Z3365">
        <v>-1.0409180000000001E-2</v>
      </c>
      <c r="AA3365">
        <v>0.97501199999999999</v>
      </c>
      <c r="AB3365">
        <v>27</v>
      </c>
      <c r="AC3365">
        <v>18.241999999999901</v>
      </c>
      <c r="AD3365">
        <v>-1.1041965730809999</v>
      </c>
      <c r="AE3365">
        <v>-2.99419999999997</v>
      </c>
      <c r="AF3365">
        <v>4.1546641047885897</v>
      </c>
      <c r="AG3365">
        <v>-1.1041965730809999</v>
      </c>
      <c r="AH3365">
        <v>17.9457251746196</v>
      </c>
      <c r="AI3365">
        <v>93.430450340657501</v>
      </c>
      <c r="AJ3365">
        <v>76.964943493221</v>
      </c>
      <c r="AK3365">
        <v>18.453442387224101</v>
      </c>
    </row>
    <row r="3366" spans="1:37" x14ac:dyDescent="0.2">
      <c r="A3366" t="str">
        <f>"20200111155914409"</f>
        <v>20200111155914409</v>
      </c>
      <c r="B3366" t="str">
        <f>"1578729554405330"</f>
        <v>1578729554405330</v>
      </c>
      <c r="C3366" t="s">
        <v>37</v>
      </c>
      <c r="D3366">
        <v>5.6874219999999998</v>
      </c>
      <c r="E3366">
        <v>0.59463730000000004</v>
      </c>
      <c r="F3366" t="s">
        <v>50</v>
      </c>
      <c r="G3366">
        <v>-215.26560000000001</v>
      </c>
      <c r="H3366" s="1">
        <v>1.352357E-6</v>
      </c>
      <c r="I3366">
        <v>212.62520000000001</v>
      </c>
      <c r="J3366">
        <v>-237.21090000000001</v>
      </c>
      <c r="K3366">
        <v>1.1041939999999999</v>
      </c>
      <c r="L3366">
        <v>216.50450000000001</v>
      </c>
      <c r="M3366">
        <v>0.99782879999999996</v>
      </c>
      <c r="N3366">
        <v>0</v>
      </c>
      <c r="O3366">
        <v>6.4355309999999999E-2</v>
      </c>
      <c r="P3366">
        <v>0.99775609999999904</v>
      </c>
      <c r="Q3366">
        <v>1.9406179999999999E-2</v>
      </c>
      <c r="R3366">
        <v>6.4080129999999999E-2</v>
      </c>
      <c r="S3366">
        <v>3.0484619999999998</v>
      </c>
      <c r="T3366">
        <v>-0.15154629999999999</v>
      </c>
      <c r="U3366">
        <v>-0.53012079999999995</v>
      </c>
      <c r="V3366">
        <v>2.9506239999999999E-4</v>
      </c>
      <c r="W3366">
        <v>3.3405110000000002E-2</v>
      </c>
      <c r="X3366">
        <v>0.99944189999999999</v>
      </c>
      <c r="Y3366">
        <v>0.2340228</v>
      </c>
      <c r="Z3366">
        <v>-8.9467009999999996E-3</v>
      </c>
      <c r="AA3366">
        <v>0.97219</v>
      </c>
      <c r="AB3366">
        <v>27</v>
      </c>
      <c r="AC3366">
        <v>21.9453</v>
      </c>
      <c r="AD3366">
        <v>-1.104192647643</v>
      </c>
      <c r="AE3366">
        <v>-3.8793000000000002</v>
      </c>
      <c r="AF3366">
        <v>5.2707524280551104</v>
      </c>
      <c r="AG3366">
        <v>-1.104192647643</v>
      </c>
      <c r="AH3366">
        <v>21.597101584722601</v>
      </c>
      <c r="AI3366">
        <v>92.843495132960996</v>
      </c>
      <c r="AJ3366">
        <v>76.285109969211405</v>
      </c>
      <c r="AK3366">
        <v>22.258366279261899</v>
      </c>
    </row>
    <row r="3367" spans="1:37" x14ac:dyDescent="0.2">
      <c r="A3367" t="str">
        <f>"20200111155914431"</f>
        <v>20200111155914431</v>
      </c>
      <c r="B3367" t="str">
        <f>"1578729554424850"</f>
        <v>1578729554424850</v>
      </c>
      <c r="C3367" t="s">
        <v>37</v>
      </c>
      <c r="D3367">
        <v>5.6785160000000001</v>
      </c>
      <c r="E3367">
        <v>0.59542390000000001</v>
      </c>
      <c r="F3367" t="s">
        <v>50</v>
      </c>
      <c r="G3367">
        <v>-212.74950000000001</v>
      </c>
      <c r="H3367" s="1">
        <v>3.9719550000000003E-8</v>
      </c>
      <c r="I3367">
        <v>212.02289999999999</v>
      </c>
      <c r="J3367">
        <v>-236.94059999999999</v>
      </c>
      <c r="K3367">
        <v>1.1041780000000001</v>
      </c>
      <c r="L3367">
        <v>216.5214</v>
      </c>
      <c r="M3367">
        <v>0.99785709999999905</v>
      </c>
      <c r="N3367">
        <v>0</v>
      </c>
      <c r="O3367">
        <v>6.391732E-2</v>
      </c>
      <c r="P3367">
        <v>0.9981913</v>
      </c>
      <c r="Q3367">
        <v>1.9684239999999999E-2</v>
      </c>
      <c r="R3367">
        <v>5.6807910000000003E-2</v>
      </c>
      <c r="S3367">
        <v>3.0452729999999999</v>
      </c>
      <c r="T3367">
        <v>-0.13746449999999999</v>
      </c>
      <c r="U3367">
        <v>-0.55793760000000003</v>
      </c>
      <c r="V3367">
        <v>7.142664E-3</v>
      </c>
      <c r="W3367">
        <v>3.3674849999999999E-2</v>
      </c>
      <c r="X3367">
        <v>0.9994073</v>
      </c>
      <c r="Y3367">
        <v>0.24242039999999901</v>
      </c>
      <c r="Z3367">
        <v>-8.2865990000000004E-3</v>
      </c>
      <c r="AA3367">
        <v>0.97013590000000005</v>
      </c>
      <c r="AB3367">
        <v>27</v>
      </c>
      <c r="AC3367">
        <v>24.191099999999899</v>
      </c>
      <c r="AD3367">
        <v>-1.10417796028045</v>
      </c>
      <c r="AE3367">
        <v>-4.4984999999999999</v>
      </c>
      <c r="AF3367">
        <v>6.0235514669917603</v>
      </c>
      <c r="AG3367">
        <v>-1.10417796028045</v>
      </c>
      <c r="AH3367">
        <v>23.8061247796131</v>
      </c>
      <c r="AI3367">
        <v>92.574573541428293</v>
      </c>
      <c r="AJ3367">
        <v>75.800733284882796</v>
      </c>
      <c r="AK3367">
        <v>24.581170807469199</v>
      </c>
    </row>
    <row r="3368" spans="1:37" x14ac:dyDescent="0.2">
      <c r="A3368" t="str">
        <f>"20200111155914454"</f>
        <v>20200111155914454</v>
      </c>
      <c r="B3368" t="str">
        <f>"1578729554445346"</f>
        <v>1578729554445346</v>
      </c>
      <c r="C3368" t="s">
        <v>37</v>
      </c>
      <c r="D3368">
        <v>5.6772729999999996</v>
      </c>
      <c r="E3368">
        <v>0.59521930000000001</v>
      </c>
      <c r="F3368" t="s">
        <v>49</v>
      </c>
      <c r="G3368">
        <v>-209.67429999999999</v>
      </c>
      <c r="H3368" s="1">
        <v>6.8001579999999998E-6</v>
      </c>
      <c r="I3368">
        <v>211.2645</v>
      </c>
      <c r="J3368">
        <v>-236.67859999999999</v>
      </c>
      <c r="K3368">
        <v>1.1041589999999999</v>
      </c>
      <c r="L3368">
        <v>216.5377</v>
      </c>
      <c r="M3368">
        <v>0.99788619999999995</v>
      </c>
      <c r="N3368">
        <v>0</v>
      </c>
      <c r="O3368">
        <v>6.346185E-2</v>
      </c>
      <c r="P3368">
        <v>0.99855629999999995</v>
      </c>
      <c r="Q3368">
        <v>1.958553E-2</v>
      </c>
      <c r="R3368">
        <v>5.0016749999999999E-2</v>
      </c>
      <c r="S3368">
        <v>3.041245</v>
      </c>
      <c r="T3368">
        <v>-0.12315760000000001</v>
      </c>
      <c r="U3368">
        <v>-0.58634949999999997</v>
      </c>
      <c r="V3368">
        <v>1.3489040000000001E-2</v>
      </c>
      <c r="W3368">
        <v>3.356667E-2</v>
      </c>
      <c r="X3368">
        <v>0.99934539999999905</v>
      </c>
      <c r="Y3368">
        <v>0.25100220000000001</v>
      </c>
      <c r="Z3368">
        <v>-7.5821959999999898E-3</v>
      </c>
      <c r="AA3368">
        <v>0.96795679999999995</v>
      </c>
      <c r="AB3368">
        <v>27</v>
      </c>
      <c r="AC3368">
        <v>27.004300000000001</v>
      </c>
      <c r="AD3368">
        <v>-1.1041521998420001</v>
      </c>
      <c r="AE3368">
        <v>-5.2732000000000001</v>
      </c>
      <c r="AF3368">
        <v>6.9652621046469099</v>
      </c>
      <c r="AG3368">
        <v>-1.1041521998420001</v>
      </c>
      <c r="AH3368">
        <v>26.572383291852098</v>
      </c>
      <c r="AI3368">
        <v>92.301747092984201</v>
      </c>
      <c r="AJ3368">
        <v>75.311846945567595</v>
      </c>
      <c r="AK3368">
        <v>27.492282227489699</v>
      </c>
    </row>
    <row r="3369" spans="1:37" x14ac:dyDescent="0.2">
      <c r="A3369" t="str">
        <f>"20200111155914475"</f>
        <v>20200111155914475</v>
      </c>
      <c r="B3369" t="str">
        <f>"1578729554464867"</f>
        <v>1578729554464867</v>
      </c>
      <c r="C3369" t="s">
        <v>37</v>
      </c>
      <c r="D3369">
        <v>5.7127359999999996</v>
      </c>
      <c r="E3369">
        <v>0.59520830000000002</v>
      </c>
      <c r="F3369" t="s">
        <v>49</v>
      </c>
      <c r="G3369">
        <v>-209.3552</v>
      </c>
      <c r="H3369" s="1">
        <v>6.673926E-6</v>
      </c>
      <c r="I3369">
        <v>211.0898</v>
      </c>
      <c r="J3369">
        <v>-236.41980000000001</v>
      </c>
      <c r="K3369">
        <v>1.104133</v>
      </c>
      <c r="L3369">
        <v>216.55359999999999</v>
      </c>
      <c r="M3369">
        <v>0.99791739999999995</v>
      </c>
      <c r="N3369">
        <v>0</v>
      </c>
      <c r="O3369">
        <v>6.2969129999999998E-2</v>
      </c>
      <c r="P3369">
        <v>0.99886609999999998</v>
      </c>
      <c r="Q3369">
        <v>1.9895690000000001E-2</v>
      </c>
      <c r="R3369">
        <v>4.3255479999999999E-2</v>
      </c>
      <c r="S3369">
        <v>3.0370789999999999</v>
      </c>
      <c r="T3369">
        <v>-0.12272999999999901</v>
      </c>
      <c r="U3369">
        <v>-0.605545</v>
      </c>
      <c r="V3369">
        <v>1.976497E-2</v>
      </c>
      <c r="W3369">
        <v>3.3866430000000003E-2</v>
      </c>
      <c r="X3369">
        <v>0.99923090000000003</v>
      </c>
      <c r="Y3369">
        <v>0.25665519999999997</v>
      </c>
      <c r="Z3369">
        <v>-7.6549540000000003E-3</v>
      </c>
      <c r="AA3369">
        <v>0.96647269999999896</v>
      </c>
      <c r="AB3369">
        <v>27</v>
      </c>
      <c r="AC3369">
        <v>27.064599999999999</v>
      </c>
      <c r="AD3369">
        <v>-1.104126326074</v>
      </c>
      <c r="AE3369">
        <v>-5.4637999999999902</v>
      </c>
      <c r="AF3369">
        <v>7.1459286549779302</v>
      </c>
      <c r="AG3369">
        <v>-1.104126326074</v>
      </c>
      <c r="AH3369">
        <v>26.6242189260687</v>
      </c>
      <c r="AI3369">
        <v>92.293650741165493</v>
      </c>
      <c r="AJ3369">
        <v>74.975927082095893</v>
      </c>
      <c r="AK3369">
        <v>27.588628539838599</v>
      </c>
    </row>
    <row r="3370" spans="1:37" x14ac:dyDescent="0.2">
      <c r="A3370" t="str">
        <f>"20200111155914498"</f>
        <v>20200111155914498</v>
      </c>
      <c r="B3370" t="str">
        <f>"1578729554495122"</f>
        <v>1578729554495122</v>
      </c>
      <c r="C3370" t="s">
        <v>37</v>
      </c>
      <c r="D3370">
        <v>5.6619510000000002</v>
      </c>
      <c r="E3370">
        <v>0.59349160000000001</v>
      </c>
      <c r="F3370" t="s">
        <v>49</v>
      </c>
      <c r="G3370">
        <v>-208.11019999999999</v>
      </c>
      <c r="H3370" s="1">
        <v>6.1551620000000002E-6</v>
      </c>
      <c r="I3370">
        <v>210.70840000000001</v>
      </c>
      <c r="J3370">
        <v>-236.15430000000001</v>
      </c>
      <c r="K3370">
        <v>1.1040969999999899</v>
      </c>
      <c r="L3370">
        <v>216.56970000000001</v>
      </c>
      <c r="M3370">
        <v>0.99795259999999997</v>
      </c>
      <c r="N3370">
        <v>0</v>
      </c>
      <c r="O3370">
        <v>6.2408400000000003E-2</v>
      </c>
      <c r="P3370">
        <v>0.99913609999999897</v>
      </c>
      <c r="Q3370">
        <v>1.926686E-2</v>
      </c>
      <c r="R3370">
        <v>3.682121E-2</v>
      </c>
      <c r="S3370">
        <v>3.032883</v>
      </c>
      <c r="T3370">
        <v>-0.118288</v>
      </c>
      <c r="U3370">
        <v>-0.62620540000000002</v>
      </c>
      <c r="V3370">
        <v>2.564431E-2</v>
      </c>
      <c r="W3370">
        <v>3.3225930000000001E-2</v>
      </c>
      <c r="X3370">
        <v>0.99911879999999997</v>
      </c>
      <c r="Y3370">
        <v>0.26270009999999999</v>
      </c>
      <c r="Z3370">
        <v>-7.4782260000000001E-3</v>
      </c>
      <c r="AA3370">
        <v>0.96484859999999995</v>
      </c>
      <c r="AB3370">
        <v>27</v>
      </c>
      <c r="AC3370">
        <v>28.0441</v>
      </c>
      <c r="AD3370">
        <v>-1.10409084483799</v>
      </c>
      <c r="AE3370">
        <v>-5.8613</v>
      </c>
      <c r="AF3370">
        <v>7.58896064970825</v>
      </c>
      <c r="AG3370">
        <v>-1.10409084483799</v>
      </c>
      <c r="AH3370">
        <v>27.582629424199101</v>
      </c>
      <c r="AI3370">
        <v>92.210196019063503</v>
      </c>
      <c r="AJ3370">
        <v>74.616531048636901</v>
      </c>
      <c r="AK3370">
        <v>28.6288802835384</v>
      </c>
    </row>
    <row r="3371" spans="1:37" x14ac:dyDescent="0.2">
      <c r="A3371" t="str">
        <f>"20200111155914521"</f>
        <v>20200111155914521</v>
      </c>
      <c r="B3371" t="str">
        <f>"1578729554515618"</f>
        <v>1578729554515618</v>
      </c>
      <c r="C3371" t="s">
        <v>37</v>
      </c>
      <c r="D3371">
        <v>5.8118270000000001</v>
      </c>
      <c r="E3371">
        <v>0.59337430000000002</v>
      </c>
      <c r="F3371" t="s">
        <v>50</v>
      </c>
      <c r="G3371">
        <v>-213.3297</v>
      </c>
      <c r="H3371" s="1">
        <v>3.5774719999999999E-7</v>
      </c>
      <c r="I3371">
        <v>211.81099999999901</v>
      </c>
      <c r="J3371">
        <v>-235.8828</v>
      </c>
      <c r="K3371">
        <v>1.1040479999999999</v>
      </c>
      <c r="L3371">
        <v>216.58590000000001</v>
      </c>
      <c r="M3371">
        <v>0.99799249999999995</v>
      </c>
      <c r="N3371">
        <v>0</v>
      </c>
      <c r="O3371">
        <v>6.176773E-2</v>
      </c>
      <c r="P3371">
        <v>0.99938119999999997</v>
      </c>
      <c r="Q3371">
        <v>1.7952470000000002E-2</v>
      </c>
      <c r="R3371">
        <v>3.0246579999999999E-2</v>
      </c>
      <c r="S3371">
        <v>3.0286710000000001</v>
      </c>
      <c r="T3371">
        <v>-0.14650639999999901</v>
      </c>
      <c r="U3371">
        <v>-0.63143919999999998</v>
      </c>
      <c r="V3371">
        <v>3.1582399999999997E-2</v>
      </c>
      <c r="W3371">
        <v>3.1897689999999999E-2</v>
      </c>
      <c r="X3371">
        <v>0.99899199999999999</v>
      </c>
      <c r="Y3371">
        <v>0.2638163</v>
      </c>
      <c r="Z3371">
        <v>-9.2674079999999995E-3</v>
      </c>
      <c r="AA3371">
        <v>0.96452839999999995</v>
      </c>
      <c r="AB3371">
        <v>27</v>
      </c>
      <c r="AC3371">
        <v>22.553100000000001</v>
      </c>
      <c r="AD3371">
        <v>-1.1040476422527901</v>
      </c>
      <c r="AE3371">
        <v>-4.7749000000000299</v>
      </c>
      <c r="AF3371">
        <v>6.1448769608954903</v>
      </c>
      <c r="AG3371">
        <v>-1.1040476422527901</v>
      </c>
      <c r="AH3371">
        <v>22.164227845336701</v>
      </c>
      <c r="AI3371">
        <v>92.748174147888903</v>
      </c>
      <c r="AJ3371">
        <v>74.504338698209594</v>
      </c>
      <c r="AK3371">
        <v>23.026754657157099</v>
      </c>
    </row>
    <row r="3372" spans="1:37" x14ac:dyDescent="0.2">
      <c r="A3372" t="str">
        <f>"20200111155914542"</f>
        <v>20200111155914542</v>
      </c>
      <c r="B3372" t="str">
        <f>"1578729554535139"</f>
        <v>1578729554535139</v>
      </c>
      <c r="C3372" t="s">
        <v>37</v>
      </c>
      <c r="D3372">
        <v>5.7370489999999998</v>
      </c>
      <c r="E3372">
        <v>0.59242159999999999</v>
      </c>
      <c r="F3372" t="s">
        <v>50</v>
      </c>
      <c r="G3372">
        <v>-212.12209999999999</v>
      </c>
      <c r="H3372" s="1">
        <v>-2.7023190000000002E-7</v>
      </c>
      <c r="I3372">
        <v>211.47569999999999</v>
      </c>
      <c r="J3372">
        <v>-235.61949999999999</v>
      </c>
      <c r="K3372">
        <v>1.103993</v>
      </c>
      <c r="L3372">
        <v>216.60140000000001</v>
      </c>
      <c r="M3372">
        <v>0.99803539999999902</v>
      </c>
      <c r="N3372">
        <v>0</v>
      </c>
      <c r="O3372">
        <v>6.1073679999999998E-2</v>
      </c>
      <c r="P3372">
        <v>0.99954639999999995</v>
      </c>
      <c r="Q3372">
        <v>1.767065E-2</v>
      </c>
      <c r="R3372">
        <v>2.439767E-2</v>
      </c>
      <c r="S3372">
        <v>3.0240480000000001</v>
      </c>
      <c r="T3372">
        <v>-0.14051329999999901</v>
      </c>
      <c r="U3372">
        <v>-0.65037539999999905</v>
      </c>
      <c r="V3372">
        <v>3.6739059999999997E-2</v>
      </c>
      <c r="W3372">
        <v>3.1601240000000003E-2</v>
      </c>
      <c r="X3372">
        <v>0.99882510000000002</v>
      </c>
      <c r="Y3372">
        <v>0.26924009999999998</v>
      </c>
      <c r="Z3372">
        <v>-8.9890270000000001E-3</v>
      </c>
      <c r="AA3372">
        <v>0.96303119999999998</v>
      </c>
      <c r="AB3372">
        <v>27</v>
      </c>
      <c r="AC3372">
        <v>23.497399999999999</v>
      </c>
      <c r="AD3372">
        <v>-1.1039932702319</v>
      </c>
      <c r="AE3372">
        <v>-5.1257000000000197</v>
      </c>
      <c r="AF3372">
        <v>6.5375667501697299</v>
      </c>
      <c r="AG3372">
        <v>-1.1039932702319</v>
      </c>
      <c r="AH3372">
        <v>23.091793111610901</v>
      </c>
      <c r="AI3372">
        <v>92.633800123112707</v>
      </c>
      <c r="AJ3372">
        <v>74.192538878169401</v>
      </c>
      <c r="AK3372">
        <v>24.024768245772499</v>
      </c>
    </row>
    <row r="3373" spans="1:37" x14ac:dyDescent="0.2">
      <c r="A3373" t="str">
        <f>"20200111155914565"</f>
        <v>20200111155914565</v>
      </c>
      <c r="B3373" t="str">
        <f>"1578729554555634"</f>
        <v>1578729554555634</v>
      </c>
      <c r="C3373" t="s">
        <v>37</v>
      </c>
      <c r="D3373">
        <v>5.6998530000000001</v>
      </c>
      <c r="E3373">
        <v>0.59164349999999999</v>
      </c>
      <c r="F3373" t="s">
        <v>50</v>
      </c>
      <c r="G3373">
        <v>-212.30850000000001</v>
      </c>
      <c r="H3373" s="1">
        <v>-1.72335399999999E-7</v>
      </c>
      <c r="I3373">
        <v>211.50479999999999</v>
      </c>
      <c r="J3373">
        <v>-235.36150000000001</v>
      </c>
      <c r="K3373">
        <v>1.103939</v>
      </c>
      <c r="L3373">
        <v>216.6164</v>
      </c>
      <c r="M3373">
        <v>0.9980812</v>
      </c>
      <c r="N3373">
        <v>0</v>
      </c>
      <c r="O3373">
        <v>6.0321E-2</v>
      </c>
      <c r="P3373">
        <v>0.99966129999999997</v>
      </c>
      <c r="Q3373">
        <v>1.7106730000000001E-2</v>
      </c>
      <c r="R3373">
        <v>1.962728E-2</v>
      </c>
      <c r="S3373">
        <v>3.0199889999999998</v>
      </c>
      <c r="T3373">
        <v>-0.14302429999999999</v>
      </c>
      <c r="U3373">
        <v>-0.66027829999999998</v>
      </c>
      <c r="V3373">
        <v>4.0757469999999997E-2</v>
      </c>
      <c r="W3373">
        <v>3.1023120000000001E-2</v>
      </c>
      <c r="X3373">
        <v>0.99868729999999994</v>
      </c>
      <c r="Y3373">
        <v>0.27177990000000002</v>
      </c>
      <c r="Z3373">
        <v>-9.1825610000000005E-3</v>
      </c>
      <c r="AA3373">
        <v>0.96231559999999905</v>
      </c>
      <c r="AB3373">
        <v>27</v>
      </c>
      <c r="AC3373">
        <v>23.053000000000001</v>
      </c>
      <c r="AD3373">
        <v>-1.10393917233539</v>
      </c>
      <c r="AE3373">
        <v>-5.1116000000000099</v>
      </c>
      <c r="AF3373">
        <v>6.4788450907877797</v>
      </c>
      <c r="AG3373">
        <v>-1.10393917233539</v>
      </c>
      <c r="AH3373">
        <v>22.653132990097902</v>
      </c>
      <c r="AI3373">
        <v>92.682557697909402</v>
      </c>
      <c r="AJ3373">
        <v>74.039355814219505</v>
      </c>
      <c r="AK3373">
        <v>23.587253966362901</v>
      </c>
    </row>
    <row r="3374" spans="1:37" x14ac:dyDescent="0.2">
      <c r="A3374" t="str">
        <f>"20200111155914588"</f>
        <v>20200111155914588</v>
      </c>
      <c r="B3374" t="str">
        <f>"1578729554584914"</f>
        <v>1578729554584914</v>
      </c>
      <c r="C3374" t="s">
        <v>37</v>
      </c>
      <c r="D3374">
        <v>5.6798169999999999</v>
      </c>
      <c r="E3374">
        <v>0.59002399999999999</v>
      </c>
      <c r="F3374" t="s">
        <v>50</v>
      </c>
      <c r="G3374">
        <v>-211.95310000000001</v>
      </c>
      <c r="H3374" s="1">
        <v>-3.581116E-7</v>
      </c>
      <c r="I3374">
        <v>211.42869999999999</v>
      </c>
      <c r="J3374">
        <v>-235.09289999999999</v>
      </c>
      <c r="K3374">
        <v>1.10388</v>
      </c>
      <c r="L3374">
        <v>216.63159999999999</v>
      </c>
      <c r="M3374">
        <v>0.9981331</v>
      </c>
      <c r="N3374">
        <v>0</v>
      </c>
      <c r="O3374">
        <v>5.9455550000000003E-2</v>
      </c>
      <c r="P3374">
        <v>0.99975780000000003</v>
      </c>
      <c r="Q3374">
        <v>1.6143359999999999E-2</v>
      </c>
      <c r="R3374">
        <v>1.496748E-2</v>
      </c>
      <c r="S3374">
        <v>3.0165709999999999</v>
      </c>
      <c r="T3374">
        <v>-0.14226129999999901</v>
      </c>
      <c r="U3374">
        <v>-0.6685181</v>
      </c>
      <c r="V3374">
        <v>4.4551109999999998E-2</v>
      </c>
      <c r="W3374">
        <v>3.0044629999999999E-2</v>
      </c>
      <c r="X3374">
        <v>0.99855519999999998</v>
      </c>
      <c r="Y3374">
        <v>0.27368170000000003</v>
      </c>
      <c r="Z3374">
        <v>-9.1450309999999996E-3</v>
      </c>
      <c r="AA3374">
        <v>0.96177690000000005</v>
      </c>
      <c r="AB3374">
        <v>27</v>
      </c>
      <c r="AC3374">
        <v>23.139799999999902</v>
      </c>
      <c r="AD3374">
        <v>-1.1038803581115999</v>
      </c>
      <c r="AE3374">
        <v>-5.2028999999999996</v>
      </c>
      <c r="AF3374">
        <v>6.5554173908887901</v>
      </c>
      <c r="AG3374">
        <v>-1.1038803581115999</v>
      </c>
      <c r="AH3374">
        <v>22.740224444599999</v>
      </c>
      <c r="AI3374">
        <v>92.670549084256706</v>
      </c>
      <c r="AJ3374">
        <v>73.919099398496201</v>
      </c>
      <c r="AK3374">
        <v>23.6919787439668</v>
      </c>
    </row>
    <row r="3375" spans="1:37" x14ac:dyDescent="0.2">
      <c r="A3375" t="str">
        <f>"20200111155914611"</f>
        <v>20200111155914611</v>
      </c>
      <c r="B3375" t="str">
        <f>"1578729554605410"</f>
        <v>1578729554605410</v>
      </c>
      <c r="C3375" t="s">
        <v>37</v>
      </c>
      <c r="D3375">
        <v>5.6934089999999999</v>
      </c>
      <c r="E3375">
        <v>0.58889060000000004</v>
      </c>
      <c r="F3375" t="s">
        <v>50</v>
      </c>
      <c r="G3375">
        <v>-213.62739999999999</v>
      </c>
      <c r="H3375" s="1">
        <v>5.1378980000000001E-7</v>
      </c>
      <c r="I3375">
        <v>211.86510000000001</v>
      </c>
      <c r="J3375">
        <v>-234.82310000000001</v>
      </c>
      <c r="K3375">
        <v>1.1038319999999999</v>
      </c>
      <c r="L3375">
        <v>216.64660000000001</v>
      </c>
      <c r="M3375">
        <v>0.99818839999999998</v>
      </c>
      <c r="N3375">
        <v>0</v>
      </c>
      <c r="O3375">
        <v>5.851833E-2</v>
      </c>
      <c r="P3375">
        <v>0.99982169999999904</v>
      </c>
      <c r="Q3375">
        <v>1.5538720000000001E-2</v>
      </c>
      <c r="R3375">
        <v>1.0744160000000001E-2</v>
      </c>
      <c r="S3375">
        <v>3.013245</v>
      </c>
      <c r="T3375">
        <v>-0.1549584</v>
      </c>
      <c r="U3375">
        <v>-0.66909790000000002</v>
      </c>
      <c r="V3375">
        <v>4.7835549999999998E-2</v>
      </c>
      <c r="W3375">
        <v>2.9425489999999999E-2</v>
      </c>
      <c r="X3375">
        <v>0.99842169999999897</v>
      </c>
      <c r="Y3375">
        <v>0.27311439999999998</v>
      </c>
      <c r="Z3375">
        <v>-9.9086850000000004E-3</v>
      </c>
      <c r="AA3375">
        <v>0.96193050000000002</v>
      </c>
      <c r="AB3375">
        <v>26</v>
      </c>
      <c r="AC3375">
        <v>21.195699999999999</v>
      </c>
      <c r="AD3375">
        <v>-1.1038314862101899</v>
      </c>
      <c r="AE3375">
        <v>-4.7814999999999896</v>
      </c>
      <c r="AF3375">
        <v>5.9982824351220296</v>
      </c>
      <c r="AG3375">
        <v>-1.1038314862101899</v>
      </c>
      <c r="AH3375">
        <v>20.825790788276102</v>
      </c>
      <c r="AI3375">
        <v>92.915702911702695</v>
      </c>
      <c r="AJ3375">
        <v>73.932444347214897</v>
      </c>
      <c r="AK3375">
        <v>21.700493037682101</v>
      </c>
    </row>
    <row r="3376" spans="1:37" x14ac:dyDescent="0.2">
      <c r="A3376" t="str">
        <f>"20200111155914632"</f>
        <v>20200111155914632</v>
      </c>
      <c r="B3376" t="str">
        <f>"1578729554624930"</f>
        <v>1578729554624930</v>
      </c>
      <c r="C3376" t="s">
        <v>37</v>
      </c>
      <c r="D3376">
        <v>5.6790609999999999</v>
      </c>
      <c r="E3376">
        <v>0.58783890000000005</v>
      </c>
      <c r="F3376" t="s">
        <v>50</v>
      </c>
      <c r="G3376">
        <v>-215.1515</v>
      </c>
      <c r="H3376" s="1">
        <v>1.3078119999999999E-6</v>
      </c>
      <c r="I3376">
        <v>212.25470000000001</v>
      </c>
      <c r="J3376">
        <v>-234.55930000000001</v>
      </c>
      <c r="K3376">
        <v>1.103791</v>
      </c>
      <c r="L3376">
        <v>216.6609</v>
      </c>
      <c r="M3376">
        <v>0.99824460000000004</v>
      </c>
      <c r="N3376">
        <v>0</v>
      </c>
      <c r="O3376">
        <v>5.7552840000000001E-2</v>
      </c>
      <c r="P3376">
        <v>0.99985429999999997</v>
      </c>
      <c r="Q3376">
        <v>1.547714E-2</v>
      </c>
      <c r="R3376">
        <v>7.2072530000000003E-3</v>
      </c>
      <c r="S3376">
        <v>3.0103909999999998</v>
      </c>
      <c r="T3376">
        <v>-0.16892170000000001</v>
      </c>
      <c r="U3376">
        <v>-0.67210389999999998</v>
      </c>
      <c r="V3376">
        <v>5.0404829999999998E-2</v>
      </c>
      <c r="W3376">
        <v>2.9351140000000001E-2</v>
      </c>
      <c r="X3376">
        <v>0.99829749999999995</v>
      </c>
      <c r="Y3376">
        <v>0.27321380000000001</v>
      </c>
      <c r="Z3376">
        <v>-1.075828E-2</v>
      </c>
      <c r="AA3376">
        <v>0.961893199999999</v>
      </c>
      <c r="AB3376">
        <v>26</v>
      </c>
      <c r="AC3376">
        <v>19.407800000000002</v>
      </c>
      <c r="AD3376">
        <v>-1.1037896921879999</v>
      </c>
      <c r="AE3376">
        <v>-4.4061999999999797</v>
      </c>
      <c r="AF3376">
        <v>5.4990629060440401</v>
      </c>
      <c r="AG3376">
        <v>-1.1037896921879999</v>
      </c>
      <c r="AH3376">
        <v>19.0633706422831</v>
      </c>
      <c r="AI3376">
        <v>93.184237131190301</v>
      </c>
      <c r="AJ3376">
        <v>73.909145687358702</v>
      </c>
      <c r="AK3376">
        <v>19.871339783071299</v>
      </c>
    </row>
    <row r="3377" spans="1:37" x14ac:dyDescent="0.2">
      <c r="A3377" t="str">
        <f>"20200111155914655"</f>
        <v>20200111155914655</v>
      </c>
      <c r="B3377" t="str">
        <f>"1578729554645426"</f>
        <v>1578729554645426</v>
      </c>
      <c r="C3377" t="s">
        <v>37</v>
      </c>
      <c r="D3377">
        <v>5.6453819999999997</v>
      </c>
      <c r="E3377">
        <v>0.58680500000000002</v>
      </c>
      <c r="F3377" t="s">
        <v>50</v>
      </c>
      <c r="G3377">
        <v>-216.053</v>
      </c>
      <c r="H3377" s="1">
        <v>1.776131E-6</v>
      </c>
      <c r="I3377">
        <v>212.5163</v>
      </c>
      <c r="J3377">
        <v>-234.29990000000001</v>
      </c>
      <c r="K3377">
        <v>1.1037619999999999</v>
      </c>
      <c r="L3377">
        <v>216.6748</v>
      </c>
      <c r="M3377">
        <v>0.99830099999999999</v>
      </c>
      <c r="N3377">
        <v>0</v>
      </c>
      <c r="O3377">
        <v>5.6566449999999997E-2</v>
      </c>
      <c r="P3377">
        <v>0.99987380000000003</v>
      </c>
      <c r="Q3377">
        <v>1.541764E-2</v>
      </c>
      <c r="R3377">
        <v>3.8816340000000001E-3</v>
      </c>
      <c r="S3377">
        <v>3.008057</v>
      </c>
      <c r="T3377">
        <v>-0.17941270000000001</v>
      </c>
      <c r="U3377">
        <v>-0.67367549999999998</v>
      </c>
      <c r="V3377">
        <v>5.2741209999999997E-2</v>
      </c>
      <c r="W3377">
        <v>2.9281069999999999E-2</v>
      </c>
      <c r="X3377">
        <v>0.99817880000000003</v>
      </c>
      <c r="Y3377">
        <v>0.27283869999999999</v>
      </c>
      <c r="Z3377">
        <v>-1.136412E-2</v>
      </c>
      <c r="AA3377">
        <v>0.96199269999999903</v>
      </c>
      <c r="AB3377">
        <v>26</v>
      </c>
      <c r="AC3377">
        <v>18.2469</v>
      </c>
      <c r="AD3377">
        <v>-1.1037602238690001</v>
      </c>
      <c r="AE3377">
        <v>-4.1585000000000001</v>
      </c>
      <c r="AF3377">
        <v>5.1661335215969499</v>
      </c>
      <c r="AG3377">
        <v>-1.1037602238690001</v>
      </c>
      <c r="AH3377">
        <v>17.9200900506892</v>
      </c>
      <c r="AI3377">
        <v>93.386996134715005</v>
      </c>
      <c r="AJ3377">
        <v>73.918402846517907</v>
      </c>
      <c r="AK3377">
        <v>18.682527923693101</v>
      </c>
    </row>
    <row r="3378" spans="1:37" x14ac:dyDescent="0.2">
      <c r="A3378" t="str">
        <f>"20200111155914676"</f>
        <v>20200111155914676</v>
      </c>
      <c r="B3378" t="str">
        <f>"1578729554664947"</f>
        <v>1578729554664947</v>
      </c>
      <c r="C3378" t="s">
        <v>37</v>
      </c>
      <c r="D3378">
        <v>5.636317</v>
      </c>
      <c r="E3378">
        <v>0.58573140000000001</v>
      </c>
      <c r="F3378" t="s">
        <v>50</v>
      </c>
      <c r="G3378">
        <v>-216.7577</v>
      </c>
      <c r="H3378" s="1">
        <v>2.1414240000000002E-6</v>
      </c>
      <c r="I3378">
        <v>212.73820000000001</v>
      </c>
      <c r="J3378">
        <v>-234.0428</v>
      </c>
      <c r="K3378">
        <v>1.1037379999999899</v>
      </c>
      <c r="L3378">
        <v>216.68819999999999</v>
      </c>
      <c r="M3378">
        <v>0.99835739999999995</v>
      </c>
      <c r="N3378">
        <v>0</v>
      </c>
      <c r="O3378">
        <v>5.5564479999999999E-2</v>
      </c>
      <c r="P3378">
        <v>0.999886099999999</v>
      </c>
      <c r="Q3378">
        <v>1.5080049999999999E-2</v>
      </c>
      <c r="R3378">
        <v>8.8999490000000005E-4</v>
      </c>
      <c r="S3378">
        <v>3.0059200000000001</v>
      </c>
      <c r="T3378">
        <v>-0.18913339999999901</v>
      </c>
      <c r="U3378">
        <v>-0.67454530000000001</v>
      </c>
      <c r="V3378">
        <v>5.4727390000000001E-2</v>
      </c>
      <c r="W3378">
        <v>2.8934080000000001E-2</v>
      </c>
      <c r="X3378">
        <v>0.99808200000000002</v>
      </c>
      <c r="Y3378">
        <v>0.27222420000000003</v>
      </c>
      <c r="Z3378">
        <v>-1.1905199999999999E-2</v>
      </c>
      <c r="AA3378">
        <v>0.96216019999999902</v>
      </c>
      <c r="AB3378">
        <v>26</v>
      </c>
      <c r="AC3378">
        <v>17.2851</v>
      </c>
      <c r="AD3378">
        <v>-1.103735858576</v>
      </c>
      <c r="AE3378">
        <v>-3.9499999999999802</v>
      </c>
      <c r="AF3378">
        <v>4.8854961220969502</v>
      </c>
      <c r="AG3378">
        <v>-1.103735858576</v>
      </c>
      <c r="AH3378">
        <v>16.973117961769201</v>
      </c>
      <c r="AI3378">
        <v>93.575835810660607</v>
      </c>
      <c r="AJ3378">
        <v>73.942208887328107</v>
      </c>
      <c r="AK3378">
        <v>17.696695695769399</v>
      </c>
    </row>
    <row r="3379" spans="1:37" x14ac:dyDescent="0.2">
      <c r="A3379" t="str">
        <f>"20200111155914701"</f>
        <v>20200111155914701</v>
      </c>
      <c r="B3379" t="str">
        <f>"1578729554695203"</f>
        <v>1578729554695203</v>
      </c>
      <c r="C3379" t="s">
        <v>37</v>
      </c>
      <c r="D3379">
        <v>6.5649550000000003</v>
      </c>
      <c r="E3379">
        <v>0.56813910000000001</v>
      </c>
      <c r="F3379" t="s">
        <v>50</v>
      </c>
      <c r="G3379">
        <v>-217.38489999999999</v>
      </c>
      <c r="H3379" s="1">
        <v>2.4659680000000002E-6</v>
      </c>
      <c r="I3379">
        <v>212.94839999999999</v>
      </c>
      <c r="J3379">
        <v>-233.76419999999999</v>
      </c>
      <c r="K3379">
        <v>1.103728</v>
      </c>
      <c r="L3379">
        <v>216.70240000000001</v>
      </c>
      <c r="M3379">
        <v>0.99841789999999997</v>
      </c>
      <c r="N3379">
        <v>0</v>
      </c>
      <c r="O3379">
        <v>5.446554E-2</v>
      </c>
      <c r="P3379">
        <v>0.99987440000000005</v>
      </c>
      <c r="Q3379">
        <v>1.5619050000000001E-2</v>
      </c>
      <c r="R3379">
        <v>-2.6897409999999998E-3</v>
      </c>
      <c r="S3379">
        <v>3.0039220000000002</v>
      </c>
      <c r="T3379">
        <v>-0.1990362</v>
      </c>
      <c r="U3379">
        <v>-0.67439269999999996</v>
      </c>
      <c r="V3379">
        <v>5.7204049999999999E-2</v>
      </c>
      <c r="W3379">
        <v>2.9462189999999999E-2</v>
      </c>
      <c r="X3379">
        <v>0.99792769999999997</v>
      </c>
      <c r="Y3379">
        <v>0.2711925</v>
      </c>
      <c r="Z3379">
        <v>-1.242974E-2</v>
      </c>
      <c r="AA3379">
        <v>0.96244490000000005</v>
      </c>
      <c r="AB3379">
        <v>26</v>
      </c>
      <c r="AC3379">
        <v>16.379300000000001</v>
      </c>
      <c r="AD3379">
        <v>-1.103725534032</v>
      </c>
      <c r="AE3379">
        <v>-3.7540000000000102</v>
      </c>
      <c r="AF3379">
        <v>4.6206867278722203</v>
      </c>
      <c r="AG3379">
        <v>-1.103725534032</v>
      </c>
      <c r="AH3379">
        <v>16.081122319086099</v>
      </c>
      <c r="AI3379">
        <v>93.774089686110003</v>
      </c>
      <c r="AJ3379">
        <v>73.968731702753303</v>
      </c>
      <c r="AK3379">
        <v>16.768167787001001</v>
      </c>
    </row>
    <row r="3380" spans="1:37" x14ac:dyDescent="0.2">
      <c r="A3380" t="str">
        <f>"20200111155914744"</f>
        <v>20200111155914744</v>
      </c>
      <c r="B3380" t="str">
        <f>"1578729554735727"</f>
        <v>1578729554735727</v>
      </c>
      <c r="C3380" t="s">
        <v>37</v>
      </c>
      <c r="D3380">
        <v>5.5200440000000004</v>
      </c>
      <c r="E3380">
        <v>0.57040939999999996</v>
      </c>
      <c r="F3380" t="s">
        <v>50</v>
      </c>
      <c r="G3380">
        <v>-222.04519999999999</v>
      </c>
      <c r="H3380" s="1">
        <v>-4.4725640000000001E-7</v>
      </c>
      <c r="I3380">
        <v>214.5889</v>
      </c>
      <c r="J3380">
        <v>-233.25640000000001</v>
      </c>
      <c r="K3380">
        <v>1.1037299999999901</v>
      </c>
      <c r="L3380">
        <v>216.7276</v>
      </c>
      <c r="M3380">
        <v>0.99852540000000001</v>
      </c>
      <c r="N3380">
        <v>0</v>
      </c>
      <c r="O3380">
        <v>5.2458249999999998E-2</v>
      </c>
      <c r="P3380">
        <v>0.99983319999999998</v>
      </c>
      <c r="Q3380">
        <v>1.497711E-2</v>
      </c>
      <c r="R3380">
        <v>-1.0452319999999999E-2</v>
      </c>
      <c r="S3380">
        <v>3.003342</v>
      </c>
      <c r="T3380">
        <v>-0.28286250000000002</v>
      </c>
      <c r="U3380">
        <v>-0.54164119999999905</v>
      </c>
      <c r="V3380">
        <v>6.2945719999999997E-2</v>
      </c>
      <c r="W3380">
        <v>2.8799669999999999E-2</v>
      </c>
      <c r="X3380">
        <v>0.99760130000000002</v>
      </c>
      <c r="Y3380">
        <v>0.2276656</v>
      </c>
      <c r="Z3380">
        <v>-1.5507440000000001E-2</v>
      </c>
      <c r="AA3380">
        <v>0.97361589999999998</v>
      </c>
      <c r="AB3380">
        <v>26</v>
      </c>
      <c r="AC3380">
        <v>11.2112</v>
      </c>
      <c r="AD3380">
        <v>-1.10373044725639</v>
      </c>
      <c r="AE3380">
        <v>-2.1387</v>
      </c>
      <c r="AF3380">
        <v>2.69869419660077</v>
      </c>
      <c r="AG3380">
        <v>-1.10373044725639</v>
      </c>
      <c r="AH3380">
        <v>10.980865522650999</v>
      </c>
      <c r="AI3380">
        <v>95.574946466884896</v>
      </c>
      <c r="AJ3380">
        <v>76.192446996664401</v>
      </c>
      <c r="AK3380">
        <v>11.361363425817901</v>
      </c>
    </row>
    <row r="3381" spans="1:37" x14ac:dyDescent="0.2">
      <c r="A3381" t="str">
        <f>"20200111155914766"</f>
        <v>20200111155914766</v>
      </c>
      <c r="B3381" t="str">
        <f>"1578729554755247"</f>
        <v>1578729554755247</v>
      </c>
      <c r="C3381" t="s">
        <v>37</v>
      </c>
      <c r="D3381">
        <v>5.5006870000000001</v>
      </c>
      <c r="E3381">
        <v>0.56925899999999996</v>
      </c>
      <c r="F3381" t="s">
        <v>50</v>
      </c>
      <c r="G3381">
        <v>-221.14320000000001</v>
      </c>
      <c r="H3381" s="1">
        <v>-9.1782099999999997E-7</v>
      </c>
      <c r="I3381">
        <v>214.3732</v>
      </c>
      <c r="J3381">
        <v>-232.99350000000001</v>
      </c>
      <c r="K3381">
        <v>1.1037299999999901</v>
      </c>
      <c r="L3381">
        <v>216.74019999999999</v>
      </c>
      <c r="M3381">
        <v>0.99857940000000001</v>
      </c>
      <c r="N3381">
        <v>0</v>
      </c>
      <c r="O3381">
        <v>5.1422130000000003E-2</v>
      </c>
      <c r="P3381">
        <v>0.99977839999999996</v>
      </c>
      <c r="Q3381">
        <v>1.4593460000000001E-2</v>
      </c>
      <c r="R3381">
        <v>-1.5181180000000001E-2</v>
      </c>
      <c r="S3381">
        <v>2.99850499999999</v>
      </c>
      <c r="T3381">
        <v>-0.27321790000000001</v>
      </c>
      <c r="U3381">
        <v>-0.58279419999999904</v>
      </c>
      <c r="V3381">
        <v>6.6628989999999999E-2</v>
      </c>
      <c r="W3381">
        <v>2.8404059999999998E-2</v>
      </c>
      <c r="X3381">
        <v>0.99737350000000002</v>
      </c>
      <c r="Y3381">
        <v>0.23985570000000001</v>
      </c>
      <c r="Z3381">
        <v>-1.5441899999999901E-2</v>
      </c>
      <c r="AA3381">
        <v>0.97068569999999998</v>
      </c>
      <c r="AB3381">
        <v>26</v>
      </c>
      <c r="AC3381">
        <v>11.850300000000001</v>
      </c>
      <c r="AD3381">
        <v>-1.103730917821</v>
      </c>
      <c r="AE3381">
        <v>-2.3669999999999898</v>
      </c>
      <c r="AF3381">
        <v>2.9486964975800198</v>
      </c>
      <c r="AG3381">
        <v>-1.103730917821</v>
      </c>
      <c r="AH3381">
        <v>11.615988821576501</v>
      </c>
      <c r="AI3381">
        <v>95.261940164280801</v>
      </c>
      <c r="AJ3381">
        <v>75.756435571182394</v>
      </c>
      <c r="AK3381">
        <v>12.0351248135108</v>
      </c>
    </row>
    <row r="3382" spans="1:37" x14ac:dyDescent="0.2">
      <c r="A3382" t="str">
        <f>"20200111155914790"</f>
        <v>20200111155914790</v>
      </c>
      <c r="B3382" t="str">
        <f>"1578729554785503"</f>
        <v>1578729554785503</v>
      </c>
      <c r="C3382" t="s">
        <v>37</v>
      </c>
      <c r="D3382">
        <v>5.5110760000000001</v>
      </c>
      <c r="E3382">
        <v>0.56826189999999999</v>
      </c>
      <c r="F3382" t="s">
        <v>50</v>
      </c>
      <c r="G3382">
        <v>-221.24770000000001</v>
      </c>
      <c r="H3382" s="1">
        <v>-8.6503530000000002E-7</v>
      </c>
      <c r="I3382">
        <v>214.43870000000001</v>
      </c>
      <c r="J3382">
        <v>-232.7149</v>
      </c>
      <c r="K3382">
        <v>1.103728</v>
      </c>
      <c r="L3382">
        <v>216.75319999999999</v>
      </c>
      <c r="M3382">
        <v>0.99863550000000001</v>
      </c>
      <c r="N3382">
        <v>0</v>
      </c>
      <c r="O3382">
        <v>5.0322829999999999E-2</v>
      </c>
      <c r="P3382">
        <v>0.99968119999999905</v>
      </c>
      <c r="Q3382">
        <v>1.4597560000000001E-2</v>
      </c>
      <c r="R3382">
        <v>-2.060267E-2</v>
      </c>
      <c r="S3382">
        <v>2.9958800000000001</v>
      </c>
      <c r="T3382">
        <v>-0.28151799999999999</v>
      </c>
      <c r="U3382">
        <v>-0.58702089999999996</v>
      </c>
      <c r="V3382">
        <v>7.0940459999999997E-2</v>
      </c>
      <c r="W3382">
        <v>2.839357E-2</v>
      </c>
      <c r="X3382">
        <v>0.99707630000000003</v>
      </c>
      <c r="Y3382">
        <v>0.24019560000000001</v>
      </c>
      <c r="Z3382">
        <v>-1.58341E-2</v>
      </c>
      <c r="AA3382">
        <v>0.9705954</v>
      </c>
      <c r="AB3382">
        <v>26</v>
      </c>
      <c r="AC3382">
        <v>11.467199999999901</v>
      </c>
      <c r="AD3382">
        <v>-1.1037288650353001</v>
      </c>
      <c r="AE3382">
        <v>-2.3144999999999798</v>
      </c>
      <c r="AF3382">
        <v>2.86319804602191</v>
      </c>
      <c r="AG3382">
        <v>-1.1037288650353001</v>
      </c>
      <c r="AH3382">
        <v>11.2361647659854</v>
      </c>
      <c r="AI3382">
        <v>95.437499059957105</v>
      </c>
      <c r="AJ3382">
        <v>75.704139126287203</v>
      </c>
      <c r="AK3382">
        <v>11.6476400659802</v>
      </c>
    </row>
    <row r="3383" spans="1:37" x14ac:dyDescent="0.2">
      <c r="A3383" t="str">
        <f>"20200111155914811"</f>
        <v>20200111155914811</v>
      </c>
      <c r="B3383" t="str">
        <f>"1578729554805022"</f>
        <v>1578729554805022</v>
      </c>
      <c r="C3383" t="s">
        <v>37</v>
      </c>
      <c r="D3383">
        <v>5.4474119999999999</v>
      </c>
      <c r="E3383">
        <v>0.56791849999999999</v>
      </c>
      <c r="F3383" t="s">
        <v>50</v>
      </c>
      <c r="G3383">
        <v>-221.3364</v>
      </c>
      <c r="H3383" s="1">
        <v>-8.2017000000000002E-7</v>
      </c>
      <c r="I3383">
        <v>214.49160000000001</v>
      </c>
      <c r="J3383">
        <v>-232.46860000000001</v>
      </c>
      <c r="K3383">
        <v>1.1037330000000001</v>
      </c>
      <c r="L3383">
        <v>216.7645</v>
      </c>
      <c r="M3383">
        <v>0.99868409999999996</v>
      </c>
      <c r="N3383">
        <v>0</v>
      </c>
      <c r="O3383">
        <v>4.9349089999999998E-2</v>
      </c>
      <c r="P3383">
        <v>0.99957169999999895</v>
      </c>
      <c r="Q3383">
        <v>1.3964799999999999E-2</v>
      </c>
      <c r="R3383">
        <v>-2.5726280000000001E-2</v>
      </c>
      <c r="S3383">
        <v>2.9929349999999899</v>
      </c>
      <c r="T3383">
        <v>-0.29031839999999998</v>
      </c>
      <c r="U3383">
        <v>-0.59487919999999905</v>
      </c>
      <c r="V3383">
        <v>7.5078549999999994E-2</v>
      </c>
      <c r="W3383">
        <v>2.7746759999999999E-2</v>
      </c>
      <c r="X3383">
        <v>0.99679150000000005</v>
      </c>
      <c r="Y3383">
        <v>0.24179919999999999</v>
      </c>
      <c r="Z3383">
        <v>-1.6321929999999998E-2</v>
      </c>
      <c r="AA3383">
        <v>0.97018899999999997</v>
      </c>
      <c r="AB3383">
        <v>26</v>
      </c>
      <c r="AC3383">
        <v>11.132199999999999</v>
      </c>
      <c r="AD3383">
        <v>-1.10373382017</v>
      </c>
      <c r="AE3383">
        <v>-2.2728999999999902</v>
      </c>
      <c r="AF3383">
        <v>2.7931885254202302</v>
      </c>
      <c r="AG3383">
        <v>-1.10373382017</v>
      </c>
      <c r="AH3383">
        <v>10.9035614564787</v>
      </c>
      <c r="AI3383">
        <v>95.6005452046019</v>
      </c>
      <c r="AJ3383">
        <v>75.631408284919004</v>
      </c>
      <c r="AK3383">
        <v>11.3096323069998</v>
      </c>
    </row>
    <row r="3384" spans="1:37" x14ac:dyDescent="0.2">
      <c r="A3384" t="str">
        <f>"20200111155914833"</f>
        <v>20200111155914833</v>
      </c>
      <c r="B3384" t="str">
        <f>"1578729554825518"</f>
        <v>1578729554825518</v>
      </c>
      <c r="C3384" t="s">
        <v>37</v>
      </c>
      <c r="D3384">
        <v>5.5164650000000002</v>
      </c>
      <c r="E3384">
        <v>0.567223699999999</v>
      </c>
      <c r="F3384" t="s">
        <v>50</v>
      </c>
      <c r="G3384">
        <v>-221.22559999999999</v>
      </c>
      <c r="H3384" s="1">
        <v>-8.7852939999999996E-7</v>
      </c>
      <c r="I3384">
        <v>214.47839999999999</v>
      </c>
      <c r="J3384">
        <v>-232.21350000000001</v>
      </c>
      <c r="K3384">
        <v>1.1037379999999899</v>
      </c>
      <c r="L3384">
        <v>216.7758</v>
      </c>
      <c r="M3384">
        <v>0.99873369999999995</v>
      </c>
      <c r="N3384">
        <v>0</v>
      </c>
      <c r="O3384">
        <v>4.8333870000000001E-2</v>
      </c>
      <c r="P3384">
        <v>0.9994478</v>
      </c>
      <c r="Q3384">
        <v>1.311581E-2</v>
      </c>
      <c r="R3384">
        <v>-3.0531989999999998E-2</v>
      </c>
      <c r="S3384">
        <v>2.9897309999999999</v>
      </c>
      <c r="T3384">
        <v>-0.2935064</v>
      </c>
      <c r="U3384">
        <v>-0.60791019999999996</v>
      </c>
      <c r="V3384">
        <v>7.8857629999999998E-2</v>
      </c>
      <c r="W3384">
        <v>2.6883999999999901E-2</v>
      </c>
      <c r="X3384">
        <v>0.9965233</v>
      </c>
      <c r="Y3384">
        <v>0.24503409999999901</v>
      </c>
      <c r="Z3384">
        <v>-1.6568980000000001E-2</v>
      </c>
      <c r="AA3384">
        <v>0.96937289999999998</v>
      </c>
      <c r="AB3384">
        <v>26</v>
      </c>
      <c r="AC3384">
        <v>10.9879</v>
      </c>
      <c r="AD3384">
        <v>-1.10373887852939</v>
      </c>
      <c r="AE3384">
        <v>-2.2974000000000099</v>
      </c>
      <c r="AF3384">
        <v>2.7987960581544802</v>
      </c>
      <c r="AG3384">
        <v>-1.10373887852939</v>
      </c>
      <c r="AH3384">
        <v>10.7599784989709</v>
      </c>
      <c r="AI3384">
        <v>95.669448348126295</v>
      </c>
      <c r="AJ3384">
        <v>75.419790470857905</v>
      </c>
      <c r="AK3384">
        <v>11.1726736363967</v>
      </c>
    </row>
    <row r="3385" spans="1:37" x14ac:dyDescent="0.2">
      <c r="A3385" t="str">
        <f>"20200111155914855"</f>
        <v>20200111155914855</v>
      </c>
      <c r="B3385" t="str">
        <f>"1578729554845038"</f>
        <v>1578729554845038</v>
      </c>
      <c r="C3385" t="s">
        <v>37</v>
      </c>
      <c r="D3385">
        <v>5.4794580000000002</v>
      </c>
      <c r="E3385">
        <v>0.56681550000000003</v>
      </c>
      <c r="F3385" t="s">
        <v>50</v>
      </c>
      <c r="G3385">
        <v>-221.04159999999999</v>
      </c>
      <c r="H3385" s="1">
        <v>-9.7582709999999903E-7</v>
      </c>
      <c r="I3385">
        <v>214.46369999999999</v>
      </c>
      <c r="J3385">
        <v>-231.95349999999999</v>
      </c>
      <c r="K3385">
        <v>1.1037440000000001</v>
      </c>
      <c r="L3385">
        <v>216.78720000000001</v>
      </c>
      <c r="M3385">
        <v>0.99878429999999996</v>
      </c>
      <c r="N3385">
        <v>0</v>
      </c>
      <c r="O3385">
        <v>4.7281169999999997E-2</v>
      </c>
      <c r="P3385">
        <v>0.99928439999999996</v>
      </c>
      <c r="Q3385">
        <v>1.3140890000000001E-2</v>
      </c>
      <c r="R3385">
        <v>-3.5473829999999998E-2</v>
      </c>
      <c r="S3385">
        <v>2.9866329999999999</v>
      </c>
      <c r="T3385">
        <v>-0.29506739999999998</v>
      </c>
      <c r="U3385">
        <v>-0.61811830000000001</v>
      </c>
      <c r="V3385">
        <v>8.2736030000000002E-2</v>
      </c>
      <c r="W3385">
        <v>2.6893540000000001E-2</v>
      </c>
      <c r="X3385">
        <v>0.99620849999999905</v>
      </c>
      <c r="Y3385">
        <v>0.24736540000000001</v>
      </c>
      <c r="Z3385">
        <v>-1.667886E-2</v>
      </c>
      <c r="AA3385">
        <v>0.96877869999999999</v>
      </c>
      <c r="AB3385">
        <v>26</v>
      </c>
      <c r="AC3385">
        <v>10.911899999999999</v>
      </c>
      <c r="AD3385">
        <v>-1.1037449758271001</v>
      </c>
      <c r="AE3385">
        <v>-2.3235000000000201</v>
      </c>
      <c r="AF3385">
        <v>2.8093812189426002</v>
      </c>
      <c r="AG3385">
        <v>-1.1037449758271001</v>
      </c>
      <c r="AH3385">
        <v>10.6852419463341</v>
      </c>
      <c r="AI3385">
        <v>95.704973517605495</v>
      </c>
      <c r="AJ3385">
        <v>75.269098177716003</v>
      </c>
      <c r="AK3385">
        <v>11.103390079462599</v>
      </c>
    </row>
    <row r="3386" spans="1:37" x14ac:dyDescent="0.2">
      <c r="A3386" t="str">
        <f>"20200111155914879"</f>
        <v>20200111155914879</v>
      </c>
      <c r="B3386" t="str">
        <f>"1578729554875294"</f>
        <v>1578729554875294</v>
      </c>
      <c r="C3386" t="s">
        <v>37</v>
      </c>
      <c r="D3386">
        <v>5.4887959999999998</v>
      </c>
      <c r="E3386">
        <v>0.56612469999999904</v>
      </c>
      <c r="F3386" t="s">
        <v>50</v>
      </c>
      <c r="G3386">
        <v>-220.74350000000001</v>
      </c>
      <c r="H3386" s="1">
        <v>-1.13234E-6</v>
      </c>
      <c r="I3386">
        <v>214.41480000000001</v>
      </c>
      <c r="J3386">
        <v>-231.6885</v>
      </c>
      <c r="K3386">
        <v>1.103737</v>
      </c>
      <c r="L3386">
        <v>216.79839999999999</v>
      </c>
      <c r="M3386">
        <v>0.99883630000000001</v>
      </c>
      <c r="N3386">
        <v>0</v>
      </c>
      <c r="O3386">
        <v>4.6167130000000001E-2</v>
      </c>
      <c r="P3386">
        <v>0.99905710000000003</v>
      </c>
      <c r="Q3386">
        <v>1.4509879999999999E-2</v>
      </c>
      <c r="R3386">
        <v>-4.0915970000000003E-2</v>
      </c>
      <c r="S3386">
        <v>2.9835970000000001</v>
      </c>
      <c r="T3386">
        <v>-0.29376770000000002</v>
      </c>
      <c r="U3386">
        <v>-0.63142399999999999</v>
      </c>
      <c r="V3386">
        <v>8.7054649999999997E-2</v>
      </c>
      <c r="W3386">
        <v>2.8242469999999999E-2</v>
      </c>
      <c r="X3386">
        <v>0.99580309999999905</v>
      </c>
      <c r="Y3386">
        <v>0.25061929999999999</v>
      </c>
      <c r="Z3386">
        <v>-1.666451E-2</v>
      </c>
      <c r="AA3386">
        <v>0.96794230000000003</v>
      </c>
      <c r="AB3386">
        <v>26</v>
      </c>
      <c r="AC3386">
        <v>10.944999999999901</v>
      </c>
      <c r="AD3386">
        <v>-1.10373813234</v>
      </c>
      <c r="AE3386">
        <v>-2.3835999999999702</v>
      </c>
      <c r="AF3386">
        <v>2.8586515966055299</v>
      </c>
      <c r="AG3386">
        <v>-1.10373813234</v>
      </c>
      <c r="AH3386">
        <v>10.719199559930599</v>
      </c>
      <c r="AI3386">
        <v>95.681725086101494</v>
      </c>
      <c r="AJ3386">
        <v>75.067592849654304</v>
      </c>
      <c r="AK3386">
        <v>11.1486037700321</v>
      </c>
    </row>
    <row r="3387" spans="1:37" x14ac:dyDescent="0.2">
      <c r="A3387" t="str">
        <f>"20200111155914900"</f>
        <v>20200111155914900</v>
      </c>
      <c r="B3387" t="str">
        <f>"1578729554894814"</f>
        <v>1578729554894814</v>
      </c>
      <c r="C3387" t="s">
        <v>37</v>
      </c>
      <c r="D3387">
        <v>5.4872050000000003</v>
      </c>
      <c r="E3387">
        <v>0.56559469999999901</v>
      </c>
      <c r="F3387" t="s">
        <v>50</v>
      </c>
      <c r="G3387">
        <v>-220.3518</v>
      </c>
      <c r="H3387" s="1">
        <v>-1.338009E-6</v>
      </c>
      <c r="I3387">
        <v>214.35130000000001</v>
      </c>
      <c r="J3387">
        <v>-231.43</v>
      </c>
      <c r="K3387">
        <v>1.103683</v>
      </c>
      <c r="L3387">
        <v>216.809</v>
      </c>
      <c r="M3387">
        <v>0.99888920000000003</v>
      </c>
      <c r="N3387">
        <v>0</v>
      </c>
      <c r="O3387">
        <v>4.5009779999999999E-2</v>
      </c>
      <c r="P3387">
        <v>0.998816699999999</v>
      </c>
      <c r="Q3387">
        <v>1.5850159999999999E-2</v>
      </c>
      <c r="R3387">
        <v>-4.5980189999999997E-2</v>
      </c>
      <c r="S3387">
        <v>2.9806819999999998</v>
      </c>
      <c r="T3387">
        <v>-0.29019829999999902</v>
      </c>
      <c r="U3387">
        <v>-0.64340209999999998</v>
      </c>
      <c r="V3387">
        <v>9.0953950000000006E-2</v>
      </c>
      <c r="W3387">
        <v>2.955847E-2</v>
      </c>
      <c r="X3387">
        <v>0.99541630000000003</v>
      </c>
      <c r="Y3387">
        <v>0.25343280000000001</v>
      </c>
      <c r="Z3387">
        <v>-1.6495699999999999E-2</v>
      </c>
      <c r="AA3387">
        <v>0.96721229999999903</v>
      </c>
      <c r="AB3387">
        <v>26</v>
      </c>
      <c r="AC3387">
        <v>11.078200000000001</v>
      </c>
      <c r="AD3387">
        <v>-1.103684338009</v>
      </c>
      <c r="AE3387">
        <v>-2.4577000000000102</v>
      </c>
      <c r="AF3387">
        <v>2.9262030466562199</v>
      </c>
      <c r="AG3387">
        <v>-1.103684338009</v>
      </c>
      <c r="AH3387">
        <v>10.853664859665299</v>
      </c>
      <c r="AI3387">
        <v>95.6074437015764</v>
      </c>
      <c r="AJ3387">
        <v>74.911517445435507</v>
      </c>
      <c r="AK3387">
        <v>11.2952567157263</v>
      </c>
    </row>
    <row r="3388" spans="1:37" x14ac:dyDescent="0.2">
      <c r="A3388" t="str">
        <f>"20200111155914923"</f>
        <v>20200111155914923</v>
      </c>
      <c r="B3388" t="str">
        <f>"1578729554915310"</f>
        <v>1578729554915310</v>
      </c>
      <c r="C3388" t="s">
        <v>37</v>
      </c>
      <c r="D3388">
        <v>5.4975589999999999</v>
      </c>
      <c r="E3388">
        <v>0.56509500000000001</v>
      </c>
      <c r="F3388" t="s">
        <v>50</v>
      </c>
      <c r="G3388">
        <v>-219.9836</v>
      </c>
      <c r="H3388" s="1">
        <v>-1.5313859999999899E-6</v>
      </c>
      <c r="I3388">
        <v>214.2929</v>
      </c>
      <c r="J3388">
        <v>-231.17580000000001</v>
      </c>
      <c r="K3388">
        <v>1.1036010000000001</v>
      </c>
      <c r="L3388">
        <v>216.81909999999999</v>
      </c>
      <c r="M3388">
        <v>0.99894400000000005</v>
      </c>
      <c r="N3388">
        <v>0</v>
      </c>
      <c r="O3388">
        <v>4.3777900000000002E-2</v>
      </c>
      <c r="P3388">
        <v>0.99858329999999995</v>
      </c>
      <c r="Q3388">
        <v>1.4304559999999999E-2</v>
      </c>
      <c r="R3388">
        <v>-5.1255309999999998E-2</v>
      </c>
      <c r="S3388">
        <v>2.9779969999999998</v>
      </c>
      <c r="T3388">
        <v>-0.2871435</v>
      </c>
      <c r="U3388">
        <v>-0.65461729999999996</v>
      </c>
      <c r="V3388">
        <v>9.4986890000000004E-2</v>
      </c>
      <c r="W3388">
        <v>2.7984129999999999E-2</v>
      </c>
      <c r="X3388">
        <v>0.99508509999999994</v>
      </c>
      <c r="Y3388">
        <v>0.25591839999999999</v>
      </c>
      <c r="Z3388">
        <v>-1.633165E-2</v>
      </c>
      <c r="AA3388">
        <v>0.96656039999999999</v>
      </c>
      <c r="AB3388">
        <v>26</v>
      </c>
      <c r="AC3388">
        <v>11.1922</v>
      </c>
      <c r="AD3388">
        <v>-1.1036025313860001</v>
      </c>
      <c r="AE3388">
        <v>-2.5261999999999798</v>
      </c>
      <c r="AF3388">
        <v>2.9861695850777701</v>
      </c>
      <c r="AG3388">
        <v>-1.1036025313860001</v>
      </c>
      <c r="AH3388">
        <v>10.969381597379501</v>
      </c>
      <c r="AI3388">
        <v>95.544604331382502</v>
      </c>
      <c r="AJ3388">
        <v>74.771526158792</v>
      </c>
      <c r="AK3388">
        <v>11.422017333512199</v>
      </c>
    </row>
    <row r="3389" spans="1:37" x14ac:dyDescent="0.2">
      <c r="A3389" t="str">
        <f>"20200111155914944"</f>
        <v>20200111155914944</v>
      </c>
      <c r="B3389" t="str">
        <f>"1578729554934831"</f>
        <v>1578729554934831</v>
      </c>
      <c r="C3389" t="s">
        <v>37</v>
      </c>
      <c r="D3389">
        <v>5.552854</v>
      </c>
      <c r="E3389">
        <v>0.56443980000000005</v>
      </c>
      <c r="F3389" t="s">
        <v>50</v>
      </c>
      <c r="G3389">
        <v>-220.00970000000001</v>
      </c>
      <c r="H3389" s="1">
        <v>-1.5186839999999999E-6</v>
      </c>
      <c r="I3389">
        <v>214.32040000000001</v>
      </c>
      <c r="J3389">
        <v>-230.92089999999999</v>
      </c>
      <c r="K3389">
        <v>1.1034979999999901</v>
      </c>
      <c r="L3389">
        <v>216.8288</v>
      </c>
      <c r="M3389">
        <v>0.99900159999999905</v>
      </c>
      <c r="N3389">
        <v>0</v>
      </c>
      <c r="O3389">
        <v>4.2441350000000003E-2</v>
      </c>
      <c r="P3389">
        <v>0.99838359999999904</v>
      </c>
      <c r="Q3389">
        <v>1.104318E-2</v>
      </c>
      <c r="R3389">
        <v>-5.5752620000000003E-2</v>
      </c>
      <c r="S3389">
        <v>2.9743189999999999</v>
      </c>
      <c r="T3389">
        <v>-0.29396689999999998</v>
      </c>
      <c r="U3389">
        <v>-0.66557310000000003</v>
      </c>
      <c r="V3389">
        <v>9.8137680000000005E-2</v>
      </c>
      <c r="W3389">
        <v>2.469319E-2</v>
      </c>
      <c r="X3389">
        <v>0.99486640000000004</v>
      </c>
      <c r="Y3389">
        <v>0.2581985</v>
      </c>
      <c r="Z3389">
        <v>-1.6712210000000002E-2</v>
      </c>
      <c r="AA3389">
        <v>0.96594729999999995</v>
      </c>
      <c r="AB3389">
        <v>26</v>
      </c>
      <c r="AC3389">
        <v>10.9111999999999</v>
      </c>
      <c r="AD3389">
        <v>-1.10349951868399</v>
      </c>
      <c r="AE3389">
        <v>-2.5083999999999902</v>
      </c>
      <c r="AF3389">
        <v>2.9407022491861898</v>
      </c>
      <c r="AG3389">
        <v>-1.10349951868399</v>
      </c>
      <c r="AH3389">
        <v>10.691035454375299</v>
      </c>
      <c r="AI3389">
        <v>95.683422413404898</v>
      </c>
      <c r="AJ3389">
        <v>74.620423030171494</v>
      </c>
      <c r="AK3389">
        <v>11.1428757505777</v>
      </c>
    </row>
    <row r="3390" spans="1:37" x14ac:dyDescent="0.2">
      <c r="A3390" t="str">
        <f>"20200111155914968"</f>
        <v>20200111155914968</v>
      </c>
      <c r="B3390" t="str">
        <f>"1578729554965087"</f>
        <v>1578729554965087</v>
      </c>
      <c r="C3390" t="s">
        <v>37</v>
      </c>
      <c r="D3390">
        <v>5.5470309999999996</v>
      </c>
      <c r="E3390">
        <v>0.56360290000000002</v>
      </c>
      <c r="F3390" t="s">
        <v>50</v>
      </c>
      <c r="G3390">
        <v>-220.1987</v>
      </c>
      <c r="H3390" s="1">
        <v>-1.4215709999999999E-6</v>
      </c>
      <c r="I3390">
        <v>214.39930000000001</v>
      </c>
      <c r="J3390">
        <v>-230.6585</v>
      </c>
      <c r="K3390">
        <v>1.1033999999999999</v>
      </c>
      <c r="L3390">
        <v>216.8382</v>
      </c>
      <c r="M3390">
        <v>0.99906340000000005</v>
      </c>
      <c r="N3390">
        <v>0</v>
      </c>
      <c r="O3390">
        <v>4.096412E-2</v>
      </c>
      <c r="P3390">
        <v>0.99822719999999898</v>
      </c>
      <c r="Q3390">
        <v>5.9611730000000002E-3</v>
      </c>
      <c r="R3390">
        <v>-5.9222259999999999E-2</v>
      </c>
      <c r="S3390">
        <v>2.9706570000000001</v>
      </c>
      <c r="T3390">
        <v>-0.30573210000000001</v>
      </c>
      <c r="U3390">
        <v>-0.67311100000000001</v>
      </c>
      <c r="V3390">
        <v>0.1001179</v>
      </c>
      <c r="W3390">
        <v>1.958561E-2</v>
      </c>
      <c r="X3390">
        <v>0.99478279999999997</v>
      </c>
      <c r="Y3390">
        <v>0.25924249999999999</v>
      </c>
      <c r="Z3390">
        <v>-1.7296760000000001E-2</v>
      </c>
      <c r="AA3390">
        <v>0.9656574</v>
      </c>
      <c r="AB3390">
        <v>26</v>
      </c>
      <c r="AC3390">
        <v>10.4598</v>
      </c>
      <c r="AD3390">
        <v>-1.103401421571</v>
      </c>
      <c r="AE3390">
        <v>-2.4388999999999799</v>
      </c>
      <c r="AF3390">
        <v>2.8354445131577499</v>
      </c>
      <c r="AG3390">
        <v>-1.103401421571</v>
      </c>
      <c r="AH3390">
        <v>10.242994101352799</v>
      </c>
      <c r="AI3390">
        <v>95.927114406846101</v>
      </c>
      <c r="AJ3390">
        <v>74.526956908425504</v>
      </c>
      <c r="AK3390">
        <v>10.685324910580301</v>
      </c>
    </row>
    <row r="3391" spans="1:37" x14ac:dyDescent="0.2">
      <c r="A3391" t="str">
        <f>"20200111155914990"</f>
        <v>20200111155914990</v>
      </c>
      <c r="B3391" t="str">
        <f>"1578729554985584"</f>
        <v>1578729554985584</v>
      </c>
      <c r="C3391" t="s">
        <v>37</v>
      </c>
      <c r="D3391">
        <v>5.533245</v>
      </c>
      <c r="E3391">
        <v>0.56308719999999901</v>
      </c>
      <c r="F3391" t="s">
        <v>50</v>
      </c>
      <c r="G3391">
        <v>-220.49029999999999</v>
      </c>
      <c r="H3391" s="1">
        <v>-1.2717010000000001E-6</v>
      </c>
      <c r="I3391">
        <v>214.52029999999999</v>
      </c>
      <c r="J3391">
        <v>-230.38910000000001</v>
      </c>
      <c r="K3391">
        <v>1.1033329999999999</v>
      </c>
      <c r="L3391">
        <v>216.84739999999999</v>
      </c>
      <c r="M3391">
        <v>0.9991276</v>
      </c>
      <c r="N3391">
        <v>0</v>
      </c>
      <c r="O3391">
        <v>3.936564E-2</v>
      </c>
      <c r="P3391">
        <v>0.99804570000000004</v>
      </c>
      <c r="Q3391">
        <v>2.237812E-3</v>
      </c>
      <c r="R3391">
        <v>-6.2449949999999997E-2</v>
      </c>
      <c r="S3391">
        <v>2.967117</v>
      </c>
      <c r="T3391">
        <v>-0.32197389999999998</v>
      </c>
      <c r="U3391">
        <v>-0.67636109999999905</v>
      </c>
      <c r="V3391">
        <v>0.1017367</v>
      </c>
      <c r="W3391">
        <v>1.5841600000000001E-2</v>
      </c>
      <c r="X3391">
        <v>0.99468519999999905</v>
      </c>
      <c r="Y3391">
        <v>0.25879570000000002</v>
      </c>
      <c r="Z3391">
        <v>-1.8034599999999901E-2</v>
      </c>
      <c r="AA3391">
        <v>0.965763699999999</v>
      </c>
      <c r="AB3391">
        <v>26</v>
      </c>
      <c r="AC3391">
        <v>9.8988000000000191</v>
      </c>
      <c r="AD3391">
        <v>-1.103334271701</v>
      </c>
      <c r="AE3391">
        <v>-2.3271000000000002</v>
      </c>
      <c r="AF3391">
        <v>2.6834145121245001</v>
      </c>
      <c r="AG3391">
        <v>-1.103334271701</v>
      </c>
      <c r="AH3391">
        <v>9.6854819025619303</v>
      </c>
      <c r="AI3391">
        <v>96.264890457253301</v>
      </c>
      <c r="AJ3391">
        <v>74.514323537239903</v>
      </c>
      <c r="AK3391">
        <v>10.1107180577763</v>
      </c>
    </row>
    <row r="3392" spans="1:37" x14ac:dyDescent="0.2">
      <c r="A3392" t="str">
        <f>"20200111155915012"</f>
        <v>20200111155915012</v>
      </c>
      <c r="B3392" t="str">
        <f>"1578729555005102"</f>
        <v>1578729555005102</v>
      </c>
      <c r="C3392" t="s">
        <v>37</v>
      </c>
      <c r="D3392">
        <v>5.6097859999999997</v>
      </c>
      <c r="E3392">
        <v>0.5628358</v>
      </c>
      <c r="F3392" t="s">
        <v>50</v>
      </c>
      <c r="G3392">
        <v>-220.57550000000001</v>
      </c>
      <c r="H3392" s="1">
        <v>-1.229429E-6</v>
      </c>
      <c r="I3392">
        <v>214.5916</v>
      </c>
      <c r="J3392">
        <v>-230.13720000000001</v>
      </c>
      <c r="K3392">
        <v>1.1033109999999999</v>
      </c>
      <c r="L3392">
        <v>216.85550000000001</v>
      </c>
      <c r="M3392">
        <v>0.99918739999999995</v>
      </c>
      <c r="N3392">
        <v>0</v>
      </c>
      <c r="O3392">
        <v>3.7817820000000002E-2</v>
      </c>
      <c r="P3392">
        <v>0.99784530000000005</v>
      </c>
      <c r="Q3392">
        <v>5.4215269999999998E-4</v>
      </c>
      <c r="R3392">
        <v>-6.5611950000000002E-2</v>
      </c>
      <c r="S3392">
        <v>2.96398899999999</v>
      </c>
      <c r="T3392">
        <v>-0.33323950000000002</v>
      </c>
      <c r="U3392">
        <v>-0.68132019999999904</v>
      </c>
      <c r="V3392">
        <v>0.103343899999999</v>
      </c>
      <c r="W3392">
        <v>1.4130419999999999E-2</v>
      </c>
      <c r="X3392">
        <v>0.99454529999999997</v>
      </c>
      <c r="Y3392">
        <v>0.2589436</v>
      </c>
      <c r="Z3392">
        <v>-1.851421E-2</v>
      </c>
      <c r="AA3392">
        <v>0.96571499999999999</v>
      </c>
      <c r="AB3392">
        <v>26</v>
      </c>
      <c r="AC3392">
        <v>9.5617000000000001</v>
      </c>
      <c r="AD3392">
        <v>-1.1033122294290001</v>
      </c>
      <c r="AE3392">
        <v>-2.2639</v>
      </c>
      <c r="AF3392">
        <v>2.5912481207825402</v>
      </c>
      <c r="AG3392">
        <v>-1.1033122294290001</v>
      </c>
      <c r="AH3392">
        <v>9.3513350818899994</v>
      </c>
      <c r="AI3392">
        <v>96.486674024731798</v>
      </c>
      <c r="AJ3392">
        <v>74.511986181537694</v>
      </c>
      <c r="AK3392">
        <v>9.7662343056499097</v>
      </c>
    </row>
    <row r="3393" spans="1:37" x14ac:dyDescent="0.2">
      <c r="A3393" t="str">
        <f>"20200111155915034"</f>
        <v>20200111155915034</v>
      </c>
      <c r="B3393" t="str">
        <f>"1578729555025599"</f>
        <v>1578729555025599</v>
      </c>
      <c r="C3393" t="s">
        <v>37</v>
      </c>
      <c r="D3393">
        <v>5.6369930000000004</v>
      </c>
      <c r="E3393">
        <v>0.55272460000000001</v>
      </c>
      <c r="F3393" t="s">
        <v>50</v>
      </c>
      <c r="G3393">
        <v>-220.51900000000001</v>
      </c>
      <c r="H3393" s="1">
        <v>-1.2608310000000001E-6</v>
      </c>
      <c r="I3393">
        <v>214.62099999999899</v>
      </c>
      <c r="J3393">
        <v>-229.88990000000001</v>
      </c>
      <c r="K3393">
        <v>1.1033189999999999</v>
      </c>
      <c r="L3393">
        <v>216.8631</v>
      </c>
      <c r="M3393">
        <v>0.99924489999999999</v>
      </c>
      <c r="N3393">
        <v>0</v>
      </c>
      <c r="O3393">
        <v>3.6269309999999999E-2</v>
      </c>
      <c r="P3393">
        <v>0.99763169999999901</v>
      </c>
      <c r="Q3393">
        <v>3.4967829999999998E-3</v>
      </c>
      <c r="R3393">
        <v>-6.8696389999999996E-2</v>
      </c>
      <c r="S3393">
        <v>2.9614259999999999</v>
      </c>
      <c r="T3393">
        <v>-0.33970489999999998</v>
      </c>
      <c r="U3393">
        <v>-0.68800349999999999</v>
      </c>
      <c r="V3393">
        <v>0.1048856</v>
      </c>
      <c r="W3393">
        <v>1.7073580000000001E-2</v>
      </c>
      <c r="X3393">
        <v>0.99433769999999999</v>
      </c>
      <c r="Y3393">
        <v>0.25963269999999999</v>
      </c>
      <c r="Z3393">
        <v>-1.8746209999999999E-2</v>
      </c>
      <c r="AA3393">
        <v>0.96552539999999998</v>
      </c>
      <c r="AB3393">
        <v>26</v>
      </c>
      <c r="AC3393">
        <v>9.3709000000000007</v>
      </c>
      <c r="AD3393">
        <v>-1.103320260831</v>
      </c>
      <c r="AE3393">
        <v>-2.2421000000000202</v>
      </c>
      <c r="AF3393">
        <v>2.54713590910317</v>
      </c>
      <c r="AG3393">
        <v>-1.103320260831</v>
      </c>
      <c r="AH3393">
        <v>9.1632585301835299</v>
      </c>
      <c r="AI3393">
        <v>96.617215341328901</v>
      </c>
      <c r="AJ3393">
        <v>74.465520189726206</v>
      </c>
      <c r="AK3393">
        <v>9.5744725091455702</v>
      </c>
    </row>
    <row r="3394" spans="1:37" x14ac:dyDescent="0.2">
      <c r="A3394" t="str">
        <f>"20200111155915056"</f>
        <v>20200111155915056</v>
      </c>
      <c r="B3394" t="str">
        <f>"1578729555045118"</f>
        <v>1578729555045118</v>
      </c>
      <c r="C3394" t="s">
        <v>37</v>
      </c>
      <c r="D3394">
        <v>5.6061209999999999</v>
      </c>
      <c r="E3394">
        <v>0.55358369999999901</v>
      </c>
      <c r="F3394" t="s">
        <v>50</v>
      </c>
      <c r="G3394">
        <v>-219.84799999999899</v>
      </c>
      <c r="H3394" s="1">
        <v>3.69680299999999E-6</v>
      </c>
      <c r="I3394">
        <v>214.7775</v>
      </c>
      <c r="J3394">
        <v>-229.63159999999999</v>
      </c>
      <c r="K3394">
        <v>1.1033409999999999</v>
      </c>
      <c r="L3394">
        <v>216.8707</v>
      </c>
      <c r="M3394">
        <v>0.99930259999999904</v>
      </c>
      <c r="N3394">
        <v>0</v>
      </c>
      <c r="O3394">
        <v>3.4644260000000003E-2</v>
      </c>
      <c r="P3394">
        <v>0.99739059999999902</v>
      </c>
      <c r="Q3394">
        <v>7.4034549999999998E-3</v>
      </c>
      <c r="R3394">
        <v>-7.1815680000000007E-2</v>
      </c>
      <c r="S3394">
        <v>2.9658509999999998</v>
      </c>
      <c r="T3394">
        <v>-0.32586320000000002</v>
      </c>
      <c r="U3394">
        <v>-0.61598209999999998</v>
      </c>
      <c r="V3394">
        <v>0.10638789999999999</v>
      </c>
      <c r="W3394">
        <v>2.0971500000000001E-2</v>
      </c>
      <c r="X3394">
        <v>0.99410359999999998</v>
      </c>
      <c r="Y3394">
        <v>0.23559160000000001</v>
      </c>
      <c r="Z3394">
        <v>-1.6527E-2</v>
      </c>
      <c r="AA3394">
        <v>0.97171160000000001</v>
      </c>
      <c r="AB3394">
        <v>26</v>
      </c>
      <c r="AC3394">
        <v>9.7835999999999999</v>
      </c>
      <c r="AD3394">
        <v>-1.103337303197</v>
      </c>
      <c r="AE3394">
        <v>-2.0931999999999902</v>
      </c>
      <c r="AF3394">
        <v>2.40171366517498</v>
      </c>
      <c r="AG3394">
        <v>-1.103337303197</v>
      </c>
      <c r="AH3394">
        <v>9.5885913869559598</v>
      </c>
      <c r="AI3394">
        <v>96.368967061648505</v>
      </c>
      <c r="AJ3394">
        <v>75.938081627720905</v>
      </c>
      <c r="AK3394">
        <v>9.94618854235733</v>
      </c>
    </row>
    <row r="3395" spans="1:37" x14ac:dyDescent="0.2">
      <c r="A3395" t="str">
        <f>"20200111155915079"</f>
        <v>20200111155915079</v>
      </c>
      <c r="B3395" t="str">
        <f>"1578729555075374"</f>
        <v>1578729555075374</v>
      </c>
      <c r="C3395" t="s">
        <v>37</v>
      </c>
      <c r="D3395">
        <v>5.6680019999999898</v>
      </c>
      <c r="E3395">
        <v>0.5535928</v>
      </c>
      <c r="F3395" t="s">
        <v>50</v>
      </c>
      <c r="G3395">
        <v>-219.19380000000001</v>
      </c>
      <c r="H3395" s="1">
        <v>3.3544649999999999E-6</v>
      </c>
      <c r="I3395">
        <v>214.64449999999999</v>
      </c>
      <c r="J3395">
        <v>-229.37049999999999</v>
      </c>
      <c r="K3395">
        <v>1.1033500000000001</v>
      </c>
      <c r="L3395">
        <v>216.87790000000001</v>
      </c>
      <c r="M3395">
        <v>0.99935779999999996</v>
      </c>
      <c r="N3395">
        <v>0</v>
      </c>
      <c r="O3395">
        <v>3.3011619999999998E-2</v>
      </c>
      <c r="P3395">
        <v>0.99721439999999995</v>
      </c>
      <c r="Q3395">
        <v>9.1844549999999994E-3</v>
      </c>
      <c r="R3395">
        <v>-7.4020530000000001E-2</v>
      </c>
      <c r="S3395">
        <v>2.964661</v>
      </c>
      <c r="T3395">
        <v>-0.31338290000000002</v>
      </c>
      <c r="U3395">
        <v>-0.63229369999999996</v>
      </c>
      <c r="V3395">
        <v>0.106965899999999</v>
      </c>
      <c r="W3395">
        <v>2.2748239999999999E-2</v>
      </c>
      <c r="X3395">
        <v>0.99400239999999995</v>
      </c>
      <c r="Y3395">
        <v>0.23930679999999999</v>
      </c>
      <c r="Z3395">
        <v>-1.5918149999999999E-2</v>
      </c>
      <c r="AA3395">
        <v>0.9708135</v>
      </c>
      <c r="AB3395">
        <v>26</v>
      </c>
      <c r="AC3395">
        <v>10.176699999999901</v>
      </c>
      <c r="AD3395">
        <v>-1.1033466455350001</v>
      </c>
      <c r="AE3395">
        <v>-2.2334000000000098</v>
      </c>
      <c r="AF3395">
        <v>2.5396831277840302</v>
      </c>
      <c r="AG3395">
        <v>-1.1033466455350001</v>
      </c>
      <c r="AH3395">
        <v>9.98543505752661</v>
      </c>
      <c r="AI3395">
        <v>96.112297789574299</v>
      </c>
      <c r="AJ3395">
        <v>75.730027131556895</v>
      </c>
      <c r="AK3395">
        <v>10.362252530113601</v>
      </c>
    </row>
    <row r="3396" spans="1:37" x14ac:dyDescent="0.2">
      <c r="A3396" t="str">
        <f>"20200111155915101"</f>
        <v>20200111155915101</v>
      </c>
      <c r="B3396" t="str">
        <f>"1578729555094894"</f>
        <v>1578729555094894</v>
      </c>
      <c r="C3396" t="s">
        <v>37</v>
      </c>
      <c r="D3396">
        <v>5.6717680000000001</v>
      </c>
      <c r="E3396">
        <v>0.55319790000000002</v>
      </c>
      <c r="F3396" t="s">
        <v>50</v>
      </c>
      <c r="G3396">
        <v>-218.6474</v>
      </c>
      <c r="H3396" s="1">
        <v>3.0672769999999998E-6</v>
      </c>
      <c r="I3396">
        <v>214.56200000000001</v>
      </c>
      <c r="J3396">
        <v>-229.10759999999999</v>
      </c>
      <c r="K3396">
        <v>1.1033649999999999</v>
      </c>
      <c r="L3396">
        <v>216.88470000000001</v>
      </c>
      <c r="M3396">
        <v>0.99941029999999997</v>
      </c>
      <c r="N3396">
        <v>0</v>
      </c>
      <c r="O3396">
        <v>3.1385240000000002E-2</v>
      </c>
      <c r="P3396">
        <v>0.99718819999999997</v>
      </c>
      <c r="Q3396">
        <v>8.7719019999999998E-3</v>
      </c>
      <c r="R3396">
        <v>-7.4421879999999996E-2</v>
      </c>
      <c r="S3396">
        <v>2.9636990000000001</v>
      </c>
      <c r="T3396">
        <v>-0.30494549999999998</v>
      </c>
      <c r="U3396">
        <v>-0.64007569999999903</v>
      </c>
      <c r="V3396">
        <v>0.1057466</v>
      </c>
      <c r="W3396">
        <v>2.234065E-2</v>
      </c>
      <c r="X3396">
        <v>0.99414210000000003</v>
      </c>
      <c r="Y3396">
        <v>0.24030850000000001</v>
      </c>
      <c r="Z3396">
        <v>-1.5378090000000001E-2</v>
      </c>
      <c r="AA3396">
        <v>0.97057469999999901</v>
      </c>
      <c r="AB3396">
        <v>26</v>
      </c>
      <c r="AC3396">
        <v>10.460199999999899</v>
      </c>
      <c r="AD3396">
        <v>-1.103361932723</v>
      </c>
      <c r="AE3396">
        <v>-2.32269999999999</v>
      </c>
      <c r="AF3396">
        <v>2.6220797685411701</v>
      </c>
      <c r="AG3396">
        <v>-1.103361932723</v>
      </c>
      <c r="AH3396">
        <v>10.2732073023934</v>
      </c>
      <c r="AI3396">
        <v>95.941140271860903</v>
      </c>
      <c r="AJ3396">
        <v>75.681818459780501</v>
      </c>
      <c r="AK3396">
        <v>10.659807603569799</v>
      </c>
    </row>
    <row r="3397" spans="1:37" x14ac:dyDescent="0.2">
      <c r="A3397" t="str">
        <f>"20200111155915124"</f>
        <v>20200111155915124</v>
      </c>
      <c r="B3397" t="str">
        <f>"1578729555115391"</f>
        <v>1578729555115391</v>
      </c>
      <c r="C3397" t="s">
        <v>37</v>
      </c>
      <c r="D3397">
        <v>5.70953</v>
      </c>
      <c r="E3397">
        <v>0.55306650000000002</v>
      </c>
      <c r="F3397" t="s">
        <v>50</v>
      </c>
      <c r="G3397">
        <v>-218.29429999999999</v>
      </c>
      <c r="H3397" s="1">
        <v>2.8798719999999998E-6</v>
      </c>
      <c r="I3397">
        <v>214.55119999999999</v>
      </c>
      <c r="J3397">
        <v>-228.85589999999999</v>
      </c>
      <c r="K3397">
        <v>1.10337</v>
      </c>
      <c r="L3397">
        <v>216.89089999999999</v>
      </c>
      <c r="M3397">
        <v>0.99945740000000005</v>
      </c>
      <c r="N3397">
        <v>0</v>
      </c>
      <c r="O3397">
        <v>2.984467E-2</v>
      </c>
      <c r="P3397">
        <v>0.99732459999999901</v>
      </c>
      <c r="Q3397">
        <v>9.6014310000000005E-3</v>
      </c>
      <c r="R3397">
        <v>-7.2468690000000002E-2</v>
      </c>
      <c r="S3397">
        <v>2.9633790000000002</v>
      </c>
      <c r="T3397">
        <v>-0.30237559999999902</v>
      </c>
      <c r="U3397">
        <v>-0.6395111</v>
      </c>
      <c r="V3397">
        <v>0.1022672</v>
      </c>
      <c r="W3397">
        <v>2.3182999999999999E-2</v>
      </c>
      <c r="X3397">
        <v>0.9944868</v>
      </c>
      <c r="Y3397">
        <v>0.23869580000000001</v>
      </c>
      <c r="Z3397">
        <v>-1.5014680000000001E-2</v>
      </c>
      <c r="AA3397">
        <v>0.97097829999999996</v>
      </c>
      <c r="AB3397">
        <v>26</v>
      </c>
      <c r="AC3397">
        <v>10.5616</v>
      </c>
      <c r="AD3397">
        <v>-1.103367120128</v>
      </c>
      <c r="AE3397">
        <v>-2.3396999999999899</v>
      </c>
      <c r="AF3397">
        <v>2.6265704663483</v>
      </c>
      <c r="AG3397">
        <v>-1.103367120128</v>
      </c>
      <c r="AH3397">
        <v>10.379082605863999</v>
      </c>
      <c r="AI3397">
        <v>95.8840173949079</v>
      </c>
      <c r="AJ3397">
        <v>75.798657265597399</v>
      </c>
      <c r="AK3397">
        <v>10.762975757467</v>
      </c>
    </row>
    <row r="3398" spans="1:37" x14ac:dyDescent="0.2">
      <c r="A3398" t="str">
        <f>"20200111155915145"</f>
        <v>20200111155915145</v>
      </c>
      <c r="B3398" t="str">
        <f>"1578729555134911"</f>
        <v>1578729555134911</v>
      </c>
      <c r="C3398" t="s">
        <v>37</v>
      </c>
      <c r="D3398">
        <v>5.7262199999999996</v>
      </c>
      <c r="E3398">
        <v>0.55314339999999995</v>
      </c>
      <c r="F3398" t="s">
        <v>50</v>
      </c>
      <c r="G3398">
        <v>-217.8826</v>
      </c>
      <c r="H3398" s="1">
        <v>2.66118299999999E-6</v>
      </c>
      <c r="I3398">
        <v>214.5419</v>
      </c>
      <c r="J3398">
        <v>-228.60900000000001</v>
      </c>
      <c r="K3398">
        <v>1.1033679999999999</v>
      </c>
      <c r="L3398">
        <v>216.8965</v>
      </c>
      <c r="M3398">
        <v>0.99950130000000004</v>
      </c>
      <c r="N3398">
        <v>0</v>
      </c>
      <c r="O3398">
        <v>2.8339329999999999E-2</v>
      </c>
      <c r="P3398">
        <v>0.99744739999999998</v>
      </c>
      <c r="Q3398">
        <v>9.1206140000000008E-3</v>
      </c>
      <c r="R3398">
        <v>-7.0820789999999995E-2</v>
      </c>
      <c r="S3398">
        <v>2.9648129999999999</v>
      </c>
      <c r="T3398">
        <v>-0.29811199999999999</v>
      </c>
      <c r="U3398">
        <v>-0.63465879999999997</v>
      </c>
      <c r="V3398">
        <v>9.912398E-2</v>
      </c>
      <c r="W3398">
        <v>2.2713440000000001E-2</v>
      </c>
      <c r="X3398">
        <v>0.99481580000000003</v>
      </c>
      <c r="Y3398">
        <v>0.23567660000000001</v>
      </c>
      <c r="Z3398">
        <v>-1.4500280000000001E-2</v>
      </c>
      <c r="AA3398">
        <v>0.97172340000000001</v>
      </c>
      <c r="AB3398">
        <v>26</v>
      </c>
      <c r="AC3398">
        <v>10.7264</v>
      </c>
      <c r="AD3398">
        <v>-1.1033653388169999</v>
      </c>
      <c r="AE3398">
        <v>-2.3546</v>
      </c>
      <c r="AF3398">
        <v>2.6311024914646501</v>
      </c>
      <c r="AG3398">
        <v>-1.1033653388169999</v>
      </c>
      <c r="AH3398">
        <v>10.548869409646599</v>
      </c>
      <c r="AI3398">
        <v>95.794905593341696</v>
      </c>
      <c r="AJ3398">
        <v>75.9950197414271</v>
      </c>
      <c r="AK3398">
        <v>10.927889147189999</v>
      </c>
    </row>
    <row r="3399" spans="1:37" x14ac:dyDescent="0.2">
      <c r="A3399" t="str">
        <f>"20200111155915169"</f>
        <v>20200111155915169</v>
      </c>
      <c r="B3399" t="str">
        <f>"1578729555165166"</f>
        <v>1578729555165166</v>
      </c>
      <c r="C3399" t="s">
        <v>37</v>
      </c>
      <c r="D3399">
        <v>5.7227180000000004</v>
      </c>
      <c r="E3399">
        <v>0.55359480000000005</v>
      </c>
      <c r="F3399" t="s">
        <v>50</v>
      </c>
      <c r="G3399">
        <v>-217.5822</v>
      </c>
      <c r="H3399" s="1">
        <v>2.5011789999999999E-6</v>
      </c>
      <c r="I3399">
        <v>214.5453</v>
      </c>
      <c r="J3399">
        <v>-228.34540000000001</v>
      </c>
      <c r="K3399">
        <v>1.103348</v>
      </c>
      <c r="L3399">
        <v>216.90209999999999</v>
      </c>
      <c r="M3399">
        <v>0.99954580000000004</v>
      </c>
      <c r="N3399">
        <v>0</v>
      </c>
      <c r="O3399">
        <v>2.6727540000000001E-2</v>
      </c>
      <c r="P3399">
        <v>0.99751789999999996</v>
      </c>
      <c r="Q3399">
        <v>6.4282439999999996E-3</v>
      </c>
      <c r="R3399">
        <v>-7.0117780000000005E-2</v>
      </c>
      <c r="S3399">
        <v>2.9655</v>
      </c>
      <c r="T3399">
        <v>-0.29673389999999999</v>
      </c>
      <c r="U3399">
        <v>-0.632324199999999</v>
      </c>
      <c r="V3399">
        <v>9.6811060000000004E-2</v>
      </c>
      <c r="W3399">
        <v>2.0028509999999999E-2</v>
      </c>
      <c r="X3399">
        <v>0.99510119999999902</v>
      </c>
      <c r="Y3399">
        <v>0.2333626</v>
      </c>
      <c r="Z3399">
        <v>-1.4157960000000001E-2</v>
      </c>
      <c r="AA3399">
        <v>0.97228669999999995</v>
      </c>
      <c r="AB3399">
        <v>26</v>
      </c>
      <c r="AC3399">
        <v>10.763199999999999</v>
      </c>
      <c r="AD3399">
        <v>-1.1033454988210001</v>
      </c>
      <c r="AE3399">
        <v>-2.35679999999999</v>
      </c>
      <c r="AF3399">
        <v>2.6174130216573301</v>
      </c>
      <c r="AG3399">
        <v>-1.1033454988210001</v>
      </c>
      <c r="AH3399">
        <v>10.590161738739701</v>
      </c>
      <c r="AI3399">
        <v>95.775398429143394</v>
      </c>
      <c r="AJ3399">
        <v>76.117268665279596</v>
      </c>
      <c r="AK3399">
        <v>10.9644766344946</v>
      </c>
    </row>
    <row r="3400" spans="1:37" x14ac:dyDescent="0.2">
      <c r="A3400" t="str">
        <f>"20200111155915191"</f>
        <v>20200111155915191</v>
      </c>
      <c r="B3400" t="str">
        <f>"1578729555185662"</f>
        <v>1578729555185662</v>
      </c>
      <c r="C3400" t="s">
        <v>37</v>
      </c>
      <c r="D3400">
        <v>5.7845750000000002</v>
      </c>
      <c r="E3400">
        <v>0.55346119999999899</v>
      </c>
      <c r="F3400" t="s">
        <v>50</v>
      </c>
      <c r="G3400">
        <v>-217.52780000000001</v>
      </c>
      <c r="H3400" s="1">
        <v>2.4705080000000001E-6</v>
      </c>
      <c r="I3400">
        <v>214.58439999999999</v>
      </c>
      <c r="J3400">
        <v>-228.0917</v>
      </c>
      <c r="K3400">
        <v>1.1033379999999999</v>
      </c>
      <c r="L3400">
        <v>216.90710000000001</v>
      </c>
      <c r="M3400">
        <v>0.99958630000000004</v>
      </c>
      <c r="N3400">
        <v>0</v>
      </c>
      <c r="O3400">
        <v>2.516792E-2</v>
      </c>
      <c r="P3400">
        <v>0.99756080000000003</v>
      </c>
      <c r="Q3400">
        <v>4.6153409999999898E-3</v>
      </c>
      <c r="R3400">
        <v>-6.9652249999999999E-2</v>
      </c>
      <c r="S3400">
        <v>2.9647669999999899</v>
      </c>
      <c r="T3400">
        <v>-0.30239109999999902</v>
      </c>
      <c r="U3400">
        <v>-0.63519289999999995</v>
      </c>
      <c r="V3400">
        <v>9.4788780000000003E-2</v>
      </c>
      <c r="W3400">
        <v>1.8221629999999999E-2</v>
      </c>
      <c r="X3400">
        <v>0.99533059999999995</v>
      </c>
      <c r="Y3400">
        <v>0.2327572</v>
      </c>
      <c r="Z3400">
        <v>-1.424106E-2</v>
      </c>
      <c r="AA3400">
        <v>0.97243060000000003</v>
      </c>
      <c r="AB3400">
        <v>26</v>
      </c>
      <c r="AC3400">
        <v>10.563899999999901</v>
      </c>
      <c r="AD3400">
        <v>-1.103335529492</v>
      </c>
      <c r="AE3400">
        <v>-2.3227000000000202</v>
      </c>
      <c r="AF3400">
        <v>2.5612105879479299</v>
      </c>
      <c r="AG3400">
        <v>-1.103335529492</v>
      </c>
      <c r="AH3400">
        <v>10.3939357886035</v>
      </c>
      <c r="AI3400">
        <v>95.884628276587307</v>
      </c>
      <c r="AJ3400">
        <v>76.157299390532103</v>
      </c>
      <c r="AK3400">
        <v>10.761554262469099</v>
      </c>
    </row>
    <row r="3401" spans="1:37" x14ac:dyDescent="0.2">
      <c r="A3401" t="str">
        <f>"20200111155915212"</f>
        <v>20200111155915212</v>
      </c>
      <c r="B3401" t="str">
        <f>"1578729555205182"</f>
        <v>1578729555205182</v>
      </c>
      <c r="C3401" t="s">
        <v>37</v>
      </c>
      <c r="D3401">
        <v>5.8054430000000004</v>
      </c>
      <c r="E3401">
        <v>0.55323330000000004</v>
      </c>
      <c r="F3401" t="s">
        <v>50</v>
      </c>
      <c r="G3401">
        <v>-217.5145</v>
      </c>
      <c r="H3401" s="1">
        <v>2.46064E-6</v>
      </c>
      <c r="I3401">
        <v>214.649</v>
      </c>
      <c r="J3401">
        <v>-227.83799999999999</v>
      </c>
      <c r="K3401">
        <v>1.103335</v>
      </c>
      <c r="L3401">
        <v>216.91159999999999</v>
      </c>
      <c r="M3401">
        <v>0.99962469999999903</v>
      </c>
      <c r="N3401">
        <v>0</v>
      </c>
      <c r="O3401">
        <v>2.3593719999999999E-2</v>
      </c>
      <c r="P3401">
        <v>0.99761239999999995</v>
      </c>
      <c r="Q3401">
        <v>5.2819919999999897E-3</v>
      </c>
      <c r="R3401">
        <v>-6.8862969999999996E-2</v>
      </c>
      <c r="S3401">
        <v>2.9645540000000001</v>
      </c>
      <c r="T3401">
        <v>-0.30924059999999998</v>
      </c>
      <c r="U3401">
        <v>-0.63287349999999998</v>
      </c>
      <c r="V3401">
        <v>9.2435050000000005E-2</v>
      </c>
      <c r="W3401">
        <v>1.889385E-2</v>
      </c>
      <c r="X3401">
        <v>0.99553939999999996</v>
      </c>
      <c r="Y3401">
        <v>0.2304735</v>
      </c>
      <c r="Z3401">
        <v>-1.428454E-2</v>
      </c>
      <c r="AA3401">
        <v>0.9729738</v>
      </c>
      <c r="AB3401">
        <v>25</v>
      </c>
      <c r="AC3401">
        <v>10.3234999999999</v>
      </c>
      <c r="AD3401">
        <v>-1.10333253936</v>
      </c>
      <c r="AE3401">
        <v>-2.2625999999999902</v>
      </c>
      <c r="AF3401">
        <v>2.4785499235844699</v>
      </c>
      <c r="AG3401">
        <v>-1.10333253936</v>
      </c>
      <c r="AH3401">
        <v>10.1565421469108</v>
      </c>
      <c r="AI3401">
        <v>96.0244473565145</v>
      </c>
      <c r="AJ3401">
        <v>76.285880278915997</v>
      </c>
      <c r="AK3401">
        <v>10.5126543174446</v>
      </c>
    </row>
    <row r="3402" spans="1:37" x14ac:dyDescent="0.2">
      <c r="A3402" t="str">
        <f>"20200111155915235"</f>
        <v>20200111155915235</v>
      </c>
      <c r="B3402" t="str">
        <f>"1578729555225678"</f>
        <v>1578729555225678</v>
      </c>
      <c r="C3402" t="s">
        <v>37</v>
      </c>
      <c r="D3402">
        <v>5.8309439999999997</v>
      </c>
      <c r="E3402">
        <v>0.55311330000000003</v>
      </c>
      <c r="F3402" t="s">
        <v>50</v>
      </c>
      <c r="G3402">
        <v>-217.24760000000001</v>
      </c>
      <c r="H3402" s="1">
        <v>2.3177759999999998E-6</v>
      </c>
      <c r="I3402">
        <v>214.66800000000001</v>
      </c>
      <c r="J3402">
        <v>-227.58789999999999</v>
      </c>
      <c r="K3402">
        <v>1.1033329999999999</v>
      </c>
      <c r="L3402">
        <v>216.91569999999999</v>
      </c>
      <c r="M3402">
        <v>0.99966069999999996</v>
      </c>
      <c r="N3402">
        <v>0</v>
      </c>
      <c r="O3402">
        <v>2.2020519999999998E-2</v>
      </c>
      <c r="P3402">
        <v>0.99762770000000001</v>
      </c>
      <c r="Q3402">
        <v>4.7044109999999899E-3</v>
      </c>
      <c r="R3402">
        <v>-6.8681629999999994E-2</v>
      </c>
      <c r="S3402">
        <v>2.9654539999999998</v>
      </c>
      <c r="T3402">
        <v>-0.30894739999999998</v>
      </c>
      <c r="U3402">
        <v>-0.62825010000000003</v>
      </c>
      <c r="V3402">
        <v>9.0685909999999995E-2</v>
      </c>
      <c r="W3402">
        <v>1.831984E-2</v>
      </c>
      <c r="X3402">
        <v>0.99571100000000001</v>
      </c>
      <c r="Y3402">
        <v>0.22745650000000001</v>
      </c>
      <c r="Z3402">
        <v>-1.3952229999999999E-2</v>
      </c>
      <c r="AA3402">
        <v>0.97368829999999995</v>
      </c>
      <c r="AB3402">
        <v>25</v>
      </c>
      <c r="AC3402">
        <v>10.3402999999999</v>
      </c>
      <c r="AD3402">
        <v>-1.1033306822239899</v>
      </c>
      <c r="AE3402">
        <v>-2.24769999999998</v>
      </c>
      <c r="AF3402">
        <v>2.4482591463635801</v>
      </c>
      <c r="AG3402">
        <v>-1.1033306822239899</v>
      </c>
      <c r="AH3402">
        <v>10.177644367953301</v>
      </c>
      <c r="AI3402">
        <v>96.016795771912101</v>
      </c>
      <c r="AJ3402">
        <v>76.474331448524296</v>
      </c>
      <c r="AK3402">
        <v>10.525956313923301</v>
      </c>
    </row>
    <row r="3403" spans="1:37" x14ac:dyDescent="0.2">
      <c r="A3403" t="str">
        <f>"20200111155915257"</f>
        <v>20200111155915257</v>
      </c>
      <c r="B3403" t="str">
        <f>"1578729555254961"</f>
        <v>1578729555254961</v>
      </c>
      <c r="C3403" t="s">
        <v>37</v>
      </c>
      <c r="D3403">
        <v>5.8298389999999998</v>
      </c>
      <c r="E3403">
        <v>0.55295499999999997</v>
      </c>
      <c r="F3403" t="s">
        <v>50</v>
      </c>
      <c r="G3403">
        <v>-217.15309999999999</v>
      </c>
      <c r="H3403" s="1">
        <v>2.2654899999999999E-6</v>
      </c>
      <c r="I3403">
        <v>214.71340000000001</v>
      </c>
      <c r="J3403">
        <v>-227.33199999999999</v>
      </c>
      <c r="K3403">
        <v>1.103316</v>
      </c>
      <c r="L3403">
        <v>216.9194</v>
      </c>
      <c r="M3403">
        <v>0.99969549999999996</v>
      </c>
      <c r="N3403">
        <v>0</v>
      </c>
      <c r="O3403">
        <v>2.0382939999999999E-2</v>
      </c>
      <c r="P3403">
        <v>0.99758359999999902</v>
      </c>
      <c r="Q3403">
        <v>4.162542E-3</v>
      </c>
      <c r="R3403">
        <v>-6.9353600000000001E-2</v>
      </c>
      <c r="S3403">
        <v>2.96552999999999</v>
      </c>
      <c r="T3403">
        <v>-0.31356200000000001</v>
      </c>
      <c r="U3403">
        <v>-0.62588500000000002</v>
      </c>
      <c r="V3403">
        <v>8.9724289999999998E-2</v>
      </c>
      <c r="W3403">
        <v>1.7772989999999999E-2</v>
      </c>
      <c r="X3403">
        <v>0.99580809999999997</v>
      </c>
      <c r="Y3403">
        <v>0.2250952</v>
      </c>
      <c r="Z3403">
        <v>-1.3866180000000001E-2</v>
      </c>
      <c r="AA3403">
        <v>0.9742381</v>
      </c>
      <c r="AB3403">
        <v>25</v>
      </c>
      <c r="AC3403">
        <v>10.178900000000001</v>
      </c>
      <c r="AD3403">
        <v>-1.1033137345099999</v>
      </c>
      <c r="AE3403">
        <v>-2.20599999999998</v>
      </c>
      <c r="AF3403">
        <v>2.3862594526743699</v>
      </c>
      <c r="AG3403">
        <v>-1.1033137345099999</v>
      </c>
      <c r="AH3403">
        <v>10.0193802650269</v>
      </c>
      <c r="AI3403">
        <v>96.114308997660203</v>
      </c>
      <c r="AJ3403">
        <v>76.603753489782505</v>
      </c>
      <c r="AK3403">
        <v>10.358547980650901</v>
      </c>
    </row>
    <row r="3404" spans="1:37" x14ac:dyDescent="0.2">
      <c r="A3404" t="str">
        <f>"20200111155915280"</f>
        <v>20200111155915280</v>
      </c>
      <c r="B3404" t="str">
        <f>"1578729555275455"</f>
        <v>1578729555275455</v>
      </c>
      <c r="C3404" t="s">
        <v>37</v>
      </c>
      <c r="D3404">
        <v>5.8546629999999897</v>
      </c>
      <c r="E3404">
        <v>0.55304500000000001</v>
      </c>
      <c r="F3404" t="s">
        <v>50</v>
      </c>
      <c r="G3404">
        <v>-217.0967</v>
      </c>
      <c r="H3404" s="1">
        <v>2.2334929999999999E-6</v>
      </c>
      <c r="I3404">
        <v>214.75899999999999</v>
      </c>
      <c r="J3404">
        <v>-227.08009999999999</v>
      </c>
      <c r="K3404">
        <v>1.103278</v>
      </c>
      <c r="L3404">
        <v>216.92269999999999</v>
      </c>
      <c r="M3404">
        <v>0.99972799999999995</v>
      </c>
      <c r="N3404">
        <v>0</v>
      </c>
      <c r="O3404">
        <v>1.8737340000000002E-2</v>
      </c>
      <c r="P3404">
        <v>0.99740819999999997</v>
      </c>
      <c r="Q3404">
        <v>3.6283890000000001E-3</v>
      </c>
      <c r="R3404">
        <v>-7.1858480000000002E-2</v>
      </c>
      <c r="S3404">
        <v>2.9650880000000002</v>
      </c>
      <c r="T3404">
        <v>-0.31962239999999997</v>
      </c>
      <c r="U3404">
        <v>-0.62586980000000003</v>
      </c>
      <c r="V3404">
        <v>9.0585139999999995E-2</v>
      </c>
      <c r="W3404">
        <v>1.719992E-2</v>
      </c>
      <c r="X3404">
        <v>0.99574019999999996</v>
      </c>
      <c r="Y3404">
        <v>0.22348289999999901</v>
      </c>
      <c r="Z3404">
        <v>-1.387391E-2</v>
      </c>
      <c r="AA3404">
        <v>0.97460910000000001</v>
      </c>
      <c r="AB3404">
        <v>25</v>
      </c>
      <c r="AC3404">
        <v>9.9833999999999801</v>
      </c>
      <c r="AD3404">
        <v>-1.1032757665070001</v>
      </c>
      <c r="AE3404">
        <v>-2.1636999999999702</v>
      </c>
      <c r="AF3404">
        <v>2.32329970808357</v>
      </c>
      <c r="AG3404">
        <v>-1.1032757665070001</v>
      </c>
      <c r="AH3404">
        <v>9.8264774769822907</v>
      </c>
      <c r="AI3404">
        <v>96.235596115512095</v>
      </c>
      <c r="AJ3404">
        <v>76.697686979908298</v>
      </c>
      <c r="AK3404">
        <v>10.157489776326701</v>
      </c>
    </row>
    <row r="3405" spans="1:37" x14ac:dyDescent="0.2">
      <c r="A3405" t="str">
        <f>"20200111155915303"</f>
        <v>20200111155915303</v>
      </c>
      <c r="B3405" t="str">
        <f>"1578729555294975"</f>
        <v>1578729555294975</v>
      </c>
      <c r="C3405" t="s">
        <v>37</v>
      </c>
      <c r="D3405">
        <v>5.8924969999999997</v>
      </c>
      <c r="E3405">
        <v>0.55314240000000003</v>
      </c>
      <c r="F3405" t="s">
        <v>50</v>
      </c>
      <c r="G3405">
        <v>-216.94970000000001</v>
      </c>
      <c r="H3405" s="1">
        <v>2.155302E-6</v>
      </c>
      <c r="I3405">
        <v>214.75839999999999</v>
      </c>
      <c r="J3405">
        <v>-226.8125</v>
      </c>
      <c r="K3405">
        <v>1.103227</v>
      </c>
      <c r="L3405">
        <v>216.9256</v>
      </c>
      <c r="M3405">
        <v>0.99976119999999902</v>
      </c>
      <c r="N3405">
        <v>0</v>
      </c>
      <c r="O3405">
        <v>1.694727E-2</v>
      </c>
      <c r="P3405">
        <v>0.99714230000000004</v>
      </c>
      <c r="Q3405">
        <v>3.1929759999999902E-3</v>
      </c>
      <c r="R3405">
        <v>-7.548009E-2</v>
      </c>
      <c r="S3405">
        <v>2.9633639999999999</v>
      </c>
      <c r="T3405">
        <v>-0.32273220000000002</v>
      </c>
      <c r="U3405">
        <v>-0.63310239999999995</v>
      </c>
      <c r="V3405">
        <v>9.2417869999999999E-2</v>
      </c>
      <c r="W3405">
        <v>1.6664990000000001E-2</v>
      </c>
      <c r="X3405">
        <v>0.99558089999999999</v>
      </c>
      <c r="Y3405">
        <v>0.22410859999999999</v>
      </c>
      <c r="Z3405">
        <v>-1.385377E-2</v>
      </c>
      <c r="AA3405">
        <v>0.97446569999999899</v>
      </c>
      <c r="AB3405">
        <v>25</v>
      </c>
      <c r="AC3405">
        <v>9.8627999999999894</v>
      </c>
      <c r="AD3405">
        <v>-1.103224844698</v>
      </c>
      <c r="AE3405">
        <v>-2.1671999999999998</v>
      </c>
      <c r="AF3405">
        <v>2.3065221202688599</v>
      </c>
      <c r="AG3405">
        <v>-1.103224844698</v>
      </c>
      <c r="AH3405">
        <v>9.7087704173502605</v>
      </c>
      <c r="AI3405">
        <v>96.308701182033104</v>
      </c>
      <c r="AJ3405">
        <v>76.635931811322195</v>
      </c>
      <c r="AK3405">
        <v>10.039789458253701</v>
      </c>
    </row>
    <row r="3406" spans="1:37" x14ac:dyDescent="0.2">
      <c r="A3406" t="str">
        <f>"20200111155915326"</f>
        <v>20200111155915326</v>
      </c>
      <c r="B3406" t="str">
        <f>"1578729555315471"</f>
        <v>1578729555315471</v>
      </c>
      <c r="C3406" t="s">
        <v>37</v>
      </c>
      <c r="D3406">
        <v>5.8967359999999998</v>
      </c>
      <c r="E3406">
        <v>0.55311750000000004</v>
      </c>
      <c r="F3406" t="s">
        <v>38</v>
      </c>
      <c r="G3406">
        <v>-226.06200000000001</v>
      </c>
      <c r="H3406">
        <v>1.020583</v>
      </c>
      <c r="I3406">
        <v>216.76220000000001</v>
      </c>
      <c r="J3406">
        <v>-226.56360000000001</v>
      </c>
      <c r="K3406">
        <v>1.103167</v>
      </c>
      <c r="L3406">
        <v>216.92789999999999</v>
      </c>
      <c r="M3406">
        <v>0.99979050000000003</v>
      </c>
      <c r="N3406">
        <v>0</v>
      </c>
      <c r="O3406">
        <v>1.5243960000000001E-2</v>
      </c>
      <c r="P3406">
        <v>0.99679859999999898</v>
      </c>
      <c r="Q3406">
        <v>2.9814559999999999E-3</v>
      </c>
      <c r="R3406">
        <v>-7.9898159999999996E-2</v>
      </c>
      <c r="S3406">
        <v>2.9608759999999998</v>
      </c>
      <c r="T3406">
        <v>-0.32600879999999999</v>
      </c>
      <c r="U3406">
        <v>-0.64421079999999997</v>
      </c>
      <c r="V3406">
        <v>9.5133960000000004E-2</v>
      </c>
      <c r="W3406">
        <v>1.630264E-2</v>
      </c>
      <c r="X3406">
        <v>0.99533099999999997</v>
      </c>
      <c r="Y3406">
        <v>0.2260788</v>
      </c>
      <c r="Z3406">
        <v>-1.392154E-2</v>
      </c>
      <c r="AA3406">
        <v>0.97400949999999997</v>
      </c>
      <c r="AB3406">
        <v>25</v>
      </c>
      <c r="AC3406">
        <v>0.50159999999999605</v>
      </c>
      <c r="AD3406">
        <v>-8.2583999999999894E-2</v>
      </c>
      <c r="AE3406">
        <v>-0.165699999999986</v>
      </c>
      <c r="AF3406">
        <v>0.169192806528392</v>
      </c>
      <c r="AG3406">
        <v>-8.2583999999999894E-2</v>
      </c>
      <c r="AH3406">
        <v>0.48711070999398798</v>
      </c>
      <c r="AI3406">
        <v>99.098807201033196</v>
      </c>
      <c r="AJ3406">
        <v>70.845864515656004</v>
      </c>
      <c r="AK3406">
        <v>0.522229036561356</v>
      </c>
    </row>
    <row r="3407" spans="1:37" x14ac:dyDescent="0.2">
      <c r="A3407" t="str">
        <f>"20200111155915347"</f>
        <v>20200111155915347</v>
      </c>
      <c r="B3407" t="str">
        <f>"1578729555334990"</f>
        <v>1578729555334990</v>
      </c>
      <c r="C3407" t="s">
        <v>37</v>
      </c>
      <c r="D3407">
        <v>5.8859620000000001</v>
      </c>
      <c r="E3407">
        <v>0.55785439999999997</v>
      </c>
      <c r="F3407" t="s">
        <v>50</v>
      </c>
      <c r="G3407">
        <v>-216.6377</v>
      </c>
      <c r="H3407" s="1">
        <v>1.9907209999999998E-6</v>
      </c>
      <c r="I3407">
        <v>214.72470000000001</v>
      </c>
      <c r="J3407">
        <v>-226.31299999999999</v>
      </c>
      <c r="K3407">
        <v>1.1031070000000001</v>
      </c>
      <c r="L3407">
        <v>216.9297</v>
      </c>
      <c r="M3407">
        <v>0.99981799999999998</v>
      </c>
      <c r="N3407">
        <v>0</v>
      </c>
      <c r="O3407">
        <v>1.348825E-2</v>
      </c>
      <c r="P3407">
        <v>0.99644820000000001</v>
      </c>
      <c r="Q3407">
        <v>4.1577589999999996E-3</v>
      </c>
      <c r="R3407">
        <v>-8.4106829999999994E-2</v>
      </c>
      <c r="S3407">
        <v>2.9579930000000001</v>
      </c>
      <c r="T3407">
        <v>-0.3287504</v>
      </c>
      <c r="U3407">
        <v>-0.65658570000000005</v>
      </c>
      <c r="V3407">
        <v>9.7593109999999997E-2</v>
      </c>
      <c r="W3407">
        <v>1.7290030000000001E-2</v>
      </c>
      <c r="X3407">
        <v>0.99507619999999897</v>
      </c>
      <c r="Y3407">
        <v>0.2284243</v>
      </c>
      <c r="Z3407">
        <v>-1.398107E-2</v>
      </c>
      <c r="AA3407">
        <v>0.97346129999999997</v>
      </c>
      <c r="AB3407">
        <v>25</v>
      </c>
      <c r="AC3407">
        <v>9.6752999999999894</v>
      </c>
      <c r="AD3407">
        <v>-1.103105009279</v>
      </c>
      <c r="AE3407">
        <v>-2.2049999999999801</v>
      </c>
      <c r="AF3407">
        <v>2.30680878417586</v>
      </c>
      <c r="AG3407">
        <v>-1.103105009279</v>
      </c>
      <c r="AH3407">
        <v>9.5269504427369895</v>
      </c>
      <c r="AI3407">
        <v>96.420816299088003</v>
      </c>
      <c r="AJ3407">
        <v>76.3886550292669</v>
      </c>
      <c r="AK3407">
        <v>9.8641265283153103</v>
      </c>
    </row>
    <row r="3408" spans="1:37" x14ac:dyDescent="0.2">
      <c r="A3408" t="str">
        <f>"20200111155915370"</f>
        <v>20200111155915370</v>
      </c>
      <c r="B3408" t="str">
        <f>"1578729555365247"</f>
        <v>1578729555365247</v>
      </c>
      <c r="C3408" t="s">
        <v>37</v>
      </c>
      <c r="D3408">
        <v>5.8839030000000001</v>
      </c>
      <c r="E3408">
        <v>0.55643189999999998</v>
      </c>
      <c r="F3408" t="s">
        <v>50</v>
      </c>
      <c r="G3408">
        <v>-211.1953</v>
      </c>
      <c r="H3408" s="1">
        <v>-8.4324010000000002E-7</v>
      </c>
      <c r="I3408">
        <v>213.30199999999999</v>
      </c>
      <c r="J3408">
        <v>-226.05709999999999</v>
      </c>
      <c r="K3408">
        <v>1.1030610000000001</v>
      </c>
      <c r="L3408">
        <v>216.93099999999899</v>
      </c>
      <c r="M3408">
        <v>0.99984359999999906</v>
      </c>
      <c r="N3408">
        <v>0</v>
      </c>
      <c r="O3408">
        <v>1.166056E-2</v>
      </c>
      <c r="P3408">
        <v>0.99612529999999999</v>
      </c>
      <c r="Q3408">
        <v>6.3375580000000001E-3</v>
      </c>
      <c r="R3408">
        <v>-8.7716269999999999E-2</v>
      </c>
      <c r="S3408">
        <v>2.951797</v>
      </c>
      <c r="T3408">
        <v>-0.215387</v>
      </c>
      <c r="U3408">
        <v>-0.70831299999999997</v>
      </c>
      <c r="V3408">
        <v>9.9386059999999998E-2</v>
      </c>
      <c r="W3408">
        <v>1.9270490000000001E-2</v>
      </c>
      <c r="X3408">
        <v>0.99486229999999998</v>
      </c>
      <c r="Y3408">
        <v>0.2440167</v>
      </c>
      <c r="Z3408">
        <v>-9.6051669999999995E-3</v>
      </c>
      <c r="AA3408">
        <v>0.96972349999999996</v>
      </c>
      <c r="AB3408">
        <v>25</v>
      </c>
      <c r="AC3408">
        <v>14.861799999999899</v>
      </c>
      <c r="AD3408">
        <v>-1.1030618432401</v>
      </c>
      <c r="AE3408">
        <v>-3.62899999999996</v>
      </c>
      <c r="AF3408">
        <v>3.7824014517017801</v>
      </c>
      <c r="AG3408">
        <v>-1.1030618432401</v>
      </c>
      <c r="AH3408">
        <v>14.7418294270304</v>
      </c>
      <c r="AI3408">
        <v>94.145416292544297</v>
      </c>
      <c r="AJ3408">
        <v>75.609688538903498</v>
      </c>
      <c r="AK3408">
        <v>15.259254274947599</v>
      </c>
    </row>
    <row r="3409" spans="1:37" x14ac:dyDescent="0.2">
      <c r="A3409" t="str">
        <f>"20200111155915392"</f>
        <v>20200111155915392</v>
      </c>
      <c r="B3409" t="str">
        <f>"1578729555385742"</f>
        <v>1578729555385742</v>
      </c>
      <c r="C3409" t="s">
        <v>37</v>
      </c>
      <c r="D3409">
        <v>5.9056509999999998</v>
      </c>
      <c r="E3409">
        <v>0.55258890000000005</v>
      </c>
      <c r="F3409" t="s">
        <v>50</v>
      </c>
      <c r="G3409">
        <v>-211.22710000000001</v>
      </c>
      <c r="H3409" s="1">
        <v>-8.2959940000000001E-7</v>
      </c>
      <c r="I3409">
        <v>213.37710000000001</v>
      </c>
      <c r="J3409">
        <v>-225.80539999999999</v>
      </c>
      <c r="K3409">
        <v>1.103024</v>
      </c>
      <c r="L3409">
        <v>216.93190000000001</v>
      </c>
      <c r="M3409">
        <v>0.99986589999999997</v>
      </c>
      <c r="N3409">
        <v>0</v>
      </c>
      <c r="O3409">
        <v>9.8313580000000001E-3</v>
      </c>
      <c r="P3409">
        <v>0.99587289999999995</v>
      </c>
      <c r="Q3409">
        <v>9.0005150000000006E-3</v>
      </c>
      <c r="R3409">
        <v>-9.0314399999999906E-2</v>
      </c>
      <c r="S3409">
        <v>2.950806</v>
      </c>
      <c r="T3409">
        <v>-0.21948239999999999</v>
      </c>
      <c r="U3409">
        <v>-0.70713809999999999</v>
      </c>
      <c r="V3409">
        <v>0.1001691</v>
      </c>
      <c r="W3409">
        <v>2.1730920000000001E-2</v>
      </c>
      <c r="X3409">
        <v>0.99473310000000004</v>
      </c>
      <c r="Y3409">
        <v>0.24193609999999999</v>
      </c>
      <c r="Z3409">
        <v>-9.5806910000000006E-3</v>
      </c>
      <c r="AA3409">
        <v>0.97024489999999997</v>
      </c>
      <c r="AB3409">
        <v>25</v>
      </c>
      <c r="AC3409">
        <v>14.578299999999899</v>
      </c>
      <c r="AD3409">
        <v>-1.1030248295993901</v>
      </c>
      <c r="AE3409">
        <v>-3.5548000000000002</v>
      </c>
      <c r="AF3409">
        <v>3.6780905003146001</v>
      </c>
      <c r="AG3409">
        <v>-1.1030248295993901</v>
      </c>
      <c r="AH3409">
        <v>14.4644854083643</v>
      </c>
      <c r="AI3409">
        <v>94.226788582355397</v>
      </c>
      <c r="AJ3409">
        <v>75.732961576570403</v>
      </c>
      <c r="AK3409">
        <v>14.9655053918002</v>
      </c>
    </row>
    <row r="3410" spans="1:37" x14ac:dyDescent="0.2">
      <c r="A3410" t="str">
        <f>"20200111155915414"</f>
        <v>20200111155915414</v>
      </c>
      <c r="B3410" t="str">
        <f>"1578729555405262"</f>
        <v>1578729555405262</v>
      </c>
      <c r="C3410" t="s">
        <v>37</v>
      </c>
      <c r="D3410">
        <v>5.9515799999999999</v>
      </c>
      <c r="E3410">
        <v>0.55516560000000004</v>
      </c>
      <c r="F3410" t="s">
        <v>50</v>
      </c>
      <c r="G3410">
        <v>-215.7741</v>
      </c>
      <c r="H3410" s="1">
        <v>1.535953E-6</v>
      </c>
      <c r="I3410">
        <v>214.6148</v>
      </c>
      <c r="J3410">
        <v>-225.55520000000001</v>
      </c>
      <c r="K3410">
        <v>1.1029869999999999</v>
      </c>
      <c r="L3410">
        <v>216.9323</v>
      </c>
      <c r="M3410">
        <v>0.99988500000000002</v>
      </c>
      <c r="N3410">
        <v>0</v>
      </c>
      <c r="O3410">
        <v>7.9871649999999992E-3</v>
      </c>
      <c r="P3410">
        <v>0.99575249999999904</v>
      </c>
      <c r="Q3410">
        <v>1.1220340000000001E-2</v>
      </c>
      <c r="R3410">
        <v>-9.1386209999999996E-2</v>
      </c>
      <c r="S3410">
        <v>2.953522</v>
      </c>
      <c r="T3410">
        <v>-0.32476259999999901</v>
      </c>
      <c r="U3410">
        <v>-0.68222050000000001</v>
      </c>
      <c r="V3410">
        <v>9.9411479999999997E-2</v>
      </c>
      <c r="W3410">
        <v>2.3735510000000001E-2</v>
      </c>
      <c r="X3410">
        <v>0.99476330000000002</v>
      </c>
      <c r="Y3410">
        <v>0.23146430000000001</v>
      </c>
      <c r="Z3410">
        <v>-1.3388580000000001E-2</v>
      </c>
      <c r="AA3410">
        <v>0.97275129999999999</v>
      </c>
      <c r="AB3410">
        <v>25</v>
      </c>
      <c r="AC3410">
        <v>9.7811000000000092</v>
      </c>
      <c r="AD3410">
        <v>-1.102985464047</v>
      </c>
      <c r="AE3410">
        <v>-2.3174999999999901</v>
      </c>
      <c r="AF3410">
        <v>2.3670553774433398</v>
      </c>
      <c r="AG3410">
        <v>-1.102985464047</v>
      </c>
      <c r="AH3410">
        <v>9.6461322746511993</v>
      </c>
      <c r="AI3410">
        <v>96.336745728439794</v>
      </c>
      <c r="AJ3410">
        <v>76.212671731760906</v>
      </c>
      <c r="AK3410">
        <v>9.99336759825486</v>
      </c>
    </row>
    <row r="3411" spans="1:37" x14ac:dyDescent="0.2">
      <c r="A3411" t="str">
        <f>"20200111155915436"</f>
        <v>20200111155915436</v>
      </c>
      <c r="B3411" t="str">
        <f>"1578729555425759"</f>
        <v>1578729555425759</v>
      </c>
      <c r="C3411" t="s">
        <v>37</v>
      </c>
      <c r="D3411">
        <v>5.9590209999999999</v>
      </c>
      <c r="E3411">
        <v>0.55424169999999995</v>
      </c>
      <c r="F3411" t="s">
        <v>50</v>
      </c>
      <c r="G3411">
        <v>-211.42930000000001</v>
      </c>
      <c r="H3411" s="1">
        <v>-7.2928319999999999E-7</v>
      </c>
      <c r="I3411">
        <v>213.5437</v>
      </c>
      <c r="J3411">
        <v>-225.29769999999999</v>
      </c>
      <c r="K3411">
        <v>1.1029340000000001</v>
      </c>
      <c r="L3411">
        <v>216.93219999999999</v>
      </c>
      <c r="M3411">
        <v>0.9999017</v>
      </c>
      <c r="N3411">
        <v>0</v>
      </c>
      <c r="O3411">
        <v>6.0648830000000001E-3</v>
      </c>
      <c r="P3411">
        <v>0.99559769999999903</v>
      </c>
      <c r="Q3411">
        <v>1.197579E-2</v>
      </c>
      <c r="R3411">
        <v>-9.296248E-2</v>
      </c>
      <c r="S3411">
        <v>2.9504389999999998</v>
      </c>
      <c r="T3411">
        <v>-0.2303781</v>
      </c>
      <c r="U3411">
        <v>-0.7077637</v>
      </c>
      <c r="V3411">
        <v>9.9076349999999994E-2</v>
      </c>
      <c r="W3411">
        <v>2.4248430000000001E-2</v>
      </c>
      <c r="X3411">
        <v>0.99478440000000001</v>
      </c>
      <c r="Y3411">
        <v>0.2384561</v>
      </c>
      <c r="Z3411">
        <v>-9.6324329999999993E-3</v>
      </c>
      <c r="AA3411">
        <v>0.97110549999999995</v>
      </c>
      <c r="AB3411">
        <v>25</v>
      </c>
      <c r="AC3411">
        <v>13.8683999999999</v>
      </c>
      <c r="AD3411">
        <v>-1.1029347292831999</v>
      </c>
      <c r="AE3411">
        <v>-3.3884999999999899</v>
      </c>
      <c r="AF3411">
        <v>3.4519516675531698</v>
      </c>
      <c r="AG3411">
        <v>-1.1029347292831999</v>
      </c>
      <c r="AH3411">
        <v>13.7654335128108</v>
      </c>
      <c r="AI3411">
        <v>94.443930355425096</v>
      </c>
      <c r="AJ3411">
        <v>75.922265338525094</v>
      </c>
      <c r="AK3411">
        <v>14.2344509949558</v>
      </c>
    </row>
    <row r="3412" spans="1:37" x14ac:dyDescent="0.2">
      <c r="A3412" t="str">
        <f>"20200111155915458"</f>
        <v>20200111155915458</v>
      </c>
      <c r="B3412" t="str">
        <f>"1578729555455039"</f>
        <v>1578729555455039</v>
      </c>
      <c r="C3412" t="s">
        <v>37</v>
      </c>
      <c r="D3412">
        <v>5.8900519999999998</v>
      </c>
      <c r="E3412">
        <v>0.54897479999999999</v>
      </c>
      <c r="F3412" t="s">
        <v>50</v>
      </c>
      <c r="G3412">
        <v>-210.7167</v>
      </c>
      <c r="H3412" s="1">
        <v>-1.104263E-6</v>
      </c>
      <c r="I3412">
        <v>213.44640000000001</v>
      </c>
      <c r="J3412">
        <v>-225.04259999999999</v>
      </c>
      <c r="K3412">
        <v>1.102868</v>
      </c>
      <c r="L3412">
        <v>216.9316</v>
      </c>
      <c r="M3412">
        <v>0.99991459999999999</v>
      </c>
      <c r="N3412">
        <v>0</v>
      </c>
      <c r="O3412">
        <v>4.1345369999999998E-3</v>
      </c>
      <c r="P3412">
        <v>0.99543119999999996</v>
      </c>
      <c r="Q3412">
        <v>1.0107029999999999E-2</v>
      </c>
      <c r="R3412">
        <v>-9.4947950000000003E-2</v>
      </c>
      <c r="S3412">
        <v>2.95008899999999</v>
      </c>
      <c r="T3412">
        <v>-0.22315059999999901</v>
      </c>
      <c r="U3412">
        <v>-0.70526119999999903</v>
      </c>
      <c r="V3412">
        <v>9.91345E-2</v>
      </c>
      <c r="W3412">
        <v>2.2135660000000001E-2</v>
      </c>
      <c r="X3412">
        <v>0.99482780000000004</v>
      </c>
      <c r="Y3412">
        <v>0.23588319999999999</v>
      </c>
      <c r="Z3412">
        <v>-9.093393E-3</v>
      </c>
      <c r="AA3412">
        <v>0.97173889999999996</v>
      </c>
      <c r="AB3412">
        <v>25</v>
      </c>
      <c r="AC3412">
        <v>14.325899999999899</v>
      </c>
      <c r="AD3412">
        <v>-1.1028691042630001</v>
      </c>
      <c r="AE3412">
        <v>-3.4851999999999901</v>
      </c>
      <c r="AF3412">
        <v>3.5246836552365099</v>
      </c>
      <c r="AG3412">
        <v>-1.1028691042630001</v>
      </c>
      <c r="AH3412">
        <v>14.2317342808422</v>
      </c>
      <c r="AI3412">
        <v>94.301747899448998</v>
      </c>
      <c r="AJ3412">
        <v>76.089812819653005</v>
      </c>
      <c r="AK3412">
        <v>14.703128094766999</v>
      </c>
    </row>
    <row r="3413" spans="1:37" x14ac:dyDescent="0.2">
      <c r="A3413" t="str">
        <f>"20200111155915482"</f>
        <v>20200111155915482</v>
      </c>
      <c r="B3413" t="str">
        <f>"1578729555475534"</f>
        <v>1578729555475534</v>
      </c>
      <c r="C3413" t="s">
        <v>37</v>
      </c>
      <c r="D3413">
        <v>5.9575870000000002</v>
      </c>
      <c r="E3413">
        <v>0.54887849999999905</v>
      </c>
      <c r="F3413" t="s">
        <v>38</v>
      </c>
      <c r="G3413">
        <v>-224.25739999999999</v>
      </c>
      <c r="H3413">
        <v>1.0129980000000001</v>
      </c>
      <c r="I3413">
        <v>216.75389999999999</v>
      </c>
      <c r="J3413">
        <v>-224.78219999999999</v>
      </c>
      <c r="K3413">
        <v>1.1028009999999999</v>
      </c>
      <c r="L3413">
        <v>216.93049999999999</v>
      </c>
      <c r="M3413">
        <v>0.99992369999999997</v>
      </c>
      <c r="N3413">
        <v>0</v>
      </c>
      <c r="O3413">
        <v>2.127805E-3</v>
      </c>
      <c r="P3413">
        <v>0.99523709999999899</v>
      </c>
      <c r="Q3413">
        <v>7.66717099999999E-3</v>
      </c>
      <c r="R3413">
        <v>-9.7184389999999996E-2</v>
      </c>
      <c r="S3413">
        <v>2.953522</v>
      </c>
      <c r="T3413">
        <v>-0.33800190000000002</v>
      </c>
      <c r="U3413">
        <v>-0.66760249999999999</v>
      </c>
      <c r="V3413">
        <v>9.9366220000000005E-2</v>
      </c>
      <c r="W3413">
        <v>1.9459750000000001E-2</v>
      </c>
      <c r="X3413">
        <v>0.99486059999999998</v>
      </c>
      <c r="Y3413">
        <v>0.2211621</v>
      </c>
      <c r="Z3413">
        <v>-1.269787E-2</v>
      </c>
      <c r="AA3413">
        <v>0.97515439999999998</v>
      </c>
      <c r="AB3413">
        <v>25</v>
      </c>
      <c r="AC3413">
        <v>0.52479999999999805</v>
      </c>
      <c r="AD3413">
        <v>-8.98029999999998E-2</v>
      </c>
      <c r="AE3413">
        <v>-0.176600000000007</v>
      </c>
      <c r="AF3413">
        <v>0.17316167730469501</v>
      </c>
      <c r="AG3413">
        <v>-8.98029999999998E-2</v>
      </c>
      <c r="AH3413">
        <v>0.51098262005047002</v>
      </c>
      <c r="AI3413">
        <v>99.450130865158201</v>
      </c>
      <c r="AJ3413">
        <v>71.279519520425893</v>
      </c>
      <c r="AK3413">
        <v>0.54694861119635196</v>
      </c>
    </row>
    <row r="3414" spans="1:37" x14ac:dyDescent="0.2">
      <c r="A3414" t="str">
        <f>"20200111155915503"</f>
        <v>20200111155915503</v>
      </c>
      <c r="B3414" t="str">
        <f>"1578729555495054"</f>
        <v>1578729555495054</v>
      </c>
      <c r="C3414" t="s">
        <v>37</v>
      </c>
      <c r="D3414">
        <v>6.0887760000000002</v>
      </c>
      <c r="E3414">
        <v>0.54881359999999901</v>
      </c>
      <c r="F3414" t="s">
        <v>38</v>
      </c>
      <c r="G3414">
        <v>-224.02969999999999</v>
      </c>
      <c r="H3414">
        <v>1.0147489999999999</v>
      </c>
      <c r="I3414">
        <v>216.7587</v>
      </c>
      <c r="J3414">
        <v>-224.53200000000001</v>
      </c>
      <c r="K3414">
        <v>1.1027439999999999</v>
      </c>
      <c r="L3414">
        <v>216.9288</v>
      </c>
      <c r="M3414">
        <v>0.99992839999999905</v>
      </c>
      <c r="N3414">
        <v>0</v>
      </c>
      <c r="O3414">
        <v>1.5303809999999999E-4</v>
      </c>
      <c r="P3414">
        <v>0.9949924</v>
      </c>
      <c r="Q3414">
        <v>6.7708369999999896E-3</v>
      </c>
      <c r="R3414">
        <v>-9.9723110000000004E-2</v>
      </c>
      <c r="S3414">
        <v>2.9512480000000001</v>
      </c>
      <c r="T3414">
        <v>-0.34532950000000001</v>
      </c>
      <c r="U3414">
        <v>-0.67352290000000004</v>
      </c>
      <c r="V3414">
        <v>9.9937739999999997E-2</v>
      </c>
      <c r="W3414">
        <v>1.8353209999999998E-2</v>
      </c>
      <c r="X3414">
        <v>0.99482440000000005</v>
      </c>
      <c r="Y3414">
        <v>0.22120919999999999</v>
      </c>
      <c r="Z3414">
        <v>-1.2753530000000001E-2</v>
      </c>
      <c r="AA3414">
        <v>0.97514299999999998</v>
      </c>
      <c r="AB3414">
        <v>25</v>
      </c>
      <c r="AC3414">
        <v>0.50230000000001895</v>
      </c>
      <c r="AD3414">
        <v>-8.7995000000000004E-2</v>
      </c>
      <c r="AE3414">
        <v>-0.17009999999999001</v>
      </c>
      <c r="AF3414">
        <v>0.165617081724802</v>
      </c>
      <c r="AG3414">
        <v>-8.7995000000000004E-2</v>
      </c>
      <c r="AH3414">
        <v>0.48881581460668599</v>
      </c>
      <c r="AI3414">
        <v>99.675690024664107</v>
      </c>
      <c r="AJ3414">
        <v>71.282959059485407</v>
      </c>
      <c r="AK3414">
        <v>0.52355805637353903</v>
      </c>
    </row>
    <row r="3415" spans="1:37" x14ac:dyDescent="0.2">
      <c r="A3415" t="str">
        <f>"20200111155915526"</f>
        <v>20200111155915526</v>
      </c>
      <c r="B3415" t="str">
        <f>"1578729555515551"</f>
        <v>1578729555515551</v>
      </c>
      <c r="C3415" t="s">
        <v>37</v>
      </c>
      <c r="D3415">
        <v>6.1352690000000001</v>
      </c>
      <c r="E3415">
        <v>0.53498210000000002</v>
      </c>
      <c r="F3415" t="s">
        <v>38</v>
      </c>
      <c r="G3415">
        <v>-223.80160000000001</v>
      </c>
      <c r="H3415">
        <v>1.0160309999999999</v>
      </c>
      <c r="I3415">
        <v>216.76009999999999</v>
      </c>
      <c r="J3415">
        <v>-224.2842</v>
      </c>
      <c r="K3415">
        <v>1.102678</v>
      </c>
      <c r="L3415">
        <v>216.92670000000001</v>
      </c>
      <c r="M3415">
        <v>0.99992859999999995</v>
      </c>
      <c r="N3415">
        <v>0</v>
      </c>
      <c r="O3415">
        <v>-1.8652499999999999E-3</v>
      </c>
      <c r="P3415">
        <v>0.99465619999999999</v>
      </c>
      <c r="Q3415">
        <v>6.4195190000000003E-3</v>
      </c>
      <c r="R3415">
        <v>-0.1030442</v>
      </c>
      <c r="S3415">
        <v>2.949265</v>
      </c>
      <c r="T3415">
        <v>-0.35013059999999901</v>
      </c>
      <c r="U3415">
        <v>-0.68077089999999996</v>
      </c>
      <c r="V3415">
        <v>0.1012511</v>
      </c>
      <c r="W3415">
        <v>1.7805410000000001E-2</v>
      </c>
      <c r="X3415">
        <v>0.99470159999999996</v>
      </c>
      <c r="Y3415">
        <v>0.22162999999999999</v>
      </c>
      <c r="Z3415">
        <v>-1.2723470000000001E-2</v>
      </c>
      <c r="AA3415">
        <v>0.97504780000000002</v>
      </c>
      <c r="AB3415">
        <v>25</v>
      </c>
      <c r="AC3415">
        <v>0.48259999999998998</v>
      </c>
      <c r="AD3415">
        <v>-8.6647000000000099E-2</v>
      </c>
      <c r="AE3415">
        <v>-0.16660000000001601</v>
      </c>
      <c r="AF3415">
        <v>0.16106047695429701</v>
      </c>
      <c r="AG3415">
        <v>-8.6647000000000099E-2</v>
      </c>
      <c r="AH3415">
        <v>0.46939015813354901</v>
      </c>
      <c r="AI3415">
        <v>99.904133093477796</v>
      </c>
      <c r="AJ3415">
        <v>71.061517023891398</v>
      </c>
      <c r="AK3415">
        <v>0.50376115411808398</v>
      </c>
    </row>
    <row r="3416" spans="1:37" x14ac:dyDescent="0.2">
      <c r="A3416" t="str">
        <f>"20200111155915547"</f>
        <v>20200111155915547</v>
      </c>
      <c r="B3416" t="str">
        <f>"1578729555544832"</f>
        <v>1578729555544832</v>
      </c>
      <c r="C3416" t="s">
        <v>37</v>
      </c>
      <c r="D3416">
        <v>5.9935849999999897</v>
      </c>
      <c r="E3416">
        <v>0.47180889999999998</v>
      </c>
      <c r="F3416" t="s">
        <v>50</v>
      </c>
      <c r="G3416">
        <v>-211.37190000000001</v>
      </c>
      <c r="H3416" s="1">
        <v>-7.9665700000000001E-7</v>
      </c>
      <c r="I3416">
        <v>214.3852</v>
      </c>
      <c r="J3416">
        <v>-224.02350000000001</v>
      </c>
      <c r="K3416">
        <v>1.1026009999999999</v>
      </c>
      <c r="L3416">
        <v>216.9237</v>
      </c>
      <c r="M3416">
        <v>0.99992409999999998</v>
      </c>
      <c r="N3416">
        <v>0</v>
      </c>
      <c r="O3416">
        <v>-4.0744229999999998E-3</v>
      </c>
      <c r="P3416">
        <v>0.99427749999999904</v>
      </c>
      <c r="Q3416">
        <v>6.7625699999999999E-3</v>
      </c>
      <c r="R3416">
        <v>-0.1066144</v>
      </c>
      <c r="S3416">
        <v>2.957443</v>
      </c>
      <c r="T3416">
        <v>-0.25255810000000001</v>
      </c>
      <c r="U3416">
        <v>-0.58209230000000001</v>
      </c>
      <c r="V3416">
        <v>0.102628199999999</v>
      </c>
      <c r="W3416">
        <v>1.7965129999999999E-2</v>
      </c>
      <c r="X3416">
        <v>0.99455759999999904</v>
      </c>
      <c r="Y3416">
        <v>0.1884721</v>
      </c>
      <c r="Z3416">
        <v>-7.6129630000000004E-3</v>
      </c>
      <c r="AA3416">
        <v>0.98204899999999995</v>
      </c>
      <c r="AB3416">
        <v>26</v>
      </c>
      <c r="AC3416">
        <v>12.6516</v>
      </c>
      <c r="AD3416">
        <v>-1.1026017966570001</v>
      </c>
      <c r="AE3416">
        <v>-2.5384999999999902</v>
      </c>
      <c r="AF3416">
        <v>2.4689010850156099</v>
      </c>
      <c r="AG3416">
        <v>-1.1026017966570001</v>
      </c>
      <c r="AH3416">
        <v>12.5700598025161</v>
      </c>
      <c r="AI3416">
        <v>94.919438190951595</v>
      </c>
      <c r="AJ3416">
        <v>78.887915363877894</v>
      </c>
      <c r="AK3416">
        <v>12.8575894602532</v>
      </c>
    </row>
    <row r="3417" spans="1:37" x14ac:dyDescent="0.2">
      <c r="A3417" t="str">
        <f>"20200111155915571"</f>
        <v>20200111155915571</v>
      </c>
      <c r="B3417" t="str">
        <f>"1578729555565326"</f>
        <v>1578729555565326</v>
      </c>
      <c r="C3417" t="s">
        <v>37</v>
      </c>
      <c r="D3417">
        <v>6.0960429999999999</v>
      </c>
      <c r="E3417">
        <v>0.46659709999999899</v>
      </c>
      <c r="F3417" t="s">
        <v>38</v>
      </c>
      <c r="G3417">
        <v>-223.11089999999999</v>
      </c>
      <c r="H3417">
        <v>1.026186</v>
      </c>
      <c r="I3417">
        <v>216.89580000000001</v>
      </c>
      <c r="J3417">
        <v>-223.7619</v>
      </c>
      <c r="K3417">
        <v>1.102538</v>
      </c>
      <c r="L3417">
        <v>216.92009999999999</v>
      </c>
      <c r="M3417">
        <v>0.99991369999999902</v>
      </c>
      <c r="N3417">
        <v>0</v>
      </c>
      <c r="O3417">
        <v>-6.3659190000000003E-3</v>
      </c>
      <c r="P3417">
        <v>0.99394660000000001</v>
      </c>
      <c r="Q3417">
        <v>7.6455380000000003E-3</v>
      </c>
      <c r="R3417">
        <v>-0.1095978</v>
      </c>
      <c r="S3417">
        <v>3.0091549999999998</v>
      </c>
      <c r="T3417">
        <v>-0.25199349999999998</v>
      </c>
      <c r="U3417">
        <v>-9.1827389999999995E-2</v>
      </c>
      <c r="V3417">
        <v>0.103339599999999</v>
      </c>
      <c r="W3417">
        <v>1.869123E-2</v>
      </c>
      <c r="X3417">
        <v>0.99447050000000004</v>
      </c>
      <c r="Y3417">
        <v>2.4075880000000001E-2</v>
      </c>
      <c r="Z3417">
        <v>-4.7402849999999999E-4</v>
      </c>
      <c r="AA3417">
        <v>0.99970999999999999</v>
      </c>
      <c r="AB3417">
        <v>26</v>
      </c>
      <c r="AC3417">
        <v>0.65100000000001002</v>
      </c>
      <c r="AD3417">
        <v>-7.6351999999999906E-2</v>
      </c>
      <c r="AE3417">
        <v>-2.4299999999982402E-2</v>
      </c>
      <c r="AF3417">
        <v>1.98819138961744E-2</v>
      </c>
      <c r="AG3417">
        <v>-7.6351999999999906E-2</v>
      </c>
      <c r="AH3417">
        <v>0.64231834244361496</v>
      </c>
      <c r="AI3417">
        <v>96.7756912511189</v>
      </c>
      <c r="AJ3417">
        <v>88.227068918808897</v>
      </c>
      <c r="AK3417">
        <v>0.647145865662208</v>
      </c>
    </row>
    <row r="3418" spans="1:37" x14ac:dyDescent="0.2">
      <c r="A3418" t="str">
        <f>"20200111155915593"</f>
        <v>20200111155915593</v>
      </c>
      <c r="B3418" t="str">
        <f>"1578729555584846"</f>
        <v>1578729555584846</v>
      </c>
      <c r="C3418" t="s">
        <v>37</v>
      </c>
      <c r="D3418">
        <v>5.8458119999999996</v>
      </c>
      <c r="E3418">
        <v>0.46381359999999899</v>
      </c>
      <c r="F3418" t="s">
        <v>38</v>
      </c>
      <c r="G3418">
        <v>-222.8768</v>
      </c>
      <c r="H3418">
        <v>1.0349139999999999</v>
      </c>
      <c r="I3418">
        <v>216.90219999999999</v>
      </c>
      <c r="J3418">
        <v>-223.50210000000001</v>
      </c>
      <c r="K3418">
        <v>1.102479</v>
      </c>
      <c r="L3418">
        <v>216.91579999999999</v>
      </c>
      <c r="M3418">
        <v>0.99989719999999904</v>
      </c>
      <c r="N3418">
        <v>0</v>
      </c>
      <c r="O3418">
        <v>-8.7238760000000002E-3</v>
      </c>
      <c r="P3418">
        <v>0.99363919999999994</v>
      </c>
      <c r="Q3418">
        <v>8.7880300000000005E-3</v>
      </c>
      <c r="R3418">
        <v>-0.112268699999999</v>
      </c>
      <c r="S3418">
        <v>3.01342799999999</v>
      </c>
      <c r="T3418">
        <v>-0.23028689999999999</v>
      </c>
      <c r="U3418">
        <v>-6.0073849999999998E-2</v>
      </c>
      <c r="V3418">
        <v>0.103674</v>
      </c>
      <c r="W3418">
        <v>1.9706230000000002E-2</v>
      </c>
      <c r="X3418">
        <v>0.99441610000000003</v>
      </c>
      <c r="Y3418">
        <v>1.1200750000000001E-2</v>
      </c>
      <c r="Z3418">
        <v>2.3835020000000001E-4</v>
      </c>
      <c r="AA3418">
        <v>0.99993719999999997</v>
      </c>
      <c r="AB3418">
        <v>26</v>
      </c>
      <c r="AC3418">
        <v>0.62530000000000996</v>
      </c>
      <c r="AD3418">
        <v>-6.7565000000000097E-2</v>
      </c>
      <c r="AE3418">
        <v>-1.35999999999967E-2</v>
      </c>
      <c r="AF3418">
        <v>8.0501463923839094E-3</v>
      </c>
      <c r="AG3418">
        <v>-6.7565000000000097E-2</v>
      </c>
      <c r="AH3418">
        <v>0.61818084240098403</v>
      </c>
      <c r="AI3418">
        <v>96.236944894726506</v>
      </c>
      <c r="AJ3418">
        <v>89.2539184146015</v>
      </c>
      <c r="AK3418">
        <v>0.62191429312529001</v>
      </c>
    </row>
    <row r="3419" spans="1:37" x14ac:dyDescent="0.2">
      <c r="A3419" t="str">
        <f>"20200111155915616"</f>
        <v>20200111155915616</v>
      </c>
      <c r="B3419" t="str">
        <f>"1578729555605343"</f>
        <v>1578729555605343</v>
      </c>
      <c r="C3419" t="s">
        <v>37</v>
      </c>
      <c r="D3419">
        <v>5.8132129999999904</v>
      </c>
      <c r="E3419">
        <v>0.46191769999999999</v>
      </c>
      <c r="F3419" t="s">
        <v>38</v>
      </c>
      <c r="G3419">
        <v>-222.6403</v>
      </c>
      <c r="H3419">
        <v>1.0417700000000001</v>
      </c>
      <c r="I3419">
        <v>216.9025</v>
      </c>
      <c r="J3419">
        <v>-223.25120000000001</v>
      </c>
      <c r="K3419">
        <v>1.102427</v>
      </c>
      <c r="L3419">
        <v>216.91099999999901</v>
      </c>
      <c r="M3419">
        <v>0.99987469999999901</v>
      </c>
      <c r="N3419">
        <v>0</v>
      </c>
      <c r="O3419">
        <v>-1.10875E-2</v>
      </c>
      <c r="P3419">
        <v>0.99343189999999904</v>
      </c>
      <c r="Q3419">
        <v>1.0725129999999999E-2</v>
      </c>
      <c r="R3419">
        <v>-0.1139221</v>
      </c>
      <c r="S3419">
        <v>3.0158689999999999</v>
      </c>
      <c r="T3419">
        <v>-0.21245729999999999</v>
      </c>
      <c r="U3419">
        <v>-4.605103E-2</v>
      </c>
      <c r="V3419">
        <v>0.102988699999999</v>
      </c>
      <c r="W3419">
        <v>2.1547380000000001E-2</v>
      </c>
      <c r="X3419">
        <v>0.99444909999999997</v>
      </c>
      <c r="Y3419">
        <v>4.1970109999999996E-3</v>
      </c>
      <c r="Z3419">
        <v>6.3244359999999999E-4</v>
      </c>
      <c r="AA3419">
        <v>0.99999099999999996</v>
      </c>
      <c r="AB3419">
        <v>26</v>
      </c>
      <c r="AC3419">
        <v>0.61090000000001499</v>
      </c>
      <c r="AD3419">
        <v>-6.0656999999999898E-2</v>
      </c>
      <c r="AE3419">
        <v>-8.4999999999695302E-3</v>
      </c>
      <c r="AF3419">
        <v>1.70884751730223E-3</v>
      </c>
      <c r="AG3419">
        <v>-6.0656999999999898E-2</v>
      </c>
      <c r="AH3419">
        <v>0.60499337352984495</v>
      </c>
      <c r="AI3419">
        <v>95.725353642986803</v>
      </c>
      <c r="AJ3419">
        <v>89.838164359352604</v>
      </c>
      <c r="AK3419">
        <v>0.60802892515394302</v>
      </c>
    </row>
    <row r="3420" spans="1:37" x14ac:dyDescent="0.2">
      <c r="A3420" t="str">
        <f>"20200111155915638"</f>
        <v>20200111155915638</v>
      </c>
      <c r="B3420" t="str">
        <f>"1578729555635600"</f>
        <v>1578729555635600</v>
      </c>
      <c r="C3420" t="s">
        <v>37</v>
      </c>
      <c r="D3420">
        <v>6.8414529999999996</v>
      </c>
      <c r="E3420">
        <v>0.46041290000000001</v>
      </c>
      <c r="F3420" t="s">
        <v>49</v>
      </c>
      <c r="G3420">
        <v>-207.24709999999999</v>
      </c>
      <c r="H3420" s="1">
        <v>5.2468649999999998E-6</v>
      </c>
      <c r="I3420">
        <v>216.72020000000001</v>
      </c>
      <c r="J3420">
        <v>-222.99119999999999</v>
      </c>
      <c r="K3420">
        <v>1.1023700000000001</v>
      </c>
      <c r="L3420">
        <v>216.90530000000001</v>
      </c>
      <c r="M3420">
        <v>0.99984409999999901</v>
      </c>
      <c r="N3420">
        <v>0</v>
      </c>
      <c r="O3420">
        <v>-1.362931E-2</v>
      </c>
      <c r="P3420">
        <v>0.99324690000000004</v>
      </c>
      <c r="Q3420">
        <v>1.259039E-2</v>
      </c>
      <c r="R3420">
        <v>-0.115335799999999</v>
      </c>
      <c r="S3420">
        <v>3.017944</v>
      </c>
      <c r="T3420">
        <v>-0.207887399999999</v>
      </c>
      <c r="U3420">
        <v>-3.598022E-2</v>
      </c>
      <c r="V3420">
        <v>0.10188700000000001</v>
      </c>
      <c r="W3420">
        <v>2.3335080000000001E-2</v>
      </c>
      <c r="X3420">
        <v>0.99452229999999997</v>
      </c>
      <c r="Y3420">
        <v>-1.6727999999999999E-3</v>
      </c>
      <c r="Z3420">
        <v>9.9525619999999999E-4</v>
      </c>
      <c r="AA3420">
        <v>0.9999981</v>
      </c>
      <c r="AB3420">
        <v>26</v>
      </c>
      <c r="AC3420">
        <v>15.7441</v>
      </c>
      <c r="AD3420">
        <v>-1.102364753135</v>
      </c>
      <c r="AE3420">
        <v>-0.18510000000000501</v>
      </c>
      <c r="AF3420">
        <v>-2.93679804814105E-2</v>
      </c>
      <c r="AG3420">
        <v>-1.102364753135</v>
      </c>
      <c r="AH3420">
        <v>15.668357356621399</v>
      </c>
      <c r="AI3420">
        <v>94.024469789026895</v>
      </c>
      <c r="AJ3420">
        <v>90.107392199808302</v>
      </c>
      <c r="AK3420">
        <v>15.7071159918689</v>
      </c>
    </row>
    <row r="3421" spans="1:37" x14ac:dyDescent="0.2">
      <c r="A3421" t="str">
        <f>"20200111155915659"</f>
        <v>20200111155915659</v>
      </c>
      <c r="B3421" t="str">
        <f>"1578729555655119"</f>
        <v>1578729555655119</v>
      </c>
      <c r="C3421" t="s">
        <v>37</v>
      </c>
      <c r="D3421">
        <v>5.8516430000000001</v>
      </c>
      <c r="E3421">
        <v>0.45937250000000002</v>
      </c>
      <c r="F3421" t="s">
        <v>49</v>
      </c>
      <c r="G3421">
        <v>-206.8826</v>
      </c>
      <c r="H3421" s="1">
        <v>5.0820309999999996E-6</v>
      </c>
      <c r="I3421">
        <v>216.7568</v>
      </c>
      <c r="J3421">
        <v>-222.73929999999999</v>
      </c>
      <c r="K3421">
        <v>1.102325</v>
      </c>
      <c r="L3421">
        <v>216.8991</v>
      </c>
      <c r="M3421">
        <v>0.99980659999999899</v>
      </c>
      <c r="N3421">
        <v>0</v>
      </c>
      <c r="O3421">
        <v>-1.617292E-2</v>
      </c>
      <c r="P3421">
        <v>0.99314990000000003</v>
      </c>
      <c r="Q3421">
        <v>1.4367019999999999E-2</v>
      </c>
      <c r="R3421">
        <v>-0.11596140000000001</v>
      </c>
      <c r="S3421">
        <v>3.01975999999999</v>
      </c>
      <c r="T3421">
        <v>-0.206652799999999</v>
      </c>
      <c r="U3421">
        <v>-2.784729E-2</v>
      </c>
      <c r="V3421">
        <v>9.999429E-2</v>
      </c>
      <c r="W3421">
        <v>2.5061670000000001E-2</v>
      </c>
      <c r="X3421">
        <v>0.99467240000000001</v>
      </c>
      <c r="Y3421">
        <v>-6.899199E-3</v>
      </c>
      <c r="Z3421">
        <v>1.3412529999999999E-3</v>
      </c>
      <c r="AA3421">
        <v>0.99997530000000001</v>
      </c>
      <c r="AB3421">
        <v>26</v>
      </c>
      <c r="AC3421">
        <v>15.856699999999901</v>
      </c>
      <c r="AD3421">
        <v>-1.102319917969</v>
      </c>
      <c r="AE3421">
        <v>-0.14230000000000501</v>
      </c>
      <c r="AF3421">
        <v>-0.11363469150573199</v>
      </c>
      <c r="AG3421">
        <v>-1.102319917969</v>
      </c>
      <c r="AH3421">
        <v>15.7806703111258</v>
      </c>
      <c r="AI3421">
        <v>93.995662010228699</v>
      </c>
      <c r="AJ3421">
        <v>90.412572823004794</v>
      </c>
      <c r="AK3421">
        <v>15.8195315200265</v>
      </c>
    </row>
    <row r="3422" spans="1:37" x14ac:dyDescent="0.2">
      <c r="A3422" t="str">
        <f>"20200111155915682"</f>
        <v>20200111155915682</v>
      </c>
      <c r="B3422" t="str">
        <f>"1578729555675614"</f>
        <v>1578729555675614</v>
      </c>
      <c r="C3422" t="s">
        <v>37</v>
      </c>
      <c r="D3422">
        <v>5.8090820000000001</v>
      </c>
      <c r="E3422">
        <v>0.45878619999999998</v>
      </c>
      <c r="F3422" t="s">
        <v>49</v>
      </c>
      <c r="G3422">
        <v>-206.32599999999999</v>
      </c>
      <c r="H3422" s="1">
        <v>4.8327140000000003E-6</v>
      </c>
      <c r="I3422">
        <v>216.78530000000001</v>
      </c>
      <c r="J3422">
        <v>-222.4776</v>
      </c>
      <c r="K3422">
        <v>1.1022809999999901</v>
      </c>
      <c r="L3422">
        <v>216.89189999999999</v>
      </c>
      <c r="M3422">
        <v>0.99975939999999996</v>
      </c>
      <c r="N3422">
        <v>0</v>
      </c>
      <c r="O3422">
        <v>-1.8888189999999999E-2</v>
      </c>
      <c r="P3422">
        <v>0.99302699999999999</v>
      </c>
      <c r="Q3422">
        <v>1.5829329999999999E-2</v>
      </c>
      <c r="R3422">
        <v>-0.1168216</v>
      </c>
      <c r="S3422">
        <v>3.0211790000000001</v>
      </c>
      <c r="T3422">
        <v>-0.20290369999999999</v>
      </c>
      <c r="U3422">
        <v>-2.0950320000000001E-2</v>
      </c>
      <c r="V3422">
        <v>9.8164580000000001E-2</v>
      </c>
      <c r="W3422">
        <v>2.649313E-2</v>
      </c>
      <c r="X3422">
        <v>0.99481749999999902</v>
      </c>
      <c r="Y3422">
        <v>-1.1886509999999999E-2</v>
      </c>
      <c r="Z3422">
        <v>1.6657950000000001E-3</v>
      </c>
      <c r="AA3422">
        <v>0.99992789999999998</v>
      </c>
      <c r="AB3422">
        <v>26</v>
      </c>
      <c r="AC3422">
        <v>16.151599999999998</v>
      </c>
      <c r="AD3422">
        <v>-1.10227616728599</v>
      </c>
      <c r="AE3422">
        <v>-0.106599999999986</v>
      </c>
      <c r="AF3422">
        <v>-0.19759224411990001</v>
      </c>
      <c r="AG3422">
        <v>-1.10227616728599</v>
      </c>
      <c r="AH3422">
        <v>16.075862310501901</v>
      </c>
      <c r="AI3422">
        <v>93.922173931301799</v>
      </c>
      <c r="AJ3422">
        <v>90.704200581627205</v>
      </c>
      <c r="AK3422">
        <v>16.114819405445299</v>
      </c>
    </row>
    <row r="3423" spans="1:37" x14ac:dyDescent="0.2">
      <c r="A3423" t="str">
        <f>"20200111155915704"</f>
        <v>20200111155915704</v>
      </c>
      <c r="B3423" t="str">
        <f>"1578729555695134"</f>
        <v>1578729555695134</v>
      </c>
      <c r="C3423" t="s">
        <v>37</v>
      </c>
      <c r="D3423">
        <v>5.8483510000000001</v>
      </c>
      <c r="E3423">
        <v>0.4581712</v>
      </c>
      <c r="F3423" t="s">
        <v>49</v>
      </c>
      <c r="G3423">
        <v>-206.13149999999999</v>
      </c>
      <c r="H3423" s="1">
        <v>4.7457999999999902E-6</v>
      </c>
      <c r="I3423">
        <v>216.79239999999999</v>
      </c>
      <c r="J3423">
        <v>-222.2234</v>
      </c>
      <c r="K3423">
        <v>1.102239</v>
      </c>
      <c r="L3423">
        <v>216.88409999999999</v>
      </c>
      <c r="M3423">
        <v>0.99970479999999995</v>
      </c>
      <c r="N3423">
        <v>0</v>
      </c>
      <c r="O3423">
        <v>-2.1588050000000001E-2</v>
      </c>
      <c r="P3423">
        <v>0.99283880000000002</v>
      </c>
      <c r="Q3423">
        <v>1.681711E-2</v>
      </c>
      <c r="R3423">
        <v>-0.118274399999999</v>
      </c>
      <c r="S3423">
        <v>3.0221559999999998</v>
      </c>
      <c r="T3423">
        <v>-0.203793899999999</v>
      </c>
      <c r="U3423">
        <v>-1.84020999999999E-2</v>
      </c>
      <c r="V3423">
        <v>9.6941100000000002E-2</v>
      </c>
      <c r="W3423">
        <v>2.7469339999999998E-2</v>
      </c>
      <c r="X3423">
        <v>0.99491099999999999</v>
      </c>
      <c r="Y3423">
        <v>-1.5417429999999999E-2</v>
      </c>
      <c r="Z3423">
        <v>1.9732999999999999E-3</v>
      </c>
      <c r="AA3423">
        <v>0.99987919999999997</v>
      </c>
      <c r="AB3423">
        <v>26</v>
      </c>
      <c r="AC3423">
        <v>16.091899999999999</v>
      </c>
      <c r="AD3423">
        <v>-1.1022342542000001</v>
      </c>
      <c r="AE3423">
        <v>-9.1700000000003001E-2</v>
      </c>
      <c r="AF3423">
        <v>-0.254541500517938</v>
      </c>
      <c r="AG3423">
        <v>-1.1022342542000001</v>
      </c>
      <c r="AH3423">
        <v>16.014993467536101</v>
      </c>
      <c r="AI3423">
        <v>93.936685867569906</v>
      </c>
      <c r="AJ3423">
        <v>90.910579566254</v>
      </c>
      <c r="AK3423">
        <v>16.0548973055527</v>
      </c>
    </row>
    <row r="3424" spans="1:37" x14ac:dyDescent="0.2">
      <c r="A3424" t="str">
        <f>"20200111155915727"</f>
        <v>20200111155915727</v>
      </c>
      <c r="B3424" t="str">
        <f>"1578729555715631"</f>
        <v>1578729555715631</v>
      </c>
      <c r="C3424" t="s">
        <v>37</v>
      </c>
      <c r="D3424">
        <v>5.8436019999999997</v>
      </c>
      <c r="E3424">
        <v>0.4575785</v>
      </c>
      <c r="F3424" t="s">
        <v>49</v>
      </c>
      <c r="G3424">
        <v>-206.03909999999999</v>
      </c>
      <c r="H3424" s="1">
        <v>4.705082E-6</v>
      </c>
      <c r="I3424">
        <v>216.78980000000001</v>
      </c>
      <c r="J3424">
        <v>-221.9676</v>
      </c>
      <c r="K3424">
        <v>1.10222</v>
      </c>
      <c r="L3424">
        <v>216.87549999999999</v>
      </c>
      <c r="M3424">
        <v>0.99964089999999906</v>
      </c>
      <c r="N3424">
        <v>0</v>
      </c>
      <c r="O3424">
        <v>-2.4352180000000001E-2</v>
      </c>
      <c r="P3424">
        <v>0.99251499999999904</v>
      </c>
      <c r="Q3424">
        <v>1.7554320000000002E-2</v>
      </c>
      <c r="R3424">
        <v>-0.1208557</v>
      </c>
      <c r="S3424">
        <v>3.02302599999999</v>
      </c>
      <c r="T3424">
        <v>-0.2058846</v>
      </c>
      <c r="U3424">
        <v>-1.7623900000000001E-2</v>
      </c>
      <c r="V3424">
        <v>9.6783930000000004E-2</v>
      </c>
      <c r="W3424">
        <v>2.8221980000000001E-2</v>
      </c>
      <c r="X3424">
        <v>0.99490519999999905</v>
      </c>
      <c r="Y3424">
        <v>-1.8426140000000001E-2</v>
      </c>
      <c r="Z3424">
        <v>2.2832640000000001E-3</v>
      </c>
      <c r="AA3424">
        <v>0.99982760000000004</v>
      </c>
      <c r="AB3424">
        <v>26</v>
      </c>
      <c r="AC3424">
        <v>15.9285</v>
      </c>
      <c r="AD3424">
        <v>-1.102215294918</v>
      </c>
      <c r="AE3424">
        <v>-8.5699999999974297E-2</v>
      </c>
      <c r="AF3424">
        <v>-0.30080307173168602</v>
      </c>
      <c r="AG3424">
        <v>-1.102215294918</v>
      </c>
      <c r="AH3424">
        <v>15.849970270134699</v>
      </c>
      <c r="AI3424">
        <v>93.977260760258503</v>
      </c>
      <c r="AJ3424">
        <v>91.087237230194603</v>
      </c>
      <c r="AK3424">
        <v>15.891095576091301</v>
      </c>
    </row>
    <row r="3425" spans="1:37" x14ac:dyDescent="0.2">
      <c r="A3425" t="str">
        <f>"20200111155915749"</f>
        <v>20200111155915749</v>
      </c>
      <c r="B3425" t="str">
        <f>"1578729555744910"</f>
        <v>1578729555744910</v>
      </c>
      <c r="C3425" t="s">
        <v>37</v>
      </c>
      <c r="D3425">
        <v>5.8079919999999996</v>
      </c>
      <c r="E3425">
        <v>0.45682149999999999</v>
      </c>
      <c r="F3425" t="s">
        <v>49</v>
      </c>
      <c r="G3425">
        <v>-205.95670000000001</v>
      </c>
      <c r="H3425" s="1">
        <v>4.6705100000000003E-6</v>
      </c>
      <c r="I3425">
        <v>216.76689999999999</v>
      </c>
      <c r="J3425">
        <v>-221.71019999999999</v>
      </c>
      <c r="K3425">
        <v>1.1022239999999901</v>
      </c>
      <c r="L3425">
        <v>216.86609999999999</v>
      </c>
      <c r="M3425">
        <v>0.99956739999999999</v>
      </c>
      <c r="N3425">
        <v>0</v>
      </c>
      <c r="O3425">
        <v>-2.7162430000000001E-2</v>
      </c>
      <c r="P3425">
        <v>0.99206340000000004</v>
      </c>
      <c r="Q3425">
        <v>1.825823E-2</v>
      </c>
      <c r="R3425">
        <v>-0.12440660000000001</v>
      </c>
      <c r="S3425">
        <v>3.0238040000000002</v>
      </c>
      <c r="T3425">
        <v>-0.20816270000000001</v>
      </c>
      <c r="U3425">
        <v>-2.0507810000000001E-2</v>
      </c>
      <c r="V3425">
        <v>9.7552970000000003E-2</v>
      </c>
      <c r="W3425">
        <v>2.9002239999999999E-2</v>
      </c>
      <c r="X3425">
        <v>0.99480769999999996</v>
      </c>
      <c r="Y3425">
        <v>-2.0271819999999999E-2</v>
      </c>
      <c r="Z3425">
        <v>2.5645059999999998E-3</v>
      </c>
      <c r="AA3425">
        <v>0.99979119999999999</v>
      </c>
      <c r="AB3425">
        <v>26</v>
      </c>
      <c r="AC3425">
        <v>15.753499999999899</v>
      </c>
      <c r="AD3425">
        <v>-1.10221932948999</v>
      </c>
      <c r="AE3425">
        <v>-9.9199999999996097E-2</v>
      </c>
      <c r="AF3425">
        <v>-0.32716564753962801</v>
      </c>
      <c r="AG3425">
        <v>-1.10221932948999</v>
      </c>
      <c r="AH3425">
        <v>15.6736567528565</v>
      </c>
      <c r="AI3425">
        <v>94.021718432974197</v>
      </c>
      <c r="AJ3425">
        <v>91.195795552902894</v>
      </c>
      <c r="AK3425">
        <v>15.715770449379599</v>
      </c>
    </row>
    <row r="3426" spans="1:37" x14ac:dyDescent="0.2">
      <c r="A3426" t="str">
        <f>"20200111155916039"</f>
        <v>20200111155916039</v>
      </c>
      <c r="B3426" t="str">
        <f>"1578729556035759"</f>
        <v>1578729556035759</v>
      </c>
      <c r="C3426" t="s">
        <v>37</v>
      </c>
      <c r="D3426">
        <v>5.5142759999999997</v>
      </c>
      <c r="E3426">
        <v>0.45683999999999902</v>
      </c>
      <c r="F3426" t="s">
        <v>49</v>
      </c>
      <c r="G3426">
        <v>-206.08599999999899</v>
      </c>
      <c r="H3426" s="1">
        <v>4.730536E-6</v>
      </c>
      <c r="I3426">
        <v>216.73650000000001</v>
      </c>
      <c r="J3426">
        <v>-218.39660000000001</v>
      </c>
      <c r="K3426">
        <v>1.102422</v>
      </c>
      <c r="L3426">
        <v>216.6788</v>
      </c>
      <c r="M3426">
        <v>0.99789550000000005</v>
      </c>
      <c r="N3426">
        <v>0</v>
      </c>
      <c r="O3426">
        <v>-6.3447119999999996E-2</v>
      </c>
      <c r="P3426">
        <v>0.98783359999999998</v>
      </c>
      <c r="Q3426">
        <v>5.9468180000000004E-3</v>
      </c>
      <c r="R3426">
        <v>-0.1554025</v>
      </c>
      <c r="S3426">
        <v>3.0247799999999998</v>
      </c>
      <c r="T3426">
        <v>-0.21338550000000001</v>
      </c>
      <c r="U3426">
        <v>-2.5085449999999999E-2</v>
      </c>
      <c r="V3426">
        <v>9.2498570000000002E-2</v>
      </c>
      <c r="W3426">
        <v>1.8846169999999999E-2</v>
      </c>
      <c r="X3426">
        <v>0.99553440000000004</v>
      </c>
      <c r="Y3426">
        <v>-5.4880430000000001E-2</v>
      </c>
      <c r="Z3426">
        <v>6.4014989999999997E-3</v>
      </c>
      <c r="AA3426">
        <v>0.99847240000000004</v>
      </c>
      <c r="AB3426">
        <v>25</v>
      </c>
      <c r="AC3426">
        <v>12.310600000000001</v>
      </c>
      <c r="AD3426">
        <v>-1.102417269464</v>
      </c>
      <c r="AE3426">
        <v>5.7700000000011097E-2</v>
      </c>
      <c r="AF3426">
        <v>-0.83205347390255102</v>
      </c>
      <c r="AG3426">
        <v>-1.102417269464</v>
      </c>
      <c r="AH3426">
        <v>12.184423203130001</v>
      </c>
      <c r="AI3426">
        <v>95.157960003390102</v>
      </c>
      <c r="AJ3426">
        <v>93.906566084352903</v>
      </c>
      <c r="AK3426">
        <v>12.262455121729101</v>
      </c>
    </row>
    <row r="3427" spans="1:37" x14ac:dyDescent="0.2">
      <c r="A3427" t="str">
        <f>"20200111155916062"</f>
        <v>20200111155916062</v>
      </c>
      <c r="B3427" t="str">
        <f>"1578729556055278"</f>
        <v>1578729556055278</v>
      </c>
      <c r="C3427" t="s">
        <v>37</v>
      </c>
      <c r="D3427">
        <v>5.723522</v>
      </c>
      <c r="E3427">
        <v>0.52917499999999995</v>
      </c>
      <c r="F3427" t="s">
        <v>49</v>
      </c>
      <c r="G3427">
        <v>-205.3844</v>
      </c>
      <c r="H3427" s="1">
        <v>4.4692289999999997E-6</v>
      </c>
      <c r="I3427">
        <v>216.1662</v>
      </c>
      <c r="J3427">
        <v>-218.13919999999999</v>
      </c>
      <c r="K3427">
        <v>1.102428</v>
      </c>
      <c r="L3427">
        <v>216.6591</v>
      </c>
      <c r="M3427">
        <v>0.99770809999999999</v>
      </c>
      <c r="N3427">
        <v>0</v>
      </c>
      <c r="O3427">
        <v>-6.631041E-2</v>
      </c>
      <c r="P3427">
        <v>0.98720839999999999</v>
      </c>
      <c r="Q3427">
        <v>7.5743609999999999E-3</v>
      </c>
      <c r="R3427">
        <v>-0.15925599999999901</v>
      </c>
      <c r="S3427">
        <v>3.0197750000000001</v>
      </c>
      <c r="T3427">
        <v>-0.25584009999999902</v>
      </c>
      <c r="U3427">
        <v>-0.11895749999999999</v>
      </c>
      <c r="V3427">
        <v>9.3535419999999994E-2</v>
      </c>
      <c r="W3427">
        <v>2.0541480000000001E-2</v>
      </c>
      <c r="X3427">
        <v>0.99540399999999996</v>
      </c>
      <c r="Y3427">
        <v>-2.665729E-2</v>
      </c>
      <c r="Z3427">
        <v>6.7280719999999999E-3</v>
      </c>
      <c r="AA3427">
        <v>0.99962199999999901</v>
      </c>
      <c r="AB3427">
        <v>25</v>
      </c>
      <c r="AC3427">
        <v>12.7547999999999</v>
      </c>
      <c r="AD3427">
        <v>-1.102423530771</v>
      </c>
      <c r="AE3427">
        <v>-0.49289999999999101</v>
      </c>
      <c r="AF3427">
        <v>-0.35141647926322001</v>
      </c>
      <c r="AG3427">
        <v>-1.102423530771</v>
      </c>
      <c r="AH3427">
        <v>12.6649371712797</v>
      </c>
      <c r="AI3427">
        <v>94.972886013200096</v>
      </c>
      <c r="AJ3427">
        <v>91.589389347177104</v>
      </c>
      <c r="AK3427">
        <v>12.717683151248799</v>
      </c>
    </row>
    <row r="3428" spans="1:37" x14ac:dyDescent="0.2">
      <c r="A3428" t="str">
        <f>"20200111155916083"</f>
        <v>20200111155916083</v>
      </c>
      <c r="B3428" t="str">
        <f>"1578729556074798"</f>
        <v>1578729556074798</v>
      </c>
      <c r="C3428" t="s">
        <v>37</v>
      </c>
      <c r="D3428">
        <v>5.6233930000000001</v>
      </c>
      <c r="E3428">
        <v>0.53721479999999999</v>
      </c>
      <c r="F3428" t="s">
        <v>49</v>
      </c>
      <c r="G3428">
        <v>-202.96279999999999</v>
      </c>
      <c r="H3428" s="1">
        <v>3.6702009999999998E-6</v>
      </c>
      <c r="I3428">
        <v>213.02250000000001</v>
      </c>
      <c r="J3428">
        <v>-217.8948</v>
      </c>
      <c r="K3428">
        <v>1.1024290000000001</v>
      </c>
      <c r="L3428">
        <v>216.63980000000001</v>
      </c>
      <c r="M3428">
        <v>0.99752220000000003</v>
      </c>
      <c r="N3428">
        <v>0</v>
      </c>
      <c r="O3428">
        <v>-6.9039929999999999E-2</v>
      </c>
      <c r="P3428">
        <v>0.986496699999999</v>
      </c>
      <c r="Q3428">
        <v>7.7699229999999998E-3</v>
      </c>
      <c r="R3428">
        <v>-0.1635974</v>
      </c>
      <c r="S3428">
        <v>2.9273530000000001</v>
      </c>
      <c r="T3428">
        <v>-0.2126451</v>
      </c>
      <c r="U3428">
        <v>-0.70146180000000002</v>
      </c>
      <c r="V3428">
        <v>9.5192440000000003E-2</v>
      </c>
      <c r="W3428">
        <v>2.0788910000000001E-2</v>
      </c>
      <c r="X3428">
        <v>0.99524179999999995</v>
      </c>
      <c r="Y3428">
        <v>0.16508639999999999</v>
      </c>
      <c r="Z3428">
        <v>-9.7849729999999993E-4</v>
      </c>
      <c r="AA3428">
        <v>0.98627869999999995</v>
      </c>
      <c r="AB3428">
        <v>25</v>
      </c>
      <c r="AC3428">
        <v>14.932</v>
      </c>
      <c r="AD3428">
        <v>-1.1024253297990001</v>
      </c>
      <c r="AE3428">
        <v>-3.6173000000000002</v>
      </c>
      <c r="AF3428">
        <v>2.5644650285602899</v>
      </c>
      <c r="AG3428">
        <v>-1.1024253297990001</v>
      </c>
      <c r="AH3428">
        <v>15.0685421768837</v>
      </c>
      <c r="AI3428">
        <v>94.125240213447498</v>
      </c>
      <c r="AJ3428">
        <v>80.341559965898895</v>
      </c>
      <c r="AK3428">
        <v>15.3249073676487</v>
      </c>
    </row>
    <row r="3429" spans="1:37" x14ac:dyDescent="0.2">
      <c r="A3429" t="str">
        <f>"20200111155916107"</f>
        <v>20200111155916107</v>
      </c>
      <c r="B3429" t="str">
        <f>"1578729556095294"</f>
        <v>1578729556095294</v>
      </c>
      <c r="C3429" t="s">
        <v>37</v>
      </c>
      <c r="D3429">
        <v>5.5603590000000001</v>
      </c>
      <c r="E3429">
        <v>0.54219169999999905</v>
      </c>
      <c r="F3429" t="s">
        <v>38</v>
      </c>
      <c r="G3429">
        <v>-217.1652</v>
      </c>
      <c r="H3429">
        <v>1.037345</v>
      </c>
      <c r="I3429">
        <v>216.4453</v>
      </c>
      <c r="J3429">
        <v>-217.64250000000001</v>
      </c>
      <c r="K3429">
        <v>1.102425</v>
      </c>
      <c r="L3429">
        <v>216.619</v>
      </c>
      <c r="M3429">
        <v>0.99732169999999898</v>
      </c>
      <c r="N3429">
        <v>0</v>
      </c>
      <c r="O3429">
        <v>-7.1868779999999993E-2</v>
      </c>
      <c r="P3429">
        <v>0.98563230000000002</v>
      </c>
      <c r="Q3429">
        <v>7.5636289999999997E-3</v>
      </c>
      <c r="R3429">
        <v>-0.16873650000000001</v>
      </c>
      <c r="S3429">
        <v>2.9143829999999999</v>
      </c>
      <c r="T3429">
        <v>-0.26000679999999998</v>
      </c>
      <c r="U3429">
        <v>-0.77618409999999904</v>
      </c>
      <c r="V3429">
        <v>9.7556009999999999E-2</v>
      </c>
      <c r="W3429">
        <v>2.0622999999999999E-2</v>
      </c>
      <c r="X3429">
        <v>0.99501629999999996</v>
      </c>
      <c r="Y3429">
        <v>0.18681320000000001</v>
      </c>
      <c r="Z3429">
        <v>-1.9032210000000001E-3</v>
      </c>
      <c r="AA3429">
        <v>0.98239359999999998</v>
      </c>
      <c r="AB3429">
        <v>25</v>
      </c>
      <c r="AC3429">
        <v>0.47730000000001299</v>
      </c>
      <c r="AD3429">
        <v>-6.5079999999999805E-2</v>
      </c>
      <c r="AE3429">
        <v>-0.173700000000025</v>
      </c>
      <c r="AF3429">
        <v>0.13670038694426001</v>
      </c>
      <c r="AG3429">
        <v>-6.5079999999999805E-2</v>
      </c>
      <c r="AH3429">
        <v>0.480659231513829</v>
      </c>
      <c r="AI3429">
        <v>97.420032723523207</v>
      </c>
      <c r="AJ3429">
        <v>74.124148600632694</v>
      </c>
      <c r="AK3429">
        <v>0.50394017405856295</v>
      </c>
    </row>
    <row r="3430" spans="1:37" x14ac:dyDescent="0.2">
      <c r="A3430" t="str">
        <f>"20200111155916129"</f>
        <v>20200111155916129</v>
      </c>
      <c r="B3430" t="str">
        <f>"1578729556125550"</f>
        <v>1578729556125550</v>
      </c>
      <c r="C3430" t="s">
        <v>37</v>
      </c>
      <c r="D3430">
        <v>5.4771450000000002</v>
      </c>
      <c r="E3430">
        <v>0.54495819999999995</v>
      </c>
      <c r="F3430" t="s">
        <v>49</v>
      </c>
      <c r="G3430">
        <v>-205.81630000000001</v>
      </c>
      <c r="H3430" s="1">
        <v>4.9168250000000001E-6</v>
      </c>
      <c r="I3430">
        <v>213.23769999999999</v>
      </c>
      <c r="J3430">
        <v>-217.3871</v>
      </c>
      <c r="K3430">
        <v>1.102433</v>
      </c>
      <c r="L3430">
        <v>216.59729999999999</v>
      </c>
      <c r="M3430">
        <v>0.9971101</v>
      </c>
      <c r="N3430">
        <v>0</v>
      </c>
      <c r="O3430">
        <v>-7.4736360000000002E-2</v>
      </c>
      <c r="P3430">
        <v>0.98484150000000004</v>
      </c>
      <c r="Q3430">
        <v>7.2744059999999998E-3</v>
      </c>
      <c r="R3430">
        <v>-0.17330499999999999</v>
      </c>
      <c r="S3430">
        <v>2.9036559999999998</v>
      </c>
      <c r="T3430">
        <v>-0.27067639999999998</v>
      </c>
      <c r="U3430">
        <v>-0.83023069999999899</v>
      </c>
      <c r="V3430">
        <v>9.9307220000000002E-2</v>
      </c>
      <c r="W3430">
        <v>2.0371279999999999E-2</v>
      </c>
      <c r="X3430">
        <v>0.99484830000000002</v>
      </c>
      <c r="Y3430">
        <v>0.20177</v>
      </c>
      <c r="Z3430">
        <v>-2.4066729999999998E-3</v>
      </c>
      <c r="AA3430">
        <v>0.97942999999999902</v>
      </c>
      <c r="AB3430">
        <v>25</v>
      </c>
      <c r="AC3430">
        <v>11.570799999999901</v>
      </c>
      <c r="AD3430">
        <v>-1.102428083175</v>
      </c>
      <c r="AE3430">
        <v>-3.3595999999999999</v>
      </c>
      <c r="AF3430">
        <v>2.4647282791244098</v>
      </c>
      <c r="AG3430">
        <v>-1.102428083175</v>
      </c>
      <c r="AH3430">
        <v>11.6916607447268</v>
      </c>
      <c r="AI3430">
        <v>95.271411157517804</v>
      </c>
      <c r="AJ3430">
        <v>78.095735233223294</v>
      </c>
      <c r="AK3430">
        <v>11.999381823172101</v>
      </c>
    </row>
    <row r="3431" spans="1:37" x14ac:dyDescent="0.2">
      <c r="A3431" t="str">
        <f>"20200111155916151"</f>
        <v>20200111155916151</v>
      </c>
      <c r="B3431" t="str">
        <f>"1578729556145070"</f>
        <v>1578729556145070</v>
      </c>
      <c r="C3431" t="s">
        <v>37</v>
      </c>
      <c r="D3431">
        <v>5.5251080000000004</v>
      </c>
      <c r="E3431">
        <v>0.54679990000000001</v>
      </c>
      <c r="F3431" t="s">
        <v>49</v>
      </c>
      <c r="G3431">
        <v>-205.86369999999999</v>
      </c>
      <c r="H3431" s="1">
        <v>4.9450320000000001E-6</v>
      </c>
      <c r="I3431">
        <v>213.15530000000001</v>
      </c>
      <c r="J3431">
        <v>-217.13210000000001</v>
      </c>
      <c r="K3431">
        <v>1.102444</v>
      </c>
      <c r="L3431">
        <v>216.57480000000001</v>
      </c>
      <c r="M3431">
        <v>0.99689050000000001</v>
      </c>
      <c r="N3431">
        <v>0</v>
      </c>
      <c r="O3431">
        <v>-7.760396E-2</v>
      </c>
      <c r="P3431">
        <v>0.9840082</v>
      </c>
      <c r="Q3431">
        <v>7.4952619999999999E-3</v>
      </c>
      <c r="R3431">
        <v>-0.17796529999999999</v>
      </c>
      <c r="S3431">
        <v>2.8959809999999999</v>
      </c>
      <c r="T3431">
        <v>-0.27705459999999998</v>
      </c>
      <c r="U3431">
        <v>-0.86502080000000003</v>
      </c>
      <c r="V3431">
        <v>0.101157</v>
      </c>
      <c r="W3431">
        <v>2.0622049999999999E-2</v>
      </c>
      <c r="X3431">
        <v>0.99465669999999995</v>
      </c>
      <c r="Y3431">
        <v>0.2104202</v>
      </c>
      <c r="Z3431">
        <v>-2.604313E-3</v>
      </c>
      <c r="AA3431">
        <v>0.97760749999999996</v>
      </c>
      <c r="AB3431">
        <v>25</v>
      </c>
      <c r="AC3431">
        <v>11.2684</v>
      </c>
      <c r="AD3431">
        <v>-1.1024390549680001</v>
      </c>
      <c r="AE3431">
        <v>-3.4195000000000002</v>
      </c>
      <c r="AF3431">
        <v>2.5126097730005199</v>
      </c>
      <c r="AG3431">
        <v>-1.1024390549680001</v>
      </c>
      <c r="AH3431">
        <v>11.3998883411956</v>
      </c>
      <c r="AI3431">
        <v>95.394980419048395</v>
      </c>
      <c r="AJ3431">
        <v>77.570366506557605</v>
      </c>
      <c r="AK3431">
        <v>11.725443869339101</v>
      </c>
    </row>
    <row r="3432" spans="1:37" x14ac:dyDescent="0.2">
      <c r="A3432" t="str">
        <f>"20200111155916173"</f>
        <v>20200111155916173</v>
      </c>
      <c r="B3432" t="str">
        <f>"1578729556165566"</f>
        <v>1578729556165566</v>
      </c>
      <c r="C3432" t="s">
        <v>37</v>
      </c>
      <c r="D3432">
        <v>5.46706</v>
      </c>
      <c r="E3432">
        <v>0.54763619999999902</v>
      </c>
      <c r="F3432" t="s">
        <v>49</v>
      </c>
      <c r="G3432">
        <v>-205.71960000000001</v>
      </c>
      <c r="H3432" s="1">
        <v>4.8905629999999999E-6</v>
      </c>
      <c r="I3432">
        <v>213.0472</v>
      </c>
      <c r="J3432">
        <v>-216.892</v>
      </c>
      <c r="K3432">
        <v>1.102454</v>
      </c>
      <c r="L3432">
        <v>216.553</v>
      </c>
      <c r="M3432">
        <v>0.99667609999999995</v>
      </c>
      <c r="N3432">
        <v>0</v>
      </c>
      <c r="O3432">
        <v>-8.0304819999999999E-2</v>
      </c>
      <c r="P3432">
        <v>0.98336179999999995</v>
      </c>
      <c r="Q3432">
        <v>8.1203219999999993E-3</v>
      </c>
      <c r="R3432">
        <v>-0.18147639999999901</v>
      </c>
      <c r="S3432">
        <v>2.8893430000000002</v>
      </c>
      <c r="T3432">
        <v>-0.27910829999999998</v>
      </c>
      <c r="U3432">
        <v>-0.89309689999999997</v>
      </c>
      <c r="V3432">
        <v>0.10201540000000001</v>
      </c>
      <c r="W3432">
        <v>2.1276130000000001E-2</v>
      </c>
      <c r="X3432">
        <v>0.99455530000000003</v>
      </c>
      <c r="Y3432">
        <v>0.21705199999999999</v>
      </c>
      <c r="Z3432">
        <v>-2.6863590000000001E-3</v>
      </c>
      <c r="AA3432">
        <v>0.97615640000000004</v>
      </c>
      <c r="AB3432">
        <v>25</v>
      </c>
      <c r="AC3432">
        <v>11.1723999999999</v>
      </c>
      <c r="AD3432">
        <v>-1.1024491094369999</v>
      </c>
      <c r="AE3432">
        <v>-3.50579999999999</v>
      </c>
      <c r="AF3432">
        <v>2.5743738201345701</v>
      </c>
      <c r="AG3432">
        <v>-1.1024491094369999</v>
      </c>
      <c r="AH3432">
        <v>11.3175487330143</v>
      </c>
      <c r="AI3432">
        <v>95.425919250221696</v>
      </c>
      <c r="AJ3432">
        <v>77.185126194510701</v>
      </c>
      <c r="AK3432">
        <v>11.658889480943101</v>
      </c>
    </row>
    <row r="3433" spans="1:37" x14ac:dyDescent="0.2">
      <c r="A3433" t="str">
        <f>"20200111155916195"</f>
        <v>20200111155916195</v>
      </c>
      <c r="B3433" t="str">
        <f>"1578729556185087"</f>
        <v>1578729556185087</v>
      </c>
      <c r="C3433" t="s">
        <v>37</v>
      </c>
      <c r="D3433">
        <v>5.3875640000000002</v>
      </c>
      <c r="E3433">
        <v>0.54831739999999995</v>
      </c>
      <c r="F3433" t="s">
        <v>49</v>
      </c>
      <c r="G3433">
        <v>-205.57640000000001</v>
      </c>
      <c r="H3433" s="1">
        <v>4.8324450000000003E-6</v>
      </c>
      <c r="I3433">
        <v>212.98589999999999</v>
      </c>
      <c r="J3433">
        <v>-216.63849999999999</v>
      </c>
      <c r="K3433">
        <v>1.1024609999999999</v>
      </c>
      <c r="L3433">
        <v>216.52930000000001</v>
      </c>
      <c r="M3433">
        <v>0.99644200000000005</v>
      </c>
      <c r="N3433">
        <v>0</v>
      </c>
      <c r="O3433">
        <v>-8.3155599999999996E-2</v>
      </c>
      <c r="P3433">
        <v>0.98270109999999999</v>
      </c>
      <c r="Q3433">
        <v>8.0663379999999993E-3</v>
      </c>
      <c r="R3433">
        <v>-0.18502349999999901</v>
      </c>
      <c r="S3433">
        <v>2.8852389999999999</v>
      </c>
      <c r="T3433">
        <v>-0.28110239999999997</v>
      </c>
      <c r="U3433">
        <v>-0.90954590000000002</v>
      </c>
      <c r="V3433">
        <v>0.10275869999999999</v>
      </c>
      <c r="W3433">
        <v>2.1248949999999999E-2</v>
      </c>
      <c r="X3433">
        <v>0.99447929999999995</v>
      </c>
      <c r="Y3433">
        <v>0.21971350000000001</v>
      </c>
      <c r="Z3433">
        <v>-2.5653970000000001E-3</v>
      </c>
      <c r="AA3433">
        <v>0.97556109999999896</v>
      </c>
      <c r="AB3433">
        <v>25</v>
      </c>
      <c r="AC3433">
        <v>11.0620999999999</v>
      </c>
      <c r="AD3433">
        <v>-1.102456167555</v>
      </c>
      <c r="AE3433">
        <v>-3.5434000000000201</v>
      </c>
      <c r="AF3433">
        <v>2.5878517758468802</v>
      </c>
      <c r="AG3433">
        <v>-1.102456167555</v>
      </c>
      <c r="AH3433">
        <v>11.217414989439201</v>
      </c>
      <c r="AI3433">
        <v>95.470270115528507</v>
      </c>
      <c r="AJ3433">
        <v>77.009177765763695</v>
      </c>
      <c r="AK3433">
        <v>11.5647215902688</v>
      </c>
    </row>
    <row r="3434" spans="1:37" x14ac:dyDescent="0.2">
      <c r="A3434" t="str">
        <f>"20200111155916218"</f>
        <v>20200111155916218</v>
      </c>
      <c r="B3434" t="str">
        <f>"1578729556215342"</f>
        <v>1578729556215342</v>
      </c>
      <c r="C3434" t="s">
        <v>37</v>
      </c>
      <c r="D3434">
        <v>5.3917929999999998</v>
      </c>
      <c r="E3434">
        <v>0.54893769999999997</v>
      </c>
      <c r="F3434" t="s">
        <v>49</v>
      </c>
      <c r="G3434">
        <v>-205.4597</v>
      </c>
      <c r="H3434" s="1">
        <v>4.7846849999999999E-6</v>
      </c>
      <c r="I3434">
        <v>212.9402</v>
      </c>
      <c r="J3434">
        <v>-216.3922</v>
      </c>
      <c r="K3434">
        <v>1.1024609999999999</v>
      </c>
      <c r="L3434">
        <v>216.50550000000001</v>
      </c>
      <c r="M3434">
        <v>0.99620659999999905</v>
      </c>
      <c r="N3434">
        <v>0</v>
      </c>
      <c r="O3434">
        <v>-8.5925390000000004E-2</v>
      </c>
      <c r="P3434">
        <v>0.98224249999999902</v>
      </c>
      <c r="Q3434">
        <v>6.4200209999999997E-3</v>
      </c>
      <c r="R3434">
        <v>-0.18750629999999999</v>
      </c>
      <c r="S3434">
        <v>2.8809809999999998</v>
      </c>
      <c r="T3434">
        <v>-0.28412309999999902</v>
      </c>
      <c r="U3434">
        <v>-0.92495729999999998</v>
      </c>
      <c r="V3434">
        <v>0.10249809999999999</v>
      </c>
      <c r="W3434">
        <v>1.9630430000000001E-2</v>
      </c>
      <c r="X3434">
        <v>0.99453950000000002</v>
      </c>
      <c r="Y3434">
        <v>0.22214130000000001</v>
      </c>
      <c r="Z3434">
        <v>-2.447963E-3</v>
      </c>
      <c r="AA3434">
        <v>0.97501139999999997</v>
      </c>
      <c r="AB3434">
        <v>25</v>
      </c>
      <c r="AC3434">
        <v>10.932499999999999</v>
      </c>
      <c r="AD3434">
        <v>-1.1024562153149999</v>
      </c>
      <c r="AE3434">
        <v>-3.5653000000000001</v>
      </c>
      <c r="AF3434">
        <v>2.5888477076321799</v>
      </c>
      <c r="AG3434">
        <v>-1.1024562153149999</v>
      </c>
      <c r="AH3434">
        <v>11.0964443392616</v>
      </c>
      <c r="AI3434">
        <v>95.526387874614798</v>
      </c>
      <c r="AJ3434">
        <v>76.867557608393497</v>
      </c>
      <c r="AK3434">
        <v>11.4476468819723</v>
      </c>
    </row>
    <row r="3435" spans="1:37" x14ac:dyDescent="0.2">
      <c r="A3435" t="str">
        <f>"20200111155916240"</f>
        <v>20200111155916240</v>
      </c>
      <c r="B3435" t="str">
        <f>"1578729556235840"</f>
        <v>1578729556235840</v>
      </c>
      <c r="C3435" t="s">
        <v>37</v>
      </c>
      <c r="D3435">
        <v>5.3615309999999896</v>
      </c>
      <c r="E3435">
        <v>0.54919110000000004</v>
      </c>
      <c r="F3435" t="s">
        <v>49</v>
      </c>
      <c r="G3435">
        <v>-205.5573</v>
      </c>
      <c r="H3435" s="1">
        <v>4.8246439999999999E-6</v>
      </c>
      <c r="I3435">
        <v>212.97810000000001</v>
      </c>
      <c r="J3435">
        <v>-216.13890000000001</v>
      </c>
      <c r="K3435">
        <v>1.102457</v>
      </c>
      <c r="L3435">
        <v>216.4804</v>
      </c>
      <c r="M3435">
        <v>0.99595650000000002</v>
      </c>
      <c r="N3435">
        <v>0</v>
      </c>
      <c r="O3435">
        <v>-8.8772160000000003E-2</v>
      </c>
      <c r="P3435">
        <v>0.98180650000000003</v>
      </c>
      <c r="Q3435">
        <v>4.377789E-3</v>
      </c>
      <c r="R3435">
        <v>-0.18983349999999999</v>
      </c>
      <c r="S3435">
        <v>2.877335</v>
      </c>
      <c r="T3435">
        <v>-0.2927709</v>
      </c>
      <c r="U3435">
        <v>-0.93673709999999899</v>
      </c>
      <c r="V3435">
        <v>0.10200189999999899</v>
      </c>
      <c r="W3435">
        <v>1.761424E-2</v>
      </c>
      <c r="X3435">
        <v>0.99462830000000002</v>
      </c>
      <c r="Y3435">
        <v>0.22329879999999999</v>
      </c>
      <c r="Z3435">
        <v>-2.3022699999999999E-3</v>
      </c>
      <c r="AA3435">
        <v>0.97474729999999998</v>
      </c>
      <c r="AB3435">
        <v>25</v>
      </c>
      <c r="AC3435">
        <v>10.5816</v>
      </c>
      <c r="AD3435">
        <v>-1.1024521753559999</v>
      </c>
      <c r="AE3435">
        <v>-3.5022999999999902</v>
      </c>
      <c r="AF3435">
        <v>2.5243338410526399</v>
      </c>
      <c r="AG3435">
        <v>-1.1024521753559999</v>
      </c>
      <c r="AH3435">
        <v>10.745627573183899</v>
      </c>
      <c r="AI3435">
        <v>95.703588655860997</v>
      </c>
      <c r="AJ3435">
        <v>76.779939145135003</v>
      </c>
      <c r="AK3435">
        <v>11.0930687405064</v>
      </c>
    </row>
    <row r="3436" spans="1:37" x14ac:dyDescent="0.2">
      <c r="A3436" t="str">
        <f>"20200111155916263"</f>
        <v>20200111155916263</v>
      </c>
      <c r="B3436" t="str">
        <f>"1578729556255358"</f>
        <v>1578729556255358</v>
      </c>
      <c r="C3436" t="s">
        <v>37</v>
      </c>
      <c r="D3436">
        <v>5.3501079999999996</v>
      </c>
      <c r="E3436">
        <v>0.54912190000000005</v>
      </c>
      <c r="F3436" t="s">
        <v>49</v>
      </c>
      <c r="G3436">
        <v>-205.60839999999999</v>
      </c>
      <c r="H3436" s="1">
        <v>4.844012E-6</v>
      </c>
      <c r="I3436">
        <v>213.01560000000001</v>
      </c>
      <c r="J3436">
        <v>-215.8845</v>
      </c>
      <c r="K3436">
        <v>1.1024670000000001</v>
      </c>
      <c r="L3436">
        <v>216.45439999999999</v>
      </c>
      <c r="M3436">
        <v>0.99569759999999996</v>
      </c>
      <c r="N3436">
        <v>0</v>
      </c>
      <c r="O3436">
        <v>-9.1630100000000006E-2</v>
      </c>
      <c r="P3436">
        <v>0.98142149999999995</v>
      </c>
      <c r="Q3436">
        <v>2.6828780000000001E-3</v>
      </c>
      <c r="R3436">
        <v>-0.1918465</v>
      </c>
      <c r="S3436">
        <v>2.8740999999999999</v>
      </c>
      <c r="T3436">
        <v>-0.30089309999999903</v>
      </c>
      <c r="U3436">
        <v>-0.94564820000000005</v>
      </c>
      <c r="V3436">
        <v>0.1011783</v>
      </c>
      <c r="W3436">
        <v>1.5944110000000001E-2</v>
      </c>
      <c r="X3436">
        <v>0.99474050000000003</v>
      </c>
      <c r="Y3436">
        <v>0.22353149999999999</v>
      </c>
      <c r="Z3436">
        <v>-2.0915550000000002E-3</v>
      </c>
      <c r="AA3436">
        <v>0.97469439999999996</v>
      </c>
      <c r="AB3436">
        <v>25</v>
      </c>
      <c r="AC3436">
        <v>10.2761</v>
      </c>
      <c r="AD3436">
        <v>-1.1024621559879999</v>
      </c>
      <c r="AE3436">
        <v>-3.4387999999999801</v>
      </c>
      <c r="AF3436">
        <v>2.45720701364246</v>
      </c>
      <c r="AG3436">
        <v>-1.1024621559879999</v>
      </c>
      <c r="AH3436">
        <v>10.4399277847329</v>
      </c>
      <c r="AI3436">
        <v>95.868920062760196</v>
      </c>
      <c r="AJ3436">
        <v>76.755562199637495</v>
      </c>
      <c r="AK3436">
        <v>10.781715135530099</v>
      </c>
    </row>
    <row r="3437" spans="1:37" x14ac:dyDescent="0.2">
      <c r="A3437" t="str">
        <f>"20200111155916284"</f>
        <v>20200111155916284</v>
      </c>
      <c r="B3437" t="str">
        <f>"1578729556275854"</f>
        <v>1578729556275854</v>
      </c>
      <c r="C3437" t="s">
        <v>37</v>
      </c>
      <c r="D3437">
        <v>5.3343970000000001</v>
      </c>
      <c r="E3437">
        <v>0.54901119999999903</v>
      </c>
      <c r="F3437" t="s">
        <v>49</v>
      </c>
      <c r="G3437">
        <v>-205.58529999999999</v>
      </c>
      <c r="H3437" s="1">
        <v>4.8312609999999998E-6</v>
      </c>
      <c r="I3437">
        <v>213.0445</v>
      </c>
      <c r="J3437">
        <v>-215.6472</v>
      </c>
      <c r="K3437">
        <v>1.102481</v>
      </c>
      <c r="L3437">
        <v>216.42949999999999</v>
      </c>
      <c r="M3437">
        <v>0.99544849999999996</v>
      </c>
      <c r="N3437">
        <v>0</v>
      </c>
      <c r="O3437">
        <v>-9.4295019999999993E-2</v>
      </c>
      <c r="P3437">
        <v>0.98103859999999998</v>
      </c>
      <c r="Q3437">
        <v>2.8018169999999998E-3</v>
      </c>
      <c r="R3437">
        <v>-0.19379299999999999</v>
      </c>
      <c r="S3437">
        <v>2.8717649999999999</v>
      </c>
      <c r="T3437">
        <v>-0.30740390000000001</v>
      </c>
      <c r="U3437">
        <v>-0.95079040000000004</v>
      </c>
      <c r="V3437">
        <v>0.1004891</v>
      </c>
      <c r="W3437">
        <v>1.608333E-2</v>
      </c>
      <c r="X3437">
        <v>0.99480809999999997</v>
      </c>
      <c r="Y3437">
        <v>0.222720899999999</v>
      </c>
      <c r="Z3437">
        <v>-1.821504E-3</v>
      </c>
      <c r="AA3437">
        <v>0.97488059999999999</v>
      </c>
      <c r="AB3437">
        <v>25</v>
      </c>
      <c r="AC3437">
        <v>10.0619</v>
      </c>
      <c r="AD3437">
        <v>-1.1024761687389999</v>
      </c>
      <c r="AE3437">
        <v>-3.38499999999999</v>
      </c>
      <c r="AF3437">
        <v>2.39520506969897</v>
      </c>
      <c r="AG3437">
        <v>-1.1024761687389999</v>
      </c>
      <c r="AH3437">
        <v>10.225991853401</v>
      </c>
      <c r="AI3437">
        <v>95.992402019294303</v>
      </c>
      <c r="AJ3437">
        <v>76.817418873291601</v>
      </c>
      <c r="AK3437">
        <v>10.560462604184201</v>
      </c>
    </row>
    <row r="3438" spans="1:37" x14ac:dyDescent="0.2">
      <c r="A3438" t="str">
        <f>"20200111155916308"</f>
        <v>20200111155916308</v>
      </c>
      <c r="B3438" t="str">
        <f>"1578729556295374"</f>
        <v>1578729556295374</v>
      </c>
      <c r="C3438" t="s">
        <v>37</v>
      </c>
      <c r="D3438">
        <v>5.3152679999999997</v>
      </c>
      <c r="E3438">
        <v>0.54884820000000001</v>
      </c>
      <c r="F3438" t="s">
        <v>49</v>
      </c>
      <c r="G3438">
        <v>-205.4091</v>
      </c>
      <c r="H3438" s="1">
        <v>4.7552120000000001E-6</v>
      </c>
      <c r="I3438">
        <v>213.02029999999999</v>
      </c>
      <c r="J3438">
        <v>-215.4008</v>
      </c>
      <c r="K3438">
        <v>1.1024890000000001</v>
      </c>
      <c r="L3438">
        <v>216.40289999999999</v>
      </c>
      <c r="M3438">
        <v>0.99518300000000004</v>
      </c>
      <c r="N3438">
        <v>0</v>
      </c>
      <c r="O3438">
        <v>-9.7054489999999993E-2</v>
      </c>
      <c r="P3438">
        <v>0.98043269999999905</v>
      </c>
      <c r="Q3438">
        <v>3.6289359999999902E-3</v>
      </c>
      <c r="R3438">
        <v>-0.19682169999999999</v>
      </c>
      <c r="S3438">
        <v>2.8700869999999998</v>
      </c>
      <c r="T3438">
        <v>-0.30906079999999903</v>
      </c>
      <c r="U3438">
        <v>-0.95570370000000004</v>
      </c>
      <c r="V3438">
        <v>0.10080699999999999</v>
      </c>
      <c r="W3438">
        <v>1.6922449999999999E-2</v>
      </c>
      <c r="X3438">
        <v>0.99476209999999898</v>
      </c>
      <c r="Y3438">
        <v>0.2217037</v>
      </c>
      <c r="Z3438">
        <v>-1.4934309999999999E-3</v>
      </c>
      <c r="AA3438">
        <v>0.97511289999999995</v>
      </c>
      <c r="AB3438">
        <v>25</v>
      </c>
      <c r="AC3438">
        <v>9.9916999999999998</v>
      </c>
      <c r="AD3438">
        <v>-1.1024842447879999</v>
      </c>
      <c r="AE3438">
        <v>-3.3825999999999898</v>
      </c>
      <c r="AF3438">
        <v>2.3708984477681998</v>
      </c>
      <c r="AG3438">
        <v>-1.1024842447879999</v>
      </c>
      <c r="AH3438">
        <v>10.1618505600524</v>
      </c>
      <c r="AI3438">
        <v>96.031204034553795</v>
      </c>
      <c r="AJ3438">
        <v>76.867047224376606</v>
      </c>
      <c r="AK3438">
        <v>10.4928469808948</v>
      </c>
    </row>
    <row r="3439" spans="1:37" x14ac:dyDescent="0.2">
      <c r="A3439" t="str">
        <f>"20200111155916330"</f>
        <v>20200111155916330</v>
      </c>
      <c r="B3439" t="str">
        <f>"1578729556325631"</f>
        <v>1578729556325631</v>
      </c>
      <c r="C3439" t="s">
        <v>37</v>
      </c>
      <c r="D3439">
        <v>5.2983279999999997</v>
      </c>
      <c r="E3439">
        <v>0.54868980000000001</v>
      </c>
      <c r="F3439" t="s">
        <v>49</v>
      </c>
      <c r="G3439">
        <v>-205.1619</v>
      </c>
      <c r="H3439" s="1">
        <v>4.6505989999999998E-6</v>
      </c>
      <c r="I3439">
        <v>212.96299999999999</v>
      </c>
      <c r="J3439">
        <v>-215.14609999999999</v>
      </c>
      <c r="K3439">
        <v>1.1025069999999999</v>
      </c>
      <c r="L3439">
        <v>216.37459999999999</v>
      </c>
      <c r="M3439">
        <v>0.9949017</v>
      </c>
      <c r="N3439">
        <v>0</v>
      </c>
      <c r="O3439">
        <v>-9.9896209999999999E-2</v>
      </c>
      <c r="P3439">
        <v>0.97962229999999995</v>
      </c>
      <c r="Q3439">
        <v>3.2503739999999999E-3</v>
      </c>
      <c r="R3439">
        <v>-0.20082220000000001</v>
      </c>
      <c r="S3439">
        <v>2.8676300000000001</v>
      </c>
      <c r="T3439">
        <v>-0.30877359999999998</v>
      </c>
      <c r="U3439">
        <v>-0.96339419999999898</v>
      </c>
      <c r="V3439">
        <v>0.1020247</v>
      </c>
      <c r="W3439">
        <v>1.655009E-2</v>
      </c>
      <c r="X3439">
        <v>0.99464419999999898</v>
      </c>
      <c r="Y3439">
        <v>0.22153789999999901</v>
      </c>
      <c r="Z3439">
        <v>-1.19071E-3</v>
      </c>
      <c r="AA3439">
        <v>0.97515110000000005</v>
      </c>
      <c r="AB3439">
        <v>25</v>
      </c>
      <c r="AC3439">
        <v>9.98419999999998</v>
      </c>
      <c r="AD3439">
        <v>-1.102502349401</v>
      </c>
      <c r="AE3439">
        <v>-3.4115999999999902</v>
      </c>
      <c r="AF3439">
        <v>2.3711621164071999</v>
      </c>
      <c r="AG3439">
        <v>-1.102502349401</v>
      </c>
      <c r="AH3439">
        <v>10.164107207744699</v>
      </c>
      <c r="AI3439">
        <v>96.0300073836477</v>
      </c>
      <c r="AJ3439">
        <v>76.868452379373693</v>
      </c>
      <c r="AK3439">
        <v>10.4950939273189</v>
      </c>
    </row>
    <row r="3440" spans="1:37" x14ac:dyDescent="0.2">
      <c r="A3440" t="str">
        <f>"20200111155916351"</f>
        <v>20200111155916351</v>
      </c>
      <c r="B3440" t="str">
        <f>"1578729556345150"</f>
        <v>1578729556345150</v>
      </c>
      <c r="C3440" t="s">
        <v>37</v>
      </c>
      <c r="D3440">
        <v>5.2267679999999999</v>
      </c>
      <c r="E3440">
        <v>0.5486259</v>
      </c>
      <c r="F3440" t="s">
        <v>49</v>
      </c>
      <c r="G3440">
        <v>-205.03319999999999</v>
      </c>
      <c r="H3440" s="1">
        <v>4.595856E-6</v>
      </c>
      <c r="I3440">
        <v>212.93639999999999</v>
      </c>
      <c r="J3440">
        <v>-214.90469999999999</v>
      </c>
      <c r="K3440">
        <v>1.1025180000000001</v>
      </c>
      <c r="L3440">
        <v>216.34729999999999</v>
      </c>
      <c r="M3440">
        <v>0.99462870000000003</v>
      </c>
      <c r="N3440">
        <v>0</v>
      </c>
      <c r="O3440">
        <v>-0.1025779</v>
      </c>
      <c r="P3440">
        <v>0.97862369999999899</v>
      </c>
      <c r="Q3440">
        <v>2.0236199999999998E-3</v>
      </c>
      <c r="R3440">
        <v>-0.2056501</v>
      </c>
      <c r="S3440">
        <v>2.863861</v>
      </c>
      <c r="T3440">
        <v>-0.31221379999999999</v>
      </c>
      <c r="U3440">
        <v>-0.97367859999999995</v>
      </c>
      <c r="V3440">
        <v>0.104241</v>
      </c>
      <c r="W3440">
        <v>1.532239E-2</v>
      </c>
      <c r="X3440">
        <v>0.99443400000000004</v>
      </c>
      <c r="Y3440">
        <v>0.22243399999999999</v>
      </c>
      <c r="Z3440">
        <v>-9.7242089999999997E-4</v>
      </c>
      <c r="AA3440">
        <v>0.97494729999999996</v>
      </c>
      <c r="AB3440">
        <v>25</v>
      </c>
      <c r="AC3440">
        <v>9.8714999999999904</v>
      </c>
      <c r="AD3440">
        <v>-1.1025134041439999</v>
      </c>
      <c r="AE3440">
        <v>-3.4108999999999901</v>
      </c>
      <c r="AF3440">
        <v>2.3539778049294502</v>
      </c>
      <c r="AG3440">
        <v>-1.1025134041439999</v>
      </c>
      <c r="AH3440">
        <v>10.0572614692566</v>
      </c>
      <c r="AI3440">
        <v>96.092618393682699</v>
      </c>
      <c r="AJ3440">
        <v>76.826632889011705</v>
      </c>
      <c r="AK3440">
        <v>10.387745451897199</v>
      </c>
    </row>
    <row r="3441" spans="1:37" x14ac:dyDescent="0.2">
      <c r="A3441" t="str">
        <f>"20200111155916373"</f>
        <v>20200111155916373</v>
      </c>
      <c r="B3441" t="str">
        <f>"1578729556365647"</f>
        <v>1578729556365647</v>
      </c>
      <c r="C3441" t="s">
        <v>37</v>
      </c>
      <c r="D3441">
        <v>5.2540490000000002</v>
      </c>
      <c r="E3441">
        <v>0.54837130000000001</v>
      </c>
      <c r="F3441" t="s">
        <v>49</v>
      </c>
      <c r="G3441">
        <v>-204.9624</v>
      </c>
      <c r="H3441" s="1">
        <v>4.5664430000000001E-6</v>
      </c>
      <c r="I3441">
        <v>212.91390000000001</v>
      </c>
      <c r="J3441">
        <v>-214.6626</v>
      </c>
      <c r="K3441">
        <v>1.1025309999999999</v>
      </c>
      <c r="L3441">
        <v>216.31909999999999</v>
      </c>
      <c r="M3441">
        <v>0.99435010000000001</v>
      </c>
      <c r="N3441">
        <v>0</v>
      </c>
      <c r="O3441">
        <v>-0.10524360000000001</v>
      </c>
      <c r="P3441">
        <v>0.977379</v>
      </c>
      <c r="Q3441">
        <v>2.074855E-3</v>
      </c>
      <c r="R3441">
        <v>-0.21148510000000001</v>
      </c>
      <c r="S3441">
        <v>2.858749</v>
      </c>
      <c r="T3441">
        <v>-0.31700970000000001</v>
      </c>
      <c r="U3441">
        <v>-0.98719789999999996</v>
      </c>
      <c r="V3441">
        <v>0.10750799999999899</v>
      </c>
      <c r="W3441">
        <v>1.5365780000000001E-2</v>
      </c>
      <c r="X3441">
        <v>0.99408549999999996</v>
      </c>
      <c r="Y3441">
        <v>0.2244603</v>
      </c>
      <c r="Z3441">
        <v>-8.1489609999999999E-4</v>
      </c>
      <c r="AA3441">
        <v>0.97448289999999904</v>
      </c>
      <c r="AB3441">
        <v>25</v>
      </c>
      <c r="AC3441">
        <v>9.7001999999999899</v>
      </c>
      <c r="AD3441">
        <v>-1.102526433557</v>
      </c>
      <c r="AE3441">
        <v>-3.4051999999999798</v>
      </c>
      <c r="AF3441">
        <v>2.3384089185141699</v>
      </c>
      <c r="AG3441">
        <v>-1.102526433557</v>
      </c>
      <c r="AH3441">
        <v>9.8909700947117702</v>
      </c>
      <c r="AI3441">
        <v>96.191099277340399</v>
      </c>
      <c r="AJ3441">
        <v>76.698449256763993</v>
      </c>
      <c r="AK3441">
        <v>10.223258297693601</v>
      </c>
    </row>
    <row r="3442" spans="1:37" x14ac:dyDescent="0.2">
      <c r="A3442" t="str">
        <f>"20200111155916396"</f>
        <v>20200111155916396</v>
      </c>
      <c r="B3442" t="str">
        <f>"1578729556385166"</f>
        <v>1578729556385166</v>
      </c>
      <c r="C3442" t="s">
        <v>37</v>
      </c>
      <c r="D3442">
        <v>5.3565889999999996</v>
      </c>
      <c r="E3442">
        <v>0.5480216</v>
      </c>
      <c r="F3442" t="s">
        <v>49</v>
      </c>
      <c r="G3442">
        <v>-204.81180000000001</v>
      </c>
      <c r="H3442" s="1">
        <v>4.504062E-6</v>
      </c>
      <c r="I3442">
        <v>212.86349999999999</v>
      </c>
      <c r="J3442">
        <v>-214.4102</v>
      </c>
      <c r="K3442">
        <v>1.102562</v>
      </c>
      <c r="L3442">
        <v>216.28919999999999</v>
      </c>
      <c r="M3442">
        <v>0.99405710000000003</v>
      </c>
      <c r="N3442">
        <v>0</v>
      </c>
      <c r="O3442">
        <v>-0.107975</v>
      </c>
      <c r="P3442">
        <v>0.97608669999999997</v>
      </c>
      <c r="Q3442">
        <v>1.8906459999999999E-3</v>
      </c>
      <c r="R3442">
        <v>-0.21737339999999999</v>
      </c>
      <c r="S3442">
        <v>2.8535309999999998</v>
      </c>
      <c r="T3442">
        <v>-0.31937500000000002</v>
      </c>
      <c r="U3442">
        <v>-1.001007</v>
      </c>
      <c r="V3442">
        <v>0.1107673</v>
      </c>
      <c r="W3442">
        <v>1.517554E-2</v>
      </c>
      <c r="X3442">
        <v>0.99373049999999996</v>
      </c>
      <c r="Y3442">
        <v>0.22653129999999999</v>
      </c>
      <c r="Z3442">
        <v>-6.4256969999999997E-4</v>
      </c>
      <c r="AA3442">
        <v>0.97400370000000003</v>
      </c>
      <c r="AB3442">
        <v>25</v>
      </c>
      <c r="AC3442">
        <v>9.5983999999999892</v>
      </c>
      <c r="AD3442">
        <v>-1.102557495938</v>
      </c>
      <c r="AE3442">
        <v>-3.4257</v>
      </c>
      <c r="AF3442">
        <v>2.3417733515557</v>
      </c>
      <c r="AG3442">
        <v>-1.102557495938</v>
      </c>
      <c r="AH3442">
        <v>9.7975283313953003</v>
      </c>
      <c r="AI3442">
        <v>96.246231438402802</v>
      </c>
      <c r="AJ3442">
        <v>76.557546595508597</v>
      </c>
      <c r="AK3442">
        <v>10.1336615725215</v>
      </c>
    </row>
    <row r="3443" spans="1:37" x14ac:dyDescent="0.2">
      <c r="A3443" t="str">
        <f>"20200111155916420"</f>
        <v>20200111155916420</v>
      </c>
      <c r="B3443" t="str">
        <f>"1578729556415423"</f>
        <v>1578729556415423</v>
      </c>
      <c r="C3443" t="s">
        <v>37</v>
      </c>
      <c r="D3443">
        <v>5.1721110000000001</v>
      </c>
      <c r="E3443">
        <v>0.54776659999999999</v>
      </c>
      <c r="F3443" t="s">
        <v>49</v>
      </c>
      <c r="G3443">
        <v>-204.67019999999999</v>
      </c>
      <c r="H3443" s="1">
        <v>4.4452140000000002E-6</v>
      </c>
      <c r="I3443">
        <v>212.81819999999999</v>
      </c>
      <c r="J3443">
        <v>-214.16200000000001</v>
      </c>
      <c r="K3443">
        <v>1.1026049999999901</v>
      </c>
      <c r="L3443">
        <v>216.25909999999999</v>
      </c>
      <c r="M3443">
        <v>0.9937686</v>
      </c>
      <c r="N3443">
        <v>0</v>
      </c>
      <c r="O3443">
        <v>-0.11059769999999899</v>
      </c>
      <c r="P3443">
        <v>0.97489890000000001</v>
      </c>
      <c r="Q3443">
        <v>1.47617E-3</v>
      </c>
      <c r="R3443">
        <v>-0.22264349999999999</v>
      </c>
      <c r="S3443">
        <v>2.8480989999999999</v>
      </c>
      <c r="T3443">
        <v>-0.32240039999999998</v>
      </c>
      <c r="U3443">
        <v>-1.0149539999999999</v>
      </c>
      <c r="V3443">
        <v>0.1135099</v>
      </c>
      <c r="W3443">
        <v>1.476121E-2</v>
      </c>
      <c r="X3443">
        <v>0.99342719999999995</v>
      </c>
      <c r="Y3443">
        <v>0.22876849999999899</v>
      </c>
      <c r="Z3443">
        <v>-4.8931129999999997E-4</v>
      </c>
      <c r="AA3443">
        <v>0.97348069999999898</v>
      </c>
      <c r="AB3443">
        <v>25</v>
      </c>
      <c r="AC3443">
        <v>9.4918000000000102</v>
      </c>
      <c r="AD3443">
        <v>-1.1026005547859901</v>
      </c>
      <c r="AE3443">
        <v>-3.4408999999999899</v>
      </c>
      <c r="AF3443">
        <v>2.3419828689643398</v>
      </c>
      <c r="AG3443">
        <v>-1.1026005547859901</v>
      </c>
      <c r="AH3443">
        <v>9.6984811861902394</v>
      </c>
      <c r="AI3443">
        <v>96.306254576854499</v>
      </c>
      <c r="AJ3443">
        <v>76.424149818682594</v>
      </c>
      <c r="AK3443">
        <v>10.037985308856699</v>
      </c>
    </row>
    <row r="3444" spans="1:37" x14ac:dyDescent="0.2">
      <c r="A3444" t="str">
        <f>"20200111155916441"</f>
        <v>20200111155916441</v>
      </c>
      <c r="B3444" t="str">
        <f>"1578729556434942"</f>
        <v>1578729556434942</v>
      </c>
      <c r="C3444" t="s">
        <v>37</v>
      </c>
      <c r="D3444">
        <v>5.1432379999999904</v>
      </c>
      <c r="E3444">
        <v>0.54762949999999999</v>
      </c>
      <c r="F3444" t="s">
        <v>49</v>
      </c>
      <c r="G3444">
        <v>-204.50579999999999</v>
      </c>
      <c r="H3444" s="1">
        <v>4.3766319999999998E-6</v>
      </c>
      <c r="I3444">
        <v>212.7688</v>
      </c>
      <c r="J3444">
        <v>-213.9151</v>
      </c>
      <c r="K3444">
        <v>1.102665</v>
      </c>
      <c r="L3444">
        <v>216.2286</v>
      </c>
      <c r="M3444">
        <v>0.99348340000000002</v>
      </c>
      <c r="N3444">
        <v>0</v>
      </c>
      <c r="O3444">
        <v>-0.1131308</v>
      </c>
      <c r="P3444">
        <v>0.97367950000000003</v>
      </c>
      <c r="Q3444">
        <v>-3.3250080000000001E-4</v>
      </c>
      <c r="R3444">
        <v>-0.22792129999999899</v>
      </c>
      <c r="S3444">
        <v>2.8430330000000001</v>
      </c>
      <c r="T3444">
        <v>-0.3246347</v>
      </c>
      <c r="U3444">
        <v>-1.0276339999999999</v>
      </c>
      <c r="V3444">
        <v>0.1163488</v>
      </c>
      <c r="W3444">
        <v>1.2954179999999999E-2</v>
      </c>
      <c r="X3444">
        <v>0.99312389999999995</v>
      </c>
      <c r="Y3444">
        <v>0.2306742</v>
      </c>
      <c r="Z3444">
        <v>-3.2352189999999999E-4</v>
      </c>
      <c r="AA3444">
        <v>0.97303099999999998</v>
      </c>
      <c r="AB3444">
        <v>25</v>
      </c>
      <c r="AC3444">
        <v>9.4093</v>
      </c>
      <c r="AD3444">
        <v>-1.1026606233680001</v>
      </c>
      <c r="AE3444">
        <v>-3.4598</v>
      </c>
      <c r="AF3444">
        <v>2.3446360127357799</v>
      </c>
      <c r="AG3444">
        <v>-1.1026606233680001</v>
      </c>
      <c r="AH3444">
        <v>9.6239040436481904</v>
      </c>
      <c r="AI3444">
        <v>96.351968655977103</v>
      </c>
      <c r="AJ3444">
        <v>76.307973870562094</v>
      </c>
      <c r="AK3444">
        <v>9.9665795298031892</v>
      </c>
    </row>
    <row r="3445" spans="1:37" x14ac:dyDescent="0.2">
      <c r="A3445" t="str">
        <f>"20200111155916463"</f>
        <v>20200111155916463</v>
      </c>
      <c r="B3445" t="str">
        <f>"1578729556455438"</f>
        <v>1578729556455438</v>
      </c>
      <c r="C3445" t="s">
        <v>37</v>
      </c>
      <c r="D3445">
        <v>5.0395779999999997</v>
      </c>
      <c r="E3445">
        <v>0.54781449999999998</v>
      </c>
      <c r="F3445" t="s">
        <v>49</v>
      </c>
      <c r="G3445">
        <v>-204.4247</v>
      </c>
      <c r="H3445" s="1">
        <v>4.3427930000000002E-6</v>
      </c>
      <c r="I3445">
        <v>212.74449999999999</v>
      </c>
      <c r="J3445">
        <v>-213.6808</v>
      </c>
      <c r="K3445">
        <v>1.1027149999999999</v>
      </c>
      <c r="L3445">
        <v>216.19919999999999</v>
      </c>
      <c r="M3445">
        <v>0.99321510000000002</v>
      </c>
      <c r="N3445">
        <v>0</v>
      </c>
      <c r="O3445">
        <v>-0.1154621</v>
      </c>
      <c r="P3445">
        <v>0.97236679999999998</v>
      </c>
      <c r="Q3445">
        <v>-2.7840920000000002E-3</v>
      </c>
      <c r="R3445">
        <v>-0.23344200000000001</v>
      </c>
      <c r="S3445">
        <v>2.837189</v>
      </c>
      <c r="T3445">
        <v>-0.32964320000000003</v>
      </c>
      <c r="U3445">
        <v>-1.041595</v>
      </c>
      <c r="V3445">
        <v>0.1196411</v>
      </c>
      <c r="W3445">
        <v>1.050245E-2</v>
      </c>
      <c r="X3445">
        <v>0.99276169999999997</v>
      </c>
      <c r="Y3445">
        <v>0.23323389999999999</v>
      </c>
      <c r="Z3445">
        <v>-2.1568410000000001E-4</v>
      </c>
      <c r="AA3445">
        <v>0.97242059999999997</v>
      </c>
      <c r="AB3445">
        <v>25</v>
      </c>
      <c r="AC3445">
        <v>9.2561</v>
      </c>
      <c r="AD3445">
        <v>-1.10271065720699</v>
      </c>
      <c r="AE3445">
        <v>-3.4546999999999999</v>
      </c>
      <c r="AF3445">
        <v>2.3336869493288401</v>
      </c>
      <c r="AG3445">
        <v>-1.10271065720699</v>
      </c>
      <c r="AH3445">
        <v>9.4750727279658005</v>
      </c>
      <c r="AI3445">
        <v>96.447251277450107</v>
      </c>
      <c r="AJ3445">
        <v>76.163587473834596</v>
      </c>
      <c r="AK3445">
        <v>9.8203395445996104</v>
      </c>
    </row>
    <row r="3446" spans="1:37" x14ac:dyDescent="0.2">
      <c r="A3446" t="str">
        <f>"20200111155916486"</f>
        <v>20200111155916486</v>
      </c>
      <c r="B3446" t="str">
        <f>"1578729556474958"</f>
        <v>1578729556474958</v>
      </c>
      <c r="C3446" t="s">
        <v>37</v>
      </c>
      <c r="D3446">
        <v>5.0843210000000001</v>
      </c>
      <c r="E3446">
        <v>0.54791749999999995</v>
      </c>
      <c r="F3446" t="s">
        <v>49</v>
      </c>
      <c r="G3446">
        <v>-204.36539999999999</v>
      </c>
      <c r="H3446" s="1">
        <v>4.3192780000000001E-6</v>
      </c>
      <c r="I3446">
        <v>212.71279999999999</v>
      </c>
      <c r="J3446">
        <v>-213.43790000000001</v>
      </c>
      <c r="K3446">
        <v>1.102765</v>
      </c>
      <c r="L3446">
        <v>216.16820000000001</v>
      </c>
      <c r="M3446">
        <v>0.99293929999999997</v>
      </c>
      <c r="N3446">
        <v>0</v>
      </c>
      <c r="O3446">
        <v>-0.1178101</v>
      </c>
      <c r="P3446">
        <v>0.97115669999999898</v>
      </c>
      <c r="Q3446">
        <v>-5.1949789999999997E-3</v>
      </c>
      <c r="R3446">
        <v>-0.238385399999999</v>
      </c>
      <c r="S3446">
        <v>2.8300019999999999</v>
      </c>
      <c r="T3446">
        <v>-0.33500279999999999</v>
      </c>
      <c r="U3446">
        <v>-1.0591740000000001</v>
      </c>
      <c r="V3446">
        <v>0.122334199999999</v>
      </c>
      <c r="W3446">
        <v>8.0926190000000005E-3</v>
      </c>
      <c r="X3446">
        <v>0.99245599999999901</v>
      </c>
      <c r="Y3446">
        <v>0.2370082</v>
      </c>
      <c r="Z3446">
        <v>-1.722025E-4</v>
      </c>
      <c r="AA3446">
        <v>0.97150759999999903</v>
      </c>
      <c r="AB3446">
        <v>25</v>
      </c>
      <c r="AC3446">
        <v>9.0725000000000193</v>
      </c>
      <c r="AD3446">
        <v>-1.1027606807220001</v>
      </c>
      <c r="AE3446">
        <v>-3.45540000000002</v>
      </c>
      <c r="AF3446">
        <v>2.3323044611808799</v>
      </c>
      <c r="AG3446">
        <v>-1.1027606807220001</v>
      </c>
      <c r="AH3446">
        <v>9.2964785995662798</v>
      </c>
      <c r="AI3446">
        <v>96.563347348905907</v>
      </c>
      <c r="AJ3446">
        <v>75.916289308171699</v>
      </c>
      <c r="AK3446">
        <v>9.6478100919734402</v>
      </c>
    </row>
    <row r="3447" spans="1:37" x14ac:dyDescent="0.2">
      <c r="A3447" t="str">
        <f>"20200111155916508"</f>
        <v>20200111155916508</v>
      </c>
      <c r="B3447" t="str">
        <f>"1578729556505214"</f>
        <v>1578729556505214</v>
      </c>
      <c r="C3447" t="s">
        <v>37</v>
      </c>
      <c r="D3447">
        <v>5.174175</v>
      </c>
      <c r="E3447">
        <v>0.54746319999999904</v>
      </c>
      <c r="F3447" t="s">
        <v>49</v>
      </c>
      <c r="G3447">
        <v>-204.27119999999999</v>
      </c>
      <c r="H3447" s="1">
        <v>4.280472E-6</v>
      </c>
      <c r="I3447">
        <v>212.679</v>
      </c>
      <c r="J3447">
        <v>-213.1926</v>
      </c>
      <c r="K3447">
        <v>1.102792</v>
      </c>
      <c r="L3447">
        <v>216.13630000000001</v>
      </c>
      <c r="M3447">
        <v>0.99266209999999899</v>
      </c>
      <c r="N3447">
        <v>0</v>
      </c>
      <c r="O3447">
        <v>-0.1201241</v>
      </c>
      <c r="P3447">
        <v>0.97019599999999995</v>
      </c>
      <c r="Q3447">
        <v>-5.8979719999999996E-3</v>
      </c>
      <c r="R3447">
        <v>-0.2422494</v>
      </c>
      <c r="S3447">
        <v>2.8234409999999999</v>
      </c>
      <c r="T3447">
        <v>-0.33966269999999998</v>
      </c>
      <c r="U3447">
        <v>-1.074692</v>
      </c>
      <c r="V3447">
        <v>0.1239685</v>
      </c>
      <c r="W3447">
        <v>7.3931179999999997E-3</v>
      </c>
      <c r="X3447">
        <v>0.99225859999999899</v>
      </c>
      <c r="Y3447">
        <v>0.24012979999999901</v>
      </c>
      <c r="Z3447" s="1">
        <v>-9.2955309999999907E-5</v>
      </c>
      <c r="AA3447">
        <v>0.97074079999999996</v>
      </c>
      <c r="AB3447">
        <v>25</v>
      </c>
      <c r="AC3447">
        <v>8.9214000000000002</v>
      </c>
      <c r="AD3447">
        <v>-1.102787719528</v>
      </c>
      <c r="AE3447">
        <v>-3.4573</v>
      </c>
      <c r="AF3447">
        <v>2.3295351033500502</v>
      </c>
      <c r="AG3447">
        <v>-1.102787719528</v>
      </c>
      <c r="AH3447">
        <v>9.1505688206353906</v>
      </c>
      <c r="AI3447">
        <v>96.661428472497406</v>
      </c>
      <c r="AJ3447">
        <v>75.717143655724399</v>
      </c>
      <c r="AK3447">
        <v>9.5066179208626203</v>
      </c>
    </row>
    <row r="3448" spans="1:37" x14ac:dyDescent="0.2">
      <c r="A3448" t="str">
        <f>"20200111155916531"</f>
        <v>20200111155916531</v>
      </c>
      <c r="B3448" t="str">
        <f>"1578729556525710"</f>
        <v>1578729556525710</v>
      </c>
      <c r="C3448" t="s">
        <v>37</v>
      </c>
      <c r="D3448">
        <v>3.4571939999999999</v>
      </c>
      <c r="E3448">
        <v>0.54746319999999904</v>
      </c>
      <c r="F3448" t="s">
        <v>49</v>
      </c>
      <c r="G3448">
        <v>-204.03059999999999</v>
      </c>
      <c r="H3448" s="1">
        <v>4.1793759999999902E-6</v>
      </c>
      <c r="I3448">
        <v>212.6146</v>
      </c>
      <c r="J3448">
        <v>-212.9391</v>
      </c>
      <c r="K3448">
        <v>1.1028129999999901</v>
      </c>
      <c r="L3448">
        <v>216.1028</v>
      </c>
      <c r="M3448">
        <v>0.9923748</v>
      </c>
      <c r="N3448">
        <v>0</v>
      </c>
      <c r="O3448">
        <v>-0.1224753</v>
      </c>
      <c r="P3448">
        <v>0.96945040000000005</v>
      </c>
      <c r="Q3448">
        <v>-6.6479449999999997E-3</v>
      </c>
      <c r="R3448">
        <v>-0.24519779999999999</v>
      </c>
      <c r="S3448">
        <v>2.8194889999999999</v>
      </c>
      <c r="T3448">
        <v>-0.33936869999999902</v>
      </c>
      <c r="U3448">
        <v>-1.083755</v>
      </c>
      <c r="V3448">
        <v>0.1246318</v>
      </c>
      <c r="W3448">
        <v>6.6464109999999996E-3</v>
      </c>
      <c r="X3448">
        <v>0.99218079999999997</v>
      </c>
      <c r="Y3448">
        <v>0.24101429999999999</v>
      </c>
      <c r="Z3448">
        <v>1.22998799999999E-4</v>
      </c>
      <c r="AA3448">
        <v>0.97052159999999998</v>
      </c>
      <c r="AB3448">
        <v>25</v>
      </c>
      <c r="AC3448">
        <v>8.9085000000000001</v>
      </c>
      <c r="AD3448">
        <v>-1.1028088206239901</v>
      </c>
      <c r="AE3448">
        <v>-3.4882</v>
      </c>
      <c r="AF3448">
        <v>2.3396699540066201</v>
      </c>
      <c r="AG3448">
        <v>-1.1028088206239901</v>
      </c>
      <c r="AH3448">
        <v>9.1471370759355306</v>
      </c>
      <c r="AI3448">
        <v>96.662127638829105</v>
      </c>
      <c r="AJ3448">
        <v>75.652404319431895</v>
      </c>
      <c r="AK3448">
        <v>9.5058066188241899</v>
      </c>
    </row>
    <row r="3449" spans="1:37" x14ac:dyDescent="0.2">
      <c r="A3449" t="str">
        <f>"20200111155916709"</f>
        <v>20200111155916709</v>
      </c>
      <c r="B3449" t="str">
        <f>"1578729556705295"</f>
        <v>1578729556705295</v>
      </c>
      <c r="C3449" t="s">
        <v>37</v>
      </c>
      <c r="D3449">
        <v>5.2771910000000002</v>
      </c>
      <c r="E3449">
        <v>0.59445099999999995</v>
      </c>
      <c r="F3449" t="s">
        <v>49</v>
      </c>
      <c r="G3449">
        <v>-203.8253</v>
      </c>
      <c r="H3449" s="1">
        <v>4.0926910000000002E-6</v>
      </c>
      <c r="I3449">
        <v>212.56479999999999</v>
      </c>
      <c r="J3449">
        <v>-211.01429999999999</v>
      </c>
      <c r="K3449">
        <v>1.102673</v>
      </c>
      <c r="L3449">
        <v>215.82749999999999</v>
      </c>
      <c r="M3449">
        <v>0.98990820000000002</v>
      </c>
      <c r="N3449">
        <v>0</v>
      </c>
      <c r="O3449">
        <v>-0.14103250000000001</v>
      </c>
      <c r="P3449">
        <v>0.95742269999999896</v>
      </c>
      <c r="Q3449">
        <v>-1.070924E-2</v>
      </c>
      <c r="R3449">
        <v>-0.28849130000000001</v>
      </c>
      <c r="S3449">
        <v>2.8157349999999899</v>
      </c>
      <c r="T3449">
        <v>-0.34071360000000001</v>
      </c>
      <c r="U3449">
        <v>-1.093048</v>
      </c>
      <c r="V3449">
        <v>0.1505774</v>
      </c>
      <c r="W3449">
        <v>2.3859160000000001E-3</v>
      </c>
      <c r="X3449">
        <v>0.98859540000000001</v>
      </c>
      <c r="Y3449">
        <v>0.22624079999999999</v>
      </c>
      <c r="Z3449">
        <v>3.1019099999999998E-3</v>
      </c>
      <c r="AA3449">
        <v>0.97406649999999995</v>
      </c>
      <c r="AB3449">
        <v>24</v>
      </c>
      <c r="AC3449">
        <v>7.1889999999999903</v>
      </c>
      <c r="AD3449">
        <v>-1.1026689073089999</v>
      </c>
      <c r="AE3449">
        <v>-3.2626999999999899</v>
      </c>
      <c r="AF3449">
        <v>2.1736984615566102</v>
      </c>
      <c r="AG3449">
        <v>-1.1026689073089999</v>
      </c>
      <c r="AH3449">
        <v>7.4323321670228299</v>
      </c>
      <c r="AI3449">
        <v>98.104210055098505</v>
      </c>
      <c r="AJ3449">
        <v>73.697639131519097</v>
      </c>
      <c r="AK3449">
        <v>7.8217904064147499</v>
      </c>
    </row>
    <row r="3450" spans="1:37" x14ac:dyDescent="0.2">
      <c r="A3450" t="str">
        <f>"20200111155916733"</f>
        <v>20200111155916733</v>
      </c>
      <c r="B3450" t="str">
        <f>"1578729556725321"</f>
        <v>1578729556725321</v>
      </c>
      <c r="C3450" t="s">
        <v>37</v>
      </c>
      <c r="D3450">
        <v>5.1329929999999999</v>
      </c>
      <c r="E3450">
        <v>0.59277089999999999</v>
      </c>
      <c r="F3450" t="s">
        <v>49</v>
      </c>
      <c r="G3450">
        <v>-186.375</v>
      </c>
      <c r="H3450" s="1">
        <v>6.5895789999999996E-6</v>
      </c>
      <c r="I3450">
        <v>201.1318</v>
      </c>
      <c r="J3450">
        <v>-210.76849999999999</v>
      </c>
      <c r="K3450">
        <v>1.102624</v>
      </c>
      <c r="L3450">
        <v>215.7895</v>
      </c>
      <c r="M3450">
        <v>0.98953380000000002</v>
      </c>
      <c r="N3450">
        <v>0</v>
      </c>
      <c r="O3450">
        <v>-0.14363419999999999</v>
      </c>
      <c r="P3450">
        <v>0.95646640000000005</v>
      </c>
      <c r="Q3450">
        <v>-1.2861350000000001E-2</v>
      </c>
      <c r="R3450">
        <v>-0.29155890000000001</v>
      </c>
      <c r="S3450">
        <v>2.6549680000000002</v>
      </c>
      <c r="T3450">
        <v>-0.1188158</v>
      </c>
      <c r="U3450">
        <v>-1.5835109999999999</v>
      </c>
      <c r="V3450">
        <v>0.15114279999999999</v>
      </c>
      <c r="W3450">
        <v>2.144014E-4</v>
      </c>
      <c r="X3450">
        <v>0.9885119</v>
      </c>
      <c r="Y3450">
        <v>0.38338430000000001</v>
      </c>
      <c r="Z3450">
        <v>-2.0590970000000002E-3</v>
      </c>
      <c r="AA3450">
        <v>0.92358660000000004</v>
      </c>
      <c r="AB3450">
        <v>24</v>
      </c>
      <c r="AC3450">
        <v>24.3934999999999</v>
      </c>
      <c r="AD3450">
        <v>-1.102617410421</v>
      </c>
      <c r="AE3450">
        <v>-14.6577</v>
      </c>
      <c r="AF3450">
        <v>10.985115072985099</v>
      </c>
      <c r="AG3450">
        <v>-1.102617410421</v>
      </c>
      <c r="AH3450">
        <v>26.206720364305401</v>
      </c>
      <c r="AI3450">
        <v>92.2221215717815</v>
      </c>
      <c r="AJ3450">
        <v>67.257948840236807</v>
      </c>
      <c r="AK3450">
        <v>28.4373119435257</v>
      </c>
    </row>
    <row r="3451" spans="1:37" x14ac:dyDescent="0.2">
      <c r="A3451" t="str">
        <f>"20200111155916755"</f>
        <v>20200111155916755</v>
      </c>
      <c r="B3451" t="str">
        <f>"1578729556745818"</f>
        <v>1578729556745818</v>
      </c>
      <c r="C3451" t="s">
        <v>37</v>
      </c>
      <c r="D3451">
        <v>5.2049599999999998</v>
      </c>
      <c r="E3451">
        <v>0.59187290000000004</v>
      </c>
      <c r="F3451" t="s">
        <v>49</v>
      </c>
      <c r="G3451">
        <v>-190.94659999999999</v>
      </c>
      <c r="H3451" s="1">
        <v>6.1320879999999998E-6</v>
      </c>
      <c r="I3451">
        <v>203.9982</v>
      </c>
      <c r="J3451">
        <v>-210.53049999999999</v>
      </c>
      <c r="K3451">
        <v>1.102568</v>
      </c>
      <c r="L3451">
        <v>215.75190000000001</v>
      </c>
      <c r="M3451">
        <v>0.98915390000000003</v>
      </c>
      <c r="N3451">
        <v>0</v>
      </c>
      <c r="O3451">
        <v>-0.1462282</v>
      </c>
      <c r="P3451">
        <v>0.95581229999999995</v>
      </c>
      <c r="Q3451">
        <v>-1.408561E-2</v>
      </c>
      <c r="R3451">
        <v>-0.2936395</v>
      </c>
      <c r="S3451">
        <v>2.6534119999999999</v>
      </c>
      <c r="T3451">
        <v>-0.1475996</v>
      </c>
      <c r="U3451">
        <v>-1.5784149999999999</v>
      </c>
      <c r="V3451">
        <v>0.15069959999999999</v>
      </c>
      <c r="W3451">
        <v>-1.0253369999999901E-3</v>
      </c>
      <c r="X3451">
        <v>0.98857909999999904</v>
      </c>
      <c r="Y3451">
        <v>0.37980120000000001</v>
      </c>
      <c r="Z3451">
        <v>-2.3379130000000001E-3</v>
      </c>
      <c r="AA3451">
        <v>0.92506520000000003</v>
      </c>
      <c r="AB3451">
        <v>24</v>
      </c>
      <c r="AC3451">
        <v>19.5839</v>
      </c>
      <c r="AD3451">
        <v>-1.1025618679119999</v>
      </c>
      <c r="AE3451">
        <v>-11.7537</v>
      </c>
      <c r="AF3451">
        <v>8.7429672066615201</v>
      </c>
      <c r="AG3451">
        <v>-1.1025618679119999</v>
      </c>
      <c r="AH3451">
        <v>21.0432011327275</v>
      </c>
      <c r="AI3451">
        <v>92.770105807689404</v>
      </c>
      <c r="AJ3451">
        <v>67.438236563242199</v>
      </c>
      <c r="AK3451">
        <v>22.813842994150701</v>
      </c>
    </row>
    <row r="3452" spans="1:37" x14ac:dyDescent="0.2">
      <c r="A3452" t="str">
        <f>"20200111155916777"</f>
        <v>20200111155916777</v>
      </c>
      <c r="B3452" t="str">
        <f>"1578729556765338"</f>
        <v>1578729556765338</v>
      </c>
      <c r="C3452" t="s">
        <v>37</v>
      </c>
      <c r="D3452">
        <v>5.1899199999999999</v>
      </c>
      <c r="E3452">
        <v>0.59080239999999995</v>
      </c>
      <c r="F3452" t="s">
        <v>49</v>
      </c>
      <c r="G3452">
        <v>-192.24510000000001</v>
      </c>
      <c r="H3452" s="1">
        <v>5.5775800000000001E-6</v>
      </c>
      <c r="I3452">
        <v>204.87639999999999</v>
      </c>
      <c r="J3452">
        <v>-210.29660000000001</v>
      </c>
      <c r="K3452">
        <v>1.102498</v>
      </c>
      <c r="L3452">
        <v>215.71420000000001</v>
      </c>
      <c r="M3452">
        <v>0.9887591</v>
      </c>
      <c r="N3452">
        <v>0</v>
      </c>
      <c r="O3452">
        <v>-0.14887339999999999</v>
      </c>
      <c r="P3452">
        <v>0.95538699999999999</v>
      </c>
      <c r="Q3452">
        <v>-1.4627319999999999E-2</v>
      </c>
      <c r="R3452">
        <v>-0.2949946</v>
      </c>
      <c r="S3452">
        <v>2.6518250000000001</v>
      </c>
      <c r="T3452">
        <v>-0.1598976</v>
      </c>
      <c r="U3452">
        <v>-1.577194</v>
      </c>
      <c r="V3452">
        <v>0.1494558</v>
      </c>
      <c r="W3452">
        <v>-1.580377E-3</v>
      </c>
      <c r="X3452">
        <v>0.98876710000000001</v>
      </c>
      <c r="Y3452">
        <v>0.37721549999999998</v>
      </c>
      <c r="Z3452">
        <v>-2.318751E-3</v>
      </c>
      <c r="AA3452">
        <v>0.92612260000000002</v>
      </c>
      <c r="AB3452">
        <v>24</v>
      </c>
      <c r="AC3452">
        <v>18.051500000000001</v>
      </c>
      <c r="AD3452">
        <v>-1.1024924224199999</v>
      </c>
      <c r="AE3452">
        <v>-10.8378</v>
      </c>
      <c r="AF3452">
        <v>8.0074017941380102</v>
      </c>
      <c r="AG3452">
        <v>-1.1024924224199999</v>
      </c>
      <c r="AH3452">
        <v>19.410694476401201</v>
      </c>
      <c r="AI3452">
        <v>93.005610872885896</v>
      </c>
      <c r="AJ3452">
        <v>67.582615674266407</v>
      </c>
      <c r="AK3452">
        <v>21.0263889693511</v>
      </c>
    </row>
    <row r="3453" spans="1:37" x14ac:dyDescent="0.2">
      <c r="A3453" t="str">
        <f>"20200111155916821"</f>
        <v>20200111155916821</v>
      </c>
      <c r="B3453" t="str">
        <f>"1578729556815621"</f>
        <v>1578729556815621</v>
      </c>
      <c r="C3453" t="s">
        <v>37</v>
      </c>
      <c r="D3453">
        <v>5.2207689999999998</v>
      </c>
      <c r="E3453">
        <v>0.58860900000000005</v>
      </c>
      <c r="F3453" t="s">
        <v>49</v>
      </c>
      <c r="G3453">
        <v>-193.18599999999901</v>
      </c>
      <c r="H3453" s="1">
        <v>5.1238669999999999E-6</v>
      </c>
      <c r="I3453">
        <v>205.56970000000001</v>
      </c>
      <c r="J3453">
        <v>-209.81630000000001</v>
      </c>
      <c r="K3453">
        <v>1.1023229999999999</v>
      </c>
      <c r="L3453">
        <v>215.6345</v>
      </c>
      <c r="M3453">
        <v>0.98786799999999997</v>
      </c>
      <c r="N3453">
        <v>0</v>
      </c>
      <c r="O3453">
        <v>-0.15467600000000001</v>
      </c>
      <c r="P3453">
        <v>0.95426959999999905</v>
      </c>
      <c r="Q3453">
        <v>-1.6198560000000001E-2</v>
      </c>
      <c r="R3453">
        <v>-0.298508099999999</v>
      </c>
      <c r="S3453">
        <v>2.6519619999999899</v>
      </c>
      <c r="T3453">
        <v>-0.17087539999999901</v>
      </c>
      <c r="U3453">
        <v>-1.5722959999999999</v>
      </c>
      <c r="V3453">
        <v>0.14728450000000001</v>
      </c>
      <c r="W3453">
        <v>-3.1944669999999999E-3</v>
      </c>
      <c r="X3453">
        <v>0.989089</v>
      </c>
      <c r="Y3453">
        <v>0.37045909999999999</v>
      </c>
      <c r="Z3453">
        <v>-1.941756E-3</v>
      </c>
      <c r="AA3453">
        <v>0.92884679999999997</v>
      </c>
      <c r="AB3453">
        <v>24</v>
      </c>
      <c r="AC3453">
        <v>16.630299999999998</v>
      </c>
      <c r="AD3453">
        <v>-1.1023178761329999</v>
      </c>
      <c r="AE3453">
        <v>-10.0647999999999</v>
      </c>
      <c r="AF3453">
        <v>7.3474665735531604</v>
      </c>
      <c r="AG3453">
        <v>-1.1023178761329999</v>
      </c>
      <c r="AH3453">
        <v>17.929396945643401</v>
      </c>
      <c r="AI3453">
        <v>93.256015102528593</v>
      </c>
      <c r="AJ3453">
        <v>67.7161824167015</v>
      </c>
      <c r="AK3453">
        <v>19.407824313507401</v>
      </c>
    </row>
    <row r="3454" spans="1:37" x14ac:dyDescent="0.2">
      <c r="A3454" t="str">
        <f>"20200111155916843"</f>
        <v>20200111155916843</v>
      </c>
      <c r="B3454" t="str">
        <f>"1578729556835141"</f>
        <v>1578729556835141</v>
      </c>
      <c r="C3454" t="s">
        <v>37</v>
      </c>
      <c r="D3454">
        <v>5.2429600000000001</v>
      </c>
      <c r="E3454">
        <v>0.58796300000000001</v>
      </c>
      <c r="F3454" t="s">
        <v>49</v>
      </c>
      <c r="G3454">
        <v>-194.0626</v>
      </c>
      <c r="H3454" s="1">
        <v>4.658449E-6</v>
      </c>
      <c r="I3454">
        <v>206.3365</v>
      </c>
      <c r="J3454">
        <v>-209.58029999999999</v>
      </c>
      <c r="K3454">
        <v>1.102204</v>
      </c>
      <c r="L3454">
        <v>215.59399999999999</v>
      </c>
      <c r="M3454">
        <v>0.98738269999999995</v>
      </c>
      <c r="N3454">
        <v>0</v>
      </c>
      <c r="O3454">
        <v>-0.15774489999999999</v>
      </c>
      <c r="P3454">
        <v>0.95371280000000003</v>
      </c>
      <c r="Q3454">
        <v>-1.8270959999999999E-2</v>
      </c>
      <c r="R3454">
        <v>-0.30016340000000002</v>
      </c>
      <c r="S3454">
        <v>2.651154</v>
      </c>
      <c r="T3454">
        <v>-0.18550559999999999</v>
      </c>
      <c r="U3454">
        <v>-1.5647279999999999</v>
      </c>
      <c r="V3454">
        <v>0.1459221</v>
      </c>
      <c r="W3454">
        <v>-5.2912369999999999E-3</v>
      </c>
      <c r="X3454">
        <v>0.98928199999999999</v>
      </c>
      <c r="Y3454">
        <v>0.36568349999999999</v>
      </c>
      <c r="Z3454">
        <v>-1.762202E-3</v>
      </c>
      <c r="AA3454">
        <v>0.93073760000000005</v>
      </c>
      <c r="AB3454">
        <v>24</v>
      </c>
      <c r="AC3454">
        <v>15.5176999999999</v>
      </c>
      <c r="AD3454">
        <v>-1.1021993415510001</v>
      </c>
      <c r="AE3454">
        <v>-9.2575000000000198</v>
      </c>
      <c r="AF3454">
        <v>6.6686868803148602</v>
      </c>
      <c r="AG3454">
        <v>-1.1021993415510001</v>
      </c>
      <c r="AH3454">
        <v>16.721624971000701</v>
      </c>
      <c r="AI3454">
        <v>93.503580673083107</v>
      </c>
      <c r="AJ3454">
        <v>68.257582496330002</v>
      </c>
      <c r="AK3454">
        <v>18.0360464006665</v>
      </c>
    </row>
    <row r="3455" spans="1:37" x14ac:dyDescent="0.2">
      <c r="A3455" t="str">
        <f>"20200111155916866"</f>
        <v>20200111155916866</v>
      </c>
      <c r="B3455" t="str">
        <f>"1578729556855638"</f>
        <v>1578729556855638</v>
      </c>
      <c r="C3455" t="s">
        <v>37</v>
      </c>
      <c r="D3455">
        <v>5.2391189999999996</v>
      </c>
      <c r="E3455">
        <v>0.58747890000000003</v>
      </c>
      <c r="F3455" t="s">
        <v>49</v>
      </c>
      <c r="G3455">
        <v>-194.61779999999999</v>
      </c>
      <c r="H3455" s="1">
        <v>4.3851179999999998E-6</v>
      </c>
      <c r="I3455">
        <v>206.76150000000001</v>
      </c>
      <c r="J3455">
        <v>-209.35130000000001</v>
      </c>
      <c r="K3455">
        <v>1.1020829999999999</v>
      </c>
      <c r="L3455">
        <v>215.5538</v>
      </c>
      <c r="M3455">
        <v>0.98687669999999905</v>
      </c>
      <c r="N3455">
        <v>0</v>
      </c>
      <c r="O3455">
        <v>-0.16087960000000001</v>
      </c>
      <c r="P3455">
        <v>0.9528934</v>
      </c>
      <c r="Q3455">
        <v>-2.079787E-2</v>
      </c>
      <c r="R3455">
        <v>-0.30259170000000002</v>
      </c>
      <c r="S3455">
        <v>2.6496119999999999</v>
      </c>
      <c r="T3455">
        <v>-0.19518199999999999</v>
      </c>
      <c r="U3455">
        <v>-1.5641020000000001</v>
      </c>
      <c r="V3455">
        <v>0.14529400000000001</v>
      </c>
      <c r="W3455">
        <v>-7.8479980000000001E-3</v>
      </c>
      <c r="X3455">
        <v>0.98935740000000005</v>
      </c>
      <c r="Y3455">
        <v>0.3627725</v>
      </c>
      <c r="Z3455">
        <v>-1.548949E-3</v>
      </c>
      <c r="AA3455">
        <v>0.93187640000000005</v>
      </c>
      <c r="AB3455">
        <v>24</v>
      </c>
      <c r="AC3455">
        <v>14.733499999999999</v>
      </c>
      <c r="AD3455">
        <v>-1.1020786148819901</v>
      </c>
      <c r="AE3455">
        <v>-8.7922999999999796</v>
      </c>
      <c r="AF3455">
        <v>6.2812865632104202</v>
      </c>
      <c r="AG3455">
        <v>-1.1020786148819901</v>
      </c>
      <c r="AH3455">
        <v>15.8906197930331</v>
      </c>
      <c r="AI3455">
        <v>93.690350903287197</v>
      </c>
      <c r="AJ3455">
        <v>68.431971706216899</v>
      </c>
      <c r="AK3455">
        <v>17.122527137349799</v>
      </c>
    </row>
    <row r="3456" spans="1:37" x14ac:dyDescent="0.2">
      <c r="A3456" t="str">
        <f>"20200111155916888"</f>
        <v>20200111155916888</v>
      </c>
      <c r="B3456" t="str">
        <f>"1578729556885894"</f>
        <v>1578729556885894</v>
      </c>
      <c r="C3456" t="s">
        <v>37</v>
      </c>
      <c r="D3456">
        <v>5.2539379999999998</v>
      </c>
      <c r="E3456">
        <v>0.58701669999999995</v>
      </c>
      <c r="F3456" t="s">
        <v>49</v>
      </c>
      <c r="G3456">
        <v>-195.14529999999999</v>
      </c>
      <c r="H3456" s="1">
        <v>4.1444279999999996E-6</v>
      </c>
      <c r="I3456">
        <v>207.1413</v>
      </c>
      <c r="J3456">
        <v>-209.10820000000001</v>
      </c>
      <c r="K3456">
        <v>1.1019760000000001</v>
      </c>
      <c r="L3456">
        <v>215.51</v>
      </c>
      <c r="M3456">
        <v>0.98629869999999897</v>
      </c>
      <c r="N3456">
        <v>0</v>
      </c>
      <c r="O3456">
        <v>-0.16438510000000001</v>
      </c>
      <c r="P3456">
        <v>0.95195239999999903</v>
      </c>
      <c r="Q3456">
        <v>-2.3280909999999998E-2</v>
      </c>
      <c r="R3456">
        <v>-0.30535990000000002</v>
      </c>
      <c r="S3456">
        <v>2.6462249999999998</v>
      </c>
      <c r="T3456">
        <v>-0.20528879999999999</v>
      </c>
      <c r="U3456">
        <v>-1.567032</v>
      </c>
      <c r="V3456">
        <v>0.1446479</v>
      </c>
      <c r="W3456">
        <v>-1.036079E-2</v>
      </c>
      <c r="X3456">
        <v>0.98942889999999994</v>
      </c>
      <c r="Y3456">
        <v>0.3607166</v>
      </c>
      <c r="Z3456">
        <v>-1.313659E-3</v>
      </c>
      <c r="AA3456">
        <v>0.93267449999999996</v>
      </c>
      <c r="AB3456">
        <v>24</v>
      </c>
      <c r="AC3456">
        <v>13.962899999999999</v>
      </c>
      <c r="AD3456">
        <v>-1.1019718555719999</v>
      </c>
      <c r="AE3456">
        <v>-8.3686999999999898</v>
      </c>
      <c r="AF3456">
        <v>5.9321347890947198</v>
      </c>
      <c r="AG3456">
        <v>-1.1019718555719999</v>
      </c>
      <c r="AH3456">
        <v>15.0796353275654</v>
      </c>
      <c r="AI3456">
        <v>93.890357627645798</v>
      </c>
      <c r="AJ3456">
        <v>68.525961307223795</v>
      </c>
      <c r="AK3456">
        <v>16.241920044712</v>
      </c>
    </row>
    <row r="3457" spans="1:37" x14ac:dyDescent="0.2">
      <c r="A3457" t="str">
        <f>"20200111155916910"</f>
        <v>20200111155916910</v>
      </c>
      <c r="B3457" t="str">
        <f>"1578729556905413"</f>
        <v>1578729556905413</v>
      </c>
      <c r="C3457" t="s">
        <v>37</v>
      </c>
      <c r="D3457">
        <v>5.2518560000000001</v>
      </c>
      <c r="E3457">
        <v>0.586786699999999</v>
      </c>
      <c r="F3457" t="s">
        <v>49</v>
      </c>
      <c r="G3457">
        <v>-195.5675</v>
      </c>
      <c r="H3457" s="1">
        <v>3.985064E-6</v>
      </c>
      <c r="I3457">
        <v>207.46029999999999</v>
      </c>
      <c r="J3457">
        <v>-208.8723</v>
      </c>
      <c r="K3457">
        <v>1.101898</v>
      </c>
      <c r="L3457">
        <v>215.4665</v>
      </c>
      <c r="M3457">
        <v>0.98570290000000005</v>
      </c>
      <c r="N3457">
        <v>0</v>
      </c>
      <c r="O3457">
        <v>-0.1679204</v>
      </c>
      <c r="P3457">
        <v>0.95072579999999995</v>
      </c>
      <c r="Q3457">
        <v>-2.3475139999999999E-2</v>
      </c>
      <c r="R3457">
        <v>-0.30914330000000001</v>
      </c>
      <c r="S3457">
        <v>2.6422729999999999</v>
      </c>
      <c r="T3457">
        <v>-0.21503320000000001</v>
      </c>
      <c r="U3457">
        <v>-1.570786</v>
      </c>
      <c r="V3457">
        <v>0.14503239999999901</v>
      </c>
      <c r="W3457">
        <v>-1.05851E-2</v>
      </c>
      <c r="X3457">
        <v>0.98937030000000004</v>
      </c>
      <c r="Y3457">
        <v>0.35893370000000002</v>
      </c>
      <c r="Z3457">
        <v>-1.0536250000000001E-3</v>
      </c>
      <c r="AA3457">
        <v>0.93336249999999998</v>
      </c>
      <c r="AB3457">
        <v>24</v>
      </c>
      <c r="AC3457">
        <v>13.3048</v>
      </c>
      <c r="AD3457">
        <v>-1.1018940149359999</v>
      </c>
      <c r="AE3457">
        <v>-8.0061999999999998</v>
      </c>
      <c r="AF3457">
        <v>5.6297825540108999</v>
      </c>
      <c r="AG3457">
        <v>-1.1018940149359999</v>
      </c>
      <c r="AH3457">
        <v>14.387924412901301</v>
      </c>
      <c r="AI3457">
        <v>94.0793908861083</v>
      </c>
      <c r="AJ3457">
        <v>68.630326824804101</v>
      </c>
      <c r="AK3457">
        <v>15.489383168382099</v>
      </c>
    </row>
    <row r="3458" spans="1:37" x14ac:dyDescent="0.2">
      <c r="A3458" t="str">
        <f>"20200111155916933"</f>
        <v>20200111155916933</v>
      </c>
      <c r="B3458" t="str">
        <f>"1578729556925441"</f>
        <v>1578729556925441</v>
      </c>
      <c r="C3458" t="s">
        <v>37</v>
      </c>
      <c r="D3458">
        <v>5.2934760000000001</v>
      </c>
      <c r="E3458">
        <v>0.58668799999999999</v>
      </c>
      <c r="F3458" t="s">
        <v>49</v>
      </c>
      <c r="G3458">
        <v>-195.4041</v>
      </c>
      <c r="H3458" s="1">
        <v>4.0304170000000002E-6</v>
      </c>
      <c r="I3458">
        <v>207.39850000000001</v>
      </c>
      <c r="J3458">
        <v>-208.6396</v>
      </c>
      <c r="K3458">
        <v>1.1018289999999999</v>
      </c>
      <c r="L3458">
        <v>215.42259999999999</v>
      </c>
      <c r="M3458">
        <v>0.98508289999999998</v>
      </c>
      <c r="N3458">
        <v>0</v>
      </c>
      <c r="O3458">
        <v>-0.17151959999999999</v>
      </c>
      <c r="P3458">
        <v>0.94874009999999998</v>
      </c>
      <c r="Q3458">
        <v>-2.1792229999999999E-2</v>
      </c>
      <c r="R3458">
        <v>-0.3153051</v>
      </c>
      <c r="S3458">
        <v>2.6365810000000001</v>
      </c>
      <c r="T3458">
        <v>-0.21571109999999999</v>
      </c>
      <c r="U3458">
        <v>-1.579437</v>
      </c>
      <c r="V3458">
        <v>0.14783779999999999</v>
      </c>
      <c r="W3458">
        <v>-8.9449119999999993E-3</v>
      </c>
      <c r="X3458">
        <v>0.98897119999999905</v>
      </c>
      <c r="Y3458">
        <v>0.35867259999999901</v>
      </c>
      <c r="Z3458">
        <v>-7.8669470000000002E-4</v>
      </c>
      <c r="AA3458">
        <v>0.93346309999999999</v>
      </c>
      <c r="AB3458">
        <v>24</v>
      </c>
      <c r="AC3458">
        <v>13.2355</v>
      </c>
      <c r="AD3458">
        <v>-1.101824969583</v>
      </c>
      <c r="AE3458">
        <v>-8.0240999999999705</v>
      </c>
      <c r="AF3458">
        <v>5.6063880471929197</v>
      </c>
      <c r="AG3458">
        <v>-1.101824969583</v>
      </c>
      <c r="AH3458">
        <v>14.3430593026641</v>
      </c>
      <c r="AI3458">
        <v>94.092415600146296</v>
      </c>
      <c r="AJ3458">
        <v>68.650559080963205</v>
      </c>
      <c r="AK3458">
        <v>15.4392019016219</v>
      </c>
    </row>
    <row r="3459" spans="1:37" x14ac:dyDescent="0.2">
      <c r="A3459" t="str">
        <f>"20200111155916954"</f>
        <v>20200111155916954</v>
      </c>
      <c r="B3459" t="str">
        <f>"1578729556944962"</f>
        <v>1578729556944962</v>
      </c>
      <c r="C3459" t="s">
        <v>37</v>
      </c>
      <c r="D3459">
        <v>5.3209710000000001</v>
      </c>
      <c r="E3459">
        <v>0.58653480000000002</v>
      </c>
      <c r="F3459" t="s">
        <v>49</v>
      </c>
      <c r="G3459">
        <v>-195.02189999999999</v>
      </c>
      <c r="H3459" s="1">
        <v>4.1636070000000002E-6</v>
      </c>
      <c r="I3459">
        <v>207.1515</v>
      </c>
      <c r="J3459">
        <v>-208.4085</v>
      </c>
      <c r="K3459">
        <v>1.101774</v>
      </c>
      <c r="L3459">
        <v>215.37809999999999</v>
      </c>
      <c r="M3459">
        <v>0.98443630000000004</v>
      </c>
      <c r="N3459">
        <v>0</v>
      </c>
      <c r="O3459">
        <v>-0.17519270000000001</v>
      </c>
      <c r="P3459">
        <v>0.94591139999999996</v>
      </c>
      <c r="Q3459">
        <v>-1.97301E-2</v>
      </c>
      <c r="R3459">
        <v>-0.32382509999999998</v>
      </c>
      <c r="S3459">
        <v>2.626938</v>
      </c>
      <c r="T3459">
        <v>-0.21254780000000001</v>
      </c>
      <c r="U3459">
        <v>-1.5955349999999999</v>
      </c>
      <c r="V3459">
        <v>0.15304379999999901</v>
      </c>
      <c r="W3459">
        <v>-6.940936E-3</v>
      </c>
      <c r="X3459">
        <v>0.98819509999999899</v>
      </c>
      <c r="Y3459">
        <v>0.36090549999999999</v>
      </c>
      <c r="Z3459">
        <v>-5.9733170000000001E-4</v>
      </c>
      <c r="AA3459">
        <v>0.93260219999999905</v>
      </c>
      <c r="AB3459">
        <v>24</v>
      </c>
      <c r="AC3459">
        <v>13.3866</v>
      </c>
      <c r="AD3459">
        <v>-1.101769836393</v>
      </c>
      <c r="AE3459">
        <v>-8.2265999999999906</v>
      </c>
      <c r="AF3459">
        <v>5.7257300903488098</v>
      </c>
      <c r="AG3459">
        <v>-1.101769836393</v>
      </c>
      <c r="AH3459">
        <v>14.5493648654681</v>
      </c>
      <c r="AI3459">
        <v>94.030743997321196</v>
      </c>
      <c r="AJ3459">
        <v>68.518469701898695</v>
      </c>
      <c r="AK3459">
        <v>15.6742431979483</v>
      </c>
    </row>
    <row r="3460" spans="1:37" x14ac:dyDescent="0.2">
      <c r="A3460" t="str">
        <f>"20200111155916977"</f>
        <v>20200111155916977</v>
      </c>
      <c r="B3460" t="str">
        <f>"1578729556965458"</f>
        <v>1578729556965458</v>
      </c>
      <c r="C3460" t="s">
        <v>37</v>
      </c>
      <c r="D3460">
        <v>5.3054990000000002</v>
      </c>
      <c r="E3460">
        <v>0.5862967</v>
      </c>
      <c r="F3460" t="s">
        <v>49</v>
      </c>
      <c r="G3460">
        <v>-194.6112</v>
      </c>
      <c r="H3460" s="1">
        <v>4.3593529999999999E-6</v>
      </c>
      <c r="I3460">
        <v>206.83850000000001</v>
      </c>
      <c r="J3460">
        <v>-208.17269999999999</v>
      </c>
      <c r="K3460">
        <v>1.1017239999999999</v>
      </c>
      <c r="L3460">
        <v>215.33160000000001</v>
      </c>
      <c r="M3460">
        <v>0.98374729999999999</v>
      </c>
      <c r="N3460">
        <v>0</v>
      </c>
      <c r="O3460">
        <v>-0.1790207</v>
      </c>
      <c r="P3460">
        <v>0.94240599999999997</v>
      </c>
      <c r="Q3460">
        <v>-1.8268630000000001E-2</v>
      </c>
      <c r="R3460">
        <v>-0.33397120000000002</v>
      </c>
      <c r="S3460">
        <v>2.6134339999999998</v>
      </c>
      <c r="T3460">
        <v>-0.20869289999999999</v>
      </c>
      <c r="U3460">
        <v>-1.617523</v>
      </c>
      <c r="V3460">
        <v>0.1598174</v>
      </c>
      <c r="W3460">
        <v>-5.5491450000000001E-3</v>
      </c>
      <c r="X3460">
        <v>0.98713099999999998</v>
      </c>
      <c r="Y3460">
        <v>0.365118</v>
      </c>
      <c r="Z3460">
        <v>-4.7429930000000001E-4</v>
      </c>
      <c r="AA3460">
        <v>0.93096109999999899</v>
      </c>
      <c r="AB3460">
        <v>24</v>
      </c>
      <c r="AC3460">
        <v>13.561499999999899</v>
      </c>
      <c r="AD3460">
        <v>-1.101719640647</v>
      </c>
      <c r="AE3460">
        <v>-8.4930999999999894</v>
      </c>
      <c r="AF3460">
        <v>5.8998782943432602</v>
      </c>
      <c r="AG3460">
        <v>-1.101719640647</v>
      </c>
      <c r="AH3460">
        <v>14.792837691532601</v>
      </c>
      <c r="AI3460">
        <v>93.957276619659893</v>
      </c>
      <c r="AJ3460">
        <v>68.256233644331601</v>
      </c>
      <c r="AK3460">
        <v>15.9640344845117</v>
      </c>
    </row>
    <row r="3461" spans="1:37" x14ac:dyDescent="0.2">
      <c r="A3461" t="str">
        <f>"20200111155916999"</f>
        <v>20200111155916999</v>
      </c>
      <c r="B3461" t="str">
        <f>"1578729556995714"</f>
        <v>1578729556995714</v>
      </c>
      <c r="C3461" t="s">
        <v>37</v>
      </c>
      <c r="D3461">
        <v>5.587593</v>
      </c>
      <c r="E3461">
        <v>0.58596419999999905</v>
      </c>
      <c r="F3461" t="s">
        <v>49</v>
      </c>
      <c r="G3461">
        <v>-194.24430000000001</v>
      </c>
      <c r="H3461" s="1">
        <v>4.5541089999999998E-6</v>
      </c>
      <c r="I3461">
        <v>206.51769999999999</v>
      </c>
      <c r="J3461">
        <v>-207.93729999999999</v>
      </c>
      <c r="K3461">
        <v>1.10168</v>
      </c>
      <c r="L3461">
        <v>215.2842</v>
      </c>
      <c r="M3461">
        <v>0.98303220000000002</v>
      </c>
      <c r="N3461">
        <v>0</v>
      </c>
      <c r="O3461">
        <v>-0.1829064</v>
      </c>
      <c r="P3461">
        <v>0.93876059999999995</v>
      </c>
      <c r="Q3461">
        <v>-1.8565140000000001E-2</v>
      </c>
      <c r="R3461">
        <v>-0.34406979999999998</v>
      </c>
      <c r="S3461">
        <v>2.5969699999999998</v>
      </c>
      <c r="T3461">
        <v>-0.20541719999999999</v>
      </c>
      <c r="U3461">
        <v>-1.643356</v>
      </c>
      <c r="V3461">
        <v>0.16650860000000001</v>
      </c>
      <c r="W3461">
        <v>-5.9143429999999999E-3</v>
      </c>
      <c r="X3461">
        <v>0.98602219999999996</v>
      </c>
      <c r="Y3461">
        <v>0.37072040000000001</v>
      </c>
      <c r="Z3461">
        <v>-4.0335019999999998E-4</v>
      </c>
      <c r="AA3461">
        <v>0.92874439999999903</v>
      </c>
      <c r="AB3461">
        <v>24</v>
      </c>
      <c r="AC3461">
        <v>13.6929999999999</v>
      </c>
      <c r="AD3461">
        <v>-1.1016754458910001</v>
      </c>
      <c r="AE3461">
        <v>-8.7665000000000006</v>
      </c>
      <c r="AF3461">
        <v>6.0858627273961901</v>
      </c>
      <c r="AG3461">
        <v>-1.1016754458910001</v>
      </c>
      <c r="AH3461">
        <v>14.9967090968116</v>
      </c>
      <c r="AI3461">
        <v>93.8940972271606</v>
      </c>
      <c r="AJ3461">
        <v>67.912035716572106</v>
      </c>
      <c r="AK3461">
        <v>16.221981927593799</v>
      </c>
    </row>
    <row r="3462" spans="1:37" x14ac:dyDescent="0.2">
      <c r="A3462" t="str">
        <f>"20200111155917023"</f>
        <v>20200111155917023</v>
      </c>
      <c r="B3462" t="str">
        <f>"1578729557015740"</f>
        <v>1578729557015740</v>
      </c>
      <c r="C3462" t="s">
        <v>37</v>
      </c>
      <c r="D3462">
        <v>5.4066000000000001</v>
      </c>
      <c r="E3462">
        <v>0.57777489999999998</v>
      </c>
      <c r="F3462" t="s">
        <v>49</v>
      </c>
      <c r="G3462">
        <v>-194.2415</v>
      </c>
      <c r="H3462" s="1">
        <v>4.58671999999999E-6</v>
      </c>
      <c r="I3462">
        <v>206.4272</v>
      </c>
      <c r="J3462">
        <v>-207.69569999999999</v>
      </c>
      <c r="K3462">
        <v>1.101637</v>
      </c>
      <c r="L3462">
        <v>215.23439999999999</v>
      </c>
      <c r="M3462">
        <v>0.98227169999999897</v>
      </c>
      <c r="N3462">
        <v>0</v>
      </c>
      <c r="O3462">
        <v>-0.18694859999999999</v>
      </c>
      <c r="P3462">
        <v>0.935083</v>
      </c>
      <c r="Q3462">
        <v>-2.0825440000000001E-2</v>
      </c>
      <c r="R3462">
        <v>-0.35381699999999999</v>
      </c>
      <c r="S3462">
        <v>2.580063</v>
      </c>
      <c r="T3462">
        <v>-0.207536</v>
      </c>
      <c r="U3462">
        <v>-1.668488</v>
      </c>
      <c r="V3462">
        <v>0.17269989999999999</v>
      </c>
      <c r="W3462">
        <v>-8.2400379999999999E-3</v>
      </c>
      <c r="X3462">
        <v>0.98494009999999999</v>
      </c>
      <c r="Y3462">
        <v>0.37603359999999902</v>
      </c>
      <c r="Z3462">
        <v>-3.2190229999999999E-4</v>
      </c>
      <c r="AA3462">
        <v>0.92660599999999904</v>
      </c>
      <c r="AB3462">
        <v>24</v>
      </c>
      <c r="AC3462">
        <v>13.454199999999901</v>
      </c>
      <c r="AD3462">
        <v>-1.1016324132799999</v>
      </c>
      <c r="AE3462">
        <v>-8.8071999999999893</v>
      </c>
      <c r="AF3462">
        <v>6.1077449682435097</v>
      </c>
      <c r="AG3462">
        <v>-1.1016324132799999</v>
      </c>
      <c r="AH3462">
        <v>14.794171614900799</v>
      </c>
      <c r="AI3462">
        <v>93.937395568353196</v>
      </c>
      <c r="AJ3462">
        <v>67.566812400333603</v>
      </c>
      <c r="AK3462">
        <v>16.0432433236621</v>
      </c>
    </row>
    <row r="3463" spans="1:37" x14ac:dyDescent="0.2">
      <c r="A3463" t="str">
        <f>"20200111155917045"</f>
        <v>20200111155917045</v>
      </c>
      <c r="B3463" t="str">
        <f>"1578729557035260"</f>
        <v>1578729557035260</v>
      </c>
      <c r="C3463" t="s">
        <v>37</v>
      </c>
      <c r="D3463">
        <v>5.3730409999999997</v>
      </c>
      <c r="E3463">
        <v>0.57723059999999904</v>
      </c>
      <c r="F3463" t="s">
        <v>49</v>
      </c>
      <c r="G3463">
        <v>-194.87599999999901</v>
      </c>
      <c r="H3463" s="1">
        <v>4.1960579999999996E-6</v>
      </c>
      <c r="I3463">
        <v>207.1343</v>
      </c>
      <c r="J3463">
        <v>-207.46870000000001</v>
      </c>
      <c r="K3463">
        <v>1.1016049999999999</v>
      </c>
      <c r="L3463">
        <v>215.1867</v>
      </c>
      <c r="M3463">
        <v>0.98153189999999901</v>
      </c>
      <c r="N3463">
        <v>0</v>
      </c>
      <c r="O3463">
        <v>-0.19079399999999999</v>
      </c>
      <c r="P3463">
        <v>0.93163300000000004</v>
      </c>
      <c r="Q3463">
        <v>-2.3792899999999999E-2</v>
      </c>
      <c r="R3463">
        <v>-0.36262109999999997</v>
      </c>
      <c r="S3463">
        <v>2.5852360000000001</v>
      </c>
      <c r="T3463">
        <v>-0.22215799999999999</v>
      </c>
      <c r="U3463">
        <v>-1.6334839999999999</v>
      </c>
      <c r="V3463">
        <v>0.178122799999999</v>
      </c>
      <c r="W3463">
        <v>-1.12666E-2</v>
      </c>
      <c r="X3463">
        <v>0.98394380000000004</v>
      </c>
      <c r="Y3463">
        <v>0.36258859999999998</v>
      </c>
      <c r="Z3463">
        <v>4.774472E-4</v>
      </c>
      <c r="AA3463">
        <v>0.93194909999999997</v>
      </c>
      <c r="AB3463">
        <v>24</v>
      </c>
      <c r="AC3463">
        <v>12.592700000000001</v>
      </c>
      <c r="AD3463">
        <v>-1.101600803942</v>
      </c>
      <c r="AE3463">
        <v>-8.0524000000000004</v>
      </c>
      <c r="AF3463">
        <v>5.4718848246833396</v>
      </c>
      <c r="AG3463">
        <v>-1.101600803942</v>
      </c>
      <c r="AH3463">
        <v>13.822745708759699</v>
      </c>
      <c r="AI3463">
        <v>94.237874550952498</v>
      </c>
      <c r="AJ3463">
        <v>68.403323102350001</v>
      </c>
      <c r="AK3463">
        <v>14.9071575692645</v>
      </c>
    </row>
    <row r="3464" spans="1:37" x14ac:dyDescent="0.2">
      <c r="A3464" t="str">
        <f>"20200111155917067"</f>
        <v>20200111155917067</v>
      </c>
      <c r="B3464" t="str">
        <f>"1578729557055757"</f>
        <v>1578729557055757</v>
      </c>
      <c r="C3464" t="s">
        <v>37</v>
      </c>
      <c r="D3464">
        <v>5.3866670000000001</v>
      </c>
      <c r="E3464">
        <v>0.57648060000000001</v>
      </c>
      <c r="F3464" t="s">
        <v>49</v>
      </c>
      <c r="G3464">
        <v>-195.55289999999999</v>
      </c>
      <c r="H3464" s="1">
        <v>3.97097699999999E-6</v>
      </c>
      <c r="I3464">
        <v>207.5232</v>
      </c>
      <c r="J3464">
        <v>-207.238</v>
      </c>
      <c r="K3464">
        <v>1.1015680000000001</v>
      </c>
      <c r="L3464">
        <v>215.1371</v>
      </c>
      <c r="M3464">
        <v>0.98075239999999997</v>
      </c>
      <c r="N3464">
        <v>0</v>
      </c>
      <c r="O3464">
        <v>-0.1947604</v>
      </c>
      <c r="P3464">
        <v>0.92836469999999904</v>
      </c>
      <c r="Q3464">
        <v>-2.717961E-2</v>
      </c>
      <c r="R3464">
        <v>-0.37067539999999999</v>
      </c>
      <c r="S3464">
        <v>2.57058699999999</v>
      </c>
      <c r="T3464">
        <v>-0.2376492</v>
      </c>
      <c r="U3464">
        <v>-1.6532439999999999</v>
      </c>
      <c r="V3464">
        <v>0.18265819999999999</v>
      </c>
      <c r="W3464">
        <v>-1.470659E-2</v>
      </c>
      <c r="X3464">
        <v>0.98306649999999995</v>
      </c>
      <c r="Y3464">
        <v>0.3662338</v>
      </c>
      <c r="Z3464">
        <v>6.7592779999999897E-4</v>
      </c>
      <c r="AA3464">
        <v>0.93052259999999998</v>
      </c>
      <c r="AB3464">
        <v>24</v>
      </c>
      <c r="AC3464">
        <v>11.6851</v>
      </c>
      <c r="AD3464">
        <v>-1.101564029023</v>
      </c>
      <c r="AE3464">
        <v>-7.6139000000000001</v>
      </c>
      <c r="AF3464">
        <v>5.1598681675015801</v>
      </c>
      <c r="AG3464">
        <v>-1.101564029023</v>
      </c>
      <c r="AH3464">
        <v>12.8640752239534</v>
      </c>
      <c r="AI3464">
        <v>94.544090677029303</v>
      </c>
      <c r="AJ3464">
        <v>68.143942851754005</v>
      </c>
      <c r="AK3464">
        <v>13.904032299429</v>
      </c>
    </row>
    <row r="3465" spans="1:37" x14ac:dyDescent="0.2">
      <c r="A3465" t="str">
        <f>"20200111155917089"</f>
        <v>20200111155917089</v>
      </c>
      <c r="B3465" t="str">
        <f>"1578729557085037"</f>
        <v>1578729557085037</v>
      </c>
      <c r="C3465" t="s">
        <v>37</v>
      </c>
      <c r="D3465">
        <v>5.3820239999999897</v>
      </c>
      <c r="E3465">
        <v>0.568175599999999</v>
      </c>
      <c r="F3465" t="s">
        <v>49</v>
      </c>
      <c r="G3465">
        <v>-196.11160000000001</v>
      </c>
      <c r="H3465" s="1">
        <v>3.7791789999999998E-6</v>
      </c>
      <c r="I3465">
        <v>207.8733</v>
      </c>
      <c r="J3465">
        <v>-207.0067</v>
      </c>
      <c r="K3465">
        <v>1.1015269999999999</v>
      </c>
      <c r="L3465">
        <v>215.08629999999999</v>
      </c>
      <c r="M3465">
        <v>0.97993969999999897</v>
      </c>
      <c r="N3465">
        <v>0</v>
      </c>
      <c r="O3465">
        <v>-0.1988087</v>
      </c>
      <c r="P3465">
        <v>0.92535979999999995</v>
      </c>
      <c r="Q3465">
        <v>-2.987457E-2</v>
      </c>
      <c r="R3465">
        <v>-0.3779112</v>
      </c>
      <c r="S3465">
        <v>2.5574490000000001</v>
      </c>
      <c r="T3465">
        <v>-0.25319779999999997</v>
      </c>
      <c r="U3465">
        <v>-1.6696009999999999</v>
      </c>
      <c r="V3465">
        <v>0.18626779999999901</v>
      </c>
      <c r="W3465">
        <v>-1.7449550000000001E-2</v>
      </c>
      <c r="X3465">
        <v>0.98234399999999999</v>
      </c>
      <c r="Y3465">
        <v>0.36868229999999902</v>
      </c>
      <c r="Z3465">
        <v>9.5771530000000004E-4</v>
      </c>
      <c r="AA3465">
        <v>0.92955499999999902</v>
      </c>
      <c r="AB3465">
        <v>24</v>
      </c>
      <c r="AC3465">
        <v>10.8950999999999</v>
      </c>
      <c r="AD3465">
        <v>-1.101523220821</v>
      </c>
      <c r="AE3465">
        <v>-7.2129999999999903</v>
      </c>
      <c r="AF3465">
        <v>4.8681411661684599</v>
      </c>
      <c r="AG3465">
        <v>-1.101523220821</v>
      </c>
      <c r="AH3465">
        <v>12.0262502096987</v>
      </c>
      <c r="AI3465">
        <v>94.852839553633999</v>
      </c>
      <c r="AJ3465">
        <v>67.962245257848707</v>
      </c>
      <c r="AK3465">
        <v>13.020861950194799</v>
      </c>
    </row>
    <row r="3466" spans="1:37" x14ac:dyDescent="0.2">
      <c r="A3466" t="str">
        <f>"20200111155917112"</f>
        <v>20200111155917112</v>
      </c>
      <c r="B3466" t="str">
        <f>"1578729557105532"</f>
        <v>1578729557105532</v>
      </c>
      <c r="C3466" t="s">
        <v>37</v>
      </c>
      <c r="D3466">
        <v>5.7193300000000002</v>
      </c>
      <c r="E3466">
        <v>0.56775310000000001</v>
      </c>
      <c r="F3466" t="s">
        <v>49</v>
      </c>
      <c r="G3466">
        <v>-195.98660000000001</v>
      </c>
      <c r="H3466" s="1">
        <v>3.7410179999999999E-6</v>
      </c>
      <c r="I3466">
        <v>208.1011</v>
      </c>
      <c r="J3466">
        <v>-206.77029999999999</v>
      </c>
      <c r="K3466">
        <v>1.101488</v>
      </c>
      <c r="L3466">
        <v>215.0333</v>
      </c>
      <c r="M3466">
        <v>0.97907730000000004</v>
      </c>
      <c r="N3466">
        <v>0</v>
      </c>
      <c r="O3466">
        <v>-0.20301359999999999</v>
      </c>
      <c r="P3466">
        <v>0.9229311</v>
      </c>
      <c r="Q3466">
        <v>-3.0098139999999999E-2</v>
      </c>
      <c r="R3466">
        <v>-0.38378699999999999</v>
      </c>
      <c r="S3466">
        <v>2.5687410000000002</v>
      </c>
      <c r="T3466">
        <v>-0.25676100000000002</v>
      </c>
      <c r="U3466">
        <v>-1.62822</v>
      </c>
      <c r="V3466">
        <v>0.18829379999999901</v>
      </c>
      <c r="W3466">
        <v>-1.7706860000000001E-2</v>
      </c>
      <c r="X3466">
        <v>0.98195309999999902</v>
      </c>
      <c r="Y3466">
        <v>0.35221039999999998</v>
      </c>
      <c r="Z3466">
        <v>2.0975170000000001E-3</v>
      </c>
      <c r="AA3466">
        <v>0.93591849999999999</v>
      </c>
      <c r="AB3466">
        <v>24</v>
      </c>
      <c r="AC3466">
        <v>10.7836999999999</v>
      </c>
      <c r="AD3466">
        <v>-1.101484258982</v>
      </c>
      <c r="AE3466">
        <v>-6.9321999999999901</v>
      </c>
      <c r="AF3466">
        <v>4.5646672518877196</v>
      </c>
      <c r="AG3466">
        <v>-1.101484258982</v>
      </c>
      <c r="AH3466">
        <v>11.8788664884996</v>
      </c>
      <c r="AI3466">
        <v>94.946954286516103</v>
      </c>
      <c r="AJ3466">
        <v>68.979834028112506</v>
      </c>
      <c r="AK3466">
        <v>12.7732894645365</v>
      </c>
    </row>
    <row r="3467" spans="1:37" x14ac:dyDescent="0.2">
      <c r="A3467" t="str">
        <f>"20200111155917134"</f>
        <v>20200111155917134</v>
      </c>
      <c r="B3467" t="str">
        <f>"1578729557125053"</f>
        <v>1578729557125053</v>
      </c>
      <c r="C3467" t="s">
        <v>37</v>
      </c>
      <c r="D3467">
        <v>5.3812110000000004</v>
      </c>
      <c r="E3467">
        <v>0.56860859999999902</v>
      </c>
      <c r="F3467" t="s">
        <v>49</v>
      </c>
      <c r="G3467">
        <v>-195.97069999999999</v>
      </c>
      <c r="H3467" s="1">
        <v>3.7425279999999899E-6</v>
      </c>
      <c r="I3467">
        <v>208.1061</v>
      </c>
      <c r="J3467">
        <v>-206.5401</v>
      </c>
      <c r="K3467">
        <v>1.1014489999999999</v>
      </c>
      <c r="L3467">
        <v>214.98050000000001</v>
      </c>
      <c r="M3467">
        <v>0.9782016</v>
      </c>
      <c r="N3467">
        <v>0</v>
      </c>
      <c r="O3467">
        <v>-0.2071916</v>
      </c>
      <c r="P3467">
        <v>0.92090640000000001</v>
      </c>
      <c r="Q3467">
        <v>-2.7666969999999999E-2</v>
      </c>
      <c r="R3467">
        <v>-0.3888007</v>
      </c>
      <c r="S3467">
        <v>2.5593720000000002</v>
      </c>
      <c r="T3467">
        <v>-0.26103710000000002</v>
      </c>
      <c r="U3467">
        <v>-1.6416470000000001</v>
      </c>
      <c r="V3467">
        <v>0.18944040000000001</v>
      </c>
      <c r="W3467">
        <v>-1.5303280000000001E-2</v>
      </c>
      <c r="X3467">
        <v>0.98177300000000001</v>
      </c>
      <c r="Y3467">
        <v>0.35324260000000002</v>
      </c>
      <c r="Z3467">
        <v>2.456747E-3</v>
      </c>
      <c r="AA3467">
        <v>0.93552849999999999</v>
      </c>
      <c r="AB3467">
        <v>24</v>
      </c>
      <c r="AC3467">
        <v>10.5694</v>
      </c>
      <c r="AD3467">
        <v>-1.101445257472</v>
      </c>
      <c r="AE3467">
        <v>-6.8743999999999996</v>
      </c>
      <c r="AF3467">
        <v>4.5007488412327099</v>
      </c>
      <c r="AG3467">
        <v>-1.101445257472</v>
      </c>
      <c r="AH3467">
        <v>11.675357965901</v>
      </c>
      <c r="AI3467">
        <v>95.030513449950604</v>
      </c>
      <c r="AJ3467">
        <v>68.918783193471796</v>
      </c>
      <c r="AK3467">
        <v>12.5612063679804</v>
      </c>
    </row>
    <row r="3468" spans="1:37" x14ac:dyDescent="0.2">
      <c r="A3468" t="str">
        <f>"20200111155917156"</f>
        <v>20200111155917156</v>
      </c>
      <c r="B3468" t="str">
        <f>"1578729557145549"</f>
        <v>1578729557145549</v>
      </c>
      <c r="C3468" t="s">
        <v>37</v>
      </c>
      <c r="D3468">
        <v>5.3693819999999999</v>
      </c>
      <c r="E3468">
        <v>0.56902519999999901</v>
      </c>
      <c r="F3468" t="s">
        <v>49</v>
      </c>
      <c r="G3468">
        <v>-195.64160000000001</v>
      </c>
      <c r="H3468" s="1">
        <v>3.862805E-6</v>
      </c>
      <c r="I3468">
        <v>207.8724</v>
      </c>
      <c r="J3468">
        <v>-206.3142</v>
      </c>
      <c r="K3468">
        <v>1.1013930000000001</v>
      </c>
      <c r="L3468">
        <v>214.92769999999999</v>
      </c>
      <c r="M3468">
        <v>0.97729969999999999</v>
      </c>
      <c r="N3468">
        <v>0</v>
      </c>
      <c r="O3468">
        <v>-0.21140509999999901</v>
      </c>
      <c r="P3468">
        <v>0.91897619999999902</v>
      </c>
      <c r="Q3468">
        <v>-2.5598880000000001E-2</v>
      </c>
      <c r="R3468">
        <v>-0.39348149999999998</v>
      </c>
      <c r="S3468">
        <v>2.5482330000000002</v>
      </c>
      <c r="T3468">
        <v>-0.2575326</v>
      </c>
      <c r="U3468">
        <v>-1.6619869999999899</v>
      </c>
      <c r="V3468">
        <v>0.19020409999999999</v>
      </c>
      <c r="W3468">
        <v>-1.326579E-2</v>
      </c>
      <c r="X3468">
        <v>0.9816549</v>
      </c>
      <c r="Y3468">
        <v>0.35634120000000002</v>
      </c>
      <c r="Z3468">
        <v>2.6510589999999999E-3</v>
      </c>
      <c r="AA3468">
        <v>0.93435219999999897</v>
      </c>
      <c r="AB3468">
        <v>24</v>
      </c>
      <c r="AC3468">
        <v>10.6725999999999</v>
      </c>
      <c r="AD3468">
        <v>-1.101389137195</v>
      </c>
      <c r="AE3468">
        <v>-7.0552999999999804</v>
      </c>
      <c r="AF3468">
        <v>4.6052189866442701</v>
      </c>
      <c r="AG3468">
        <v>-1.101389137195</v>
      </c>
      <c r="AH3468">
        <v>11.8352945476691</v>
      </c>
      <c r="AI3468">
        <v>94.956611233178293</v>
      </c>
      <c r="AJ3468">
        <v>68.738543288996993</v>
      </c>
      <c r="AK3468">
        <v>12.7473643148913</v>
      </c>
    </row>
    <row r="3469" spans="1:37" x14ac:dyDescent="0.2">
      <c r="A3469" t="str">
        <f>"20200111155917178"</f>
        <v>20200111155917178</v>
      </c>
      <c r="B3469" t="str">
        <f>"1578729557175804"</f>
        <v>1578729557175804</v>
      </c>
      <c r="C3469" t="s">
        <v>37</v>
      </c>
      <c r="D3469">
        <v>5.5594429999999999</v>
      </c>
      <c r="E3469">
        <v>0.56887489999999996</v>
      </c>
      <c r="F3469" t="s">
        <v>49</v>
      </c>
      <c r="G3469">
        <v>-195.14570000000001</v>
      </c>
      <c r="H3469" s="1">
        <v>4.0373469999999997E-6</v>
      </c>
      <c r="I3469">
        <v>207.5454</v>
      </c>
      <c r="J3469">
        <v>-206.0804</v>
      </c>
      <c r="K3469">
        <v>1.1013120000000001</v>
      </c>
      <c r="L3469">
        <v>214.8717</v>
      </c>
      <c r="M3469">
        <v>0.9763134</v>
      </c>
      <c r="N3469">
        <v>0</v>
      </c>
      <c r="O3469">
        <v>-0.21591359999999901</v>
      </c>
      <c r="P3469">
        <v>0.91703080000000003</v>
      </c>
      <c r="Q3469">
        <v>-2.4595189999999999E-2</v>
      </c>
      <c r="R3469">
        <v>-0.39805759999999901</v>
      </c>
      <c r="S3469">
        <v>2.5389710000000001</v>
      </c>
      <c r="T3469">
        <v>-0.25038310000000003</v>
      </c>
      <c r="U3469">
        <v>-1.6782379999999999</v>
      </c>
      <c r="V3469">
        <v>0.19056509999999999</v>
      </c>
      <c r="W3469">
        <v>-1.2299600000000001E-2</v>
      </c>
      <c r="X3469">
        <v>0.98159750000000001</v>
      </c>
      <c r="Y3469">
        <v>0.35779809999999901</v>
      </c>
      <c r="Z3469">
        <v>2.8972770000000002E-3</v>
      </c>
      <c r="AA3469">
        <v>0.93379439999999903</v>
      </c>
      <c r="AB3469">
        <v>24</v>
      </c>
      <c r="AC3469">
        <v>10.9346999999999</v>
      </c>
      <c r="AD3469">
        <v>-1.101307962653</v>
      </c>
      <c r="AE3469">
        <v>-7.3262999999999998</v>
      </c>
      <c r="AF3469">
        <v>4.7589602600464902</v>
      </c>
      <c r="AG3469">
        <v>-1.101307962653</v>
      </c>
      <c r="AH3469">
        <v>12.1735004472241</v>
      </c>
      <c r="AI3469">
        <v>94.8162577712542</v>
      </c>
      <c r="AJ3469">
        <v>68.648087808168498</v>
      </c>
      <c r="AK3469">
        <v>13.1169621149057</v>
      </c>
    </row>
    <row r="3470" spans="1:37" x14ac:dyDescent="0.2">
      <c r="A3470" t="str">
        <f>"20200111155917203"</f>
        <v>20200111155917203</v>
      </c>
      <c r="B3470" t="str">
        <f>"1578729557195324"</f>
        <v>1578729557195324</v>
      </c>
      <c r="C3470" t="s">
        <v>37</v>
      </c>
      <c r="D3470">
        <v>5.3376190000000001</v>
      </c>
      <c r="E3470">
        <v>0.56875149999999997</v>
      </c>
      <c r="F3470" t="s">
        <v>49</v>
      </c>
      <c r="G3470">
        <v>-194.7585</v>
      </c>
      <c r="H3470" s="1">
        <v>4.1678379999999999E-6</v>
      </c>
      <c r="I3470">
        <v>207.31200000000001</v>
      </c>
      <c r="J3470">
        <v>-205.83850000000001</v>
      </c>
      <c r="K3470">
        <v>1.1012059999999999</v>
      </c>
      <c r="L3470">
        <v>214.8124</v>
      </c>
      <c r="M3470">
        <v>0.97522730000000002</v>
      </c>
      <c r="N3470">
        <v>0</v>
      </c>
      <c r="O3470">
        <v>-0.2207665</v>
      </c>
      <c r="P3470">
        <v>0.91454939999999996</v>
      </c>
      <c r="Q3470">
        <v>-2.3315829999999999E-2</v>
      </c>
      <c r="R3470">
        <v>-0.40380159999999998</v>
      </c>
      <c r="S3470">
        <v>2.5312189999999899</v>
      </c>
      <c r="T3470">
        <v>-0.24621770000000001</v>
      </c>
      <c r="U3470">
        <v>-1.6901250000000001</v>
      </c>
      <c r="V3470">
        <v>0.19183810000000001</v>
      </c>
      <c r="W3470">
        <v>-1.107868E-2</v>
      </c>
      <c r="X3470">
        <v>0.98136409999999996</v>
      </c>
      <c r="Y3470">
        <v>0.3575393</v>
      </c>
      <c r="Z3470">
        <v>3.268619E-3</v>
      </c>
      <c r="AA3470">
        <v>0.93389239999999996</v>
      </c>
      <c r="AB3470">
        <v>23</v>
      </c>
      <c r="AC3470">
        <v>11.08</v>
      </c>
      <c r="AD3470">
        <v>-1.1012018321619901</v>
      </c>
      <c r="AE3470">
        <v>-7.5003999999999804</v>
      </c>
      <c r="AF3470">
        <v>4.8362148997438696</v>
      </c>
      <c r="AG3470">
        <v>-1.1012018321619901</v>
      </c>
      <c r="AH3470">
        <v>12.378713837951199</v>
      </c>
      <c r="AI3470">
        <v>94.736709559183197</v>
      </c>
      <c r="AJ3470">
        <v>68.660009219855397</v>
      </c>
      <c r="AK3470">
        <v>13.335448110713999</v>
      </c>
    </row>
    <row r="3471" spans="1:37" x14ac:dyDescent="0.2">
      <c r="A3471" t="str">
        <f>"20200111155917223"</f>
        <v>20200111155917223</v>
      </c>
      <c r="B3471" t="str">
        <f>"1578729557215820"</f>
        <v>1578729557215820</v>
      </c>
      <c r="C3471" t="s">
        <v>37</v>
      </c>
      <c r="D3471">
        <v>5.3116300000000001</v>
      </c>
      <c r="E3471">
        <v>0.59565809999999997</v>
      </c>
      <c r="F3471" t="s">
        <v>49</v>
      </c>
      <c r="G3471">
        <v>-194.45359999999999</v>
      </c>
      <c r="H3471" s="1">
        <v>4.2970349999999996E-6</v>
      </c>
      <c r="I3471">
        <v>207.11369999999999</v>
      </c>
      <c r="J3471">
        <v>-205.62260000000001</v>
      </c>
      <c r="K3471">
        <v>1.101097</v>
      </c>
      <c r="L3471">
        <v>214.75819999999999</v>
      </c>
      <c r="M3471">
        <v>0.97419249999999902</v>
      </c>
      <c r="N3471">
        <v>0</v>
      </c>
      <c r="O3471">
        <v>-0.2252884</v>
      </c>
      <c r="P3471">
        <v>0.91164769999999995</v>
      </c>
      <c r="Q3471">
        <v>-2.118563E-2</v>
      </c>
      <c r="R3471">
        <v>-0.41042600000000001</v>
      </c>
      <c r="S3471">
        <v>2.5212859999999999</v>
      </c>
      <c r="T3471">
        <v>-0.24387049999999999</v>
      </c>
      <c r="U3471">
        <v>-1.7049559999999999</v>
      </c>
      <c r="V3471">
        <v>0.194405299999999</v>
      </c>
      <c r="W3471">
        <v>-9.0236450000000003E-3</v>
      </c>
      <c r="X3471">
        <v>0.98087979999999997</v>
      </c>
      <c r="Y3471">
        <v>0.35870219999999903</v>
      </c>
      <c r="Z3471">
        <v>3.5643889999999998E-3</v>
      </c>
      <c r="AA3471">
        <v>0.93344530000000003</v>
      </c>
      <c r="AB3471">
        <v>23</v>
      </c>
      <c r="AC3471">
        <v>11.169</v>
      </c>
      <c r="AD3471">
        <v>-1.1010927029649999</v>
      </c>
      <c r="AE3471">
        <v>-7.6444999999999901</v>
      </c>
      <c r="AF3471">
        <v>4.8990230046370096</v>
      </c>
      <c r="AG3471">
        <v>-1.1010927029649999</v>
      </c>
      <c r="AH3471">
        <v>12.5213244787361</v>
      </c>
      <c r="AI3471">
        <v>94.681645144254105</v>
      </c>
      <c r="AJ3471">
        <v>68.6318607196594</v>
      </c>
      <c r="AK3471">
        <v>13.4906040725492</v>
      </c>
    </row>
    <row r="3472" spans="1:37" x14ac:dyDescent="0.2">
      <c r="A3472" t="str">
        <f>"20200111155917246"</f>
        <v>20200111155917246</v>
      </c>
      <c r="B3472" t="str">
        <f>"1578729557235340"</f>
        <v>1578729557235340</v>
      </c>
      <c r="C3472" t="s">
        <v>37</v>
      </c>
      <c r="D3472">
        <v>5.2807659999999998</v>
      </c>
      <c r="E3472">
        <v>0.61610980000000004</v>
      </c>
      <c r="F3472" t="s">
        <v>49</v>
      </c>
      <c r="G3472">
        <v>-192.87819999999999</v>
      </c>
      <c r="H3472" s="1">
        <v>5.5179499999999901E-6</v>
      </c>
      <c r="I3472">
        <v>204.648</v>
      </c>
      <c r="J3472">
        <v>-205.3997</v>
      </c>
      <c r="K3472">
        <v>1.100965</v>
      </c>
      <c r="L3472">
        <v>214.70089999999999</v>
      </c>
      <c r="M3472">
        <v>0.973051</v>
      </c>
      <c r="N3472">
        <v>0</v>
      </c>
      <c r="O3472">
        <v>-0.23016929999999899</v>
      </c>
      <c r="P3472">
        <v>0.90826090000000004</v>
      </c>
      <c r="Q3472">
        <v>-1.9232240000000001E-2</v>
      </c>
      <c r="R3472">
        <v>-0.41796260000000002</v>
      </c>
      <c r="S3472">
        <v>2.4211580000000001</v>
      </c>
      <c r="T3472">
        <v>-0.20918409999999901</v>
      </c>
      <c r="U3472">
        <v>-1.920731</v>
      </c>
      <c r="V3472">
        <v>0.19761289999999901</v>
      </c>
      <c r="W3472">
        <v>-7.1613980000000002E-3</v>
      </c>
      <c r="X3472">
        <v>0.98025399999999996</v>
      </c>
      <c r="Y3472">
        <v>0.42403570000000002</v>
      </c>
      <c r="Z3472">
        <v>9.2301519999999997E-4</v>
      </c>
      <c r="AA3472">
        <v>0.90564500000000003</v>
      </c>
      <c r="AB3472">
        <v>23</v>
      </c>
      <c r="AC3472">
        <v>12.5215</v>
      </c>
      <c r="AD3472">
        <v>-1.1009594820499999</v>
      </c>
      <c r="AE3472">
        <v>-10.0528999999999</v>
      </c>
      <c r="AF3472">
        <v>6.8683014155358002</v>
      </c>
      <c r="AG3472">
        <v>-1.1009594820499999</v>
      </c>
      <c r="AH3472">
        <v>14.4314919590126</v>
      </c>
      <c r="AI3472">
        <v>93.940603107738198</v>
      </c>
      <c r="AJ3472">
        <v>64.5490759986169</v>
      </c>
      <c r="AK3472">
        <v>16.020413111989701</v>
      </c>
    </row>
    <row r="3473" spans="1:37" x14ac:dyDescent="0.2">
      <c r="A3473" t="str">
        <f>"20200111155917267"</f>
        <v>20200111155917267</v>
      </c>
      <c r="B3473" t="str">
        <f>"1578729557255837"</f>
        <v>1578729557255837</v>
      </c>
      <c r="C3473" t="s">
        <v>37</v>
      </c>
      <c r="D3473">
        <v>5.531625</v>
      </c>
      <c r="E3473">
        <v>0.62600359999999999</v>
      </c>
      <c r="F3473" t="s">
        <v>49</v>
      </c>
      <c r="G3473">
        <v>-192.64089999999999</v>
      </c>
      <c r="H3473" s="1">
        <v>5.9311809999999998E-6</v>
      </c>
      <c r="I3473">
        <v>203.29679999999999</v>
      </c>
      <c r="J3473">
        <v>-205.17310000000001</v>
      </c>
      <c r="K3473">
        <v>1.100814</v>
      </c>
      <c r="L3473">
        <v>214.64089999999999</v>
      </c>
      <c r="M3473">
        <v>0.97180140000000004</v>
      </c>
      <c r="N3473">
        <v>0</v>
      </c>
      <c r="O3473">
        <v>-0.2353884</v>
      </c>
      <c r="P3473">
        <v>0.90431159999999999</v>
      </c>
      <c r="Q3473">
        <v>-1.770248E-2</v>
      </c>
      <c r="R3473">
        <v>-0.4265062</v>
      </c>
      <c r="S3473">
        <v>2.3373569999999999</v>
      </c>
      <c r="T3473">
        <v>-0.20169049999999999</v>
      </c>
      <c r="U3473">
        <v>-2.089172</v>
      </c>
      <c r="V3473">
        <v>0.2015932</v>
      </c>
      <c r="W3473">
        <v>-5.7372530000000003E-3</v>
      </c>
      <c r="X3473">
        <v>0.97945260000000001</v>
      </c>
      <c r="Y3473">
        <v>0.47169470000000002</v>
      </c>
      <c r="Z3473">
        <v>-5.2772460000000002E-4</v>
      </c>
      <c r="AA3473">
        <v>0.88176180000000004</v>
      </c>
      <c r="AB3473">
        <v>23</v>
      </c>
      <c r="AC3473">
        <v>12.5322</v>
      </c>
      <c r="AD3473">
        <v>-1.1008080688190001</v>
      </c>
      <c r="AE3473">
        <v>-11.3440999999999</v>
      </c>
      <c r="AF3473">
        <v>8.0409625439286891</v>
      </c>
      <c r="AG3473">
        <v>-1.1008080688190001</v>
      </c>
      <c r="AH3473">
        <v>14.787810390026101</v>
      </c>
      <c r="AI3473">
        <v>93.741666288825002</v>
      </c>
      <c r="AJ3473">
        <v>61.464592340968601</v>
      </c>
      <c r="AK3473">
        <v>16.868556345123402</v>
      </c>
    </row>
    <row r="3474" spans="1:37" x14ac:dyDescent="0.2">
      <c r="A3474" t="str">
        <f>"20200111155917290"</f>
        <v>20200111155917290</v>
      </c>
      <c r="B3474" t="str">
        <f>"1578729557285116"</f>
        <v>1578729557285116</v>
      </c>
      <c r="C3474" t="s">
        <v>37</v>
      </c>
      <c r="D3474">
        <v>5.4754309999999897</v>
      </c>
      <c r="E3474">
        <v>0.6295752</v>
      </c>
      <c r="F3474" t="s">
        <v>49</v>
      </c>
      <c r="G3474">
        <v>-193.08349999999999</v>
      </c>
      <c r="H3474" s="1">
        <v>5.8870959999999998E-6</v>
      </c>
      <c r="I3474">
        <v>203.09270000000001</v>
      </c>
      <c r="J3474">
        <v>-204.94110000000001</v>
      </c>
      <c r="K3474">
        <v>1.100668</v>
      </c>
      <c r="L3474">
        <v>214.578</v>
      </c>
      <c r="M3474">
        <v>0.97043819999999903</v>
      </c>
      <c r="N3474">
        <v>0</v>
      </c>
      <c r="O3474">
        <v>-0.24094570000000001</v>
      </c>
      <c r="P3474">
        <v>0.89998029999999996</v>
      </c>
      <c r="Q3474">
        <v>-1.7170950000000001E-2</v>
      </c>
      <c r="R3474">
        <v>-0.43559300000000001</v>
      </c>
      <c r="S3474">
        <v>2.2842859999999998</v>
      </c>
      <c r="T3474">
        <v>-0.20799419999999999</v>
      </c>
      <c r="U3474">
        <v>-2.182007</v>
      </c>
      <c r="V3474">
        <v>0.20585100000000001</v>
      </c>
      <c r="W3474">
        <v>-5.310833E-3</v>
      </c>
      <c r="X3474">
        <v>0.97856889999999996</v>
      </c>
      <c r="Y3474">
        <v>0.4956004</v>
      </c>
      <c r="Z3474">
        <v>-1.0818760000000001E-3</v>
      </c>
      <c r="AA3474">
        <v>0.86855000000000004</v>
      </c>
      <c r="AB3474">
        <v>23</v>
      </c>
      <c r="AC3474">
        <v>11.8576</v>
      </c>
      <c r="AD3474">
        <v>-1.100662112904</v>
      </c>
      <c r="AE3474">
        <v>-11.485299999999899</v>
      </c>
      <c r="AF3474">
        <v>8.2528560092733301</v>
      </c>
      <c r="AG3474">
        <v>-1.100662112904</v>
      </c>
      <c r="AH3474">
        <v>14.212610901236699</v>
      </c>
      <c r="AI3474">
        <v>93.831421655459494</v>
      </c>
      <c r="AJ3474">
        <v>59.8574921435508</v>
      </c>
      <c r="AK3474">
        <v>16.471775800639499</v>
      </c>
    </row>
    <row r="3475" spans="1:37" x14ac:dyDescent="0.2">
      <c r="A3475" t="str">
        <f>"20200111155917313"</f>
        <v>20200111155917313</v>
      </c>
      <c r="B3475" t="str">
        <f>"1578729557305613"</f>
        <v>1578729557305613</v>
      </c>
      <c r="C3475" t="s">
        <v>37</v>
      </c>
      <c r="D3475">
        <v>5.4949349999999999</v>
      </c>
      <c r="E3475">
        <v>0.63008609999999998</v>
      </c>
      <c r="F3475" t="s">
        <v>49</v>
      </c>
      <c r="G3475">
        <v>-194.54429999999999</v>
      </c>
      <c r="H3475" s="1">
        <v>5.2493779999999999E-6</v>
      </c>
      <c r="I3475">
        <v>204.27780000000001</v>
      </c>
      <c r="J3475">
        <v>-204.71279999999999</v>
      </c>
      <c r="K3475">
        <v>1.100536</v>
      </c>
      <c r="L3475">
        <v>214.51439999999999</v>
      </c>
      <c r="M3475">
        <v>0.96901090000000001</v>
      </c>
      <c r="N3475">
        <v>0</v>
      </c>
      <c r="O3475">
        <v>-0.24662199999999901</v>
      </c>
      <c r="P3475">
        <v>0.89538289999999998</v>
      </c>
      <c r="Q3475">
        <v>-1.7207299999999998E-2</v>
      </c>
      <c r="R3475">
        <v>-0.4449649</v>
      </c>
      <c r="S3475">
        <v>2.2500149999999999</v>
      </c>
      <c r="T3475">
        <v>-0.2381982</v>
      </c>
      <c r="U3475">
        <v>-2.2291110000000001</v>
      </c>
      <c r="V3475">
        <v>0.210334299999999</v>
      </c>
      <c r="W3475">
        <v>-5.4497640000000002E-3</v>
      </c>
      <c r="X3475">
        <v>0.97761430000000005</v>
      </c>
      <c r="Y3475">
        <v>0.50613399999999997</v>
      </c>
      <c r="Z3475">
        <v>-1.255419E-3</v>
      </c>
      <c r="AA3475">
        <v>0.8624539</v>
      </c>
      <c r="AB3475">
        <v>23</v>
      </c>
      <c r="AC3475">
        <v>10.1684999999999</v>
      </c>
      <c r="AD3475">
        <v>-1.1005307506219999</v>
      </c>
      <c r="AE3475">
        <v>-10.2365999999999</v>
      </c>
      <c r="AF3475">
        <v>7.3694522955365498</v>
      </c>
      <c r="AG3475">
        <v>-1.1005307506219999</v>
      </c>
      <c r="AH3475">
        <v>12.307566156296099</v>
      </c>
      <c r="AI3475">
        <v>94.387004520321796</v>
      </c>
      <c r="AJ3475">
        <v>59.087916116303298</v>
      </c>
      <c r="AK3475">
        <v>14.387361806837999</v>
      </c>
    </row>
    <row r="3476" spans="1:37" x14ac:dyDescent="0.2">
      <c r="A3476" t="str">
        <f>"20200111155917334"</f>
        <v>20200111155917334</v>
      </c>
      <c r="B3476" t="str">
        <f>"1578729557325132"</f>
        <v>1578729557325132</v>
      </c>
      <c r="C3476" t="s">
        <v>37</v>
      </c>
      <c r="D3476">
        <v>5.4277629999999997</v>
      </c>
      <c r="E3476">
        <v>0.63019630000000004</v>
      </c>
      <c r="F3476" t="s">
        <v>49</v>
      </c>
      <c r="G3476">
        <v>-194.9984</v>
      </c>
      <c r="H3476" s="1">
        <v>5.0423110000000001E-6</v>
      </c>
      <c r="I3476">
        <v>204.66370000000001</v>
      </c>
      <c r="J3476">
        <v>-204.49430000000001</v>
      </c>
      <c r="K3476">
        <v>1.100409</v>
      </c>
      <c r="L3476">
        <v>214.452</v>
      </c>
      <c r="M3476">
        <v>0.96756119999999901</v>
      </c>
      <c r="N3476">
        <v>0</v>
      </c>
      <c r="O3476">
        <v>-0.25224849999999999</v>
      </c>
      <c r="P3476">
        <v>0.89078040000000003</v>
      </c>
      <c r="Q3476">
        <v>-1.8366500000000001E-2</v>
      </c>
      <c r="R3476">
        <v>-0.45406269999999999</v>
      </c>
      <c r="S3476">
        <v>2.22464</v>
      </c>
      <c r="T3476">
        <v>-0.2520249</v>
      </c>
      <c r="U3476">
        <v>-2.2558590000000001</v>
      </c>
      <c r="V3476">
        <v>0.21460299999999999</v>
      </c>
      <c r="W3476">
        <v>-6.7056249999999998E-3</v>
      </c>
      <c r="X3476">
        <v>0.97667839999999995</v>
      </c>
      <c r="Y3476">
        <v>0.5110654</v>
      </c>
      <c r="Z3476">
        <v>-1.0859649999999999E-3</v>
      </c>
      <c r="AA3476">
        <v>0.85954120000000001</v>
      </c>
      <c r="AB3476">
        <v>23</v>
      </c>
      <c r="AC3476">
        <v>9.4959000000000007</v>
      </c>
      <c r="AD3476">
        <v>-1.1004039576889999</v>
      </c>
      <c r="AE3476">
        <v>-9.7882999999999907</v>
      </c>
      <c r="AF3476">
        <v>7.0303733033021896</v>
      </c>
      <c r="AG3476">
        <v>-1.1004039576889999</v>
      </c>
      <c r="AH3476">
        <v>11.5826790903399</v>
      </c>
      <c r="AI3476">
        <v>94.643062449629497</v>
      </c>
      <c r="AJ3476">
        <v>58.743380334717799</v>
      </c>
      <c r="AK3476">
        <v>13.5939505870692</v>
      </c>
    </row>
    <row r="3477" spans="1:37" x14ac:dyDescent="0.2">
      <c r="A3477" t="str">
        <f>"20200111155917357"</f>
        <v>20200111155917357</v>
      </c>
      <c r="B3477" t="str">
        <f>"1578729557345629"</f>
        <v>1578729557345629</v>
      </c>
      <c r="C3477" t="s">
        <v>37</v>
      </c>
      <c r="D3477">
        <v>5.6034870000000003</v>
      </c>
      <c r="E3477">
        <v>0.63037379999999998</v>
      </c>
      <c r="F3477" t="s">
        <v>49</v>
      </c>
      <c r="G3477">
        <v>-195.30430000000001</v>
      </c>
      <c r="H3477" s="1">
        <v>4.8783560000000002E-6</v>
      </c>
      <c r="I3477">
        <v>204.93559999999999</v>
      </c>
      <c r="J3477">
        <v>-204.26320000000001</v>
      </c>
      <c r="K3477">
        <v>1.1002829999999999</v>
      </c>
      <c r="L3477">
        <v>214.3843</v>
      </c>
      <c r="M3477">
        <v>0.96593490000000004</v>
      </c>
      <c r="N3477">
        <v>0</v>
      </c>
      <c r="O3477">
        <v>-0.25840580000000002</v>
      </c>
      <c r="P3477">
        <v>0.88601770000000002</v>
      </c>
      <c r="Q3477">
        <v>-2.005475E-2</v>
      </c>
      <c r="R3477">
        <v>-0.46321759999999901</v>
      </c>
      <c r="S3477">
        <v>2.2007599999999998</v>
      </c>
      <c r="T3477">
        <v>-0.26351639999999998</v>
      </c>
      <c r="U3477">
        <v>-2.278931</v>
      </c>
      <c r="V3477">
        <v>0.21843560000000001</v>
      </c>
      <c r="W3477">
        <v>-8.4892330000000005E-3</v>
      </c>
      <c r="X3477">
        <v>0.97581450000000003</v>
      </c>
      <c r="Y3477">
        <v>0.51452959999999903</v>
      </c>
      <c r="Z3477">
        <v>-7.6104699999999896E-4</v>
      </c>
      <c r="AA3477">
        <v>0.85747229999999997</v>
      </c>
      <c r="AB3477">
        <v>23</v>
      </c>
      <c r="AC3477">
        <v>8.9588999999999999</v>
      </c>
      <c r="AD3477">
        <v>-1.1002781216440001</v>
      </c>
      <c r="AE3477">
        <v>-9.4487000000000005</v>
      </c>
      <c r="AF3477">
        <v>6.7641657047717301</v>
      </c>
      <c r="AG3477">
        <v>-1.1002781216440001</v>
      </c>
      <c r="AH3477">
        <v>11.017728804376899</v>
      </c>
      <c r="AI3477">
        <v>94.864453988930507</v>
      </c>
      <c r="AJ3477">
        <v>58.452793387810402</v>
      </c>
      <c r="AK3477">
        <v>12.9751646476403</v>
      </c>
    </row>
    <row r="3478" spans="1:37" x14ac:dyDescent="0.2">
      <c r="A3478" t="str">
        <f>"20200111155917379"</f>
        <v>20200111155917379</v>
      </c>
      <c r="B3478" t="str">
        <f>"1578729557375885"</f>
        <v>1578729557375885</v>
      </c>
      <c r="C3478" t="s">
        <v>37</v>
      </c>
      <c r="D3478">
        <v>5.4619080000000002</v>
      </c>
      <c r="E3478">
        <v>0.62985769999999996</v>
      </c>
      <c r="F3478" t="s">
        <v>49</v>
      </c>
      <c r="G3478">
        <v>-195.50059999999999</v>
      </c>
      <c r="H3478" s="1">
        <v>4.7732829999999998E-6</v>
      </c>
      <c r="I3478">
        <v>205.1097</v>
      </c>
      <c r="J3478">
        <v>-204.04400000000001</v>
      </c>
      <c r="K3478">
        <v>1.1001639999999999</v>
      </c>
      <c r="L3478">
        <v>214.3184</v>
      </c>
      <c r="M3478">
        <v>0.96430099999999996</v>
      </c>
      <c r="N3478">
        <v>0</v>
      </c>
      <c r="O3478">
        <v>-0.26443699999999998</v>
      </c>
      <c r="P3478">
        <v>0.88115759999999899</v>
      </c>
      <c r="Q3478">
        <v>-2.0977079999999999E-2</v>
      </c>
      <c r="R3478">
        <v>-0.47235739999999998</v>
      </c>
      <c r="S3478">
        <v>2.1757659999999999</v>
      </c>
      <c r="T3478">
        <v>-0.27320100000000003</v>
      </c>
      <c r="U3478">
        <v>-2.302902</v>
      </c>
      <c r="V3478">
        <v>0.22242229999999999</v>
      </c>
      <c r="W3478">
        <v>-9.5106159999999995E-3</v>
      </c>
      <c r="X3478">
        <v>0.97490409999999905</v>
      </c>
      <c r="Y3478">
        <v>0.51848109999999903</v>
      </c>
      <c r="Z3478">
        <v>-4.3706600000000001E-4</v>
      </c>
      <c r="AA3478">
        <v>0.85508899999999999</v>
      </c>
      <c r="AB3478">
        <v>23</v>
      </c>
      <c r="AC3478">
        <v>8.5434000000000196</v>
      </c>
      <c r="AD3478">
        <v>-1.1001592267169999</v>
      </c>
      <c r="AE3478">
        <v>-9.2086999999999897</v>
      </c>
      <c r="AF3478">
        <v>6.57101470934301</v>
      </c>
      <c r="AG3478">
        <v>-1.1001592267169999</v>
      </c>
      <c r="AH3478">
        <v>10.593322172454499</v>
      </c>
      <c r="AI3478">
        <v>95.0435173123238</v>
      </c>
      <c r="AJ3478">
        <v>58.188762794508897</v>
      </c>
      <c r="AK3478">
        <v>12.5142742212222</v>
      </c>
    </row>
    <row r="3479" spans="1:37" x14ac:dyDescent="0.2">
      <c r="A3479" t="str">
        <f>"20200111155917402"</f>
        <v>20200111155917402</v>
      </c>
      <c r="B3479" t="str">
        <f>"1578729557395404"</f>
        <v>1578729557395404</v>
      </c>
      <c r="C3479" t="s">
        <v>37</v>
      </c>
      <c r="D3479">
        <v>5.4428460000000003</v>
      </c>
      <c r="E3479">
        <v>0.62932619999999995</v>
      </c>
      <c r="F3479" t="s">
        <v>49</v>
      </c>
      <c r="G3479">
        <v>-195.6756</v>
      </c>
      <c r="H3479" s="1">
        <v>4.6685299999999998E-6</v>
      </c>
      <c r="I3479">
        <v>205.2963</v>
      </c>
      <c r="J3479">
        <v>-203.8175</v>
      </c>
      <c r="K3479">
        <v>1.100036</v>
      </c>
      <c r="L3479">
        <v>214.24850000000001</v>
      </c>
      <c r="M3479">
        <v>0.96251489999999995</v>
      </c>
      <c r="N3479">
        <v>0</v>
      </c>
      <c r="O3479">
        <v>-0.27086509999999903</v>
      </c>
      <c r="P3479">
        <v>0.87625379999999997</v>
      </c>
      <c r="Q3479">
        <v>-2.0984849999999999E-2</v>
      </c>
      <c r="R3479">
        <v>-0.4813924</v>
      </c>
      <c r="S3479">
        <v>2.1533509999999998</v>
      </c>
      <c r="T3479">
        <v>-0.28309099999999998</v>
      </c>
      <c r="U3479">
        <v>-2.3215479999999999</v>
      </c>
      <c r="V3479">
        <v>0.22593649999999901</v>
      </c>
      <c r="W3479">
        <v>-9.6186459999999998E-3</v>
      </c>
      <c r="X3479">
        <v>0.97409460000000003</v>
      </c>
      <c r="Y3479">
        <v>0.52058009999999999</v>
      </c>
      <c r="Z3479" s="1">
        <v>5.1368029999999901E-5</v>
      </c>
      <c r="AA3479">
        <v>0.85381280000000004</v>
      </c>
      <c r="AB3479">
        <v>23</v>
      </c>
      <c r="AC3479">
        <v>8.1418999999999908</v>
      </c>
      <c r="AD3479">
        <v>-1.1000313314700001</v>
      </c>
      <c r="AE3479">
        <v>-8.9521999999999995</v>
      </c>
      <c r="AF3479">
        <v>6.3593499048252102</v>
      </c>
      <c r="AG3479">
        <v>-1.1000313314700001</v>
      </c>
      <c r="AH3479">
        <v>10.178439126349501</v>
      </c>
      <c r="AI3479">
        <v>95.236865836902098</v>
      </c>
      <c r="AJ3479">
        <v>58.003420027864799</v>
      </c>
      <c r="AK3479">
        <v>12.052054729008599</v>
      </c>
    </row>
    <row r="3480" spans="1:37" x14ac:dyDescent="0.2">
      <c r="A3480" t="str">
        <f>"20200111155917424"</f>
        <v>20200111155917424</v>
      </c>
      <c r="B3480" t="str">
        <f>"1578729557415900"</f>
        <v>1578729557415900</v>
      </c>
      <c r="C3480" t="s">
        <v>37</v>
      </c>
      <c r="D3480">
        <v>5.4451169999999998</v>
      </c>
      <c r="E3480">
        <v>0.62862530000000005</v>
      </c>
      <c r="F3480" t="s">
        <v>49</v>
      </c>
      <c r="G3480">
        <v>-195.63130000000001</v>
      </c>
      <c r="H3480" s="1">
        <v>4.6913780000000003E-6</v>
      </c>
      <c r="I3480">
        <v>205.2594</v>
      </c>
      <c r="J3480">
        <v>-203.59960000000001</v>
      </c>
      <c r="K3480">
        <v>1.0999209999999999</v>
      </c>
      <c r="L3480">
        <v>214.17939999999999</v>
      </c>
      <c r="M3480">
        <v>0.96069539999999998</v>
      </c>
      <c r="N3480">
        <v>0</v>
      </c>
      <c r="O3480">
        <v>-0.27724850000000001</v>
      </c>
      <c r="P3480">
        <v>0.87147889999999995</v>
      </c>
      <c r="Q3480">
        <v>-2.0450920000000001E-2</v>
      </c>
      <c r="R3480">
        <v>-0.49000649999999901</v>
      </c>
      <c r="S3480">
        <v>2.1311800000000001</v>
      </c>
      <c r="T3480">
        <v>-0.28638089999999999</v>
      </c>
      <c r="U3480">
        <v>-2.3402099999999999</v>
      </c>
      <c r="V3480">
        <v>0.229069299999999</v>
      </c>
      <c r="W3480">
        <v>-9.1818999999999998E-3</v>
      </c>
      <c r="X3480">
        <v>0.97336679999999998</v>
      </c>
      <c r="Y3480">
        <v>0.52271129999999999</v>
      </c>
      <c r="Z3480">
        <v>5.5770020000000002E-4</v>
      </c>
      <c r="AA3480">
        <v>0.85250959999999998</v>
      </c>
      <c r="AB3480">
        <v>23</v>
      </c>
      <c r="AC3480">
        <v>7.9682999999999904</v>
      </c>
      <c r="AD3480">
        <v>-1.0999163086219901</v>
      </c>
      <c r="AE3480">
        <v>-8.9199999999999804</v>
      </c>
      <c r="AF3480">
        <v>6.3074917766776597</v>
      </c>
      <c r="AG3480">
        <v>-1.0999163086219901</v>
      </c>
      <c r="AH3480">
        <v>10.044225767061899</v>
      </c>
      <c r="AI3480">
        <v>95.298338426359194</v>
      </c>
      <c r="AJ3480">
        <v>57.872332719844998</v>
      </c>
      <c r="AK3480">
        <v>11.911370183926801</v>
      </c>
    </row>
    <row r="3481" spans="1:37" x14ac:dyDescent="0.2">
      <c r="A3481" t="str">
        <f>"20200111155917447"</f>
        <v>20200111155917447</v>
      </c>
      <c r="B3481" t="str">
        <f>"1578729557435420"</f>
        <v>1578729557435420</v>
      </c>
      <c r="C3481" t="s">
        <v>37</v>
      </c>
      <c r="D3481">
        <v>5.3788910000000003</v>
      </c>
      <c r="E3481">
        <v>0.62812749999999995</v>
      </c>
      <c r="F3481" t="s">
        <v>49</v>
      </c>
      <c r="G3481">
        <v>-195.60169999999999</v>
      </c>
      <c r="H3481" s="1">
        <v>4.6999529999999997E-6</v>
      </c>
      <c r="I3481">
        <v>205.25370000000001</v>
      </c>
      <c r="J3481">
        <v>-203.37739999999999</v>
      </c>
      <c r="K3481">
        <v>1.0997950000000001</v>
      </c>
      <c r="L3481">
        <v>214.1069</v>
      </c>
      <c r="M3481">
        <v>0.95872990000000002</v>
      </c>
      <c r="N3481">
        <v>0</v>
      </c>
      <c r="O3481">
        <v>-0.28396979999999999</v>
      </c>
      <c r="P3481">
        <v>0.86617119999999903</v>
      </c>
      <c r="Q3481">
        <v>-1.8332910000000001E-2</v>
      </c>
      <c r="R3481">
        <v>-0.4994112</v>
      </c>
      <c r="S3481">
        <v>2.1109770000000001</v>
      </c>
      <c r="T3481">
        <v>-0.29031370000000001</v>
      </c>
      <c r="U3481">
        <v>-2.3558500000000002</v>
      </c>
      <c r="V3481">
        <v>0.2327929</v>
      </c>
      <c r="W3481">
        <v>-7.1710389999999997E-3</v>
      </c>
      <c r="X3481">
        <v>0.97249989999999997</v>
      </c>
      <c r="Y3481">
        <v>0.52359929999999999</v>
      </c>
      <c r="Z3481">
        <v>1.1827889999999901E-3</v>
      </c>
      <c r="AA3481">
        <v>0.8519639</v>
      </c>
      <c r="AB3481">
        <v>23</v>
      </c>
      <c r="AC3481">
        <v>7.7756999999999996</v>
      </c>
      <c r="AD3481">
        <v>-1.099790300047</v>
      </c>
      <c r="AE3481">
        <v>-8.8531999999999798</v>
      </c>
      <c r="AF3481">
        <v>6.22614544428943</v>
      </c>
      <c r="AG3481">
        <v>-1.099790300047</v>
      </c>
      <c r="AH3481">
        <v>9.8837211832509801</v>
      </c>
      <c r="AI3481">
        <v>95.378521713087196</v>
      </c>
      <c r="AJ3481">
        <v>57.791557719574797</v>
      </c>
      <c r="AK3481">
        <v>11.7329608465113</v>
      </c>
    </row>
    <row r="3482" spans="1:37" x14ac:dyDescent="0.2">
      <c r="A3482" t="str">
        <f>"20200111155917469"</f>
        <v>20200111155917469</v>
      </c>
      <c r="B3482" t="str">
        <f>"1578729557465676"</f>
        <v>1578729557465676</v>
      </c>
      <c r="C3482" t="s">
        <v>37</v>
      </c>
      <c r="D3482">
        <v>5.3971429999999998</v>
      </c>
      <c r="E3482">
        <v>0.62722270000000002</v>
      </c>
      <c r="F3482" t="s">
        <v>49</v>
      </c>
      <c r="G3482">
        <v>-195.393</v>
      </c>
      <c r="H3482" s="1">
        <v>4.8271019999999902E-6</v>
      </c>
      <c r="I3482">
        <v>205.0249</v>
      </c>
      <c r="J3482">
        <v>-203.15520000000001</v>
      </c>
      <c r="K3482">
        <v>1.099682</v>
      </c>
      <c r="L3482">
        <v>214.03229999999999</v>
      </c>
      <c r="M3482">
        <v>0.95664799999999905</v>
      </c>
      <c r="N3482">
        <v>0</v>
      </c>
      <c r="O3482">
        <v>-0.29090529999999998</v>
      </c>
      <c r="P3482">
        <v>0.86023119999999997</v>
      </c>
      <c r="Q3482">
        <v>-1.5118639999999999E-2</v>
      </c>
      <c r="R3482">
        <v>-0.50968040000000003</v>
      </c>
      <c r="S3482">
        <v>2.0880429999999999</v>
      </c>
      <c r="T3482">
        <v>-0.287610799999999</v>
      </c>
      <c r="U3482">
        <v>-2.3750610000000001</v>
      </c>
      <c r="V3482">
        <v>0.2373316</v>
      </c>
      <c r="W3482">
        <v>-4.072811E-3</v>
      </c>
      <c r="X3482">
        <v>0.97142019999999996</v>
      </c>
      <c r="Y3482">
        <v>0.52551930000000002</v>
      </c>
      <c r="Z3482">
        <v>1.7493739999999999E-3</v>
      </c>
      <c r="AA3482">
        <v>0.85077999999999998</v>
      </c>
      <c r="AB3482">
        <v>23</v>
      </c>
      <c r="AC3482">
        <v>7.7622</v>
      </c>
      <c r="AD3482">
        <v>-1.0996771728979999</v>
      </c>
      <c r="AE3482">
        <v>-9.0073999999999899</v>
      </c>
      <c r="AF3482">
        <v>6.3055455553294903</v>
      </c>
      <c r="AG3482">
        <v>-1.0996771728979999</v>
      </c>
      <c r="AH3482">
        <v>9.9617869249661695</v>
      </c>
      <c r="AI3482">
        <v>95.3288098171043</v>
      </c>
      <c r="AJ3482">
        <v>57.667280086569399</v>
      </c>
      <c r="AK3482">
        <v>11.840878065977799</v>
      </c>
    </row>
    <row r="3483" spans="1:37" x14ac:dyDescent="0.2">
      <c r="A3483" t="str">
        <f>"20200111155917492"</f>
        <v>20200111155917492</v>
      </c>
      <c r="B3483" t="str">
        <f>"1578729557485196"</f>
        <v>1578729557485196</v>
      </c>
      <c r="C3483" t="s">
        <v>37</v>
      </c>
      <c r="D3483">
        <v>5.3823150000000002</v>
      </c>
      <c r="E3483">
        <v>0.62660119999999997</v>
      </c>
      <c r="F3483" t="s">
        <v>49</v>
      </c>
      <c r="G3483">
        <v>-195.09</v>
      </c>
      <c r="H3483" s="1">
        <v>5.0164540000000002E-6</v>
      </c>
      <c r="I3483">
        <v>204.67939999999999</v>
      </c>
      <c r="J3483">
        <v>-202.93049999999999</v>
      </c>
      <c r="K3483">
        <v>1.0995680000000001</v>
      </c>
      <c r="L3483">
        <v>213.95490000000001</v>
      </c>
      <c r="M3483">
        <v>0.95443389999999995</v>
      </c>
      <c r="N3483">
        <v>0</v>
      </c>
      <c r="O3483">
        <v>-0.29808849999999998</v>
      </c>
      <c r="P3483">
        <v>0.85377930000000002</v>
      </c>
      <c r="Q3483">
        <v>-1.2162259999999999E-2</v>
      </c>
      <c r="R3483">
        <v>-0.52049350000000005</v>
      </c>
      <c r="S3483">
        <v>2.0641940000000001</v>
      </c>
      <c r="T3483">
        <v>-0.28144930000000001</v>
      </c>
      <c r="U3483">
        <v>-2.3937840000000001</v>
      </c>
      <c r="V3483">
        <v>0.24230079999999901</v>
      </c>
      <c r="W3483">
        <v>-1.23003E-3</v>
      </c>
      <c r="X3483">
        <v>0.97020039999999996</v>
      </c>
      <c r="Y3483">
        <v>0.52732840000000003</v>
      </c>
      <c r="Z3483">
        <v>2.309635E-3</v>
      </c>
      <c r="AA3483">
        <v>0.84965840000000004</v>
      </c>
      <c r="AB3483">
        <v>23</v>
      </c>
      <c r="AC3483">
        <v>7.8404999999999898</v>
      </c>
      <c r="AD3483">
        <v>-1.0995629835459999</v>
      </c>
      <c r="AE3483">
        <v>-9.2755000000000205</v>
      </c>
      <c r="AF3483">
        <v>6.4633613825755099</v>
      </c>
      <c r="AG3483">
        <v>-1.0995629835459999</v>
      </c>
      <c r="AH3483">
        <v>10.1658561054457</v>
      </c>
      <c r="AI3483">
        <v>95.215282654282902</v>
      </c>
      <c r="AJ3483">
        <v>57.552160239967201</v>
      </c>
      <c r="AK3483">
        <v>12.096640420926001</v>
      </c>
    </row>
    <row r="3484" spans="1:37" x14ac:dyDescent="0.2">
      <c r="A3484" t="str">
        <f>"20200111155917513"</f>
        <v>20200111155917513</v>
      </c>
      <c r="B3484" t="str">
        <f>"1578729557505693"</f>
        <v>1578729557505693</v>
      </c>
      <c r="C3484" t="s">
        <v>37</v>
      </c>
      <c r="D3484">
        <v>5.3738039999999998</v>
      </c>
      <c r="E3484">
        <v>0.62591300000000005</v>
      </c>
      <c r="F3484" t="s">
        <v>49</v>
      </c>
      <c r="G3484">
        <v>-194.72030000000001</v>
      </c>
      <c r="H3484" s="1">
        <v>5.2263549999999999E-6</v>
      </c>
      <c r="I3484">
        <v>204.2174</v>
      </c>
      <c r="J3484">
        <v>-202.71449999999999</v>
      </c>
      <c r="K3484">
        <v>1.0994679999999999</v>
      </c>
      <c r="L3484">
        <v>213.87860000000001</v>
      </c>
      <c r="M3484">
        <v>0.95220070000000001</v>
      </c>
      <c r="N3484">
        <v>0</v>
      </c>
      <c r="O3484">
        <v>-0.30514599999999997</v>
      </c>
      <c r="P3484">
        <v>0.84695069999999995</v>
      </c>
      <c r="Q3484">
        <v>-1.3724E-2</v>
      </c>
      <c r="R3484">
        <v>-0.53149480000000004</v>
      </c>
      <c r="S3484">
        <v>2.0370330000000001</v>
      </c>
      <c r="T3484">
        <v>-0.27281179999999999</v>
      </c>
      <c r="U3484">
        <v>-2.415985</v>
      </c>
      <c r="V3484">
        <v>0.24765389999999901</v>
      </c>
      <c r="W3484">
        <v>-2.9038159999999901E-3</v>
      </c>
      <c r="X3484">
        <v>0.96884419999999905</v>
      </c>
      <c r="Y3484">
        <v>0.53052709999999903</v>
      </c>
      <c r="Z3484">
        <v>2.7353149999999999E-3</v>
      </c>
      <c r="AA3484">
        <v>0.84766359999999996</v>
      </c>
      <c r="AB3484">
        <v>23</v>
      </c>
      <c r="AC3484">
        <v>7.99419999999997</v>
      </c>
      <c r="AD3484">
        <v>-1.099462773645</v>
      </c>
      <c r="AE3484">
        <v>-9.6611999999999991</v>
      </c>
      <c r="AF3484">
        <v>6.7091027071231402</v>
      </c>
      <c r="AG3484">
        <v>-1.099462773645</v>
      </c>
      <c r="AH3484">
        <v>10.480644935834899</v>
      </c>
      <c r="AI3484">
        <v>95.049087920223499</v>
      </c>
      <c r="AJ3484">
        <v>57.374978871201002</v>
      </c>
      <c r="AK3484">
        <v>12.492589635315801</v>
      </c>
    </row>
    <row r="3485" spans="1:37" x14ac:dyDescent="0.2">
      <c r="A3485" t="str">
        <f>"20200111155917535"</f>
        <v>20200111155917535</v>
      </c>
      <c r="B3485" t="str">
        <f>"1578729557525213"</f>
        <v>1578729557525213</v>
      </c>
      <c r="C3485" t="s">
        <v>37</v>
      </c>
      <c r="D3485">
        <v>5.3560619999999997</v>
      </c>
      <c r="E3485">
        <v>0.61101870000000003</v>
      </c>
      <c r="F3485" t="s">
        <v>49</v>
      </c>
      <c r="G3485">
        <v>-194.79159999999999</v>
      </c>
      <c r="H3485" s="1">
        <v>5.1987599999999998E-6</v>
      </c>
      <c r="I3485">
        <v>204.2619</v>
      </c>
      <c r="J3485">
        <v>-202.5</v>
      </c>
      <c r="K3485">
        <v>1.0993759999999999</v>
      </c>
      <c r="L3485">
        <v>213.80080000000001</v>
      </c>
      <c r="M3485">
        <v>0.94987569999999999</v>
      </c>
      <c r="N3485">
        <v>0</v>
      </c>
      <c r="O3485">
        <v>-0.31230740000000001</v>
      </c>
      <c r="P3485">
        <v>0.83987219999999996</v>
      </c>
      <c r="Q3485">
        <v>-1.7294980000000001E-2</v>
      </c>
      <c r="R3485">
        <v>-0.54250880000000001</v>
      </c>
      <c r="S3485">
        <v>2.0080719999999999</v>
      </c>
      <c r="T3485">
        <v>-0.27865859999999998</v>
      </c>
      <c r="U3485">
        <v>-2.4373469999999999</v>
      </c>
      <c r="V3485">
        <v>0.25298289999999901</v>
      </c>
      <c r="W3485">
        <v>-6.5852089999999999E-3</v>
      </c>
      <c r="X3485">
        <v>0.96744839999999999</v>
      </c>
      <c r="Y3485">
        <v>0.53375629999999996</v>
      </c>
      <c r="Z3485">
        <v>3.312368E-3</v>
      </c>
      <c r="AA3485">
        <v>0.84563180000000004</v>
      </c>
      <c r="AB3485">
        <v>23</v>
      </c>
      <c r="AC3485">
        <v>7.7084000000000099</v>
      </c>
      <c r="AD3485">
        <v>-1.0993708012400001</v>
      </c>
      <c r="AE3485">
        <v>-9.5389000000000106</v>
      </c>
      <c r="AF3485">
        <v>6.6010030019657</v>
      </c>
      <c r="AG3485">
        <v>-1.0993708012400001</v>
      </c>
      <c r="AH3485">
        <v>10.2199998623021</v>
      </c>
      <c r="AI3485">
        <v>95.163288184511899</v>
      </c>
      <c r="AJ3485">
        <v>57.141958137200497</v>
      </c>
      <c r="AK3485">
        <v>12.215983545177</v>
      </c>
    </row>
    <row r="3486" spans="1:37" x14ac:dyDescent="0.2">
      <c r="A3486" t="str">
        <f>"20200111155917558"</f>
        <v>20200111155917558</v>
      </c>
      <c r="B3486" t="str">
        <f>"1578729557555469"</f>
        <v>1578729557555469</v>
      </c>
      <c r="C3486" t="s">
        <v>37</v>
      </c>
      <c r="D3486">
        <v>5.3810129999999896</v>
      </c>
      <c r="E3486">
        <v>0.61007480000000003</v>
      </c>
      <c r="F3486" t="s">
        <v>49</v>
      </c>
      <c r="G3486">
        <v>-195.73089999999999</v>
      </c>
      <c r="H3486" s="1">
        <v>4.4209969999999998E-6</v>
      </c>
      <c r="I3486">
        <v>205.96180000000001</v>
      </c>
      <c r="J3486">
        <v>-202.27869999999999</v>
      </c>
      <c r="K3486">
        <v>1.0992879999999901</v>
      </c>
      <c r="L3486">
        <v>213.7184</v>
      </c>
      <c r="M3486">
        <v>0.9473627</v>
      </c>
      <c r="N3486">
        <v>0</v>
      </c>
      <c r="O3486">
        <v>-0.31984829999999997</v>
      </c>
      <c r="P3486">
        <v>0.83263390000000004</v>
      </c>
      <c r="Q3486">
        <v>-2.1029140000000002E-2</v>
      </c>
      <c r="R3486">
        <v>-0.55342409999999997</v>
      </c>
      <c r="S3486">
        <v>2.039536</v>
      </c>
      <c r="T3486">
        <v>-0.33124109999999901</v>
      </c>
      <c r="U3486">
        <v>-2.3618769999999998</v>
      </c>
      <c r="V3486">
        <v>0.25789629999999902</v>
      </c>
      <c r="W3486">
        <v>-1.0427250000000001E-2</v>
      </c>
      <c r="X3486">
        <v>0.96611630000000004</v>
      </c>
      <c r="Y3486">
        <v>0.50701450000000003</v>
      </c>
      <c r="Z3486">
        <v>6.550569E-3</v>
      </c>
      <c r="AA3486">
        <v>0.86191269999999998</v>
      </c>
      <c r="AB3486">
        <v>23</v>
      </c>
      <c r="AC3486">
        <v>6.5477999999999899</v>
      </c>
      <c r="AD3486">
        <v>-1.09928357900299</v>
      </c>
      <c r="AE3486">
        <v>-7.7565999999999899</v>
      </c>
      <c r="AF3486">
        <v>5.1936285766651897</v>
      </c>
      <c r="AG3486">
        <v>-1.09928357900299</v>
      </c>
      <c r="AH3486">
        <v>8.5842741918920193</v>
      </c>
      <c r="AI3486">
        <v>96.252697278084895</v>
      </c>
      <c r="AJ3486">
        <v>58.825364608490901</v>
      </c>
      <c r="AK3486">
        <v>10.093164299713001</v>
      </c>
    </row>
    <row r="3487" spans="1:37" x14ac:dyDescent="0.2">
      <c r="A3487" t="str">
        <f>"20200111155917581"</f>
        <v>20200111155917581</v>
      </c>
      <c r="B3487" t="str">
        <f>"1578729557574988"</f>
        <v>1578729557574988</v>
      </c>
      <c r="C3487" t="s">
        <v>37</v>
      </c>
      <c r="D3487">
        <v>5.3741919999999999</v>
      </c>
      <c r="E3487">
        <v>0.60824529999999999</v>
      </c>
      <c r="F3487" t="s">
        <v>49</v>
      </c>
      <c r="G3487">
        <v>-195.7251</v>
      </c>
      <c r="H3487" s="1">
        <v>4.423365E-6</v>
      </c>
      <c r="I3487">
        <v>205.9588</v>
      </c>
      <c r="J3487">
        <v>-202.0617</v>
      </c>
      <c r="K3487">
        <v>1.0992</v>
      </c>
      <c r="L3487">
        <v>213.63550000000001</v>
      </c>
      <c r="M3487">
        <v>0.94478240000000002</v>
      </c>
      <c r="N3487">
        <v>0</v>
      </c>
      <c r="O3487">
        <v>-0.3273913</v>
      </c>
      <c r="P3487">
        <v>0.82559259999999901</v>
      </c>
      <c r="Q3487">
        <v>-2.249837E-2</v>
      </c>
      <c r="R3487">
        <v>-0.56381829999999999</v>
      </c>
      <c r="S3487">
        <v>2.0114749999999999</v>
      </c>
      <c r="T3487">
        <v>-0.3374007</v>
      </c>
      <c r="U3487">
        <v>-2.381653</v>
      </c>
      <c r="V3487">
        <v>0.26229340000000001</v>
      </c>
      <c r="W3487">
        <v>-1.2000739999999999E-2</v>
      </c>
      <c r="X3487">
        <v>0.96491349999999998</v>
      </c>
      <c r="Y3487">
        <v>0.50957010000000003</v>
      </c>
      <c r="Z3487">
        <v>7.4057150000000002E-3</v>
      </c>
      <c r="AA3487">
        <v>0.86039730000000003</v>
      </c>
      <c r="AB3487">
        <v>23</v>
      </c>
      <c r="AC3487">
        <v>6.3365999999999998</v>
      </c>
      <c r="AD3487">
        <v>-1.0991955766349999</v>
      </c>
      <c r="AE3487">
        <v>-7.6767000000000101</v>
      </c>
      <c r="AF3487">
        <v>5.1163950167884202</v>
      </c>
      <c r="AG3487">
        <v>-1.0991955766349999</v>
      </c>
      <c r="AH3487">
        <v>8.3984376077126104</v>
      </c>
      <c r="AI3487">
        <v>96.377643586780806</v>
      </c>
      <c r="AJ3487">
        <v>58.649894507788296</v>
      </c>
      <c r="AK3487">
        <v>9.8954273851184809</v>
      </c>
    </row>
    <row r="3488" spans="1:37" x14ac:dyDescent="0.2">
      <c r="A3488" t="str">
        <f>"20200111155917604"</f>
        <v>20200111155917604</v>
      </c>
      <c r="B3488" t="str">
        <f>"1578729557595485"</f>
        <v>1578729557595485</v>
      </c>
      <c r="C3488" t="s">
        <v>37</v>
      </c>
      <c r="D3488">
        <v>5.3308400000000002</v>
      </c>
      <c r="E3488">
        <v>0.60679209999999995</v>
      </c>
      <c r="F3488" t="s">
        <v>49</v>
      </c>
      <c r="G3488">
        <v>-195.6327</v>
      </c>
      <c r="H3488" s="1">
        <v>4.4663449999999997E-6</v>
      </c>
      <c r="I3488">
        <v>205.89510000000001</v>
      </c>
      <c r="J3488">
        <v>-201.84119999999999</v>
      </c>
      <c r="K3488">
        <v>1.099108</v>
      </c>
      <c r="L3488">
        <v>213.54910000000001</v>
      </c>
      <c r="M3488">
        <v>0.94203729999999997</v>
      </c>
      <c r="N3488">
        <v>0</v>
      </c>
      <c r="O3488">
        <v>-0.33520699999999998</v>
      </c>
      <c r="P3488">
        <v>0.81843929999999998</v>
      </c>
      <c r="Q3488">
        <v>-2.1401139999999999E-2</v>
      </c>
      <c r="R3488">
        <v>-0.5741946</v>
      </c>
      <c r="S3488">
        <v>1.9890289999999999</v>
      </c>
      <c r="T3488">
        <v>-0.34007379999999998</v>
      </c>
      <c r="U3488">
        <v>-2.39475999999999</v>
      </c>
      <c r="V3488">
        <v>0.26647700000000002</v>
      </c>
      <c r="W3488">
        <v>-1.101096E-2</v>
      </c>
      <c r="X3488">
        <v>0.96377839999999904</v>
      </c>
      <c r="Y3488">
        <v>0.50954120000000003</v>
      </c>
      <c r="Z3488">
        <v>8.4093569999999992E-3</v>
      </c>
      <c r="AA3488">
        <v>0.86040519999999998</v>
      </c>
      <c r="AB3488">
        <v>23</v>
      </c>
      <c r="AC3488">
        <v>6.2084999999999804</v>
      </c>
      <c r="AD3488">
        <v>-1.0991035336549999</v>
      </c>
      <c r="AE3488">
        <v>-7.6539999999999901</v>
      </c>
      <c r="AF3488">
        <v>5.0667224045562298</v>
      </c>
      <c r="AG3488">
        <v>-1.0991035336549999</v>
      </c>
      <c r="AH3488">
        <v>8.3117863984097795</v>
      </c>
      <c r="AI3488">
        <v>96.4419755593036</v>
      </c>
      <c r="AJ3488">
        <v>58.634231595523602</v>
      </c>
      <c r="AK3488">
        <v>9.7961981214813605</v>
      </c>
    </row>
    <row r="3489" spans="1:37" x14ac:dyDescent="0.2">
      <c r="A3489" t="str">
        <f>"20200111155917626"</f>
        <v>20200111155917626</v>
      </c>
      <c r="B3489" t="str">
        <f>"1578729557615005"</f>
        <v>1578729557615005</v>
      </c>
      <c r="C3489" t="s">
        <v>37</v>
      </c>
      <c r="D3489">
        <v>5.3656709999999999</v>
      </c>
      <c r="E3489">
        <v>0.60531740000000001</v>
      </c>
      <c r="F3489" t="s">
        <v>49</v>
      </c>
      <c r="G3489">
        <v>-195.38120000000001</v>
      </c>
      <c r="H3489" s="1">
        <v>4.616324E-6</v>
      </c>
      <c r="I3489">
        <v>205.62860000000001</v>
      </c>
      <c r="J3489">
        <v>-201.63220000000001</v>
      </c>
      <c r="K3489">
        <v>1.0990279999999999</v>
      </c>
      <c r="L3489">
        <v>213.465</v>
      </c>
      <c r="M3489">
        <v>0.93930910000000001</v>
      </c>
      <c r="N3489">
        <v>0</v>
      </c>
      <c r="O3489">
        <v>-0.34277740000000001</v>
      </c>
      <c r="P3489">
        <v>0.8115793</v>
      </c>
      <c r="Q3489">
        <v>-1.896728E-2</v>
      </c>
      <c r="R3489">
        <v>-0.58393439999999996</v>
      </c>
      <c r="S3489">
        <v>1.9657899999999999</v>
      </c>
      <c r="T3489">
        <v>-0.33446100000000001</v>
      </c>
      <c r="U3489">
        <v>-2.4102480000000002</v>
      </c>
      <c r="V3489">
        <v>0.27024330000000002</v>
      </c>
      <c r="W3489">
        <v>-8.6807929999999991E-3</v>
      </c>
      <c r="X3489">
        <v>0.96275290000000002</v>
      </c>
      <c r="Y3489">
        <v>0.5103645</v>
      </c>
      <c r="Z3489">
        <v>9.1187249999999994E-3</v>
      </c>
      <c r="AA3489">
        <v>0.85990979999999995</v>
      </c>
      <c r="AB3489">
        <v>23</v>
      </c>
      <c r="AC3489">
        <v>6.2510000000000003</v>
      </c>
      <c r="AD3489">
        <v>-1.0990233836759999</v>
      </c>
      <c r="AE3489">
        <v>-7.8363999999999896</v>
      </c>
      <c r="AF3489">
        <v>5.1566430622542203</v>
      </c>
      <c r="AG3489">
        <v>-1.0990233836759999</v>
      </c>
      <c r="AH3489">
        <v>8.4569712124500196</v>
      </c>
      <c r="AI3489">
        <v>96.331363022445203</v>
      </c>
      <c r="AJ3489">
        <v>58.6272255067163</v>
      </c>
      <c r="AK3489">
        <v>9.9659009706884802</v>
      </c>
    </row>
    <row r="3490" spans="1:37" x14ac:dyDescent="0.2">
      <c r="A3490" t="str">
        <f>"20200111155917649"</f>
        <v>20200111155917649</v>
      </c>
      <c r="B3490" t="str">
        <f>"1578729557645261"</f>
        <v>1578729557645261</v>
      </c>
      <c r="C3490" t="s">
        <v>37</v>
      </c>
      <c r="D3490">
        <v>5.0713269999999904</v>
      </c>
      <c r="E3490">
        <v>0.61154240000000004</v>
      </c>
      <c r="F3490" t="s">
        <v>49</v>
      </c>
      <c r="G3490">
        <v>-195.02359999999999</v>
      </c>
      <c r="H3490" s="1">
        <v>4.8387290000000001E-6</v>
      </c>
      <c r="I3490">
        <v>205.22370000000001</v>
      </c>
      <c r="J3490">
        <v>-201.41489999999999</v>
      </c>
      <c r="K3490">
        <v>1.098935</v>
      </c>
      <c r="L3490">
        <v>213.375</v>
      </c>
      <c r="M3490">
        <v>0.93633060000000001</v>
      </c>
      <c r="N3490">
        <v>0</v>
      </c>
      <c r="O3490">
        <v>-0.35083029999999998</v>
      </c>
      <c r="P3490">
        <v>0.80426109999999995</v>
      </c>
      <c r="Q3490">
        <v>-1.7190790000000001E-2</v>
      </c>
      <c r="R3490">
        <v>-0.59402719999999998</v>
      </c>
      <c r="S3490">
        <v>1.9443509999999999</v>
      </c>
      <c r="T3490">
        <v>-0.32335130000000001</v>
      </c>
      <c r="U3490">
        <v>-2.4247130000000001</v>
      </c>
      <c r="V3490">
        <v>0.2740069</v>
      </c>
      <c r="W3490">
        <v>-7.0131389999999998E-3</v>
      </c>
      <c r="X3490">
        <v>0.96170219999999995</v>
      </c>
      <c r="Y3490">
        <v>0.51020569999999998</v>
      </c>
      <c r="Z3490">
        <v>9.7536280000000003E-3</v>
      </c>
      <c r="AA3490">
        <v>0.85999709999999996</v>
      </c>
      <c r="AB3490">
        <v>23</v>
      </c>
      <c r="AC3490">
        <v>6.3913000000000002</v>
      </c>
      <c r="AD3490">
        <v>-1.0989301612710001</v>
      </c>
      <c r="AE3490">
        <v>-8.1512999999999902</v>
      </c>
      <c r="AF3490">
        <v>5.3305979581266598</v>
      </c>
      <c r="AG3490">
        <v>-1.0989301612710001</v>
      </c>
      <c r="AH3490">
        <v>8.74654291299235</v>
      </c>
      <c r="AI3490">
        <v>96.123660996180007</v>
      </c>
      <c r="AJ3490">
        <v>58.639698295154801</v>
      </c>
      <c r="AK3490">
        <v>10.3016957351375</v>
      </c>
    </row>
    <row r="3491" spans="1:37" x14ac:dyDescent="0.2">
      <c r="A3491" t="str">
        <f>"20200111155917671"</f>
        <v>20200111155917671</v>
      </c>
      <c r="B3491" t="str">
        <f>"1578729557665756"</f>
        <v>1578729557665756</v>
      </c>
      <c r="C3491" t="s">
        <v>37</v>
      </c>
      <c r="D3491">
        <v>5.3769749999999998</v>
      </c>
      <c r="E3491">
        <v>0.61007400000000001</v>
      </c>
      <c r="F3491" t="s">
        <v>39</v>
      </c>
      <c r="G3491">
        <v>-189.19099999999901</v>
      </c>
      <c r="H3491" s="1">
        <v>-3.3887720000000001E-6</v>
      </c>
      <c r="I3491">
        <v>197.19759999999999</v>
      </c>
      <c r="J3491">
        <v>-201.2</v>
      </c>
      <c r="K3491">
        <v>1.0988519999999999</v>
      </c>
      <c r="L3491">
        <v>213.28380000000001</v>
      </c>
      <c r="M3491">
        <v>0.93324949999999995</v>
      </c>
      <c r="N3491">
        <v>0</v>
      </c>
      <c r="O3491">
        <v>-0.35894530000000002</v>
      </c>
      <c r="P3491">
        <v>0.7964869</v>
      </c>
      <c r="Q3491">
        <v>-1.7293090000000001E-2</v>
      </c>
      <c r="R3491">
        <v>-0.60440850000000002</v>
      </c>
      <c r="S3491">
        <v>1.88447599999999</v>
      </c>
      <c r="T3491">
        <v>-0.16941609999999999</v>
      </c>
      <c r="U3491">
        <v>-2.493973</v>
      </c>
      <c r="V3491">
        <v>0.2781264</v>
      </c>
      <c r="W3491">
        <v>-7.2251210000000001E-3</v>
      </c>
      <c r="X3491">
        <v>0.96051730000000002</v>
      </c>
      <c r="Y3491">
        <v>0.52800550000000002</v>
      </c>
      <c r="Z3491">
        <v>5.0089359999999899E-3</v>
      </c>
      <c r="AA3491">
        <v>0.84922619999999904</v>
      </c>
      <c r="AB3491">
        <v>23</v>
      </c>
      <c r="AC3491">
        <v>12.009</v>
      </c>
      <c r="AD3491">
        <v>-1.0988553887719901</v>
      </c>
      <c r="AE3491">
        <v>-16.086200000000002</v>
      </c>
      <c r="AF3491">
        <v>10.67097963206</v>
      </c>
      <c r="AG3491">
        <v>-1.0988553887719901</v>
      </c>
      <c r="AH3491">
        <v>16.932452563056</v>
      </c>
      <c r="AI3491">
        <v>93.142562736561104</v>
      </c>
      <c r="AJ3491">
        <v>57.780511233362297</v>
      </c>
      <c r="AK3491">
        <v>20.0445812945398</v>
      </c>
    </row>
    <row r="3492" spans="1:37" x14ac:dyDescent="0.2">
      <c r="A3492" t="str">
        <f>"20200111155917693"</f>
        <v>20200111155917693</v>
      </c>
      <c r="B3492" t="str">
        <f>"1578729557685276"</f>
        <v>1578729557685276</v>
      </c>
      <c r="C3492" t="s">
        <v>37</v>
      </c>
      <c r="D3492">
        <v>5.4537870000000002</v>
      </c>
      <c r="E3492">
        <v>0.60780469999999998</v>
      </c>
      <c r="F3492" t="s">
        <v>39</v>
      </c>
      <c r="G3492">
        <v>-189.1671</v>
      </c>
      <c r="H3492" s="1">
        <v>-3.32632099999999E-6</v>
      </c>
      <c r="I3492">
        <v>197.0421</v>
      </c>
      <c r="J3492">
        <v>-200.9958</v>
      </c>
      <c r="K3492">
        <v>1.098779</v>
      </c>
      <c r="L3492">
        <v>213.19479999999999</v>
      </c>
      <c r="M3492">
        <v>0.93018789999999996</v>
      </c>
      <c r="N3492">
        <v>0</v>
      </c>
      <c r="O3492">
        <v>-0.36680550000000001</v>
      </c>
      <c r="P3492">
        <v>0.78864659999999998</v>
      </c>
      <c r="Q3492">
        <v>-1.728149E-2</v>
      </c>
      <c r="R3492">
        <v>-0.61460380000000003</v>
      </c>
      <c r="S3492">
        <v>1.858887</v>
      </c>
      <c r="T3492">
        <v>-0.16975489999999999</v>
      </c>
      <c r="U3492">
        <v>-2.509064</v>
      </c>
      <c r="V3492">
        <v>0.2823736</v>
      </c>
      <c r="W3492">
        <v>-7.3215219999999996E-3</v>
      </c>
      <c r="X3492">
        <v>0.95927659999999904</v>
      </c>
      <c r="Y3492">
        <v>0.52887459999999997</v>
      </c>
      <c r="Z3492">
        <v>5.4706499999999996E-3</v>
      </c>
      <c r="AA3492">
        <v>0.8486823</v>
      </c>
      <c r="AB3492">
        <v>23</v>
      </c>
      <c r="AC3492">
        <v>11.8286999999999</v>
      </c>
      <c r="AD3492">
        <v>-1.0987823263209999</v>
      </c>
      <c r="AE3492">
        <v>-16.1526999999999</v>
      </c>
      <c r="AF3492">
        <v>10.655210813837201</v>
      </c>
      <c r="AG3492">
        <v>-1.0987823263209999</v>
      </c>
      <c r="AH3492">
        <v>16.878701498381801</v>
      </c>
      <c r="AI3492">
        <v>93.150818665226694</v>
      </c>
      <c r="AJ3492">
        <v>57.736543041841799</v>
      </c>
      <c r="AK3492">
        <v>19.990782985151601</v>
      </c>
    </row>
    <row r="3493" spans="1:37" x14ac:dyDescent="0.2">
      <c r="A3493" t="str">
        <f>"20200111155917714"</f>
        <v>20200111155917714</v>
      </c>
      <c r="B3493" t="str">
        <f>"1578729557705773"</f>
        <v>1578729557705773</v>
      </c>
      <c r="C3493" t="s">
        <v>37</v>
      </c>
      <c r="D3493">
        <v>5.4358180000000003</v>
      </c>
      <c r="E3493">
        <v>0.62293229999999999</v>
      </c>
      <c r="F3493" t="s">
        <v>49</v>
      </c>
      <c r="G3493">
        <v>-195.27379999999999</v>
      </c>
      <c r="H3493" s="1">
        <v>4.7309220000000001E-6</v>
      </c>
      <c r="I3493">
        <v>205.37180000000001</v>
      </c>
      <c r="J3493">
        <v>-200.78960000000001</v>
      </c>
      <c r="K3493">
        <v>1.0987</v>
      </c>
      <c r="L3493">
        <v>213.1027</v>
      </c>
      <c r="M3493">
        <v>0.92695309999999898</v>
      </c>
      <c r="N3493">
        <v>0</v>
      </c>
      <c r="O3493">
        <v>-0.37490469999999998</v>
      </c>
      <c r="P3493">
        <v>0.78077109999999905</v>
      </c>
      <c r="Q3493">
        <v>-1.6296499999999998E-2</v>
      </c>
      <c r="R3493">
        <v>-0.62460519999999997</v>
      </c>
      <c r="S3493">
        <v>1.8379669999999999</v>
      </c>
      <c r="T3493">
        <v>-0.35293600000000003</v>
      </c>
      <c r="U3493">
        <v>-2.5128330000000001</v>
      </c>
      <c r="V3493">
        <v>0.28623320000000002</v>
      </c>
      <c r="W3493">
        <v>-6.4405779999999998E-3</v>
      </c>
      <c r="X3493">
        <v>0.9581383</v>
      </c>
      <c r="Y3493">
        <v>0.52593819999999902</v>
      </c>
      <c r="Z3493">
        <v>1.25947E-2</v>
      </c>
      <c r="AA3493">
        <v>0.85042960000000001</v>
      </c>
      <c r="AB3493">
        <v>23</v>
      </c>
      <c r="AC3493">
        <v>5.5158000000000103</v>
      </c>
      <c r="AD3493">
        <v>-1.0986952690780001</v>
      </c>
      <c r="AE3493">
        <v>-7.7308999999999903</v>
      </c>
      <c r="AF3493">
        <v>5.03146152618464</v>
      </c>
      <c r="AG3493">
        <v>-1.0986952690780001</v>
      </c>
      <c r="AH3493">
        <v>7.9062390210672602</v>
      </c>
      <c r="AI3493">
        <v>96.686744289754103</v>
      </c>
      <c r="AJ3493">
        <v>57.527680614098401</v>
      </c>
      <c r="AK3493">
        <v>9.4356426300500207</v>
      </c>
    </row>
    <row r="3494" spans="1:37" x14ac:dyDescent="0.2">
      <c r="A3494" t="str">
        <f>"20200111155917737"</f>
        <v>20200111155917737</v>
      </c>
      <c r="B3494" t="str">
        <f>"1578729557725293"</f>
        <v>1578729557725293</v>
      </c>
      <c r="C3494" t="s">
        <v>37</v>
      </c>
      <c r="D3494">
        <v>5.4443019999999898</v>
      </c>
      <c r="E3494">
        <v>0.63175040000000005</v>
      </c>
      <c r="F3494" t="s">
        <v>49</v>
      </c>
      <c r="G3494">
        <v>-195.57299999999901</v>
      </c>
      <c r="H3494" s="1">
        <v>4.7340159999999902E-6</v>
      </c>
      <c r="I3494">
        <v>205.1754</v>
      </c>
      <c r="J3494">
        <v>-200.57990000000001</v>
      </c>
      <c r="K3494">
        <v>1.0986119999999999</v>
      </c>
      <c r="L3494">
        <v>213.0067</v>
      </c>
      <c r="M3494">
        <v>0.92350659999999896</v>
      </c>
      <c r="N3494">
        <v>0</v>
      </c>
      <c r="O3494">
        <v>-0.38331470000000001</v>
      </c>
      <c r="P3494">
        <v>0.77323799999999998</v>
      </c>
      <c r="Q3494">
        <v>-1.5286070000000001E-2</v>
      </c>
      <c r="R3494">
        <v>-0.63393180000000005</v>
      </c>
      <c r="S3494">
        <v>1.7307279999999901</v>
      </c>
      <c r="T3494">
        <v>-0.36451790000000001</v>
      </c>
      <c r="U3494">
        <v>-2.6300810000000001</v>
      </c>
      <c r="V3494">
        <v>0.2890279</v>
      </c>
      <c r="W3494">
        <v>-5.5230339999999996E-3</v>
      </c>
      <c r="X3494">
        <v>0.95730469999999901</v>
      </c>
      <c r="Y3494">
        <v>0.55965290000000001</v>
      </c>
      <c r="Z3494">
        <v>1.1619330000000001E-2</v>
      </c>
      <c r="AA3494">
        <v>0.82864570000000004</v>
      </c>
      <c r="AB3494">
        <v>23</v>
      </c>
      <c r="AC3494">
        <v>5.0069000000000301</v>
      </c>
      <c r="AD3494">
        <v>-1.098607265984</v>
      </c>
      <c r="AE3494">
        <v>-7.8312999999999899</v>
      </c>
      <c r="AF3494">
        <v>5.2403793166795802</v>
      </c>
      <c r="AG3494">
        <v>-1.098607265984</v>
      </c>
      <c r="AH3494">
        <v>7.5214699995484198</v>
      </c>
      <c r="AI3494">
        <v>96.833937516606994</v>
      </c>
      <c r="AJ3494">
        <v>55.134195520775002</v>
      </c>
      <c r="AK3494">
        <v>9.2326065800326997</v>
      </c>
    </row>
    <row r="3495" spans="1:37" x14ac:dyDescent="0.2">
      <c r="A3495" t="str">
        <f>"20200111155917760"</f>
        <v>20200111155917760</v>
      </c>
      <c r="B3495" t="str">
        <f>"1578729557755549"</f>
        <v>1578729557755549</v>
      </c>
      <c r="C3495" t="s">
        <v>37</v>
      </c>
      <c r="D3495">
        <v>5.4176500000000001</v>
      </c>
      <c r="E3495">
        <v>0.63684039999999997</v>
      </c>
      <c r="F3495" t="s">
        <v>49</v>
      </c>
      <c r="G3495">
        <v>-195.47980000000001</v>
      </c>
      <c r="H3495" s="1">
        <v>4.9359100000000003E-6</v>
      </c>
      <c r="I3495">
        <v>204.6627</v>
      </c>
      <c r="J3495">
        <v>-200.36519999999999</v>
      </c>
      <c r="K3495">
        <v>1.0984989999999999</v>
      </c>
      <c r="L3495">
        <v>212.9057</v>
      </c>
      <c r="M3495">
        <v>0.91979999999999995</v>
      </c>
      <c r="N3495">
        <v>0</v>
      </c>
      <c r="O3495">
        <v>-0.392125</v>
      </c>
      <c r="P3495">
        <v>0.7661017</v>
      </c>
      <c r="Q3495">
        <v>-1.5948790000000001E-2</v>
      </c>
      <c r="R3495">
        <v>-0.64252159999999903</v>
      </c>
      <c r="S3495">
        <v>1.654129</v>
      </c>
      <c r="T3495">
        <v>-0.35630820000000002</v>
      </c>
      <c r="U3495">
        <v>-2.7061769999999998</v>
      </c>
      <c r="V3495">
        <v>0.29055439999999999</v>
      </c>
      <c r="W3495">
        <v>-6.2672409999999998E-3</v>
      </c>
      <c r="X3495">
        <v>0.95683799999999997</v>
      </c>
      <c r="Y3495">
        <v>0.57921429999999996</v>
      </c>
      <c r="Z3495">
        <v>1.104514E-2</v>
      </c>
      <c r="AA3495">
        <v>0.81510050000000001</v>
      </c>
      <c r="AB3495">
        <v>23</v>
      </c>
      <c r="AC3495">
        <v>4.8853999999999704</v>
      </c>
      <c r="AD3495">
        <v>-1.0984940640899901</v>
      </c>
      <c r="AE3495">
        <v>-8.2429999999999897</v>
      </c>
      <c r="AF3495">
        <v>5.5932962834070699</v>
      </c>
      <c r="AG3495">
        <v>-1.0984940640899901</v>
      </c>
      <c r="AH3495">
        <v>7.6264407005733403</v>
      </c>
      <c r="AI3495">
        <v>96.625131052007305</v>
      </c>
      <c r="AJ3495">
        <v>53.743362480263897</v>
      </c>
      <c r="AK3495">
        <v>9.5212525584703407</v>
      </c>
    </row>
    <row r="3496" spans="1:37" x14ac:dyDescent="0.2">
      <c r="A3496" t="str">
        <f>"20200111155917781"</f>
        <v>20200111155917781</v>
      </c>
      <c r="B3496" t="str">
        <f>"1578729557775068"</f>
        <v>1578729557775068</v>
      </c>
      <c r="C3496" t="s">
        <v>37</v>
      </c>
      <c r="D3496">
        <v>5.4206859999999999</v>
      </c>
      <c r="E3496">
        <v>0.63796129999999995</v>
      </c>
      <c r="F3496" t="s">
        <v>49</v>
      </c>
      <c r="G3496">
        <v>-195.33789999999999</v>
      </c>
      <c r="H3496" s="1">
        <v>5.0872000000000002E-6</v>
      </c>
      <c r="I3496">
        <v>204.22569999999999</v>
      </c>
      <c r="J3496">
        <v>-200.1636</v>
      </c>
      <c r="K3496">
        <v>1.0983689999999999</v>
      </c>
      <c r="L3496">
        <v>212.8083</v>
      </c>
      <c r="M3496">
        <v>0.91614010000000001</v>
      </c>
      <c r="N3496">
        <v>0</v>
      </c>
      <c r="O3496">
        <v>-0.40060000000000001</v>
      </c>
      <c r="P3496">
        <v>0.759656</v>
      </c>
      <c r="Q3496">
        <v>-1.8010299999999899E-2</v>
      </c>
      <c r="R3496">
        <v>-0.65007539999999997</v>
      </c>
      <c r="S3496">
        <v>1.596649</v>
      </c>
      <c r="T3496">
        <v>-0.34887699999999999</v>
      </c>
      <c r="U3496">
        <v>-2.756729</v>
      </c>
      <c r="V3496">
        <v>0.2911822</v>
      </c>
      <c r="W3496">
        <v>-8.4005390000000003E-3</v>
      </c>
      <c r="X3496">
        <v>0.95663069999999895</v>
      </c>
      <c r="Y3496">
        <v>0.590952699999999</v>
      </c>
      <c r="Z3496">
        <v>1.10221E-2</v>
      </c>
      <c r="AA3496">
        <v>0.80663090000000004</v>
      </c>
      <c r="AB3496">
        <v>23</v>
      </c>
      <c r="AC3496">
        <v>4.8257000000000101</v>
      </c>
      <c r="AD3496">
        <v>-1.0983639128</v>
      </c>
      <c r="AE3496">
        <v>-8.58260000000001</v>
      </c>
      <c r="AF3496">
        <v>5.8574140016413301</v>
      </c>
      <c r="AG3496">
        <v>-1.0983639128</v>
      </c>
      <c r="AH3496">
        <v>7.7634141145632496</v>
      </c>
      <c r="AI3496">
        <v>96.4436666385986</v>
      </c>
      <c r="AJ3496">
        <v>52.965832019725099</v>
      </c>
      <c r="AK3496">
        <v>9.7870476031214402</v>
      </c>
    </row>
    <row r="3497" spans="1:37" x14ac:dyDescent="0.2">
      <c r="A3497" t="str">
        <f>"20200111155917805"</f>
        <v>20200111155917805</v>
      </c>
      <c r="B3497" t="str">
        <f>"1578729557795564"</f>
        <v>1578729557795564</v>
      </c>
      <c r="C3497" t="s">
        <v>37</v>
      </c>
      <c r="D3497">
        <v>5.4137559999999896</v>
      </c>
      <c r="E3497">
        <v>0.6385189</v>
      </c>
      <c r="F3497" t="s">
        <v>49</v>
      </c>
      <c r="G3497">
        <v>-195.32149999999999</v>
      </c>
      <c r="H3497" s="1">
        <v>5.0996490000000001E-6</v>
      </c>
      <c r="I3497">
        <v>204.19239999999999</v>
      </c>
      <c r="J3497">
        <v>-199.95679999999999</v>
      </c>
      <c r="K3497">
        <v>1.0982179999999999</v>
      </c>
      <c r="L3497">
        <v>212.70570000000001</v>
      </c>
      <c r="M3497">
        <v>0.91219399999999995</v>
      </c>
      <c r="N3497">
        <v>0</v>
      </c>
      <c r="O3497">
        <v>-0.40950529999999902</v>
      </c>
      <c r="P3497">
        <v>0.75325299999999995</v>
      </c>
      <c r="Q3497">
        <v>-1.9818659999999998E-2</v>
      </c>
      <c r="R3497">
        <v>-0.65743249999999998</v>
      </c>
      <c r="S3497">
        <v>1.562119</v>
      </c>
      <c r="T3497">
        <v>-0.35434850000000001</v>
      </c>
      <c r="U3497">
        <v>-2.779617</v>
      </c>
      <c r="V3497">
        <v>0.29115619999999998</v>
      </c>
      <c r="W3497">
        <v>-1.0277329999999999E-2</v>
      </c>
      <c r="X3497">
        <v>0.95662029999999998</v>
      </c>
      <c r="Y3497">
        <v>0.5935494</v>
      </c>
      <c r="Z3497">
        <v>1.21332E-2</v>
      </c>
      <c r="AA3497">
        <v>0.80470600000000003</v>
      </c>
      <c r="AB3497">
        <v>23</v>
      </c>
      <c r="AC3497">
        <v>4.6353</v>
      </c>
      <c r="AD3497">
        <v>-1.0982129003509999</v>
      </c>
      <c r="AE3497">
        <v>-8.5133000000000099</v>
      </c>
      <c r="AF3497">
        <v>5.79384215388556</v>
      </c>
      <c r="AG3497">
        <v>-1.0982129003509999</v>
      </c>
      <c r="AH3497">
        <v>7.6175582029124298</v>
      </c>
      <c r="AI3497">
        <v>96.546000248553298</v>
      </c>
      <c r="AJ3497">
        <v>52.743727335108503</v>
      </c>
      <c r="AK3497">
        <v>9.6333727973849896</v>
      </c>
    </row>
    <row r="3498" spans="1:37" x14ac:dyDescent="0.2">
      <c r="A3498" t="str">
        <f>"20200111155917827"</f>
        <v>20200111155917827</v>
      </c>
      <c r="B3498" t="str">
        <f>"1578729557815085"</f>
        <v>1578729557815085</v>
      </c>
      <c r="C3498" t="s">
        <v>37</v>
      </c>
      <c r="D3498">
        <v>5.4249320000000001</v>
      </c>
      <c r="E3498">
        <v>0.63863289999999995</v>
      </c>
      <c r="F3498" t="s">
        <v>49</v>
      </c>
      <c r="G3498">
        <v>-195.28</v>
      </c>
      <c r="H3498" s="1">
        <v>5.1172879999999998E-6</v>
      </c>
      <c r="I3498">
        <v>204.16050000000001</v>
      </c>
      <c r="J3498">
        <v>-199.75120000000001</v>
      </c>
      <c r="K3498">
        <v>1.0980650000000001</v>
      </c>
      <c r="L3498">
        <v>212.60079999999999</v>
      </c>
      <c r="M3498">
        <v>0.90804859999999898</v>
      </c>
      <c r="N3498">
        <v>0</v>
      </c>
      <c r="O3498">
        <v>-0.41861589999999999</v>
      </c>
      <c r="P3498">
        <v>0.74712309999999904</v>
      </c>
      <c r="Q3498">
        <v>-2.093919E-2</v>
      </c>
      <c r="R3498">
        <v>-0.66435580000000005</v>
      </c>
      <c r="S3498">
        <v>1.531296</v>
      </c>
      <c r="T3498">
        <v>-0.3595854</v>
      </c>
      <c r="U3498">
        <v>-2.79792799999999</v>
      </c>
      <c r="V3498">
        <v>0.29040159999999998</v>
      </c>
      <c r="W3498">
        <v>-1.145499E-2</v>
      </c>
      <c r="X3498">
        <v>0.95683629999999997</v>
      </c>
      <c r="Y3498">
        <v>0.59454419999999897</v>
      </c>
      <c r="Z3498">
        <v>1.3413960000000001E-2</v>
      </c>
      <c r="AA3498">
        <v>0.80395109999999903</v>
      </c>
      <c r="AB3498">
        <v>22</v>
      </c>
      <c r="AC3498">
        <v>4.4711999999999996</v>
      </c>
      <c r="AD3498">
        <v>-1.0980598827120001</v>
      </c>
      <c r="AE3498">
        <v>-8.4402999999999793</v>
      </c>
      <c r="AF3498">
        <v>5.71752597973245</v>
      </c>
      <c r="AG3498">
        <v>-1.0980598827120001</v>
      </c>
      <c r="AH3498">
        <v>7.4950448215915397</v>
      </c>
      <c r="AI3498">
        <v>96.643984436674202</v>
      </c>
      <c r="AJ3498">
        <v>52.662134092004003</v>
      </c>
      <c r="AK3498">
        <v>9.4906024947103997</v>
      </c>
    </row>
    <row r="3499" spans="1:37" x14ac:dyDescent="0.2">
      <c r="A3499" t="str">
        <f>"20200111155917850"</f>
        <v>20200111155917850</v>
      </c>
      <c r="B3499" t="str">
        <f>"1578729557845340"</f>
        <v>1578729557845340</v>
      </c>
      <c r="C3499" t="s">
        <v>37</v>
      </c>
      <c r="D3499">
        <v>5.4770539999999999</v>
      </c>
      <c r="E3499">
        <v>0.63814869999999901</v>
      </c>
      <c r="F3499" t="s">
        <v>49</v>
      </c>
      <c r="G3499">
        <v>-195.239</v>
      </c>
      <c r="H3499" s="1">
        <v>5.125375E-6</v>
      </c>
      <c r="I3499">
        <v>204.1644</v>
      </c>
      <c r="J3499">
        <v>-199.5505</v>
      </c>
      <c r="K3499">
        <v>1.0979179999999999</v>
      </c>
      <c r="L3499">
        <v>212.49539999999999</v>
      </c>
      <c r="M3499">
        <v>0.90378269999999905</v>
      </c>
      <c r="N3499">
        <v>0</v>
      </c>
      <c r="O3499">
        <v>-0.42774719999999999</v>
      </c>
      <c r="P3499">
        <v>0.74125299999999905</v>
      </c>
      <c r="Q3499">
        <v>-2.0945760000000001E-2</v>
      </c>
      <c r="R3499">
        <v>-0.67089919999999903</v>
      </c>
      <c r="S3499">
        <v>1.504257</v>
      </c>
      <c r="T3499">
        <v>-0.36606230000000001</v>
      </c>
      <c r="U3499">
        <v>-2.8124539999999998</v>
      </c>
      <c r="V3499">
        <v>0.28916649999999999</v>
      </c>
      <c r="W3499">
        <v>-1.150494E-2</v>
      </c>
      <c r="X3499">
        <v>0.95720969999999905</v>
      </c>
      <c r="Y3499">
        <v>0.59418680000000001</v>
      </c>
      <c r="Z3499">
        <v>1.488452E-2</v>
      </c>
      <c r="AA3499">
        <v>0.8041893</v>
      </c>
      <c r="AB3499">
        <v>22</v>
      </c>
      <c r="AC3499">
        <v>4.3114999999999899</v>
      </c>
      <c r="AD3499">
        <v>-1.097912874625</v>
      </c>
      <c r="AE3499">
        <v>-8.33099999999998</v>
      </c>
      <c r="AF3499">
        <v>5.60894100883172</v>
      </c>
      <c r="AG3499">
        <v>-1.097912874625</v>
      </c>
      <c r="AH3499">
        <v>7.3601764172539603</v>
      </c>
      <c r="AI3499">
        <v>96.766217277779305</v>
      </c>
      <c r="AJ3499">
        <v>52.690203045025903</v>
      </c>
      <c r="AK3499">
        <v>9.3186817100876898</v>
      </c>
    </row>
    <row r="3500" spans="1:37" x14ac:dyDescent="0.2">
      <c r="A3500" t="str">
        <f>"20200111155917872"</f>
        <v>20200111155917872</v>
      </c>
      <c r="B3500" t="str">
        <f>"1578729557865837"</f>
        <v>1578729557865837</v>
      </c>
      <c r="C3500" t="s">
        <v>37</v>
      </c>
      <c r="D3500">
        <v>5.4555600000000002</v>
      </c>
      <c r="E3500">
        <v>0.63770939999999998</v>
      </c>
      <c r="F3500" t="s">
        <v>49</v>
      </c>
      <c r="G3500">
        <v>-195.1352</v>
      </c>
      <c r="H3500" s="1">
        <v>5.1690639999999899E-6</v>
      </c>
      <c r="I3500">
        <v>204.08629999999999</v>
      </c>
      <c r="J3500">
        <v>-199.34710000000001</v>
      </c>
      <c r="K3500">
        <v>1.0977809999999999</v>
      </c>
      <c r="L3500">
        <v>212.38570000000001</v>
      </c>
      <c r="M3500">
        <v>0.899240699999999</v>
      </c>
      <c r="N3500">
        <v>0</v>
      </c>
      <c r="O3500">
        <v>-0.43721369999999998</v>
      </c>
      <c r="P3500">
        <v>0.73455570000000003</v>
      </c>
      <c r="Q3500">
        <v>-2.1220019999999999E-2</v>
      </c>
      <c r="R3500">
        <v>-0.67821659999999995</v>
      </c>
      <c r="S3500">
        <v>1.48204</v>
      </c>
      <c r="T3500">
        <v>-0.36852629999999997</v>
      </c>
      <c r="U3500">
        <v>-2.8226169999999899</v>
      </c>
      <c r="V3500">
        <v>0.28860340000000001</v>
      </c>
      <c r="W3500">
        <v>-1.1824919999999999E-2</v>
      </c>
      <c r="X3500">
        <v>0.95737569999999905</v>
      </c>
      <c r="Y3500">
        <v>0.59193750000000001</v>
      </c>
      <c r="Z3500">
        <v>1.641304E-2</v>
      </c>
      <c r="AA3500">
        <v>0.8058168</v>
      </c>
      <c r="AB3500">
        <v>22</v>
      </c>
      <c r="AC3500">
        <v>4.2119000000000097</v>
      </c>
      <c r="AD3500">
        <v>-1.097775830936</v>
      </c>
      <c r="AE3500">
        <v>-8.2994000000000199</v>
      </c>
      <c r="AF3500">
        <v>5.5451024003488198</v>
      </c>
      <c r="AG3500">
        <v>-1.097775830936</v>
      </c>
      <c r="AH3500">
        <v>7.3151308553906196</v>
      </c>
      <c r="AI3500">
        <v>96.819768106942007</v>
      </c>
      <c r="AJ3500">
        <v>52.836712598321</v>
      </c>
      <c r="AK3500">
        <v>9.2446964166936993</v>
      </c>
    </row>
    <row r="3501" spans="1:37" x14ac:dyDescent="0.2">
      <c r="A3501" t="str">
        <f>"20200111155917894"</f>
        <v>20200111155917894</v>
      </c>
      <c r="B3501" t="str">
        <f>"1578729557885356"</f>
        <v>1578729557885356</v>
      </c>
      <c r="C3501" t="s">
        <v>37</v>
      </c>
      <c r="D3501">
        <v>5.4728260000000004</v>
      </c>
      <c r="E3501">
        <v>0.6372871</v>
      </c>
      <c r="F3501" t="s">
        <v>49</v>
      </c>
      <c r="G3501">
        <v>-195.04640000000001</v>
      </c>
      <c r="H3501" s="1">
        <v>5.2084099999999998E-6</v>
      </c>
      <c r="I3501">
        <v>204.0121</v>
      </c>
      <c r="J3501">
        <v>-199.15629999999999</v>
      </c>
      <c r="K3501">
        <v>1.097672</v>
      </c>
      <c r="L3501">
        <v>212.28</v>
      </c>
      <c r="M3501">
        <v>0.89477099999999898</v>
      </c>
      <c r="N3501">
        <v>0</v>
      </c>
      <c r="O3501">
        <v>-0.44628899999999999</v>
      </c>
      <c r="P3501">
        <v>0.72774949999999905</v>
      </c>
      <c r="Q3501">
        <v>-2.0594959999999999E-2</v>
      </c>
      <c r="R3501">
        <v>-0.68553379999999997</v>
      </c>
      <c r="S3501">
        <v>1.4559629999999999</v>
      </c>
      <c r="T3501">
        <v>-0.37164369999999902</v>
      </c>
      <c r="U3501">
        <v>-2.8348390000000001</v>
      </c>
      <c r="V3501">
        <v>0.28849770000000002</v>
      </c>
      <c r="W3501">
        <v>-1.124446E-2</v>
      </c>
      <c r="X3501">
        <v>0.9574146</v>
      </c>
      <c r="Y3501">
        <v>0.59109239999999996</v>
      </c>
      <c r="Z3501">
        <v>1.7841280000000001E-2</v>
      </c>
      <c r="AA3501">
        <v>0.80640659999999997</v>
      </c>
      <c r="AB3501">
        <v>22</v>
      </c>
      <c r="AC3501">
        <v>4.1098999999999801</v>
      </c>
      <c r="AD3501">
        <v>-1.09766679159</v>
      </c>
      <c r="AE3501">
        <v>-8.2678999999999903</v>
      </c>
      <c r="AF3501">
        <v>5.4867145756613702</v>
      </c>
      <c r="AG3501">
        <v>-1.09766679159</v>
      </c>
      <c r="AH3501">
        <v>7.2653842280456598</v>
      </c>
      <c r="AI3501">
        <v>96.874662084348898</v>
      </c>
      <c r="AJ3501">
        <v>52.940417697926797</v>
      </c>
      <c r="AK3501">
        <v>9.1703171810613497</v>
      </c>
    </row>
    <row r="3502" spans="1:37" x14ac:dyDescent="0.2">
      <c r="A3502" t="str">
        <f>"20200111155917916"</f>
        <v>20200111155917916</v>
      </c>
      <c r="B3502" t="str">
        <f>"1578729557905852"</f>
        <v>1578729557905852</v>
      </c>
      <c r="C3502" t="s">
        <v>37</v>
      </c>
      <c r="D3502">
        <v>5.5008970000000001</v>
      </c>
      <c r="E3502">
        <v>0.63675139999999997</v>
      </c>
      <c r="F3502" t="s">
        <v>49</v>
      </c>
      <c r="G3502">
        <v>-194.91200000000001</v>
      </c>
      <c r="H3502" s="1">
        <v>5.2873009999999903E-6</v>
      </c>
      <c r="I3502">
        <v>203.82669999999999</v>
      </c>
      <c r="J3502">
        <v>-198.96019999999999</v>
      </c>
      <c r="K3502">
        <v>1.097569</v>
      </c>
      <c r="L3502">
        <v>212.16849999999999</v>
      </c>
      <c r="M3502">
        <v>0.88994759999999995</v>
      </c>
      <c r="N3502">
        <v>0</v>
      </c>
      <c r="O3502">
        <v>-0.45583000000000001</v>
      </c>
      <c r="P3502">
        <v>0.71946269999999901</v>
      </c>
      <c r="Q3502">
        <v>-1.769333E-2</v>
      </c>
      <c r="R3502">
        <v>-0.69430559999999997</v>
      </c>
      <c r="S3502">
        <v>1.4296420000000001</v>
      </c>
      <c r="T3502">
        <v>-0.36972969999999999</v>
      </c>
      <c r="U3502">
        <v>-2.84735099999999</v>
      </c>
      <c r="V3502">
        <v>0.28987570000000001</v>
      </c>
      <c r="W3502">
        <v>-8.4166280000000007E-3</v>
      </c>
      <c r="X3502">
        <v>0.95702730000000003</v>
      </c>
      <c r="Y3502">
        <v>0.58990669999999901</v>
      </c>
      <c r="Z3502">
        <v>1.9122759999999999E-2</v>
      </c>
      <c r="AA3502">
        <v>0.80724499999999999</v>
      </c>
      <c r="AB3502">
        <v>22</v>
      </c>
      <c r="AC3502">
        <v>4.04819999999998</v>
      </c>
      <c r="AD3502">
        <v>-1.0975637126990001</v>
      </c>
      <c r="AE3502">
        <v>-8.3417999999999992</v>
      </c>
      <c r="AF3502">
        <v>5.50197340505727</v>
      </c>
      <c r="AG3502">
        <v>-1.0975637126990001</v>
      </c>
      <c r="AH3502">
        <v>7.3035782354598302</v>
      </c>
      <c r="AI3502">
        <v>96.844476016277696</v>
      </c>
      <c r="AJ3502">
        <v>53.008344722107402</v>
      </c>
      <c r="AK3502">
        <v>9.2097020850228208</v>
      </c>
    </row>
    <row r="3503" spans="1:37" x14ac:dyDescent="0.2">
      <c r="A3503" t="str">
        <f>"20200111155917939"</f>
        <v>20200111155917939</v>
      </c>
      <c r="B3503" t="str">
        <f>"1578729557935133"</f>
        <v>1578729557935133</v>
      </c>
      <c r="C3503" t="s">
        <v>37</v>
      </c>
      <c r="D3503">
        <v>5.8380619999999999</v>
      </c>
      <c r="E3503">
        <v>0.63618019999999997</v>
      </c>
      <c r="F3503" t="s">
        <v>49</v>
      </c>
      <c r="G3503">
        <v>-194.7501</v>
      </c>
      <c r="H3503" s="1">
        <v>5.3943399999999996E-6</v>
      </c>
      <c r="I3503">
        <v>203.55799999999999</v>
      </c>
      <c r="J3503">
        <v>-198.7636</v>
      </c>
      <c r="K3503">
        <v>1.0974709999999901</v>
      </c>
      <c r="L3503">
        <v>212.05359999999999</v>
      </c>
      <c r="M3503">
        <v>0.88486799999999999</v>
      </c>
      <c r="N3503">
        <v>0</v>
      </c>
      <c r="O3503">
        <v>-0.465613099999999</v>
      </c>
      <c r="P3503">
        <v>0.70912889999999995</v>
      </c>
      <c r="Q3503">
        <v>-1.266459E-2</v>
      </c>
      <c r="R3503">
        <v>-0.70496519999999996</v>
      </c>
      <c r="S3503">
        <v>1.399216</v>
      </c>
      <c r="T3503">
        <v>-0.364772599999999</v>
      </c>
      <c r="U3503">
        <v>-2.8616790000000001</v>
      </c>
      <c r="V3503">
        <v>0.29363470000000003</v>
      </c>
      <c r="W3503">
        <v>-3.5133059999999999E-3</v>
      </c>
      <c r="X3503">
        <v>0.95591119999999996</v>
      </c>
      <c r="Y3503">
        <v>0.5895996</v>
      </c>
      <c r="Z3503">
        <v>2.0197969999999999E-2</v>
      </c>
      <c r="AA3503">
        <v>0.80744309999999997</v>
      </c>
      <c r="AB3503">
        <v>22</v>
      </c>
      <c r="AC3503">
        <v>4.0134999999999899</v>
      </c>
      <c r="AD3503">
        <v>-1.0974656056599901</v>
      </c>
      <c r="AE3503">
        <v>-8.4955999999999907</v>
      </c>
      <c r="AF3503">
        <v>5.5733128080363796</v>
      </c>
      <c r="AG3503">
        <v>-1.0974656056599901</v>
      </c>
      <c r="AH3503">
        <v>7.4068305048760799</v>
      </c>
      <c r="AI3503">
        <v>96.752147523395905</v>
      </c>
      <c r="AJ3503">
        <v>53.0401548304473</v>
      </c>
      <c r="AK3503">
        <v>9.3342050834439991</v>
      </c>
    </row>
    <row r="3504" spans="1:37" x14ac:dyDescent="0.2">
      <c r="A3504" t="str">
        <f>"20200111155917961"</f>
        <v>20200111155917961</v>
      </c>
      <c r="B3504" t="str">
        <f>"1578729557955628"</f>
        <v>1578729557955628</v>
      </c>
      <c r="C3504" t="s">
        <v>37</v>
      </c>
      <c r="D3504">
        <v>5.5539699999999996</v>
      </c>
      <c r="E3504">
        <v>0.62314239999999999</v>
      </c>
      <c r="F3504" t="s">
        <v>49</v>
      </c>
      <c r="G3504">
        <v>-194.5472</v>
      </c>
      <c r="H3504" s="1">
        <v>5.5509699999999902E-6</v>
      </c>
      <c r="I3504">
        <v>203.13640000000001</v>
      </c>
      <c r="J3504">
        <v>-198.5641</v>
      </c>
      <c r="K3504">
        <v>1.0973629999999901</v>
      </c>
      <c r="L3504">
        <v>211.93369999999999</v>
      </c>
      <c r="M3504">
        <v>0.87944539999999904</v>
      </c>
      <c r="N3504">
        <v>0</v>
      </c>
      <c r="O3504">
        <v>-0.47577419999999998</v>
      </c>
      <c r="P3504">
        <v>0.69537059999999995</v>
      </c>
      <c r="Q3504">
        <v>-7.0419940000000002E-3</v>
      </c>
      <c r="R3504">
        <v>-0.71861660000000005</v>
      </c>
      <c r="S3504">
        <v>1.361572</v>
      </c>
      <c r="T3504">
        <v>-0.35439379999999998</v>
      </c>
      <c r="U3504">
        <v>-2.8795470000000001</v>
      </c>
      <c r="V3504">
        <v>0.30125079999999999</v>
      </c>
      <c r="W3504">
        <v>1.8947739999999999E-3</v>
      </c>
      <c r="X3504">
        <v>0.95354309999999998</v>
      </c>
      <c r="Y3504">
        <v>0.59094569999999902</v>
      </c>
      <c r="Z3504">
        <v>2.0860529999999999E-2</v>
      </c>
      <c r="AA3504">
        <v>0.80644150000000003</v>
      </c>
      <c r="AB3504">
        <v>22</v>
      </c>
      <c r="AC3504">
        <v>4.0168999999999899</v>
      </c>
      <c r="AD3504">
        <v>-1.09735744902999</v>
      </c>
      <c r="AE3504">
        <v>-8.7972999999999697</v>
      </c>
      <c r="AF3504">
        <v>5.7521726136060796</v>
      </c>
      <c r="AG3504">
        <v>-1.09735744902999</v>
      </c>
      <c r="AH3504">
        <v>7.6208807445674598</v>
      </c>
      <c r="AI3504">
        <v>96.556236448732307</v>
      </c>
      <c r="AJ3504">
        <v>52.954821386559701</v>
      </c>
      <c r="AK3504">
        <v>9.6109056009608498</v>
      </c>
    </row>
    <row r="3505" spans="1:37" x14ac:dyDescent="0.2">
      <c r="A3505" t="str">
        <f>"20200111155917983"</f>
        <v>20200111155917983</v>
      </c>
      <c r="B3505" t="str">
        <f>"1578729557975149"</f>
        <v>1578729557975149</v>
      </c>
      <c r="C3505" t="s">
        <v>37</v>
      </c>
      <c r="D3505">
        <v>5.566001</v>
      </c>
      <c r="E3505">
        <v>0.62228130000000004</v>
      </c>
      <c r="F3505" t="s">
        <v>49</v>
      </c>
      <c r="G3505">
        <v>-194.49209999999999</v>
      </c>
      <c r="H3505" s="1">
        <v>5.4436279999999998E-6</v>
      </c>
      <c r="I3505">
        <v>203.58789999999999</v>
      </c>
      <c r="J3505">
        <v>-198.37469999999999</v>
      </c>
      <c r="K3505">
        <v>1.0972629999999901</v>
      </c>
      <c r="L3505">
        <v>211.81659999999999</v>
      </c>
      <c r="M3505">
        <v>0.87404169999999903</v>
      </c>
      <c r="N3505">
        <v>0</v>
      </c>
      <c r="O3505">
        <v>-0.48562929999999999</v>
      </c>
      <c r="P3505">
        <v>0.67814549999999996</v>
      </c>
      <c r="Q3505">
        <v>-7.3553059999999996E-4</v>
      </c>
      <c r="R3505">
        <v>-0.73492749999999996</v>
      </c>
      <c r="S3505">
        <v>1.3824160000000001</v>
      </c>
      <c r="T3505">
        <v>-0.37254979999999999</v>
      </c>
      <c r="U3505">
        <v>-2.8333590000000002</v>
      </c>
      <c r="V3505">
        <v>0.3132432</v>
      </c>
      <c r="W3505">
        <v>7.8832940000000008E-3</v>
      </c>
      <c r="X3505">
        <v>0.94964020000000005</v>
      </c>
      <c r="Y3505">
        <v>0.57190980000000002</v>
      </c>
      <c r="Z3505">
        <v>2.4839610000000002E-2</v>
      </c>
      <c r="AA3505">
        <v>0.81994029999999996</v>
      </c>
      <c r="AB3505">
        <v>22</v>
      </c>
      <c r="AC3505">
        <v>3.8825999999999898</v>
      </c>
      <c r="AD3505">
        <v>-1.097257556372</v>
      </c>
      <c r="AE3505">
        <v>-8.2286999999999999</v>
      </c>
      <c r="AF3505">
        <v>5.2312153682649303</v>
      </c>
      <c r="AG3505">
        <v>-1.097257556372</v>
      </c>
      <c r="AH3505">
        <v>7.2845077003200096</v>
      </c>
      <c r="AI3505">
        <v>96.975413899487805</v>
      </c>
      <c r="AJ3505">
        <v>54.316780773684201</v>
      </c>
      <c r="AK3505">
        <v>9.0351336907766999</v>
      </c>
    </row>
    <row r="3506" spans="1:37" x14ac:dyDescent="0.2">
      <c r="A3506" t="str">
        <f>"20200111155918006"</f>
        <v>20200111155918006</v>
      </c>
      <c r="B3506" t="str">
        <f>"1578729557995644"</f>
        <v>1578729557995644</v>
      </c>
      <c r="C3506" t="s">
        <v>37</v>
      </c>
      <c r="D3506">
        <v>5.5627219999999999</v>
      </c>
      <c r="E3506">
        <v>0.62113879999999999</v>
      </c>
      <c r="F3506" t="s">
        <v>49</v>
      </c>
      <c r="G3506">
        <v>-194.33260000000001</v>
      </c>
      <c r="H3506" s="1">
        <v>5.61880999999999E-6</v>
      </c>
      <c r="I3506">
        <v>203.06</v>
      </c>
      <c r="J3506">
        <v>-198.18819999999999</v>
      </c>
      <c r="K3506">
        <v>1.0971660000000001</v>
      </c>
      <c r="L3506">
        <v>211.69799999999901</v>
      </c>
      <c r="M3506">
        <v>0.86845069999999902</v>
      </c>
      <c r="N3506">
        <v>0</v>
      </c>
      <c r="O3506">
        <v>-0.49555670000000002</v>
      </c>
      <c r="P3506">
        <v>0.65709549999999906</v>
      </c>
      <c r="Q3506">
        <v>7.1293700000000003E-3</v>
      </c>
      <c r="R3506">
        <v>-0.75377349999999999</v>
      </c>
      <c r="S3506">
        <v>1.3213349999999999</v>
      </c>
      <c r="T3506">
        <v>-0.35867789999999999</v>
      </c>
      <c r="U3506">
        <v>-2.8624269999999998</v>
      </c>
      <c r="V3506">
        <v>0.32933800000000002</v>
      </c>
      <c r="W3506">
        <v>1.532859E-2</v>
      </c>
      <c r="X3506">
        <v>0.94408769999999997</v>
      </c>
      <c r="Y3506">
        <v>0.58018149999999902</v>
      </c>
      <c r="Z3506">
        <v>2.4696739999999998E-2</v>
      </c>
      <c r="AA3506">
        <v>0.81411269999999902</v>
      </c>
      <c r="AB3506">
        <v>22</v>
      </c>
      <c r="AC3506">
        <v>3.8555999999999799</v>
      </c>
      <c r="AD3506">
        <v>-1.0971603811899999</v>
      </c>
      <c r="AE3506">
        <v>-8.6379999999999697</v>
      </c>
      <c r="AF3506">
        <v>5.5173912333067001</v>
      </c>
      <c r="AG3506">
        <v>-1.0971603811899999</v>
      </c>
      <c r="AH3506">
        <v>7.5285650829766899</v>
      </c>
      <c r="AI3506">
        <v>96.704142209647998</v>
      </c>
      <c r="AJ3506">
        <v>53.763767293089003</v>
      </c>
      <c r="AK3506">
        <v>9.3981199785935097</v>
      </c>
    </row>
    <row r="3507" spans="1:37" x14ac:dyDescent="0.2">
      <c r="A3507" t="str">
        <f>"20200111155918027"</f>
        <v>20200111155918027</v>
      </c>
      <c r="B3507" t="str">
        <f>"1578729558025901"</f>
        <v>1578729558025901</v>
      </c>
      <c r="C3507" t="s">
        <v>37</v>
      </c>
      <c r="D3507">
        <v>5.3302350000000001</v>
      </c>
      <c r="E3507">
        <v>0.63018390000000002</v>
      </c>
      <c r="F3507" t="s">
        <v>49</v>
      </c>
      <c r="G3507">
        <v>-194.16200000000001</v>
      </c>
      <c r="H3507" s="1">
        <v>5.8540959999999901E-6</v>
      </c>
      <c r="I3507">
        <v>202.36439999999999</v>
      </c>
      <c r="J3507">
        <v>-197.99770000000001</v>
      </c>
      <c r="K3507">
        <v>1.0970799999999901</v>
      </c>
      <c r="L3507">
        <v>211.57320000000001</v>
      </c>
      <c r="M3507">
        <v>0.8624482</v>
      </c>
      <c r="N3507">
        <v>0</v>
      </c>
      <c r="O3507">
        <v>-0.50592990000000004</v>
      </c>
      <c r="P3507">
        <v>0.63256020000000002</v>
      </c>
      <c r="Q3507">
        <v>1.52786E-2</v>
      </c>
      <c r="R3507">
        <v>-0.77436039999999995</v>
      </c>
      <c r="S3507">
        <v>1.248642</v>
      </c>
      <c r="T3507">
        <v>-0.34026529999999999</v>
      </c>
      <c r="U3507">
        <v>-2.8946529999999999</v>
      </c>
      <c r="V3507">
        <v>0.34831220000000002</v>
      </c>
      <c r="W3507">
        <v>2.2979449999999998E-2</v>
      </c>
      <c r="X3507">
        <v>0.93709690000000001</v>
      </c>
      <c r="Y3507">
        <v>0.59096070000000001</v>
      </c>
      <c r="Z3507">
        <v>2.4079570000000002E-2</v>
      </c>
      <c r="AA3507">
        <v>0.80634090000000003</v>
      </c>
      <c r="AB3507">
        <v>22</v>
      </c>
      <c r="AC3507">
        <v>3.8357000000000001</v>
      </c>
      <c r="AD3507">
        <v>-1.0970741459039901</v>
      </c>
      <c r="AE3507">
        <v>-9.2088000000000196</v>
      </c>
      <c r="AF3507">
        <v>5.9304467171477802</v>
      </c>
      <c r="AG3507">
        <v>-1.0970741459039901</v>
      </c>
      <c r="AH3507">
        <v>7.87275213026959</v>
      </c>
      <c r="AI3507">
        <v>96.351149900452896</v>
      </c>
      <c r="AJ3507">
        <v>53.009737743670698</v>
      </c>
      <c r="AK3507">
        <v>9.9173583201981899</v>
      </c>
    </row>
    <row r="3508" spans="1:37" x14ac:dyDescent="0.2">
      <c r="A3508" t="str">
        <f>"20200111155918051"</f>
        <v>20200111155918051</v>
      </c>
      <c r="B3508" t="str">
        <f>"1578729558045421"</f>
        <v>1578729558045421</v>
      </c>
      <c r="C3508" t="s">
        <v>37</v>
      </c>
      <c r="D3508">
        <v>5.3887339999999897</v>
      </c>
      <c r="E3508">
        <v>0.62647249999999999</v>
      </c>
      <c r="F3508" t="s">
        <v>39</v>
      </c>
      <c r="G3508">
        <v>-192.60470000000001</v>
      </c>
      <c r="H3508" s="1">
        <v>-3.8501230000000002E-6</v>
      </c>
      <c r="I3508">
        <v>196.94829999999999</v>
      </c>
      <c r="J3508">
        <v>-197.81059999999999</v>
      </c>
      <c r="K3508">
        <v>1.097008</v>
      </c>
      <c r="L3508">
        <v>211.44710000000001</v>
      </c>
      <c r="M3508">
        <v>0.85628119999999996</v>
      </c>
      <c r="N3508">
        <v>0</v>
      </c>
      <c r="O3508">
        <v>-0.51629809999999998</v>
      </c>
      <c r="P3508">
        <v>0.60660609999999904</v>
      </c>
      <c r="Q3508">
        <v>2.1901489999999999E-2</v>
      </c>
      <c r="R3508">
        <v>-0.79470090000000004</v>
      </c>
      <c r="S3508">
        <v>1.099167</v>
      </c>
      <c r="T3508">
        <v>-0.223600299999999</v>
      </c>
      <c r="U3508">
        <v>-2.980728</v>
      </c>
      <c r="V3508">
        <v>0.36791740000000001</v>
      </c>
      <c r="W3508">
        <v>2.9089940000000002E-2</v>
      </c>
      <c r="X3508">
        <v>0.92940339999999999</v>
      </c>
      <c r="Y3508">
        <v>0.62451889999999999</v>
      </c>
      <c r="Z3508">
        <v>1.518509E-2</v>
      </c>
      <c r="AA3508">
        <v>0.78086199999999995</v>
      </c>
      <c r="AB3508">
        <v>22</v>
      </c>
      <c r="AC3508">
        <v>5.2058999999999802</v>
      </c>
      <c r="AD3508">
        <v>-1.097011850123</v>
      </c>
      <c r="AE3508">
        <v>-14.498799999999999</v>
      </c>
      <c r="AF3508">
        <v>9.6792343143962594</v>
      </c>
      <c r="AG3508">
        <v>-1.097011850123</v>
      </c>
      <c r="AH3508">
        <v>11.884457674943899</v>
      </c>
      <c r="AI3508">
        <v>94.093800885032095</v>
      </c>
      <c r="AJ3508">
        <v>50.839086758505303</v>
      </c>
      <c r="AK3508">
        <v>15.366565853821401</v>
      </c>
    </row>
    <row r="3509" spans="1:37" x14ac:dyDescent="0.2">
      <c r="A3509" t="str">
        <f>"20200111155918072"</f>
        <v>20200111155918072</v>
      </c>
      <c r="B3509" t="str">
        <f>"1578729558064940"</f>
        <v>1578729558064940</v>
      </c>
      <c r="C3509" t="s">
        <v>37</v>
      </c>
      <c r="D3509">
        <v>5.4525259999999998</v>
      </c>
      <c r="E3509">
        <v>0.63052050000000004</v>
      </c>
      <c r="F3509" t="s">
        <v>39</v>
      </c>
      <c r="G3509">
        <v>-192.86539999999999</v>
      </c>
      <c r="H3509" s="1">
        <v>-3.9113220000000003E-6</v>
      </c>
      <c r="I3509">
        <v>196.98679999999999</v>
      </c>
      <c r="J3509">
        <v>-197.62280000000001</v>
      </c>
      <c r="K3509">
        <v>1.0969450000000001</v>
      </c>
      <c r="L3509">
        <v>211.31700000000001</v>
      </c>
      <c r="M3509">
        <v>0.84981269999999998</v>
      </c>
      <c r="N3509">
        <v>0</v>
      </c>
      <c r="O3509">
        <v>-0.52687569999999995</v>
      </c>
      <c r="P3509">
        <v>0.57995169999999996</v>
      </c>
      <c r="Q3509">
        <v>2.580855E-2</v>
      </c>
      <c r="R3509">
        <v>-0.81424180000000002</v>
      </c>
      <c r="S3509">
        <v>1.0254669999999999</v>
      </c>
      <c r="T3509">
        <v>-0.22748299999999999</v>
      </c>
      <c r="U3509">
        <v>-2.9985659999999998</v>
      </c>
      <c r="V3509">
        <v>0.38708409999999999</v>
      </c>
      <c r="W3509">
        <v>3.2494370000000002E-2</v>
      </c>
      <c r="X3509">
        <v>0.92147169999999901</v>
      </c>
      <c r="Y3509">
        <v>0.63334119999999905</v>
      </c>
      <c r="Z3509">
        <v>1.6017900000000002E-2</v>
      </c>
      <c r="AA3509">
        <v>0.77370689999999998</v>
      </c>
      <c r="AB3509">
        <v>22</v>
      </c>
      <c r="AC3509">
        <v>4.7574000000000103</v>
      </c>
      <c r="AD3509">
        <v>-1.0969489113219999</v>
      </c>
      <c r="AE3509">
        <v>-14.3302</v>
      </c>
      <c r="AF3509">
        <v>9.6217108270839393</v>
      </c>
      <c r="AG3509">
        <v>-1.0969489113219999</v>
      </c>
      <c r="AH3509">
        <v>11.5335377574878</v>
      </c>
      <c r="AI3509">
        <v>94.177046439381797</v>
      </c>
      <c r="AJ3509">
        <v>50.163865809172997</v>
      </c>
      <c r="AK3509">
        <v>15.059983710398599</v>
      </c>
    </row>
    <row r="3510" spans="1:37" x14ac:dyDescent="0.2">
      <c r="A3510" t="str">
        <f>"20200111155918095"</f>
        <v>20200111155918095</v>
      </c>
      <c r="B3510" t="str">
        <f>"1578729558085436"</f>
        <v>1578729558085436</v>
      </c>
      <c r="C3510" t="s">
        <v>37</v>
      </c>
      <c r="D3510">
        <v>5.4454399999999996</v>
      </c>
      <c r="E3510">
        <v>0.66267759999999998</v>
      </c>
      <c r="F3510" t="s">
        <v>39</v>
      </c>
      <c r="G3510">
        <v>-193.16460000000001</v>
      </c>
      <c r="H3510" s="1">
        <v>-3.6810189999999999E-6</v>
      </c>
      <c r="I3510">
        <v>196.20689999999999</v>
      </c>
      <c r="J3510">
        <v>-197.44370000000001</v>
      </c>
      <c r="K3510">
        <v>1.0968819999999999</v>
      </c>
      <c r="L3510">
        <v>211.18940000000001</v>
      </c>
      <c r="M3510">
        <v>0.84336999999999995</v>
      </c>
      <c r="N3510">
        <v>0</v>
      </c>
      <c r="O3510">
        <v>-0.53712760000000004</v>
      </c>
      <c r="P3510">
        <v>0.55413199999999996</v>
      </c>
      <c r="Q3510">
        <v>2.755287E-2</v>
      </c>
      <c r="R3510">
        <v>-0.83197289999999902</v>
      </c>
      <c r="S3510">
        <v>0.90000919999999895</v>
      </c>
      <c r="T3510">
        <v>-0.2214469</v>
      </c>
      <c r="U3510">
        <v>-3.050354</v>
      </c>
      <c r="V3510">
        <v>0.40474949999999998</v>
      </c>
      <c r="W3510">
        <v>3.3772070000000001E-2</v>
      </c>
      <c r="X3510">
        <v>0.91380380000000005</v>
      </c>
      <c r="Y3510">
        <v>0.65662739999999997</v>
      </c>
      <c r="Z3510">
        <v>1.539861E-2</v>
      </c>
      <c r="AA3510">
        <v>0.75405789999999995</v>
      </c>
      <c r="AB3510">
        <v>22</v>
      </c>
      <c r="AC3510">
        <v>4.2790999999999997</v>
      </c>
      <c r="AD3510">
        <v>-1.096885681019</v>
      </c>
      <c r="AE3510">
        <v>-14.9825</v>
      </c>
      <c r="AF3510">
        <v>10.2875294848099</v>
      </c>
      <c r="AG3510">
        <v>-1.096885681019</v>
      </c>
      <c r="AH3510">
        <v>11.600180754277901</v>
      </c>
      <c r="AI3510">
        <v>94.046654280660903</v>
      </c>
      <c r="AJ3510">
        <v>48.432035773862701</v>
      </c>
      <c r="AK3510">
        <v>15.543507153470101</v>
      </c>
    </row>
    <row r="3511" spans="1:37" x14ac:dyDescent="0.2">
      <c r="A3511" t="str">
        <f>"20200111155918141"</f>
        <v>20200111155918141</v>
      </c>
      <c r="B3511" t="str">
        <f>"1578729558135213"</f>
        <v>1578729558135213</v>
      </c>
      <c r="C3511" t="s">
        <v>37</v>
      </c>
      <c r="D3511">
        <v>5.3770730000000002</v>
      </c>
      <c r="E3511">
        <v>0.66476299999999999</v>
      </c>
      <c r="F3511" t="s">
        <v>39</v>
      </c>
      <c r="G3511">
        <v>-194.33959999999999</v>
      </c>
      <c r="H3511" s="1">
        <v>-3.168559E-6</v>
      </c>
      <c r="I3511">
        <v>194.28360000000001</v>
      </c>
      <c r="J3511">
        <v>-197.07390000000001</v>
      </c>
      <c r="K3511">
        <v>1.0967610000000001</v>
      </c>
      <c r="L3511">
        <v>210.91489999999999</v>
      </c>
      <c r="M3511">
        <v>0.82920300000000002</v>
      </c>
      <c r="N3511">
        <v>0</v>
      </c>
      <c r="O3511">
        <v>-0.55874789999999996</v>
      </c>
      <c r="P3511">
        <v>0.50494790000000001</v>
      </c>
      <c r="Q3511">
        <v>3.2404639999999998E-2</v>
      </c>
      <c r="R3511">
        <v>-0.86254140000000001</v>
      </c>
      <c r="S3511">
        <v>0.59106449999999999</v>
      </c>
      <c r="T3511">
        <v>-0.20886589999999999</v>
      </c>
      <c r="U3511">
        <v>-3.2191619999999999</v>
      </c>
      <c r="V3511">
        <v>0.43390790000000001</v>
      </c>
      <c r="W3511">
        <v>3.781735E-2</v>
      </c>
      <c r="X3511">
        <v>0.90016319999999905</v>
      </c>
      <c r="Y3511">
        <v>0.71440159999999997</v>
      </c>
      <c r="Z3511">
        <v>1.340161E-2</v>
      </c>
      <c r="AA3511">
        <v>0.6996076</v>
      </c>
      <c r="AB3511">
        <v>22</v>
      </c>
      <c r="AC3511">
        <v>2.7343000000000099</v>
      </c>
      <c r="AD3511">
        <v>-1.0967641685589999</v>
      </c>
      <c r="AE3511">
        <v>-16.6312999999999</v>
      </c>
      <c r="AF3511">
        <v>12.2125951292271</v>
      </c>
      <c r="AG3511">
        <v>-1.0967641685589999</v>
      </c>
      <c r="AH3511">
        <v>11.5125352479977</v>
      </c>
      <c r="AI3511">
        <v>93.738834508725205</v>
      </c>
      <c r="AJ3511">
        <v>43.309857899377903</v>
      </c>
      <c r="AK3511">
        <v>16.819299606946998</v>
      </c>
    </row>
    <row r="3512" spans="1:37" x14ac:dyDescent="0.2">
      <c r="A3512" t="str">
        <f>"20200111155918163"</f>
        <v>20200111155918163</v>
      </c>
      <c r="B3512" t="str">
        <f>"1578729558155708"</f>
        <v>1578729558155708</v>
      </c>
      <c r="C3512" t="s">
        <v>37</v>
      </c>
      <c r="D3512">
        <v>5.5904389999999999</v>
      </c>
      <c r="E3512">
        <v>0.66261569999999903</v>
      </c>
      <c r="F3512" t="s">
        <v>39</v>
      </c>
      <c r="G3512">
        <v>-194.898</v>
      </c>
      <c r="H3512" s="1">
        <v>-2.68817799999999E-6</v>
      </c>
      <c r="I3512">
        <v>192.81739999999999</v>
      </c>
      <c r="J3512">
        <v>-196.89940000000001</v>
      </c>
      <c r="K3512">
        <v>1.096698</v>
      </c>
      <c r="L3512">
        <v>210.7799</v>
      </c>
      <c r="M3512">
        <v>0.82208649999999905</v>
      </c>
      <c r="N3512">
        <v>0</v>
      </c>
      <c r="O3512">
        <v>-0.569165699999999</v>
      </c>
      <c r="P3512">
        <v>0.4835044</v>
      </c>
      <c r="Q3512">
        <v>3.2906640000000001E-2</v>
      </c>
      <c r="R3512">
        <v>-0.87472329999999998</v>
      </c>
      <c r="S3512">
        <v>0.39150999999999903</v>
      </c>
      <c r="T3512">
        <v>-0.1973425</v>
      </c>
      <c r="U3512">
        <v>-3.2563169999999899</v>
      </c>
      <c r="V3512">
        <v>0.44474259999999899</v>
      </c>
      <c r="W3512">
        <v>3.799698E-2</v>
      </c>
      <c r="X3512">
        <v>0.89485210000000004</v>
      </c>
      <c r="Y3512">
        <v>0.74801490000000004</v>
      </c>
      <c r="Z3512">
        <v>1.199529E-2</v>
      </c>
      <c r="AA3512">
        <v>0.66357359999999999</v>
      </c>
      <c r="AB3512">
        <v>22</v>
      </c>
      <c r="AC3512">
        <v>2.0014000000000101</v>
      </c>
      <c r="AD3512">
        <v>-1.0967006881779999</v>
      </c>
      <c r="AE3512">
        <v>-17.962499999999999</v>
      </c>
      <c r="AF3512">
        <v>13.5791299734225</v>
      </c>
      <c r="AG3512">
        <v>-1.0967006881779999</v>
      </c>
      <c r="AH3512">
        <v>11.8267473663972</v>
      </c>
      <c r="AI3512">
        <v>93.485176681847193</v>
      </c>
      <c r="AJ3512">
        <v>41.0542455985264</v>
      </c>
      <c r="AK3512">
        <v>18.040717183724599</v>
      </c>
    </row>
    <row r="3513" spans="1:37" x14ac:dyDescent="0.2">
      <c r="A3513" t="str">
        <f>"20200111155918184"</f>
        <v>20200111155918184</v>
      </c>
      <c r="B3513" t="str">
        <f>"1578729558175228"</f>
        <v>1578729558175228</v>
      </c>
      <c r="C3513" t="s">
        <v>37</v>
      </c>
      <c r="D3513">
        <v>5.6384850000000002</v>
      </c>
      <c r="E3513">
        <v>0.62577059999999995</v>
      </c>
      <c r="F3513" t="s">
        <v>39</v>
      </c>
      <c r="G3513">
        <v>-195.15270000000001</v>
      </c>
      <c r="H3513" s="1">
        <v>-3.006012E-6</v>
      </c>
      <c r="I3513">
        <v>193.40039999999999</v>
      </c>
      <c r="J3513">
        <v>-196.73230000000001</v>
      </c>
      <c r="K3513">
        <v>1.096638</v>
      </c>
      <c r="L3513">
        <v>210.64689999999999</v>
      </c>
      <c r="M3513">
        <v>0.81499009999999905</v>
      </c>
      <c r="N3513">
        <v>0</v>
      </c>
      <c r="O3513">
        <v>-0.57928080000000004</v>
      </c>
      <c r="P3513">
        <v>0.46455590000000002</v>
      </c>
      <c r="Q3513">
        <v>3.3117059999999997E-2</v>
      </c>
      <c r="R3513">
        <v>-0.88492440000000006</v>
      </c>
      <c r="S3513">
        <v>0.32730100000000001</v>
      </c>
      <c r="T3513">
        <v>-0.20549479999999901</v>
      </c>
      <c r="U3513">
        <v>-3.2565</v>
      </c>
      <c r="V3513">
        <v>0.45294409999999902</v>
      </c>
      <c r="W3513">
        <v>3.794695E-2</v>
      </c>
      <c r="X3513">
        <v>0.89073099999999905</v>
      </c>
      <c r="Y3513">
        <v>0.75269869999999905</v>
      </c>
      <c r="Z3513">
        <v>1.3132120000000001E-2</v>
      </c>
      <c r="AA3513">
        <v>0.65823419999999999</v>
      </c>
      <c r="AB3513">
        <v>22</v>
      </c>
      <c r="AC3513">
        <v>1.5795999999999899</v>
      </c>
      <c r="AD3513">
        <v>-1.096641006012</v>
      </c>
      <c r="AE3513">
        <v>-17.246499999999902</v>
      </c>
      <c r="AF3513">
        <v>13.0896884982029</v>
      </c>
      <c r="AG3513">
        <v>-1.096641006012</v>
      </c>
      <c r="AH3513">
        <v>11.2341488112838</v>
      </c>
      <c r="AI3513">
        <v>93.637692082113105</v>
      </c>
      <c r="AJ3513">
        <v>40.637650409613798</v>
      </c>
      <c r="AK3513">
        <v>17.284347427372602</v>
      </c>
    </row>
    <row r="3514" spans="1:37" x14ac:dyDescent="0.2">
      <c r="A3514" t="str">
        <f>"20200111155918207"</f>
        <v>20200111155918207</v>
      </c>
      <c r="B3514" t="str">
        <f>"1578729558195725"</f>
        <v>1578729558195725</v>
      </c>
      <c r="C3514" t="s">
        <v>37</v>
      </c>
      <c r="D3514">
        <v>5.3823359999999996</v>
      </c>
      <c r="E3514">
        <v>0.62352540000000001</v>
      </c>
      <c r="F3514" t="s">
        <v>49</v>
      </c>
      <c r="G3514">
        <v>-195.10310000000001</v>
      </c>
      <c r="H3514" s="1">
        <v>6.1155969999999996E-6</v>
      </c>
      <c r="I3514">
        <v>200.91630000000001</v>
      </c>
      <c r="J3514">
        <v>-196.55719999999999</v>
      </c>
      <c r="K3514">
        <v>1.0965799999999899</v>
      </c>
      <c r="L3514">
        <v>210.5035</v>
      </c>
      <c r="M3514">
        <v>0.807249199999999</v>
      </c>
      <c r="N3514">
        <v>0</v>
      </c>
      <c r="O3514">
        <v>-0.59001919999999897</v>
      </c>
      <c r="P3514">
        <v>0.44725320000000002</v>
      </c>
      <c r="Q3514">
        <v>3.2944439999999998E-2</v>
      </c>
      <c r="R3514">
        <v>-0.89380059999999995</v>
      </c>
      <c r="S3514">
        <v>0.52378849999999999</v>
      </c>
      <c r="T3514">
        <v>-0.35256859999999901</v>
      </c>
      <c r="U3514">
        <v>-3.128387</v>
      </c>
      <c r="V3514">
        <v>0.458481999999999</v>
      </c>
      <c r="W3514">
        <v>3.7580519999999999E-2</v>
      </c>
      <c r="X3514">
        <v>0.88790879999999905</v>
      </c>
      <c r="Y3514">
        <v>0.69793549999999904</v>
      </c>
      <c r="Z3514">
        <v>2.8982609999999999E-2</v>
      </c>
      <c r="AA3514">
        <v>0.71557380000000004</v>
      </c>
      <c r="AB3514">
        <v>22</v>
      </c>
      <c r="AC3514">
        <v>1.45409999999998</v>
      </c>
      <c r="AD3514">
        <v>-1.096573884403</v>
      </c>
      <c r="AE3514">
        <v>-9.5871999999999904</v>
      </c>
      <c r="AF3514">
        <v>6.7951912300624198</v>
      </c>
      <c r="AG3514">
        <v>-1.096573884403</v>
      </c>
      <c r="AH3514">
        <v>6.74496827380369</v>
      </c>
      <c r="AI3514">
        <v>96.533719885491607</v>
      </c>
      <c r="AJ3514">
        <v>44.787480329827297</v>
      </c>
      <c r="AK3514">
        <v>9.6369961685003496</v>
      </c>
    </row>
    <row r="3515" spans="1:37" x14ac:dyDescent="0.2">
      <c r="A3515" t="str">
        <f>"20200111155918229"</f>
        <v>20200111155918229</v>
      </c>
      <c r="B3515" t="str">
        <f>"1578729558225005"</f>
        <v>1578729558225005</v>
      </c>
      <c r="C3515" t="s">
        <v>37</v>
      </c>
      <c r="D3515">
        <v>5.5833879999999896</v>
      </c>
      <c r="E3515">
        <v>0.61154659999999905</v>
      </c>
      <c r="F3515" t="s">
        <v>49</v>
      </c>
      <c r="G3515">
        <v>-195.08519999999999</v>
      </c>
      <c r="H3515" s="1">
        <v>6.1344229999999997E-6</v>
      </c>
      <c r="I3515">
        <v>200.87649999999999</v>
      </c>
      <c r="J3515">
        <v>-196.38239999999999</v>
      </c>
      <c r="K3515">
        <v>1.0965209999999901</v>
      </c>
      <c r="L3515">
        <v>210.3562</v>
      </c>
      <c r="M3515">
        <v>0.7991973</v>
      </c>
      <c r="N3515">
        <v>0</v>
      </c>
      <c r="O3515">
        <v>-0.60088009999999903</v>
      </c>
      <c r="P3515">
        <v>0.4319443</v>
      </c>
      <c r="Q3515">
        <v>3.2124930000000003E-2</v>
      </c>
      <c r="R3515">
        <v>-0.90132829999999997</v>
      </c>
      <c r="S3515">
        <v>0.47859190000000001</v>
      </c>
      <c r="T3515">
        <v>-0.35653620000000003</v>
      </c>
      <c r="U3515">
        <v>-3.130096</v>
      </c>
      <c r="V3515">
        <v>0.4616323</v>
      </c>
      <c r="W3515">
        <v>3.6637509999999998E-2</v>
      </c>
      <c r="X3515">
        <v>0.88631450000000001</v>
      </c>
      <c r="Y3515">
        <v>0.6984011</v>
      </c>
      <c r="Z3515">
        <v>3.0905660000000001E-2</v>
      </c>
      <c r="AA3515">
        <v>0.71503909999999904</v>
      </c>
      <c r="AB3515">
        <v>22</v>
      </c>
      <c r="AC3515">
        <v>1.2971999999999999</v>
      </c>
      <c r="AD3515">
        <v>-1.0965148655769901</v>
      </c>
      <c r="AE3515">
        <v>-9.4796999999999993</v>
      </c>
      <c r="AF3515">
        <v>6.7093421652605301</v>
      </c>
      <c r="AG3515">
        <v>-1.0965148655769901</v>
      </c>
      <c r="AH3515">
        <v>6.6463550175508503</v>
      </c>
      <c r="AI3515">
        <v>96.622782910189898</v>
      </c>
      <c r="AJ3515">
        <v>44.729787900840101</v>
      </c>
      <c r="AK3515">
        <v>9.5074524537489804</v>
      </c>
    </row>
    <row r="3516" spans="1:37" x14ac:dyDescent="0.2">
      <c r="A3516" t="str">
        <f>"20200111155918253"</f>
        <v>20200111155918253</v>
      </c>
      <c r="B3516" t="str">
        <f>"1578729558245500"</f>
        <v>1578729558245500</v>
      </c>
      <c r="C3516" t="s">
        <v>37</v>
      </c>
      <c r="D3516">
        <v>5.5728929999999997</v>
      </c>
      <c r="E3516">
        <v>0.60929080000000002</v>
      </c>
      <c r="F3516" t="s">
        <v>49</v>
      </c>
      <c r="G3516">
        <v>-194.68209999999999</v>
      </c>
      <c r="H3516" s="1">
        <v>6.541256E-6</v>
      </c>
      <c r="I3516">
        <v>200.029</v>
      </c>
      <c r="J3516">
        <v>-196.2097</v>
      </c>
      <c r="K3516">
        <v>1.0964689999999999</v>
      </c>
      <c r="L3516">
        <v>210.2064</v>
      </c>
      <c r="M3516">
        <v>0.79092569999999995</v>
      </c>
      <c r="N3516">
        <v>0</v>
      </c>
      <c r="O3516">
        <v>-0.61172599999999999</v>
      </c>
      <c r="P3516">
        <v>0.41799179999999903</v>
      </c>
      <c r="Q3516">
        <v>3.0613709999999999E-2</v>
      </c>
      <c r="R3516">
        <v>-0.90793500000000005</v>
      </c>
      <c r="S3516">
        <v>0.50970459999999995</v>
      </c>
      <c r="T3516">
        <v>-0.32871549999999999</v>
      </c>
      <c r="U3516">
        <v>-3.0958860000000001</v>
      </c>
      <c r="V3516">
        <v>0.46322759999999902</v>
      </c>
      <c r="W3516">
        <v>3.50602E-2</v>
      </c>
      <c r="X3516">
        <v>0.88554560000000004</v>
      </c>
      <c r="Y3516">
        <v>0.68045349999999905</v>
      </c>
      <c r="Z3516">
        <v>3.1439880000000003E-2</v>
      </c>
      <c r="AA3516">
        <v>0.73211649999999995</v>
      </c>
      <c r="AB3516">
        <v>22</v>
      </c>
      <c r="AC3516">
        <v>1.5276000000000001</v>
      </c>
      <c r="AD3516">
        <v>-1.0964624587439999</v>
      </c>
      <c r="AE3516">
        <v>-10.177399999999899</v>
      </c>
      <c r="AF3516">
        <v>7.0360384552576303</v>
      </c>
      <c r="AG3516">
        <v>-1.0964624587439999</v>
      </c>
      <c r="AH3516">
        <v>7.3513988123607401</v>
      </c>
      <c r="AI3516">
        <v>96.149945816999704</v>
      </c>
      <c r="AJ3516">
        <v>46.255673562315003</v>
      </c>
      <c r="AK3516">
        <v>10.234800025680901</v>
      </c>
    </row>
    <row r="3517" spans="1:37" x14ac:dyDescent="0.2">
      <c r="A3517" t="str">
        <f>"20200111155918274"</f>
        <v>20200111155918274</v>
      </c>
      <c r="B3517" t="str">
        <f>"1578729558265020"</f>
        <v>1578729558265020</v>
      </c>
      <c r="C3517" t="s">
        <v>37</v>
      </c>
      <c r="D3517">
        <v>5.578392</v>
      </c>
      <c r="E3517">
        <v>0.60818530000000004</v>
      </c>
      <c r="F3517" t="s">
        <v>49</v>
      </c>
      <c r="G3517">
        <v>-194.63409999999999</v>
      </c>
      <c r="H3517" s="1">
        <v>6.5611679999999999E-6</v>
      </c>
      <c r="I3517">
        <v>200.00890000000001</v>
      </c>
      <c r="J3517">
        <v>-196.0521</v>
      </c>
      <c r="K3517">
        <v>1.09643</v>
      </c>
      <c r="L3517">
        <v>210.0659</v>
      </c>
      <c r="M3517">
        <v>0.78309319999999905</v>
      </c>
      <c r="N3517">
        <v>0</v>
      </c>
      <c r="O3517">
        <v>-0.62172090000000002</v>
      </c>
      <c r="P3517">
        <v>0.4058853</v>
      </c>
      <c r="Q3517">
        <v>2.9537919999999999E-2</v>
      </c>
      <c r="R3517">
        <v>-0.91344669999999895</v>
      </c>
      <c r="S3517">
        <v>0.47824099999999897</v>
      </c>
      <c r="T3517">
        <v>-0.33280890000000002</v>
      </c>
      <c r="U3517">
        <v>-3.0952609999999998</v>
      </c>
      <c r="V3517">
        <v>0.4637635</v>
      </c>
      <c r="W3517">
        <v>3.3958889999999999E-2</v>
      </c>
      <c r="X3517">
        <v>0.88530799999999998</v>
      </c>
      <c r="Y3517">
        <v>0.67839490000000002</v>
      </c>
      <c r="Z3517">
        <v>3.3400810000000003E-2</v>
      </c>
      <c r="AA3517">
        <v>0.73393790000000003</v>
      </c>
      <c r="AB3517">
        <v>22</v>
      </c>
      <c r="AC3517">
        <v>1.4179999999999999</v>
      </c>
      <c r="AD3517">
        <v>-1.096423438832</v>
      </c>
      <c r="AE3517">
        <v>-10.056999999999899</v>
      </c>
      <c r="AF3517">
        <v>6.9141889431387202</v>
      </c>
      <c r="AG3517">
        <v>-1.096423438832</v>
      </c>
      <c r="AH3517">
        <v>7.27908378911639</v>
      </c>
      <c r="AI3517">
        <v>96.232641576436507</v>
      </c>
      <c r="AJ3517">
        <v>46.472692781710599</v>
      </c>
      <c r="AK3517">
        <v>10.0991689711391</v>
      </c>
    </row>
    <row r="3518" spans="1:37" x14ac:dyDescent="0.2">
      <c r="A3518" t="str">
        <f>"20200111155918297"</f>
        <v>20200111155918297</v>
      </c>
      <c r="B3518" t="str">
        <f>"1578729558285517"</f>
        <v>1578729558285517</v>
      </c>
      <c r="C3518" t="s">
        <v>37</v>
      </c>
      <c r="D3518">
        <v>5.6313129999999996</v>
      </c>
      <c r="E3518">
        <v>0.59647869999999903</v>
      </c>
      <c r="F3518" t="s">
        <v>49</v>
      </c>
      <c r="G3518">
        <v>-194.59099999999901</v>
      </c>
      <c r="H3518" s="1">
        <v>6.607483E-6</v>
      </c>
      <c r="I3518">
        <v>199.91030000000001</v>
      </c>
      <c r="J3518">
        <v>-195.88810000000001</v>
      </c>
      <c r="K3518">
        <v>1.0964049999999901</v>
      </c>
      <c r="L3518">
        <v>209.91579999999999</v>
      </c>
      <c r="M3518">
        <v>0.77464</v>
      </c>
      <c r="N3518">
        <v>0</v>
      </c>
      <c r="O3518">
        <v>-0.63222149999999999</v>
      </c>
      <c r="P3518">
        <v>0.39355669999999998</v>
      </c>
      <c r="Q3518">
        <v>2.9937749999999999E-2</v>
      </c>
      <c r="R3518">
        <v>-0.91881290000000004</v>
      </c>
      <c r="S3518">
        <v>0.44558720000000002</v>
      </c>
      <c r="T3518">
        <v>-0.33436779999999999</v>
      </c>
      <c r="U3518">
        <v>-3.097092</v>
      </c>
      <c r="V3518">
        <v>0.46374140000000003</v>
      </c>
      <c r="W3518">
        <v>3.4352519999999998E-2</v>
      </c>
      <c r="X3518">
        <v>0.88530439999999999</v>
      </c>
      <c r="Y3518">
        <v>0.67615199999999998</v>
      </c>
      <c r="Z3518">
        <v>3.520057E-2</v>
      </c>
      <c r="AA3518">
        <v>0.73592080000000004</v>
      </c>
      <c r="AB3518">
        <v>22</v>
      </c>
      <c r="AC3518">
        <v>1.2971000000000199</v>
      </c>
      <c r="AD3518">
        <v>-1.09639839251699</v>
      </c>
      <c r="AE3518">
        <v>-10.0054999999999</v>
      </c>
      <c r="AF3518">
        <v>6.8505001423883103</v>
      </c>
      <c r="AG3518">
        <v>-1.09639839251699</v>
      </c>
      <c r="AH3518">
        <v>7.2457500634985301</v>
      </c>
      <c r="AI3518">
        <v>96.274667143170603</v>
      </c>
      <c r="AJ3518">
        <v>46.606116516980698</v>
      </c>
      <c r="AK3518">
        <v>10.031566957293601</v>
      </c>
    </row>
    <row r="3519" spans="1:37" x14ac:dyDescent="0.2">
      <c r="A3519" t="str">
        <f>"20200111155918320"</f>
        <v>20200111155918320</v>
      </c>
      <c r="B3519" t="str">
        <f>"1578729558315773"</f>
        <v>1578729558315773</v>
      </c>
      <c r="C3519" t="s">
        <v>37</v>
      </c>
      <c r="D3519">
        <v>5.2270810000000001</v>
      </c>
      <c r="E3519">
        <v>0.60868809999999995</v>
      </c>
      <c r="F3519" t="s">
        <v>49</v>
      </c>
      <c r="G3519">
        <v>-194.3511</v>
      </c>
      <c r="H3519" s="1">
        <v>6.5259060000000002E-6</v>
      </c>
      <c r="I3519">
        <v>200.32159999999999</v>
      </c>
      <c r="J3519">
        <v>-195.72290000000001</v>
      </c>
      <c r="K3519">
        <v>1.0963829999999899</v>
      </c>
      <c r="L3519">
        <v>209.76009999999999</v>
      </c>
      <c r="M3519">
        <v>0.76579449999999905</v>
      </c>
      <c r="N3519">
        <v>0</v>
      </c>
      <c r="O3519">
        <v>-0.64290649999999905</v>
      </c>
      <c r="P3519">
        <v>0.38101180000000001</v>
      </c>
      <c r="Q3519">
        <v>3.071393E-2</v>
      </c>
      <c r="R3519">
        <v>-0.92405999999999999</v>
      </c>
      <c r="S3519">
        <v>0.49121090000000001</v>
      </c>
      <c r="T3519">
        <v>-0.3503869</v>
      </c>
      <c r="U3519">
        <v>-3.0660859999999999</v>
      </c>
      <c r="V3519">
        <v>0.46350999999999998</v>
      </c>
      <c r="W3519">
        <v>3.5127869999999999E-2</v>
      </c>
      <c r="X3519">
        <v>0.88539509999999899</v>
      </c>
      <c r="Y3519">
        <v>0.65393349999999995</v>
      </c>
      <c r="Z3519">
        <v>4.0202540000000002E-2</v>
      </c>
      <c r="AA3519">
        <v>0.75548309999999996</v>
      </c>
      <c r="AB3519">
        <v>22</v>
      </c>
      <c r="AC3519">
        <v>1.3717999999999999</v>
      </c>
      <c r="AD3519">
        <v>-1.0963764740940001</v>
      </c>
      <c r="AE3519">
        <v>-9.4384999999999994</v>
      </c>
      <c r="AF3519">
        <v>6.2639699906644699</v>
      </c>
      <c r="AG3519">
        <v>-1.0963764740940001</v>
      </c>
      <c r="AH3519">
        <v>7.0265596271782496</v>
      </c>
      <c r="AI3519">
        <v>96.643377775202296</v>
      </c>
      <c r="AJ3519">
        <v>48.283940770354299</v>
      </c>
      <c r="AK3519">
        <v>9.4769141396966994</v>
      </c>
    </row>
    <row r="3520" spans="1:37" x14ac:dyDescent="0.2">
      <c r="A3520" t="str">
        <f>"20200111155918341"</f>
        <v>20200111155918341</v>
      </c>
      <c r="B3520" t="str">
        <f>"1578729558335802"</f>
        <v>1578729558335802</v>
      </c>
      <c r="C3520" t="s">
        <v>37</v>
      </c>
      <c r="D3520">
        <v>5.230073</v>
      </c>
      <c r="E3520">
        <v>0.6106123</v>
      </c>
      <c r="F3520" t="s">
        <v>39</v>
      </c>
      <c r="G3520">
        <v>-194.21639999999999</v>
      </c>
      <c r="H3520" s="1">
        <v>-4.0194369999999902E-6</v>
      </c>
      <c r="I3520">
        <v>196.6003</v>
      </c>
      <c r="J3520">
        <v>-195.56599999999901</v>
      </c>
      <c r="K3520">
        <v>1.09636</v>
      </c>
      <c r="L3520">
        <v>209.60810000000001</v>
      </c>
      <c r="M3520">
        <v>0.75708169999999897</v>
      </c>
      <c r="N3520">
        <v>0</v>
      </c>
      <c r="O3520">
        <v>-0.65314380000000005</v>
      </c>
      <c r="P3520">
        <v>0.3704247</v>
      </c>
      <c r="Q3520">
        <v>3.1155700000000001E-2</v>
      </c>
      <c r="R3520">
        <v>-0.9283399</v>
      </c>
      <c r="S3520">
        <v>0.35583500000000001</v>
      </c>
      <c r="T3520">
        <v>-0.25897539999999902</v>
      </c>
      <c r="U3520">
        <v>-3.108444</v>
      </c>
      <c r="V3520">
        <v>0.4617252</v>
      </c>
      <c r="W3520">
        <v>3.5608689999999998E-2</v>
      </c>
      <c r="X3520">
        <v>0.88630799999999998</v>
      </c>
      <c r="Y3520">
        <v>0.67759689999999995</v>
      </c>
      <c r="Z3520">
        <v>2.9527379999999999E-2</v>
      </c>
      <c r="AA3520">
        <v>0.73484059999999995</v>
      </c>
      <c r="AB3520">
        <v>22</v>
      </c>
      <c r="AC3520">
        <v>1.3495999999999799</v>
      </c>
      <c r="AD3520">
        <v>-1.0963640194369999</v>
      </c>
      <c r="AE3520">
        <v>-13.0078</v>
      </c>
      <c r="AF3520">
        <v>8.9049311815999204</v>
      </c>
      <c r="AG3520">
        <v>-1.0963640194369999</v>
      </c>
      <c r="AH3520">
        <v>9.4523839597022103</v>
      </c>
      <c r="AI3520">
        <v>94.825713923019904</v>
      </c>
      <c r="AJ3520">
        <v>46.708171356655903</v>
      </c>
      <c r="AK3520">
        <v>13.032550630393899</v>
      </c>
    </row>
    <row r="3521" spans="1:37" x14ac:dyDescent="0.2">
      <c r="A3521" t="str">
        <f>"20200111155918364"</f>
        <v>20200111155918364</v>
      </c>
      <c r="B3521" t="str">
        <f>"1578729558355321"</f>
        <v>1578729558355321</v>
      </c>
      <c r="C3521" t="s">
        <v>37</v>
      </c>
      <c r="D3521">
        <v>5.1918620000000004</v>
      </c>
      <c r="E3521">
        <v>0.61164549999999995</v>
      </c>
      <c r="F3521" t="s">
        <v>39</v>
      </c>
      <c r="G3521">
        <v>-194.16489999999999</v>
      </c>
      <c r="H3521" s="1">
        <v>-3.5555579999999898E-6</v>
      </c>
      <c r="I3521">
        <v>195.29400000000001</v>
      </c>
      <c r="J3521">
        <v>-195.40940000000001</v>
      </c>
      <c r="K3521">
        <v>1.0963339999999999</v>
      </c>
      <c r="L3521">
        <v>209.4521</v>
      </c>
      <c r="M3521">
        <v>0.74806410000000001</v>
      </c>
      <c r="N3521">
        <v>0</v>
      </c>
      <c r="O3521">
        <v>-0.66345229999999999</v>
      </c>
      <c r="P3521">
        <v>0.35868549999999999</v>
      </c>
      <c r="Q3521">
        <v>3.1254900000000002E-2</v>
      </c>
      <c r="R3521">
        <v>-0.93293519999999897</v>
      </c>
      <c r="S3521">
        <v>0.3051758</v>
      </c>
      <c r="T3521">
        <v>-0.2388052</v>
      </c>
      <c r="U3521">
        <v>-3.1178279999999998</v>
      </c>
      <c r="V3521">
        <v>0.46076669999999997</v>
      </c>
      <c r="W3521">
        <v>3.5719260000000003E-2</v>
      </c>
      <c r="X3521">
        <v>0.88680230000000004</v>
      </c>
      <c r="Y3521">
        <v>0.67964399999999903</v>
      </c>
      <c r="Z3521">
        <v>2.8162759999999998E-2</v>
      </c>
      <c r="AA3521">
        <v>0.73300120000000002</v>
      </c>
      <c r="AB3521">
        <v>22</v>
      </c>
      <c r="AC3521">
        <v>1.2445000000000099</v>
      </c>
      <c r="AD3521">
        <v>-1.0963375555579999</v>
      </c>
      <c r="AE3521">
        <v>-14.1580999999999</v>
      </c>
      <c r="AF3521">
        <v>9.7088585431170191</v>
      </c>
      <c r="AG3521">
        <v>-1.0963375555579999</v>
      </c>
      <c r="AH3521">
        <v>10.264307890250899</v>
      </c>
      <c r="AI3521">
        <v>94.437084745126398</v>
      </c>
      <c r="AJ3521">
        <v>46.592972398580997</v>
      </c>
      <c r="AK3521">
        <v>14.1710940548657</v>
      </c>
    </row>
    <row r="3522" spans="1:37" x14ac:dyDescent="0.2">
      <c r="A3522" t="str">
        <f>"20200111155918387"</f>
        <v>20200111155918387</v>
      </c>
      <c r="B3522" t="str">
        <f>"1578729558375818"</f>
        <v>1578729558375818</v>
      </c>
      <c r="C3522" t="s">
        <v>37</v>
      </c>
      <c r="D3522">
        <v>5.3892879999999996</v>
      </c>
      <c r="E3522">
        <v>0.6124193</v>
      </c>
      <c r="F3522" t="s">
        <v>39</v>
      </c>
      <c r="G3522">
        <v>-194.18379999999999</v>
      </c>
      <c r="H3522" s="1">
        <v>-3.255969E-6</v>
      </c>
      <c r="I3522">
        <v>194.5839</v>
      </c>
      <c r="J3522">
        <v>-195.2551</v>
      </c>
      <c r="K3522">
        <v>1.0963020000000001</v>
      </c>
      <c r="L3522">
        <v>209.2937</v>
      </c>
      <c r="M3522">
        <v>0.73883089999999996</v>
      </c>
      <c r="N3522">
        <v>0</v>
      </c>
      <c r="O3522">
        <v>-0.67371899999999996</v>
      </c>
      <c r="P3522">
        <v>0.34789890000000001</v>
      </c>
      <c r="Q3522">
        <v>3.0850369999999998E-2</v>
      </c>
      <c r="R3522">
        <v>-0.93702479999999999</v>
      </c>
      <c r="S3522">
        <v>0.25753779999999998</v>
      </c>
      <c r="T3522">
        <v>-0.230383799999999</v>
      </c>
      <c r="U3522">
        <v>-3.12439</v>
      </c>
      <c r="V3522">
        <v>0.45875450000000001</v>
      </c>
      <c r="W3522">
        <v>3.5350890000000003E-2</v>
      </c>
      <c r="X3522">
        <v>0.88785949999999902</v>
      </c>
      <c r="Y3522">
        <v>0.68078090000000002</v>
      </c>
      <c r="Z3522">
        <v>2.812332E-2</v>
      </c>
      <c r="AA3522">
        <v>0.73194709999999996</v>
      </c>
      <c r="AB3522">
        <v>21</v>
      </c>
      <c r="AC3522">
        <v>1.0712999999999999</v>
      </c>
      <c r="AD3522">
        <v>-1.0963052559690001</v>
      </c>
      <c r="AE3522">
        <v>-14.7098</v>
      </c>
      <c r="AF3522">
        <v>10.0917155434382</v>
      </c>
      <c r="AG3522">
        <v>-1.0963052559690001</v>
      </c>
      <c r="AH3522">
        <v>10.6442088989744</v>
      </c>
      <c r="AI3522">
        <v>94.274495348376405</v>
      </c>
      <c r="AJ3522">
        <v>46.526242527939601</v>
      </c>
      <c r="AK3522">
        <v>14.708629810724901</v>
      </c>
    </row>
    <row r="3523" spans="1:37" x14ac:dyDescent="0.2">
      <c r="A3523" t="str">
        <f>"20200111155918430"</f>
        <v>20200111155918430</v>
      </c>
      <c r="B3523" t="str">
        <f>"1578729558425125"</f>
        <v>1578729558425125</v>
      </c>
      <c r="C3523" t="s">
        <v>37</v>
      </c>
      <c r="D3523">
        <v>5.2078629999999997</v>
      </c>
      <c r="E3523">
        <v>0.61341639999999997</v>
      </c>
      <c r="F3523" t="s">
        <v>39</v>
      </c>
      <c r="G3523">
        <v>-194.24180000000001</v>
      </c>
      <c r="H3523" s="1">
        <v>-3.2443739999999999E-6</v>
      </c>
      <c r="I3523">
        <v>194.52090000000001</v>
      </c>
      <c r="J3523">
        <v>-194.9547</v>
      </c>
      <c r="K3523">
        <v>1.096231</v>
      </c>
      <c r="L3523">
        <v>208.97149999999999</v>
      </c>
      <c r="M3523">
        <v>0.71981470000000003</v>
      </c>
      <c r="N3523">
        <v>0</v>
      </c>
      <c r="O3523">
        <v>-0.69399860000000002</v>
      </c>
      <c r="P3523">
        <v>0.3292426</v>
      </c>
      <c r="Q3523">
        <v>2.6941699999999999E-2</v>
      </c>
      <c r="R3523">
        <v>-0.94386130000000001</v>
      </c>
      <c r="S3523">
        <v>0.21466060000000001</v>
      </c>
      <c r="T3523">
        <v>-0.2322485</v>
      </c>
      <c r="U3523">
        <v>-3.129562</v>
      </c>
      <c r="V3523">
        <v>0.45167940000000001</v>
      </c>
      <c r="W3523">
        <v>3.1606960000000003E-2</v>
      </c>
      <c r="X3523">
        <v>0.89162030000000003</v>
      </c>
      <c r="Y3523">
        <v>0.67044979999999998</v>
      </c>
      <c r="Z3523">
        <v>3.0810649999999998E-2</v>
      </c>
      <c r="AA3523">
        <v>0.7413149</v>
      </c>
      <c r="AB3523">
        <v>21</v>
      </c>
      <c r="AC3523">
        <v>0.71289999999998999</v>
      </c>
      <c r="AD3523">
        <v>-1.0962342443740001</v>
      </c>
      <c r="AE3523">
        <v>-14.4505999999999</v>
      </c>
      <c r="AF3523">
        <v>9.85159883476849</v>
      </c>
      <c r="AG3523">
        <v>-1.0962342443740001</v>
      </c>
      <c r="AH3523">
        <v>10.482897873590501</v>
      </c>
      <c r="AI3523">
        <v>94.3577251248755</v>
      </c>
      <c r="AJ3523">
        <v>46.7782174236091</v>
      </c>
      <c r="AK3523">
        <v>14.427296245238599</v>
      </c>
    </row>
    <row r="3524" spans="1:37" x14ac:dyDescent="0.2">
      <c r="A3524" t="str">
        <f>"20200111155918455"</f>
        <v>20200111155918455</v>
      </c>
      <c r="B3524" t="str">
        <f>"1578729558445620"</f>
        <v>1578729558445620</v>
      </c>
      <c r="C3524" t="s">
        <v>37</v>
      </c>
      <c r="D3524">
        <v>5.1899129999999998</v>
      </c>
      <c r="E3524">
        <v>0.61460300000000001</v>
      </c>
      <c r="F3524" t="s">
        <v>39</v>
      </c>
      <c r="G3524">
        <v>-194.27119999999999</v>
      </c>
      <c r="H3524" s="1">
        <v>-2.976255E-6</v>
      </c>
      <c r="I3524">
        <v>193.8777</v>
      </c>
      <c r="J3524">
        <v>-194.80340000000001</v>
      </c>
      <c r="K3524">
        <v>1.0962099999999999</v>
      </c>
      <c r="L3524">
        <v>208.80199999999999</v>
      </c>
      <c r="M3524">
        <v>0.70969249999999995</v>
      </c>
      <c r="N3524">
        <v>0</v>
      </c>
      <c r="O3524">
        <v>-0.70434600000000003</v>
      </c>
      <c r="P3524">
        <v>0.32077480000000003</v>
      </c>
      <c r="Q3524">
        <v>2.571822E-2</v>
      </c>
      <c r="R3524">
        <v>-0.94680629999999999</v>
      </c>
      <c r="S3524">
        <v>0.141983</v>
      </c>
      <c r="T3524">
        <v>-0.22771849999999999</v>
      </c>
      <c r="U3524">
        <v>-3.1354060000000001</v>
      </c>
      <c r="V3524">
        <v>0.44675189999999998</v>
      </c>
      <c r="W3524">
        <v>3.0513620000000002E-2</v>
      </c>
      <c r="X3524">
        <v>0.89413739999999997</v>
      </c>
      <c r="Y3524">
        <v>0.67691679999999999</v>
      </c>
      <c r="Z3524">
        <v>3.0967740000000001E-2</v>
      </c>
      <c r="AA3524">
        <v>0.73540779999999994</v>
      </c>
      <c r="AB3524">
        <v>21</v>
      </c>
      <c r="AC3524">
        <v>0.53220000000001699</v>
      </c>
      <c r="AD3524">
        <v>-1.0962129762549999</v>
      </c>
      <c r="AE3524">
        <v>-14.924300000000001</v>
      </c>
      <c r="AF3524">
        <v>10.1632403033034</v>
      </c>
      <c r="AG3524">
        <v>-1.0962129762549999</v>
      </c>
      <c r="AH3524">
        <v>10.8324713003043</v>
      </c>
      <c r="AI3524">
        <v>94.220800786991106</v>
      </c>
      <c r="AJ3524">
        <v>46.825664902101202</v>
      </c>
      <c r="AK3524">
        <v>14.894145521778601</v>
      </c>
    </row>
    <row r="3525" spans="1:37" x14ac:dyDescent="0.2">
      <c r="A3525" t="str">
        <f>"20200111155918475"</f>
        <v>20200111155918475</v>
      </c>
      <c r="B3525" t="str">
        <f>"1578729558465141"</f>
        <v>1578729558465141</v>
      </c>
      <c r="C3525" t="s">
        <v>37</v>
      </c>
      <c r="D3525">
        <v>5.165686</v>
      </c>
      <c r="E3525">
        <v>0.61510659999999995</v>
      </c>
      <c r="F3525" t="s">
        <v>39</v>
      </c>
      <c r="G3525">
        <v>-194.28049999999999</v>
      </c>
      <c r="H3525" s="1">
        <v>-2.597004E-6</v>
      </c>
      <c r="I3525">
        <v>192.9879</v>
      </c>
      <c r="J3525">
        <v>-194.6687</v>
      </c>
      <c r="K3525">
        <v>1.09619</v>
      </c>
      <c r="L3525">
        <v>208.64689999999999</v>
      </c>
      <c r="M3525">
        <v>0.70035219999999998</v>
      </c>
      <c r="N3525">
        <v>0</v>
      </c>
      <c r="O3525">
        <v>-0.71363359999999998</v>
      </c>
      <c r="P3525">
        <v>0.31352009999999902</v>
      </c>
      <c r="Q3525">
        <v>2.51042E-2</v>
      </c>
      <c r="R3525">
        <v>-0.94924959999999903</v>
      </c>
      <c r="S3525">
        <v>0.1037903</v>
      </c>
      <c r="T3525">
        <v>-0.21761050000000001</v>
      </c>
      <c r="U3525">
        <v>-3.1392820000000001</v>
      </c>
      <c r="V3525">
        <v>0.44180819999999998</v>
      </c>
      <c r="W3525">
        <v>3.0031760000000001E-2</v>
      </c>
      <c r="X3525">
        <v>0.89660669999999898</v>
      </c>
      <c r="Y3525">
        <v>0.67622680000000002</v>
      </c>
      <c r="Z3525">
        <v>3.0495560000000001E-2</v>
      </c>
      <c r="AA3525">
        <v>0.73606199999999999</v>
      </c>
      <c r="AB3525">
        <v>21</v>
      </c>
      <c r="AC3525">
        <v>0.38820000000001098</v>
      </c>
      <c r="AD3525">
        <v>-1.0961925970039901</v>
      </c>
      <c r="AE3525">
        <v>-15.658999999999899</v>
      </c>
      <c r="AF3525">
        <v>10.6389281442761</v>
      </c>
      <c r="AG3525">
        <v>-1.0961925970039901</v>
      </c>
      <c r="AH3525">
        <v>11.3922101640447</v>
      </c>
      <c r="AI3525">
        <v>94.022716443239702</v>
      </c>
      <c r="AJ3525">
        <v>46.958277084664303</v>
      </c>
      <c r="AK3525">
        <v>15.6259682160998</v>
      </c>
    </row>
    <row r="3526" spans="1:37" x14ac:dyDescent="0.2">
      <c r="A3526" t="str">
        <f>"20200111155918498"</f>
        <v>20200111155918498</v>
      </c>
      <c r="B3526" t="str">
        <f>"1578729558485637"</f>
        <v>1578729558485637</v>
      </c>
      <c r="C3526" t="s">
        <v>37</v>
      </c>
      <c r="D3526">
        <v>5.2260119999999999</v>
      </c>
      <c r="E3526">
        <v>0.61534599999999995</v>
      </c>
      <c r="F3526" t="s">
        <v>39</v>
      </c>
      <c r="G3526">
        <v>-194.2756</v>
      </c>
      <c r="H3526" s="1">
        <v>-2.3367789999999999E-6</v>
      </c>
      <c r="I3526">
        <v>192.3844</v>
      </c>
      <c r="J3526">
        <v>-194.52930000000001</v>
      </c>
      <c r="K3526">
        <v>1.0961669999999999</v>
      </c>
      <c r="L3526">
        <v>208.48159999999999</v>
      </c>
      <c r="M3526">
        <v>0.69032640000000001</v>
      </c>
      <c r="N3526">
        <v>0</v>
      </c>
      <c r="O3526">
        <v>-0.72333619999999899</v>
      </c>
      <c r="P3526">
        <v>0.30589</v>
      </c>
      <c r="Q3526">
        <v>2.3753699999999999E-2</v>
      </c>
      <c r="R3526">
        <v>-0.95177080000000003</v>
      </c>
      <c r="S3526">
        <v>7.5927729999999999E-2</v>
      </c>
      <c r="T3526">
        <v>-0.21171709999999999</v>
      </c>
      <c r="U3526">
        <v>-3.1409150000000001</v>
      </c>
      <c r="V3526">
        <v>0.436484699999999</v>
      </c>
      <c r="W3526">
        <v>2.8821599999999999E-2</v>
      </c>
      <c r="X3526">
        <v>0.89924989999999905</v>
      </c>
      <c r="Y3526">
        <v>0.67249969999999903</v>
      </c>
      <c r="Z3526">
        <v>3.0714200000000001E-2</v>
      </c>
      <c r="AA3526">
        <v>0.73945989999999995</v>
      </c>
      <c r="AB3526">
        <v>21</v>
      </c>
      <c r="AC3526">
        <v>0.25370000000000897</v>
      </c>
      <c r="AD3526">
        <v>-1.096169336779</v>
      </c>
      <c r="AE3526">
        <v>-16.097199999999901</v>
      </c>
      <c r="AF3526">
        <v>10.8796532792819</v>
      </c>
      <c r="AG3526">
        <v>-1.096169336779</v>
      </c>
      <c r="AH3526">
        <v>11.7656615079311</v>
      </c>
      <c r="AI3526">
        <v>93.913170400524507</v>
      </c>
      <c r="AJ3526">
        <v>47.240580574376096</v>
      </c>
      <c r="AK3526">
        <v>16.062354541333502</v>
      </c>
    </row>
    <row r="3527" spans="1:37" x14ac:dyDescent="0.2">
      <c r="A3527" t="str">
        <f>"20200111155918522"</f>
        <v>20200111155918522</v>
      </c>
      <c r="B3527" t="str">
        <f>"1578729558515892"</f>
        <v>1578729558515892</v>
      </c>
      <c r="C3527" t="s">
        <v>37</v>
      </c>
      <c r="D3527">
        <v>5.2384909999999998</v>
      </c>
      <c r="E3527">
        <v>0.61522519999999903</v>
      </c>
      <c r="F3527" t="s">
        <v>39</v>
      </c>
      <c r="G3527">
        <v>-194.2747</v>
      </c>
      <c r="H3527" s="1">
        <v>-2.2650599999999999E-6</v>
      </c>
      <c r="I3527">
        <v>192.21770000000001</v>
      </c>
      <c r="J3527">
        <v>-194.38040000000001</v>
      </c>
      <c r="K3527">
        <v>1.0961379999999901</v>
      </c>
      <c r="L3527">
        <v>208.2997</v>
      </c>
      <c r="M3527">
        <v>0.67919869999999904</v>
      </c>
      <c r="N3527">
        <v>0</v>
      </c>
      <c r="O3527">
        <v>-0.73379419999999995</v>
      </c>
      <c r="P3527">
        <v>0.29690479999999903</v>
      </c>
      <c r="Q3527">
        <v>2.2369859999999998E-2</v>
      </c>
      <c r="R3527">
        <v>-0.95464509999999903</v>
      </c>
      <c r="S3527">
        <v>4.917908E-2</v>
      </c>
      <c r="T3527">
        <v>-0.211733</v>
      </c>
      <c r="U3527">
        <v>-3.1414789999999999</v>
      </c>
      <c r="V3527">
        <v>0.43121619999999999</v>
      </c>
      <c r="W3527">
        <v>2.7571350000000001E-2</v>
      </c>
      <c r="X3527">
        <v>0.9018273</v>
      </c>
      <c r="Y3527">
        <v>0.66749029999999998</v>
      </c>
      <c r="Z3527">
        <v>3.188527E-2</v>
      </c>
      <c r="AA3527">
        <v>0.74393549999999997</v>
      </c>
      <c r="AB3527">
        <v>21</v>
      </c>
      <c r="AC3527">
        <v>0.10570000000001301</v>
      </c>
      <c r="AD3527">
        <v>-1.0961402650599901</v>
      </c>
      <c r="AE3527">
        <v>-16.081999999999901</v>
      </c>
      <c r="AF3527">
        <v>10.7964321371118</v>
      </c>
      <c r="AG3527">
        <v>-1.0961402650599901</v>
      </c>
      <c r="AH3527">
        <v>11.8191600625712</v>
      </c>
      <c r="AI3527">
        <v>93.917191280208698</v>
      </c>
      <c r="AJ3527">
        <v>47.5892798576728</v>
      </c>
      <c r="AK3527">
        <v>16.045467115563302</v>
      </c>
    </row>
    <row r="3528" spans="1:37" x14ac:dyDescent="0.2">
      <c r="A3528" t="str">
        <f>"20200111155918543"</f>
        <v>20200111155918543</v>
      </c>
      <c r="B3528" t="str">
        <f>"1578729558535919"</f>
        <v>1578729558535919</v>
      </c>
      <c r="C3528" t="s">
        <v>37</v>
      </c>
      <c r="D3528">
        <v>5.2161580000000001</v>
      </c>
      <c r="E3528">
        <v>0.61495549999999999</v>
      </c>
      <c r="F3528" t="s">
        <v>39</v>
      </c>
      <c r="G3528">
        <v>-194.2741</v>
      </c>
      <c r="H3528" s="1">
        <v>-2.146519E-6</v>
      </c>
      <c r="I3528">
        <v>191.9418</v>
      </c>
      <c r="J3528">
        <v>-194.25040000000001</v>
      </c>
      <c r="K3528">
        <v>1.0961069999999999</v>
      </c>
      <c r="L3528">
        <v>208.136</v>
      </c>
      <c r="M3528">
        <v>0.66909410000000002</v>
      </c>
      <c r="N3528">
        <v>0</v>
      </c>
      <c r="O3528">
        <v>-0.74301930000000005</v>
      </c>
      <c r="P3528">
        <v>0.28993669999999999</v>
      </c>
      <c r="Q3528">
        <v>2.10142E-2</v>
      </c>
      <c r="R3528">
        <v>-0.95681519999999998</v>
      </c>
      <c r="S3528">
        <v>2.0400999999999999E-2</v>
      </c>
      <c r="T3528">
        <v>-0.21048529999999999</v>
      </c>
      <c r="U3528">
        <v>-3.1411289999999998</v>
      </c>
      <c r="V3528">
        <v>0.4254367</v>
      </c>
      <c r="W3528">
        <v>2.6359670000000002E-2</v>
      </c>
      <c r="X3528">
        <v>0.90460429999999903</v>
      </c>
      <c r="Y3528">
        <v>0.66411940000000003</v>
      </c>
      <c r="Z3528">
        <v>3.269561E-2</v>
      </c>
      <c r="AA3528">
        <v>0.74691129999999994</v>
      </c>
      <c r="AB3528">
        <v>21</v>
      </c>
      <c r="AC3528">
        <v>-2.3699999999990898E-2</v>
      </c>
      <c r="AD3528">
        <v>-1.096109146519</v>
      </c>
      <c r="AE3528">
        <v>-16.194199999999899</v>
      </c>
      <c r="AF3528">
        <v>10.804830838445801</v>
      </c>
      <c r="AG3528">
        <v>-1.096109146519</v>
      </c>
      <c r="AH3528">
        <v>11.9633526952154</v>
      </c>
      <c r="AI3528">
        <v>93.889856609276507</v>
      </c>
      <c r="AJ3528">
        <v>47.912890017619397</v>
      </c>
      <c r="AK3528">
        <v>16.1575874566295</v>
      </c>
    </row>
    <row r="3529" spans="1:37" x14ac:dyDescent="0.2">
      <c r="A3529" t="str">
        <f>"20200111155918565"</f>
        <v>20200111155918565</v>
      </c>
      <c r="B3529" t="str">
        <f>"1578729558555440"</f>
        <v>1578729558555440</v>
      </c>
      <c r="C3529" t="s">
        <v>37</v>
      </c>
      <c r="D3529">
        <v>5.2481309999999999</v>
      </c>
      <c r="E3529">
        <v>0.61455329999999997</v>
      </c>
      <c r="F3529" t="s">
        <v>39</v>
      </c>
      <c r="G3529">
        <v>-194.25290000000001</v>
      </c>
      <c r="H3529" s="1">
        <v>-2.1030040000000001E-6</v>
      </c>
      <c r="I3529">
        <v>191.8535</v>
      </c>
      <c r="J3529">
        <v>-194.12289999999999</v>
      </c>
      <c r="K3529">
        <v>1.0960859999999999</v>
      </c>
      <c r="L3529">
        <v>207.97059999999999</v>
      </c>
      <c r="M3529">
        <v>0.65881069999999997</v>
      </c>
      <c r="N3529">
        <v>0</v>
      </c>
      <c r="O3529">
        <v>-0.75215180000000004</v>
      </c>
      <c r="P3529">
        <v>0.28309319999999999</v>
      </c>
      <c r="Q3529">
        <v>2.0902110000000002E-2</v>
      </c>
      <c r="R3529">
        <v>-0.95886489999999902</v>
      </c>
      <c r="S3529">
        <v>-4.7302249999999998E-4</v>
      </c>
      <c r="T3529">
        <v>-0.21139349999999901</v>
      </c>
      <c r="U3529">
        <v>-3.1401979999999998</v>
      </c>
      <c r="V3529">
        <v>0.41944880000000001</v>
      </c>
      <c r="W3529">
        <v>2.6393509999999998E-2</v>
      </c>
      <c r="X3529">
        <v>0.90739519999999996</v>
      </c>
      <c r="Y3529">
        <v>0.65879089999999996</v>
      </c>
      <c r="Z3529">
        <v>3.390191E-2</v>
      </c>
      <c r="AA3529">
        <v>0.75156179999999995</v>
      </c>
      <c r="AB3529">
        <v>21</v>
      </c>
      <c r="AC3529">
        <v>-0.13000000000002301</v>
      </c>
      <c r="AD3529">
        <v>-1.0960881030039999</v>
      </c>
      <c r="AE3529">
        <v>-16.117099999999901</v>
      </c>
      <c r="AF3529">
        <v>10.667826968380099</v>
      </c>
      <c r="AG3529">
        <v>-1.0960881030039999</v>
      </c>
      <c r="AH3529">
        <v>11.9828639483163</v>
      </c>
      <c r="AI3529">
        <v>93.908378347501596</v>
      </c>
      <c r="AJ3529">
        <v>48.322705915367898</v>
      </c>
      <c r="AK3529">
        <v>16.080826152928399</v>
      </c>
    </row>
    <row r="3530" spans="1:37" x14ac:dyDescent="0.2">
      <c r="A3530" t="str">
        <f>"20200111155918588"</f>
        <v>20200111155918588</v>
      </c>
      <c r="B3530" t="str">
        <f>"1578729558585696"</f>
        <v>1578729558585696</v>
      </c>
      <c r="C3530" t="s">
        <v>37</v>
      </c>
      <c r="D3530">
        <v>5.2646169999999897</v>
      </c>
      <c r="E3530">
        <v>0.6017477</v>
      </c>
      <c r="F3530" t="s">
        <v>39</v>
      </c>
      <c r="G3530">
        <v>-194.22909999999999</v>
      </c>
      <c r="H3530" s="1">
        <v>-1.9121689999999999E-6</v>
      </c>
      <c r="I3530">
        <v>191.42339999999999</v>
      </c>
      <c r="J3530">
        <v>-193.9879</v>
      </c>
      <c r="K3530">
        <v>1.0960639999999999</v>
      </c>
      <c r="L3530">
        <v>207.7895</v>
      </c>
      <c r="M3530">
        <v>0.64746009999999998</v>
      </c>
      <c r="N3530">
        <v>0</v>
      </c>
      <c r="O3530">
        <v>-0.76194419999999996</v>
      </c>
      <c r="P3530">
        <v>0.27453499999999997</v>
      </c>
      <c r="Q3530">
        <v>2.1449590000000001E-2</v>
      </c>
      <c r="R3530">
        <v>-0.96133819999999903</v>
      </c>
      <c r="S3530">
        <v>-2.0141599999999999E-2</v>
      </c>
      <c r="T3530">
        <v>-0.2079415</v>
      </c>
      <c r="U3530">
        <v>-3.1392060000000002</v>
      </c>
      <c r="V3530">
        <v>0.41393019999999903</v>
      </c>
      <c r="W3530">
        <v>2.7073710000000001E-2</v>
      </c>
      <c r="X3530">
        <v>0.90990590000000005</v>
      </c>
      <c r="Y3530">
        <v>0.65221340000000005</v>
      </c>
      <c r="Z3530">
        <v>3.4501520000000001E-2</v>
      </c>
      <c r="AA3530">
        <v>0.75724979999999997</v>
      </c>
      <c r="AB3530">
        <v>21</v>
      </c>
      <c r="AC3530">
        <v>-0.241199999999992</v>
      </c>
      <c r="AD3530">
        <v>-1.096065912169</v>
      </c>
      <c r="AE3530">
        <v>-16.366099999999999</v>
      </c>
      <c r="AF3530">
        <v>10.733321657888601</v>
      </c>
      <c r="AG3530">
        <v>-1.096065912169</v>
      </c>
      <c r="AH3530">
        <v>12.26036530196</v>
      </c>
      <c r="AI3530">
        <v>93.848188660088795</v>
      </c>
      <c r="AJ3530">
        <v>48.799515342081399</v>
      </c>
      <c r="AK3530">
        <v>16.331629178775302</v>
      </c>
    </row>
    <row r="3531" spans="1:37" x14ac:dyDescent="0.2">
      <c r="A3531" t="str">
        <f>"20200111155918611"</f>
        <v>20200111155918611</v>
      </c>
      <c r="B3531" t="str">
        <f>"1578729558605216"</f>
        <v>1578729558605216</v>
      </c>
      <c r="C3531" t="s">
        <v>37</v>
      </c>
      <c r="D3531">
        <v>5.2977739999999898</v>
      </c>
      <c r="E3531">
        <v>0.60148330000000005</v>
      </c>
      <c r="F3531" t="s">
        <v>39</v>
      </c>
      <c r="G3531">
        <v>-193.67699999999999</v>
      </c>
      <c r="H3531" s="1">
        <v>-4.404348E-6</v>
      </c>
      <c r="I3531">
        <v>188.01249999999999</v>
      </c>
      <c r="J3531">
        <v>-193.8563</v>
      </c>
      <c r="K3531">
        <v>1.0960459999999901</v>
      </c>
      <c r="L3531">
        <v>207.60730000000001</v>
      </c>
      <c r="M3531">
        <v>0.63594640000000002</v>
      </c>
      <c r="N3531">
        <v>0</v>
      </c>
      <c r="O3531">
        <v>-0.77157959999999903</v>
      </c>
      <c r="P3531">
        <v>0.26556390000000002</v>
      </c>
      <c r="Q3531">
        <v>2.2216059999999999E-2</v>
      </c>
      <c r="R3531">
        <v>-0.96383719999999995</v>
      </c>
      <c r="S3531">
        <v>4.8904419999999997E-2</v>
      </c>
      <c r="T3531">
        <v>-0.17239119999999999</v>
      </c>
      <c r="U3531">
        <v>-3.1105499999999999</v>
      </c>
      <c r="V3531">
        <v>0.40874690000000002</v>
      </c>
      <c r="W3531">
        <v>2.796935E-2</v>
      </c>
      <c r="X3531">
        <v>0.91221909999999895</v>
      </c>
      <c r="Y3531">
        <v>0.62370080000000006</v>
      </c>
      <c r="Z3531">
        <v>3.0384959999999999E-2</v>
      </c>
      <c r="AA3531">
        <v>0.7810724</v>
      </c>
      <c r="AB3531">
        <v>21</v>
      </c>
      <c r="AC3531">
        <v>0.179299999999983</v>
      </c>
      <c r="AD3531">
        <v>-1.0960504043479999</v>
      </c>
      <c r="AE3531">
        <v>-19.594799999999999</v>
      </c>
      <c r="AF3531">
        <v>12.285922303311899</v>
      </c>
      <c r="AG3531">
        <v>-1.0960504043479999</v>
      </c>
      <c r="AH3531">
        <v>15.187265194462</v>
      </c>
      <c r="AI3531">
        <v>93.211408940810301</v>
      </c>
      <c r="AJ3531">
        <v>51.028452894211803</v>
      </c>
      <c r="AK3531">
        <v>19.565230318573001</v>
      </c>
    </row>
    <row r="3532" spans="1:37" x14ac:dyDescent="0.2">
      <c r="A3532" t="str">
        <f>"20200111155918634"</f>
        <v>20200111155918634</v>
      </c>
      <c r="B3532" t="str">
        <f>"1578729558625244"</f>
        <v>1578729558625244</v>
      </c>
      <c r="C3532" t="s">
        <v>37</v>
      </c>
      <c r="D3532">
        <v>5.309469</v>
      </c>
      <c r="E3532">
        <v>0.60015850000000004</v>
      </c>
      <c r="F3532" t="s">
        <v>39</v>
      </c>
      <c r="G3532">
        <v>-193.7227</v>
      </c>
      <c r="H3532" s="1">
        <v>-4.6682919999999996E-6</v>
      </c>
      <c r="I3532">
        <v>188.76429999999999</v>
      </c>
      <c r="J3532">
        <v>-193.7311</v>
      </c>
      <c r="K3532">
        <v>1.0960369999999999</v>
      </c>
      <c r="L3532">
        <v>207.4281</v>
      </c>
      <c r="M3532">
        <v>0.62454829999999995</v>
      </c>
      <c r="N3532">
        <v>0</v>
      </c>
      <c r="O3532">
        <v>-0.78083409999999998</v>
      </c>
      <c r="P3532">
        <v>0.25540570000000001</v>
      </c>
      <c r="Q3532">
        <v>2.2236539999999999E-2</v>
      </c>
      <c r="R3532">
        <v>-0.96657850000000001</v>
      </c>
      <c r="S3532">
        <v>2.2064210000000001E-2</v>
      </c>
      <c r="T3532">
        <v>-0.18093970000000001</v>
      </c>
      <c r="U3532">
        <v>-3.1106569999999998</v>
      </c>
      <c r="V3532">
        <v>0.40494980000000003</v>
      </c>
      <c r="W3532">
        <v>2.8090899999999999E-2</v>
      </c>
      <c r="X3532">
        <v>0.91390729999999998</v>
      </c>
      <c r="Y3532">
        <v>0.61894510000000003</v>
      </c>
      <c r="Z3532">
        <v>3.2781940000000002E-2</v>
      </c>
      <c r="AA3532">
        <v>0.7847499</v>
      </c>
      <c r="AB3532">
        <v>21</v>
      </c>
      <c r="AC3532">
        <v>8.3999999999946305E-3</v>
      </c>
      <c r="AD3532">
        <v>-1.096041668292</v>
      </c>
      <c r="AE3532">
        <v>-18.663799999999998</v>
      </c>
      <c r="AF3532">
        <v>11.6112259011578</v>
      </c>
      <c r="AG3532">
        <v>-1.096041668292</v>
      </c>
      <c r="AH3532">
        <v>14.5301992860391</v>
      </c>
      <c r="AI3532">
        <v>93.372428941385394</v>
      </c>
      <c r="AJ3532">
        <v>51.371302660595497</v>
      </c>
      <c r="AK3532">
        <v>18.6319232919837</v>
      </c>
    </row>
    <row r="3533" spans="1:37" x14ac:dyDescent="0.2">
      <c r="A3533" t="str">
        <f>"20200111155918656"</f>
        <v>20200111155918656</v>
      </c>
      <c r="B3533" t="str">
        <f>"1578729558645742"</f>
        <v>1578729558645742</v>
      </c>
      <c r="C3533" t="s">
        <v>37</v>
      </c>
      <c r="D3533">
        <v>5.293425</v>
      </c>
      <c r="E3533">
        <v>0.58133080000000004</v>
      </c>
      <c r="F3533" t="s">
        <v>39</v>
      </c>
      <c r="G3533">
        <v>-193.73220000000001</v>
      </c>
      <c r="H3533" s="1">
        <v>-4.8544329999999999E-6</v>
      </c>
      <c r="I3533">
        <v>189.30629999999999</v>
      </c>
      <c r="J3533">
        <v>-193.6122</v>
      </c>
      <c r="K3533">
        <v>1.0960289999999999</v>
      </c>
      <c r="L3533">
        <v>207.2527</v>
      </c>
      <c r="M3533">
        <v>0.61332330000000002</v>
      </c>
      <c r="N3533">
        <v>0</v>
      </c>
      <c r="O3533">
        <v>-0.78968110000000002</v>
      </c>
      <c r="P3533">
        <v>0.24505360000000001</v>
      </c>
      <c r="Q3533">
        <v>2.149686E-2</v>
      </c>
      <c r="R3533">
        <v>-0.96927140000000001</v>
      </c>
      <c r="S3533">
        <v>-1.9836429999999999E-4</v>
      </c>
      <c r="T3533">
        <v>-0.1879845</v>
      </c>
      <c r="U3533">
        <v>-3.1081089999999998</v>
      </c>
      <c r="V3533">
        <v>0.40165339999999999</v>
      </c>
      <c r="W3533">
        <v>2.744885E-2</v>
      </c>
      <c r="X3533">
        <v>0.91538030000000004</v>
      </c>
      <c r="Y3533">
        <v>0.61331530000000001</v>
      </c>
      <c r="Z3533">
        <v>3.5000040000000003E-2</v>
      </c>
      <c r="AA3533">
        <v>0.78906229999999999</v>
      </c>
      <c r="AB3533">
        <v>21</v>
      </c>
      <c r="AC3533">
        <v>-0.12000000000000401</v>
      </c>
      <c r="AD3533">
        <v>-1.0960338544329999</v>
      </c>
      <c r="AE3533">
        <v>-17.946400000000001</v>
      </c>
      <c r="AF3533">
        <v>11.0617728643874</v>
      </c>
      <c r="AG3533">
        <v>-1.0960338544329999</v>
      </c>
      <c r="AH3533">
        <v>14.0476207401147</v>
      </c>
      <c r="AI3533">
        <v>93.507787236418196</v>
      </c>
      <c r="AJ3533">
        <v>51.7814018831696</v>
      </c>
      <c r="AK3533">
        <v>17.913675155351601</v>
      </c>
    </row>
    <row r="3534" spans="1:37" x14ac:dyDescent="0.2">
      <c r="A3534" t="str">
        <f>"20200111155918676"</f>
        <v>20200111155918676</v>
      </c>
      <c r="B3534" t="str">
        <f>"1578729558665261"</f>
        <v>1578729558665261</v>
      </c>
      <c r="C3534" t="s">
        <v>37</v>
      </c>
      <c r="D3534">
        <v>5.2899260000000004</v>
      </c>
      <c r="E3534">
        <v>0.58008040000000005</v>
      </c>
      <c r="F3534" t="s">
        <v>39</v>
      </c>
      <c r="G3534">
        <v>-193.0522</v>
      </c>
      <c r="H3534" s="1">
        <v>-1.8759039999999901E-6</v>
      </c>
      <c r="I3534">
        <v>192.06880000000001</v>
      </c>
      <c r="J3534">
        <v>-193.50139999999999</v>
      </c>
      <c r="K3534">
        <v>1.0960289999999999</v>
      </c>
      <c r="L3534">
        <v>207.084</v>
      </c>
      <c r="M3534">
        <v>0.6024716</v>
      </c>
      <c r="N3534">
        <v>0</v>
      </c>
      <c r="O3534">
        <v>-0.79799100000000001</v>
      </c>
      <c r="P3534">
        <v>0.2347408</v>
      </c>
      <c r="Q3534">
        <v>1.9450660000000002E-2</v>
      </c>
      <c r="R3534">
        <v>-0.971863699999999</v>
      </c>
      <c r="S3534">
        <v>0.1132813</v>
      </c>
      <c r="T3534">
        <v>-0.22170570000000001</v>
      </c>
      <c r="U3534">
        <v>-3.0714109999999999</v>
      </c>
      <c r="V3534">
        <v>0.3988488</v>
      </c>
      <c r="W3534">
        <v>2.5494030000000001E-2</v>
      </c>
      <c r="X3534">
        <v>0.91666229999999904</v>
      </c>
      <c r="Y3534">
        <v>0.57260390000000005</v>
      </c>
      <c r="Z3534">
        <v>4.3796139999999997E-2</v>
      </c>
      <c r="AA3534">
        <v>0.81866149999999904</v>
      </c>
      <c r="AB3534">
        <v>21</v>
      </c>
      <c r="AC3534">
        <v>0.44919999999999</v>
      </c>
      <c r="AD3534">
        <v>-1.0960308759040001</v>
      </c>
      <c r="AE3534">
        <v>-15.015199999999901</v>
      </c>
      <c r="AF3534">
        <v>8.64279981053215</v>
      </c>
      <c r="AG3534">
        <v>-1.0960308759040001</v>
      </c>
      <c r="AH3534">
        <v>12.189196260319701</v>
      </c>
      <c r="AI3534">
        <v>94.195162577571395</v>
      </c>
      <c r="AJ3534">
        <v>54.6612957692941</v>
      </c>
      <c r="AK3534">
        <v>14.9825157339634</v>
      </c>
    </row>
    <row r="3535" spans="1:37" x14ac:dyDescent="0.2">
      <c r="A3535" t="str">
        <f>"20200111155918699"</f>
        <v>20200111155918699</v>
      </c>
      <c r="B3535" t="str">
        <f>"1578729558695517"</f>
        <v>1578729558695517</v>
      </c>
      <c r="C3535" t="s">
        <v>37</v>
      </c>
      <c r="D3535">
        <v>5.3177859999999999</v>
      </c>
      <c r="E3535">
        <v>0.57807919999999902</v>
      </c>
      <c r="F3535" t="s">
        <v>39</v>
      </c>
      <c r="G3535">
        <v>-193.06829999999999</v>
      </c>
      <c r="H3535" s="1">
        <v>-2.04717899999999E-6</v>
      </c>
      <c r="I3535">
        <v>192.4581</v>
      </c>
      <c r="J3535">
        <v>-193.38579999999999</v>
      </c>
      <c r="K3535">
        <v>1.0960239999999899</v>
      </c>
      <c r="L3535">
        <v>206.9025</v>
      </c>
      <c r="M3535">
        <v>0.59074879999999996</v>
      </c>
      <c r="N3535">
        <v>0</v>
      </c>
      <c r="O3535">
        <v>-0.80670739999999996</v>
      </c>
      <c r="P3535">
        <v>0.22390549999999901</v>
      </c>
      <c r="Q3535">
        <v>1.5533419999999999E-2</v>
      </c>
      <c r="R3535">
        <v>-0.97448709999999905</v>
      </c>
      <c r="S3535">
        <v>9.0896610000000003E-2</v>
      </c>
      <c r="T3535">
        <v>-0.23002300000000001</v>
      </c>
      <c r="U3535">
        <v>-3.0695189999999899</v>
      </c>
      <c r="V3535">
        <v>0.3956209</v>
      </c>
      <c r="W3535">
        <v>2.1686589999999999E-2</v>
      </c>
      <c r="X3535">
        <v>0.91815789999999997</v>
      </c>
      <c r="Y3535">
        <v>0.56655630000000001</v>
      </c>
      <c r="Z3535">
        <v>4.6574549999999999E-2</v>
      </c>
      <c r="AA3535">
        <v>0.82270580000000004</v>
      </c>
      <c r="AB3535">
        <v>21</v>
      </c>
      <c r="AC3535">
        <v>0.31749999999999501</v>
      </c>
      <c r="AD3535">
        <v>-1.096026047179</v>
      </c>
      <c r="AE3535">
        <v>-14.4444</v>
      </c>
      <c r="AF3535">
        <v>8.2305065243008908</v>
      </c>
      <c r="AG3535">
        <v>-1.096026047179</v>
      </c>
      <c r="AH3535">
        <v>11.7736271030469</v>
      </c>
      <c r="AI3535">
        <v>94.363054559874499</v>
      </c>
      <c r="AJ3535">
        <v>55.044028462737799</v>
      </c>
      <c r="AK3535">
        <v>14.406970740036099</v>
      </c>
    </row>
    <row r="3536" spans="1:37" x14ac:dyDescent="0.2">
      <c r="A3536" t="str">
        <f>"20200111155918721"</f>
        <v>20200111155918721</v>
      </c>
      <c r="B3536" t="str">
        <f>"1578729558716014"</f>
        <v>1578729558716014</v>
      </c>
      <c r="C3536" t="s">
        <v>37</v>
      </c>
      <c r="D3536">
        <v>5.3863940000000001</v>
      </c>
      <c r="E3536">
        <v>0.57661340000000005</v>
      </c>
      <c r="F3536" t="s">
        <v>39</v>
      </c>
      <c r="G3536">
        <v>-193.06399999999999</v>
      </c>
      <c r="H3536" s="1">
        <v>-2.4205759999999999E-6</v>
      </c>
      <c r="I3536">
        <v>193.33109999999999</v>
      </c>
      <c r="J3536">
        <v>-193.2706</v>
      </c>
      <c r="K3536">
        <v>1.0960289999999999</v>
      </c>
      <c r="L3536">
        <v>206.7157</v>
      </c>
      <c r="M3536">
        <v>0.57864930000000003</v>
      </c>
      <c r="N3536">
        <v>0</v>
      </c>
      <c r="O3536">
        <v>-0.81543019999999999</v>
      </c>
      <c r="P3536">
        <v>0.21294389999999999</v>
      </c>
      <c r="Q3536">
        <v>1.04367E-2</v>
      </c>
      <c r="R3536">
        <v>-0.97700900000000002</v>
      </c>
      <c r="S3536">
        <v>7.2677610000000004E-2</v>
      </c>
      <c r="T3536">
        <v>-0.24759519999999999</v>
      </c>
      <c r="U3536">
        <v>-3.06579599999999</v>
      </c>
      <c r="V3536">
        <v>0.39217079999999999</v>
      </c>
      <c r="W3536">
        <v>1.6711239999999999E-2</v>
      </c>
      <c r="X3536">
        <v>0.91974059999999902</v>
      </c>
      <c r="Y3536">
        <v>0.55908819999999904</v>
      </c>
      <c r="Z3536">
        <v>5.1415780000000001E-2</v>
      </c>
      <c r="AA3536">
        <v>0.82751239999999904</v>
      </c>
      <c r="AB3536">
        <v>21</v>
      </c>
      <c r="AC3536">
        <v>0.20659999999997999</v>
      </c>
      <c r="AD3536">
        <v>-1.096031420576</v>
      </c>
      <c r="AE3536">
        <v>-13.384600000000001</v>
      </c>
      <c r="AF3536">
        <v>7.5269649818339301</v>
      </c>
      <c r="AG3536">
        <v>-1.096031420576</v>
      </c>
      <c r="AH3536">
        <v>10.961586339838201</v>
      </c>
      <c r="AI3536">
        <v>94.712047042035195</v>
      </c>
      <c r="AJ3536">
        <v>55.523879571965097</v>
      </c>
      <c r="AK3536">
        <v>13.3421460716922</v>
      </c>
    </row>
    <row r="3537" spans="1:37" x14ac:dyDescent="0.2">
      <c r="A3537" t="str">
        <f>"20200111155918744"</f>
        <v>20200111155918744</v>
      </c>
      <c r="B3537" t="str">
        <f>"1578729558735533"</f>
        <v>1578729558735533</v>
      </c>
      <c r="C3537" t="s">
        <v>37</v>
      </c>
      <c r="D3537">
        <v>5.3315970000000004</v>
      </c>
      <c r="E3537">
        <v>0.5752602</v>
      </c>
      <c r="F3537" t="s">
        <v>39</v>
      </c>
      <c r="G3537">
        <v>-193.06649999999999</v>
      </c>
      <c r="H3537" s="1">
        <v>-2.7621159999999998E-6</v>
      </c>
      <c r="I3537">
        <v>194.12569999999999</v>
      </c>
      <c r="J3537">
        <v>-193.16249999999999</v>
      </c>
      <c r="K3537">
        <v>1.096033</v>
      </c>
      <c r="L3537">
        <v>206.5343</v>
      </c>
      <c r="M3537">
        <v>0.56687650000000001</v>
      </c>
      <c r="N3537">
        <v>0</v>
      </c>
      <c r="O3537">
        <v>-0.82365769999999905</v>
      </c>
      <c r="P3537">
        <v>0.202511</v>
      </c>
      <c r="Q3537">
        <v>6.0859360000000001E-3</v>
      </c>
      <c r="R3537">
        <v>-0.979261099999999</v>
      </c>
      <c r="S3537">
        <v>4.9652099999999998E-2</v>
      </c>
      <c r="T3537">
        <v>-0.26662039999999998</v>
      </c>
      <c r="U3537">
        <v>-3.0626220000000002</v>
      </c>
      <c r="V3537">
        <v>0.3886984</v>
      </c>
      <c r="W3537">
        <v>1.24831E-2</v>
      </c>
      <c r="X3537">
        <v>0.92128049999999995</v>
      </c>
      <c r="Y3537">
        <v>0.55335080000000003</v>
      </c>
      <c r="Z3537">
        <v>5.661675E-2</v>
      </c>
      <c r="AA3537">
        <v>0.83102189999999998</v>
      </c>
      <c r="AB3537">
        <v>21</v>
      </c>
      <c r="AC3537">
        <v>9.6000000000003596E-2</v>
      </c>
      <c r="AD3537">
        <v>-1.096035762116</v>
      </c>
      <c r="AE3537">
        <v>-12.4086</v>
      </c>
      <c r="AF3537">
        <v>6.9020575985189003</v>
      </c>
      <c r="AG3537">
        <v>-1.096035762116</v>
      </c>
      <c r="AH3537">
        <v>10.1965390270115</v>
      </c>
      <c r="AI3537">
        <v>95.086785456084002</v>
      </c>
      <c r="AJ3537">
        <v>55.9058504350579</v>
      </c>
      <c r="AK3537">
        <v>12.361597858467899</v>
      </c>
    </row>
    <row r="3538" spans="1:37" x14ac:dyDescent="0.2">
      <c r="A3538" t="str">
        <f>"20200111155918766"</f>
        <v>20200111155918766</v>
      </c>
      <c r="B3538" t="str">
        <f>"1578729558755053"</f>
        <v>1578729558755053</v>
      </c>
      <c r="C3538" t="s">
        <v>37</v>
      </c>
      <c r="D3538">
        <v>5.3557040000000002</v>
      </c>
      <c r="E3538">
        <v>0.56530259999999999</v>
      </c>
      <c r="F3538" t="s">
        <v>39</v>
      </c>
      <c r="G3538">
        <v>-193.05670000000001</v>
      </c>
      <c r="H3538" s="1">
        <v>-2.9511710000000001E-6</v>
      </c>
      <c r="I3538">
        <v>194.57249999999999</v>
      </c>
      <c r="J3538">
        <v>-193.05699999999999</v>
      </c>
      <c r="K3538">
        <v>1.0960479999999999</v>
      </c>
      <c r="L3538">
        <v>206.35130000000001</v>
      </c>
      <c r="M3538">
        <v>0.55497810000000003</v>
      </c>
      <c r="N3538">
        <v>0</v>
      </c>
      <c r="O3538">
        <v>-0.83172139999999894</v>
      </c>
      <c r="P3538">
        <v>0.19175329999999999</v>
      </c>
      <c r="Q3538">
        <v>2.2801269999999998E-3</v>
      </c>
      <c r="R3538">
        <v>-0.981440599999999</v>
      </c>
      <c r="S3538">
        <v>2.7069090000000001E-2</v>
      </c>
      <c r="T3538">
        <v>-0.2803522</v>
      </c>
      <c r="U3538">
        <v>-3.0596770000000002</v>
      </c>
      <c r="V3538">
        <v>0.3854939</v>
      </c>
      <c r="W3538">
        <v>8.7930660000000004E-3</v>
      </c>
      <c r="X3538">
        <v>0.9226685</v>
      </c>
      <c r="Y3538">
        <v>0.54747609999999902</v>
      </c>
      <c r="Z3538">
        <v>6.0830750000000003E-2</v>
      </c>
      <c r="AA3538">
        <v>0.8346074</v>
      </c>
      <c r="AB3538">
        <v>21</v>
      </c>
      <c r="AC3538">
        <v>3.0000000000995799E-4</v>
      </c>
      <c r="AD3538">
        <v>-1.0960509511709999</v>
      </c>
      <c r="AE3538">
        <v>-11.7788</v>
      </c>
      <c r="AF3538">
        <v>6.4813859801286302</v>
      </c>
      <c r="AG3538">
        <v>-1.0960509511709999</v>
      </c>
      <c r="AH3538">
        <v>9.7139054864771097</v>
      </c>
      <c r="AI3538">
        <v>95.361992106076002</v>
      </c>
      <c r="AJ3538">
        <v>56.287687525090398</v>
      </c>
      <c r="AK3538">
        <v>11.729008982483601</v>
      </c>
    </row>
    <row r="3539" spans="1:37" x14ac:dyDescent="0.2">
      <c r="A3539" t="str">
        <f>"20200111155918789"</f>
        <v>20200111155918789</v>
      </c>
      <c r="B3539" t="str">
        <f>"1578729558785310"</f>
        <v>1578729558785310</v>
      </c>
      <c r="C3539" t="s">
        <v>37</v>
      </c>
      <c r="D3539">
        <v>5.4006150000000002</v>
      </c>
      <c r="E3539">
        <v>0.56405289999999997</v>
      </c>
      <c r="F3539" t="s">
        <v>39</v>
      </c>
      <c r="G3539">
        <v>-192.78579999999999</v>
      </c>
      <c r="H3539" s="1">
        <v>-2.9485919999999998E-6</v>
      </c>
      <c r="I3539">
        <v>194.7345</v>
      </c>
      <c r="J3539">
        <v>-192.95050000000001</v>
      </c>
      <c r="K3539">
        <v>1.096074</v>
      </c>
      <c r="L3539">
        <v>206.15969999999999</v>
      </c>
      <c r="M3539">
        <v>0.54250869999999995</v>
      </c>
      <c r="N3539">
        <v>0</v>
      </c>
      <c r="O3539">
        <v>-0.83990789999999904</v>
      </c>
      <c r="P3539">
        <v>0.18099489999999999</v>
      </c>
      <c r="Q3539">
        <v>-1.5498770000000001E-4</v>
      </c>
      <c r="R3539">
        <v>-0.98348409999999997</v>
      </c>
      <c r="S3539">
        <v>7.1060180000000001E-2</v>
      </c>
      <c r="T3539">
        <v>-0.28715849999999998</v>
      </c>
      <c r="U3539">
        <v>-3.043533</v>
      </c>
      <c r="V3539">
        <v>0.38178200000000001</v>
      </c>
      <c r="W3539">
        <v>6.4881039999999997E-3</v>
      </c>
      <c r="X3539">
        <v>0.92422959999999998</v>
      </c>
      <c r="Y3539">
        <v>0.52268239999999999</v>
      </c>
      <c r="Z3539">
        <v>6.4537490000000003E-2</v>
      </c>
      <c r="AA3539">
        <v>0.85008119999999998</v>
      </c>
      <c r="AB3539">
        <v>21</v>
      </c>
      <c r="AC3539">
        <v>0.16470000000001001</v>
      </c>
      <c r="AD3539">
        <v>-1.0960769485920001</v>
      </c>
      <c r="AE3539">
        <v>-11.425199999999901</v>
      </c>
      <c r="AF3539">
        <v>6.0054025278812402</v>
      </c>
      <c r="AG3539">
        <v>-1.0960769485920001</v>
      </c>
      <c r="AH3539">
        <v>9.5983047487153694</v>
      </c>
      <c r="AI3539">
        <v>95.529444001590093</v>
      </c>
      <c r="AJ3539">
        <v>57.966886296920102</v>
      </c>
      <c r="AK3539">
        <v>11.375135087036499</v>
      </c>
    </row>
    <row r="3540" spans="1:37" x14ac:dyDescent="0.2">
      <c r="A3540" t="str">
        <f>"20200111155918811"</f>
        <v>20200111155918811</v>
      </c>
      <c r="B3540" t="str">
        <f>"1578729558805805"</f>
        <v>1578729558805805</v>
      </c>
      <c r="C3540" t="s">
        <v>37</v>
      </c>
      <c r="D3540">
        <v>5.3992529999999999</v>
      </c>
      <c r="E3540">
        <v>0.56391340000000001</v>
      </c>
      <c r="F3540" t="s">
        <v>39</v>
      </c>
      <c r="G3540">
        <v>-192.6892</v>
      </c>
      <c r="H3540" s="1">
        <v>-4.3550639999999999E-6</v>
      </c>
      <c r="I3540">
        <v>188.3826</v>
      </c>
      <c r="J3540">
        <v>-192.84799999999899</v>
      </c>
      <c r="K3540">
        <v>1.0961019999999999</v>
      </c>
      <c r="L3540">
        <v>205.96879999999999</v>
      </c>
      <c r="M3540">
        <v>0.5300726</v>
      </c>
      <c r="N3540">
        <v>0</v>
      </c>
      <c r="O3540">
        <v>-0.8478116</v>
      </c>
      <c r="P3540">
        <v>0.1712555</v>
      </c>
      <c r="Q3540">
        <v>-2.0035560000000001E-3</v>
      </c>
      <c r="R3540">
        <v>-0.98522480000000001</v>
      </c>
      <c r="S3540">
        <v>4.4708249999999998E-2</v>
      </c>
      <c r="T3540">
        <v>-0.1875676</v>
      </c>
      <c r="U3540">
        <v>-3.0421299999999998</v>
      </c>
      <c r="V3540">
        <v>0.37726389999999999</v>
      </c>
      <c r="W3540">
        <v>4.7882050000000002E-3</v>
      </c>
      <c r="X3540">
        <v>0.92609349999999901</v>
      </c>
      <c r="Y3540">
        <v>0.51755580000000001</v>
      </c>
      <c r="Z3540">
        <v>4.3084539999999998E-2</v>
      </c>
      <c r="AA3540">
        <v>0.85456409999999905</v>
      </c>
      <c r="AB3540">
        <v>21</v>
      </c>
      <c r="AC3540">
        <v>0.15879999999998501</v>
      </c>
      <c r="AD3540">
        <v>-1.096106355064</v>
      </c>
      <c r="AE3540">
        <v>-17.586199999999899</v>
      </c>
      <c r="AF3540">
        <v>9.1528726135856608</v>
      </c>
      <c r="AG3540">
        <v>-1.096106355064</v>
      </c>
      <c r="AH3540">
        <v>14.9377240952474</v>
      </c>
      <c r="AI3540">
        <v>93.580169459233701</v>
      </c>
      <c r="AJ3540">
        <v>58.502723002221003</v>
      </c>
      <c r="AK3540">
        <v>17.5531230089655</v>
      </c>
    </row>
    <row r="3541" spans="1:37" x14ac:dyDescent="0.2">
      <c r="A3541" t="str">
        <f>"20200111155918834"</f>
        <v>20200111155918834</v>
      </c>
      <c r="B3541" t="str">
        <f>"1578729558825324"</f>
        <v>1578729558825324</v>
      </c>
      <c r="C3541" t="s">
        <v>37</v>
      </c>
      <c r="D3541">
        <v>5.2981959999999999</v>
      </c>
      <c r="E3541">
        <v>0.56602779999999997</v>
      </c>
      <c r="F3541" t="s">
        <v>39</v>
      </c>
      <c r="G3541">
        <v>-192.73339999999999</v>
      </c>
      <c r="H3541" s="1">
        <v>-1.4298109999999999E-6</v>
      </c>
      <c r="I3541">
        <v>181.22669999999999</v>
      </c>
      <c r="J3541">
        <v>-192.74979999999999</v>
      </c>
      <c r="K3541">
        <v>1.096144</v>
      </c>
      <c r="L3541">
        <v>205.77950000000001</v>
      </c>
      <c r="M3541">
        <v>0.51772149999999995</v>
      </c>
      <c r="N3541">
        <v>0</v>
      </c>
      <c r="O3541">
        <v>-0.85540959999999999</v>
      </c>
      <c r="P3541">
        <v>0.16130429999999901</v>
      </c>
      <c r="Q3541">
        <v>-4.2281369999999999E-3</v>
      </c>
      <c r="R3541">
        <v>-0.98689570000000004</v>
      </c>
      <c r="S3541">
        <v>1.408386E-2</v>
      </c>
      <c r="T3541">
        <v>-0.134775799999999</v>
      </c>
      <c r="U3541">
        <v>-3.0422669999999998</v>
      </c>
      <c r="V3541">
        <v>0.37312779999999901</v>
      </c>
      <c r="W3541">
        <v>2.7001509999999901E-3</v>
      </c>
      <c r="X3541">
        <v>0.92777600000000005</v>
      </c>
      <c r="Y3541">
        <v>0.51378109999999999</v>
      </c>
      <c r="Z3541">
        <v>3.1528399999999998E-2</v>
      </c>
      <c r="AA3541">
        <v>0.85734179999999904</v>
      </c>
      <c r="AB3541">
        <v>21</v>
      </c>
      <c r="AC3541">
        <v>1.6400000000004401E-2</v>
      </c>
      <c r="AD3541">
        <v>-1.0961454298109901</v>
      </c>
      <c r="AE3541">
        <v>-24.552800000000001</v>
      </c>
      <c r="AF3541">
        <v>12.673740166106599</v>
      </c>
      <c r="AG3541">
        <v>-1.0961454298109901</v>
      </c>
      <c r="AH3541">
        <v>20.971901744247798</v>
      </c>
      <c r="AI3541">
        <v>92.561326796667004</v>
      </c>
      <c r="AJ3541">
        <v>58.854590917086703</v>
      </c>
      <c r="AK3541">
        <v>24.528470954620602</v>
      </c>
    </row>
    <row r="3542" spans="1:37" x14ac:dyDescent="0.2">
      <c r="A3542" t="str">
        <f>"20200111155918856"</f>
        <v>20200111155918856</v>
      </c>
      <c r="B3542" t="str">
        <f>"1578729558845820"</f>
        <v>1578729558845820</v>
      </c>
      <c r="C3542" t="s">
        <v>37</v>
      </c>
      <c r="D3542">
        <v>5.4637229999999999</v>
      </c>
      <c r="E3542">
        <v>0.56570229999999999</v>
      </c>
      <c r="F3542" t="s">
        <v>39</v>
      </c>
      <c r="G3542">
        <v>-193.07210000000001</v>
      </c>
      <c r="H3542" s="1">
        <v>-3.8900890000000002E-6</v>
      </c>
      <c r="I3542">
        <v>176.8167</v>
      </c>
      <c r="J3542">
        <v>-192.655</v>
      </c>
      <c r="K3542">
        <v>1.096177</v>
      </c>
      <c r="L3542">
        <v>205.59020000000001</v>
      </c>
      <c r="M3542">
        <v>0.50536049999999999</v>
      </c>
      <c r="N3542">
        <v>0</v>
      </c>
      <c r="O3542">
        <v>-0.86277000000000004</v>
      </c>
      <c r="P3542">
        <v>0.15283160000000001</v>
      </c>
      <c r="Q3542">
        <v>-7.1910530000000002E-3</v>
      </c>
      <c r="R3542">
        <v>-0.98822619999999906</v>
      </c>
      <c r="S3542">
        <v>-3.388977E-2</v>
      </c>
      <c r="T3542">
        <v>-0.11523789999999901</v>
      </c>
      <c r="U3542">
        <v>-3.044861</v>
      </c>
      <c r="V3542">
        <v>0.36766589999999999</v>
      </c>
      <c r="W3542" s="1">
        <v>-9.6070580000000007E-5</v>
      </c>
      <c r="X3542">
        <v>0.9299579</v>
      </c>
      <c r="Y3542">
        <v>0.51496039999999998</v>
      </c>
      <c r="Z3542">
        <v>2.7333400000000001E-2</v>
      </c>
      <c r="AA3542">
        <v>0.85677809999999899</v>
      </c>
      <c r="AB3542">
        <v>21</v>
      </c>
      <c r="AC3542">
        <v>-0.41710000000000402</v>
      </c>
      <c r="AD3542">
        <v>-1.096180890089</v>
      </c>
      <c r="AE3542">
        <v>-28.773499999999999</v>
      </c>
      <c r="AF3542">
        <v>14.8810369910323</v>
      </c>
      <c r="AG3542">
        <v>-1.096180890089</v>
      </c>
      <c r="AH3542">
        <v>24.581395574844301</v>
      </c>
      <c r="AI3542">
        <v>92.184669444748494</v>
      </c>
      <c r="AJ3542">
        <v>58.810208300380502</v>
      </c>
      <c r="AK3542">
        <v>28.755727827325899</v>
      </c>
    </row>
    <row r="3543" spans="1:37" x14ac:dyDescent="0.2">
      <c r="A3543" t="str">
        <f>"20200111155918890"</f>
        <v>20200111155918890</v>
      </c>
      <c r="B3543" t="str">
        <f>"1578729558885837"</f>
        <v>1578729558885837</v>
      </c>
      <c r="C3543" t="s">
        <v>37</v>
      </c>
      <c r="D3543">
        <v>5.3349399999999996</v>
      </c>
      <c r="E3543">
        <v>0.56320999999999999</v>
      </c>
      <c r="F3543" t="s">
        <v>39</v>
      </c>
      <c r="G3543">
        <v>-193.08750000000001</v>
      </c>
      <c r="H3543" s="1">
        <v>-2.0993529999999999E-6</v>
      </c>
      <c r="I3543">
        <v>182.56780000000001</v>
      </c>
      <c r="J3543">
        <v>-192.51669999999999</v>
      </c>
      <c r="K3543">
        <v>1.0962540000000001</v>
      </c>
      <c r="L3543">
        <v>205.30109999999999</v>
      </c>
      <c r="M3543">
        <v>0.48644949999999998</v>
      </c>
      <c r="N3543">
        <v>0</v>
      </c>
      <c r="O3543">
        <v>-0.87357220000000002</v>
      </c>
      <c r="P3543">
        <v>0.1358954</v>
      </c>
      <c r="Q3543">
        <v>-7.5163719999999899E-3</v>
      </c>
      <c r="R3543">
        <v>-0.99069459999999998</v>
      </c>
      <c r="S3543">
        <v>-5.7174679999999999E-2</v>
      </c>
      <c r="T3543">
        <v>-0.14491279999999901</v>
      </c>
      <c r="U3543">
        <v>-3.0435180000000002</v>
      </c>
      <c r="V3543">
        <v>0.36331669999999999</v>
      </c>
      <c r="W3543">
        <v>-2.743914E-4</v>
      </c>
      <c r="X3543">
        <v>0.93166569999999904</v>
      </c>
      <c r="Y3543">
        <v>0.50277839999999996</v>
      </c>
      <c r="Z3543">
        <v>3.5308930000000002E-2</v>
      </c>
      <c r="AA3543">
        <v>0.86369390000000001</v>
      </c>
      <c r="AB3543">
        <v>21</v>
      </c>
      <c r="AC3543">
        <v>-0.57080000000001896</v>
      </c>
      <c r="AD3543">
        <v>-1.0962560993529999</v>
      </c>
      <c r="AE3543">
        <v>-22.7332999999999</v>
      </c>
      <c r="AF3543">
        <v>11.5318165722164</v>
      </c>
      <c r="AG3543">
        <v>-1.0962560993529999</v>
      </c>
      <c r="AH3543">
        <v>19.538442770656602</v>
      </c>
      <c r="AI3543">
        <v>92.766341375074802</v>
      </c>
      <c r="AJ3543">
        <v>59.450400561617698</v>
      </c>
      <c r="AK3543">
        <v>22.714209578870101</v>
      </c>
    </row>
    <row r="3544" spans="1:37" x14ac:dyDescent="0.2">
      <c r="A3544" t="str">
        <f>"20200111155918912"</f>
        <v>20200111155918912</v>
      </c>
      <c r="B3544" t="str">
        <f>"1578729558905356"</f>
        <v>1578729558905356</v>
      </c>
      <c r="C3544" t="s">
        <v>37</v>
      </c>
      <c r="D3544">
        <v>5.4139280000000003</v>
      </c>
      <c r="E3544">
        <v>0.56147060000000004</v>
      </c>
      <c r="F3544" t="s">
        <v>39</v>
      </c>
      <c r="G3544">
        <v>-193.07499999999999</v>
      </c>
      <c r="H3544" s="1">
        <v>-3.6794610000000001E-6</v>
      </c>
      <c r="I3544">
        <v>186.25880000000001</v>
      </c>
      <c r="J3544">
        <v>-192.42789999999999</v>
      </c>
      <c r="K3544">
        <v>1.096311</v>
      </c>
      <c r="L3544">
        <v>205.1063</v>
      </c>
      <c r="M3544">
        <v>0.47368840000000001</v>
      </c>
      <c r="N3544">
        <v>0</v>
      </c>
      <c r="O3544">
        <v>-0.88055749999999999</v>
      </c>
      <c r="P3544">
        <v>0.124546399999999</v>
      </c>
      <c r="Q3544">
        <v>-4.8753549999999996E-3</v>
      </c>
      <c r="R3544">
        <v>-0.99220189999999997</v>
      </c>
      <c r="S3544">
        <v>-8.9111330000000002E-2</v>
      </c>
      <c r="T3544">
        <v>-0.174959</v>
      </c>
      <c r="U3544">
        <v>-3.0390929999999998</v>
      </c>
      <c r="V3544">
        <v>0.36048449999999999</v>
      </c>
      <c r="W3544">
        <v>2.4607789999999902E-3</v>
      </c>
      <c r="X3544">
        <v>0.93276199999999998</v>
      </c>
      <c r="Y3544">
        <v>0.499266299999999</v>
      </c>
      <c r="Z3544">
        <v>4.3318500000000003E-2</v>
      </c>
      <c r="AA3544">
        <v>0.8653651</v>
      </c>
      <c r="AB3544">
        <v>21</v>
      </c>
      <c r="AC3544">
        <v>-0.64709999999999401</v>
      </c>
      <c r="AD3544">
        <v>-1.0963146794609999</v>
      </c>
      <c r="AE3544">
        <v>-18.8475</v>
      </c>
      <c r="AF3544">
        <v>9.4667873723618108</v>
      </c>
      <c r="AG3544">
        <v>-1.0963146794609999</v>
      </c>
      <c r="AH3544">
        <v>16.236848541754998</v>
      </c>
      <c r="AI3544">
        <v>93.338271778445005</v>
      </c>
      <c r="AJ3544">
        <v>59.755958831194903</v>
      </c>
      <c r="AK3544">
        <v>18.827034275153501</v>
      </c>
    </row>
    <row r="3545" spans="1:37" x14ac:dyDescent="0.2">
      <c r="A3545" t="str">
        <f>"20200111155918934"</f>
        <v>20200111155918934</v>
      </c>
      <c r="B3545" t="str">
        <f>"1578729558925852"</f>
        <v>1578729558925852</v>
      </c>
      <c r="C3545" t="s">
        <v>37</v>
      </c>
      <c r="D3545">
        <v>5.410444</v>
      </c>
      <c r="E3545">
        <v>0.55976619999999899</v>
      </c>
      <c r="F3545" t="s">
        <v>39</v>
      </c>
      <c r="G3545">
        <v>-193.1105</v>
      </c>
      <c r="H3545" s="1">
        <v>-3.70639799999999E-6</v>
      </c>
      <c r="I3545">
        <v>186.2996</v>
      </c>
      <c r="J3545">
        <v>-192.34479999999999</v>
      </c>
      <c r="K3545">
        <v>1.096368</v>
      </c>
      <c r="L3545">
        <v>204.91650000000001</v>
      </c>
      <c r="M3545">
        <v>0.46124159999999997</v>
      </c>
      <c r="N3545">
        <v>0</v>
      </c>
      <c r="O3545">
        <v>-0.88714059999999995</v>
      </c>
      <c r="P3545">
        <v>0.1139826</v>
      </c>
      <c r="Q3545">
        <v>-1.91405E-3</v>
      </c>
      <c r="R3545">
        <v>-0.99348099999999995</v>
      </c>
      <c r="S3545">
        <v>-0.11019900000000001</v>
      </c>
      <c r="T3545">
        <v>-0.177013</v>
      </c>
      <c r="U3545">
        <v>-3.0365599999999899</v>
      </c>
      <c r="V3545">
        <v>0.357334599999999</v>
      </c>
      <c r="W3545">
        <v>5.5225259999999998E-3</v>
      </c>
      <c r="X3545">
        <v>0.93396009999999996</v>
      </c>
      <c r="Y3545">
        <v>0.49307679999999998</v>
      </c>
      <c r="Z3545">
        <v>4.4530529999999999E-2</v>
      </c>
      <c r="AA3545">
        <v>0.86884539999999999</v>
      </c>
      <c r="AB3545">
        <v>21</v>
      </c>
      <c r="AC3545">
        <v>-0.76570000000000904</v>
      </c>
      <c r="AD3545">
        <v>-1.0963717063980001</v>
      </c>
      <c r="AE3545">
        <v>-18.616900000000001</v>
      </c>
      <c r="AF3545">
        <v>9.2352984436391008</v>
      </c>
      <c r="AG3545">
        <v>-1.0963717063980001</v>
      </c>
      <c r="AH3545">
        <v>16.108783038065098</v>
      </c>
      <c r="AI3545">
        <v>93.379116743338798</v>
      </c>
      <c r="AJ3545">
        <v>60.173996366804801</v>
      </c>
      <c r="AK3545">
        <v>18.6006897514347</v>
      </c>
    </row>
    <row r="3546" spans="1:37" x14ac:dyDescent="0.2">
      <c r="A3546" t="str">
        <f>"20200111155918956"</f>
        <v>20200111155918956</v>
      </c>
      <c r="B3546" t="str">
        <f>"1578729558945372"</f>
        <v>1578729558945372</v>
      </c>
      <c r="C3546" t="s">
        <v>37</v>
      </c>
      <c r="D3546">
        <v>5.654528</v>
      </c>
      <c r="E3546">
        <v>0.55874159999999995</v>
      </c>
      <c r="F3546" t="s">
        <v>39</v>
      </c>
      <c r="G3546">
        <v>-193.15360000000001</v>
      </c>
      <c r="H3546" s="1">
        <v>-3.5509979999999999E-6</v>
      </c>
      <c r="I3546">
        <v>185.91059999999999</v>
      </c>
      <c r="J3546">
        <v>-192.26560000000001</v>
      </c>
      <c r="K3546">
        <v>1.09642</v>
      </c>
      <c r="L3546">
        <v>204.72909999999999</v>
      </c>
      <c r="M3546">
        <v>0.44892669999999901</v>
      </c>
      <c r="N3546">
        <v>0</v>
      </c>
      <c r="O3546">
        <v>-0.8934356</v>
      </c>
      <c r="P3546">
        <v>0.10502880000000001</v>
      </c>
      <c r="Q3546">
        <v>1.2058030000000001E-3</v>
      </c>
      <c r="R3546">
        <v>-0.99446829999999997</v>
      </c>
      <c r="S3546">
        <v>-0.12911989999999901</v>
      </c>
      <c r="T3546">
        <v>-0.1750274</v>
      </c>
      <c r="U3546">
        <v>-3.0341490000000002</v>
      </c>
      <c r="V3546">
        <v>0.35288629999999999</v>
      </c>
      <c r="W3546">
        <v>8.7735169999999998E-3</v>
      </c>
      <c r="X3546">
        <v>0.93562509999999999</v>
      </c>
      <c r="Y3546">
        <v>0.48646830000000002</v>
      </c>
      <c r="Z3546">
        <v>4.471004E-2</v>
      </c>
      <c r="AA3546">
        <v>0.87255349999999998</v>
      </c>
      <c r="AB3546">
        <v>21</v>
      </c>
      <c r="AC3546">
        <v>-0.88800000000000501</v>
      </c>
      <c r="AD3546">
        <v>-1.096423550998</v>
      </c>
      <c r="AE3546">
        <v>-18.8185</v>
      </c>
      <c r="AF3546">
        <v>9.2113968182799404</v>
      </c>
      <c r="AG3546">
        <v>-1.096423550998</v>
      </c>
      <c r="AH3546">
        <v>16.3610062623173</v>
      </c>
      <c r="AI3546">
        <v>93.342016359966095</v>
      </c>
      <c r="AJ3546">
        <v>60.620089267886598</v>
      </c>
      <c r="AK3546">
        <v>18.807830865429001</v>
      </c>
    </row>
    <row r="3547" spans="1:37" x14ac:dyDescent="0.2">
      <c r="A3547" t="str">
        <f>"20200111155918979"</f>
        <v>20200111155918979</v>
      </c>
      <c r="B3547" t="str">
        <f>"1578729558975629"</f>
        <v>1578729558975629</v>
      </c>
      <c r="C3547" t="s">
        <v>37</v>
      </c>
      <c r="D3547">
        <v>5.4379879999999998</v>
      </c>
      <c r="E3547">
        <v>0.53959630000000003</v>
      </c>
      <c r="F3547" t="s">
        <v>39</v>
      </c>
      <c r="G3547">
        <v>-193.2319</v>
      </c>
      <c r="H3547" s="1">
        <v>-3.176939E-6</v>
      </c>
      <c r="I3547">
        <v>184.99010000000001</v>
      </c>
      <c r="J3547">
        <v>-192.1849</v>
      </c>
      <c r="K3547">
        <v>1.0964750000000001</v>
      </c>
      <c r="L3547">
        <v>204.5301</v>
      </c>
      <c r="M3547">
        <v>0.43584020000000001</v>
      </c>
      <c r="N3547">
        <v>0</v>
      </c>
      <c r="O3547">
        <v>-0.89989229999999998</v>
      </c>
      <c r="P3547">
        <v>9.6316699999999894E-2</v>
      </c>
      <c r="Q3547">
        <v>4.4339039999999998E-3</v>
      </c>
      <c r="R3547">
        <v>-0.99534100000000003</v>
      </c>
      <c r="S3547">
        <v>-0.148452799999999</v>
      </c>
      <c r="T3547">
        <v>-0.16844809999999999</v>
      </c>
      <c r="U3547">
        <v>-3.032578</v>
      </c>
      <c r="V3547">
        <v>0.34747679999999997</v>
      </c>
      <c r="W3547">
        <v>1.215744E-2</v>
      </c>
      <c r="X3547">
        <v>0.93760969999999999</v>
      </c>
      <c r="Y3547">
        <v>0.4792807</v>
      </c>
      <c r="Z3547">
        <v>4.3695339999999999E-2</v>
      </c>
      <c r="AA3547">
        <v>0.8765733</v>
      </c>
      <c r="AB3547">
        <v>20</v>
      </c>
      <c r="AC3547">
        <v>-1.0469999999999899</v>
      </c>
      <c r="AD3547">
        <v>-1.096478176939</v>
      </c>
      <c r="AE3547">
        <v>-19.5399999999999</v>
      </c>
      <c r="AF3547">
        <v>9.4300179473741004</v>
      </c>
      <c r="AG3547">
        <v>-1.096478176939</v>
      </c>
      <c r="AH3547">
        <v>17.075986624792399</v>
      </c>
      <c r="AI3547">
        <v>93.217215972301304</v>
      </c>
      <c r="AJ3547">
        <v>61.090827963159398</v>
      </c>
      <c r="AK3547">
        <v>19.537574621492599</v>
      </c>
    </row>
    <row r="3548" spans="1:37" x14ac:dyDescent="0.2">
      <c r="A3548" t="str">
        <f>"20200111155919001"</f>
        <v>20200111155919001</v>
      </c>
      <c r="B3548" t="str">
        <f>"1578729558995149"</f>
        <v>1578729558995149</v>
      </c>
      <c r="C3548" t="s">
        <v>37</v>
      </c>
      <c r="D3548">
        <v>5.5053140000000003</v>
      </c>
      <c r="E3548">
        <v>0.53747780000000001</v>
      </c>
      <c r="F3548" t="s">
        <v>39</v>
      </c>
      <c r="G3548">
        <v>-192.28890000000001</v>
      </c>
      <c r="H3548" s="1">
        <v>-8.1441729999999996E-7</v>
      </c>
      <c r="I3548">
        <v>190.06790000000001</v>
      </c>
      <c r="J3548">
        <v>-192.10550000000001</v>
      </c>
      <c r="K3548">
        <v>1.0965320000000001</v>
      </c>
      <c r="L3548">
        <v>204.32599999999999</v>
      </c>
      <c r="M3548">
        <v>0.42242029999999903</v>
      </c>
      <c r="N3548">
        <v>0</v>
      </c>
      <c r="O3548">
        <v>-0.90626930000000006</v>
      </c>
      <c r="P3548">
        <v>8.8486190000000006E-2</v>
      </c>
      <c r="Q3548">
        <v>9.8648160000000002E-3</v>
      </c>
      <c r="R3548">
        <v>-0.99602849999999998</v>
      </c>
      <c r="S3548">
        <v>-2.1697999999999999E-2</v>
      </c>
      <c r="T3548">
        <v>-0.2287506</v>
      </c>
      <c r="U3548">
        <v>-3.0171509999999899</v>
      </c>
      <c r="V3548">
        <v>0.34099679999999999</v>
      </c>
      <c r="W3548">
        <v>1.777395E-2</v>
      </c>
      <c r="X3548">
        <v>0.93989639999999997</v>
      </c>
      <c r="Y3548">
        <v>0.42890139999999999</v>
      </c>
      <c r="Z3548">
        <v>6.1332669999999999E-2</v>
      </c>
      <c r="AA3548">
        <v>0.90126689999999998</v>
      </c>
      <c r="AB3548">
        <v>20</v>
      </c>
      <c r="AC3548">
        <v>-0.183400000000006</v>
      </c>
      <c r="AD3548">
        <v>-1.0965328144173001</v>
      </c>
      <c r="AE3548">
        <v>-14.258099999999899</v>
      </c>
      <c r="AF3548">
        <v>6.1534655408037597</v>
      </c>
      <c r="AG3548">
        <v>-1.0965328144173001</v>
      </c>
      <c r="AH3548">
        <v>12.7702117717701</v>
      </c>
      <c r="AI3548">
        <v>94.423268990021</v>
      </c>
      <c r="AJ3548">
        <v>64.272401680815904</v>
      </c>
      <c r="AK3548">
        <v>14.2177997971138</v>
      </c>
    </row>
    <row r="3549" spans="1:37" x14ac:dyDescent="0.2">
      <c r="A3549" t="str">
        <f>"20200111155919024"</f>
        <v>20200111155919024</v>
      </c>
      <c r="B3549" t="str">
        <f>"1578729559015644"</f>
        <v>1578729559015644</v>
      </c>
      <c r="C3549" t="s">
        <v>37</v>
      </c>
      <c r="D3549">
        <v>5.5569600000000001</v>
      </c>
      <c r="E3549">
        <v>0.53532389999999996</v>
      </c>
      <c r="F3549" t="s">
        <v>46</v>
      </c>
      <c r="G3549">
        <v>-195.10329999999999</v>
      </c>
      <c r="H3549">
        <v>0.26759909999999998</v>
      </c>
      <c r="I3549">
        <v>-81.815250000000006</v>
      </c>
      <c r="J3549">
        <v>-192.0342</v>
      </c>
      <c r="K3549">
        <v>1.0966009999999999</v>
      </c>
      <c r="L3549">
        <v>204.13460000000001</v>
      </c>
      <c r="M3549">
        <v>0.4098523</v>
      </c>
      <c r="N3549">
        <v>0</v>
      </c>
      <c r="O3549">
        <v>-0.91202220000000001</v>
      </c>
      <c r="P3549">
        <v>8.1868670000000004E-2</v>
      </c>
      <c r="Q3549">
        <v>1.3551179999999999E-2</v>
      </c>
      <c r="R3549">
        <v>-0.99655099999999996</v>
      </c>
      <c r="S3549">
        <v>-3.158569E-2</v>
      </c>
      <c r="T3549">
        <v>-8.733869E-3</v>
      </c>
      <c r="U3549">
        <v>-3.0148769999999998</v>
      </c>
      <c r="V3549">
        <v>0.33428849999999999</v>
      </c>
      <c r="W3549">
        <v>2.165655E-2</v>
      </c>
      <c r="X3549">
        <v>0.94222189999999995</v>
      </c>
      <c r="Y3549">
        <v>0.41943370000000002</v>
      </c>
      <c r="Z3549">
        <v>2.3811650000000002E-3</v>
      </c>
      <c r="AA3549">
        <v>0.90778289999999995</v>
      </c>
      <c r="AB3549">
        <v>20</v>
      </c>
      <c r="AC3549">
        <v>-3.0690999999999899</v>
      </c>
      <c r="AD3549">
        <v>-0.82900189999999996</v>
      </c>
      <c r="AE3549">
        <v>-285.94985000000003</v>
      </c>
      <c r="AF3549">
        <v>120.009480506785</v>
      </c>
      <c r="AG3549">
        <v>-0.82900189999999996</v>
      </c>
      <c r="AH3549">
        <v>259.56326051147897</v>
      </c>
      <c r="AI3549">
        <v>90.166098497943594</v>
      </c>
      <c r="AJ3549">
        <v>65.186464975722402</v>
      </c>
      <c r="AK3549">
        <v>285.96511826271501</v>
      </c>
    </row>
    <row r="3550" spans="1:37" x14ac:dyDescent="0.2">
      <c r="A3550" t="str">
        <f>"20200111155919045"</f>
        <v>20200111155919045</v>
      </c>
      <c r="B3550" t="str">
        <f>"1578729559035164"</f>
        <v>1578729559035164</v>
      </c>
      <c r="C3550" t="s">
        <v>37</v>
      </c>
      <c r="D3550">
        <v>5.4374149999999997</v>
      </c>
      <c r="E3550">
        <v>0.53480699999999903</v>
      </c>
      <c r="F3550" t="s">
        <v>39</v>
      </c>
      <c r="G3550">
        <v>-192.43459999999999</v>
      </c>
      <c r="H3550" s="1">
        <v>-4.0586259999999999E-6</v>
      </c>
      <c r="I3550">
        <v>166.80709999999999</v>
      </c>
      <c r="J3550">
        <v>-191.96639999999999</v>
      </c>
      <c r="K3550">
        <v>1.0966799999999901</v>
      </c>
      <c r="L3550">
        <v>203.94460000000001</v>
      </c>
      <c r="M3550">
        <v>0.39743040000000002</v>
      </c>
      <c r="N3550">
        <v>0</v>
      </c>
      <c r="O3550">
        <v>-0.91750350000000003</v>
      </c>
      <c r="P3550">
        <v>7.5553499999999996E-2</v>
      </c>
      <c r="Q3550">
        <v>1.428158E-2</v>
      </c>
      <c r="R3550">
        <v>-0.99703960000000003</v>
      </c>
      <c r="S3550">
        <v>-3.233337E-2</v>
      </c>
      <c r="T3550">
        <v>-8.855259E-2</v>
      </c>
      <c r="U3550">
        <v>-3.0142519999999999</v>
      </c>
      <c r="V3550">
        <v>0.32745980000000002</v>
      </c>
      <c r="W3550">
        <v>2.2596640000000001E-2</v>
      </c>
      <c r="X3550">
        <v>0.94459490000000002</v>
      </c>
      <c r="Y3550">
        <v>0.40728569999999997</v>
      </c>
      <c r="Z3550">
        <v>2.4460389999999999E-2</v>
      </c>
      <c r="AA3550">
        <v>0.91297320000000004</v>
      </c>
      <c r="AB3550">
        <v>20</v>
      </c>
      <c r="AC3550">
        <v>-0.46819999999999601</v>
      </c>
      <c r="AD3550">
        <v>-1.0966840586259901</v>
      </c>
      <c r="AE3550">
        <v>-37.137500000000003</v>
      </c>
      <c r="AF3550">
        <v>15.1777088232481</v>
      </c>
      <c r="AG3550">
        <v>-1.0966840586259901</v>
      </c>
      <c r="AH3550">
        <v>33.862191051720998</v>
      </c>
      <c r="AI3550">
        <v>91.692813414841496</v>
      </c>
      <c r="AJ3550">
        <v>65.8571266517244</v>
      </c>
      <c r="AK3550">
        <v>37.124298564026802</v>
      </c>
    </row>
    <row r="3551" spans="1:37" x14ac:dyDescent="0.2">
      <c r="A3551" t="str">
        <f>"20200111155919068"</f>
        <v>20200111155919068</v>
      </c>
      <c r="B3551" t="str">
        <f>"1578729559055661"</f>
        <v>1578729559055661</v>
      </c>
      <c r="C3551" t="s">
        <v>37</v>
      </c>
      <c r="D3551">
        <v>5.4153519999999897</v>
      </c>
      <c r="E3551">
        <v>0.53471230000000003</v>
      </c>
      <c r="F3551" t="s">
        <v>39</v>
      </c>
      <c r="G3551">
        <v>-192.33959999999999</v>
      </c>
      <c r="H3551" s="1">
        <v>-4.7109519999999998E-6</v>
      </c>
      <c r="I3551">
        <v>179.61060000000001</v>
      </c>
      <c r="J3551">
        <v>-191.89699999999999</v>
      </c>
      <c r="K3551">
        <v>1.096781</v>
      </c>
      <c r="L3551">
        <v>203.7414</v>
      </c>
      <c r="M3551">
        <v>0.3842488</v>
      </c>
      <c r="N3551">
        <v>0</v>
      </c>
      <c r="O3551">
        <v>-0.92310199999999998</v>
      </c>
      <c r="P3551">
        <v>6.8880250000000004E-2</v>
      </c>
      <c r="Q3551">
        <v>1.099603E-2</v>
      </c>
      <c r="R3551">
        <v>-0.99756429999999996</v>
      </c>
      <c r="S3551">
        <v>-4.6234129999999998E-2</v>
      </c>
      <c r="T3551">
        <v>-0.13585039999999901</v>
      </c>
      <c r="U3551">
        <v>-3.0143430000000002</v>
      </c>
      <c r="V3551">
        <v>0.320189</v>
      </c>
      <c r="W3551">
        <v>1.9548429999999999E-2</v>
      </c>
      <c r="X3551">
        <v>0.94715199999999999</v>
      </c>
      <c r="Y3551">
        <v>0.39837879999999998</v>
      </c>
      <c r="Z3551">
        <v>3.796708E-2</v>
      </c>
      <c r="AA3551">
        <v>0.91643490000000005</v>
      </c>
      <c r="AB3551">
        <v>20</v>
      </c>
      <c r="AC3551">
        <v>-0.44259999999997002</v>
      </c>
      <c r="AD3551">
        <v>-1.0967857109520001</v>
      </c>
      <c r="AE3551">
        <v>-24.130799999999901</v>
      </c>
      <c r="AF3551">
        <v>9.6619827247720806</v>
      </c>
      <c r="AG3551">
        <v>-1.0967857109520001</v>
      </c>
      <c r="AH3551">
        <v>22.062163261015002</v>
      </c>
      <c r="AI3551">
        <v>92.607328129276695</v>
      </c>
      <c r="AJ3551">
        <v>66.349293669395493</v>
      </c>
      <c r="AK3551">
        <v>24.1100787395069</v>
      </c>
    </row>
    <row r="3552" spans="1:37" x14ac:dyDescent="0.2">
      <c r="A3552" t="str">
        <f>"20200111155919091"</f>
        <v>20200111155919091</v>
      </c>
      <c r="B3552" t="str">
        <f>"1578729559085916"</f>
        <v>1578729559085916</v>
      </c>
      <c r="C3552" t="s">
        <v>37</v>
      </c>
      <c r="D3552">
        <v>5.5113389999999898</v>
      </c>
      <c r="E3552">
        <v>0.53374239999999995</v>
      </c>
      <c r="F3552" t="s">
        <v>39</v>
      </c>
      <c r="G3552">
        <v>-192.32769999999999</v>
      </c>
      <c r="H3552" s="1">
        <v>-2.5045069999999999E-6</v>
      </c>
      <c r="I3552">
        <v>183.98349999999999</v>
      </c>
      <c r="J3552">
        <v>-191.82830000000001</v>
      </c>
      <c r="K3552">
        <v>1.096889</v>
      </c>
      <c r="L3552">
        <v>203.53039999999999</v>
      </c>
      <c r="M3552">
        <v>0.37067630000000001</v>
      </c>
      <c r="N3552">
        <v>0</v>
      </c>
      <c r="O3552">
        <v>-0.92863600000000002</v>
      </c>
      <c r="P3552">
        <v>6.1739410000000002E-2</v>
      </c>
      <c r="Q3552">
        <v>6.806795E-3</v>
      </c>
      <c r="R3552">
        <v>-0.99806949999999905</v>
      </c>
      <c r="S3552">
        <v>-6.5689090000000006E-2</v>
      </c>
      <c r="T3552">
        <v>-0.16729330000000001</v>
      </c>
      <c r="U3552">
        <v>-3.013687</v>
      </c>
      <c r="V3552">
        <v>0.3130037</v>
      </c>
      <c r="W3552">
        <v>1.559892E-2</v>
      </c>
      <c r="X3552">
        <v>0.94962380000000002</v>
      </c>
      <c r="Y3552">
        <v>0.39082109999999998</v>
      </c>
      <c r="Z3552">
        <v>4.7286559999999998E-2</v>
      </c>
      <c r="AA3552">
        <v>0.91925129999999999</v>
      </c>
      <c r="AB3552">
        <v>20</v>
      </c>
      <c r="AC3552">
        <v>-0.49939999999998003</v>
      </c>
      <c r="AD3552">
        <v>-1.096891504507</v>
      </c>
      <c r="AE3552">
        <v>-19.546899999999901</v>
      </c>
      <c r="AF3552">
        <v>7.6860490212255304</v>
      </c>
      <c r="AG3552">
        <v>-1.096891504507</v>
      </c>
      <c r="AH3552">
        <v>17.912574351743601</v>
      </c>
      <c r="AI3552">
        <v>93.220871965404299</v>
      </c>
      <c r="AJ3552">
        <v>66.776468065172594</v>
      </c>
      <c r="AK3552">
        <v>19.522777477502601</v>
      </c>
    </row>
    <row r="3553" spans="1:37" x14ac:dyDescent="0.2">
      <c r="A3553" t="str">
        <f>"20200111155919114"</f>
        <v>20200111155919114</v>
      </c>
      <c r="B3553" t="str">
        <f>"1578729559105436"</f>
        <v>1578729559105436</v>
      </c>
      <c r="C3553" t="s">
        <v>37</v>
      </c>
      <c r="D3553">
        <v>5.4538349999999998</v>
      </c>
      <c r="E3553">
        <v>0.53298679999999998</v>
      </c>
      <c r="F3553" t="s">
        <v>39</v>
      </c>
      <c r="G3553">
        <v>-192.24879999999999</v>
      </c>
      <c r="H3553" s="1">
        <v>-3.9730379999999997E-6</v>
      </c>
      <c r="I3553">
        <v>187.48949999999999</v>
      </c>
      <c r="J3553">
        <v>-191.7688</v>
      </c>
      <c r="K3553">
        <v>1.0969979999999999</v>
      </c>
      <c r="L3553">
        <v>203.33959999999999</v>
      </c>
      <c r="M3553">
        <v>0.35852000000000001</v>
      </c>
      <c r="N3553">
        <v>0</v>
      </c>
      <c r="O3553">
        <v>-0.93339709999999998</v>
      </c>
      <c r="P3553">
        <v>5.6525010000000001E-2</v>
      </c>
      <c r="Q3553">
        <v>2.4943019999999999E-3</v>
      </c>
      <c r="R3553">
        <v>-0.99839820000000001</v>
      </c>
      <c r="S3553">
        <v>-7.8964229999999996E-2</v>
      </c>
      <c r="T3553">
        <v>-0.20597109999999999</v>
      </c>
      <c r="U3553">
        <v>-3.0121000000000002</v>
      </c>
      <c r="V3553">
        <v>0.30547929999999901</v>
      </c>
      <c r="W3553">
        <v>1.152854E-2</v>
      </c>
      <c r="X3553">
        <v>0.95212889999999994</v>
      </c>
      <c r="Y3553">
        <v>0.38282149999999998</v>
      </c>
      <c r="Z3553">
        <v>5.8802599999999997E-2</v>
      </c>
      <c r="AA3553">
        <v>0.92194900000000002</v>
      </c>
      <c r="AB3553">
        <v>20</v>
      </c>
      <c r="AC3553">
        <v>-0.47999999999998899</v>
      </c>
      <c r="AD3553">
        <v>-1.0970019730379901</v>
      </c>
      <c r="AE3553">
        <v>-15.8500999999999</v>
      </c>
      <c r="AF3553">
        <v>6.1021202057655701</v>
      </c>
      <c r="AG3553">
        <v>-1.0970019730379901</v>
      </c>
      <c r="AH3553">
        <v>14.5543993543161</v>
      </c>
      <c r="AI3553">
        <v>93.976257119191203</v>
      </c>
      <c r="AJ3553">
        <v>67.253501923152996</v>
      </c>
      <c r="AK3553">
        <v>15.8199186122868</v>
      </c>
    </row>
    <row r="3554" spans="1:37" x14ac:dyDescent="0.2">
      <c r="A3554" t="str">
        <f>"20200111155919136"</f>
        <v>20200111155919136</v>
      </c>
      <c r="B3554" t="str">
        <f>"1578729559125932"</f>
        <v>1578729559125932</v>
      </c>
      <c r="C3554" t="s">
        <v>37</v>
      </c>
      <c r="D3554">
        <v>5.5898279999999998</v>
      </c>
      <c r="E3554">
        <v>0.51042419999999999</v>
      </c>
      <c r="F3554" t="s">
        <v>39</v>
      </c>
      <c r="G3554">
        <v>-192.19280000000001</v>
      </c>
      <c r="H3554" s="1">
        <v>-4.4401269999999997E-6</v>
      </c>
      <c r="I3554">
        <v>188.8913</v>
      </c>
      <c r="J3554">
        <v>-191.70869999999999</v>
      </c>
      <c r="K3554">
        <v>1.0971280000000001</v>
      </c>
      <c r="L3554">
        <v>203.13810000000001</v>
      </c>
      <c r="M3554">
        <v>0.34585700000000003</v>
      </c>
      <c r="N3554">
        <v>0</v>
      </c>
      <c r="O3554">
        <v>-0.93816339999999998</v>
      </c>
      <c r="P3554">
        <v>5.1287449999999998E-2</v>
      </c>
      <c r="Q3554">
        <v>-1.1642169999999999E-3</v>
      </c>
      <c r="R3554">
        <v>-0.99868349999999995</v>
      </c>
      <c r="S3554">
        <v>-8.8348389999999999E-2</v>
      </c>
      <c r="T3554">
        <v>-0.22856759999999901</v>
      </c>
      <c r="U3554">
        <v>-3.0103909999999998</v>
      </c>
      <c r="V3554">
        <v>0.29751059999999901</v>
      </c>
      <c r="W3554">
        <v>8.1269480000000002E-3</v>
      </c>
      <c r="X3554">
        <v>0.95468399999999998</v>
      </c>
      <c r="Y3554">
        <v>0.3731679</v>
      </c>
      <c r="Z3554">
        <v>6.5943580000000002E-2</v>
      </c>
      <c r="AA3554">
        <v>0.9254173</v>
      </c>
      <c r="AB3554">
        <v>20</v>
      </c>
      <c r="AC3554">
        <v>-0.48410000000001202</v>
      </c>
      <c r="AD3554">
        <v>-1.097132440127</v>
      </c>
      <c r="AE3554">
        <v>-14.2468</v>
      </c>
      <c r="AF3554">
        <v>5.3504520831971796</v>
      </c>
      <c r="AG3554">
        <v>-1.097132440127</v>
      </c>
      <c r="AH3554">
        <v>13.1222006236571</v>
      </c>
      <c r="AI3554">
        <v>94.427038477748397</v>
      </c>
      <c r="AJ3554">
        <v>67.817290158092803</v>
      </c>
      <c r="AK3554">
        <v>14.213486071097201</v>
      </c>
    </row>
    <row r="3555" spans="1:37" x14ac:dyDescent="0.2">
      <c r="A3555" t="str">
        <f>"20200111155919157"</f>
        <v>20200111155919157</v>
      </c>
      <c r="B3555" t="str">
        <f>"1578729559145454"</f>
        <v>1578729559145454</v>
      </c>
      <c r="C3555" t="s">
        <v>37</v>
      </c>
      <c r="D3555">
        <v>5.5736339999999904</v>
      </c>
      <c r="E3555">
        <v>0.50824320000000001</v>
      </c>
      <c r="F3555" t="s">
        <v>39</v>
      </c>
      <c r="G3555">
        <v>-191.3785</v>
      </c>
      <c r="H3555" s="1">
        <v>-6.0309829999999997E-7</v>
      </c>
      <c r="I3555">
        <v>190.14</v>
      </c>
      <c r="J3555">
        <v>-191.6542</v>
      </c>
      <c r="K3555">
        <v>1.097275</v>
      </c>
      <c r="L3555">
        <v>202.94730000000001</v>
      </c>
      <c r="M3555">
        <v>0.33406989999999998</v>
      </c>
      <c r="N3555">
        <v>0</v>
      </c>
      <c r="O3555">
        <v>-0.94242579999999998</v>
      </c>
      <c r="P3555">
        <v>4.7401069999999997E-2</v>
      </c>
      <c r="Q3555">
        <v>-4.5937749999999996E-3</v>
      </c>
      <c r="R3555">
        <v>-0.99886540000000001</v>
      </c>
      <c r="S3555">
        <v>7.6202389999999995E-2</v>
      </c>
      <c r="T3555">
        <v>-0.25320009999999998</v>
      </c>
      <c r="U3555">
        <v>-2.9997560000000001</v>
      </c>
      <c r="V3555">
        <v>0.28918139999999998</v>
      </c>
      <c r="W3555">
        <v>4.9570049999999996E-3</v>
      </c>
      <c r="X3555">
        <v>0.95726149999999999</v>
      </c>
      <c r="Y3555">
        <v>0.31011070000000002</v>
      </c>
      <c r="Z3555">
        <v>7.4792029999999995E-2</v>
      </c>
      <c r="AA3555">
        <v>0.94775390000000004</v>
      </c>
      <c r="AB3555">
        <v>20</v>
      </c>
      <c r="AC3555">
        <v>0.2757</v>
      </c>
      <c r="AD3555">
        <v>-1.0972756030983</v>
      </c>
      <c r="AE3555">
        <v>-12.8073</v>
      </c>
      <c r="AF3555">
        <v>3.9898970616403302</v>
      </c>
      <c r="AG3555">
        <v>-1.0972756030983</v>
      </c>
      <c r="AH3555">
        <v>12.0748450160178</v>
      </c>
      <c r="AI3555">
        <v>94.931517948839897</v>
      </c>
      <c r="AJ3555">
        <v>71.714869455594695</v>
      </c>
      <c r="AK3555">
        <v>12.7642146046081</v>
      </c>
    </row>
    <row r="3556" spans="1:37" x14ac:dyDescent="0.2">
      <c r="A3556" t="str">
        <f>"20200111155919180"</f>
        <v>20200111155919180</v>
      </c>
      <c r="B3556" t="str">
        <f>"1578729559175709"</f>
        <v>1578729559175709</v>
      </c>
      <c r="C3556" t="s">
        <v>37</v>
      </c>
      <c r="D3556">
        <v>5.5513560000000002</v>
      </c>
      <c r="E3556">
        <v>0.50656219999999996</v>
      </c>
      <c r="F3556" t="s">
        <v>39</v>
      </c>
      <c r="G3556">
        <v>-191.31129999999999</v>
      </c>
      <c r="H3556" s="1">
        <v>-7.2066339999999899E-7</v>
      </c>
      <c r="I3556">
        <v>190.45570000000001</v>
      </c>
      <c r="J3556">
        <v>-191.5992</v>
      </c>
      <c r="K3556">
        <v>1.0974549999999901</v>
      </c>
      <c r="L3556">
        <v>202.74599999999899</v>
      </c>
      <c r="M3556">
        <v>0.32185970000000003</v>
      </c>
      <c r="N3556">
        <v>0</v>
      </c>
      <c r="O3556">
        <v>-0.94666640000000002</v>
      </c>
      <c r="P3556">
        <v>4.3136340000000002E-2</v>
      </c>
      <c r="Q3556">
        <v>-6.7506509999999999E-3</v>
      </c>
      <c r="R3556">
        <v>-0.99904669999999896</v>
      </c>
      <c r="S3556">
        <v>8.2305909999999996E-2</v>
      </c>
      <c r="T3556">
        <v>-0.26337119999999897</v>
      </c>
      <c r="U3556">
        <v>-2.9982759999999899</v>
      </c>
      <c r="V3556">
        <v>0.2808406</v>
      </c>
      <c r="W3556">
        <v>3.0620690000000002E-3</v>
      </c>
      <c r="X3556">
        <v>0.95974950000000003</v>
      </c>
      <c r="Y3556">
        <v>0.29585620000000001</v>
      </c>
      <c r="Z3556">
        <v>7.8564330000000002E-2</v>
      </c>
      <c r="AA3556">
        <v>0.95199619999999996</v>
      </c>
      <c r="AB3556">
        <v>20</v>
      </c>
      <c r="AC3556">
        <v>0.28790000000000698</v>
      </c>
      <c r="AD3556">
        <v>-1.0974557206633999</v>
      </c>
      <c r="AE3556">
        <v>-12.290299999999901</v>
      </c>
      <c r="AF3556">
        <v>3.6545057020969098</v>
      </c>
      <c r="AG3556">
        <v>-1.0974557206633999</v>
      </c>
      <c r="AH3556">
        <v>11.6360913450638</v>
      </c>
      <c r="AI3556">
        <v>95.141706064508796</v>
      </c>
      <c r="AJ3556">
        <v>72.564246745671795</v>
      </c>
      <c r="AK3556">
        <v>12.245752029832399</v>
      </c>
    </row>
    <row r="3557" spans="1:37" x14ac:dyDescent="0.2">
      <c r="A3557" t="str">
        <f>"20200111155919203"</f>
        <v>20200111155919203</v>
      </c>
      <c r="B3557" t="str">
        <f>"1578729559195228"</f>
        <v>1578729559195228</v>
      </c>
      <c r="C3557" t="s">
        <v>37</v>
      </c>
      <c r="D3557">
        <v>5.5197620000000001</v>
      </c>
      <c r="E3557">
        <v>0.50667989999999996</v>
      </c>
      <c r="F3557" t="s">
        <v>39</v>
      </c>
      <c r="G3557">
        <v>-191.23849999999999</v>
      </c>
      <c r="H3557" s="1">
        <v>-3.6616879999999999E-7</v>
      </c>
      <c r="I3557">
        <v>189.67449999999999</v>
      </c>
      <c r="J3557">
        <v>-191.54490000000001</v>
      </c>
      <c r="K3557">
        <v>1.0976539999999999</v>
      </c>
      <c r="L3557">
        <v>202.53799999999899</v>
      </c>
      <c r="M3557">
        <v>0.309504</v>
      </c>
      <c r="N3557">
        <v>0</v>
      </c>
      <c r="O3557">
        <v>-0.95077869999999998</v>
      </c>
      <c r="P3557">
        <v>3.8994769999999998E-2</v>
      </c>
      <c r="Q3557">
        <v>-6.9630439999999998E-3</v>
      </c>
      <c r="R3557">
        <v>-0.99921519999999997</v>
      </c>
      <c r="S3557">
        <v>8.2702639999999994E-2</v>
      </c>
      <c r="T3557">
        <v>-0.25167020000000001</v>
      </c>
      <c r="U3557">
        <v>-2.9975740000000002</v>
      </c>
      <c r="V3557">
        <v>0.27230369999999998</v>
      </c>
      <c r="W3557">
        <v>3.1121359999999902E-3</v>
      </c>
      <c r="X3557">
        <v>0.96220629999999996</v>
      </c>
      <c r="Y3557">
        <v>0.28325709999999998</v>
      </c>
      <c r="Z3557">
        <v>7.5789079999999995E-2</v>
      </c>
      <c r="AA3557">
        <v>0.95604469999999997</v>
      </c>
      <c r="AB3557">
        <v>20</v>
      </c>
      <c r="AC3557">
        <v>0.30640000000002399</v>
      </c>
      <c r="AD3557">
        <v>-1.0976543661688001</v>
      </c>
      <c r="AE3557">
        <v>-12.863499999999901</v>
      </c>
      <c r="AF3557">
        <v>3.66374331655661</v>
      </c>
      <c r="AG3557">
        <v>-1.0976543661688001</v>
      </c>
      <c r="AH3557">
        <v>12.237518490908201</v>
      </c>
      <c r="AI3557">
        <v>94.911220946870003</v>
      </c>
      <c r="AJ3557">
        <v>73.333029188792906</v>
      </c>
      <c r="AK3557">
        <v>12.8212604299462</v>
      </c>
    </row>
    <row r="3558" spans="1:37" x14ac:dyDescent="0.2">
      <c r="A3558" t="str">
        <f>"20200111155919224"</f>
        <v>20200111155919224</v>
      </c>
      <c r="B3558" t="str">
        <f>"1578729559215724"</f>
        <v>1578729559215724</v>
      </c>
      <c r="C3558" t="s">
        <v>37</v>
      </c>
      <c r="D3558">
        <v>5.5491910000000004</v>
      </c>
      <c r="E3558">
        <v>0.5057159</v>
      </c>
      <c r="F3558" t="s">
        <v>39</v>
      </c>
      <c r="G3558">
        <v>-191.2218</v>
      </c>
      <c r="H3558" s="1">
        <v>-4.1574369999999997E-6</v>
      </c>
      <c r="I3558">
        <v>188.5667</v>
      </c>
      <c r="J3558">
        <v>-191.49700000000001</v>
      </c>
      <c r="K3558">
        <v>1.0978589999999999</v>
      </c>
      <c r="L3558">
        <v>202.3459</v>
      </c>
      <c r="M3558">
        <v>0.29834260000000001</v>
      </c>
      <c r="N3558">
        <v>0</v>
      </c>
      <c r="O3558">
        <v>-0.95434050000000004</v>
      </c>
      <c r="P3558">
        <v>3.5931629999999999E-2</v>
      </c>
      <c r="Q3558">
        <v>-5.9777149999999998E-3</v>
      </c>
      <c r="R3558">
        <v>-0.99933639999999901</v>
      </c>
      <c r="S3558">
        <v>6.9320679999999996E-2</v>
      </c>
      <c r="T3558">
        <v>-0.2355409</v>
      </c>
      <c r="U3558">
        <v>-2.9980159999999998</v>
      </c>
      <c r="V3558">
        <v>0.26398539999999998</v>
      </c>
      <c r="W3558">
        <v>4.3395059999999999E-3</v>
      </c>
      <c r="X3558">
        <v>0.96451690000000001</v>
      </c>
      <c r="Y3558">
        <v>0.2762772</v>
      </c>
      <c r="Z3558">
        <v>7.1450760000000002E-2</v>
      </c>
      <c r="AA3558">
        <v>0.9584184</v>
      </c>
      <c r="AB3558">
        <v>20</v>
      </c>
      <c r="AC3558">
        <v>0.27520000000001199</v>
      </c>
      <c r="AD3558">
        <v>-1.0978631574369999</v>
      </c>
      <c r="AE3558">
        <v>-13.779199999999999</v>
      </c>
      <c r="AF3558">
        <v>3.8244539957900598</v>
      </c>
      <c r="AG3558">
        <v>-1.0978631574369999</v>
      </c>
      <c r="AH3558">
        <v>13.150200946611699</v>
      </c>
      <c r="AI3558">
        <v>94.583314596117901</v>
      </c>
      <c r="AJ3558">
        <v>73.784060500889694</v>
      </c>
      <c r="AK3558">
        <v>13.738978739871399</v>
      </c>
    </row>
    <row r="3559" spans="1:37" x14ac:dyDescent="0.2">
      <c r="A3559" t="str">
        <f>"20200111155919246"</f>
        <v>20200111155919246</v>
      </c>
      <c r="B3559" t="str">
        <f>"1578729559235244"</f>
        <v>1578729559235244</v>
      </c>
      <c r="C3559" t="s">
        <v>37</v>
      </c>
      <c r="D3559">
        <v>5.631418</v>
      </c>
      <c r="E3559">
        <v>0.50515880000000002</v>
      </c>
      <c r="F3559" t="s">
        <v>39</v>
      </c>
      <c r="G3559">
        <v>-191.16919999999999</v>
      </c>
      <c r="H3559" s="1">
        <v>-3.8940910000000001E-6</v>
      </c>
      <c r="I3559">
        <v>187.94110000000001</v>
      </c>
      <c r="J3559">
        <v>-191.4502</v>
      </c>
      <c r="K3559">
        <v>1.098058</v>
      </c>
      <c r="L3559">
        <v>202.14940000000001</v>
      </c>
      <c r="M3559">
        <v>0.28717219999999999</v>
      </c>
      <c r="N3559">
        <v>0</v>
      </c>
      <c r="O3559">
        <v>-0.95776209999999995</v>
      </c>
      <c r="P3559">
        <v>3.228454E-2</v>
      </c>
      <c r="Q3559">
        <v>-3.3494890000000002E-3</v>
      </c>
      <c r="R3559">
        <v>-0.99947330000000001</v>
      </c>
      <c r="S3559">
        <v>6.8222050000000006E-2</v>
      </c>
      <c r="T3559">
        <v>-0.2285045</v>
      </c>
      <c r="U3559">
        <v>-2.998154</v>
      </c>
      <c r="V3559">
        <v>0.25626949999999998</v>
      </c>
      <c r="W3559">
        <v>7.1842700000000004E-3</v>
      </c>
      <c r="X3559">
        <v>0.96657870000000001</v>
      </c>
      <c r="Y3559">
        <v>0.26538229999999902</v>
      </c>
      <c r="Z3559">
        <v>6.983085E-2</v>
      </c>
      <c r="AA3559">
        <v>0.96161109999999905</v>
      </c>
      <c r="AB3559">
        <v>20</v>
      </c>
      <c r="AC3559">
        <v>0.28100000000000502</v>
      </c>
      <c r="AD3559">
        <v>-1.0980618940910001</v>
      </c>
      <c r="AE3559">
        <v>-14.208299999999999</v>
      </c>
      <c r="AF3559">
        <v>3.7889032521438502</v>
      </c>
      <c r="AG3559">
        <v>-1.0980618940910001</v>
      </c>
      <c r="AH3559">
        <v>13.609147938266601</v>
      </c>
      <c r="AI3559">
        <v>94.444626079804493</v>
      </c>
      <c r="AJ3559">
        <v>74.442342323210298</v>
      </c>
      <c r="AK3559">
        <v>14.1693484459585</v>
      </c>
    </row>
    <row r="3560" spans="1:37" x14ac:dyDescent="0.2">
      <c r="A3560" t="str">
        <f>"20200111155919269"</f>
        <v>20200111155919269</v>
      </c>
      <c r="B3560" t="str">
        <f>"1578729559265500"</f>
        <v>1578729559265500</v>
      </c>
      <c r="C3560" t="s">
        <v>37</v>
      </c>
      <c r="D3560">
        <v>5.6442540000000001</v>
      </c>
      <c r="E3560">
        <v>0.50452829999999904</v>
      </c>
      <c r="F3560" t="s">
        <v>39</v>
      </c>
      <c r="G3560">
        <v>-191.13650000000001</v>
      </c>
      <c r="H3560" s="1">
        <v>-3.530373E-6</v>
      </c>
      <c r="I3560">
        <v>187.11359999999999</v>
      </c>
      <c r="J3560">
        <v>-191.4034</v>
      </c>
      <c r="K3560">
        <v>1.098252</v>
      </c>
      <c r="L3560">
        <v>201.94290000000001</v>
      </c>
      <c r="M3560">
        <v>0.2756922</v>
      </c>
      <c r="N3560">
        <v>0</v>
      </c>
      <c r="O3560">
        <v>-0.96113059999999995</v>
      </c>
      <c r="P3560">
        <v>2.7432809999999998E-2</v>
      </c>
      <c r="Q3560">
        <v>-4.7231930000000001E-4</v>
      </c>
      <c r="R3560">
        <v>-0.99962399999999996</v>
      </c>
      <c r="S3560">
        <v>6.2576290000000007E-2</v>
      </c>
      <c r="T3560">
        <v>-0.21900449999999999</v>
      </c>
      <c r="U3560">
        <v>-2.9988250000000001</v>
      </c>
      <c r="V3560">
        <v>0.249430499999999</v>
      </c>
      <c r="W3560">
        <v>1.024402E-2</v>
      </c>
      <c r="X3560">
        <v>0.96833849999999999</v>
      </c>
      <c r="Y3560">
        <v>0.25564589999999998</v>
      </c>
      <c r="Z3560">
        <v>6.739175E-2</v>
      </c>
      <c r="AA3560">
        <v>0.96441880000000002</v>
      </c>
      <c r="AB3560">
        <v>20</v>
      </c>
      <c r="AC3560">
        <v>0.26689999999999198</v>
      </c>
      <c r="AD3560">
        <v>-1.0982555303729999</v>
      </c>
      <c r="AE3560">
        <v>-14.8293</v>
      </c>
      <c r="AF3560">
        <v>3.8113237588251798</v>
      </c>
      <c r="AG3560">
        <v>-1.0982555303729999</v>
      </c>
      <c r="AH3560">
        <v>14.249931625663599</v>
      </c>
      <c r="AI3560">
        <v>94.258035262374705</v>
      </c>
      <c r="AJ3560">
        <v>75.026015283782002</v>
      </c>
      <c r="AK3560">
        <v>14.7916498518816</v>
      </c>
    </row>
    <row r="3561" spans="1:37" x14ac:dyDescent="0.2">
      <c r="A3561" t="str">
        <f>"20200111155919292"</f>
        <v>20200111155919292</v>
      </c>
      <c r="B3561" t="str">
        <f>"1578729559285997"</f>
        <v>1578729559285997</v>
      </c>
      <c r="C3561" t="s">
        <v>37</v>
      </c>
      <c r="D3561">
        <v>6.202826</v>
      </c>
      <c r="E3561">
        <v>0.49644880000000002</v>
      </c>
      <c r="F3561" t="s">
        <v>39</v>
      </c>
      <c r="G3561">
        <v>-191.1045</v>
      </c>
      <c r="H3561" s="1">
        <v>-2.6889280000000001E-6</v>
      </c>
      <c r="I3561">
        <v>185.172</v>
      </c>
      <c r="J3561">
        <v>-191.35900000000001</v>
      </c>
      <c r="K3561">
        <v>1.0984100000000001</v>
      </c>
      <c r="L3561">
        <v>201.7371</v>
      </c>
      <c r="M3561">
        <v>0.26445809999999997</v>
      </c>
      <c r="N3561">
        <v>0</v>
      </c>
      <c r="O3561">
        <v>-0.9642828</v>
      </c>
      <c r="P3561">
        <v>2.3021E-2</v>
      </c>
      <c r="Q3561">
        <v>2.097097E-3</v>
      </c>
      <c r="R3561">
        <v>-0.99973289999999904</v>
      </c>
      <c r="S3561">
        <v>5.3451539999999999E-2</v>
      </c>
      <c r="T3561">
        <v>-0.19642970000000001</v>
      </c>
      <c r="U3561">
        <v>-2.9995729999999998</v>
      </c>
      <c r="V3561">
        <v>0.24243049999999999</v>
      </c>
      <c r="W3561">
        <v>1.29742E-2</v>
      </c>
      <c r="X3561">
        <v>0.970082</v>
      </c>
      <c r="Y3561">
        <v>0.24728809999999901</v>
      </c>
      <c r="Z3561">
        <v>6.0841199999999901E-2</v>
      </c>
      <c r="AA3561">
        <v>0.9670299</v>
      </c>
      <c r="AB3561">
        <v>20</v>
      </c>
      <c r="AC3561">
        <v>0.254500000000007</v>
      </c>
      <c r="AD3561">
        <v>-1.0984126889279999</v>
      </c>
      <c r="AE3561">
        <v>-16.565100000000001</v>
      </c>
      <c r="AF3561">
        <v>4.11772031493041</v>
      </c>
      <c r="AG3561">
        <v>-1.0984126889279999</v>
      </c>
      <c r="AH3561">
        <v>15.972303681089301</v>
      </c>
      <c r="AI3561">
        <v>93.809842512052498</v>
      </c>
      <c r="AJ3561">
        <v>75.543712911171895</v>
      </c>
      <c r="AK3561">
        <v>16.5310803006981</v>
      </c>
    </row>
    <row r="3562" spans="1:37" x14ac:dyDescent="0.2">
      <c r="A3562" t="str">
        <f>"20200111155919314"</f>
        <v>20200111155919314</v>
      </c>
      <c r="B3562" t="str">
        <f>"1578729559305516"</f>
        <v>1578729559305516</v>
      </c>
      <c r="C3562" t="s">
        <v>37</v>
      </c>
      <c r="D3562">
        <v>5.6634099999999998</v>
      </c>
      <c r="E3562">
        <v>0.49544309999999903</v>
      </c>
      <c r="F3562" t="s">
        <v>71</v>
      </c>
      <c r="G3562">
        <v>-188.8843</v>
      </c>
      <c r="H3562" s="1">
        <v>-3.8568290000000002E-6</v>
      </c>
      <c r="I3562">
        <v>127.1121</v>
      </c>
      <c r="J3562">
        <v>-191.3185</v>
      </c>
      <c r="K3562">
        <v>1.0985400000000001</v>
      </c>
      <c r="L3562">
        <v>201.5394</v>
      </c>
      <c r="M3562">
        <v>0.25383319999999998</v>
      </c>
      <c r="N3562">
        <v>0</v>
      </c>
      <c r="O3562">
        <v>-0.96713479999999996</v>
      </c>
      <c r="P3562">
        <v>1.9573340000000002E-2</v>
      </c>
      <c r="Q3562">
        <v>5.3878279999999999E-3</v>
      </c>
      <c r="R3562">
        <v>-0.99979409999999902</v>
      </c>
      <c r="S3562">
        <v>9.944153E-2</v>
      </c>
      <c r="T3562">
        <v>-4.4137120000000002E-2</v>
      </c>
      <c r="U3562">
        <v>-2.9986269999999999</v>
      </c>
      <c r="V3562">
        <v>0.2351355</v>
      </c>
      <c r="W3562">
        <v>1.6413259999999999E-2</v>
      </c>
      <c r="X3562">
        <v>0.97182400000000002</v>
      </c>
      <c r="Y3562">
        <v>0.2216661</v>
      </c>
      <c r="Z3562">
        <v>1.380851E-2</v>
      </c>
      <c r="AA3562">
        <v>0.97502489999999997</v>
      </c>
      <c r="AB3562">
        <v>20</v>
      </c>
      <c r="AC3562">
        <v>2.4342000000000001</v>
      </c>
      <c r="AD3562">
        <v>-1.098543856829</v>
      </c>
      <c r="AE3562">
        <v>-74.427300000000002</v>
      </c>
      <c r="AF3562">
        <v>16.5361326210536</v>
      </c>
      <c r="AG3562">
        <v>-1.098543856829</v>
      </c>
      <c r="AH3562">
        <v>72.591265475352799</v>
      </c>
      <c r="AI3562">
        <v>90.845353985524497</v>
      </c>
      <c r="AJ3562">
        <v>77.167128821289893</v>
      </c>
      <c r="AK3562">
        <v>74.458997468268393</v>
      </c>
    </row>
    <row r="3563" spans="1:37" x14ac:dyDescent="0.2">
      <c r="A3563" t="str">
        <f>"20200111155919336"</f>
        <v>20200111155919336</v>
      </c>
      <c r="B3563" t="str">
        <f>"1578729559325410"</f>
        <v>1578729559325410</v>
      </c>
      <c r="C3563" t="s">
        <v>37</v>
      </c>
      <c r="D3563">
        <v>5.6485320000000003</v>
      </c>
      <c r="E3563">
        <v>0.49555840000000001</v>
      </c>
      <c r="F3563" t="s">
        <v>71</v>
      </c>
      <c r="G3563">
        <v>-189.0616</v>
      </c>
      <c r="H3563" s="1">
        <v>-5.7473059999999998E-6</v>
      </c>
      <c r="I3563">
        <v>132.25389999999999</v>
      </c>
      <c r="J3563">
        <v>-191.28110000000001</v>
      </c>
      <c r="K3563">
        <v>1.098662</v>
      </c>
      <c r="L3563">
        <v>201.3476</v>
      </c>
      <c r="M3563">
        <v>0.2436855</v>
      </c>
      <c r="N3563">
        <v>0</v>
      </c>
      <c r="O3563">
        <v>-0.96974210000000005</v>
      </c>
      <c r="P3563">
        <v>1.612889E-2</v>
      </c>
      <c r="Q3563">
        <v>8.4594579999999996E-3</v>
      </c>
      <c r="R3563">
        <v>-0.99983440000000001</v>
      </c>
      <c r="S3563">
        <v>9.7686770000000006E-2</v>
      </c>
      <c r="T3563">
        <v>-4.7549609999999999E-2</v>
      </c>
      <c r="U3563">
        <v>-2.9989619999999899</v>
      </c>
      <c r="V3563">
        <v>0.22832759999999999</v>
      </c>
      <c r="W3563">
        <v>1.9616600000000001E-2</v>
      </c>
      <c r="X3563">
        <v>0.97338670000000005</v>
      </c>
      <c r="Y3563">
        <v>0.2120117</v>
      </c>
      <c r="Z3563">
        <v>1.495317E-2</v>
      </c>
      <c r="AA3563">
        <v>0.97715269999999999</v>
      </c>
      <c r="AB3563">
        <v>20</v>
      </c>
      <c r="AC3563">
        <v>2.2195000000000098</v>
      </c>
      <c r="AD3563">
        <v>-1.098667747306</v>
      </c>
      <c r="AE3563">
        <v>-69.093699999999998</v>
      </c>
      <c r="AF3563">
        <v>14.682679847073301</v>
      </c>
      <c r="AG3563">
        <v>-1.098667747306</v>
      </c>
      <c r="AH3563">
        <v>67.534222770142307</v>
      </c>
      <c r="AI3563">
        <v>90.910751098968603</v>
      </c>
      <c r="AJ3563">
        <v>77.734151201455703</v>
      </c>
      <c r="AK3563">
        <v>69.120614895108005</v>
      </c>
    </row>
    <row r="3564" spans="1:37" x14ac:dyDescent="0.2">
      <c r="A3564" t="str">
        <f>"20200111155919358"</f>
        <v>20200111155919358</v>
      </c>
      <c r="B3564" t="str">
        <f>"1578729559355667"</f>
        <v>1578729559355667</v>
      </c>
      <c r="C3564" t="s">
        <v>37</v>
      </c>
      <c r="D3564">
        <v>5.700704</v>
      </c>
      <c r="E3564">
        <v>0.49881989999999998</v>
      </c>
      <c r="F3564" t="s">
        <v>71</v>
      </c>
      <c r="G3564">
        <v>-188.9469</v>
      </c>
      <c r="H3564" s="1">
        <v>-6.2279309999999995E-7</v>
      </c>
      <c r="I3564">
        <v>120.4956</v>
      </c>
      <c r="J3564">
        <v>-191.24340000000001</v>
      </c>
      <c r="K3564">
        <v>1.0987959999999899</v>
      </c>
      <c r="L3564">
        <v>201.14410000000001</v>
      </c>
      <c r="M3564">
        <v>0.23309050000000001</v>
      </c>
      <c r="N3564">
        <v>0</v>
      </c>
      <c r="O3564">
        <v>-0.97234419999999899</v>
      </c>
      <c r="P3564">
        <v>1.2006889999999999E-2</v>
      </c>
      <c r="Q3564">
        <v>1.13589E-2</v>
      </c>
      <c r="R3564">
        <v>-0.99986350000000002</v>
      </c>
      <c r="S3564">
        <v>8.6593630000000005E-2</v>
      </c>
      <c r="T3564">
        <v>-4.0758490000000001E-2</v>
      </c>
      <c r="U3564">
        <v>-2.999466</v>
      </c>
      <c r="V3564">
        <v>0.2217413</v>
      </c>
      <c r="W3564">
        <v>2.2641459999999999E-2</v>
      </c>
      <c r="X3564">
        <v>0.974842599999999</v>
      </c>
      <c r="Y3564">
        <v>0.2049581</v>
      </c>
      <c r="Z3564">
        <v>1.287956E-2</v>
      </c>
      <c r="AA3564">
        <v>0.97868599999999994</v>
      </c>
      <c r="AB3564">
        <v>20</v>
      </c>
      <c r="AC3564">
        <v>2.2965</v>
      </c>
      <c r="AD3564">
        <v>-1.0987966227931001</v>
      </c>
      <c r="AE3564">
        <v>-80.648499999999999</v>
      </c>
      <c r="AF3564">
        <v>16.564124307429701</v>
      </c>
      <c r="AG3564">
        <v>-1.0987966227931001</v>
      </c>
      <c r="AH3564">
        <v>78.947262232673694</v>
      </c>
      <c r="AI3564">
        <v>90.780407325721697</v>
      </c>
      <c r="AJ3564">
        <v>78.150509185526303</v>
      </c>
      <c r="AK3564">
        <v>80.673711840504794</v>
      </c>
    </row>
    <row r="3565" spans="1:37" x14ac:dyDescent="0.2">
      <c r="A3565" t="str">
        <f>"20200111155919381"</f>
        <v>20200111155919381</v>
      </c>
      <c r="B3565" t="str">
        <f>"1578729559375186"</f>
        <v>1578729559375186</v>
      </c>
      <c r="C3565" t="s">
        <v>37</v>
      </c>
      <c r="D3565">
        <v>5.6794570000000002</v>
      </c>
      <c r="E3565">
        <v>0.49742839999999999</v>
      </c>
      <c r="F3565" t="s">
        <v>39</v>
      </c>
      <c r="G3565">
        <v>-190.97200000000001</v>
      </c>
      <c r="H3565" s="1">
        <v>-3.24456599999999E-6</v>
      </c>
      <c r="I3565">
        <v>186.54939999999999</v>
      </c>
      <c r="J3565">
        <v>-191.20830000000001</v>
      </c>
      <c r="K3565">
        <v>1.09892099999999</v>
      </c>
      <c r="L3565">
        <v>200.94309999999999</v>
      </c>
      <c r="M3565">
        <v>0.22278319999999999</v>
      </c>
      <c r="N3565">
        <v>0</v>
      </c>
      <c r="O3565">
        <v>-0.97475789999999995</v>
      </c>
      <c r="P3565">
        <v>4.846726E-3</v>
      </c>
      <c r="Q3565">
        <v>1.2549899999999999E-2</v>
      </c>
      <c r="R3565">
        <v>-0.99990959999999995</v>
      </c>
      <c r="S3565">
        <v>5.5831909999999998E-2</v>
      </c>
      <c r="T3565">
        <v>-0.22603679999999901</v>
      </c>
      <c r="U3565">
        <v>-3.002319</v>
      </c>
      <c r="V3565">
        <v>0.21840519999999999</v>
      </c>
      <c r="W3565">
        <v>2.3903779999999999E-2</v>
      </c>
      <c r="X3565">
        <v>0.97556540000000003</v>
      </c>
      <c r="Y3565">
        <v>0.2046849</v>
      </c>
      <c r="Z3565">
        <v>7.1448070000000002E-2</v>
      </c>
      <c r="AA3565">
        <v>0.9762168</v>
      </c>
      <c r="AB3565">
        <v>20</v>
      </c>
      <c r="AC3565">
        <v>0.23629999999999901</v>
      </c>
      <c r="AD3565">
        <v>-1.0989242445659999</v>
      </c>
      <c r="AE3565">
        <v>-14.3936999999999</v>
      </c>
      <c r="AF3565">
        <v>2.9594131542954201</v>
      </c>
      <c r="AG3565">
        <v>-1.0989242445659999</v>
      </c>
      <c r="AH3565">
        <v>14.0029279569686</v>
      </c>
      <c r="AI3565">
        <v>94.390678025646906</v>
      </c>
      <c r="AJ3565">
        <v>78.066572636645802</v>
      </c>
      <c r="AK3565">
        <v>14.354363520587199</v>
      </c>
    </row>
    <row r="3566" spans="1:37" x14ac:dyDescent="0.2">
      <c r="A3566" t="str">
        <f>"20200111155919404"</f>
        <v>20200111155919404</v>
      </c>
      <c r="B3566" t="str">
        <f>"1578729559395682"</f>
        <v>1578729559395682</v>
      </c>
      <c r="C3566" t="s">
        <v>37</v>
      </c>
      <c r="D3566">
        <v>5.6829720000000004</v>
      </c>
      <c r="E3566">
        <v>0.49535039999999902</v>
      </c>
      <c r="F3566" t="s">
        <v>39</v>
      </c>
      <c r="G3566">
        <v>-190.98310000000001</v>
      </c>
      <c r="H3566" s="1">
        <v>-2.9986829999999999E-6</v>
      </c>
      <c r="I3566">
        <v>185.96940000000001</v>
      </c>
      <c r="J3566">
        <v>-191.17349999999999</v>
      </c>
      <c r="K3566">
        <v>1.099065</v>
      </c>
      <c r="L3566">
        <v>200.73249999999999</v>
      </c>
      <c r="M3566">
        <v>0.2121458</v>
      </c>
      <c r="N3566">
        <v>0</v>
      </c>
      <c r="O3566">
        <v>-0.97712889999999997</v>
      </c>
      <c r="P3566">
        <v>7.4498360000000005E-4</v>
      </c>
      <c r="Q3566">
        <v>1.4300119999999999E-2</v>
      </c>
      <c r="R3566">
        <v>-0.99989749999999999</v>
      </c>
      <c r="S3566">
        <v>4.5166020000000001E-2</v>
      </c>
      <c r="T3566">
        <v>-0.22037680000000001</v>
      </c>
      <c r="U3566">
        <v>-3.0028229999999998</v>
      </c>
      <c r="V3566">
        <v>0.21177739999999901</v>
      </c>
      <c r="W3566">
        <v>2.57848E-2</v>
      </c>
      <c r="X3566">
        <v>0.97697769999999995</v>
      </c>
      <c r="Y3566">
        <v>0.1974794</v>
      </c>
      <c r="Z3566">
        <v>6.9972560000000003E-2</v>
      </c>
      <c r="AA3566">
        <v>0.97780659999999897</v>
      </c>
      <c r="AB3566">
        <v>20</v>
      </c>
      <c r="AC3566">
        <v>0.190399999999982</v>
      </c>
      <c r="AD3566">
        <v>-1.0990679986830001</v>
      </c>
      <c r="AE3566">
        <v>-14.7630999999999</v>
      </c>
      <c r="AF3566">
        <v>2.9299623273502702</v>
      </c>
      <c r="AG3566">
        <v>-1.0990679986830001</v>
      </c>
      <c r="AH3566">
        <v>14.3876588631605</v>
      </c>
      <c r="AI3566">
        <v>94.280794004508707</v>
      </c>
      <c r="AJ3566">
        <v>78.489445970165406</v>
      </c>
      <c r="AK3566">
        <v>14.7240401136408</v>
      </c>
    </row>
    <row r="3567" spans="1:37" x14ac:dyDescent="0.2">
      <c r="A3567" t="str">
        <f>"20200111155919440"</f>
        <v>20200111155919440</v>
      </c>
      <c r="B3567" t="str">
        <f>"1578729559435700"</f>
        <v>1578729559435700</v>
      </c>
      <c r="C3567" t="s">
        <v>37</v>
      </c>
      <c r="D3567">
        <v>5.6622919999999999</v>
      </c>
      <c r="E3567">
        <v>0.49412699999999998</v>
      </c>
      <c r="F3567" t="s">
        <v>39</v>
      </c>
      <c r="G3567">
        <v>-190.91030000000001</v>
      </c>
      <c r="H3567" s="1">
        <v>-2.3225549999999998E-6</v>
      </c>
      <c r="I3567">
        <v>184.4384</v>
      </c>
      <c r="J3567">
        <v>-191.12299999999999</v>
      </c>
      <c r="K3567">
        <v>1.099305</v>
      </c>
      <c r="L3567">
        <v>200.39930000000001</v>
      </c>
      <c r="M3567">
        <v>0.1957605</v>
      </c>
      <c r="N3567">
        <v>0</v>
      </c>
      <c r="O3567">
        <v>-0.98054419999999898</v>
      </c>
      <c r="P3567">
        <v>-6.2611539999999997E-3</v>
      </c>
      <c r="Q3567">
        <v>1.5719999999999901E-2</v>
      </c>
      <c r="R3567">
        <v>-0.9998572</v>
      </c>
      <c r="S3567">
        <v>4.8507689999999999E-2</v>
      </c>
      <c r="T3567">
        <v>-0.20256959999999999</v>
      </c>
      <c r="U3567">
        <v>-3.0031590000000001</v>
      </c>
      <c r="V3567">
        <v>0.20225579999999899</v>
      </c>
      <c r="W3567">
        <v>2.7395940000000001E-2</v>
      </c>
      <c r="X3567">
        <v>0.97894950000000003</v>
      </c>
      <c r="Y3567">
        <v>0.179949</v>
      </c>
      <c r="Z3567">
        <v>6.4794760000000007E-2</v>
      </c>
      <c r="AA3567">
        <v>0.98153959999999996</v>
      </c>
      <c r="AB3567">
        <v>20</v>
      </c>
      <c r="AC3567">
        <v>0.21269999999998301</v>
      </c>
      <c r="AD3567">
        <v>-1.0993073225550001</v>
      </c>
      <c r="AE3567">
        <v>-15.960900000000001</v>
      </c>
      <c r="AF3567">
        <v>2.90249323542601</v>
      </c>
      <c r="AG3567">
        <v>-1.0993073225550001</v>
      </c>
      <c r="AH3567">
        <v>15.619578643035799</v>
      </c>
      <c r="AI3567">
        <v>93.958303319139603</v>
      </c>
      <c r="AJ3567">
        <v>79.473136902762107</v>
      </c>
      <c r="AK3567">
        <v>15.9249546485099</v>
      </c>
    </row>
    <row r="3568" spans="1:37" x14ac:dyDescent="0.2">
      <c r="A3568" t="str">
        <f>"20200111155919460"</f>
        <v>20200111155919460</v>
      </c>
      <c r="B3568" t="str">
        <f>"1578729559455218"</f>
        <v>1578729559455218</v>
      </c>
      <c r="C3568" t="s">
        <v>37</v>
      </c>
      <c r="D3568">
        <v>5.6473459999999998</v>
      </c>
      <c r="E3568">
        <v>0.49371199999999998</v>
      </c>
      <c r="F3568" t="s">
        <v>39</v>
      </c>
      <c r="G3568">
        <v>-190.91239999999999</v>
      </c>
      <c r="H3568" s="1">
        <v>-1.7921519999999999E-6</v>
      </c>
      <c r="I3568">
        <v>183.20079999999999</v>
      </c>
      <c r="J3568">
        <v>-191.10059999999999</v>
      </c>
      <c r="K3568">
        <v>1.0994090000000001</v>
      </c>
      <c r="L3568">
        <v>200.24039999999999</v>
      </c>
      <c r="M3568">
        <v>0.1881216</v>
      </c>
      <c r="N3568">
        <v>0</v>
      </c>
      <c r="O3568">
        <v>-0.98203869999999904</v>
      </c>
      <c r="P3568">
        <v>-7.4665410000000002E-3</v>
      </c>
      <c r="Q3568">
        <v>1.577632E-2</v>
      </c>
      <c r="R3568">
        <v>-0.99984779999999995</v>
      </c>
      <c r="S3568">
        <v>3.6773680000000003E-2</v>
      </c>
      <c r="T3568">
        <v>-0.19199040000000001</v>
      </c>
      <c r="U3568">
        <v>-3.0036770000000002</v>
      </c>
      <c r="V3568">
        <v>0.195802799999999</v>
      </c>
      <c r="W3568">
        <v>2.756658E-2</v>
      </c>
      <c r="X3568">
        <v>0.98025580000000001</v>
      </c>
      <c r="Y3568">
        <v>0.17612449999999999</v>
      </c>
      <c r="Z3568">
        <v>6.1580580000000003E-2</v>
      </c>
      <c r="AA3568">
        <v>0.98243979999999997</v>
      </c>
      <c r="AB3568">
        <v>20</v>
      </c>
      <c r="AC3568">
        <v>0.18819999999999401</v>
      </c>
      <c r="AD3568">
        <v>-1.099410792152</v>
      </c>
      <c r="AE3568">
        <v>-17.0396</v>
      </c>
      <c r="AF3568">
        <v>3.0084920663357302</v>
      </c>
      <c r="AG3568">
        <v>-1.099410792152</v>
      </c>
      <c r="AH3568">
        <v>16.701196509712599</v>
      </c>
      <c r="AI3568">
        <v>93.706757873627197</v>
      </c>
      <c r="AJ3568">
        <v>79.788461059329506</v>
      </c>
      <c r="AK3568">
        <v>17.005578304166601</v>
      </c>
    </row>
    <row r="3569" spans="1:37" x14ac:dyDescent="0.2">
      <c r="A3569" t="str">
        <f>"20200111155919482"</f>
        <v>20200111155919482</v>
      </c>
      <c r="B3569" t="str">
        <f>"1578729559475715"</f>
        <v>1578729559475715</v>
      </c>
      <c r="C3569" t="s">
        <v>37</v>
      </c>
      <c r="D3569">
        <v>5.750273</v>
      </c>
      <c r="E3569">
        <v>0.4931026</v>
      </c>
      <c r="F3569" t="s">
        <v>39</v>
      </c>
      <c r="G3569">
        <v>-190.87870000000001</v>
      </c>
      <c r="H3569" s="1">
        <v>-1.094007E-6</v>
      </c>
      <c r="I3569">
        <v>181.5943</v>
      </c>
      <c r="J3569">
        <v>-191.0728</v>
      </c>
      <c r="K3569">
        <v>1.09954</v>
      </c>
      <c r="L3569">
        <v>200.03110000000001</v>
      </c>
      <c r="M3569">
        <v>0.17824589999999901</v>
      </c>
      <c r="N3569">
        <v>0</v>
      </c>
      <c r="O3569">
        <v>-0.98387979999999997</v>
      </c>
      <c r="P3569">
        <v>-1.0567440000000001E-2</v>
      </c>
      <c r="Q3569">
        <v>1.591832E-2</v>
      </c>
      <c r="R3569">
        <v>-0.99981759999999997</v>
      </c>
      <c r="S3569">
        <v>3.575134E-2</v>
      </c>
      <c r="T3569">
        <v>-0.17709469999999999</v>
      </c>
      <c r="U3569">
        <v>-3.0035400000000001</v>
      </c>
      <c r="V3569">
        <v>0.18898019999999999</v>
      </c>
      <c r="W3569">
        <v>2.7828749999999999E-2</v>
      </c>
      <c r="X3569">
        <v>0.98158650000000003</v>
      </c>
      <c r="Y3569">
        <v>0.16655780000000001</v>
      </c>
      <c r="Z3569">
        <v>5.7033859999999999E-2</v>
      </c>
      <c r="AA3569">
        <v>0.98438079999999994</v>
      </c>
      <c r="AB3569">
        <v>20</v>
      </c>
      <c r="AC3569">
        <v>0.194099999999991</v>
      </c>
      <c r="AD3569">
        <v>-1.0995410940070001</v>
      </c>
      <c r="AE3569">
        <v>-18.436800000000002</v>
      </c>
      <c r="AF3569">
        <v>3.0846662224702999</v>
      </c>
      <c r="AG3569">
        <v>-1.0995410940070001</v>
      </c>
      <c r="AH3569">
        <v>18.1116802085456</v>
      </c>
      <c r="AI3569">
        <v>93.424905148736499</v>
      </c>
      <c r="AJ3569">
        <v>80.334489972154998</v>
      </c>
      <c r="AK3569">
        <v>18.405355641716898</v>
      </c>
    </row>
    <row r="3570" spans="1:37" x14ac:dyDescent="0.2">
      <c r="A3570" t="str">
        <f>"20200111155919504"</f>
        <v>20200111155919504</v>
      </c>
      <c r="B3570" t="str">
        <f>"1578729559495234"</f>
        <v>1578729559495234</v>
      </c>
      <c r="C3570" t="s">
        <v>37</v>
      </c>
      <c r="D3570">
        <v>5.7729650000000001</v>
      </c>
      <c r="E3570">
        <v>0.492591</v>
      </c>
      <c r="F3570" t="s">
        <v>39</v>
      </c>
      <c r="G3570">
        <v>-190.88399999999999</v>
      </c>
      <c r="H3570" s="1">
        <v>-1.2522719999999999E-6</v>
      </c>
      <c r="I3570">
        <v>181.9599</v>
      </c>
      <c r="J3570">
        <v>-191.048</v>
      </c>
      <c r="K3570">
        <v>1.099672</v>
      </c>
      <c r="L3570">
        <v>199.83269999999999</v>
      </c>
      <c r="M3570">
        <v>0.1691077</v>
      </c>
      <c r="N3570">
        <v>0</v>
      </c>
      <c r="O3570">
        <v>-0.98549229999999999</v>
      </c>
      <c r="P3570">
        <v>-1.3337099999999999E-2</v>
      </c>
      <c r="Q3570">
        <v>1.6055449999999999E-2</v>
      </c>
      <c r="R3570">
        <v>-0.99978219999999995</v>
      </c>
      <c r="S3570">
        <v>3.1372070000000002E-2</v>
      </c>
      <c r="T3570">
        <v>-0.18276389999999901</v>
      </c>
      <c r="U3570">
        <v>-3.0037689999999899</v>
      </c>
      <c r="V3570">
        <v>0.1825764</v>
      </c>
      <c r="W3570">
        <v>2.8076130000000001E-2</v>
      </c>
      <c r="X3570">
        <v>0.98279069999999902</v>
      </c>
      <c r="Y3570">
        <v>0.15883929999999999</v>
      </c>
      <c r="Z3570">
        <v>5.9034339999999998E-2</v>
      </c>
      <c r="AA3570">
        <v>0.98553789999999997</v>
      </c>
      <c r="AB3570">
        <v>20</v>
      </c>
      <c r="AC3570">
        <v>0.16399999999998699</v>
      </c>
      <c r="AD3570">
        <v>-1.0996732522720001</v>
      </c>
      <c r="AE3570">
        <v>-17.872799999999899</v>
      </c>
      <c r="AF3570">
        <v>2.8503148087463801</v>
      </c>
      <c r="AG3570">
        <v>-1.0996732522720001</v>
      </c>
      <c r="AH3570">
        <v>17.5765378407425</v>
      </c>
      <c r="AI3570">
        <v>93.533987720314101</v>
      </c>
      <c r="AJ3570">
        <v>80.788765639080495</v>
      </c>
      <c r="AK3570">
        <v>17.840074502024201</v>
      </c>
    </row>
    <row r="3571" spans="1:37" x14ac:dyDescent="0.2">
      <c r="A3571" t="str">
        <f>"20200111155919526"</f>
        <v>20200111155919526</v>
      </c>
      <c r="B3571" t="str">
        <f>"1578729559515730"</f>
        <v>1578729559515730</v>
      </c>
      <c r="C3571" t="s">
        <v>37</v>
      </c>
      <c r="D3571">
        <v>5.7199910000000003</v>
      </c>
      <c r="E3571">
        <v>0.49218849999999997</v>
      </c>
      <c r="F3571" t="s">
        <v>39</v>
      </c>
      <c r="G3571">
        <v>-190.8869</v>
      </c>
      <c r="H3571" s="1">
        <v>-1.23193E-6</v>
      </c>
      <c r="I3571">
        <v>181.91069999999999</v>
      </c>
      <c r="J3571">
        <v>-191.0265</v>
      </c>
      <c r="K3571">
        <v>1.0997950000000001</v>
      </c>
      <c r="L3571">
        <v>199.6472</v>
      </c>
      <c r="M3571">
        <v>0.16078110000000001</v>
      </c>
      <c r="N3571">
        <v>0</v>
      </c>
      <c r="O3571">
        <v>-0.98688549999999997</v>
      </c>
      <c r="P3571">
        <v>-1.5119189999999999E-2</v>
      </c>
      <c r="Q3571">
        <v>1.496367E-2</v>
      </c>
      <c r="R3571">
        <v>-0.99977369999999899</v>
      </c>
      <c r="S3571">
        <v>2.700806E-2</v>
      </c>
      <c r="T3571">
        <v>-0.18431739999999999</v>
      </c>
      <c r="U3571">
        <v>-3.0039370000000001</v>
      </c>
      <c r="V3571">
        <v>0.17600539999999901</v>
      </c>
      <c r="W3571">
        <v>2.7095169999999998E-2</v>
      </c>
      <c r="X3571">
        <v>0.98401620000000001</v>
      </c>
      <c r="Y3571">
        <v>0.15193219999999999</v>
      </c>
      <c r="Z3571">
        <v>5.9692420000000003E-2</v>
      </c>
      <c r="AA3571">
        <v>0.98658670000000004</v>
      </c>
      <c r="AB3571">
        <v>20</v>
      </c>
      <c r="AC3571">
        <v>0.139600000000001</v>
      </c>
      <c r="AD3571">
        <v>-1.0997962319300001</v>
      </c>
      <c r="AE3571">
        <v>-17.736499999999999</v>
      </c>
      <c r="AF3571">
        <v>2.7038096307240602</v>
      </c>
      <c r="AG3571">
        <v>-1.0997962319300001</v>
      </c>
      <c r="AH3571">
        <v>17.461016874148701</v>
      </c>
      <c r="AI3571">
        <v>93.561722562853205</v>
      </c>
      <c r="AJ3571">
        <v>81.197752329413603</v>
      </c>
      <c r="AK3571">
        <v>17.703311796109499</v>
      </c>
    </row>
    <row r="3572" spans="1:37" x14ac:dyDescent="0.2">
      <c r="A3572" t="str">
        <f>"20200111155919548"</f>
        <v>20200111155919548</v>
      </c>
      <c r="B3572" t="str">
        <f>"1578729559535251"</f>
        <v>1578729559535251</v>
      </c>
      <c r="C3572" t="s">
        <v>37</v>
      </c>
      <c r="D3572">
        <v>6.0301609999999997</v>
      </c>
      <c r="E3572">
        <v>0.49199359999999998</v>
      </c>
      <c r="F3572" t="s">
        <v>38</v>
      </c>
      <c r="G3572">
        <v>-191.01900000000001</v>
      </c>
      <c r="H3572">
        <v>1.042805</v>
      </c>
      <c r="I3572">
        <v>198.73429999999999</v>
      </c>
      <c r="J3572">
        <v>-191.00460000000001</v>
      </c>
      <c r="K3572">
        <v>1.0999479999999999</v>
      </c>
      <c r="L3572">
        <v>199.4453</v>
      </c>
      <c r="M3572">
        <v>0.15196889999999999</v>
      </c>
      <c r="N3572">
        <v>0</v>
      </c>
      <c r="O3572">
        <v>-0.98828150000000003</v>
      </c>
      <c r="P3572">
        <v>-1.7400559999999999E-2</v>
      </c>
      <c r="Q3572">
        <v>1.3345640000000001E-2</v>
      </c>
      <c r="R3572">
        <v>-0.99975970000000003</v>
      </c>
      <c r="S3572">
        <v>2.4841309999999998E-2</v>
      </c>
      <c r="T3572">
        <v>-0.18731829999999999</v>
      </c>
      <c r="U3572">
        <v>-3.003876</v>
      </c>
      <c r="V3572">
        <v>0.1694398</v>
      </c>
      <c r="W3572">
        <v>2.5587929999999998E-2</v>
      </c>
      <c r="X3572">
        <v>0.98520830000000004</v>
      </c>
      <c r="Y3572">
        <v>0.143819899999999</v>
      </c>
      <c r="Z3572">
        <v>6.0829840000000003E-2</v>
      </c>
      <c r="AA3572">
        <v>0.98773250000000001</v>
      </c>
      <c r="AB3572">
        <v>20</v>
      </c>
      <c r="AC3572">
        <v>-1.4399999999994801E-2</v>
      </c>
      <c r="AD3572">
        <v>-5.7142999999999902E-2</v>
      </c>
      <c r="AE3572">
        <v>-0.71100000000001196</v>
      </c>
      <c r="AF3572">
        <v>0.12150914046792</v>
      </c>
      <c r="AG3572">
        <v>-5.7142999999999902E-2</v>
      </c>
      <c r="AH3572">
        <v>0.69605743519660401</v>
      </c>
      <c r="AI3572">
        <v>94.623575600772099</v>
      </c>
      <c r="AJ3572">
        <v>80.097789616769504</v>
      </c>
      <c r="AK3572">
        <v>0.70889050406866605</v>
      </c>
    </row>
    <row r="3573" spans="1:37" x14ac:dyDescent="0.2">
      <c r="A3573" t="str">
        <f>"20200111155919571"</f>
        <v>20200111155919571</v>
      </c>
      <c r="B3573" t="str">
        <f>"1578729559565507"</f>
        <v>1578729559565507</v>
      </c>
      <c r="C3573" t="s">
        <v>37</v>
      </c>
      <c r="D3573">
        <v>5.6881269999999997</v>
      </c>
      <c r="E3573">
        <v>0.49108109999999999</v>
      </c>
      <c r="F3573" t="s">
        <v>38</v>
      </c>
      <c r="G3573">
        <v>-190.999</v>
      </c>
      <c r="H3573">
        <v>1.0430090000000001</v>
      </c>
      <c r="I3573">
        <v>198.55799999999999</v>
      </c>
      <c r="J3573">
        <v>-190.98349999999999</v>
      </c>
      <c r="K3573">
        <v>1.100093</v>
      </c>
      <c r="L3573">
        <v>199.23660000000001</v>
      </c>
      <c r="M3573">
        <v>0.14307739999999999</v>
      </c>
      <c r="N3573">
        <v>0</v>
      </c>
      <c r="O3573">
        <v>-0.989608499999999</v>
      </c>
      <c r="P3573">
        <v>-2.007217E-2</v>
      </c>
      <c r="Q3573">
        <v>1.250717E-2</v>
      </c>
      <c r="R3573">
        <v>-0.99972030000000001</v>
      </c>
      <c r="S3573">
        <v>1.9149780000000002E-2</v>
      </c>
      <c r="T3573">
        <v>-0.19259079999999901</v>
      </c>
      <c r="U3573">
        <v>-3.0036160000000001</v>
      </c>
      <c r="V3573">
        <v>0.16319259999999999</v>
      </c>
      <c r="W3573">
        <v>2.4849070000000001E-2</v>
      </c>
      <c r="X3573">
        <v>0.98628130000000003</v>
      </c>
      <c r="Y3573">
        <v>0.13679050000000001</v>
      </c>
      <c r="Z3573">
        <v>6.270001E-2</v>
      </c>
      <c r="AA3573">
        <v>0.98861369999999904</v>
      </c>
      <c r="AB3573">
        <v>20</v>
      </c>
      <c r="AC3573">
        <v>-1.55000000000313E-2</v>
      </c>
      <c r="AD3573">
        <v>-5.7083999999999899E-2</v>
      </c>
      <c r="AE3573">
        <v>-0.67860000000001697</v>
      </c>
      <c r="AF3573">
        <v>0.111653048953909</v>
      </c>
      <c r="AG3573">
        <v>-5.7083999999999899E-2</v>
      </c>
      <c r="AH3573">
        <v>0.66469777607519698</v>
      </c>
      <c r="AI3573">
        <v>94.841004534989494</v>
      </c>
      <c r="AJ3573">
        <v>80.464720435601905</v>
      </c>
      <c r="AK3573">
        <v>0.67642303325361097</v>
      </c>
    </row>
    <row r="3574" spans="1:37" x14ac:dyDescent="0.2">
      <c r="A3574" t="str">
        <f>"20200111155919595"</f>
        <v>20200111155919595</v>
      </c>
      <c r="B3574" t="str">
        <f>"1578729559586003"</f>
        <v>1578729559586003</v>
      </c>
      <c r="C3574" t="s">
        <v>37</v>
      </c>
      <c r="D3574">
        <v>5.6843849999999998</v>
      </c>
      <c r="E3574">
        <v>0.49075370000000001</v>
      </c>
      <c r="F3574" t="s">
        <v>38</v>
      </c>
      <c r="G3574">
        <v>-190.97839999999999</v>
      </c>
      <c r="H3574">
        <v>1.044632</v>
      </c>
      <c r="I3574">
        <v>198.38079999999999</v>
      </c>
      <c r="J3574">
        <v>-190.96379999999999</v>
      </c>
      <c r="K3574">
        <v>1.1002270000000001</v>
      </c>
      <c r="L3574">
        <v>199.0249</v>
      </c>
      <c r="M3574">
        <v>0.13428979999999999</v>
      </c>
      <c r="N3574">
        <v>0</v>
      </c>
      <c r="O3574">
        <v>-0.99083999999999905</v>
      </c>
      <c r="P3574">
        <v>-2.293655E-2</v>
      </c>
      <c r="Q3574">
        <v>1.1822249999999999E-2</v>
      </c>
      <c r="R3574">
        <v>-0.99966719999999898</v>
      </c>
      <c r="S3574">
        <v>1.824951E-2</v>
      </c>
      <c r="T3574">
        <v>-0.19439319999999999</v>
      </c>
      <c r="U3574">
        <v>-3.0036320000000001</v>
      </c>
      <c r="V3574">
        <v>0.15724659999999999</v>
      </c>
      <c r="W3574">
        <v>2.425416E-2</v>
      </c>
      <c r="X3574">
        <v>0.98726150000000001</v>
      </c>
      <c r="Y3574">
        <v>0.1282915</v>
      </c>
      <c r="Z3574">
        <v>6.3439919999999997E-2</v>
      </c>
      <c r="AA3574">
        <v>0.98970530000000001</v>
      </c>
      <c r="AB3574">
        <v>20</v>
      </c>
      <c r="AC3574">
        <v>-1.4600000000001501E-2</v>
      </c>
      <c r="AD3574">
        <v>-5.5594999999999999E-2</v>
      </c>
      <c r="AE3574">
        <v>-0.644100000000008</v>
      </c>
      <c r="AF3574">
        <v>0.100226223604688</v>
      </c>
      <c r="AG3574">
        <v>-5.5594999999999999E-2</v>
      </c>
      <c r="AH3574">
        <v>0.63160069048872503</v>
      </c>
      <c r="AI3574">
        <v>94.968495811034302</v>
      </c>
      <c r="AJ3574">
        <v>80.983142290325802</v>
      </c>
      <c r="AK3574">
        <v>0.64191551792186097</v>
      </c>
    </row>
    <row r="3575" spans="1:37" x14ac:dyDescent="0.2">
      <c r="A3575" t="str">
        <f>"20200111155919617"</f>
        <v>20200111155919617</v>
      </c>
      <c r="B3575" t="str">
        <f>"1578729559605522"</f>
        <v>1578729559605522</v>
      </c>
      <c r="C3575" t="s">
        <v>37</v>
      </c>
      <c r="D3575">
        <v>5.6478910000000004</v>
      </c>
      <c r="E3575">
        <v>0.49024620000000002</v>
      </c>
      <c r="F3575" t="s">
        <v>38</v>
      </c>
      <c r="G3575">
        <v>-190.96039999999999</v>
      </c>
      <c r="H3575">
        <v>1.04718</v>
      </c>
      <c r="I3575">
        <v>198.2022</v>
      </c>
      <c r="J3575">
        <v>-190.9478</v>
      </c>
      <c r="K3575">
        <v>1.1003510000000001</v>
      </c>
      <c r="L3575">
        <v>198.83879999999999</v>
      </c>
      <c r="M3575">
        <v>0.12679099999999999</v>
      </c>
      <c r="N3575">
        <v>0</v>
      </c>
      <c r="O3575">
        <v>-0.99182789999999998</v>
      </c>
      <c r="P3575">
        <v>-2.5397119999999999E-2</v>
      </c>
      <c r="Q3575">
        <v>1.128493E-2</v>
      </c>
      <c r="R3575">
        <v>-0.99961390000000006</v>
      </c>
      <c r="S3575">
        <v>1.235962E-2</v>
      </c>
      <c r="T3575">
        <v>-0.19372679999999901</v>
      </c>
      <c r="U3575">
        <v>-3.003571</v>
      </c>
      <c r="V3575">
        <v>0.15219299999999999</v>
      </c>
      <c r="W3575">
        <v>2.3792230000000001E-2</v>
      </c>
      <c r="X3575">
        <v>0.98806430000000001</v>
      </c>
      <c r="Y3575">
        <v>0.122728399999999</v>
      </c>
      <c r="Z3575">
        <v>6.3342819999999994E-2</v>
      </c>
      <c r="AA3575">
        <v>0.99041679999999999</v>
      </c>
      <c r="AB3575">
        <v>20</v>
      </c>
      <c r="AC3575">
        <v>-1.2599999999991901E-2</v>
      </c>
      <c r="AD3575">
        <v>-5.3171000000000003E-2</v>
      </c>
      <c r="AE3575">
        <v>-0.63659999999998695</v>
      </c>
      <c r="AF3575">
        <v>9.25760007552935E-2</v>
      </c>
      <c r="AG3575">
        <v>-5.3171000000000003E-2</v>
      </c>
      <c r="AH3575">
        <v>0.62550163334588205</v>
      </c>
      <c r="AI3575">
        <v>94.806658564515899</v>
      </c>
      <c r="AJ3575">
        <v>81.581179450151396</v>
      </c>
      <c r="AK3575">
        <v>0.63454689698651101</v>
      </c>
    </row>
    <row r="3576" spans="1:37" x14ac:dyDescent="0.2">
      <c r="A3576" t="str">
        <f>"20200111155919638"</f>
        <v>20200111155919638</v>
      </c>
      <c r="B3576" t="str">
        <f>"1578729559635781"</f>
        <v>1578729559635781</v>
      </c>
      <c r="C3576" t="s">
        <v>37</v>
      </c>
      <c r="D3576">
        <v>5.7008140000000003</v>
      </c>
      <c r="E3576">
        <v>0.48946319999999999</v>
      </c>
      <c r="F3576" t="s">
        <v>38</v>
      </c>
      <c r="G3576">
        <v>-190.9453</v>
      </c>
      <c r="H3576">
        <v>1.0470109999999999</v>
      </c>
      <c r="I3576">
        <v>198.0257</v>
      </c>
      <c r="J3576">
        <v>-190.93219999999999</v>
      </c>
      <c r="K3576">
        <v>1.1004940000000001</v>
      </c>
      <c r="L3576">
        <v>198.64449999999999</v>
      </c>
      <c r="M3576">
        <v>0.1192177</v>
      </c>
      <c r="N3576">
        <v>0</v>
      </c>
      <c r="O3576">
        <v>-0.99276719999999896</v>
      </c>
      <c r="P3576">
        <v>-2.8253279999999999E-2</v>
      </c>
      <c r="Q3576">
        <v>9.7112029999999998E-3</v>
      </c>
      <c r="R3576">
        <v>-0.99955380000000005</v>
      </c>
      <c r="S3576">
        <v>9.5062259999999996E-3</v>
      </c>
      <c r="T3576">
        <v>-0.19678899999999999</v>
      </c>
      <c r="U3576">
        <v>-3.00360099999999</v>
      </c>
      <c r="V3576">
        <v>0.14745030000000001</v>
      </c>
      <c r="W3576">
        <v>2.229012E-2</v>
      </c>
      <c r="X3576">
        <v>0.98881830000000004</v>
      </c>
      <c r="Y3576">
        <v>0.1160925</v>
      </c>
      <c r="Z3576">
        <v>6.4457360000000005E-2</v>
      </c>
      <c r="AA3576">
        <v>0.99114469999999999</v>
      </c>
      <c r="AB3576">
        <v>20</v>
      </c>
      <c r="AC3576">
        <v>-1.3100000000008501E-2</v>
      </c>
      <c r="AD3576">
        <v>-5.3482999999999899E-2</v>
      </c>
      <c r="AE3576">
        <v>-0.61879999999999302</v>
      </c>
      <c r="AF3576">
        <v>8.6142648027615801E-2</v>
      </c>
      <c r="AG3576">
        <v>-5.3482999999999899E-2</v>
      </c>
      <c r="AH3576">
        <v>0.608282068342622</v>
      </c>
      <c r="AI3576">
        <v>94.9753999394418</v>
      </c>
      <c r="AJ3576">
        <v>81.939583599283495</v>
      </c>
      <c r="AK3576">
        <v>0.61667500497862604</v>
      </c>
    </row>
    <row r="3577" spans="1:37" x14ac:dyDescent="0.2">
      <c r="A3577" t="str">
        <f>"20200111155919660"</f>
        <v>20200111155919660</v>
      </c>
      <c r="B3577" t="str">
        <f>"1578729559655299"</f>
        <v>1578729559655299</v>
      </c>
      <c r="C3577" t="s">
        <v>37</v>
      </c>
      <c r="D3577">
        <v>5.6849879999999997</v>
      </c>
      <c r="E3577">
        <v>0.489226199999999</v>
      </c>
      <c r="F3577" t="s">
        <v>38</v>
      </c>
      <c r="G3577">
        <v>-190.93039999999999</v>
      </c>
      <c r="H3577">
        <v>1.0492779999999999</v>
      </c>
      <c r="I3577">
        <v>197.84719999999999</v>
      </c>
      <c r="J3577">
        <v>-190.9178</v>
      </c>
      <c r="K3577">
        <v>1.1006629999999999</v>
      </c>
      <c r="L3577">
        <v>198.44990000000001</v>
      </c>
      <c r="M3577">
        <v>0.1119016</v>
      </c>
      <c r="N3577">
        <v>0</v>
      </c>
      <c r="O3577">
        <v>-0.99361909999999898</v>
      </c>
      <c r="P3577">
        <v>-3.1339819999999997E-2</v>
      </c>
      <c r="Q3577">
        <v>8.3272119999999901E-3</v>
      </c>
      <c r="R3577">
        <v>-0.99947410000000003</v>
      </c>
      <c r="S3577">
        <v>7.1563719999999898E-3</v>
      </c>
      <c r="T3577">
        <v>-0.19283429999999999</v>
      </c>
      <c r="U3577">
        <v>-3.0034179999999999</v>
      </c>
      <c r="V3577">
        <v>0.14319660000000001</v>
      </c>
      <c r="W3577">
        <v>2.09734E-2</v>
      </c>
      <c r="X3577">
        <v>0.98947199999999902</v>
      </c>
      <c r="Y3577">
        <v>0.1095487</v>
      </c>
      <c r="Z3577">
        <v>6.3276810000000003E-2</v>
      </c>
      <c r="AA3577">
        <v>0.99196530000000005</v>
      </c>
      <c r="AB3577">
        <v>20</v>
      </c>
      <c r="AC3577">
        <v>-1.2599999999991901E-2</v>
      </c>
      <c r="AD3577">
        <v>-5.1384999999999702E-2</v>
      </c>
      <c r="AE3577">
        <v>-0.60270000000002699</v>
      </c>
      <c r="AF3577">
        <v>7.9393801426936805E-2</v>
      </c>
      <c r="AG3577">
        <v>-5.1384999999999702E-2</v>
      </c>
      <c r="AH3577">
        <v>0.59319376191429696</v>
      </c>
      <c r="AI3577">
        <v>94.907306824060299</v>
      </c>
      <c r="AJ3577">
        <v>82.376764728646194</v>
      </c>
      <c r="AK3577">
        <v>0.60068513641012899</v>
      </c>
    </row>
    <row r="3578" spans="1:37" x14ac:dyDescent="0.2">
      <c r="A3578" t="str">
        <f>"20200111155919683"</f>
        <v>20200111155919683</v>
      </c>
      <c r="B3578" t="str">
        <f>"1578729559675795"</f>
        <v>1578729559675795</v>
      </c>
      <c r="C3578" t="s">
        <v>37</v>
      </c>
      <c r="D3578">
        <v>5.8431290000000002</v>
      </c>
      <c r="E3578">
        <v>0.48923169999999999</v>
      </c>
      <c r="F3578" t="s">
        <v>38</v>
      </c>
      <c r="G3578">
        <v>-190.91800000000001</v>
      </c>
      <c r="H3578">
        <v>1.049499</v>
      </c>
      <c r="I3578">
        <v>197.6705</v>
      </c>
      <c r="J3578">
        <v>-190.90369999999999</v>
      </c>
      <c r="K3578">
        <v>1.100867</v>
      </c>
      <c r="L3578">
        <v>198.24199999999999</v>
      </c>
      <c r="M3578">
        <v>0.10438070000000001</v>
      </c>
      <c r="N3578">
        <v>0</v>
      </c>
      <c r="O3578">
        <v>-0.99443809999999999</v>
      </c>
      <c r="P3578">
        <v>-3.5248120000000001E-2</v>
      </c>
      <c r="Q3578">
        <v>8.295495E-3</v>
      </c>
      <c r="R3578">
        <v>-0.99934449999999997</v>
      </c>
      <c r="S3578">
        <v>-1.068115E-4</v>
      </c>
      <c r="T3578">
        <v>-0.1968732</v>
      </c>
      <c r="U3578">
        <v>-3.0032199999999998</v>
      </c>
      <c r="V3578">
        <v>0.1395671</v>
      </c>
      <c r="W3578">
        <v>2.100486E-2</v>
      </c>
      <c r="X3578">
        <v>0.98998980000000003</v>
      </c>
      <c r="Y3578">
        <v>0.1044257</v>
      </c>
      <c r="Z3578">
        <v>6.4699099999999996E-2</v>
      </c>
      <c r="AA3578">
        <v>0.99242600000000003</v>
      </c>
      <c r="AB3578">
        <v>20</v>
      </c>
      <c r="AC3578">
        <v>-1.4300000000019899E-2</v>
      </c>
      <c r="AD3578">
        <v>-5.1367999999999997E-2</v>
      </c>
      <c r="AE3578">
        <v>-0.571500000000014</v>
      </c>
      <c r="AF3578">
        <v>7.3289602579177202E-2</v>
      </c>
      <c r="AG3578">
        <v>-5.1367999999999997E-2</v>
      </c>
      <c r="AH3578">
        <v>0.56234443441312598</v>
      </c>
      <c r="AI3578">
        <v>95.175733853274394</v>
      </c>
      <c r="AJ3578">
        <v>82.574570171938603</v>
      </c>
      <c r="AK3578">
        <v>0.56942189998772696</v>
      </c>
    </row>
    <row r="3579" spans="1:37" x14ac:dyDescent="0.2">
      <c r="A3579" t="str">
        <f>"20200111155919707"</f>
        <v>20200111155919707</v>
      </c>
      <c r="B3579" t="str">
        <f>"1578729559695314"</f>
        <v>1578729559695314</v>
      </c>
      <c r="C3579" t="s">
        <v>37</v>
      </c>
      <c r="D3579">
        <v>5.72</v>
      </c>
      <c r="E3579">
        <v>0.48907299999999998</v>
      </c>
      <c r="F3579" t="s">
        <v>38</v>
      </c>
      <c r="G3579">
        <v>-190.9066</v>
      </c>
      <c r="H3579">
        <v>1.0505530000000001</v>
      </c>
      <c r="I3579">
        <v>197.4931</v>
      </c>
      <c r="J3579">
        <v>-190.8913</v>
      </c>
      <c r="K3579">
        <v>1.101067</v>
      </c>
      <c r="L3579">
        <v>198.0446</v>
      </c>
      <c r="M3579">
        <v>9.7537230000000003E-2</v>
      </c>
      <c r="N3579">
        <v>0</v>
      </c>
      <c r="O3579">
        <v>-0.99513300000000005</v>
      </c>
      <c r="P3579">
        <v>-3.9468740000000002E-2</v>
      </c>
      <c r="Q3579">
        <v>8.7679739999999996E-3</v>
      </c>
      <c r="R3579">
        <v>-0.99918259999999903</v>
      </c>
      <c r="S3579">
        <v>-1.177979E-2</v>
      </c>
      <c r="T3579">
        <v>-0.20177700000000001</v>
      </c>
      <c r="U3579">
        <v>-3.0032040000000002</v>
      </c>
      <c r="V3579">
        <v>0.13693039999999901</v>
      </c>
      <c r="W3579">
        <v>2.1528309999999998E-2</v>
      </c>
      <c r="X3579">
        <v>0.99034669999999903</v>
      </c>
      <c r="Y3579">
        <v>0.1014405</v>
      </c>
      <c r="Z3579">
        <v>6.6383730000000002E-2</v>
      </c>
      <c r="AA3579">
        <v>0.99262430000000001</v>
      </c>
      <c r="AB3579">
        <v>20</v>
      </c>
      <c r="AC3579">
        <v>-1.5299999999996299E-2</v>
      </c>
      <c r="AD3579">
        <v>-5.0513999999999899E-2</v>
      </c>
      <c r="AE3579">
        <v>-0.55150000000000399</v>
      </c>
      <c r="AF3579">
        <v>6.8450292248726799E-2</v>
      </c>
      <c r="AG3579">
        <v>-5.0513999999999899E-2</v>
      </c>
      <c r="AH3579">
        <v>0.54282688853246397</v>
      </c>
      <c r="AI3579">
        <v>95.274944097273405</v>
      </c>
      <c r="AJ3579">
        <v>82.812954874046298</v>
      </c>
      <c r="AK3579">
        <v>0.54945257995460495</v>
      </c>
    </row>
    <row r="3580" spans="1:37" x14ac:dyDescent="0.2">
      <c r="A3580" t="str">
        <f>"20200111155919728"</f>
        <v>20200111155919728</v>
      </c>
      <c r="B3580" t="str">
        <f>"1578729559715811"</f>
        <v>1578729559715811</v>
      </c>
      <c r="C3580" t="s">
        <v>37</v>
      </c>
      <c r="D3580">
        <v>5.5661180000000003</v>
      </c>
      <c r="E3580">
        <v>0.48874639999999903</v>
      </c>
      <c r="F3580" t="s">
        <v>38</v>
      </c>
      <c r="G3580">
        <v>-190.89840000000001</v>
      </c>
      <c r="H3580">
        <v>1.0402370000000001</v>
      </c>
      <c r="I3580">
        <v>197.1474</v>
      </c>
      <c r="J3580">
        <v>-190.88030000000001</v>
      </c>
      <c r="K3580">
        <v>1.101251</v>
      </c>
      <c r="L3580">
        <v>197.8518</v>
      </c>
      <c r="M3580">
        <v>9.1155410000000006E-2</v>
      </c>
      <c r="N3580">
        <v>0</v>
      </c>
      <c r="O3580">
        <v>-0.99573869999999898</v>
      </c>
      <c r="P3580">
        <v>-4.40329E-2</v>
      </c>
      <c r="Q3580">
        <v>9.9600279999999992E-3</v>
      </c>
      <c r="R3580">
        <v>-0.99898089999999995</v>
      </c>
      <c r="S3580">
        <v>-2.3559569999999998E-2</v>
      </c>
      <c r="T3580">
        <v>-0.20366689999999901</v>
      </c>
      <c r="U3580">
        <v>-3.0033110000000001</v>
      </c>
      <c r="V3580">
        <v>0.13510339999999901</v>
      </c>
      <c r="W3580">
        <v>2.27592E-2</v>
      </c>
      <c r="X3580">
        <v>0.99057009999999901</v>
      </c>
      <c r="Y3580">
        <v>9.895487E-2</v>
      </c>
      <c r="Z3580">
        <v>6.7069299999999998E-2</v>
      </c>
      <c r="AA3580">
        <v>0.99282909999999902</v>
      </c>
      <c r="AB3580">
        <v>20</v>
      </c>
      <c r="AC3580">
        <v>-1.8100000000003998E-2</v>
      </c>
      <c r="AD3580">
        <v>-6.1013999999999902E-2</v>
      </c>
      <c r="AE3580">
        <v>-0.70439999999999203</v>
      </c>
      <c r="AF3580">
        <v>8.1628729988873994E-2</v>
      </c>
      <c r="AG3580">
        <v>-6.1013999999999902E-2</v>
      </c>
      <c r="AH3580">
        <v>0.69460867474551602</v>
      </c>
      <c r="AI3580">
        <v>94.985806532438104</v>
      </c>
      <c r="AJ3580">
        <v>83.297480656428903</v>
      </c>
      <c r="AK3580">
        <v>0.70204499057205605</v>
      </c>
    </row>
    <row r="3581" spans="1:37" x14ac:dyDescent="0.2">
      <c r="A3581" t="str">
        <f>"20200111155919751"</f>
        <v>20200111155919751</v>
      </c>
      <c r="B3581" t="str">
        <f>"1578729559745090"</f>
        <v>1578729559745090</v>
      </c>
      <c r="C3581" t="s">
        <v>37</v>
      </c>
      <c r="D3581">
        <v>6.8367789999999902</v>
      </c>
      <c r="E3581">
        <v>0.48877409999999999</v>
      </c>
      <c r="F3581" t="s">
        <v>38</v>
      </c>
      <c r="G3581">
        <v>-190.89060000000001</v>
      </c>
      <c r="H3581">
        <v>1.042424</v>
      </c>
      <c r="I3581">
        <v>196.97040000000001</v>
      </c>
      <c r="J3581">
        <v>-190.86959999999999</v>
      </c>
      <c r="K3581">
        <v>1.1014139999999999</v>
      </c>
      <c r="L3581">
        <v>197.6481</v>
      </c>
      <c r="M3581">
        <v>8.4674570000000005E-2</v>
      </c>
      <c r="N3581">
        <v>0</v>
      </c>
      <c r="O3581">
        <v>-0.99631119999999995</v>
      </c>
      <c r="P3581">
        <v>-4.9630929999999997E-2</v>
      </c>
      <c r="Q3581">
        <v>1.057113E-2</v>
      </c>
      <c r="R3581">
        <v>-0.99871189999999999</v>
      </c>
      <c r="S3581">
        <v>-3.437805E-2</v>
      </c>
      <c r="T3581">
        <v>-0.2002072</v>
      </c>
      <c r="U3581">
        <v>-3.0035249999999998</v>
      </c>
      <c r="V3581">
        <v>0.1342045</v>
      </c>
      <c r="W3581">
        <v>2.338989E-2</v>
      </c>
      <c r="X3581">
        <v>0.99067759999999905</v>
      </c>
      <c r="Y3581">
        <v>9.6055829999999995E-2</v>
      </c>
      <c r="Z3581">
        <v>6.5995709999999999E-2</v>
      </c>
      <c r="AA3581">
        <v>0.99318569999999995</v>
      </c>
      <c r="AB3581">
        <v>19</v>
      </c>
      <c r="AC3581">
        <v>-2.1000000000015E-2</v>
      </c>
      <c r="AD3581">
        <v>-5.89899999999998E-2</v>
      </c>
      <c r="AE3581">
        <v>-0.67769999999998698</v>
      </c>
      <c r="AF3581">
        <v>7.7725754208279596E-2</v>
      </c>
      <c r="AG3581">
        <v>-5.89899999999998E-2</v>
      </c>
      <c r="AH3581">
        <v>0.66842769839282201</v>
      </c>
      <c r="AI3581">
        <v>95.009811400421995</v>
      </c>
      <c r="AJ3581">
        <v>83.367349793546595</v>
      </c>
      <c r="AK3581">
        <v>0.67551217675625397</v>
      </c>
    </row>
    <row r="3582" spans="1:37" x14ac:dyDescent="0.2">
      <c r="A3582" t="str">
        <f>"20200111155919772"</f>
        <v>20200111155919772</v>
      </c>
      <c r="B3582" t="str">
        <f>"1578729559765587"</f>
        <v>1578729559765587</v>
      </c>
      <c r="C3582" t="s">
        <v>37</v>
      </c>
      <c r="D3582">
        <v>6.0374189999999999</v>
      </c>
      <c r="E3582">
        <v>0.54269100000000003</v>
      </c>
      <c r="F3582" t="s">
        <v>38</v>
      </c>
      <c r="G3582">
        <v>-190.8843</v>
      </c>
      <c r="H3582">
        <v>1.0441769999999999</v>
      </c>
      <c r="I3582">
        <v>196.79349999999999</v>
      </c>
      <c r="J3582">
        <v>-190.8605</v>
      </c>
      <c r="K3582">
        <v>1.1015360000000001</v>
      </c>
      <c r="L3582">
        <v>197.4555</v>
      </c>
      <c r="M3582">
        <v>7.8782770000000002E-2</v>
      </c>
      <c r="N3582">
        <v>0</v>
      </c>
      <c r="O3582">
        <v>-0.99679470000000003</v>
      </c>
      <c r="P3582">
        <v>-5.517064E-2</v>
      </c>
      <c r="Q3582">
        <v>1.017934E-2</v>
      </c>
      <c r="R3582">
        <v>-0.99842509999999995</v>
      </c>
      <c r="S3582">
        <v>-5.1345830000000002E-2</v>
      </c>
      <c r="T3582">
        <v>-0.20114989999999999</v>
      </c>
      <c r="U3582">
        <v>-3.0034329999999998</v>
      </c>
      <c r="V3582">
        <v>0.1338337</v>
      </c>
      <c r="W3582">
        <v>2.300661E-2</v>
      </c>
      <c r="X3582">
        <v>0.99073670000000003</v>
      </c>
      <c r="Y3582">
        <v>9.5780770000000001E-2</v>
      </c>
      <c r="Z3582">
        <v>6.6353690000000007E-2</v>
      </c>
      <c r="AA3582">
        <v>0.99318839999999997</v>
      </c>
      <c r="AB3582">
        <v>19</v>
      </c>
      <c r="AC3582">
        <v>-2.3799999999994201E-2</v>
      </c>
      <c r="AD3582">
        <v>-5.7358999999999903E-2</v>
      </c>
      <c r="AE3582">
        <v>-0.66200000000000603</v>
      </c>
      <c r="AF3582">
        <v>7.5320525419989806E-2</v>
      </c>
      <c r="AG3582">
        <v>-5.7358999999999903E-2</v>
      </c>
      <c r="AH3582">
        <v>0.65316951779238897</v>
      </c>
      <c r="AI3582">
        <v>94.985763321623295</v>
      </c>
      <c r="AJ3582">
        <v>83.421967184400501</v>
      </c>
      <c r="AK3582">
        <v>0.65999519347013802</v>
      </c>
    </row>
    <row r="3583" spans="1:37" x14ac:dyDescent="0.2">
      <c r="A3583" t="str">
        <f>"20200111155919794"</f>
        <v>20200111155919794</v>
      </c>
      <c r="B3583" t="str">
        <f>"1578729559785107"</f>
        <v>1578729559785107</v>
      </c>
      <c r="C3583" t="s">
        <v>37</v>
      </c>
      <c r="D3583">
        <v>5.7507999999999999</v>
      </c>
      <c r="E3583">
        <v>0.57814719999999997</v>
      </c>
      <c r="F3583" t="s">
        <v>39</v>
      </c>
      <c r="G3583">
        <v>-194.39169999999999</v>
      </c>
      <c r="H3583" s="1">
        <v>-3.9798579999999999E-6</v>
      </c>
      <c r="I3583">
        <v>176.39259999999999</v>
      </c>
      <c r="J3583">
        <v>-190.85220000000001</v>
      </c>
      <c r="K3583">
        <v>1.1016459999999999</v>
      </c>
      <c r="L3583">
        <v>197.26130000000001</v>
      </c>
      <c r="M3583">
        <v>7.3086170000000006E-2</v>
      </c>
      <c r="N3583">
        <v>0</v>
      </c>
      <c r="O3583">
        <v>-0.99722919999999904</v>
      </c>
      <c r="P3583">
        <v>-6.0081370000000002E-2</v>
      </c>
      <c r="Q3583">
        <v>1.040777E-2</v>
      </c>
      <c r="R3583">
        <v>-0.99813940000000001</v>
      </c>
      <c r="S3583">
        <v>-0.4993744</v>
      </c>
      <c r="T3583">
        <v>-0.155779799999999</v>
      </c>
      <c r="U3583">
        <v>-2.9787140000000001</v>
      </c>
      <c r="V3583">
        <v>0.13304089999999999</v>
      </c>
      <c r="W3583">
        <v>2.3246880000000001E-2</v>
      </c>
      <c r="X3583">
        <v>0.99083790000000005</v>
      </c>
      <c r="Y3583">
        <v>0.2367688</v>
      </c>
      <c r="Z3583">
        <v>5.0919359999999997E-2</v>
      </c>
      <c r="AA3583">
        <v>0.97023079999999995</v>
      </c>
      <c r="AB3583">
        <v>19</v>
      </c>
      <c r="AC3583">
        <v>-3.5394999999999701</v>
      </c>
      <c r="AD3583">
        <v>-1.101649979858</v>
      </c>
      <c r="AE3583">
        <v>-20.8687</v>
      </c>
      <c r="AF3583">
        <v>5.0417351633241196</v>
      </c>
      <c r="AG3583">
        <v>-1.101649979858</v>
      </c>
      <c r="AH3583">
        <v>20.498638202288198</v>
      </c>
      <c r="AI3583">
        <v>92.987400199198106</v>
      </c>
      <c r="AJ3583">
        <v>76.182111175489396</v>
      </c>
      <c r="AK3583">
        <v>21.138280305728099</v>
      </c>
    </row>
    <row r="3584" spans="1:37" x14ac:dyDescent="0.2">
      <c r="A3584" t="str">
        <f>"20200111155919816"</f>
        <v>20200111155919816</v>
      </c>
      <c r="B3584" t="str">
        <f>"1578729559805602"</f>
        <v>1578729559805602</v>
      </c>
      <c r="C3584" t="s">
        <v>37</v>
      </c>
      <c r="D3584">
        <v>5.7234800000000003</v>
      </c>
      <c r="E3584">
        <v>0.58110649999999997</v>
      </c>
      <c r="F3584" t="s">
        <v>39</v>
      </c>
      <c r="G3584">
        <v>-194.4229</v>
      </c>
      <c r="H3584" s="1">
        <v>-3.0447179999999999E-6</v>
      </c>
      <c r="I3584">
        <v>183.94319999999999</v>
      </c>
      <c r="J3584">
        <v>-190.845</v>
      </c>
      <c r="K3584">
        <v>1.101783</v>
      </c>
      <c r="L3584">
        <v>197.07409999999999</v>
      </c>
      <c r="M3584">
        <v>6.7842349999999996E-2</v>
      </c>
      <c r="N3584">
        <v>0</v>
      </c>
      <c r="O3584">
        <v>-0.99760000000000004</v>
      </c>
      <c r="P3584">
        <v>-6.5133380000000005E-2</v>
      </c>
      <c r="Q3584">
        <v>1.323245E-2</v>
      </c>
      <c r="R3584">
        <v>-0.99778889999999998</v>
      </c>
      <c r="S3584">
        <v>-0.7937012</v>
      </c>
      <c r="T3584">
        <v>-0.24487689999999901</v>
      </c>
      <c r="U3584">
        <v>-2.9603730000000001</v>
      </c>
      <c r="V3584">
        <v>0.1328561</v>
      </c>
      <c r="W3584">
        <v>2.6082250000000001E-2</v>
      </c>
      <c r="X3584">
        <v>0.99079209999999995</v>
      </c>
      <c r="Y3584">
        <v>0.3230923</v>
      </c>
      <c r="Z3584">
        <v>7.8561279999999997E-2</v>
      </c>
      <c r="AA3584">
        <v>0.94310099999999997</v>
      </c>
      <c r="AB3584">
        <v>19</v>
      </c>
      <c r="AC3584">
        <v>-3.5779000000000001</v>
      </c>
      <c r="AD3584">
        <v>-1.1017860447179999</v>
      </c>
      <c r="AE3584">
        <v>-13.130899999999899</v>
      </c>
      <c r="AF3584">
        <v>4.4315276722643002</v>
      </c>
      <c r="AG3584">
        <v>-1.1017860447179999</v>
      </c>
      <c r="AH3584">
        <v>12.774163845925999</v>
      </c>
      <c r="AI3584">
        <v>94.658566270706402</v>
      </c>
      <c r="AJ3584">
        <v>70.867658275223604</v>
      </c>
      <c r="AK3584">
        <v>13.565825885693201</v>
      </c>
    </row>
    <row r="3585" spans="1:37" x14ac:dyDescent="0.2">
      <c r="A3585" t="str">
        <f>"20200111155919839"</f>
        <v>20200111155919839</v>
      </c>
      <c r="B3585" t="str">
        <f>"1578729559835858"</f>
        <v>1578729559835858</v>
      </c>
      <c r="C3585" t="s">
        <v>37</v>
      </c>
      <c r="D3585">
        <v>5.6995839999999998</v>
      </c>
      <c r="E3585">
        <v>0.58075859999999901</v>
      </c>
      <c r="F3585" t="s">
        <v>39</v>
      </c>
      <c r="G3585">
        <v>-197.01079999999999</v>
      </c>
      <c r="H3585" s="1">
        <v>-4.058832E-6</v>
      </c>
      <c r="I3585">
        <v>175.2595</v>
      </c>
      <c r="J3585">
        <v>-190.8381</v>
      </c>
      <c r="K3585">
        <v>1.1019680000000001</v>
      </c>
      <c r="L3585">
        <v>196.87620000000001</v>
      </c>
      <c r="M3585">
        <v>6.258408E-2</v>
      </c>
      <c r="N3585">
        <v>0</v>
      </c>
      <c r="O3585">
        <v>-0.997944099999999</v>
      </c>
      <c r="P3585">
        <v>-7.0735000000000006E-2</v>
      </c>
      <c r="Q3585">
        <v>1.656347E-2</v>
      </c>
      <c r="R3585">
        <v>-0.99735750000000001</v>
      </c>
      <c r="S3585">
        <v>-0.83497619999999895</v>
      </c>
      <c r="T3585">
        <v>-0.14920329999999901</v>
      </c>
      <c r="U3585">
        <v>-2.9541169999999899</v>
      </c>
      <c r="V3585">
        <v>0.13320409999999999</v>
      </c>
      <c r="W3585">
        <v>2.9431209999999999E-2</v>
      </c>
      <c r="X3585">
        <v>0.99065149999999902</v>
      </c>
      <c r="Y3585">
        <v>0.3313741</v>
      </c>
      <c r="Z3585">
        <v>4.7932009999999997E-2</v>
      </c>
      <c r="AA3585">
        <v>0.94228109999999998</v>
      </c>
      <c r="AB3585">
        <v>19</v>
      </c>
      <c r="AC3585">
        <v>-6.1726999999999901</v>
      </c>
      <c r="AD3585">
        <v>-1.1019720588319999</v>
      </c>
      <c r="AE3585">
        <v>-21.616700000000002</v>
      </c>
      <c r="AF3585">
        <v>7.4955772218625896</v>
      </c>
      <c r="AG3585">
        <v>-1.1019720588319999</v>
      </c>
      <c r="AH3585">
        <v>21.137178312215699</v>
      </c>
      <c r="AI3585">
        <v>92.813038137318898</v>
      </c>
      <c r="AJ3585">
        <v>70.474689796078707</v>
      </c>
      <c r="AK3585">
        <v>22.453915634244201</v>
      </c>
    </row>
    <row r="3586" spans="1:37" x14ac:dyDescent="0.2">
      <c r="A3586" t="str">
        <f>"20200111155919862"</f>
        <v>20200111155919862</v>
      </c>
      <c r="B3586" t="str">
        <f>"1578729559855379"</f>
        <v>1578729559855379</v>
      </c>
      <c r="C3586" t="s">
        <v>37</v>
      </c>
      <c r="D3586">
        <v>5.7030120000000002</v>
      </c>
      <c r="E3586">
        <v>0.57927329999999999</v>
      </c>
      <c r="F3586" t="s">
        <v>39</v>
      </c>
      <c r="G3586">
        <v>-197.60830000000001</v>
      </c>
      <c r="H3586" s="1">
        <v>-3.51176899999999E-6</v>
      </c>
      <c r="I3586">
        <v>173.34039999999999</v>
      </c>
      <c r="J3586">
        <v>-190.83170000000001</v>
      </c>
      <c r="K3586">
        <v>1.102179</v>
      </c>
      <c r="L3586">
        <v>196.67660000000001</v>
      </c>
      <c r="M3586">
        <v>5.7604379999999997E-2</v>
      </c>
      <c r="N3586">
        <v>0</v>
      </c>
      <c r="O3586">
        <v>-0.99824429999999997</v>
      </c>
      <c r="P3586">
        <v>-7.6358330000000002E-2</v>
      </c>
      <c r="Q3586">
        <v>1.69278E-2</v>
      </c>
      <c r="R3586">
        <v>-0.99693670000000001</v>
      </c>
      <c r="S3586">
        <v>-0.84861759999999997</v>
      </c>
      <c r="T3586">
        <v>-0.1381259</v>
      </c>
      <c r="U3586">
        <v>-2.9500730000000002</v>
      </c>
      <c r="V3586">
        <v>0.1338346</v>
      </c>
      <c r="W3586">
        <v>2.9824429999999999E-2</v>
      </c>
      <c r="X3586">
        <v>0.99055479999999996</v>
      </c>
      <c r="Y3586">
        <v>0.33107979999999998</v>
      </c>
      <c r="Z3586">
        <v>4.4435059999999998E-2</v>
      </c>
      <c r="AA3586">
        <v>0.94255599999999995</v>
      </c>
      <c r="AB3586">
        <v>19</v>
      </c>
      <c r="AC3586">
        <v>-6.7766000000000002</v>
      </c>
      <c r="AD3586">
        <v>-1.1021825117690001</v>
      </c>
      <c r="AE3586">
        <v>-23.336200000000002</v>
      </c>
      <c r="AF3586">
        <v>8.0930908342791099</v>
      </c>
      <c r="AG3586">
        <v>-1.1021825117690001</v>
      </c>
      <c r="AH3586">
        <v>22.860014941633398</v>
      </c>
      <c r="AI3586">
        <v>92.602314351373096</v>
      </c>
      <c r="AJ3586">
        <v>70.504599142422194</v>
      </c>
      <c r="AK3586">
        <v>24.275362173875902</v>
      </c>
    </row>
    <row r="3587" spans="1:37" x14ac:dyDescent="0.2">
      <c r="A3587" t="str">
        <f>"20200111155919885"</f>
        <v>20200111155919885</v>
      </c>
      <c r="B3587" t="str">
        <f>"1578729559875874"</f>
        <v>1578729559875874</v>
      </c>
      <c r="C3587" t="s">
        <v>37</v>
      </c>
      <c r="D3587">
        <v>5.748786</v>
      </c>
      <c r="E3587">
        <v>0.57794140000000005</v>
      </c>
      <c r="F3587" t="s">
        <v>39</v>
      </c>
      <c r="G3587">
        <v>-196.66399999999999</v>
      </c>
      <c r="H3587" s="1">
        <v>-4.4254409999999997E-6</v>
      </c>
      <c r="I3587">
        <v>176.51750000000001</v>
      </c>
      <c r="J3587">
        <v>-190.82579999999999</v>
      </c>
      <c r="K3587">
        <v>1.102419</v>
      </c>
      <c r="L3587">
        <v>196.47299999999899</v>
      </c>
      <c r="M3587">
        <v>5.2904329999999999E-2</v>
      </c>
      <c r="N3587">
        <v>0</v>
      </c>
      <c r="O3587">
        <v>-0.99850519999999998</v>
      </c>
      <c r="P3587">
        <v>-8.0632839999999997E-2</v>
      </c>
      <c r="Q3587">
        <v>1.261759E-2</v>
      </c>
      <c r="R3587">
        <v>-0.99666429999999995</v>
      </c>
      <c r="S3587">
        <v>-0.852508499999999</v>
      </c>
      <c r="T3587">
        <v>-0.1611062</v>
      </c>
      <c r="U3587">
        <v>-2.9466549999999998</v>
      </c>
      <c r="V3587">
        <v>0.13338239999999901</v>
      </c>
      <c r="W3587">
        <v>2.556553E-2</v>
      </c>
      <c r="X3587">
        <v>0.99073489999999997</v>
      </c>
      <c r="Y3587">
        <v>0.32797509999999902</v>
      </c>
      <c r="Z3587">
        <v>5.1906399999999998E-2</v>
      </c>
      <c r="AA3587">
        <v>0.94325930000000002</v>
      </c>
      <c r="AB3587">
        <v>19</v>
      </c>
      <c r="AC3587">
        <v>-5.83820000000002</v>
      </c>
      <c r="AD3587">
        <v>-1.1024234254409999</v>
      </c>
      <c r="AE3587">
        <v>-19.955499999999901</v>
      </c>
      <c r="AF3587">
        <v>6.8665505914761402</v>
      </c>
      <c r="AG3587">
        <v>-1.1024234254409999</v>
      </c>
      <c r="AH3587">
        <v>19.5636545497991</v>
      </c>
      <c r="AI3587">
        <v>93.043586152827302</v>
      </c>
      <c r="AJ3587">
        <v>70.659688477031494</v>
      </c>
      <c r="AK3587">
        <v>20.762982294895298</v>
      </c>
    </row>
    <row r="3588" spans="1:37" x14ac:dyDescent="0.2">
      <c r="A3588" t="str">
        <f>"20200111155919916"</f>
        <v>20200111155919916</v>
      </c>
      <c r="B3588" t="str">
        <f>"1578729559905154"</f>
        <v>1578729559905154</v>
      </c>
      <c r="C3588" t="s">
        <v>37</v>
      </c>
      <c r="D3588">
        <v>5.6427620000000003</v>
      </c>
      <c r="E3588">
        <v>0.57652150000000002</v>
      </c>
      <c r="F3588" t="s">
        <v>39</v>
      </c>
      <c r="G3588">
        <v>-195.76769999999999</v>
      </c>
      <c r="H3588" s="1">
        <v>-5.2657229999999998E-6</v>
      </c>
      <c r="I3588">
        <v>179.45400000000001</v>
      </c>
      <c r="J3588">
        <v>-190.8185</v>
      </c>
      <c r="K3588">
        <v>1.1027610000000001</v>
      </c>
      <c r="L3588">
        <v>196.1952</v>
      </c>
      <c r="M3588">
        <v>4.7273959999999997E-2</v>
      </c>
      <c r="N3588">
        <v>0</v>
      </c>
      <c r="O3588">
        <v>-0.99878829999999996</v>
      </c>
      <c r="P3588">
        <v>-8.3553719999999998E-2</v>
      </c>
      <c r="Q3588">
        <v>6.9511879999999996E-3</v>
      </c>
      <c r="R3588">
        <v>-0.99647919999999901</v>
      </c>
      <c r="S3588">
        <v>-0.85465999999999998</v>
      </c>
      <c r="T3588">
        <v>-0.19065750000000001</v>
      </c>
      <c r="U3588">
        <v>-2.9433289999999999</v>
      </c>
      <c r="V3588">
        <v>0.13065599999999999</v>
      </c>
      <c r="W3588">
        <v>1.9987029999999999E-2</v>
      </c>
      <c r="X3588">
        <v>0.9912263</v>
      </c>
      <c r="Y3588">
        <v>0.32341370000000003</v>
      </c>
      <c r="Z3588">
        <v>6.1529130000000001E-2</v>
      </c>
      <c r="AA3588">
        <v>0.94425509999999901</v>
      </c>
      <c r="AB3588">
        <v>19</v>
      </c>
      <c r="AC3588">
        <v>-4.9491999999999896</v>
      </c>
      <c r="AD3588">
        <v>-1.102766265723</v>
      </c>
      <c r="AE3588">
        <v>-16.7411999999999</v>
      </c>
      <c r="AF3588">
        <v>5.7123683686914797</v>
      </c>
      <c r="AG3588">
        <v>-1.102766265723</v>
      </c>
      <c r="AH3588">
        <v>16.422956478464599</v>
      </c>
      <c r="AI3588">
        <v>93.628889108665007</v>
      </c>
      <c r="AJ3588">
        <v>70.820880928099299</v>
      </c>
      <c r="AK3588">
        <v>17.422994728518599</v>
      </c>
    </row>
    <row r="3589" spans="1:37" x14ac:dyDescent="0.2">
      <c r="A3589" t="str">
        <f>"20200111155919939"</f>
        <v>20200111155919939</v>
      </c>
      <c r="B3589" t="str">
        <f>"1578729559935411"</f>
        <v>1578729559935411</v>
      </c>
      <c r="C3589" t="s">
        <v>37</v>
      </c>
      <c r="D3589">
        <v>5.7755369999999999</v>
      </c>
      <c r="E3589">
        <v>0.57436540000000003</v>
      </c>
      <c r="F3589" t="s">
        <v>39</v>
      </c>
      <c r="G3589">
        <v>-195.2654</v>
      </c>
      <c r="H3589" s="1">
        <v>-1.94428E-6</v>
      </c>
      <c r="I3589">
        <v>180.85550000000001</v>
      </c>
      <c r="J3589">
        <v>-190.81370000000001</v>
      </c>
      <c r="K3589">
        <v>1.102978</v>
      </c>
      <c r="L3589">
        <v>196.0027</v>
      </c>
      <c r="M3589">
        <v>4.3777799999999999E-2</v>
      </c>
      <c r="N3589">
        <v>0</v>
      </c>
      <c r="O3589">
        <v>-0.99894780000000005</v>
      </c>
      <c r="P3589">
        <v>-8.6130209999999999E-2</v>
      </c>
      <c r="Q3589">
        <v>6.8967880000000001E-3</v>
      </c>
      <c r="R3589">
        <v>-0.99625969999999997</v>
      </c>
      <c r="S3589">
        <v>-0.85247799999999996</v>
      </c>
      <c r="T3589">
        <v>-0.21139869999999999</v>
      </c>
      <c r="U3589">
        <v>-2.940598</v>
      </c>
      <c r="V3589">
        <v>0.1297391</v>
      </c>
      <c r="W3589">
        <v>1.9974160000000001E-2</v>
      </c>
      <c r="X3589">
        <v>0.99134699999999998</v>
      </c>
      <c r="Y3589">
        <v>0.31956509999999999</v>
      </c>
      <c r="Z3589">
        <v>6.8321450000000006E-2</v>
      </c>
      <c r="AA3589">
        <v>0.94509799999999999</v>
      </c>
      <c r="AB3589">
        <v>19</v>
      </c>
      <c r="AC3589">
        <v>-4.4516999999999802</v>
      </c>
      <c r="AD3589">
        <v>-1.1029799442799999</v>
      </c>
      <c r="AE3589">
        <v>-15.1471999999999</v>
      </c>
      <c r="AF3589">
        <v>5.0857816859964702</v>
      </c>
      <c r="AG3589">
        <v>-1.1029799442799999</v>
      </c>
      <c r="AH3589">
        <v>14.8652175919455</v>
      </c>
      <c r="AI3589">
        <v>94.015786647215705</v>
      </c>
      <c r="AJ3589">
        <v>71.112834316800004</v>
      </c>
      <c r="AK3589">
        <v>15.749807432822401</v>
      </c>
    </row>
    <row r="3590" spans="1:37" x14ac:dyDescent="0.2">
      <c r="A3590" t="str">
        <f>"20200111155919961"</f>
        <v>20200111155919961</v>
      </c>
      <c r="B3590" t="str">
        <f>"1578729559955907"</f>
        <v>1578729559955907</v>
      </c>
      <c r="C3590" t="s">
        <v>37</v>
      </c>
      <c r="D3590">
        <v>5.933643</v>
      </c>
      <c r="E3590">
        <v>0.5735555</v>
      </c>
      <c r="F3590" t="s">
        <v>39</v>
      </c>
      <c r="G3590">
        <v>-194.88759999999999</v>
      </c>
      <c r="H3590" s="1">
        <v>-2.241022E-6</v>
      </c>
      <c r="I3590">
        <v>181.7816</v>
      </c>
      <c r="J3590">
        <v>-190.8091</v>
      </c>
      <c r="K3590">
        <v>1.1031789999999999</v>
      </c>
      <c r="L3590">
        <v>195.8064</v>
      </c>
      <c r="M3590">
        <v>4.0607169999999998E-2</v>
      </c>
      <c r="N3590">
        <v>0</v>
      </c>
      <c r="O3590">
        <v>-0.99908240000000004</v>
      </c>
      <c r="P3590">
        <v>-8.8575299999999996E-2</v>
      </c>
      <c r="Q3590">
        <v>8.3360369999999993E-3</v>
      </c>
      <c r="R3590">
        <v>-0.9960348</v>
      </c>
      <c r="S3590">
        <v>-0.84220890000000004</v>
      </c>
      <c r="T3590">
        <v>-0.2280248</v>
      </c>
      <c r="U3590">
        <v>-2.9400019999999998</v>
      </c>
      <c r="V3590">
        <v>0.12902049999999901</v>
      </c>
      <c r="W3590">
        <v>2.1449650000000001E-2</v>
      </c>
      <c r="X3590">
        <v>0.99140989999999996</v>
      </c>
      <c r="Y3590">
        <v>0.31344759999999999</v>
      </c>
      <c r="Z3590">
        <v>7.380668E-2</v>
      </c>
      <c r="AA3590">
        <v>0.94673289999999999</v>
      </c>
      <c r="AB3590">
        <v>19</v>
      </c>
      <c r="AC3590">
        <v>-4.0784999999999902</v>
      </c>
      <c r="AD3590">
        <v>-1.1031812410220001</v>
      </c>
      <c r="AE3590">
        <v>-14.024800000000001</v>
      </c>
      <c r="AF3590">
        <v>4.6183486851579501</v>
      </c>
      <c r="AG3590">
        <v>-1.1031812410220001</v>
      </c>
      <c r="AH3590">
        <v>13.769048123414001</v>
      </c>
      <c r="AI3590">
        <v>94.343918645915394</v>
      </c>
      <c r="AJ3590">
        <v>71.457761903366602</v>
      </c>
      <c r="AK3590">
        <v>14.5647807966043</v>
      </c>
    </row>
    <row r="3591" spans="1:37" x14ac:dyDescent="0.2">
      <c r="A3591" t="str">
        <f>"20200111155919984"</f>
        <v>20200111155919984</v>
      </c>
      <c r="B3591" t="str">
        <f>"1578729559975427"</f>
        <v>1578729559975427</v>
      </c>
      <c r="C3591" t="s">
        <v>37</v>
      </c>
      <c r="D3591">
        <v>5.8152699999999999</v>
      </c>
      <c r="E3591">
        <v>0.57279859999999905</v>
      </c>
      <c r="F3591" t="s">
        <v>39</v>
      </c>
      <c r="G3591">
        <v>-194.9735</v>
      </c>
      <c r="H3591" s="1">
        <v>-2.0469560000000001E-6</v>
      </c>
      <c r="I3591">
        <v>181.27590000000001</v>
      </c>
      <c r="J3591">
        <v>-190.8048</v>
      </c>
      <c r="K3591">
        <v>1.1033919999999999</v>
      </c>
      <c r="L3591">
        <v>195.61519999999999</v>
      </c>
      <c r="M3591">
        <v>3.7962660000000002E-2</v>
      </c>
      <c r="N3591">
        <v>0</v>
      </c>
      <c r="O3591">
        <v>-0.99918660000000004</v>
      </c>
      <c r="P3591">
        <v>-9.0074349999999997E-2</v>
      </c>
      <c r="Q3591">
        <v>8.8724979999999995E-3</v>
      </c>
      <c r="R3591">
        <v>-0.9958958</v>
      </c>
      <c r="S3591">
        <v>-0.84226990000000002</v>
      </c>
      <c r="T3591">
        <v>-0.22312559999999901</v>
      </c>
      <c r="U3591">
        <v>-2.9388730000000001</v>
      </c>
      <c r="V3591">
        <v>0.12787879999999999</v>
      </c>
      <c r="W3591">
        <v>2.20284E-2</v>
      </c>
      <c r="X3591">
        <v>0.99154509999999996</v>
      </c>
      <c r="Y3591">
        <v>0.3110791</v>
      </c>
      <c r="Z3591">
        <v>7.2296609999999997E-2</v>
      </c>
      <c r="AA3591">
        <v>0.94763019999999998</v>
      </c>
      <c r="AB3591">
        <v>19</v>
      </c>
      <c r="AC3591">
        <v>-4.1687000000000003</v>
      </c>
      <c r="AD3591">
        <v>-1.103394046956</v>
      </c>
      <c r="AE3591">
        <v>-14.3392999999999</v>
      </c>
      <c r="AF3591">
        <v>4.6845266776456</v>
      </c>
      <c r="AG3591">
        <v>-1.103394046956</v>
      </c>
      <c r="AH3591">
        <v>14.0937445048323</v>
      </c>
      <c r="AI3591">
        <v>94.248881625975102</v>
      </c>
      <c r="AJ3591">
        <v>71.614049727416898</v>
      </c>
      <c r="AK3591">
        <v>14.892813796724999</v>
      </c>
    </row>
    <row r="3592" spans="1:37" x14ac:dyDescent="0.2">
      <c r="A3592" t="str">
        <f>"20200111155920006"</f>
        <v>20200111155920006</v>
      </c>
      <c r="B3592" t="str">
        <f>"1578729559995923"</f>
        <v>1578729559995923</v>
      </c>
      <c r="C3592" t="s">
        <v>37</v>
      </c>
      <c r="D3592">
        <v>5.8568949999999997</v>
      </c>
      <c r="E3592">
        <v>0.57219219999999904</v>
      </c>
      <c r="F3592" t="s">
        <v>39</v>
      </c>
      <c r="G3592">
        <v>-195.07589999999999</v>
      </c>
      <c r="H3592" s="1">
        <v>-1.8153739999999999E-6</v>
      </c>
      <c r="I3592">
        <v>180.67250000000001</v>
      </c>
      <c r="J3592">
        <v>-190.8006</v>
      </c>
      <c r="K3592">
        <v>1.1036349999999999</v>
      </c>
      <c r="L3592">
        <v>195.4273</v>
      </c>
      <c r="M3592">
        <v>3.5824160000000001E-2</v>
      </c>
      <c r="N3592">
        <v>0</v>
      </c>
      <c r="O3592">
        <v>-0.99926610000000005</v>
      </c>
      <c r="P3592">
        <v>-9.0985220000000006E-2</v>
      </c>
      <c r="Q3592">
        <v>9.0459340000000003E-3</v>
      </c>
      <c r="R3592">
        <v>-0.99581119999999901</v>
      </c>
      <c r="S3592">
        <v>-0.83987429999999996</v>
      </c>
      <c r="T3592">
        <v>-0.216969999999999</v>
      </c>
      <c r="U3592">
        <v>-2.9383089999999998</v>
      </c>
      <c r="V3592">
        <v>0.1266506</v>
      </c>
      <c r="W3592">
        <v>2.2237679999999999E-2</v>
      </c>
      <c r="X3592">
        <v>0.99169810000000003</v>
      </c>
      <c r="Y3592">
        <v>0.30841669999999999</v>
      </c>
      <c r="Z3592">
        <v>7.0373160000000004E-2</v>
      </c>
      <c r="AA3592">
        <v>0.94864470000000001</v>
      </c>
      <c r="AB3592">
        <v>19</v>
      </c>
      <c r="AC3592">
        <v>-4.2752999999999801</v>
      </c>
      <c r="AD3592">
        <v>-1.1036368153739999</v>
      </c>
      <c r="AE3592">
        <v>-14.7547999999999</v>
      </c>
      <c r="AF3592">
        <v>4.7765282617719604</v>
      </c>
      <c r="AG3592">
        <v>-1.1036368153739999</v>
      </c>
      <c r="AH3592">
        <v>14.5172240356393</v>
      </c>
      <c r="AI3592">
        <v>94.130395928876496</v>
      </c>
      <c r="AJ3592">
        <v>71.787506865701403</v>
      </c>
      <c r="AK3592">
        <v>15.322631306557501</v>
      </c>
    </row>
    <row r="3593" spans="1:37" x14ac:dyDescent="0.2">
      <c r="A3593" t="str">
        <f>"20200111155920029"</f>
        <v>20200111155920029</v>
      </c>
      <c r="B3593" t="str">
        <f>"1578729560025203"</f>
        <v>1578729560025203</v>
      </c>
      <c r="C3593" t="s">
        <v>37</v>
      </c>
      <c r="D3593">
        <v>5.8391099999999998</v>
      </c>
      <c r="E3593">
        <v>0.57117059999999997</v>
      </c>
      <c r="F3593" t="s">
        <v>39</v>
      </c>
      <c r="G3593">
        <v>-195.21029999999999</v>
      </c>
      <c r="H3593" s="1">
        <v>-1.543817E-6</v>
      </c>
      <c r="I3593">
        <v>179.9562</v>
      </c>
      <c r="J3593">
        <v>-190.7961</v>
      </c>
      <c r="K3593">
        <v>1.103899</v>
      </c>
      <c r="L3593">
        <v>195.23070000000001</v>
      </c>
      <c r="M3593">
        <v>3.4062589999999997E-2</v>
      </c>
      <c r="N3593">
        <v>0</v>
      </c>
      <c r="O3593">
        <v>-0.99932940000000003</v>
      </c>
      <c r="P3593">
        <v>-9.1480580000000006E-2</v>
      </c>
      <c r="Q3593">
        <v>9.2458230000000002E-3</v>
      </c>
      <c r="R3593">
        <v>-0.99576409999999904</v>
      </c>
      <c r="S3593">
        <v>-0.83741759999999998</v>
      </c>
      <c r="T3593">
        <v>-0.20958449999999901</v>
      </c>
      <c r="U3593">
        <v>-2.9380189999999899</v>
      </c>
      <c r="V3593">
        <v>0.12537980000000001</v>
      </c>
      <c r="W3593">
        <v>2.2415020000000001E-2</v>
      </c>
      <c r="X3593">
        <v>0.99185559999999995</v>
      </c>
      <c r="Y3593">
        <v>0.30607519999999999</v>
      </c>
      <c r="Z3593">
        <v>6.80365E-2</v>
      </c>
      <c r="AA3593">
        <v>0.949573</v>
      </c>
      <c r="AB3593">
        <v>19</v>
      </c>
      <c r="AC3593">
        <v>-4.4141999999999904</v>
      </c>
      <c r="AD3593">
        <v>-1.103900543817</v>
      </c>
      <c r="AE3593">
        <v>-15.2745</v>
      </c>
      <c r="AF3593">
        <v>4.9083135343022404</v>
      </c>
      <c r="AG3593">
        <v>-1.103900543817</v>
      </c>
      <c r="AH3593">
        <v>15.0427486650192</v>
      </c>
      <c r="AI3593">
        <v>93.990738590169897</v>
      </c>
      <c r="AJ3593">
        <v>71.928961405310403</v>
      </c>
      <c r="AK3593">
        <v>15.8617283282935</v>
      </c>
    </row>
    <row r="3594" spans="1:37" x14ac:dyDescent="0.2">
      <c r="A3594" t="str">
        <f>"20200111155920052"</f>
        <v>20200111155920052</v>
      </c>
      <c r="B3594" t="str">
        <f>"1578729560045699"</f>
        <v>1578729560045699</v>
      </c>
      <c r="C3594" t="s">
        <v>37</v>
      </c>
      <c r="D3594">
        <v>5.8628629999999999</v>
      </c>
      <c r="E3594">
        <v>0.57038100000000003</v>
      </c>
      <c r="F3594" t="s">
        <v>39</v>
      </c>
      <c r="G3594">
        <v>-195.30850000000001</v>
      </c>
      <c r="H3594" s="1">
        <v>-5.1194819999999998E-6</v>
      </c>
      <c r="I3594">
        <v>179.26349999999999</v>
      </c>
      <c r="J3594">
        <v>-190.7912</v>
      </c>
      <c r="K3594">
        <v>1.104128</v>
      </c>
      <c r="L3594">
        <v>195.03030000000001</v>
      </c>
      <c r="M3594">
        <v>3.2657209999999999E-2</v>
      </c>
      <c r="N3594">
        <v>0</v>
      </c>
      <c r="O3594">
        <v>-0.9993784</v>
      </c>
      <c r="P3594">
        <v>-9.0861639999999994E-2</v>
      </c>
      <c r="Q3594">
        <v>8.5264969999999992E-3</v>
      </c>
      <c r="R3594">
        <v>-0.99582719999999902</v>
      </c>
      <c r="S3594">
        <v>-0.83039859999999899</v>
      </c>
      <c r="T3594">
        <v>-0.2031443</v>
      </c>
      <c r="U3594">
        <v>-2.938339</v>
      </c>
      <c r="V3594">
        <v>0.1233527</v>
      </c>
      <c r="W3594">
        <v>2.1613170000000001E-2</v>
      </c>
      <c r="X3594">
        <v>0.99212749999999905</v>
      </c>
      <c r="Y3594">
        <v>0.30264540000000001</v>
      </c>
      <c r="Z3594">
        <v>6.6011570000000006E-2</v>
      </c>
      <c r="AA3594">
        <v>0.95081450000000001</v>
      </c>
      <c r="AB3594">
        <v>19</v>
      </c>
      <c r="AC3594">
        <v>-4.5172999999999996</v>
      </c>
      <c r="AD3594">
        <v>-1.1041331194820001</v>
      </c>
      <c r="AE3594">
        <v>-15.7668</v>
      </c>
      <c r="AF3594">
        <v>5.0071426185543597</v>
      </c>
      <c r="AG3594">
        <v>-1.1041331194820001</v>
      </c>
      <c r="AH3594">
        <v>15.5404234180162</v>
      </c>
      <c r="AI3594">
        <v>93.868767409544503</v>
      </c>
      <c r="AJ3594">
        <v>72.140998646077307</v>
      </c>
      <c r="AK3594">
        <v>16.364453769047898</v>
      </c>
    </row>
    <row r="3595" spans="1:37" x14ac:dyDescent="0.2">
      <c r="A3595" t="str">
        <f>"20200111155920074"</f>
        <v>20200111155920074</v>
      </c>
      <c r="B3595" t="str">
        <f>"1578729560065218"</f>
        <v>1578729560065218</v>
      </c>
      <c r="C3595" t="s">
        <v>37</v>
      </c>
      <c r="D3595">
        <v>5.8577240000000002</v>
      </c>
      <c r="E3595">
        <v>0.56954649999999996</v>
      </c>
      <c r="F3595" t="s">
        <v>39</v>
      </c>
      <c r="G3595">
        <v>-195.09870000000001</v>
      </c>
      <c r="H3595" s="1">
        <v>-1.3695829999999999E-6</v>
      </c>
      <c r="I3595">
        <v>179.61930000000001</v>
      </c>
      <c r="J3595">
        <v>-190.78639999999999</v>
      </c>
      <c r="K3595">
        <v>1.1042860000000001</v>
      </c>
      <c r="L3595">
        <v>194.8409</v>
      </c>
      <c r="M3595">
        <v>3.1697919999999997E-2</v>
      </c>
      <c r="N3595">
        <v>0</v>
      </c>
      <c r="O3595">
        <v>-0.99941209999999903</v>
      </c>
      <c r="P3595">
        <v>-8.9285920000000005E-2</v>
      </c>
      <c r="Q3595">
        <v>8.3208339999999992E-3</v>
      </c>
      <c r="R3595">
        <v>-0.99597139999999995</v>
      </c>
      <c r="S3595">
        <v>-0.82157899999999995</v>
      </c>
      <c r="T3595">
        <v>-0.21059529999999901</v>
      </c>
      <c r="U3595">
        <v>-2.9394070000000001</v>
      </c>
      <c r="V3595">
        <v>0.1208183</v>
      </c>
      <c r="W3595">
        <v>2.1266110000000001E-2</v>
      </c>
      <c r="X3595">
        <v>0.99244679999999996</v>
      </c>
      <c r="Y3595">
        <v>0.29894929999999997</v>
      </c>
      <c r="Z3595">
        <v>6.8468479999999998E-2</v>
      </c>
      <c r="AA3595">
        <v>0.95180949999999998</v>
      </c>
      <c r="AB3595">
        <v>19</v>
      </c>
      <c r="AC3595">
        <v>-4.31230000000002</v>
      </c>
      <c r="AD3595">
        <v>-1.104287369583</v>
      </c>
      <c r="AE3595">
        <v>-15.221599999999899</v>
      </c>
      <c r="AF3595">
        <v>4.7694298217429099</v>
      </c>
      <c r="AG3595">
        <v>-1.104287369583</v>
      </c>
      <c r="AH3595">
        <v>15.004145579683801</v>
      </c>
      <c r="AI3595">
        <v>94.012180419568196</v>
      </c>
      <c r="AJ3595">
        <v>72.3658853942663</v>
      </c>
      <c r="AK3595">
        <v>15.7826263972603</v>
      </c>
    </row>
    <row r="3596" spans="1:37" x14ac:dyDescent="0.2">
      <c r="A3596" t="str">
        <f>"20200111155920095"</f>
        <v>20200111155920095</v>
      </c>
      <c r="B3596" t="str">
        <f>"1578729560085713"</f>
        <v>1578729560085713</v>
      </c>
      <c r="C3596" t="s">
        <v>37</v>
      </c>
      <c r="D3596">
        <v>5.9246699999999999</v>
      </c>
      <c r="E3596">
        <v>0.56911750000000005</v>
      </c>
      <c r="F3596" t="s">
        <v>39</v>
      </c>
      <c r="G3596">
        <v>-194.85239999999999</v>
      </c>
      <c r="H3596" s="1">
        <v>-1.4941109999999999E-6</v>
      </c>
      <c r="I3596">
        <v>180.06229999999999</v>
      </c>
      <c r="J3596">
        <v>-190.78149999999999</v>
      </c>
      <c r="K3596">
        <v>1.1044</v>
      </c>
      <c r="L3596">
        <v>194.65969999999999</v>
      </c>
      <c r="M3596">
        <v>3.1148439999999999E-2</v>
      </c>
      <c r="N3596">
        <v>0</v>
      </c>
      <c r="O3596">
        <v>-0.99943300000000002</v>
      </c>
      <c r="P3596">
        <v>-8.7211810000000001E-2</v>
      </c>
      <c r="Q3596">
        <v>7.50862199999999E-3</v>
      </c>
      <c r="R3596">
        <v>-0.99616159999999998</v>
      </c>
      <c r="S3596">
        <v>-0.80926509999999996</v>
      </c>
      <c r="T3596">
        <v>-0.21978909999999999</v>
      </c>
      <c r="U3596">
        <v>-2.9414220000000002</v>
      </c>
      <c r="V3596">
        <v>0.118196299999999</v>
      </c>
      <c r="W3596">
        <v>2.0239699999999999E-2</v>
      </c>
      <c r="X3596">
        <v>0.992784</v>
      </c>
      <c r="Y3596">
        <v>0.29449599999999998</v>
      </c>
      <c r="Z3596">
        <v>7.1486519999999998E-2</v>
      </c>
      <c r="AA3596">
        <v>0.95297520000000002</v>
      </c>
      <c r="AB3596">
        <v>19</v>
      </c>
      <c r="AC3596">
        <v>-4.0708999999999902</v>
      </c>
      <c r="AD3596">
        <v>-1.1044014941110001</v>
      </c>
      <c r="AE3596">
        <v>-14.597399999999899</v>
      </c>
      <c r="AF3596">
        <v>4.4997496245530604</v>
      </c>
      <c r="AG3596">
        <v>-1.1044014941110001</v>
      </c>
      <c r="AH3596">
        <v>14.3870934642558</v>
      </c>
      <c r="AI3596">
        <v>94.190208392947198</v>
      </c>
      <c r="AJ3596">
        <v>72.632251464999698</v>
      </c>
      <c r="AK3596">
        <v>15.1147579435826</v>
      </c>
    </row>
    <row r="3597" spans="1:37" x14ac:dyDescent="0.2">
      <c r="A3597" t="str">
        <f>"20200111155920118"</f>
        <v>20200111155920118</v>
      </c>
      <c r="B3597" t="str">
        <f>"1578729560115970"</f>
        <v>1578729560115970</v>
      </c>
      <c r="C3597" t="s">
        <v>37</v>
      </c>
      <c r="D3597">
        <v>5.6923110000000001</v>
      </c>
      <c r="E3597">
        <v>0.56659780000000004</v>
      </c>
      <c r="F3597" t="s">
        <v>39</v>
      </c>
      <c r="G3597">
        <v>-194.70160000000001</v>
      </c>
      <c r="H3597" s="1">
        <v>-1.5252659999999999E-6</v>
      </c>
      <c r="I3597">
        <v>180.2285</v>
      </c>
      <c r="J3597">
        <v>-190.7756</v>
      </c>
      <c r="K3597">
        <v>1.1044969999999901</v>
      </c>
      <c r="L3597">
        <v>194.45339999999999</v>
      </c>
      <c r="M3597">
        <v>3.0941630000000001E-2</v>
      </c>
      <c r="N3597">
        <v>0</v>
      </c>
      <c r="O3597">
        <v>-0.99944460000000002</v>
      </c>
      <c r="P3597">
        <v>-8.4097560000000002E-2</v>
      </c>
      <c r="Q3597">
        <v>6.0413109999999997E-3</v>
      </c>
      <c r="R3597">
        <v>-0.99643959999999998</v>
      </c>
      <c r="S3597">
        <v>-0.79951479999999997</v>
      </c>
      <c r="T3597">
        <v>-0.22524629999999901</v>
      </c>
      <c r="U3597">
        <v>-2.9432830000000001</v>
      </c>
      <c r="V3597">
        <v>0.1148788</v>
      </c>
      <c r="W3597">
        <v>1.843378E-2</v>
      </c>
      <c r="X3597">
        <v>0.99320849999999905</v>
      </c>
      <c r="Y3597">
        <v>0.2911705</v>
      </c>
      <c r="Z3597">
        <v>7.3277259999999997E-2</v>
      </c>
      <c r="AA3597">
        <v>0.95386059999999995</v>
      </c>
      <c r="AB3597">
        <v>19</v>
      </c>
      <c r="AC3597">
        <v>-3.9260000000000099</v>
      </c>
      <c r="AD3597">
        <v>-1.10449852526599</v>
      </c>
      <c r="AE3597">
        <v>-14.2248999999999</v>
      </c>
      <c r="AF3597">
        <v>4.3399822591405197</v>
      </c>
      <c r="AG3597">
        <v>-1.10449852526599</v>
      </c>
      <c r="AH3597">
        <v>14.018071414264099</v>
      </c>
      <c r="AI3597">
        <v>94.304329810879395</v>
      </c>
      <c r="AJ3597">
        <v>72.797522318596904</v>
      </c>
      <c r="AK3597">
        <v>14.7160351038375</v>
      </c>
    </row>
    <row r="3598" spans="1:37" x14ac:dyDescent="0.2">
      <c r="A3598" t="str">
        <f>"20200111155920141"</f>
        <v>20200111155920141</v>
      </c>
      <c r="B3598" t="str">
        <f>"1578729560135491"</f>
        <v>1578729560135491</v>
      </c>
      <c r="C3598" t="s">
        <v>37</v>
      </c>
      <c r="D3598">
        <v>5.7720570000000002</v>
      </c>
      <c r="E3598">
        <v>0.44640059999999898</v>
      </c>
      <c r="F3598" t="s">
        <v>39</v>
      </c>
      <c r="G3598">
        <v>-194.49760000000001</v>
      </c>
      <c r="H3598" s="1">
        <v>-1.4650890000000001E-6</v>
      </c>
      <c r="I3598">
        <v>180.21469999999999</v>
      </c>
      <c r="J3598">
        <v>-190.7698</v>
      </c>
      <c r="K3598">
        <v>1.1045609999999999</v>
      </c>
      <c r="L3598">
        <v>194.2627</v>
      </c>
      <c r="M3598">
        <v>3.1084730000000001E-2</v>
      </c>
      <c r="N3598">
        <v>0</v>
      </c>
      <c r="O3598">
        <v>-0.99944560000000005</v>
      </c>
      <c r="P3598">
        <v>-8.0120529999999995E-2</v>
      </c>
      <c r="Q3598">
        <v>3.0654739999999999E-3</v>
      </c>
      <c r="R3598">
        <v>-0.99678089999999997</v>
      </c>
      <c r="S3598">
        <v>-0.77037049999999996</v>
      </c>
      <c r="T3598">
        <v>-0.22860810000000001</v>
      </c>
      <c r="U3598">
        <v>-2.947098</v>
      </c>
      <c r="V3598">
        <v>0.1110529</v>
      </c>
      <c r="W3598">
        <v>1.5067779999999999E-2</v>
      </c>
      <c r="X3598">
        <v>0.99370029999999998</v>
      </c>
      <c r="Y3598">
        <v>0.28215200000000001</v>
      </c>
      <c r="Z3598">
        <v>7.4466879999999999E-2</v>
      </c>
      <c r="AA3598">
        <v>0.95647530000000003</v>
      </c>
      <c r="AB3598">
        <v>19</v>
      </c>
      <c r="AC3598">
        <v>-3.7277999999999998</v>
      </c>
      <c r="AD3598">
        <v>-1.104562465089</v>
      </c>
      <c r="AE3598">
        <v>-14.048</v>
      </c>
      <c r="AF3598">
        <v>4.1388034823222197</v>
      </c>
      <c r="AG3598">
        <v>-1.104562465089</v>
      </c>
      <c r="AH3598">
        <v>13.845358942616199</v>
      </c>
      <c r="AI3598">
        <v>94.370985888863999</v>
      </c>
      <c r="AJ3598">
        <v>73.356977541975795</v>
      </c>
      <c r="AK3598">
        <v>14.4928850390269</v>
      </c>
    </row>
    <row r="3599" spans="1:37" x14ac:dyDescent="0.2">
      <c r="A3599" t="str">
        <f>"20200111155920162"</f>
        <v>20200111155920162</v>
      </c>
      <c r="B3599" t="str">
        <f>"1578729560155986"</f>
        <v>1578729560155986</v>
      </c>
      <c r="C3599" t="s">
        <v>37</v>
      </c>
      <c r="D3599">
        <v>5.746683</v>
      </c>
      <c r="E3599">
        <v>0.44572529999999999</v>
      </c>
      <c r="F3599" t="s">
        <v>39</v>
      </c>
      <c r="G3599">
        <v>-189.76329999999999</v>
      </c>
      <c r="H3599" s="1">
        <v>-3.9625410000000003E-6</v>
      </c>
      <c r="I3599">
        <v>178.77170000000001</v>
      </c>
      <c r="J3599">
        <v>-190.76349999999999</v>
      </c>
      <c r="K3599">
        <v>1.1046009999999999</v>
      </c>
      <c r="L3599">
        <v>194.0701</v>
      </c>
      <c r="M3599">
        <v>3.1497440000000002E-2</v>
      </c>
      <c r="N3599">
        <v>0</v>
      </c>
      <c r="O3599">
        <v>-0.9994383</v>
      </c>
      <c r="P3599">
        <v>-7.5256569999999995E-2</v>
      </c>
      <c r="Q3599">
        <v>1.6427409999999901E-4</v>
      </c>
      <c r="R3599">
        <v>-0.9971643</v>
      </c>
      <c r="S3599">
        <v>0.19660949999999999</v>
      </c>
      <c r="T3599">
        <v>-0.21577579999999999</v>
      </c>
      <c r="U3599">
        <v>-3.026154</v>
      </c>
      <c r="V3599">
        <v>0.10661320000000001</v>
      </c>
      <c r="W3599">
        <v>1.1704000000000001E-2</v>
      </c>
      <c r="X3599">
        <v>0.99423169999999905</v>
      </c>
      <c r="Y3599">
        <v>-3.3204440000000002E-2</v>
      </c>
      <c r="Z3599">
        <v>7.0976250000000005E-2</v>
      </c>
      <c r="AA3599">
        <v>0.99692519999999996</v>
      </c>
      <c r="AB3599">
        <v>19</v>
      </c>
      <c r="AC3599">
        <v>1.0002</v>
      </c>
      <c r="AD3599">
        <v>-1.1046049625409999</v>
      </c>
      <c r="AE3599">
        <v>-15.2983999999999</v>
      </c>
      <c r="AF3599">
        <v>-0.51513747565065604</v>
      </c>
      <c r="AG3599">
        <v>-1.1046049625409999</v>
      </c>
      <c r="AH3599">
        <v>15.2431835026402</v>
      </c>
      <c r="AI3599">
        <v>94.142366099259405</v>
      </c>
      <c r="AJ3599">
        <v>91.935552026388706</v>
      </c>
      <c r="AK3599">
        <v>15.2918331810562</v>
      </c>
    </row>
    <row r="3600" spans="1:37" x14ac:dyDescent="0.2">
      <c r="A3600" t="str">
        <f>"20200111155920185"</f>
        <v>20200111155920185</v>
      </c>
      <c r="B3600" t="str">
        <f>"1578729560175506"</f>
        <v>1578729560175506</v>
      </c>
      <c r="C3600" t="s">
        <v>37</v>
      </c>
      <c r="D3600">
        <v>6.282114</v>
      </c>
      <c r="E3600">
        <v>0.4454574</v>
      </c>
      <c r="F3600" t="s">
        <v>39</v>
      </c>
      <c r="G3600">
        <v>-189.6754</v>
      </c>
      <c r="H3600" s="1">
        <v>-4.0077099999999996E-6</v>
      </c>
      <c r="I3600">
        <v>178.84059999999999</v>
      </c>
      <c r="J3600">
        <v>-190.75700000000001</v>
      </c>
      <c r="K3600">
        <v>1.104619</v>
      </c>
      <c r="L3600">
        <v>193.88200000000001</v>
      </c>
      <c r="M3600">
        <v>3.2125210000000001E-2</v>
      </c>
      <c r="N3600">
        <v>0</v>
      </c>
      <c r="O3600">
        <v>-0.99942439999999999</v>
      </c>
      <c r="P3600">
        <v>-6.9029480000000004E-2</v>
      </c>
      <c r="Q3600">
        <v>-1.209283E-3</v>
      </c>
      <c r="R3600">
        <v>-0.997613999999999</v>
      </c>
      <c r="S3600">
        <v>0.2161255</v>
      </c>
      <c r="T3600">
        <v>-0.21940109999999999</v>
      </c>
      <c r="U3600">
        <v>-3.0249329999999999</v>
      </c>
      <c r="V3600">
        <v>0.1010279</v>
      </c>
      <c r="W3600">
        <v>9.8101159999999903E-3</v>
      </c>
      <c r="X3600">
        <v>0.99483519999999903</v>
      </c>
      <c r="Y3600">
        <v>-3.899826E-2</v>
      </c>
      <c r="Z3600">
        <v>7.2166010000000003E-2</v>
      </c>
      <c r="AA3600">
        <v>0.99662989999999996</v>
      </c>
      <c r="AB3600">
        <v>19</v>
      </c>
      <c r="AC3600">
        <v>1.0815999999999999</v>
      </c>
      <c r="AD3600">
        <v>-1.1046230077100001</v>
      </c>
      <c r="AE3600">
        <v>-15.041399999999999</v>
      </c>
      <c r="AF3600">
        <v>-0.59461440457001902</v>
      </c>
      <c r="AG3600">
        <v>-1.1046230077100001</v>
      </c>
      <c r="AH3600">
        <v>14.9879659583513</v>
      </c>
      <c r="AI3600">
        <v>94.211814699948604</v>
      </c>
      <c r="AJ3600">
        <v>92.271891913411494</v>
      </c>
      <c r="AK3600">
        <v>15.040375056759199</v>
      </c>
    </row>
    <row r="3601" spans="1:37" x14ac:dyDescent="0.2">
      <c r="A3601" t="str">
        <f>"20200111155920207"</f>
        <v>20200111155920207</v>
      </c>
      <c r="B3601" t="str">
        <f>"1578729560205763"</f>
        <v>1578729560205763</v>
      </c>
      <c r="C3601" t="s">
        <v>37</v>
      </c>
      <c r="D3601">
        <v>5.6678579999999998</v>
      </c>
      <c r="E3601">
        <v>0.44652120000000001</v>
      </c>
      <c r="F3601" t="s">
        <v>39</v>
      </c>
      <c r="G3601">
        <v>-189.5924</v>
      </c>
      <c r="H3601" s="1">
        <v>-4.0855540000000003E-6</v>
      </c>
      <c r="I3601">
        <v>178.98779999999999</v>
      </c>
      <c r="J3601">
        <v>-190.74969999999999</v>
      </c>
      <c r="K3601">
        <v>1.104611</v>
      </c>
      <c r="L3601">
        <v>193.6823</v>
      </c>
      <c r="M3601">
        <v>3.3006470000000003E-2</v>
      </c>
      <c r="N3601">
        <v>0</v>
      </c>
      <c r="O3601">
        <v>-0.99940260000000003</v>
      </c>
      <c r="P3601">
        <v>-6.0689550000000002E-2</v>
      </c>
      <c r="Q3601">
        <v>-1.581725E-3</v>
      </c>
      <c r="R3601">
        <v>-0.99815540000000003</v>
      </c>
      <c r="S3601">
        <v>0.23638919999999999</v>
      </c>
      <c r="T3601">
        <v>-0.22421630000000001</v>
      </c>
      <c r="U3601">
        <v>-3.0232389999999998</v>
      </c>
      <c r="V3601">
        <v>9.3587180000000006E-2</v>
      </c>
      <c r="W3601">
        <v>8.8064179999999999E-3</v>
      </c>
      <c r="X3601">
        <v>0.99557209999999996</v>
      </c>
      <c r="Y3601">
        <v>-4.4790160000000002E-2</v>
      </c>
      <c r="Z3601">
        <v>7.3751849999999994E-2</v>
      </c>
      <c r="AA3601">
        <v>0.99627030000000005</v>
      </c>
      <c r="AB3601">
        <v>20</v>
      </c>
      <c r="AC3601">
        <v>1.15729999999999</v>
      </c>
      <c r="AD3601">
        <v>-1.104615085554</v>
      </c>
      <c r="AE3601">
        <v>-14.6945</v>
      </c>
      <c r="AF3601">
        <v>-0.66787951348429397</v>
      </c>
      <c r="AG3601">
        <v>-1.104615085554</v>
      </c>
      <c r="AH3601">
        <v>14.6424610686473</v>
      </c>
      <c r="AI3601">
        <v>94.309710310944297</v>
      </c>
      <c r="AJ3601">
        <v>92.611594613883796</v>
      </c>
      <c r="AK3601">
        <v>14.6992484052286</v>
      </c>
    </row>
    <row r="3602" spans="1:37" x14ac:dyDescent="0.2">
      <c r="A3602" t="str">
        <f>"20200111155920229"</f>
        <v>20200111155920229</v>
      </c>
      <c r="B3602" t="str">
        <f>"1578729560225283"</f>
        <v>1578729560225283</v>
      </c>
      <c r="C3602" t="s">
        <v>37</v>
      </c>
      <c r="D3602">
        <v>5.6941220000000001</v>
      </c>
      <c r="E3602">
        <v>0.44846359999999902</v>
      </c>
      <c r="F3602" t="s">
        <v>39</v>
      </c>
      <c r="G3602">
        <v>-188.11840000000001</v>
      </c>
      <c r="H3602" s="1">
        <v>-1.2679829999999999E-6</v>
      </c>
      <c r="I3602">
        <v>161.60759999999999</v>
      </c>
      <c r="J3602">
        <v>-190.74209999999999</v>
      </c>
      <c r="K3602">
        <v>1.1045639999999901</v>
      </c>
      <c r="L3602">
        <v>193.4871</v>
      </c>
      <c r="M3602">
        <v>3.4012840000000003E-2</v>
      </c>
      <c r="N3602">
        <v>0</v>
      </c>
      <c r="O3602">
        <v>-0.99937540000000002</v>
      </c>
      <c r="P3602">
        <v>-4.7167290000000001E-2</v>
      </c>
      <c r="Q3602">
        <v>-6.2028379999999996E-4</v>
      </c>
      <c r="R3602">
        <v>-0.99888690000000002</v>
      </c>
      <c r="S3602">
        <v>0.24778749999999999</v>
      </c>
      <c r="T3602">
        <v>-0.104019</v>
      </c>
      <c r="U3602">
        <v>-3.020416</v>
      </c>
      <c r="V3602">
        <v>8.1098240000000002E-2</v>
      </c>
      <c r="W3602">
        <v>9.0987059999999998E-3</v>
      </c>
      <c r="X3602">
        <v>0.99666460000000001</v>
      </c>
      <c r="Y3602">
        <v>-4.7766860000000001E-2</v>
      </c>
      <c r="Z3602">
        <v>3.43112E-2</v>
      </c>
      <c r="AA3602">
        <v>0.99826899999999996</v>
      </c>
      <c r="AB3602">
        <v>20</v>
      </c>
      <c r="AC3602">
        <v>2.6236999999999799</v>
      </c>
      <c r="AD3602">
        <v>-1.10456526798299</v>
      </c>
      <c r="AE3602">
        <v>-31.8795</v>
      </c>
      <c r="AF3602">
        <v>-1.53598805899656</v>
      </c>
      <c r="AG3602">
        <v>-1.10456526798299</v>
      </c>
      <c r="AH3602">
        <v>31.912243595632098</v>
      </c>
      <c r="AI3602">
        <v>91.980073273142096</v>
      </c>
      <c r="AJ3602">
        <v>92.755612205694007</v>
      </c>
      <c r="AK3602">
        <v>31.968275134194801</v>
      </c>
    </row>
    <row r="3603" spans="1:37" x14ac:dyDescent="0.2">
      <c r="A3603" t="str">
        <f>"20200111155920252"</f>
        <v>20200111155920252</v>
      </c>
      <c r="B3603" t="str">
        <f>"1578729560245778"</f>
        <v>1578729560245778</v>
      </c>
      <c r="C3603" t="s">
        <v>37</v>
      </c>
      <c r="D3603">
        <v>5.7639430000000003</v>
      </c>
      <c r="E3603">
        <v>0.44956040000000003</v>
      </c>
      <c r="F3603" t="s">
        <v>39</v>
      </c>
      <c r="G3603">
        <v>-188.4023</v>
      </c>
      <c r="H3603" s="1">
        <v>-4.1264710000000001E-6</v>
      </c>
      <c r="I3603">
        <v>167.7611</v>
      </c>
      <c r="J3603">
        <v>-190.7338</v>
      </c>
      <c r="K3603">
        <v>1.104484</v>
      </c>
      <c r="L3603">
        <v>193.28020000000001</v>
      </c>
      <c r="M3603">
        <v>3.5167150000000001E-2</v>
      </c>
      <c r="N3603">
        <v>0</v>
      </c>
      <c r="O3603">
        <v>-0.99934210000000001</v>
      </c>
      <c r="P3603">
        <v>-2.5118540000000002E-2</v>
      </c>
      <c r="Q3603" s="1">
        <v>-2.5111019999999999E-5</v>
      </c>
      <c r="R3603">
        <v>-0.99968489999999999</v>
      </c>
      <c r="S3603">
        <v>0.27433779999999902</v>
      </c>
      <c r="T3603">
        <v>-0.12950490000000001</v>
      </c>
      <c r="U3603">
        <v>-3.016235</v>
      </c>
      <c r="V3603">
        <v>6.024206E-2</v>
      </c>
      <c r="W3603">
        <v>8.9661519999999998E-3</v>
      </c>
      <c r="X3603">
        <v>0.99814360000000002</v>
      </c>
      <c r="Y3603">
        <v>-5.5417029999999999E-2</v>
      </c>
      <c r="Z3603">
        <v>4.2735699999999897E-2</v>
      </c>
      <c r="AA3603">
        <v>0.99754830000000005</v>
      </c>
      <c r="AB3603">
        <v>20</v>
      </c>
      <c r="AC3603">
        <v>2.3315000000000001</v>
      </c>
      <c r="AD3603">
        <v>-1.104488126471</v>
      </c>
      <c r="AE3603">
        <v>-25.519100000000002</v>
      </c>
      <c r="AF3603">
        <v>-1.4299319984774199</v>
      </c>
      <c r="AG3603">
        <v>-1.104488126471</v>
      </c>
      <c r="AH3603">
        <v>25.5378668916686</v>
      </c>
      <c r="AI3603">
        <v>92.472575833383402</v>
      </c>
      <c r="AJ3603">
        <v>93.204794235429503</v>
      </c>
      <c r="AK3603">
        <v>25.6017039456042</v>
      </c>
    </row>
    <row r="3604" spans="1:37" x14ac:dyDescent="0.2">
      <c r="A3604" t="str">
        <f>"20200111155920274"</f>
        <v>20200111155920274</v>
      </c>
      <c r="B3604" t="str">
        <f>"1578729560265298"</f>
        <v>1578729560265298</v>
      </c>
      <c r="C3604" t="s">
        <v>37</v>
      </c>
      <c r="D3604">
        <v>5.6586460000000001</v>
      </c>
      <c r="E3604">
        <v>0.45093809999999901</v>
      </c>
      <c r="F3604" t="s">
        <v>39</v>
      </c>
      <c r="G3604">
        <v>-188.1472</v>
      </c>
      <c r="H3604" s="1">
        <v>-5.9898600000000004E-7</v>
      </c>
      <c r="I3604">
        <v>169.95949999999999</v>
      </c>
      <c r="J3604">
        <v>-190.72559999999999</v>
      </c>
      <c r="K3604">
        <v>1.104371</v>
      </c>
      <c r="L3604">
        <v>193.08439999999999</v>
      </c>
      <c r="M3604">
        <v>3.6293579999999999E-2</v>
      </c>
      <c r="N3604">
        <v>0</v>
      </c>
      <c r="O3604">
        <v>-0.99930739999999996</v>
      </c>
      <c r="P3604">
        <v>-1.233378E-3</v>
      </c>
      <c r="Q3604">
        <v>-2.3280480000000001E-3</v>
      </c>
      <c r="R3604">
        <v>-0.99999629999999995</v>
      </c>
      <c r="S3604">
        <v>0.33378600000000003</v>
      </c>
      <c r="T3604">
        <v>-0.1425247</v>
      </c>
      <c r="U3604">
        <v>-3.0093380000000001</v>
      </c>
      <c r="V3604">
        <v>3.7515239999999998E-2</v>
      </c>
      <c r="W3604">
        <v>5.9640700000000001E-3</v>
      </c>
      <c r="X3604">
        <v>0.99927819999999901</v>
      </c>
      <c r="Y3604">
        <v>-7.3972360000000001E-2</v>
      </c>
      <c r="Z3604">
        <v>4.7052360000000001E-2</v>
      </c>
      <c r="AA3604">
        <v>0.99614969999999903</v>
      </c>
      <c r="AB3604">
        <v>20</v>
      </c>
      <c r="AC3604">
        <v>2.5783999999999798</v>
      </c>
      <c r="AD3604">
        <v>-1.1043715989859999</v>
      </c>
      <c r="AE3604">
        <v>-23.1249</v>
      </c>
      <c r="AF3604">
        <v>-1.73348239728223</v>
      </c>
      <c r="AG3604">
        <v>-1.1043715989859999</v>
      </c>
      <c r="AH3604">
        <v>23.151093491634501</v>
      </c>
      <c r="AI3604">
        <v>92.723485345969706</v>
      </c>
      <c r="AJ3604">
        <v>94.282140307282603</v>
      </c>
      <c r="AK3604">
        <v>23.242154110769</v>
      </c>
    </row>
    <row r="3605" spans="1:37" x14ac:dyDescent="0.2">
      <c r="A3605" t="str">
        <f>"20200111155920296"</f>
        <v>20200111155920296</v>
      </c>
      <c r="B3605" t="str">
        <f>"1578729560285794"</f>
        <v>1578729560285794</v>
      </c>
      <c r="C3605" t="s">
        <v>37</v>
      </c>
      <c r="D3605">
        <v>6.7917339999999999</v>
      </c>
      <c r="E3605">
        <v>0.45191619999999999</v>
      </c>
      <c r="F3605" t="s">
        <v>39</v>
      </c>
      <c r="G3605">
        <v>-187.92019999999999</v>
      </c>
      <c r="H3605" s="1">
        <v>-1.310946E-6</v>
      </c>
      <c r="I3605">
        <v>171.8287</v>
      </c>
      <c r="J3605">
        <v>-190.71709999999999</v>
      </c>
      <c r="K3605">
        <v>1.1042419999999999</v>
      </c>
      <c r="L3605">
        <v>192.88579999999999</v>
      </c>
      <c r="M3605">
        <v>3.7433979999999999E-2</v>
      </c>
      <c r="N3605">
        <v>0</v>
      </c>
      <c r="O3605">
        <v>-0.99927069999999996</v>
      </c>
      <c r="P3605">
        <v>1.979117E-2</v>
      </c>
      <c r="Q3605">
        <v>-4.2030369999999997E-3</v>
      </c>
      <c r="R3605">
        <v>-0.9997954</v>
      </c>
      <c r="S3605">
        <v>0.39596559999999997</v>
      </c>
      <c r="T3605">
        <v>-0.15587679999999901</v>
      </c>
      <c r="U3605">
        <v>-3.0001370000000001</v>
      </c>
      <c r="V3605">
        <v>1.7643570000000001E-2</v>
      </c>
      <c r="W3605">
        <v>3.3715339999999998E-3</v>
      </c>
      <c r="X3605">
        <v>0.99983869999999897</v>
      </c>
      <c r="Y3605">
        <v>-9.346923E-2</v>
      </c>
      <c r="Z3605">
        <v>5.1495909999999999E-2</v>
      </c>
      <c r="AA3605">
        <v>0.99428950000000005</v>
      </c>
      <c r="AB3605">
        <v>20</v>
      </c>
      <c r="AC3605">
        <v>2.7968999999999902</v>
      </c>
      <c r="AD3605">
        <v>-1.1042433109459999</v>
      </c>
      <c r="AE3605">
        <v>-21.057099999999899</v>
      </c>
      <c r="AF3605">
        <v>-2.0012580701371401</v>
      </c>
      <c r="AG3605">
        <v>-1.1042433109459999</v>
      </c>
      <c r="AH3605">
        <v>21.0900502450529</v>
      </c>
      <c r="AI3605">
        <v>92.983804921643696</v>
      </c>
      <c r="AJ3605">
        <v>95.420628741683402</v>
      </c>
      <c r="AK3605">
        <v>21.2135477111188</v>
      </c>
    </row>
    <row r="3606" spans="1:37" x14ac:dyDescent="0.2">
      <c r="A3606" t="str">
        <f>"20200111155920319"</f>
        <v>20200111155920319</v>
      </c>
      <c r="B3606" t="str">
        <f>"1578729560315075"</f>
        <v>1578729560315075</v>
      </c>
      <c r="C3606" t="s">
        <v>37</v>
      </c>
      <c r="D3606">
        <v>5.6906650000000001</v>
      </c>
      <c r="E3606">
        <v>0.46496499999999902</v>
      </c>
      <c r="F3606" t="s">
        <v>39</v>
      </c>
      <c r="G3606">
        <v>-187.67689999999999</v>
      </c>
      <c r="H3606" s="1">
        <v>-1.7602279999999901E-6</v>
      </c>
      <c r="I3606">
        <v>172.77529999999999</v>
      </c>
      <c r="J3606">
        <v>-190.70760000000001</v>
      </c>
      <c r="K3606">
        <v>1.1040920000000001</v>
      </c>
      <c r="L3606">
        <v>192.66929999999999</v>
      </c>
      <c r="M3606">
        <v>3.8638899999999997E-2</v>
      </c>
      <c r="N3606">
        <v>0</v>
      </c>
      <c r="O3606">
        <v>-0.99923050000000002</v>
      </c>
      <c r="P3606">
        <v>3.6896579999999998E-2</v>
      </c>
      <c r="Q3606">
        <v>-5.0345449999999996E-3</v>
      </c>
      <c r="R3606">
        <v>-0.99930669999999899</v>
      </c>
      <c r="S3606">
        <v>0.452163699999999</v>
      </c>
      <c r="T3606">
        <v>-0.1642306</v>
      </c>
      <c r="U3606">
        <v>-2.9909669999999999</v>
      </c>
      <c r="V3606">
        <v>1.7407760000000001E-3</v>
      </c>
      <c r="W3606">
        <v>1.7569689999999999E-3</v>
      </c>
      <c r="X3606">
        <v>0.99999699999999903</v>
      </c>
      <c r="Y3606">
        <v>-0.11094030000000001</v>
      </c>
      <c r="Z3606">
        <v>5.4288339999999997E-2</v>
      </c>
      <c r="AA3606">
        <v>0.99234319999999898</v>
      </c>
      <c r="AB3606">
        <v>20</v>
      </c>
      <c r="AC3606">
        <v>3.0307000000000199</v>
      </c>
      <c r="AD3606">
        <v>-1.1040937602280001</v>
      </c>
      <c r="AE3606">
        <v>-19.893999999999998</v>
      </c>
      <c r="AF3606">
        <v>-2.25295497035142</v>
      </c>
      <c r="AG3606">
        <v>-1.1040937602280001</v>
      </c>
      <c r="AH3606">
        <v>19.936235628353</v>
      </c>
      <c r="AI3606">
        <v>93.149865485334502</v>
      </c>
      <c r="AJ3606">
        <v>96.447530014465201</v>
      </c>
      <c r="AK3606">
        <v>20.093489496825001</v>
      </c>
    </row>
    <row r="3607" spans="1:37" x14ac:dyDescent="0.2">
      <c r="A3607" t="str">
        <f>"20200111155920342"</f>
        <v>20200111155920342</v>
      </c>
      <c r="B3607" t="str">
        <f>"1578729560335571"</f>
        <v>1578729560335571</v>
      </c>
      <c r="C3607" t="s">
        <v>37</v>
      </c>
      <c r="D3607">
        <v>5.807563</v>
      </c>
      <c r="E3607">
        <v>0.47596059999999901</v>
      </c>
      <c r="F3607" t="s">
        <v>71</v>
      </c>
      <c r="G3607">
        <v>-183.5575</v>
      </c>
      <c r="H3607" s="1">
        <v>-8.1749879999999993E-6</v>
      </c>
      <c r="I3607">
        <v>138.36490000000001</v>
      </c>
      <c r="J3607">
        <v>-190.69810000000001</v>
      </c>
      <c r="K3607">
        <v>1.1039410000000001</v>
      </c>
      <c r="L3607">
        <v>192.4545</v>
      </c>
      <c r="M3607">
        <v>3.976155E-2</v>
      </c>
      <c r="N3607">
        <v>0</v>
      </c>
      <c r="O3607">
        <v>-0.99919119999999995</v>
      </c>
      <c r="P3607">
        <v>5.0580189999999997E-2</v>
      </c>
      <c r="Q3607">
        <v>-5.4087509999999998E-3</v>
      </c>
      <c r="R3607">
        <v>-0.99870569999999903</v>
      </c>
      <c r="S3607">
        <v>0.3933258</v>
      </c>
      <c r="T3607">
        <v>-6.0735940000000002E-2</v>
      </c>
      <c r="U3607">
        <v>-2.9872589999999999</v>
      </c>
      <c r="V3607">
        <v>-1.083049E-2</v>
      </c>
      <c r="W3607">
        <v>6.178062E-4</v>
      </c>
      <c r="X3607">
        <v>0.99994119999999997</v>
      </c>
      <c r="Y3607">
        <v>-9.0989280000000006E-2</v>
      </c>
      <c r="Z3607">
        <v>2.0174190000000002E-2</v>
      </c>
      <c r="AA3607">
        <v>0.99564750000000002</v>
      </c>
      <c r="AB3607">
        <v>21</v>
      </c>
      <c r="AC3607">
        <v>7.1406000000000001</v>
      </c>
      <c r="AD3607">
        <v>-1.1039491749879999</v>
      </c>
      <c r="AE3607">
        <v>-54.089599999999898</v>
      </c>
      <c r="AF3607">
        <v>-4.9821881795038703</v>
      </c>
      <c r="AG3607">
        <v>-1.1039491749879999</v>
      </c>
      <c r="AH3607">
        <v>54.308515777578698</v>
      </c>
      <c r="AI3607">
        <v>91.159643804551905</v>
      </c>
      <c r="AJ3607">
        <v>95.241564192204905</v>
      </c>
      <c r="AK3607">
        <v>54.5477386222422</v>
      </c>
    </row>
    <row r="3608" spans="1:37" x14ac:dyDescent="0.2">
      <c r="A3608" t="str">
        <f>"20200111155920364"</f>
        <v>20200111155920364</v>
      </c>
      <c r="B3608" t="str">
        <f>"1578729560355090"</f>
        <v>1578729560355090</v>
      </c>
      <c r="C3608" t="s">
        <v>37</v>
      </c>
      <c r="D3608">
        <v>5.7251890000000003</v>
      </c>
      <c r="E3608">
        <v>0.47931089999999998</v>
      </c>
      <c r="F3608" t="s">
        <v>39</v>
      </c>
      <c r="G3608">
        <v>-188.9205</v>
      </c>
      <c r="H3608" s="1">
        <v>-3.60752099999999E-6</v>
      </c>
      <c r="I3608">
        <v>177.59559999999999</v>
      </c>
      <c r="J3608">
        <v>-190.68889999999999</v>
      </c>
      <c r="K3608">
        <v>1.10379</v>
      </c>
      <c r="L3608">
        <v>192.2516</v>
      </c>
      <c r="M3608">
        <v>4.0726930000000001E-2</v>
      </c>
      <c r="N3608">
        <v>0</v>
      </c>
      <c r="O3608">
        <v>-0.99915589999999999</v>
      </c>
      <c r="P3608">
        <v>6.0590060000000001E-2</v>
      </c>
      <c r="Q3608">
        <v>-5.9240940000000004E-3</v>
      </c>
      <c r="R3608">
        <v>-0.99814530000000001</v>
      </c>
      <c r="S3608">
        <v>0.35705569999999998</v>
      </c>
      <c r="T3608">
        <v>-0.22174139999999901</v>
      </c>
      <c r="U3608">
        <v>-2.9845890000000002</v>
      </c>
      <c r="V3608">
        <v>-1.9887390000000001E-2</v>
      </c>
      <c r="W3608">
        <v>-5.9032959999999999E-4</v>
      </c>
      <c r="X3608">
        <v>0.99980210000000003</v>
      </c>
      <c r="Y3608">
        <v>-7.7925899999999895E-2</v>
      </c>
      <c r="Z3608">
        <v>7.3625750000000004E-2</v>
      </c>
      <c r="AA3608">
        <v>0.99423680000000003</v>
      </c>
      <c r="AB3608">
        <v>21</v>
      </c>
      <c r="AC3608">
        <v>1.76839999999998</v>
      </c>
      <c r="AD3608">
        <v>-1.103793607521</v>
      </c>
      <c r="AE3608">
        <v>-14.656000000000001</v>
      </c>
      <c r="AF3608">
        <v>-1.1635253173896301</v>
      </c>
      <c r="AG3608">
        <v>-1.103793607521</v>
      </c>
      <c r="AH3608">
        <v>14.6340474919831</v>
      </c>
      <c r="AI3608">
        <v>94.299928626003293</v>
      </c>
      <c r="AJ3608">
        <v>94.545915625646501</v>
      </c>
      <c r="AK3608">
        <v>14.721667619187199</v>
      </c>
    </row>
    <row r="3609" spans="1:37" x14ac:dyDescent="0.2">
      <c r="A3609" t="str">
        <f>"20200111155920385"</f>
        <v>20200111155920385</v>
      </c>
      <c r="B3609" t="str">
        <f>"1578729560375586"</f>
        <v>1578729560375586</v>
      </c>
      <c r="C3609" t="s">
        <v>37</v>
      </c>
      <c r="D3609">
        <v>5.7257350000000002</v>
      </c>
      <c r="E3609">
        <v>0.48217309999999902</v>
      </c>
      <c r="F3609" t="s">
        <v>39</v>
      </c>
      <c r="G3609">
        <v>-188.50399999999999</v>
      </c>
      <c r="H3609" s="1">
        <v>-2.1502050000000001E-6</v>
      </c>
      <c r="I3609">
        <v>174.0264</v>
      </c>
      <c r="J3609">
        <v>-190.6797</v>
      </c>
      <c r="K3609">
        <v>1.103642</v>
      </c>
      <c r="L3609">
        <v>192.05080000000001</v>
      </c>
      <c r="M3609">
        <v>4.1575910000000001E-2</v>
      </c>
      <c r="N3609">
        <v>0</v>
      </c>
      <c r="O3609">
        <v>-0.99912449999999997</v>
      </c>
      <c r="P3609">
        <v>6.6237009999999999E-2</v>
      </c>
      <c r="Q3609">
        <v>-6.0004799999999999E-3</v>
      </c>
      <c r="R3609">
        <v>-0.99778619999999996</v>
      </c>
      <c r="S3609">
        <v>0.35758970000000001</v>
      </c>
      <c r="T3609">
        <v>-0.1806509</v>
      </c>
      <c r="U3609">
        <v>-2.9828189999999899</v>
      </c>
      <c r="V3609">
        <v>-2.4693639999999999E-2</v>
      </c>
      <c r="W3609">
        <v>-1.305783E-3</v>
      </c>
      <c r="X3609">
        <v>0.99969419999999898</v>
      </c>
      <c r="Y3609">
        <v>-7.7432139999999997E-2</v>
      </c>
      <c r="Z3609">
        <v>6.0069860000000003E-2</v>
      </c>
      <c r="AA3609">
        <v>0.99518629999999997</v>
      </c>
      <c r="AB3609">
        <v>21</v>
      </c>
      <c r="AC3609">
        <v>2.1756999999999702</v>
      </c>
      <c r="AD3609">
        <v>-1.1036441502050001</v>
      </c>
      <c r="AE3609">
        <v>-18.0244</v>
      </c>
      <c r="AF3609">
        <v>-1.41918541071735</v>
      </c>
      <c r="AG3609">
        <v>-1.1036441502050001</v>
      </c>
      <c r="AH3609">
        <v>18.032635821710102</v>
      </c>
      <c r="AI3609">
        <v>93.491512576772607</v>
      </c>
      <c r="AJ3609">
        <v>94.499956400550801</v>
      </c>
      <c r="AK3609">
        <v>18.122032786602499</v>
      </c>
    </row>
    <row r="3610" spans="1:37" x14ac:dyDescent="0.2">
      <c r="A3610" t="str">
        <f>"20200111155920407"</f>
        <v>20200111155920407</v>
      </c>
      <c r="B3610" t="str">
        <f>"1578729560395106"</f>
        <v>1578729560395106</v>
      </c>
      <c r="C3610" t="s">
        <v>37</v>
      </c>
      <c r="D3610">
        <v>5.7373019999999997</v>
      </c>
      <c r="E3610">
        <v>0.483967699999999</v>
      </c>
      <c r="F3610" t="s">
        <v>39</v>
      </c>
      <c r="G3610">
        <v>-188.48699999999999</v>
      </c>
      <c r="H3610" s="1">
        <v>-1.89865E-6</v>
      </c>
      <c r="I3610">
        <v>173.43299999999999</v>
      </c>
      <c r="J3610">
        <v>-190.66980000000001</v>
      </c>
      <c r="K3610">
        <v>1.1034979999999901</v>
      </c>
      <c r="L3610">
        <v>191.83369999999999</v>
      </c>
      <c r="M3610">
        <v>4.2361360000000001E-2</v>
      </c>
      <c r="N3610">
        <v>0</v>
      </c>
      <c r="O3610">
        <v>-0.99909419999999904</v>
      </c>
      <c r="P3610">
        <v>6.4240569999999997E-2</v>
      </c>
      <c r="Q3610">
        <v>-5.7420350000000004E-3</v>
      </c>
      <c r="R3610">
        <v>-0.99791819999999898</v>
      </c>
      <c r="S3610">
        <v>0.3512421</v>
      </c>
      <c r="T3610">
        <v>-0.17678650000000001</v>
      </c>
      <c r="U3610">
        <v>-2.9822850000000001</v>
      </c>
      <c r="V3610">
        <v>-2.1907759999999998E-2</v>
      </c>
      <c r="W3610">
        <v>-1.6668329999999999E-3</v>
      </c>
      <c r="X3610">
        <v>0.99975859999999905</v>
      </c>
      <c r="Y3610">
        <v>-7.4589299999999997E-2</v>
      </c>
      <c r="Z3610">
        <v>5.8810639999999997E-2</v>
      </c>
      <c r="AA3610">
        <v>0.99547859999999999</v>
      </c>
      <c r="AB3610">
        <v>21</v>
      </c>
      <c r="AC3610">
        <v>2.1828000000000101</v>
      </c>
      <c r="AD3610">
        <v>-1.10349989865</v>
      </c>
      <c r="AE3610">
        <v>-18.400700000000001</v>
      </c>
      <c r="AF3610">
        <v>-1.3964031354716</v>
      </c>
      <c r="AG3610">
        <v>-1.10349989865</v>
      </c>
      <c r="AH3610">
        <v>18.411352628858602</v>
      </c>
      <c r="AI3610">
        <v>93.420167890357703</v>
      </c>
      <c r="AJ3610">
        <v>94.337276136505906</v>
      </c>
      <c r="AK3610">
        <v>18.4971770648187</v>
      </c>
    </row>
    <row r="3611" spans="1:37" x14ac:dyDescent="0.2">
      <c r="A3611" t="str">
        <f>"20200111155920431"</f>
        <v>20200111155920431</v>
      </c>
      <c r="B3611" t="str">
        <f>"1578729560425363"</f>
        <v>1578729560425363</v>
      </c>
      <c r="C3611" t="s">
        <v>37</v>
      </c>
      <c r="D3611">
        <v>5.8155070000000002</v>
      </c>
      <c r="E3611">
        <v>0.48684129999999998</v>
      </c>
      <c r="F3611" t="s">
        <v>39</v>
      </c>
      <c r="G3611">
        <v>-188.75210000000001</v>
      </c>
      <c r="H3611" s="1">
        <v>-2.3482639999999999E-6</v>
      </c>
      <c r="I3611">
        <v>174.5907</v>
      </c>
      <c r="J3611">
        <v>-190.6593</v>
      </c>
      <c r="K3611">
        <v>1.103359</v>
      </c>
      <c r="L3611">
        <v>191.60679999999999</v>
      </c>
      <c r="M3611">
        <v>4.3065480000000003E-2</v>
      </c>
      <c r="N3611">
        <v>0</v>
      </c>
      <c r="O3611">
        <v>-0.99906620000000002</v>
      </c>
      <c r="P3611">
        <v>6.4515370000000002E-2</v>
      </c>
      <c r="Q3611">
        <v>-6.199235E-3</v>
      </c>
      <c r="R3611">
        <v>-0.99789760000000005</v>
      </c>
      <c r="S3611">
        <v>0.33183289999999999</v>
      </c>
      <c r="T3611">
        <v>-0.19095209999999899</v>
      </c>
      <c r="U3611">
        <v>-2.9837799999999999</v>
      </c>
      <c r="V3611">
        <v>-2.1477699999999999E-2</v>
      </c>
      <c r="W3611">
        <v>-2.711677E-3</v>
      </c>
      <c r="X3611">
        <v>0.99976559999999903</v>
      </c>
      <c r="Y3611">
        <v>-6.7403169999999998E-2</v>
      </c>
      <c r="Z3611">
        <v>6.3509869999999996E-2</v>
      </c>
      <c r="AA3611">
        <v>0.99570239999999999</v>
      </c>
      <c r="AB3611">
        <v>22</v>
      </c>
      <c r="AC3611">
        <v>1.90719999999998</v>
      </c>
      <c r="AD3611">
        <v>-1.1033613482639999</v>
      </c>
      <c r="AE3611">
        <v>-17.016099999999899</v>
      </c>
      <c r="AF3611">
        <v>-1.16777064297292</v>
      </c>
      <c r="AG3611">
        <v>-1.1033613482639999</v>
      </c>
      <c r="AH3611">
        <v>17.011809192396999</v>
      </c>
      <c r="AI3611">
        <v>93.702235670426106</v>
      </c>
      <c r="AJ3611">
        <v>93.926891716081201</v>
      </c>
      <c r="AK3611">
        <v>17.087502641929699</v>
      </c>
    </row>
    <row r="3612" spans="1:37" x14ac:dyDescent="0.2">
      <c r="A3612" t="str">
        <f>"20200111155920622"</f>
        <v>20200111155920622</v>
      </c>
      <c r="B3612" t="str">
        <f>"1578729560615683"</f>
        <v>1578729560615683</v>
      </c>
      <c r="C3612" t="s">
        <v>37</v>
      </c>
      <c r="D3612">
        <v>4.1712730000000002</v>
      </c>
      <c r="E3612">
        <v>0.48684129999999998</v>
      </c>
      <c r="F3612" t="s">
        <v>39</v>
      </c>
      <c r="G3612">
        <v>-189.00819999999999</v>
      </c>
      <c r="H3612" s="1">
        <v>-2.796262E-6</v>
      </c>
      <c r="I3612">
        <v>175.74080000000001</v>
      </c>
      <c r="J3612">
        <v>-190.56979999999999</v>
      </c>
      <c r="K3612">
        <v>1.102651</v>
      </c>
      <c r="L3612">
        <v>189.6516</v>
      </c>
      <c r="M3612">
        <v>4.5185919999999997E-2</v>
      </c>
      <c r="N3612">
        <v>0</v>
      </c>
      <c r="O3612">
        <v>-0.99897849999999999</v>
      </c>
      <c r="P3612">
        <v>3.1905070000000001E-2</v>
      </c>
      <c r="Q3612">
        <v>1.1179E-3</v>
      </c>
      <c r="R3612">
        <v>-0.99949059999999901</v>
      </c>
      <c r="S3612">
        <v>0.31063839999999998</v>
      </c>
      <c r="T3612">
        <v>-0.2075832</v>
      </c>
      <c r="U3612">
        <v>-2.9849700000000001</v>
      </c>
      <c r="V3612">
        <v>1.3290730000000001E-2</v>
      </c>
      <c r="W3612">
        <v>1.7865329999999899E-3</v>
      </c>
      <c r="X3612">
        <v>0.99991010000000002</v>
      </c>
      <c r="Y3612">
        <v>-5.8212559999999997E-2</v>
      </c>
      <c r="Z3612">
        <v>6.9025020000000006E-2</v>
      </c>
      <c r="AA3612">
        <v>0.99591509999999905</v>
      </c>
      <c r="AB3612">
        <v>23</v>
      </c>
      <c r="AC3612">
        <v>1.5615999999999901</v>
      </c>
      <c r="AD3612">
        <v>-1.102653796262</v>
      </c>
      <c r="AE3612">
        <v>-13.910799999999901</v>
      </c>
      <c r="AF3612">
        <v>-0.92568880305659096</v>
      </c>
      <c r="AG3612">
        <v>-1.102653796262</v>
      </c>
      <c r="AH3612">
        <v>13.881023286410599</v>
      </c>
      <c r="AI3612">
        <v>94.531790257890094</v>
      </c>
      <c r="AJ3612">
        <v>93.815255251739501</v>
      </c>
      <c r="AK3612">
        <v>13.9554846792359</v>
      </c>
    </row>
    <row r="3613" spans="1:37" x14ac:dyDescent="0.2">
      <c r="A3613" t="str">
        <f>"20200111155920744"</f>
        <v>20200111155920744</v>
      </c>
      <c r="B3613" t="str">
        <f>"1578729560735260"</f>
        <v>1578729560735260</v>
      </c>
      <c r="C3613" t="s">
        <v>37</v>
      </c>
      <c r="D3613">
        <v>5.6670790000000002</v>
      </c>
      <c r="E3613">
        <v>0.48795909999999898</v>
      </c>
      <c r="F3613" t="s">
        <v>39</v>
      </c>
      <c r="G3613">
        <v>-189.26429999999999</v>
      </c>
      <c r="H3613" s="1">
        <v>-9.8858269999999902E-7</v>
      </c>
      <c r="I3613">
        <v>171.63299999999899</v>
      </c>
      <c r="J3613">
        <v>-190.50980000000001</v>
      </c>
      <c r="K3613">
        <v>1.102449</v>
      </c>
      <c r="L3613">
        <v>188.31270000000001</v>
      </c>
      <c r="M3613">
        <v>4.4934670000000003E-2</v>
      </c>
      <c r="N3613">
        <v>0</v>
      </c>
      <c r="O3613">
        <v>-0.99899020000000005</v>
      </c>
      <c r="P3613">
        <v>2.6554000000000001E-2</v>
      </c>
      <c r="Q3613">
        <v>-1.1110159999999999E-2</v>
      </c>
      <c r="R3613">
        <v>-0.99958590000000003</v>
      </c>
      <c r="S3613">
        <v>0.21698000000000001</v>
      </c>
      <c r="T3613">
        <v>-0.18326909999999999</v>
      </c>
      <c r="U3613">
        <v>-2.9948269999999999</v>
      </c>
      <c r="V3613">
        <v>1.8386880000000001E-2</v>
      </c>
      <c r="W3613">
        <v>-1.1075379999999999E-2</v>
      </c>
      <c r="X3613">
        <v>0.99976960000000004</v>
      </c>
      <c r="Y3613">
        <v>-2.723776E-2</v>
      </c>
      <c r="Z3613">
        <v>6.0897769999999997E-2</v>
      </c>
      <c r="AA3613">
        <v>0.99777229999999995</v>
      </c>
      <c r="AB3613">
        <v>25</v>
      </c>
      <c r="AC3613">
        <v>1.24550000000002</v>
      </c>
      <c r="AD3613">
        <v>-1.1024499885826999</v>
      </c>
      <c r="AE3613">
        <v>-16.6797</v>
      </c>
      <c r="AF3613">
        <v>-0.49260528619510202</v>
      </c>
      <c r="AG3613">
        <v>-1.1024499885826999</v>
      </c>
      <c r="AH3613">
        <v>16.6464999184745</v>
      </c>
      <c r="AI3613">
        <v>93.787349107638605</v>
      </c>
      <c r="AJ3613">
        <v>91.695009145603905</v>
      </c>
      <c r="AK3613">
        <v>16.690237130762501</v>
      </c>
    </row>
    <row r="3614" spans="1:37" x14ac:dyDescent="0.2">
      <c r="A3614" t="str">
        <f>"20200111155920757"</f>
        <v>20200111155920757</v>
      </c>
      <c r="B3614" t="str">
        <f>"1578729560755758"</f>
        <v>1578729560755758</v>
      </c>
      <c r="C3614" t="s">
        <v>37</v>
      </c>
      <c r="D3614">
        <v>5.628158</v>
      </c>
      <c r="E3614">
        <v>0.48872690000000002</v>
      </c>
      <c r="F3614" t="s">
        <v>39</v>
      </c>
      <c r="G3614">
        <v>-189.50790000000001</v>
      </c>
      <c r="H3614" s="1">
        <v>-1.4517819999999999E-6</v>
      </c>
      <c r="I3614">
        <v>172.8134</v>
      </c>
      <c r="J3614">
        <v>-190.50280000000001</v>
      </c>
      <c r="K3614">
        <v>1.1024339999999999</v>
      </c>
      <c r="L3614">
        <v>188.15389999999999</v>
      </c>
      <c r="M3614">
        <v>4.4902860000000003E-2</v>
      </c>
      <c r="N3614">
        <v>0</v>
      </c>
      <c r="O3614">
        <v>-0.99899139999999997</v>
      </c>
      <c r="P3614">
        <v>2.6503240000000001E-2</v>
      </c>
      <c r="Q3614">
        <v>-1.2445350000000001E-2</v>
      </c>
      <c r="R3614">
        <v>-0.9995714</v>
      </c>
      <c r="S3614">
        <v>0.19352720000000001</v>
      </c>
      <c r="T3614">
        <v>-0.2129452</v>
      </c>
      <c r="U3614">
        <v>-2.9937740000000002</v>
      </c>
      <c r="V3614">
        <v>1.8404980000000001E-2</v>
      </c>
      <c r="W3614">
        <v>-1.245135E-2</v>
      </c>
      <c r="X3614">
        <v>0.99975309999999995</v>
      </c>
      <c r="Y3614">
        <v>-1.947231E-2</v>
      </c>
      <c r="Z3614">
        <v>7.0762829999999999E-2</v>
      </c>
      <c r="AA3614">
        <v>0.997303099999999</v>
      </c>
      <c r="AB3614">
        <v>25</v>
      </c>
      <c r="AC3614">
        <v>0.99490000000000101</v>
      </c>
      <c r="AD3614">
        <v>-1.1024354517820001</v>
      </c>
      <c r="AE3614">
        <v>-15.340499999999899</v>
      </c>
      <c r="AF3614">
        <v>-0.30350333293663401</v>
      </c>
      <c r="AG3614">
        <v>-1.1024354517820001</v>
      </c>
      <c r="AH3614">
        <v>15.2910610392503</v>
      </c>
      <c r="AI3614">
        <v>94.122893881464904</v>
      </c>
      <c r="AJ3614">
        <v>91.137081132490493</v>
      </c>
      <c r="AK3614">
        <v>15.333754462118099</v>
      </c>
    </row>
    <row r="3615" spans="1:37" x14ac:dyDescent="0.2">
      <c r="A3615" t="str">
        <f>"20200111155920777"</f>
        <v>20200111155920777</v>
      </c>
      <c r="B3615" t="str">
        <f>"1578729560765516"</f>
        <v>1578729560765516</v>
      </c>
      <c r="C3615" t="s">
        <v>37</v>
      </c>
      <c r="D3615">
        <v>5.6398720000000004</v>
      </c>
      <c r="E3615">
        <v>0.48911199999999999</v>
      </c>
      <c r="F3615" t="s">
        <v>39</v>
      </c>
      <c r="G3615">
        <v>-189.5284</v>
      </c>
      <c r="H3615" s="1">
        <v>-1.3310079999999901E-6</v>
      </c>
      <c r="I3615">
        <v>172.54040000000001</v>
      </c>
      <c r="J3615">
        <v>-190.49340000000001</v>
      </c>
      <c r="K3615">
        <v>1.1024149999999999</v>
      </c>
      <c r="L3615">
        <v>187.9426</v>
      </c>
      <c r="M3615">
        <v>4.4861329999999998E-2</v>
      </c>
      <c r="N3615">
        <v>0</v>
      </c>
      <c r="O3615">
        <v>-0.99899349999999998</v>
      </c>
      <c r="P3615">
        <v>2.6277620000000002E-2</v>
      </c>
      <c r="Q3615">
        <v>-1.4492929999999999E-2</v>
      </c>
      <c r="R3615">
        <v>-0.99955000000000005</v>
      </c>
      <c r="S3615">
        <v>0.18682860000000001</v>
      </c>
      <c r="T3615">
        <v>-0.2113786</v>
      </c>
      <c r="U3615">
        <v>-2.9937130000000001</v>
      </c>
      <c r="V3615">
        <v>1.8587610000000001E-2</v>
      </c>
      <c r="W3615">
        <v>-1.4544430000000001E-2</v>
      </c>
      <c r="X3615">
        <v>0.99972150000000004</v>
      </c>
      <c r="Y3615">
        <v>-1.7294850000000001E-2</v>
      </c>
      <c r="Z3615">
        <v>7.0252780000000001E-2</v>
      </c>
      <c r="AA3615">
        <v>0.99737929999999997</v>
      </c>
      <c r="AB3615">
        <v>25</v>
      </c>
      <c r="AC3615">
        <v>0.96500000000000297</v>
      </c>
      <c r="AD3615">
        <v>-1.102416331008</v>
      </c>
      <c r="AE3615">
        <v>-15.402199999999899</v>
      </c>
      <c r="AF3615">
        <v>-0.27167910081943297</v>
      </c>
      <c r="AG3615">
        <v>-1.102416331008</v>
      </c>
      <c r="AH3615">
        <v>15.3516453936156</v>
      </c>
      <c r="AI3615">
        <v>94.106773150829497</v>
      </c>
      <c r="AJ3615">
        <v>91.013861429147696</v>
      </c>
      <c r="AK3615">
        <v>15.39357488019</v>
      </c>
    </row>
    <row r="3616" spans="1:37" x14ac:dyDescent="0.2">
      <c r="A3616" t="str">
        <f>"20200111155920799"</f>
        <v>20200111155920799</v>
      </c>
      <c r="B3616" t="str">
        <f>"1578729560795773"</f>
        <v>1578729560795773</v>
      </c>
      <c r="C3616" t="s">
        <v>37</v>
      </c>
      <c r="D3616">
        <v>5.1784949999999998</v>
      </c>
      <c r="E3616">
        <v>0.48827959999999898</v>
      </c>
      <c r="F3616" t="s">
        <v>38</v>
      </c>
      <c r="G3616">
        <v>-190.4434</v>
      </c>
      <c r="H3616">
        <v>1.0432729999999999</v>
      </c>
      <c r="I3616">
        <v>187.12350000000001</v>
      </c>
      <c r="J3616">
        <v>-190.4819</v>
      </c>
      <c r="K3616">
        <v>1.1023940000000001</v>
      </c>
      <c r="L3616">
        <v>187.68559999999999</v>
      </c>
      <c r="M3616">
        <v>4.4812009999999999E-2</v>
      </c>
      <c r="N3616">
        <v>0</v>
      </c>
      <c r="O3616">
        <v>-0.99899539999999998</v>
      </c>
      <c r="P3616">
        <v>2.592332E-2</v>
      </c>
      <c r="Q3616">
        <v>-1.6225610000000001E-2</v>
      </c>
      <c r="R3616">
        <v>-0.99953239999999999</v>
      </c>
      <c r="S3616">
        <v>0.18315119999999999</v>
      </c>
      <c r="T3616">
        <v>-0.21624679999999999</v>
      </c>
      <c r="U3616">
        <v>-2.993439</v>
      </c>
      <c r="V3616">
        <v>1.8891330000000001E-2</v>
      </c>
      <c r="W3616">
        <v>-1.6316779999999999E-2</v>
      </c>
      <c r="X3616">
        <v>0.99968840000000003</v>
      </c>
      <c r="Y3616">
        <v>-1.6122230000000001E-2</v>
      </c>
      <c r="Z3616">
        <v>7.1872649999999996E-2</v>
      </c>
      <c r="AA3616">
        <v>0.99728349999999899</v>
      </c>
      <c r="AB3616">
        <v>25</v>
      </c>
      <c r="AC3616">
        <v>3.8499999999999E-2</v>
      </c>
      <c r="AD3616">
        <v>-5.9121000000000201E-2</v>
      </c>
      <c r="AE3616">
        <v>-0.56209999999998606</v>
      </c>
      <c r="AF3616">
        <v>-1.31279418172196E-2</v>
      </c>
      <c r="AG3616">
        <v>-5.9121000000000201E-2</v>
      </c>
      <c r="AH3616">
        <v>0.55712612485781998</v>
      </c>
      <c r="AI3616">
        <v>96.055764033818306</v>
      </c>
      <c r="AJ3616">
        <v>91.349849626851693</v>
      </c>
      <c r="AK3616">
        <v>0.56040802501074805</v>
      </c>
    </row>
    <row r="3617" spans="1:37" x14ac:dyDescent="0.2">
      <c r="A3617" t="str">
        <f>"20200111155920822"</f>
        <v>20200111155920822</v>
      </c>
      <c r="B3617" t="str">
        <f>"1578729560815294"</f>
        <v>1578729560815294</v>
      </c>
      <c r="C3617" t="s">
        <v>37</v>
      </c>
      <c r="D3617">
        <v>6.7956589999999997</v>
      </c>
      <c r="E3617">
        <v>0.48859789999999997</v>
      </c>
      <c r="F3617" t="s">
        <v>39</v>
      </c>
      <c r="G3617">
        <v>-189.50190000000001</v>
      </c>
      <c r="H3617" s="1">
        <v>-1.1458369999999899E-6</v>
      </c>
      <c r="I3617">
        <v>172.09780000000001</v>
      </c>
      <c r="J3617">
        <v>-190.47020000000001</v>
      </c>
      <c r="K3617">
        <v>1.1023849999999999</v>
      </c>
      <c r="L3617">
        <v>187.42310000000001</v>
      </c>
      <c r="M3617">
        <v>4.4762999999999997E-2</v>
      </c>
      <c r="N3617">
        <v>0</v>
      </c>
      <c r="O3617">
        <v>-0.99899780000000005</v>
      </c>
      <c r="P3617">
        <v>2.4970030000000001E-2</v>
      </c>
      <c r="Q3617">
        <v>-1.701329E-2</v>
      </c>
      <c r="R3617">
        <v>-0.99954370000000003</v>
      </c>
      <c r="S3617">
        <v>0.18817139999999999</v>
      </c>
      <c r="T3617">
        <v>-0.21167659999999999</v>
      </c>
      <c r="U3617">
        <v>-2.9930880000000002</v>
      </c>
      <c r="V3617">
        <v>1.9795170000000001E-2</v>
      </c>
      <c r="W3617">
        <v>-1.7128009999999999E-2</v>
      </c>
      <c r="X3617">
        <v>0.99965729999999997</v>
      </c>
      <c r="Y3617">
        <v>-1.785142E-2</v>
      </c>
      <c r="Z3617">
        <v>7.0365070000000002E-2</v>
      </c>
      <c r="AA3617">
        <v>0.99736150000000001</v>
      </c>
      <c r="AB3617">
        <v>26</v>
      </c>
      <c r="AC3617">
        <v>0.96829999999999905</v>
      </c>
      <c r="AD3617">
        <v>-1.1023861458369999</v>
      </c>
      <c r="AE3617">
        <v>-15.3253</v>
      </c>
      <c r="AF3617">
        <v>-0.27988069788335002</v>
      </c>
      <c r="AG3617">
        <v>-1.1023861458369999</v>
      </c>
      <c r="AH3617">
        <v>15.274561933066799</v>
      </c>
      <c r="AI3617">
        <v>94.127267640796106</v>
      </c>
      <c r="AJ3617">
        <v>91.049731476783506</v>
      </c>
      <c r="AK3617">
        <v>15.3168479350902</v>
      </c>
    </row>
    <row r="3618" spans="1:37" x14ac:dyDescent="0.2">
      <c r="A3618" t="str">
        <f>"20200111155921078"</f>
        <v>20200111155921078</v>
      </c>
      <c r="B3618" t="str">
        <f>"1578729561075885"</f>
        <v>1578729561075885</v>
      </c>
      <c r="C3618" t="s">
        <v>37</v>
      </c>
      <c r="D3618">
        <v>5.6479540000000004</v>
      </c>
      <c r="E3618">
        <v>0.48859789999999997</v>
      </c>
      <c r="F3618" t="s">
        <v>39</v>
      </c>
      <c r="G3618">
        <v>-189.52959999999999</v>
      </c>
      <c r="H3618" s="1">
        <v>-1.1127580000000001E-6</v>
      </c>
      <c r="I3618">
        <v>172.03210000000001</v>
      </c>
      <c r="J3618">
        <v>-190.33590000000001</v>
      </c>
      <c r="K3618">
        <v>1.1026549999999999</v>
      </c>
      <c r="L3618">
        <v>184.33930000000001</v>
      </c>
      <c r="M3618">
        <v>4.2473950000000003E-2</v>
      </c>
      <c r="N3618">
        <v>0</v>
      </c>
      <c r="O3618">
        <v>-0.99908909999999995</v>
      </c>
      <c r="P3618">
        <v>9.2518589999999994E-3</v>
      </c>
      <c r="Q3618">
        <v>-1.92424E-2</v>
      </c>
      <c r="R3618">
        <v>-0.99977199999999899</v>
      </c>
      <c r="S3618">
        <v>0.18292239999999901</v>
      </c>
      <c r="T3618">
        <v>-0.21438569999999901</v>
      </c>
      <c r="U3618">
        <v>-2.9931489999999998</v>
      </c>
      <c r="V3618">
        <v>3.3205190000000002E-2</v>
      </c>
      <c r="W3618">
        <v>-1.51545999999999E-2</v>
      </c>
      <c r="X3618">
        <v>0.99933369999999999</v>
      </c>
      <c r="Y3618">
        <v>-1.839435E-2</v>
      </c>
      <c r="Z3618">
        <v>7.1273799999999998E-2</v>
      </c>
      <c r="AA3618">
        <v>0.99728719999999904</v>
      </c>
      <c r="AB3618">
        <v>27</v>
      </c>
      <c r="AC3618">
        <v>0.806300000000021</v>
      </c>
      <c r="AD3618">
        <v>-1.1026561127579999</v>
      </c>
      <c r="AE3618">
        <v>-12.3071999999999</v>
      </c>
      <c r="AF3618">
        <v>-0.28058982657582099</v>
      </c>
      <c r="AG3618">
        <v>-1.1026561127579999</v>
      </c>
      <c r="AH3618">
        <v>12.232567456341901</v>
      </c>
      <c r="AI3618">
        <v>95.149432189503997</v>
      </c>
      <c r="AJ3618">
        <v>91.314016392764998</v>
      </c>
      <c r="AK3618">
        <v>12.285368847850499</v>
      </c>
    </row>
    <row r="3619" spans="1:37" x14ac:dyDescent="0.2">
      <c r="A3619" t="str">
        <f>"20200111155921168"</f>
        <v>20200111155921168</v>
      </c>
      <c r="B3619" t="str">
        <f>"1578729561155918"</f>
        <v>1578729561155918</v>
      </c>
      <c r="C3619" t="s">
        <v>37</v>
      </c>
      <c r="D3619">
        <v>5.7042349999999997</v>
      </c>
      <c r="E3619">
        <v>0.55628029999999995</v>
      </c>
      <c r="F3619" t="s">
        <v>38</v>
      </c>
      <c r="G3619">
        <v>-190.27760000000001</v>
      </c>
      <c r="H3619">
        <v>1.0421389999999999</v>
      </c>
      <c r="I3619">
        <v>182.79769999999999</v>
      </c>
      <c r="J3619">
        <v>-190.29509999999999</v>
      </c>
      <c r="K3619">
        <v>1.1024689999999999</v>
      </c>
      <c r="L3619">
        <v>183.244</v>
      </c>
      <c r="M3619">
        <v>3.8299569999999998E-2</v>
      </c>
      <c r="N3619">
        <v>0</v>
      </c>
      <c r="O3619">
        <v>-0.99924029999999997</v>
      </c>
      <c r="P3619">
        <v>-2.7608670000000002E-3</v>
      </c>
      <c r="Q3619">
        <v>-2.7212460000000001E-2</v>
      </c>
      <c r="R3619">
        <v>-0.99962629999999997</v>
      </c>
      <c r="S3619">
        <v>0.11218259999999999</v>
      </c>
      <c r="T3619">
        <v>-0.24962819999999999</v>
      </c>
      <c r="U3619">
        <v>-2.9939269999999998</v>
      </c>
      <c r="V3619">
        <v>4.09973E-2</v>
      </c>
      <c r="W3619">
        <v>-2.0088809999999999E-2</v>
      </c>
      <c r="X3619">
        <v>0.99895730000000005</v>
      </c>
      <c r="Y3619">
        <v>9.8659190000000008E-4</v>
      </c>
      <c r="Z3619">
        <v>8.2969710000000002E-2</v>
      </c>
      <c r="AA3619">
        <v>0.99655159999999998</v>
      </c>
      <c r="AB3619">
        <v>27</v>
      </c>
      <c r="AC3619">
        <v>1.7499999999984001E-2</v>
      </c>
      <c r="AD3619">
        <v>-6.0330000000000203E-2</v>
      </c>
      <c r="AE3619">
        <v>-0.446300000000036</v>
      </c>
      <c r="AF3619">
        <v>-3.8656448838563298E-4</v>
      </c>
      <c r="AG3619">
        <v>-6.0330000000000203E-2</v>
      </c>
      <c r="AH3619">
        <v>0.43863977797970399</v>
      </c>
      <c r="AI3619">
        <v>97.831256770558198</v>
      </c>
      <c r="AJ3619">
        <v>90.050493614742805</v>
      </c>
      <c r="AK3619">
        <v>0.44276936790860699</v>
      </c>
    </row>
    <row r="3620" spans="1:37" x14ac:dyDescent="0.2">
      <c r="A3620" t="str">
        <f>"20200111155921191"</f>
        <v>20200111155921191</v>
      </c>
      <c r="B3620" t="str">
        <f>"1578729561185197"</f>
        <v>1578729561185197</v>
      </c>
      <c r="C3620" t="s">
        <v>37</v>
      </c>
      <c r="D3620">
        <v>5.5908049999999996</v>
      </c>
      <c r="E3620">
        <v>0.55448560000000002</v>
      </c>
      <c r="F3620" t="s">
        <v>39</v>
      </c>
      <c r="G3620">
        <v>-192.64590000000001</v>
      </c>
      <c r="H3620" s="1">
        <v>-4.3878940000000002E-6</v>
      </c>
      <c r="I3620">
        <v>167.49019999999999</v>
      </c>
      <c r="J3620">
        <v>-190.2861</v>
      </c>
      <c r="K3620">
        <v>1.1024510000000001</v>
      </c>
      <c r="L3620">
        <v>182.9665</v>
      </c>
      <c r="M3620">
        <v>3.6809090000000003E-2</v>
      </c>
      <c r="N3620">
        <v>0</v>
      </c>
      <c r="O3620">
        <v>-0.99929049999999997</v>
      </c>
      <c r="P3620">
        <v>-8.007742E-3</v>
      </c>
      <c r="Q3620">
        <v>-2.475699E-2</v>
      </c>
      <c r="R3620">
        <v>-0.99966180000000004</v>
      </c>
      <c r="S3620">
        <v>-0.44679259999999899</v>
      </c>
      <c r="T3620">
        <v>-0.20953739999999901</v>
      </c>
      <c r="U3620">
        <v>-2.994186</v>
      </c>
      <c r="V3620">
        <v>4.47556E-2</v>
      </c>
      <c r="W3620">
        <v>-1.6875729999999999E-2</v>
      </c>
      <c r="X3620">
        <v>0.99885539999999995</v>
      </c>
      <c r="Y3620">
        <v>0.18354279999999901</v>
      </c>
      <c r="Z3620">
        <v>6.876765E-2</v>
      </c>
      <c r="AA3620">
        <v>0.98060340000000001</v>
      </c>
      <c r="AB3620">
        <v>27</v>
      </c>
      <c r="AC3620">
        <v>-2.3597999999999999</v>
      </c>
      <c r="AD3620">
        <v>-1.102455387894</v>
      </c>
      <c r="AE3620">
        <v>-15.4763</v>
      </c>
      <c r="AF3620">
        <v>2.9134391852414798</v>
      </c>
      <c r="AG3620">
        <v>-1.102455387894</v>
      </c>
      <c r="AH3620">
        <v>15.3030564717985</v>
      </c>
      <c r="AI3620">
        <v>94.048094511444901</v>
      </c>
      <c r="AJ3620">
        <v>79.220864151905602</v>
      </c>
      <c r="AK3620">
        <v>15.616884233016901</v>
      </c>
    </row>
    <row r="3621" spans="1:37" x14ac:dyDescent="0.2">
      <c r="A3621" t="str">
        <f>"20200111155921213"</f>
        <v>20200111155921213</v>
      </c>
      <c r="B3621" t="str">
        <f>"1578729561205692"</f>
        <v>1578729561205692</v>
      </c>
      <c r="C3621" t="s">
        <v>37</v>
      </c>
      <c r="D3621">
        <v>5.679627</v>
      </c>
      <c r="E3621">
        <v>0.55332930000000002</v>
      </c>
      <c r="F3621" t="s">
        <v>39</v>
      </c>
      <c r="G3621">
        <v>-192.70529999999999</v>
      </c>
      <c r="H3621" s="1">
        <v>-4.1316429999999997E-6</v>
      </c>
      <c r="I3621">
        <v>166.8092</v>
      </c>
      <c r="J3621">
        <v>-190.27760000000001</v>
      </c>
      <c r="K3621">
        <v>1.102441</v>
      </c>
      <c r="L3621">
        <v>182.69049999999999</v>
      </c>
      <c r="M3621">
        <v>3.5213969999999997E-2</v>
      </c>
      <c r="N3621">
        <v>0</v>
      </c>
      <c r="O3621">
        <v>-0.99934190000000001</v>
      </c>
      <c r="P3621">
        <v>-1.299149E-2</v>
      </c>
      <c r="Q3621">
        <v>-2.2643569999999998E-2</v>
      </c>
      <c r="R3621">
        <v>-0.99965949999999903</v>
      </c>
      <c r="S3621">
        <v>-0.44804379999999999</v>
      </c>
      <c r="T3621">
        <v>-0.20417630000000001</v>
      </c>
      <c r="U3621">
        <v>-2.99234</v>
      </c>
      <c r="V3621">
        <v>4.8147019999999999E-2</v>
      </c>
      <c r="W3621">
        <v>-1.4056219999999999E-2</v>
      </c>
      <c r="X3621">
        <v>0.99874130000000005</v>
      </c>
      <c r="Y3621">
        <v>0.18248049999999999</v>
      </c>
      <c r="Z3621">
        <v>6.7067570000000007E-2</v>
      </c>
      <c r="AA3621">
        <v>0.9809194</v>
      </c>
      <c r="AB3621">
        <v>27</v>
      </c>
      <c r="AC3621">
        <v>-2.4276999999999802</v>
      </c>
      <c r="AD3621">
        <v>-1.102445131643</v>
      </c>
      <c r="AE3621">
        <v>-15.8812999999999</v>
      </c>
      <c r="AF3621">
        <v>2.9714669790424799</v>
      </c>
      <c r="AG3621">
        <v>-1.102445131643</v>
      </c>
      <c r="AH3621">
        <v>15.7119728960543</v>
      </c>
      <c r="AI3621">
        <v>93.943948243181396</v>
      </c>
      <c r="AJ3621">
        <v>79.290638572861596</v>
      </c>
      <c r="AK3621">
        <v>16.028446386414601</v>
      </c>
    </row>
    <row r="3622" spans="1:37" x14ac:dyDescent="0.2">
      <c r="A3622" t="str">
        <f>"20200111155921234"</f>
        <v>20200111155921234</v>
      </c>
      <c r="B3622" t="str">
        <f>"1578729561225212"</f>
        <v>1578729561225212</v>
      </c>
      <c r="C3622" t="s">
        <v>37</v>
      </c>
      <c r="D3622">
        <v>5.5161129999999998</v>
      </c>
      <c r="E3622">
        <v>0.55300099999999996</v>
      </c>
      <c r="F3622" t="s">
        <v>39</v>
      </c>
      <c r="G3622">
        <v>-192.80619999999999</v>
      </c>
      <c r="H3622" s="1">
        <v>-3.7843360000000001E-6</v>
      </c>
      <c r="I3622">
        <v>166.01769999999999</v>
      </c>
      <c r="J3622">
        <v>-190.27010000000001</v>
      </c>
      <c r="K3622">
        <v>1.1024499999999999</v>
      </c>
      <c r="L3622">
        <v>182.4273</v>
      </c>
      <c r="M3622">
        <v>3.3620919999999999E-2</v>
      </c>
      <c r="N3622">
        <v>0</v>
      </c>
      <c r="O3622">
        <v>-0.99939100000000003</v>
      </c>
      <c r="P3622">
        <v>-1.7033909999999999E-2</v>
      </c>
      <c r="Q3622">
        <v>-2.147845E-2</v>
      </c>
      <c r="R3622">
        <v>-0.99962439999999997</v>
      </c>
      <c r="S3622">
        <v>-0.45355220000000002</v>
      </c>
      <c r="T3622">
        <v>-0.19774810000000001</v>
      </c>
      <c r="U3622">
        <v>-2.990631</v>
      </c>
      <c r="V3622">
        <v>5.0597799999999998E-2</v>
      </c>
      <c r="W3622">
        <v>-1.227777E-2</v>
      </c>
      <c r="X3622">
        <v>0.99864359999999996</v>
      </c>
      <c r="Y3622">
        <v>0.1827828</v>
      </c>
      <c r="Z3622">
        <v>6.499655E-2</v>
      </c>
      <c r="AA3622">
        <v>0.9810025</v>
      </c>
      <c r="AB3622">
        <v>27</v>
      </c>
      <c r="AC3622">
        <v>-2.53609999999997</v>
      </c>
      <c r="AD3622">
        <v>-1.1024537843359901</v>
      </c>
      <c r="AE3622">
        <v>-16.409600000000001</v>
      </c>
      <c r="AF3622">
        <v>3.0728499176932802</v>
      </c>
      <c r="AG3622">
        <v>-1.1024537843359901</v>
      </c>
      <c r="AH3622">
        <v>16.243446056278501</v>
      </c>
      <c r="AI3622">
        <v>93.815285451831301</v>
      </c>
      <c r="AJ3622">
        <v>79.2876754545117</v>
      </c>
      <c r="AK3622">
        <v>16.568263359401801</v>
      </c>
    </row>
    <row r="3623" spans="1:37" x14ac:dyDescent="0.2">
      <c r="A3623" t="str">
        <f>"20200111155921257"</f>
        <v>20200111155921257</v>
      </c>
      <c r="B3623" t="str">
        <f>"1578729561245343"</f>
        <v>1578729561245343</v>
      </c>
      <c r="C3623" t="s">
        <v>37</v>
      </c>
      <c r="D3623">
        <v>5.6071359999999997</v>
      </c>
      <c r="E3623">
        <v>0.55285469999999903</v>
      </c>
      <c r="F3623" t="s">
        <v>39</v>
      </c>
      <c r="G3623">
        <v>-192.85230000000001</v>
      </c>
      <c r="H3623" s="1">
        <v>-3.66739E-6</v>
      </c>
      <c r="I3623">
        <v>165.74440000000001</v>
      </c>
      <c r="J3623">
        <v>-190.2629</v>
      </c>
      <c r="K3623">
        <v>1.102455</v>
      </c>
      <c r="L3623">
        <v>182.16149999999999</v>
      </c>
      <c r="M3623">
        <v>3.1973750000000002E-2</v>
      </c>
      <c r="N3623">
        <v>0</v>
      </c>
      <c r="O3623">
        <v>-0.99943939999999998</v>
      </c>
      <c r="P3623">
        <v>-2.0564220000000001E-2</v>
      </c>
      <c r="Q3623">
        <v>-2.1477489999999998E-2</v>
      </c>
      <c r="R3623">
        <v>-0.99955819999999995</v>
      </c>
      <c r="S3623">
        <v>-0.46264650000000002</v>
      </c>
      <c r="T3623">
        <v>-0.1975198</v>
      </c>
      <c r="U3623">
        <v>-2.9889830000000002</v>
      </c>
      <c r="V3623">
        <v>5.2479350000000001E-2</v>
      </c>
      <c r="W3623">
        <v>-1.1716030000000001E-2</v>
      </c>
      <c r="X3623">
        <v>0.99855329999999998</v>
      </c>
      <c r="Y3623">
        <v>0.18415960000000001</v>
      </c>
      <c r="Z3623">
        <v>6.4939159999999996E-2</v>
      </c>
      <c r="AA3623">
        <v>0.98074879999999998</v>
      </c>
      <c r="AB3623">
        <v>27</v>
      </c>
      <c r="AC3623">
        <v>-2.5894000000000101</v>
      </c>
      <c r="AD3623">
        <v>-1.1024586673899901</v>
      </c>
      <c r="AE3623">
        <v>-16.417099999999898</v>
      </c>
      <c r="AF3623">
        <v>3.0993805559140899</v>
      </c>
      <c r="AG3623">
        <v>-1.1024586673899901</v>
      </c>
      <c r="AH3623">
        <v>16.254387864404201</v>
      </c>
      <c r="AI3623">
        <v>93.811693015064193</v>
      </c>
      <c r="AJ3623">
        <v>79.204454789675793</v>
      </c>
      <c r="AK3623">
        <v>16.583928961201401</v>
      </c>
    </row>
    <row r="3624" spans="1:37" x14ac:dyDescent="0.2">
      <c r="A3624" t="str">
        <f>"20200111155921279"</f>
        <v>20200111155921279</v>
      </c>
      <c r="B3624" t="str">
        <f>"1578729561275599"</f>
        <v>1578729561275599</v>
      </c>
      <c r="C3624" t="s">
        <v>37</v>
      </c>
      <c r="D3624">
        <v>5.3869470000000002</v>
      </c>
      <c r="E3624">
        <v>0.55215099999999995</v>
      </c>
      <c r="F3624" t="s">
        <v>39</v>
      </c>
      <c r="G3624">
        <v>-192.88839999999999</v>
      </c>
      <c r="H3624" s="1">
        <v>-3.5846439999999999E-6</v>
      </c>
      <c r="I3624">
        <v>165.54900000000001</v>
      </c>
      <c r="J3624">
        <v>-190.2559</v>
      </c>
      <c r="K3624">
        <v>1.102468</v>
      </c>
      <c r="L3624">
        <v>181.88200000000001</v>
      </c>
      <c r="M3624">
        <v>3.0228970000000001E-2</v>
      </c>
      <c r="N3624">
        <v>0</v>
      </c>
      <c r="O3624">
        <v>-0.99948819999999905</v>
      </c>
      <c r="P3624">
        <v>-2.3567370000000001E-2</v>
      </c>
      <c r="Q3624">
        <v>-2.348372E-2</v>
      </c>
      <c r="R3624">
        <v>-0.99944650000000002</v>
      </c>
      <c r="S3624">
        <v>-0.47213749999999999</v>
      </c>
      <c r="T3624">
        <v>-0.19825079999999901</v>
      </c>
      <c r="U3624">
        <v>-2.9873500000000002</v>
      </c>
      <c r="V3624">
        <v>5.3729850000000003E-2</v>
      </c>
      <c r="W3624">
        <v>-1.319067E-2</v>
      </c>
      <c r="X3624">
        <v>0.99846840000000003</v>
      </c>
      <c r="Y3624">
        <v>0.1855638</v>
      </c>
      <c r="Z3624">
        <v>6.5194340000000003E-2</v>
      </c>
      <c r="AA3624">
        <v>0.98046710000000004</v>
      </c>
      <c r="AB3624">
        <v>27</v>
      </c>
      <c r="AC3624">
        <v>-2.6324999999999901</v>
      </c>
      <c r="AD3624">
        <v>-1.1024715846440001</v>
      </c>
      <c r="AE3624">
        <v>-16.332999999999998</v>
      </c>
      <c r="AF3624">
        <v>3.11123713119468</v>
      </c>
      <c r="AG3624">
        <v>-1.1024715846440001</v>
      </c>
      <c r="AH3624">
        <v>16.174126220151901</v>
      </c>
      <c r="AI3624">
        <v>93.829411874248606</v>
      </c>
      <c r="AJ3624">
        <v>79.111643612916794</v>
      </c>
      <c r="AK3624">
        <v>16.507501296891601</v>
      </c>
    </row>
    <row r="3625" spans="1:37" x14ac:dyDescent="0.2">
      <c r="A3625" t="str">
        <f>"20200111155921301"</f>
        <v>20200111155921301</v>
      </c>
      <c r="B3625" t="str">
        <f>"1578729561296095"</f>
        <v>1578729561296095</v>
      </c>
      <c r="C3625" t="s">
        <v>37</v>
      </c>
      <c r="D3625">
        <v>5.3281720000000004</v>
      </c>
      <c r="E3625">
        <v>0.55159519999999995</v>
      </c>
      <c r="F3625" t="s">
        <v>39</v>
      </c>
      <c r="G3625">
        <v>-192.76689999999999</v>
      </c>
      <c r="H3625" s="1">
        <v>-3.812847E-6</v>
      </c>
      <c r="I3625">
        <v>166.1002</v>
      </c>
      <c r="J3625">
        <v>-190.24959999999999</v>
      </c>
      <c r="K3625">
        <v>1.1024929999999999</v>
      </c>
      <c r="L3625">
        <v>181.6131</v>
      </c>
      <c r="M3625">
        <v>2.8549560000000002E-2</v>
      </c>
      <c r="N3625">
        <v>0</v>
      </c>
      <c r="O3625">
        <v>-0.9995328</v>
      </c>
      <c r="P3625">
        <v>-2.5054050000000001E-2</v>
      </c>
      <c r="Q3625">
        <v>-2.4695519999999999E-2</v>
      </c>
      <c r="R3625">
        <v>-0.99938130000000003</v>
      </c>
      <c r="S3625">
        <v>-0.47502139999999998</v>
      </c>
      <c r="T3625">
        <v>-0.20855989999999999</v>
      </c>
      <c r="U3625">
        <v>-2.985535</v>
      </c>
      <c r="V3625">
        <v>5.3534329999999998E-2</v>
      </c>
      <c r="W3625">
        <v>-1.394163E-2</v>
      </c>
      <c r="X3625">
        <v>0.99846869999999999</v>
      </c>
      <c r="Y3625">
        <v>0.18489269999999999</v>
      </c>
      <c r="Z3625">
        <v>6.861399E-2</v>
      </c>
      <c r="AA3625">
        <v>0.98036060000000003</v>
      </c>
      <c r="AB3625">
        <v>27</v>
      </c>
      <c r="AC3625">
        <v>-2.5173000000000001</v>
      </c>
      <c r="AD3625">
        <v>-1.1024968128470001</v>
      </c>
      <c r="AE3625">
        <v>-15.5129</v>
      </c>
      <c r="AF3625">
        <v>2.9446948582938002</v>
      </c>
      <c r="AG3625">
        <v>-1.1024968128470001</v>
      </c>
      <c r="AH3625">
        <v>15.359116770261499</v>
      </c>
      <c r="AI3625">
        <v>94.032526076517399</v>
      </c>
      <c r="AJ3625">
        <v>79.146786019117201</v>
      </c>
      <c r="AK3625">
        <v>15.677665482887701</v>
      </c>
    </row>
    <row r="3626" spans="1:37" x14ac:dyDescent="0.2">
      <c r="A3626" t="str">
        <f>"20200111155921325"</f>
        <v>20200111155921325</v>
      </c>
      <c r="B3626" t="str">
        <f>"1578729561315614"</f>
        <v>1578729561315614</v>
      </c>
      <c r="C3626" t="s">
        <v>37</v>
      </c>
      <c r="D3626">
        <v>5.3664050000000003</v>
      </c>
      <c r="E3626">
        <v>0.55119719999999905</v>
      </c>
      <c r="F3626" t="s">
        <v>39</v>
      </c>
      <c r="G3626">
        <v>-192.7056</v>
      </c>
      <c r="H3626" s="1">
        <v>-3.8361319999999996E-6</v>
      </c>
      <c r="I3626">
        <v>166.18389999999999</v>
      </c>
      <c r="J3626">
        <v>-190.24350000000001</v>
      </c>
      <c r="K3626">
        <v>1.1025309999999999</v>
      </c>
      <c r="L3626">
        <v>181.33</v>
      </c>
      <c r="M3626">
        <v>2.6789400000000001E-2</v>
      </c>
      <c r="N3626">
        <v>0</v>
      </c>
      <c r="O3626">
        <v>-0.99957629999999997</v>
      </c>
      <c r="P3626">
        <v>-2.6012449999999999E-2</v>
      </c>
      <c r="Q3626">
        <v>-2.4652819999999999E-2</v>
      </c>
      <c r="R3626">
        <v>-0.99935750000000001</v>
      </c>
      <c r="S3626">
        <v>-0.47509770000000001</v>
      </c>
      <c r="T3626">
        <v>-0.2132732</v>
      </c>
      <c r="U3626">
        <v>-2.9846949999999999</v>
      </c>
      <c r="V3626">
        <v>5.2735619999999997E-2</v>
      </c>
      <c r="W3626">
        <v>-1.3467420000000001E-2</v>
      </c>
      <c r="X3626">
        <v>0.99851769999999995</v>
      </c>
      <c r="Y3626">
        <v>0.18321209999999999</v>
      </c>
      <c r="Z3626">
        <v>7.019251E-2</v>
      </c>
      <c r="AA3626">
        <v>0.98056430000000006</v>
      </c>
      <c r="AB3626">
        <v>27</v>
      </c>
      <c r="AC3626">
        <v>-2.4620999999999902</v>
      </c>
      <c r="AD3626">
        <v>-1.102534836132</v>
      </c>
      <c r="AE3626">
        <v>-15.146100000000001</v>
      </c>
      <c r="AF3626">
        <v>2.8522727359162898</v>
      </c>
      <c r="AG3626">
        <v>-1.102534836132</v>
      </c>
      <c r="AH3626">
        <v>14.997278191011301</v>
      </c>
      <c r="AI3626">
        <v>94.130793361150197</v>
      </c>
      <c r="AJ3626">
        <v>79.231746138602603</v>
      </c>
      <c r="AK3626">
        <v>15.305861490406899</v>
      </c>
    </row>
    <row r="3627" spans="1:37" x14ac:dyDescent="0.2">
      <c r="A3627" t="str">
        <f>"20200111155921345"</f>
        <v>20200111155921345</v>
      </c>
      <c r="B3627" t="str">
        <f>"1578729561336110"</f>
        <v>1578729561336110</v>
      </c>
      <c r="C3627" t="s">
        <v>37</v>
      </c>
      <c r="D3627">
        <v>5.4567399999999999</v>
      </c>
      <c r="E3627">
        <v>0.55067600000000005</v>
      </c>
      <c r="F3627" t="s">
        <v>39</v>
      </c>
      <c r="G3627">
        <v>-192.68199999999999</v>
      </c>
      <c r="H3627" s="1">
        <v>-3.746873E-6</v>
      </c>
      <c r="I3627">
        <v>166.00839999999999</v>
      </c>
      <c r="J3627">
        <v>-190.23849999999999</v>
      </c>
      <c r="K3627">
        <v>1.102568</v>
      </c>
      <c r="L3627">
        <v>181.07990000000001</v>
      </c>
      <c r="M3627">
        <v>2.5243959999999999E-2</v>
      </c>
      <c r="N3627">
        <v>0</v>
      </c>
      <c r="O3627">
        <v>-0.99961299999999997</v>
      </c>
      <c r="P3627">
        <v>-2.6669689999999999E-2</v>
      </c>
      <c r="Q3627">
        <v>-2.4006420000000001E-2</v>
      </c>
      <c r="R3627">
        <v>-0.99935609999999997</v>
      </c>
      <c r="S3627">
        <v>-0.4749603</v>
      </c>
      <c r="T3627">
        <v>-0.2147473</v>
      </c>
      <c r="U3627">
        <v>-2.9842680000000001</v>
      </c>
      <c r="V3627">
        <v>5.1852549999999997E-2</v>
      </c>
      <c r="W3627">
        <v>-1.248724E-2</v>
      </c>
      <c r="X3627">
        <v>0.99857669999999998</v>
      </c>
      <c r="Y3627">
        <v>0.181664299999999</v>
      </c>
      <c r="Z3627">
        <v>7.0699899999999996E-2</v>
      </c>
      <c r="AA3627">
        <v>0.98081580000000002</v>
      </c>
      <c r="AB3627">
        <v>27</v>
      </c>
      <c r="AC3627">
        <v>-2.4435000000000202</v>
      </c>
      <c r="AD3627">
        <v>-1.1025717468730001</v>
      </c>
      <c r="AE3627">
        <v>-15.0715</v>
      </c>
      <c r="AF3627">
        <v>2.8085655900840001</v>
      </c>
      <c r="AG3627">
        <v>-1.1025717468730001</v>
      </c>
      <c r="AH3627">
        <v>14.9271672349232</v>
      </c>
      <c r="AI3627">
        <v>94.151803160060595</v>
      </c>
      <c r="AJ3627">
        <v>79.344300825861097</v>
      </c>
      <c r="AK3627">
        <v>15.229052064727201</v>
      </c>
    </row>
    <row r="3628" spans="1:37" x14ac:dyDescent="0.2">
      <c r="A3628" t="str">
        <f>"20200111155921369"</f>
        <v>20200111155921369</v>
      </c>
      <c r="B3628" t="str">
        <f>"1578729561365390"</f>
        <v>1578729561365390</v>
      </c>
      <c r="C3628" t="s">
        <v>37</v>
      </c>
      <c r="D3628">
        <v>5.1910730000000003</v>
      </c>
      <c r="E3628">
        <v>0.55031140000000001</v>
      </c>
      <c r="F3628" t="s">
        <v>39</v>
      </c>
      <c r="G3628">
        <v>-192.67949999999999</v>
      </c>
      <c r="H3628" s="1">
        <v>-3.5903379999999999E-6</v>
      </c>
      <c r="I3628">
        <v>165.67869999999999</v>
      </c>
      <c r="J3628">
        <v>-190.23349999999999</v>
      </c>
      <c r="K3628">
        <v>1.102589</v>
      </c>
      <c r="L3628">
        <v>180.80269999999999</v>
      </c>
      <c r="M3628">
        <v>2.354272E-2</v>
      </c>
      <c r="N3628">
        <v>0</v>
      </c>
      <c r="O3628">
        <v>-0.999650499999999</v>
      </c>
      <c r="P3628">
        <v>-2.7827660000000001E-2</v>
      </c>
      <c r="Q3628">
        <v>-2.4416779999999999E-2</v>
      </c>
      <c r="R3628">
        <v>-0.99931440000000005</v>
      </c>
      <c r="S3628">
        <v>-0.47296139999999998</v>
      </c>
      <c r="T3628">
        <v>-0.21363739999999901</v>
      </c>
      <c r="U3628">
        <v>-2.9841769999999999</v>
      </c>
      <c r="V3628">
        <v>5.1310269999999998E-2</v>
      </c>
      <c r="W3628">
        <v>-1.257578E-2</v>
      </c>
      <c r="X3628">
        <v>0.99860360000000004</v>
      </c>
      <c r="Y3628">
        <v>0.1793582</v>
      </c>
      <c r="Z3628">
        <v>7.0361580000000007E-2</v>
      </c>
      <c r="AA3628">
        <v>0.98126440000000004</v>
      </c>
      <c r="AB3628">
        <v>27</v>
      </c>
      <c r="AC3628">
        <v>-2.44599999999999</v>
      </c>
      <c r="AD3628">
        <v>-1.1025925903380001</v>
      </c>
      <c r="AE3628">
        <v>-15.123999999999899</v>
      </c>
      <c r="AF3628">
        <v>2.7869728231608502</v>
      </c>
      <c r="AG3628">
        <v>-1.1025925903380001</v>
      </c>
      <c r="AH3628">
        <v>14.984605905490101</v>
      </c>
      <c r="AI3628">
        <v>94.137632902572506</v>
      </c>
      <c r="AJ3628">
        <v>79.4639977058375</v>
      </c>
      <c r="AK3628">
        <v>15.2814051081749</v>
      </c>
    </row>
    <row r="3629" spans="1:37" x14ac:dyDescent="0.2">
      <c r="A3629" t="str">
        <f>"20200111155921391"</f>
        <v>20200111155921391</v>
      </c>
      <c r="B3629" t="str">
        <f>"1578729561385886"</f>
        <v>1578729561385886</v>
      </c>
      <c r="C3629" t="s">
        <v>37</v>
      </c>
      <c r="D3629">
        <v>5.1423540000000001</v>
      </c>
      <c r="E3629">
        <v>0.55012989999999995</v>
      </c>
      <c r="F3629" t="s">
        <v>39</v>
      </c>
      <c r="G3629">
        <v>-192.64619999999999</v>
      </c>
      <c r="H3629" s="1">
        <v>-3.5411759999999998E-6</v>
      </c>
      <c r="I3629">
        <v>165.5934</v>
      </c>
      <c r="J3629">
        <v>-190.22900000000001</v>
      </c>
      <c r="K3629">
        <v>1.102617</v>
      </c>
      <c r="L3629">
        <v>180.52780000000001</v>
      </c>
      <c r="M3629">
        <v>2.1862590000000001E-2</v>
      </c>
      <c r="N3629">
        <v>0</v>
      </c>
      <c r="O3629">
        <v>-0.99968570000000001</v>
      </c>
      <c r="P3629">
        <v>-2.9376820000000001E-2</v>
      </c>
      <c r="Q3629">
        <v>-2.480746E-2</v>
      </c>
      <c r="R3629">
        <v>-0.99926109999999901</v>
      </c>
      <c r="S3629">
        <v>-0.47329709999999903</v>
      </c>
      <c r="T3629">
        <v>-0.21629470000000001</v>
      </c>
      <c r="U3629">
        <v>-2.9835970000000001</v>
      </c>
      <c r="V3629">
        <v>5.11799E-2</v>
      </c>
      <c r="W3629">
        <v>-1.268994E-2</v>
      </c>
      <c r="X3629">
        <v>0.99860879999999996</v>
      </c>
      <c r="Y3629">
        <v>0.17783199999999999</v>
      </c>
      <c r="Z3629">
        <v>7.1259349999999999E-2</v>
      </c>
      <c r="AA3629">
        <v>0.98147739999999895</v>
      </c>
      <c r="AB3629">
        <v>27</v>
      </c>
      <c r="AC3629">
        <v>-2.4171999999999798</v>
      </c>
      <c r="AD3629">
        <v>-1.1026205411759999</v>
      </c>
      <c r="AE3629">
        <v>-14.9344</v>
      </c>
      <c r="AF3629">
        <v>2.7286571857652002</v>
      </c>
      <c r="AG3629">
        <v>-1.1026205411759999</v>
      </c>
      <c r="AH3629">
        <v>14.799367646545599</v>
      </c>
      <c r="AI3629">
        <v>94.190550036995504</v>
      </c>
      <c r="AJ3629">
        <v>79.553321528263993</v>
      </c>
      <c r="AK3629">
        <v>15.0891558687977</v>
      </c>
    </row>
    <row r="3630" spans="1:37" x14ac:dyDescent="0.2">
      <c r="A3630" t="str">
        <f>"20200111155921404"</f>
        <v>20200111155921404</v>
      </c>
      <c r="B3630" t="str">
        <f>"1578729561395647"</f>
        <v>1578729561395647</v>
      </c>
      <c r="C3630" t="s">
        <v>37</v>
      </c>
      <c r="D3630">
        <v>5.1179430000000004</v>
      </c>
      <c r="E3630">
        <v>0.55007299999999903</v>
      </c>
      <c r="F3630" t="s">
        <v>39</v>
      </c>
      <c r="G3630">
        <v>-192.6353</v>
      </c>
      <c r="H3630" s="1">
        <v>-3.4779249999999998E-6</v>
      </c>
      <c r="I3630">
        <v>165.4658</v>
      </c>
      <c r="J3630">
        <v>-190.22649999999999</v>
      </c>
      <c r="K3630">
        <v>1.1026290000000001</v>
      </c>
      <c r="L3630">
        <v>180.36949999999999</v>
      </c>
      <c r="M3630">
        <v>2.0895810000000001E-2</v>
      </c>
      <c r="N3630">
        <v>0</v>
      </c>
      <c r="O3630">
        <v>-0.9997045</v>
      </c>
      <c r="P3630">
        <v>-3.021809E-2</v>
      </c>
      <c r="Q3630">
        <v>-2.5077479999999999E-2</v>
      </c>
      <c r="R3630">
        <v>-0.99922909999999998</v>
      </c>
      <c r="S3630">
        <v>-0.47653199999999901</v>
      </c>
      <c r="T3630">
        <v>-0.21835570000000001</v>
      </c>
      <c r="U3630">
        <v>-2.9827880000000002</v>
      </c>
      <c r="V3630">
        <v>5.1054599999999999E-2</v>
      </c>
      <c r="W3630">
        <v>-1.281446E-2</v>
      </c>
      <c r="X3630">
        <v>0.99861369999999905</v>
      </c>
      <c r="Y3630">
        <v>0.1779519</v>
      </c>
      <c r="Z3630">
        <v>7.1949360000000004E-2</v>
      </c>
      <c r="AA3630">
        <v>0.98140530000000004</v>
      </c>
      <c r="AB3630">
        <v>27</v>
      </c>
      <c r="AC3630">
        <v>-2.40880000000001</v>
      </c>
      <c r="AD3630">
        <v>-1.1026324779250001</v>
      </c>
      <c r="AE3630">
        <v>-14.903699999999899</v>
      </c>
      <c r="AF3630">
        <v>2.7052921556504299</v>
      </c>
      <c r="AG3630">
        <v>-1.1026324779250001</v>
      </c>
      <c r="AH3630">
        <v>14.7713136657534</v>
      </c>
      <c r="AI3630">
        <v>94.199441663986207</v>
      </c>
      <c r="AJ3630">
        <v>79.621582666140995</v>
      </c>
      <c r="AK3630">
        <v>15.0574271188962</v>
      </c>
    </row>
    <row r="3631" spans="1:37" x14ac:dyDescent="0.2">
      <c r="A3631" t="str">
        <f>"20200111155921424"</f>
        <v>20200111155921424</v>
      </c>
      <c r="B3631" t="str">
        <f>"1578729561416142"</f>
        <v>1578729561416142</v>
      </c>
      <c r="C3631" t="s">
        <v>37</v>
      </c>
      <c r="D3631">
        <v>5.0911109999999997</v>
      </c>
      <c r="E3631">
        <v>0.54986630000000003</v>
      </c>
      <c r="F3631" t="s">
        <v>39</v>
      </c>
      <c r="G3631">
        <v>-192.62909999999999</v>
      </c>
      <c r="H3631" s="1">
        <v>-3.4417539999999998E-6</v>
      </c>
      <c r="I3631">
        <v>165.39269999999999</v>
      </c>
      <c r="J3631">
        <v>-190.22319999999999</v>
      </c>
      <c r="K3631">
        <v>1.102644</v>
      </c>
      <c r="L3631">
        <v>180.1294</v>
      </c>
      <c r="M3631">
        <v>1.9422979999999999E-2</v>
      </c>
      <c r="N3631">
        <v>0</v>
      </c>
      <c r="O3631">
        <v>-0.99973179999999995</v>
      </c>
      <c r="P3631">
        <v>-3.1768200000000003E-2</v>
      </c>
      <c r="Q3631">
        <v>-2.517283E-2</v>
      </c>
      <c r="R3631">
        <v>-0.99917860000000003</v>
      </c>
      <c r="S3631">
        <v>-0.47842410000000002</v>
      </c>
      <c r="T3631">
        <v>-0.21956829999999999</v>
      </c>
      <c r="U3631">
        <v>-2.9823300000000001</v>
      </c>
      <c r="V3631">
        <v>5.1132940000000002E-2</v>
      </c>
      <c r="W3631">
        <v>-1.2716150000000001E-2</v>
      </c>
      <c r="X3631">
        <v>0.99861089999999997</v>
      </c>
      <c r="Y3631">
        <v>0.17712809999999901</v>
      </c>
      <c r="Z3631">
        <v>7.2362800000000005E-2</v>
      </c>
      <c r="AA3631">
        <v>0.9815239</v>
      </c>
      <c r="AB3631">
        <v>27</v>
      </c>
      <c r="AC3631">
        <v>-2.4058999999999999</v>
      </c>
      <c r="AD3631">
        <v>-1.102647441754</v>
      </c>
      <c r="AE3631">
        <v>-14.736700000000001</v>
      </c>
      <c r="AF3631">
        <v>2.6771007846584398</v>
      </c>
      <c r="AG3631">
        <v>-1.102647441754</v>
      </c>
      <c r="AH3631">
        <v>14.6075287809996</v>
      </c>
      <c r="AI3631">
        <v>94.246320787119899</v>
      </c>
      <c r="AJ3631">
        <v>79.614732706662807</v>
      </c>
      <c r="AK3631">
        <v>14.8916955743716</v>
      </c>
    </row>
    <row r="3632" spans="1:37" x14ac:dyDescent="0.2">
      <c r="A3632" t="str">
        <f>"20200111155921447"</f>
        <v>20200111155921447</v>
      </c>
      <c r="B3632" t="str">
        <f>"1578729561435663"</f>
        <v>1578729561435663</v>
      </c>
      <c r="C3632" t="s">
        <v>37</v>
      </c>
      <c r="D3632">
        <v>5.0264419999999896</v>
      </c>
      <c r="E3632">
        <v>0.54974899999999904</v>
      </c>
      <c r="F3632" t="s">
        <v>39</v>
      </c>
      <c r="G3632">
        <v>-192.62639999999999</v>
      </c>
      <c r="H3632" s="1">
        <v>-3.370485E-6</v>
      </c>
      <c r="I3632">
        <v>165.24340000000001</v>
      </c>
      <c r="J3632">
        <v>-190.21979999999999</v>
      </c>
      <c r="K3632">
        <v>1.102649</v>
      </c>
      <c r="L3632">
        <v>179.8604</v>
      </c>
      <c r="M3632">
        <v>1.7743660000000001E-2</v>
      </c>
      <c r="N3632">
        <v>0</v>
      </c>
      <c r="O3632">
        <v>-0.99976049999999905</v>
      </c>
      <c r="P3632">
        <v>-3.3240440000000003E-2</v>
      </c>
      <c r="Q3632">
        <v>-2.5086219999999999E-2</v>
      </c>
      <c r="R3632">
        <v>-0.99913280000000004</v>
      </c>
      <c r="S3632">
        <v>-0.48136899999999899</v>
      </c>
      <c r="T3632">
        <v>-0.2208571</v>
      </c>
      <c r="U3632">
        <v>-2.9816129999999998</v>
      </c>
      <c r="V3632">
        <v>5.092762E-2</v>
      </c>
      <c r="W3632">
        <v>-1.2440929999999999E-2</v>
      </c>
      <c r="X3632">
        <v>0.99862489999999904</v>
      </c>
      <c r="Y3632">
        <v>0.17645189999999999</v>
      </c>
      <c r="Z3632">
        <v>7.2804729999999998E-2</v>
      </c>
      <c r="AA3632">
        <v>0.98161299999999996</v>
      </c>
      <c r="AB3632">
        <v>27</v>
      </c>
      <c r="AC3632">
        <v>-2.4065999999999899</v>
      </c>
      <c r="AD3632">
        <v>-1.102652370485</v>
      </c>
      <c r="AE3632">
        <v>-14.6169999999999</v>
      </c>
      <c r="AF3632">
        <v>2.6509141770719</v>
      </c>
      <c r="AG3632">
        <v>-1.102652370485</v>
      </c>
      <c r="AH3632">
        <v>14.4917025484164</v>
      </c>
      <c r="AI3632">
        <v>94.280411855961603</v>
      </c>
      <c r="AJ3632">
        <v>79.633704255919397</v>
      </c>
      <c r="AK3632">
        <v>14.7733757474762</v>
      </c>
    </row>
    <row r="3633" spans="1:37" x14ac:dyDescent="0.2">
      <c r="A3633" t="str">
        <f>"20200111155921470"</f>
        <v>20200111155921470</v>
      </c>
      <c r="B3633" t="str">
        <f>"1578729561465919"</f>
        <v>1578729561465919</v>
      </c>
      <c r="C3633" t="s">
        <v>37</v>
      </c>
      <c r="D3633">
        <v>4.9442379999999897</v>
      </c>
      <c r="E3633">
        <v>0.57124750000000002</v>
      </c>
      <c r="F3633" t="s">
        <v>39</v>
      </c>
      <c r="G3633">
        <v>-192.6404</v>
      </c>
      <c r="H3633" s="1">
        <v>-3.247828E-6</v>
      </c>
      <c r="I3633">
        <v>164.9761</v>
      </c>
      <c r="J3633">
        <v>-190.21700000000001</v>
      </c>
      <c r="K3633">
        <v>1.1026479999999901</v>
      </c>
      <c r="L3633">
        <v>179.58770000000001</v>
      </c>
      <c r="M3633">
        <v>1.5998099999999901E-2</v>
      </c>
      <c r="N3633">
        <v>0</v>
      </c>
      <c r="O3633">
        <v>-0.99978809999999996</v>
      </c>
      <c r="P3633">
        <v>-3.4765600000000001E-2</v>
      </c>
      <c r="Q3633">
        <v>-2.473593E-2</v>
      </c>
      <c r="R3633">
        <v>-0.99908969999999897</v>
      </c>
      <c r="S3633">
        <v>-0.48477170000000003</v>
      </c>
      <c r="T3633">
        <v>-0.220834</v>
      </c>
      <c r="U3633">
        <v>-2.98094199999999</v>
      </c>
      <c r="V3633">
        <v>5.070964E-2</v>
      </c>
      <c r="W3633">
        <v>-1.192677E-2</v>
      </c>
      <c r="X3633">
        <v>0.99864219999999904</v>
      </c>
      <c r="Y3633">
        <v>0.17585999999999999</v>
      </c>
      <c r="Z3633">
        <v>7.2813829999999996E-2</v>
      </c>
      <c r="AA3633">
        <v>0.9817186</v>
      </c>
      <c r="AB3633">
        <v>27</v>
      </c>
      <c r="AC3633">
        <v>-2.42339999999998</v>
      </c>
      <c r="AD3633">
        <v>-1.1026512478279999</v>
      </c>
      <c r="AE3633">
        <v>-14.611599999999999</v>
      </c>
      <c r="AF3633">
        <v>2.6422230769202102</v>
      </c>
      <c r="AG3633">
        <v>-1.1026512478279999</v>
      </c>
      <c r="AH3633">
        <v>14.4906441309379</v>
      </c>
      <c r="AI3633">
        <v>94.281161031931006</v>
      </c>
      <c r="AJ3633">
        <v>79.666218674199001</v>
      </c>
      <c r="AK3633">
        <v>14.7707802736359</v>
      </c>
    </row>
    <row r="3634" spans="1:37" x14ac:dyDescent="0.2">
      <c r="A3634" t="str">
        <f>"20200111155921483"</f>
        <v>20200111155921483</v>
      </c>
      <c r="B3634" t="str">
        <f>"1578729561475678"</f>
        <v>1578729561475678</v>
      </c>
      <c r="C3634" t="s">
        <v>37</v>
      </c>
      <c r="D3634">
        <v>5.0421490000000002</v>
      </c>
      <c r="E3634">
        <v>0.57872769999999996</v>
      </c>
      <c r="F3634" t="s">
        <v>39</v>
      </c>
      <c r="G3634">
        <v>-193.7578</v>
      </c>
      <c r="H3634" s="1">
        <v>-2.9396810000000001E-6</v>
      </c>
      <c r="I3634">
        <v>163.6953</v>
      </c>
      <c r="J3634">
        <v>-190.21539999999999</v>
      </c>
      <c r="K3634">
        <v>1.102641</v>
      </c>
      <c r="L3634">
        <v>179.41550000000001</v>
      </c>
      <c r="M3634">
        <v>1.4878000000000001E-2</v>
      </c>
      <c r="N3634">
        <v>0</v>
      </c>
      <c r="O3634">
        <v>-0.99980400000000003</v>
      </c>
      <c r="P3634">
        <v>-3.56029E-2</v>
      </c>
      <c r="Q3634">
        <v>-2.4396749999999998E-2</v>
      </c>
      <c r="R3634">
        <v>-0.99906839999999997</v>
      </c>
      <c r="S3634">
        <v>-0.66271969999999902</v>
      </c>
      <c r="T3634">
        <v>-0.20638239999999999</v>
      </c>
      <c r="U3634">
        <v>-2.974564</v>
      </c>
      <c r="V3634">
        <v>5.0428809999999998E-2</v>
      </c>
      <c r="W3634">
        <v>-1.1494249999999999E-2</v>
      </c>
      <c r="X3634">
        <v>0.99866149999999998</v>
      </c>
      <c r="Y3634">
        <v>0.23146720000000001</v>
      </c>
      <c r="Z3634">
        <v>6.744166E-2</v>
      </c>
      <c r="AA3634">
        <v>0.97050219999999898</v>
      </c>
      <c r="AB3634">
        <v>27</v>
      </c>
      <c r="AC3634">
        <v>-3.54240000000001</v>
      </c>
      <c r="AD3634">
        <v>-1.1026439396809999</v>
      </c>
      <c r="AE3634">
        <v>-15.7202</v>
      </c>
      <c r="AF3634">
        <v>3.7583160189159899</v>
      </c>
      <c r="AG3634">
        <v>-1.1026439396809999</v>
      </c>
      <c r="AH3634">
        <v>15.592744181817499</v>
      </c>
      <c r="AI3634">
        <v>93.932694357881701</v>
      </c>
      <c r="AJ3634">
        <v>76.448490039285403</v>
      </c>
      <c r="AK3634">
        <v>16.0771401087183</v>
      </c>
    </row>
    <row r="3635" spans="1:37" x14ac:dyDescent="0.2">
      <c r="A3635" t="str">
        <f>"20200111155921497"</f>
        <v>20200111155921497</v>
      </c>
      <c r="B3635" t="str">
        <f>"1578729561485439"</f>
        <v>1578729561485439</v>
      </c>
      <c r="C3635" t="s">
        <v>37</v>
      </c>
      <c r="D3635">
        <v>5.0676860000000001</v>
      </c>
      <c r="E3635">
        <v>0.58495189999999997</v>
      </c>
      <c r="F3635" t="s">
        <v>39</v>
      </c>
      <c r="G3635">
        <v>-193.7193</v>
      </c>
      <c r="H3635" s="1">
        <v>-3.5553690000000001E-6</v>
      </c>
      <c r="I3635">
        <v>165.01939999999999</v>
      </c>
      <c r="J3635">
        <v>-190.21430000000001</v>
      </c>
      <c r="K3635">
        <v>1.10263</v>
      </c>
      <c r="L3635">
        <v>179.2628</v>
      </c>
      <c r="M3635">
        <v>1.386254E-2</v>
      </c>
      <c r="N3635">
        <v>0</v>
      </c>
      <c r="O3635">
        <v>-0.99981759999999997</v>
      </c>
      <c r="P3635">
        <v>-3.6640739999999998E-2</v>
      </c>
      <c r="Q3635">
        <v>-2.40742E-2</v>
      </c>
      <c r="R3635">
        <v>-0.9990388</v>
      </c>
      <c r="S3635">
        <v>-0.7232208</v>
      </c>
      <c r="T3635">
        <v>-0.22759499999999999</v>
      </c>
      <c r="U3635">
        <v>-2.9714659999999999</v>
      </c>
      <c r="V3635">
        <v>5.045285E-2</v>
      </c>
      <c r="W3635">
        <v>-1.1099639999999999E-2</v>
      </c>
      <c r="X3635">
        <v>0.99866469999999896</v>
      </c>
      <c r="Y3635">
        <v>0.24928229999999901</v>
      </c>
      <c r="Z3635">
        <v>7.4078110000000003E-2</v>
      </c>
      <c r="AA3635">
        <v>0.96559349999999999</v>
      </c>
      <c r="AB3635">
        <v>27</v>
      </c>
      <c r="AC3635">
        <v>-3.5049999999999901</v>
      </c>
      <c r="AD3635">
        <v>-1.1026335553690001</v>
      </c>
      <c r="AE3635">
        <v>-14.243399999999999</v>
      </c>
      <c r="AF3635">
        <v>3.6813278271688201</v>
      </c>
      <c r="AG3635">
        <v>-1.1026335553690001</v>
      </c>
      <c r="AH3635">
        <v>14.1136865715954</v>
      </c>
      <c r="AI3635">
        <v>94.323102302801104</v>
      </c>
      <c r="AJ3635">
        <v>75.381039613156005</v>
      </c>
      <c r="AK3635">
        <v>14.627512569461199</v>
      </c>
    </row>
    <row r="3636" spans="1:37" x14ac:dyDescent="0.2">
      <c r="A3636" t="str">
        <f>"20200111155921513"</f>
        <v>20200111155921513</v>
      </c>
      <c r="B3636" t="str">
        <f>"1578729561505934"</f>
        <v>1578729561505934</v>
      </c>
      <c r="C3636" t="s">
        <v>37</v>
      </c>
      <c r="D3636">
        <v>5.0446019999999896</v>
      </c>
      <c r="E3636">
        <v>0.59074389999999999</v>
      </c>
      <c r="F3636" t="s">
        <v>39</v>
      </c>
      <c r="G3636">
        <v>-193.7225</v>
      </c>
      <c r="H3636" s="1">
        <v>-3.9333390000000001E-6</v>
      </c>
      <c r="I3636">
        <v>165.81720000000001</v>
      </c>
      <c r="J3636">
        <v>-190.21299999999999</v>
      </c>
      <c r="K3636">
        <v>1.1026260000000001</v>
      </c>
      <c r="L3636">
        <v>179.05779999999999</v>
      </c>
      <c r="M3636">
        <v>1.247529E-2</v>
      </c>
      <c r="N3636">
        <v>0</v>
      </c>
      <c r="O3636">
        <v>-0.99983449999999996</v>
      </c>
      <c r="P3636">
        <v>-3.815031E-2</v>
      </c>
      <c r="Q3636">
        <v>-2.3061439999999999E-2</v>
      </c>
      <c r="R3636">
        <v>-0.99900610000000001</v>
      </c>
      <c r="S3636">
        <v>-0.77456669999999905</v>
      </c>
      <c r="T3636">
        <v>-0.24344669999999999</v>
      </c>
      <c r="U3636">
        <v>-2.9685969999999999</v>
      </c>
      <c r="V3636">
        <v>5.0579409999999998E-2</v>
      </c>
      <c r="W3636">
        <v>-9.9980219999999901E-3</v>
      </c>
      <c r="X3636">
        <v>0.99866999999999995</v>
      </c>
      <c r="Y3636">
        <v>0.2637312</v>
      </c>
      <c r="Z3636">
        <v>7.8963240000000004E-2</v>
      </c>
      <c r="AA3636">
        <v>0.96135879999999996</v>
      </c>
      <c r="AB3636">
        <v>27</v>
      </c>
      <c r="AC3636">
        <v>-3.5095000000000001</v>
      </c>
      <c r="AD3636">
        <v>-1.1026299333389999</v>
      </c>
      <c r="AE3636">
        <v>-13.240599999999899</v>
      </c>
      <c r="AF3636">
        <v>3.6507656667875499</v>
      </c>
      <c r="AG3636">
        <v>-1.1026299333389999</v>
      </c>
      <c r="AH3636">
        <v>13.1108289060851</v>
      </c>
      <c r="AI3636">
        <v>94.631894651163506</v>
      </c>
      <c r="AJ3636">
        <v>74.439914186337901</v>
      </c>
      <c r="AK3636">
        <v>13.654219762707999</v>
      </c>
    </row>
    <row r="3637" spans="1:37" x14ac:dyDescent="0.2">
      <c r="A3637" t="str">
        <f>"20200111155921537"</f>
        <v>20200111155921537</v>
      </c>
      <c r="B3637" t="str">
        <f>"1578729561525454"</f>
        <v>1578729561525454</v>
      </c>
      <c r="C3637" t="s">
        <v>37</v>
      </c>
      <c r="D3637">
        <v>5.002739</v>
      </c>
      <c r="E3637">
        <v>0.59443179999999995</v>
      </c>
      <c r="F3637" t="s">
        <v>39</v>
      </c>
      <c r="G3637">
        <v>-193.77180000000001</v>
      </c>
      <c r="H3637" s="1">
        <v>-4.1124739999999997E-6</v>
      </c>
      <c r="I3637">
        <v>166.25299999999999</v>
      </c>
      <c r="J3637">
        <v>-190.21170000000001</v>
      </c>
      <c r="K3637">
        <v>1.1026100000000001</v>
      </c>
      <c r="L3637">
        <v>178.78630000000001</v>
      </c>
      <c r="M3637">
        <v>1.058226E-2</v>
      </c>
      <c r="N3637">
        <v>0</v>
      </c>
      <c r="O3637">
        <v>-0.99985499999999905</v>
      </c>
      <c r="P3637">
        <v>-4.02449E-2</v>
      </c>
      <c r="Q3637">
        <v>-2.1397050000000001E-2</v>
      </c>
      <c r="R3637">
        <v>-0.99896099999999999</v>
      </c>
      <c r="S3637">
        <v>-0.82421880000000003</v>
      </c>
      <c r="T3637">
        <v>-0.25537110000000002</v>
      </c>
      <c r="U3637">
        <v>-2.9656220000000002</v>
      </c>
      <c r="V3637">
        <v>5.0787930000000002E-2</v>
      </c>
      <c r="W3637">
        <v>-8.2312099999999992E-3</v>
      </c>
      <c r="X3637">
        <v>0.99867549999999905</v>
      </c>
      <c r="Y3637">
        <v>0.27704200000000001</v>
      </c>
      <c r="Z3637">
        <v>8.2553319999999999E-2</v>
      </c>
      <c r="AA3637">
        <v>0.95730490000000001</v>
      </c>
      <c r="AB3637">
        <v>27</v>
      </c>
      <c r="AC3637">
        <v>-3.5600999999999998</v>
      </c>
      <c r="AD3637">
        <v>-1.1026141124740001</v>
      </c>
      <c r="AE3637">
        <v>-12.533300000000001</v>
      </c>
      <c r="AF3637">
        <v>3.6662861686681598</v>
      </c>
      <c r="AG3637">
        <v>-1.1026141124740001</v>
      </c>
      <c r="AH3637">
        <v>12.4060720774391</v>
      </c>
      <c r="AI3637">
        <v>94.871716332115597</v>
      </c>
      <c r="AJ3637">
        <v>73.536350252795998</v>
      </c>
      <c r="AK3637">
        <v>12.983375390945399</v>
      </c>
    </row>
    <row r="3638" spans="1:37" x14ac:dyDescent="0.2">
      <c r="A3638" t="str">
        <f>"20200111155921558"</f>
        <v>20200111155921558</v>
      </c>
      <c r="B3638" t="str">
        <f>"1578729561555711"</f>
        <v>1578729561555711</v>
      </c>
      <c r="C3638" t="s">
        <v>37</v>
      </c>
      <c r="D3638">
        <v>4.9876569999999996</v>
      </c>
      <c r="E3638">
        <v>0.59716279999999999</v>
      </c>
      <c r="F3638" t="s">
        <v>39</v>
      </c>
      <c r="G3638">
        <v>-193.94710000000001</v>
      </c>
      <c r="H3638" s="1">
        <v>-4.0110229999999998E-6</v>
      </c>
      <c r="I3638">
        <v>165.90780000000001</v>
      </c>
      <c r="J3638">
        <v>-190.21109999999999</v>
      </c>
      <c r="K3638">
        <v>1.1026039999999999</v>
      </c>
      <c r="L3638">
        <v>178.5291</v>
      </c>
      <c r="M3638">
        <v>8.7365519999999999E-3</v>
      </c>
      <c r="N3638">
        <v>0</v>
      </c>
      <c r="O3638">
        <v>-0.99987139999999997</v>
      </c>
      <c r="P3638">
        <v>-4.2845500000000002E-2</v>
      </c>
      <c r="Q3638">
        <v>-2.0101810000000001E-2</v>
      </c>
      <c r="R3638">
        <v>-0.99887959999999998</v>
      </c>
      <c r="S3638">
        <v>-0.85943599999999998</v>
      </c>
      <c r="T3638">
        <v>-0.25368779999999902</v>
      </c>
      <c r="U3638">
        <v>-2.9630740000000002</v>
      </c>
      <c r="V3638">
        <v>5.154852E-2</v>
      </c>
      <c r="W3638">
        <v>-6.8549329999999997E-3</v>
      </c>
      <c r="X3638">
        <v>0.99864699999999995</v>
      </c>
      <c r="Y3638">
        <v>0.28601339999999997</v>
      </c>
      <c r="Z3638">
        <v>8.1842970000000001E-2</v>
      </c>
      <c r="AA3638">
        <v>0.95472409999999996</v>
      </c>
      <c r="AB3638">
        <v>27</v>
      </c>
      <c r="AC3638">
        <v>-3.73600000000001</v>
      </c>
      <c r="AD3638">
        <v>-1.1026080110230001</v>
      </c>
      <c r="AE3638">
        <v>-12.6212999999999</v>
      </c>
      <c r="AF3638">
        <v>3.8193334211081802</v>
      </c>
      <c r="AG3638">
        <v>-1.1026080110230001</v>
      </c>
      <c r="AH3638">
        <v>12.500458736966699</v>
      </c>
      <c r="AI3638">
        <v>94.821818610166105</v>
      </c>
      <c r="AJ3638">
        <v>73.010229740438007</v>
      </c>
      <c r="AK3638">
        <v>13.1173366520103</v>
      </c>
    </row>
    <row r="3639" spans="1:37" x14ac:dyDescent="0.2">
      <c r="A3639" t="str">
        <f>"20200111155921573"</f>
        <v>20200111155921573</v>
      </c>
      <c r="B3639" t="str">
        <f>"1578729561565471"</f>
        <v>1578729561565471</v>
      </c>
      <c r="C3639" t="s">
        <v>37</v>
      </c>
      <c r="D3639">
        <v>4.9652329999999996</v>
      </c>
      <c r="E3639">
        <v>0.59770859999999904</v>
      </c>
      <c r="F3639" t="s">
        <v>39</v>
      </c>
      <c r="G3639">
        <v>-194.07919999999999</v>
      </c>
      <c r="H3639" s="1">
        <v>-3.9332909999999996E-6</v>
      </c>
      <c r="I3639">
        <v>165.64429999999999</v>
      </c>
      <c r="J3639">
        <v>-190.21090000000001</v>
      </c>
      <c r="K3639">
        <v>1.1025969999999901</v>
      </c>
      <c r="L3639">
        <v>178.3537</v>
      </c>
      <c r="M3639">
        <v>7.455153E-3</v>
      </c>
      <c r="N3639">
        <v>0</v>
      </c>
      <c r="O3639">
        <v>-0.99988140000000003</v>
      </c>
      <c r="P3639">
        <v>-4.4908450000000003E-2</v>
      </c>
      <c r="Q3639">
        <v>-1.9369910000000001E-2</v>
      </c>
      <c r="R3639">
        <v>-0.99880369999999996</v>
      </c>
      <c r="S3639">
        <v>-0.88867189999999996</v>
      </c>
      <c r="T3639">
        <v>-0.25331310000000001</v>
      </c>
      <c r="U3639">
        <v>-2.9601289999999998</v>
      </c>
      <c r="V3639">
        <v>5.2333560000000001E-2</v>
      </c>
      <c r="W3639">
        <v>-6.0756589999999997E-3</v>
      </c>
      <c r="X3639">
        <v>0.99861119999999903</v>
      </c>
      <c r="Y3639">
        <v>0.29370949999999901</v>
      </c>
      <c r="Z3639">
        <v>8.1593369999999998E-2</v>
      </c>
      <c r="AA3639">
        <v>0.95240599999999997</v>
      </c>
      <c r="AB3639">
        <v>27</v>
      </c>
      <c r="AC3639">
        <v>-3.8682999999999699</v>
      </c>
      <c r="AD3639">
        <v>-1.1026009332909901</v>
      </c>
      <c r="AE3639">
        <v>-12.7094</v>
      </c>
      <c r="AF3639">
        <v>3.9358404707206001</v>
      </c>
      <c r="AG3639">
        <v>-1.1026009332909901</v>
      </c>
      <c r="AH3639">
        <v>12.5934582003968</v>
      </c>
      <c r="AI3639">
        <v>94.776954556807397</v>
      </c>
      <c r="AJ3639">
        <v>72.644380500380507</v>
      </c>
      <c r="AK3639">
        <v>13.240157041145601</v>
      </c>
    </row>
    <row r="3640" spans="1:37" x14ac:dyDescent="0.2">
      <c r="A3640" t="str">
        <f>"20200111155921593"</f>
        <v>20200111155921593</v>
      </c>
      <c r="B3640" t="str">
        <f>"1578729561585967"</f>
        <v>1578729561585967</v>
      </c>
      <c r="C3640" t="s">
        <v>37</v>
      </c>
      <c r="D3640">
        <v>4.9710799999999997</v>
      </c>
      <c r="E3640">
        <v>0.59861989999999998</v>
      </c>
      <c r="F3640" t="s">
        <v>39</v>
      </c>
      <c r="G3640">
        <v>-194.16249999999999</v>
      </c>
      <c r="H3640" s="1">
        <v>-3.8314189999999997E-6</v>
      </c>
      <c r="I3640">
        <v>165.35390000000001</v>
      </c>
      <c r="J3640">
        <v>-190.21109999999999</v>
      </c>
      <c r="K3640">
        <v>1.1025969999999901</v>
      </c>
      <c r="L3640">
        <v>178.10830000000001</v>
      </c>
      <c r="M3640">
        <v>5.63772699999999E-3</v>
      </c>
      <c r="N3640">
        <v>0</v>
      </c>
      <c r="O3640">
        <v>-0.99989219999999901</v>
      </c>
      <c r="P3640">
        <v>-4.8583139999999997E-2</v>
      </c>
      <c r="Q3640">
        <v>-1.8772939999999998E-2</v>
      </c>
      <c r="R3640">
        <v>-0.99864299999999995</v>
      </c>
      <c r="S3640">
        <v>-0.89926149999999905</v>
      </c>
      <c r="T3640">
        <v>-0.25091540000000001</v>
      </c>
      <c r="U3640">
        <v>-2.9583279999999998</v>
      </c>
      <c r="V3640">
        <v>5.4194399999999997E-2</v>
      </c>
      <c r="W3640">
        <v>-5.4234469999999996E-3</v>
      </c>
      <c r="X3640">
        <v>0.99851569999999901</v>
      </c>
      <c r="Y3640">
        <v>0.2952745</v>
      </c>
      <c r="Z3640">
        <v>8.08141E-2</v>
      </c>
      <c r="AA3640">
        <v>0.95198850000000002</v>
      </c>
      <c r="AB3640">
        <v>27</v>
      </c>
      <c r="AC3640">
        <v>-3.9514</v>
      </c>
      <c r="AD3640">
        <v>-1.1026008314189999</v>
      </c>
      <c r="AE3640">
        <v>-12.7544</v>
      </c>
      <c r="AF3640">
        <v>3.9960013240729699</v>
      </c>
      <c r="AG3640">
        <v>-1.1026008314189999</v>
      </c>
      <c r="AH3640">
        <v>12.6456887166157</v>
      </c>
      <c r="AI3640">
        <v>94.752621688733299</v>
      </c>
      <c r="AJ3640">
        <v>72.463613408540994</v>
      </c>
      <c r="AK3640">
        <v>13.3077871298342</v>
      </c>
    </row>
    <row r="3641" spans="1:37" x14ac:dyDescent="0.2">
      <c r="A3641" t="str">
        <f>"20200111155921615"</f>
        <v>20200111155921615</v>
      </c>
      <c r="B3641" t="str">
        <f>"1578729561605486"</f>
        <v>1578729561605486</v>
      </c>
      <c r="C3641" t="s">
        <v>37</v>
      </c>
      <c r="D3641">
        <v>4.9972349999999999</v>
      </c>
      <c r="E3641">
        <v>0.59946739999999998</v>
      </c>
      <c r="F3641" t="s">
        <v>39</v>
      </c>
      <c r="G3641">
        <v>-194.215</v>
      </c>
      <c r="H3641" s="1">
        <v>-3.7759050000000001E-6</v>
      </c>
      <c r="I3641">
        <v>165.20689999999999</v>
      </c>
      <c r="J3641">
        <v>-190.21190000000001</v>
      </c>
      <c r="K3641">
        <v>1.1026100000000001</v>
      </c>
      <c r="L3641">
        <v>177.85059999999999</v>
      </c>
      <c r="M3641">
        <v>3.7086100000000002E-3</v>
      </c>
      <c r="N3641">
        <v>0</v>
      </c>
      <c r="O3641">
        <v>-0.99990059999999903</v>
      </c>
      <c r="P3641">
        <v>-5.2617289999999997E-2</v>
      </c>
      <c r="Q3641">
        <v>-1.7860270000000001E-2</v>
      </c>
      <c r="R3641">
        <v>-0.99845550000000005</v>
      </c>
      <c r="S3641">
        <v>-0.91697689999999998</v>
      </c>
      <c r="T3641">
        <v>-0.2525211</v>
      </c>
      <c r="U3641">
        <v>-2.9547119999999998</v>
      </c>
      <c r="V3641">
        <v>5.6304800000000002E-2</v>
      </c>
      <c r="W3641">
        <v>-4.4619120000000002E-3</v>
      </c>
      <c r="X3641">
        <v>0.99840370000000001</v>
      </c>
      <c r="Y3641">
        <v>0.29895709999999998</v>
      </c>
      <c r="Z3641">
        <v>8.1306149999999994E-2</v>
      </c>
      <c r="AA3641">
        <v>0.95079650000000004</v>
      </c>
      <c r="AB3641">
        <v>27</v>
      </c>
      <c r="AC3641">
        <v>-4.0030999999999803</v>
      </c>
      <c r="AD3641">
        <v>-1.1026137759050001</v>
      </c>
      <c r="AE3641">
        <v>-12.6436999999999</v>
      </c>
      <c r="AF3641">
        <v>4.0221657002943099</v>
      </c>
      <c r="AG3641">
        <v>-1.1026137759050001</v>
      </c>
      <c r="AH3641">
        <v>12.5420735166132</v>
      </c>
      <c r="AI3641">
        <v>94.785288350824004</v>
      </c>
      <c r="AJ3641">
        <v>72.219274298108303</v>
      </c>
      <c r="AK3641">
        <v>13.2173061610742</v>
      </c>
    </row>
    <row r="3642" spans="1:37" x14ac:dyDescent="0.2">
      <c r="A3642" t="str">
        <f>"20200111155921636"</f>
        <v>20200111155921636</v>
      </c>
      <c r="B3642" t="str">
        <f>"1578729561625982"</f>
        <v>1578729561625982</v>
      </c>
      <c r="C3642" t="s">
        <v>37</v>
      </c>
      <c r="D3642">
        <v>4.9631299999999996</v>
      </c>
      <c r="E3642">
        <v>0.59991090000000002</v>
      </c>
      <c r="F3642" t="s">
        <v>39</v>
      </c>
      <c r="G3642">
        <v>-194.3278</v>
      </c>
      <c r="H3642" s="1">
        <v>-3.6463300000000001E-6</v>
      </c>
      <c r="I3642">
        <v>164.86930000000001</v>
      </c>
      <c r="J3642">
        <v>-190.21299999999999</v>
      </c>
      <c r="K3642">
        <v>1.1026229999999999</v>
      </c>
      <c r="L3642">
        <v>177.6</v>
      </c>
      <c r="M3642">
        <v>1.8199889999999999E-3</v>
      </c>
      <c r="N3642">
        <v>0</v>
      </c>
      <c r="O3642">
        <v>-0.99990489999999999</v>
      </c>
      <c r="P3642">
        <v>-5.6833080000000001E-2</v>
      </c>
      <c r="Q3642">
        <v>-1.6898440000000001E-2</v>
      </c>
      <c r="R3642">
        <v>-0.99824099999999905</v>
      </c>
      <c r="S3642">
        <v>-0.93562319999999999</v>
      </c>
      <c r="T3642">
        <v>-0.25064059999999999</v>
      </c>
      <c r="U3642">
        <v>-2.9508509999999899</v>
      </c>
      <c r="V3642">
        <v>5.8638099999999999E-2</v>
      </c>
      <c r="W3642">
        <v>-3.4608679999999902E-3</v>
      </c>
      <c r="X3642">
        <v>0.99827330000000003</v>
      </c>
      <c r="Y3642">
        <v>0.30298930000000002</v>
      </c>
      <c r="Z3642">
        <v>8.0678949999999999E-2</v>
      </c>
      <c r="AA3642">
        <v>0.94957269999999905</v>
      </c>
      <c r="AB3642">
        <v>27</v>
      </c>
      <c r="AC3642">
        <v>-4.1147999999999998</v>
      </c>
      <c r="AD3642">
        <v>-1.1026266463299901</v>
      </c>
      <c r="AE3642">
        <v>-12.730699999999899</v>
      </c>
      <c r="AF3642">
        <v>4.1100495829554102</v>
      </c>
      <c r="AG3642">
        <v>-1.1026266463299901</v>
      </c>
      <c r="AH3642">
        <v>12.637356263998299</v>
      </c>
      <c r="AI3642">
        <v>94.743161189796695</v>
      </c>
      <c r="AJ3642">
        <v>71.983911081523601</v>
      </c>
      <c r="AK3642">
        <v>13.334581599689001</v>
      </c>
    </row>
    <row r="3643" spans="1:37" x14ac:dyDescent="0.2">
      <c r="A3643" t="str">
        <f>"20200111155921660"</f>
        <v>20200111155921660</v>
      </c>
      <c r="B3643" t="str">
        <f>"1578729561655262"</f>
        <v>1578729561655262</v>
      </c>
      <c r="C3643" t="s">
        <v>37</v>
      </c>
      <c r="D3643">
        <v>4.9820149999999996</v>
      </c>
      <c r="E3643">
        <v>0.60036279999999997</v>
      </c>
      <c r="F3643" t="s">
        <v>39</v>
      </c>
      <c r="G3643">
        <v>-194.44370000000001</v>
      </c>
      <c r="H3643" s="1">
        <v>-3.5022250000000002E-6</v>
      </c>
      <c r="I3643">
        <v>164.4992</v>
      </c>
      <c r="J3643">
        <v>-190.2149</v>
      </c>
      <c r="K3643">
        <v>1.102652</v>
      </c>
      <c r="L3643">
        <v>177.31809999999999</v>
      </c>
      <c r="M3643">
        <v>-3.0831199999999998E-4</v>
      </c>
      <c r="N3643">
        <v>0</v>
      </c>
      <c r="O3643">
        <v>-0.99990610000000002</v>
      </c>
      <c r="P3643">
        <v>-6.1363969999999997E-2</v>
      </c>
      <c r="Q3643">
        <v>-1.48291E-2</v>
      </c>
      <c r="R3643">
        <v>-0.99800560000000005</v>
      </c>
      <c r="S3643">
        <v>-0.95166019999999896</v>
      </c>
      <c r="T3643">
        <v>-0.2480279</v>
      </c>
      <c r="U3643">
        <v>-2.9469150000000002</v>
      </c>
      <c r="V3643">
        <v>6.1051849999999998E-2</v>
      </c>
      <c r="W3643">
        <v>-1.353639E-3</v>
      </c>
      <c r="X3643">
        <v>0.99813369999999901</v>
      </c>
      <c r="Y3643">
        <v>0.30603330000000001</v>
      </c>
      <c r="Z3643">
        <v>7.9840729999999999E-2</v>
      </c>
      <c r="AA3643">
        <v>0.94866700000000004</v>
      </c>
      <c r="AB3643">
        <v>27</v>
      </c>
      <c r="AC3643">
        <v>-4.2287999999999997</v>
      </c>
      <c r="AD3643">
        <v>-1.102655502225</v>
      </c>
      <c r="AE3643">
        <v>-12.8188999999999</v>
      </c>
      <c r="AF3643">
        <v>4.1968420900088699</v>
      </c>
      <c r="AG3643">
        <v>-1.102655502225</v>
      </c>
      <c r="AH3643">
        <v>12.7352224076685</v>
      </c>
      <c r="AI3643">
        <v>94.701022335756605</v>
      </c>
      <c r="AJ3643">
        <v>71.760568988477402</v>
      </c>
      <c r="AK3643">
        <v>13.4541897733694</v>
      </c>
    </row>
    <row r="3644" spans="1:37" x14ac:dyDescent="0.2">
      <c r="A3644" t="str">
        <f>"20200111155921682"</f>
        <v>20200111155921682</v>
      </c>
      <c r="B3644" t="str">
        <f>"1578729561675758"</f>
        <v>1578729561675758</v>
      </c>
      <c r="C3644" t="s">
        <v>37</v>
      </c>
      <c r="D3644">
        <v>4.98109</v>
      </c>
      <c r="E3644">
        <v>0.60062490000000002</v>
      </c>
      <c r="F3644" t="s">
        <v>39</v>
      </c>
      <c r="G3644">
        <v>-194.59870000000001</v>
      </c>
      <c r="H3644" s="1">
        <v>-3.3086820000000001E-6</v>
      </c>
      <c r="I3644">
        <v>164.0026</v>
      </c>
      <c r="J3644">
        <v>-190.21729999999999</v>
      </c>
      <c r="K3644">
        <v>1.102678</v>
      </c>
      <c r="L3644">
        <v>177.0549</v>
      </c>
      <c r="M3644">
        <v>-2.2934919999999998E-3</v>
      </c>
      <c r="N3644">
        <v>0</v>
      </c>
      <c r="O3644">
        <v>-0.99990290000000004</v>
      </c>
      <c r="P3644">
        <v>-6.5832639999999998E-2</v>
      </c>
      <c r="Q3644">
        <v>-1.339274E-2</v>
      </c>
      <c r="R3644">
        <v>-0.99774119999999999</v>
      </c>
      <c r="S3644">
        <v>-0.96882630000000003</v>
      </c>
      <c r="T3644">
        <v>-0.24369250000000001</v>
      </c>
      <c r="U3644">
        <v>-2.9427949999999998</v>
      </c>
      <c r="V3644">
        <v>6.3544710000000004E-2</v>
      </c>
      <c r="W3644">
        <v>1.109275E-4</v>
      </c>
      <c r="X3644">
        <v>0.99797899999999995</v>
      </c>
      <c r="Y3644">
        <v>0.30956620000000001</v>
      </c>
      <c r="Z3644">
        <v>7.8443070000000004E-2</v>
      </c>
      <c r="AA3644">
        <v>0.94763679999999995</v>
      </c>
      <c r="AB3644">
        <v>26</v>
      </c>
      <c r="AC3644">
        <v>-4.38140000000001</v>
      </c>
      <c r="AD3644">
        <v>-1.102681308682</v>
      </c>
      <c r="AE3644">
        <v>-13.052300000000001</v>
      </c>
      <c r="AF3644">
        <v>4.3237163110906804</v>
      </c>
      <c r="AG3644">
        <v>-1.102681308682</v>
      </c>
      <c r="AH3644">
        <v>12.979062590641099</v>
      </c>
      <c r="AI3644">
        <v>94.608283150733101</v>
      </c>
      <c r="AJ3644">
        <v>71.5755322146872</v>
      </c>
      <c r="AK3644">
        <v>13.7246673744426</v>
      </c>
    </row>
    <row r="3645" spans="1:37" x14ac:dyDescent="0.2">
      <c r="A3645" t="str">
        <f>"20200111155921704"</f>
        <v>20200111155921704</v>
      </c>
      <c r="B3645" t="str">
        <f>"1578729561695278"</f>
        <v>1578729561695278</v>
      </c>
      <c r="C3645" t="s">
        <v>37</v>
      </c>
      <c r="D3645">
        <v>5.0545650000000002</v>
      </c>
      <c r="E3645">
        <v>0.60065500000000005</v>
      </c>
      <c r="F3645" t="s">
        <v>39</v>
      </c>
      <c r="G3645">
        <v>-194.7054</v>
      </c>
      <c r="H3645" s="1">
        <v>-3.1712249999999999E-6</v>
      </c>
      <c r="I3645">
        <v>163.65170000000001</v>
      </c>
      <c r="J3645">
        <v>-190.22</v>
      </c>
      <c r="K3645">
        <v>1.102697</v>
      </c>
      <c r="L3645">
        <v>176.7979</v>
      </c>
      <c r="M3645">
        <v>-4.2271019999999999E-3</v>
      </c>
      <c r="N3645">
        <v>0</v>
      </c>
      <c r="O3645">
        <v>-0.99989609999999995</v>
      </c>
      <c r="P3645">
        <v>-7.0192599999999994E-2</v>
      </c>
      <c r="Q3645">
        <v>-1.2523279999999999E-2</v>
      </c>
      <c r="R3645">
        <v>-0.99745539999999999</v>
      </c>
      <c r="S3645">
        <v>-0.98400880000000002</v>
      </c>
      <c r="T3645">
        <v>-0.24176139999999999</v>
      </c>
      <c r="U3645">
        <v>-2.9386290000000002</v>
      </c>
      <c r="V3645">
        <v>6.5979140000000006E-2</v>
      </c>
      <c r="W3645">
        <v>1.0021369999999999E-3</v>
      </c>
      <c r="X3645">
        <v>0.9978205</v>
      </c>
      <c r="Y3645">
        <v>0.31254999999999999</v>
      </c>
      <c r="Z3645">
        <v>7.7828449999999993E-2</v>
      </c>
      <c r="AA3645">
        <v>0.94670750000000004</v>
      </c>
      <c r="AB3645">
        <v>26</v>
      </c>
      <c r="AC3645">
        <v>-4.4853999999999896</v>
      </c>
      <c r="AD3645">
        <v>-1.102700171225</v>
      </c>
      <c r="AE3645">
        <v>-13.146199999999901</v>
      </c>
      <c r="AF3645">
        <v>4.40204193618173</v>
      </c>
      <c r="AG3645">
        <v>-1.102700171225</v>
      </c>
      <c r="AH3645">
        <v>13.0825959459288</v>
      </c>
      <c r="AI3645">
        <v>94.5674569126313</v>
      </c>
      <c r="AJ3645">
        <v>71.402903445614598</v>
      </c>
      <c r="AK3645">
        <v>13.847318785958301</v>
      </c>
    </row>
    <row r="3646" spans="1:37" x14ac:dyDescent="0.2">
      <c r="A3646" t="str">
        <f>"20200111155921718"</f>
        <v>20200111155921718</v>
      </c>
      <c r="B3646" t="str">
        <f>"1578729561715775"</f>
        <v>1578729561715775</v>
      </c>
      <c r="C3646" t="s">
        <v>37</v>
      </c>
      <c r="D3646">
        <v>5.02522</v>
      </c>
      <c r="E3646">
        <v>0.6007188</v>
      </c>
      <c r="F3646" t="s">
        <v>39</v>
      </c>
      <c r="G3646">
        <v>-194.7816</v>
      </c>
      <c r="H3646" s="1">
        <v>-3.0593589999999998E-6</v>
      </c>
      <c r="I3646">
        <v>163.37219999999999</v>
      </c>
      <c r="J3646">
        <v>-190.22210000000001</v>
      </c>
      <c r="K3646">
        <v>1.1027089999999999</v>
      </c>
      <c r="L3646">
        <v>176.6319</v>
      </c>
      <c r="M3646">
        <v>-5.4720910000000001E-3</v>
      </c>
      <c r="N3646">
        <v>0</v>
      </c>
      <c r="O3646">
        <v>-0.9998899</v>
      </c>
      <c r="P3646">
        <v>-7.2849209999999998E-2</v>
      </c>
      <c r="Q3646">
        <v>-1.1979160000000001E-2</v>
      </c>
      <c r="R3646">
        <v>-0.99727149999999998</v>
      </c>
      <c r="S3646">
        <v>-0.99702449999999998</v>
      </c>
      <c r="T3646">
        <v>-0.2410175</v>
      </c>
      <c r="U3646">
        <v>-2.93446399999999</v>
      </c>
      <c r="V3646">
        <v>6.7396280000000003E-2</v>
      </c>
      <c r="W3646">
        <v>1.5581289999999999E-3</v>
      </c>
      <c r="X3646">
        <v>0.99772510000000003</v>
      </c>
      <c r="Y3646">
        <v>0.3155461</v>
      </c>
      <c r="Z3646">
        <v>7.7600810000000006E-2</v>
      </c>
      <c r="AA3646">
        <v>0.94573189999999996</v>
      </c>
      <c r="AB3646">
        <v>26</v>
      </c>
      <c r="AC3646">
        <v>-4.5594999999999803</v>
      </c>
      <c r="AD3646">
        <v>-1.1027120593590001</v>
      </c>
      <c r="AE3646">
        <v>-13.2597</v>
      </c>
      <c r="AF3646">
        <v>4.4592869969841704</v>
      </c>
      <c r="AG3646">
        <v>-1.1027120593590001</v>
      </c>
      <c r="AH3646">
        <v>13.2027979185454</v>
      </c>
      <c r="AI3646">
        <v>94.524359884620296</v>
      </c>
      <c r="AJ3646">
        <v>71.337439415762802</v>
      </c>
      <c r="AK3646">
        <v>13.9790946518462</v>
      </c>
    </row>
    <row r="3647" spans="1:37" x14ac:dyDescent="0.2">
      <c r="A3647" t="str">
        <f>"20200111155921732"</f>
        <v>20200111155921732</v>
      </c>
      <c r="B3647" t="str">
        <f>"1578729561725535"</f>
        <v>1578729561725535</v>
      </c>
      <c r="C3647" t="s">
        <v>37</v>
      </c>
      <c r="D3647">
        <v>5.0335859999999997</v>
      </c>
      <c r="E3647">
        <v>0.60075239999999996</v>
      </c>
      <c r="F3647" t="s">
        <v>39</v>
      </c>
      <c r="G3647">
        <v>-194.80009999999999</v>
      </c>
      <c r="H3647" s="1">
        <v>-3.0205889999999998E-6</v>
      </c>
      <c r="I3647">
        <v>163.27969999999999</v>
      </c>
      <c r="J3647">
        <v>-190.2244</v>
      </c>
      <c r="K3647">
        <v>1.1027229999999999</v>
      </c>
      <c r="L3647">
        <v>176.46539999999999</v>
      </c>
      <c r="M3647">
        <v>-6.7195049999999997E-3</v>
      </c>
      <c r="N3647">
        <v>0</v>
      </c>
      <c r="O3647">
        <v>-0.99988199999999905</v>
      </c>
      <c r="P3647">
        <v>-7.5311279999999994E-2</v>
      </c>
      <c r="Q3647">
        <v>-1.18018999999999E-2</v>
      </c>
      <c r="R3647">
        <v>-0.99709029999999998</v>
      </c>
      <c r="S3647">
        <v>-1.005234</v>
      </c>
      <c r="T3647">
        <v>-0.2421336</v>
      </c>
      <c r="U3647">
        <v>-2.93187</v>
      </c>
      <c r="V3647">
        <v>6.8615510000000005E-2</v>
      </c>
      <c r="W3647">
        <v>1.7464779999999899E-3</v>
      </c>
      <c r="X3647">
        <v>0.99764159999999902</v>
      </c>
      <c r="Y3647">
        <v>0.31697950000000003</v>
      </c>
      <c r="Z3647">
        <v>7.7968659999999995E-2</v>
      </c>
      <c r="AA3647">
        <v>0.94522209999999995</v>
      </c>
      <c r="AB3647">
        <v>26</v>
      </c>
      <c r="AC3647">
        <v>-4.5756999999999799</v>
      </c>
      <c r="AD3647">
        <v>-1.1027260205889999</v>
      </c>
      <c r="AE3647">
        <v>-13.185699999999899</v>
      </c>
      <c r="AF3647">
        <v>4.45915133904579</v>
      </c>
      <c r="AG3647">
        <v>-1.1027260205889999</v>
      </c>
      <c r="AH3647">
        <v>13.134163810981899</v>
      </c>
      <c r="AI3647">
        <v>94.545547386919395</v>
      </c>
      <c r="AJ3647">
        <v>71.247248236416198</v>
      </c>
      <c r="AK3647">
        <v>13.914247890371399</v>
      </c>
    </row>
    <row r="3648" spans="1:37" x14ac:dyDescent="0.2">
      <c r="A3648" t="str">
        <f>"20200111155921748"</f>
        <v>20200111155921748</v>
      </c>
      <c r="B3648" t="str">
        <f>"1578729561746031"</f>
        <v>1578729561746031</v>
      </c>
      <c r="C3648" t="s">
        <v>37</v>
      </c>
      <c r="D3648">
        <v>5.0751349999999897</v>
      </c>
      <c r="E3648">
        <v>0.60076580000000002</v>
      </c>
      <c r="F3648" t="s">
        <v>39</v>
      </c>
      <c r="G3648">
        <v>-194.82839999999999</v>
      </c>
      <c r="H3648" s="1">
        <v>-2.9651519999999999E-6</v>
      </c>
      <c r="I3648">
        <v>163.14660000000001</v>
      </c>
      <c r="J3648">
        <v>-190.22730000000001</v>
      </c>
      <c r="K3648">
        <v>1.1027340000000001</v>
      </c>
      <c r="L3648">
        <v>176.2713</v>
      </c>
      <c r="M3648">
        <v>-8.1708649999999994E-3</v>
      </c>
      <c r="N3648">
        <v>0</v>
      </c>
      <c r="O3648">
        <v>-0.99987109999999901</v>
      </c>
      <c r="P3648">
        <v>-7.9747189999999996E-2</v>
      </c>
      <c r="Q3648">
        <v>-1.0977509999999999E-2</v>
      </c>
      <c r="R3648">
        <v>-0.9967549</v>
      </c>
      <c r="S3648">
        <v>-1.0126189999999999</v>
      </c>
      <c r="T3648">
        <v>-0.242539899999999</v>
      </c>
      <c r="U3648">
        <v>-2.9294129999999998</v>
      </c>
      <c r="V3648">
        <v>7.16088E-2</v>
      </c>
      <c r="W3648">
        <v>2.57522E-3</v>
      </c>
      <c r="X3648">
        <v>0.99742949999999997</v>
      </c>
      <c r="Y3648">
        <v>0.3179729</v>
      </c>
      <c r="Z3648">
        <v>7.8114630000000004E-2</v>
      </c>
      <c r="AA3648">
        <v>0.94487639999999995</v>
      </c>
      <c r="AB3648">
        <v>26</v>
      </c>
      <c r="AC3648">
        <v>-4.6010999999999704</v>
      </c>
      <c r="AD3648">
        <v>-1.102736965152</v>
      </c>
      <c r="AE3648">
        <v>-13.124699999999899</v>
      </c>
      <c r="AF3648">
        <v>4.46562182155819</v>
      </c>
      <c r="AG3648">
        <v>-1.102736965152</v>
      </c>
      <c r="AH3648">
        <v>13.079632227552899</v>
      </c>
      <c r="AI3648">
        <v>94.561815754980202</v>
      </c>
      <c r="AJ3648">
        <v>71.149171834977196</v>
      </c>
      <c r="AK3648">
        <v>13.8648687796001</v>
      </c>
    </row>
    <row r="3649" spans="1:37" x14ac:dyDescent="0.2">
      <c r="A3649" t="str">
        <f>"20200111155921771"</f>
        <v>20200111155921771</v>
      </c>
      <c r="B3649" t="str">
        <f>"1578729561765551"</f>
        <v>1578729561765551</v>
      </c>
      <c r="C3649" t="s">
        <v>37</v>
      </c>
      <c r="D3649">
        <v>5.0681659999999997</v>
      </c>
      <c r="E3649">
        <v>0.60081300000000004</v>
      </c>
      <c r="F3649" t="s">
        <v>39</v>
      </c>
      <c r="G3649">
        <v>-194.89250000000001</v>
      </c>
      <c r="H3649" s="1">
        <v>-2.89651799999999E-6</v>
      </c>
      <c r="I3649">
        <v>162.96530000000001</v>
      </c>
      <c r="J3649">
        <v>-190.2319</v>
      </c>
      <c r="K3649">
        <v>1.1027480000000001</v>
      </c>
      <c r="L3649">
        <v>175.99700000000001</v>
      </c>
      <c r="M3649">
        <v>-1.022054E-2</v>
      </c>
      <c r="N3649">
        <v>0</v>
      </c>
      <c r="O3649">
        <v>-0.99985179999999996</v>
      </c>
      <c r="P3649">
        <v>-8.5067530000000002E-2</v>
      </c>
      <c r="Q3649">
        <v>-1.11226E-2</v>
      </c>
      <c r="R3649">
        <v>-0.99631329999999996</v>
      </c>
      <c r="S3649">
        <v>-1.0255430000000001</v>
      </c>
      <c r="T3649">
        <v>-0.24241289999999999</v>
      </c>
      <c r="U3649">
        <v>-2.925049</v>
      </c>
      <c r="V3649">
        <v>7.4888159999999995E-2</v>
      </c>
      <c r="W3649">
        <v>2.4369370000000001E-3</v>
      </c>
      <c r="X3649">
        <v>0.99718899999999999</v>
      </c>
      <c r="Y3649">
        <v>0.32018799999999997</v>
      </c>
      <c r="Z3649">
        <v>7.8096380000000007E-2</v>
      </c>
      <c r="AA3649">
        <v>0.94412949999999995</v>
      </c>
      <c r="AB3649">
        <v>26</v>
      </c>
      <c r="AC3649">
        <v>-4.6606000000000103</v>
      </c>
      <c r="AD3649">
        <v>-1.102750896518</v>
      </c>
      <c r="AE3649">
        <v>-13.031700000000001</v>
      </c>
      <c r="AF3649">
        <v>4.49859277530315</v>
      </c>
      <c r="AG3649">
        <v>-1.102750896518</v>
      </c>
      <c r="AH3649">
        <v>12.996149725317601</v>
      </c>
      <c r="AI3649">
        <v>94.584408819167805</v>
      </c>
      <c r="AJ3649">
        <v>70.906801055207893</v>
      </c>
      <c r="AK3649">
        <v>13.7968584895495</v>
      </c>
    </row>
    <row r="3650" spans="1:37" x14ac:dyDescent="0.2">
      <c r="A3650" t="str">
        <f>"20200111155921785"</f>
        <v>20200111155921785</v>
      </c>
      <c r="B3650" t="str">
        <f>"1578729561775310"</f>
        <v>1578729561775310</v>
      </c>
      <c r="C3650" t="s">
        <v>37</v>
      </c>
      <c r="D3650">
        <v>5.1321500000000002</v>
      </c>
      <c r="E3650">
        <v>0.6008249</v>
      </c>
      <c r="F3650" t="s">
        <v>39</v>
      </c>
      <c r="G3650">
        <v>-194.9161</v>
      </c>
      <c r="H3650" s="1">
        <v>-2.8547369999999999E-6</v>
      </c>
      <c r="I3650">
        <v>162.86359999999999</v>
      </c>
      <c r="J3650">
        <v>-190.2347</v>
      </c>
      <c r="K3650">
        <v>1.1027549999999999</v>
      </c>
      <c r="L3650">
        <v>175.84360000000001</v>
      </c>
      <c r="M3650">
        <v>-1.1365729999999999E-2</v>
      </c>
      <c r="N3650">
        <v>0</v>
      </c>
      <c r="O3650">
        <v>-0.99983949999999999</v>
      </c>
      <c r="P3650">
        <v>-8.776718E-2</v>
      </c>
      <c r="Q3650">
        <v>-1.135743E-2</v>
      </c>
      <c r="R3650">
        <v>-0.99607679999999998</v>
      </c>
      <c r="S3650">
        <v>-1.0412600000000001</v>
      </c>
      <c r="T3650">
        <v>-0.2451353</v>
      </c>
      <c r="U3650">
        <v>-2.9194789999999999</v>
      </c>
      <c r="V3650">
        <v>7.6447379999999995E-2</v>
      </c>
      <c r="W3650">
        <v>2.2061490000000001E-3</v>
      </c>
      <c r="X3650">
        <v>0.99707119999999905</v>
      </c>
      <c r="Y3650">
        <v>0.324156</v>
      </c>
      <c r="Z3650">
        <v>7.8984150000000003E-2</v>
      </c>
      <c r="AA3650">
        <v>0.942700599999999</v>
      </c>
      <c r="AB3650">
        <v>26</v>
      </c>
      <c r="AC3650">
        <v>-4.6813999999999902</v>
      </c>
      <c r="AD3650">
        <v>-1.1027578547369901</v>
      </c>
      <c r="AE3650">
        <v>-12.98</v>
      </c>
      <c r="AF3650">
        <v>4.50478379791085</v>
      </c>
      <c r="AG3650">
        <v>-1.1027578547369901</v>
      </c>
      <c r="AH3650">
        <v>12.9496634619408</v>
      </c>
      <c r="AI3650">
        <v>94.598383465234093</v>
      </c>
      <c r="AJ3650">
        <v>70.818809209505403</v>
      </c>
      <c r="AK3650">
        <v>13.7551058058318</v>
      </c>
    </row>
    <row r="3651" spans="1:37" x14ac:dyDescent="0.2">
      <c r="A3651" t="str">
        <f>"20200111155921805"</f>
        <v>20200111155921805</v>
      </c>
      <c r="B3651" t="str">
        <f>"1578729561795806"</f>
        <v>1578729561795806</v>
      </c>
      <c r="C3651" t="s">
        <v>37</v>
      </c>
      <c r="D3651">
        <v>5.1629690000000004</v>
      </c>
      <c r="E3651">
        <v>0.600713099999999</v>
      </c>
      <c r="F3651" t="s">
        <v>39</v>
      </c>
      <c r="G3651">
        <v>-194.92089999999999</v>
      </c>
      <c r="H3651" s="1">
        <v>-2.8351449999999999E-6</v>
      </c>
      <c r="I3651">
        <v>162.81950000000001</v>
      </c>
      <c r="J3651">
        <v>-190.23939999999999</v>
      </c>
      <c r="K3651">
        <v>1.1027639999999901</v>
      </c>
      <c r="L3651">
        <v>175.6069</v>
      </c>
      <c r="M3651">
        <v>-1.3133529999999999E-2</v>
      </c>
      <c r="N3651">
        <v>0</v>
      </c>
      <c r="O3651">
        <v>-0.99981759999999997</v>
      </c>
      <c r="P3651">
        <v>-9.2365240000000001E-2</v>
      </c>
      <c r="Q3651">
        <v>-1.139105E-2</v>
      </c>
      <c r="R3651">
        <v>-0.995660199999999</v>
      </c>
      <c r="S3651">
        <v>-1.049393</v>
      </c>
      <c r="T3651">
        <v>-0.24694450000000001</v>
      </c>
      <c r="U3651">
        <v>-2.91655</v>
      </c>
      <c r="V3651">
        <v>7.9287440000000001E-2</v>
      </c>
      <c r="W3651">
        <v>2.1737240000000001E-3</v>
      </c>
      <c r="X3651">
        <v>0.9968494</v>
      </c>
      <c r="Y3651">
        <v>0.32509690000000002</v>
      </c>
      <c r="Z3651">
        <v>7.9586080000000003E-2</v>
      </c>
      <c r="AA3651">
        <v>0.94232590000000005</v>
      </c>
      <c r="AB3651">
        <v>26</v>
      </c>
      <c r="AC3651">
        <v>-4.6814999999999998</v>
      </c>
      <c r="AD3651">
        <v>-1.102766835145</v>
      </c>
      <c r="AE3651">
        <v>-12.7873999999999</v>
      </c>
      <c r="AF3651">
        <v>4.4837315473528898</v>
      </c>
      <c r="AG3651">
        <v>-1.102766835145</v>
      </c>
      <c r="AH3651">
        <v>12.7640793374689</v>
      </c>
      <c r="AI3651">
        <v>94.660058065865996</v>
      </c>
      <c r="AJ3651">
        <v>70.644781645065294</v>
      </c>
      <c r="AK3651">
        <v>13.573564919158899</v>
      </c>
    </row>
    <row r="3652" spans="1:37" x14ac:dyDescent="0.2">
      <c r="A3652" t="str">
        <f>"20200111155921827"</f>
        <v>20200111155921827</v>
      </c>
      <c r="B3652" t="str">
        <f>"1578729561815326"</f>
        <v>1578729561815326</v>
      </c>
      <c r="C3652" t="s">
        <v>37</v>
      </c>
      <c r="D3652">
        <v>5.2064849999999998</v>
      </c>
      <c r="E3652">
        <v>0.60053769999999995</v>
      </c>
      <c r="F3652" t="s">
        <v>39</v>
      </c>
      <c r="G3652">
        <v>-194.9194</v>
      </c>
      <c r="H3652" s="1">
        <v>-2.8112299999999998E-6</v>
      </c>
      <c r="I3652">
        <v>162.7697</v>
      </c>
      <c r="J3652">
        <v>-190.2448</v>
      </c>
      <c r="K3652">
        <v>1.10277</v>
      </c>
      <c r="L3652">
        <v>175.3596</v>
      </c>
      <c r="M3652">
        <v>-1.498091E-2</v>
      </c>
      <c r="N3652">
        <v>0</v>
      </c>
      <c r="O3652">
        <v>-0.9997914</v>
      </c>
      <c r="P3652">
        <v>-9.9432850000000003E-2</v>
      </c>
      <c r="Q3652">
        <v>-1.050161E-2</v>
      </c>
      <c r="R3652">
        <v>-0.99498929999999997</v>
      </c>
      <c r="S3652">
        <v>-1.061523</v>
      </c>
      <c r="T3652">
        <v>-0.2501312</v>
      </c>
      <c r="U3652">
        <v>-2.9117579999999998</v>
      </c>
      <c r="V3652">
        <v>8.4525390000000006E-2</v>
      </c>
      <c r="W3652">
        <v>3.0525320000000002E-3</v>
      </c>
      <c r="X3652">
        <v>0.99641659999999899</v>
      </c>
      <c r="Y3652">
        <v>0.32728409999999902</v>
      </c>
      <c r="Z3652">
        <v>8.0640370000000003E-2</v>
      </c>
      <c r="AA3652">
        <v>0.9414787</v>
      </c>
      <c r="AB3652">
        <v>26</v>
      </c>
      <c r="AC3652">
        <v>-4.6745999999999901</v>
      </c>
      <c r="AD3652">
        <v>-1.1027728112299999</v>
      </c>
      <c r="AE3652">
        <v>-12.5899</v>
      </c>
      <c r="AF3652">
        <v>4.45540721781376</v>
      </c>
      <c r="AG3652">
        <v>-1.1027728112299999</v>
      </c>
      <c r="AH3652">
        <v>12.573741623769401</v>
      </c>
      <c r="AI3652">
        <v>94.725782504665105</v>
      </c>
      <c r="AJ3652">
        <v>70.488615803474403</v>
      </c>
      <c r="AK3652">
        <v>13.3852807131956</v>
      </c>
    </row>
    <row r="3653" spans="1:37" x14ac:dyDescent="0.2">
      <c r="A3653" t="str">
        <f>"20200111155921839"</f>
        <v>20200111155921839</v>
      </c>
      <c r="B3653" t="str">
        <f>"1578729561835823"</f>
        <v>1578729561835823</v>
      </c>
      <c r="C3653" t="s">
        <v>37</v>
      </c>
      <c r="D3653">
        <v>5.2267989999999998</v>
      </c>
      <c r="E3653">
        <v>0.60026440000000003</v>
      </c>
      <c r="F3653" t="s">
        <v>39</v>
      </c>
      <c r="G3653">
        <v>-194.995</v>
      </c>
      <c r="H3653" s="1">
        <v>-2.7455100000000001E-6</v>
      </c>
      <c r="I3653">
        <v>162.5881</v>
      </c>
      <c r="J3653">
        <v>-190.24860000000001</v>
      </c>
      <c r="K3653">
        <v>1.102776</v>
      </c>
      <c r="L3653">
        <v>175.19489999999999</v>
      </c>
      <c r="M3653">
        <v>-1.6211239999999998E-2</v>
      </c>
      <c r="N3653">
        <v>0</v>
      </c>
      <c r="O3653">
        <v>-0.99977209999999905</v>
      </c>
      <c r="P3653">
        <v>-0.10286629999999999</v>
      </c>
      <c r="Q3653">
        <v>-1.0589909999999999E-2</v>
      </c>
      <c r="R3653">
        <v>-0.99463919999999995</v>
      </c>
      <c r="S3653">
        <v>-1.0803069999999999</v>
      </c>
      <c r="T3653">
        <v>-0.25079449999999998</v>
      </c>
      <c r="U3653">
        <v>-2.9045099999999899</v>
      </c>
      <c r="V3653">
        <v>8.673757E-2</v>
      </c>
      <c r="W3653">
        <v>2.9614569999999998E-3</v>
      </c>
      <c r="X3653">
        <v>0.99622679999999997</v>
      </c>
      <c r="Y3653">
        <v>0.33222629999999997</v>
      </c>
      <c r="Z3653">
        <v>8.0879599999999996E-2</v>
      </c>
      <c r="AA3653">
        <v>0.93972559999999905</v>
      </c>
      <c r="AB3653">
        <v>26</v>
      </c>
      <c r="AC3653">
        <v>-4.7463999999999897</v>
      </c>
      <c r="AD3653">
        <v>-1.10277874551</v>
      </c>
      <c r="AE3653">
        <v>-12.6067999999999</v>
      </c>
      <c r="AF3653">
        <v>4.5111513843013098</v>
      </c>
      <c r="AG3653">
        <v>-1.10277874551</v>
      </c>
      <c r="AH3653">
        <v>12.5976674299501</v>
      </c>
      <c r="AI3653">
        <v>94.711307153671896</v>
      </c>
      <c r="AJ3653">
        <v>70.297849672358197</v>
      </c>
      <c r="AK3653">
        <v>13.4263856807876</v>
      </c>
    </row>
    <row r="3654" spans="1:37" x14ac:dyDescent="0.2">
      <c r="A3654" t="str">
        <f>"20200111155921860"</f>
        <v>20200111155921860</v>
      </c>
      <c r="B3654" t="str">
        <f>"1578729561855342"</f>
        <v>1578729561855342</v>
      </c>
      <c r="C3654" t="s">
        <v>37</v>
      </c>
      <c r="D3654">
        <v>5.2737809999999996</v>
      </c>
      <c r="E3654">
        <v>0.60015209999999997</v>
      </c>
      <c r="F3654" t="s">
        <v>39</v>
      </c>
      <c r="G3654">
        <v>-194.96459999999999</v>
      </c>
      <c r="H3654" s="1">
        <v>-2.7503639999999998E-6</v>
      </c>
      <c r="I3654">
        <v>162.6155</v>
      </c>
      <c r="J3654">
        <v>-190.2544</v>
      </c>
      <c r="K3654">
        <v>1.102786</v>
      </c>
      <c r="L3654">
        <v>174.96019999999999</v>
      </c>
      <c r="M3654">
        <v>-1.7966780000000002E-2</v>
      </c>
      <c r="N3654">
        <v>0</v>
      </c>
      <c r="O3654">
        <v>-0.99974200000000002</v>
      </c>
      <c r="P3654">
        <v>-0.109482</v>
      </c>
      <c r="Q3654">
        <v>-1.1320469999999999E-2</v>
      </c>
      <c r="R3654">
        <v>-0.99392429999999998</v>
      </c>
      <c r="S3654">
        <v>-1.087585</v>
      </c>
      <c r="T3654">
        <v>-0.2543183</v>
      </c>
      <c r="U3654">
        <v>-2.9010159999999998</v>
      </c>
      <c r="V3654">
        <v>9.161308E-2</v>
      </c>
      <c r="W3654">
        <v>2.2175939999999998E-3</v>
      </c>
      <c r="X3654">
        <v>0.99579219999999902</v>
      </c>
      <c r="Y3654">
        <v>0.33297599999999999</v>
      </c>
      <c r="Z3654">
        <v>8.2050360000000003E-2</v>
      </c>
      <c r="AA3654">
        <v>0.93935869999999999</v>
      </c>
      <c r="AB3654">
        <v>26</v>
      </c>
      <c r="AC3654">
        <v>-4.71019999999998</v>
      </c>
      <c r="AD3654">
        <v>-1.1027887503639999</v>
      </c>
      <c r="AE3654">
        <v>-12.3446999999999</v>
      </c>
      <c r="AF3654">
        <v>4.4565781950085004</v>
      </c>
      <c r="AG3654">
        <v>-1.1027887503639999</v>
      </c>
      <c r="AH3654">
        <v>12.3413697997625</v>
      </c>
      <c r="AI3654">
        <v>94.804145455931106</v>
      </c>
      <c r="AJ3654">
        <v>70.1448988448969</v>
      </c>
      <c r="AK3654">
        <v>13.167636111719</v>
      </c>
    </row>
    <row r="3655" spans="1:37" x14ac:dyDescent="0.2">
      <c r="A3655" t="str">
        <f>"20200111155921883"</f>
        <v>20200111155921883</v>
      </c>
      <c r="B3655" t="str">
        <f>"1578729561875838"</f>
        <v>1578729561875838</v>
      </c>
      <c r="C3655" t="s">
        <v>37</v>
      </c>
      <c r="D3655">
        <v>5.2570899999999998</v>
      </c>
      <c r="E3655">
        <v>0.5949641</v>
      </c>
      <c r="F3655" t="s">
        <v>39</v>
      </c>
      <c r="G3655">
        <v>-194.952</v>
      </c>
      <c r="H3655" s="1">
        <v>-2.7693880000000002E-6</v>
      </c>
      <c r="I3655">
        <v>162.66290000000001</v>
      </c>
      <c r="J3655">
        <v>-190.26150000000001</v>
      </c>
      <c r="K3655">
        <v>1.102787</v>
      </c>
      <c r="L3655">
        <v>174.6935</v>
      </c>
      <c r="M3655">
        <v>-1.9975320000000001E-2</v>
      </c>
      <c r="N3655">
        <v>0</v>
      </c>
      <c r="O3655">
        <v>-0.99970380000000003</v>
      </c>
      <c r="P3655">
        <v>-0.1155249</v>
      </c>
      <c r="Q3655">
        <v>-1.199948E-2</v>
      </c>
      <c r="R3655">
        <v>-0.99323229999999996</v>
      </c>
      <c r="S3655">
        <v>-1.105362</v>
      </c>
      <c r="T3655">
        <v>-0.25949299999999997</v>
      </c>
      <c r="U3655">
        <v>-2.8936310000000001</v>
      </c>
      <c r="V3655">
        <v>9.566558E-2</v>
      </c>
      <c r="W3655">
        <v>1.5271339999999899E-3</v>
      </c>
      <c r="X3655">
        <v>0.99541229999999903</v>
      </c>
      <c r="Y3655">
        <v>0.33686309999999903</v>
      </c>
      <c r="Z3655">
        <v>8.3754049999999997E-2</v>
      </c>
      <c r="AA3655">
        <v>0.93782109999999996</v>
      </c>
      <c r="AB3655">
        <v>26</v>
      </c>
      <c r="AC3655">
        <v>-4.6904999999999797</v>
      </c>
      <c r="AD3655">
        <v>-1.102789769388</v>
      </c>
      <c r="AE3655">
        <v>-12.0305999999999</v>
      </c>
      <c r="AF3655">
        <v>4.4170087060975396</v>
      </c>
      <c r="AG3655">
        <v>-1.102789769388</v>
      </c>
      <c r="AH3655">
        <v>12.0341275034903</v>
      </c>
      <c r="AI3655">
        <v>94.916870296828804</v>
      </c>
      <c r="AJ3655">
        <v>69.844832741493306</v>
      </c>
      <c r="AK3655">
        <v>12.866481102285499</v>
      </c>
    </row>
    <row r="3656" spans="1:37" x14ac:dyDescent="0.2">
      <c r="A3656" t="str">
        <f>"20200111155921906"</f>
        <v>20200111155921906</v>
      </c>
      <c r="B3656" t="str">
        <f>"1578729561895358"</f>
        <v>1578729561895358</v>
      </c>
      <c r="C3656" t="s">
        <v>37</v>
      </c>
      <c r="D3656">
        <v>5.3093629999999896</v>
      </c>
      <c r="E3656">
        <v>0.59566969999999997</v>
      </c>
      <c r="F3656" t="s">
        <v>39</v>
      </c>
      <c r="G3656">
        <v>-194.04419999999999</v>
      </c>
      <c r="H3656" s="1">
        <v>-3.4140540000000001E-6</v>
      </c>
      <c r="I3656">
        <v>164.5376</v>
      </c>
      <c r="J3656">
        <v>-190.2688</v>
      </c>
      <c r="K3656">
        <v>1.102776</v>
      </c>
      <c r="L3656">
        <v>174.43700000000001</v>
      </c>
      <c r="M3656">
        <v>-2.1942929999999999E-2</v>
      </c>
      <c r="N3656">
        <v>0</v>
      </c>
      <c r="O3656">
        <v>-0.99966239999999995</v>
      </c>
      <c r="P3656">
        <v>-0.1207278</v>
      </c>
      <c r="Q3656">
        <v>-1.311173E-2</v>
      </c>
      <c r="R3656">
        <v>-0.99259920000000001</v>
      </c>
      <c r="S3656">
        <v>-1.0769500000000001</v>
      </c>
      <c r="T3656">
        <v>-0.31396459999999998</v>
      </c>
      <c r="U3656">
        <v>-2.8913880000000001</v>
      </c>
      <c r="V3656">
        <v>9.8918030000000004E-2</v>
      </c>
      <c r="W3656">
        <v>4.022764E-4</v>
      </c>
      <c r="X3656">
        <v>0.99509550000000002</v>
      </c>
      <c r="Y3656">
        <v>0.32659060000000001</v>
      </c>
      <c r="Z3656">
        <v>0.10158389999999901</v>
      </c>
      <c r="AA3656">
        <v>0.9396911</v>
      </c>
      <c r="AB3656">
        <v>26</v>
      </c>
      <c r="AC3656">
        <v>-3.7753999999999901</v>
      </c>
      <c r="AD3656">
        <v>-1.1027794140539999</v>
      </c>
      <c r="AE3656">
        <v>-9.8994000000000106</v>
      </c>
      <c r="AF3656">
        <v>3.5191221749605699</v>
      </c>
      <c r="AG3656">
        <v>-1.1027794140539999</v>
      </c>
      <c r="AH3656">
        <v>9.8729054700891705</v>
      </c>
      <c r="AI3656">
        <v>96.006197193317902</v>
      </c>
      <c r="AJ3656">
        <v>70.3817768357261</v>
      </c>
      <c r="AK3656">
        <v>10.539193789834</v>
      </c>
    </row>
    <row r="3657" spans="1:37" x14ac:dyDescent="0.2">
      <c r="A3657" t="str">
        <f>"20200111155921927"</f>
        <v>20200111155921927</v>
      </c>
      <c r="B3657" t="str">
        <f>"1578729561915854"</f>
        <v>1578729561915854</v>
      </c>
      <c r="C3657" t="s">
        <v>37</v>
      </c>
      <c r="D3657">
        <v>5.2651510000000004</v>
      </c>
      <c r="E3657">
        <v>0.59630260000000002</v>
      </c>
      <c r="F3657" t="s">
        <v>39</v>
      </c>
      <c r="G3657">
        <v>-194.1523</v>
      </c>
      <c r="H3657" s="1">
        <v>-3.30091099999999E-6</v>
      </c>
      <c r="I3657">
        <v>164.23740000000001</v>
      </c>
      <c r="J3657">
        <v>-190.27670000000001</v>
      </c>
      <c r="K3657">
        <v>1.102741</v>
      </c>
      <c r="L3657">
        <v>174.18209999999999</v>
      </c>
      <c r="M3657">
        <v>-2.3963680000000001E-2</v>
      </c>
      <c r="N3657">
        <v>0</v>
      </c>
      <c r="O3657">
        <v>-0.9996159</v>
      </c>
      <c r="P3657">
        <v>-0.12635759999999999</v>
      </c>
      <c r="Q3657">
        <v>-1.250216E-2</v>
      </c>
      <c r="R3657">
        <v>-0.99190619999999996</v>
      </c>
      <c r="S3657">
        <v>-1.098328</v>
      </c>
      <c r="T3657">
        <v>-0.31189060000000002</v>
      </c>
      <c r="U3657">
        <v>-2.8846590000000001</v>
      </c>
      <c r="V3657">
        <v>0.102553399999999</v>
      </c>
      <c r="W3657">
        <v>9.906925E-4</v>
      </c>
      <c r="X3657">
        <v>0.99472700000000003</v>
      </c>
      <c r="Y3657">
        <v>0.33151510000000001</v>
      </c>
      <c r="Z3657">
        <v>0.10091559999999999</v>
      </c>
      <c r="AA3657">
        <v>0.93803719999999902</v>
      </c>
      <c r="AB3657">
        <v>26</v>
      </c>
      <c r="AC3657">
        <v>-3.8755999999999902</v>
      </c>
      <c r="AD3657">
        <v>-1.1027443009110001</v>
      </c>
      <c r="AE3657">
        <v>-9.9446999999999797</v>
      </c>
      <c r="AF3657">
        <v>3.59774688765004</v>
      </c>
      <c r="AG3657">
        <v>-1.1027443009110001</v>
      </c>
      <c r="AH3657">
        <v>9.9287389399357107</v>
      </c>
      <c r="AI3657">
        <v>95.961326270901097</v>
      </c>
      <c r="AJ3657">
        <v>70.081667326336998</v>
      </c>
      <c r="AK3657">
        <v>10.617894546386401</v>
      </c>
    </row>
    <row r="3658" spans="1:37" x14ac:dyDescent="0.2">
      <c r="A3658" t="str">
        <f>"20200111155921951"</f>
        <v>20200111155921951</v>
      </c>
      <c r="B3658" t="str">
        <f>"1578729561946111"</f>
        <v>1578729561946111</v>
      </c>
      <c r="C3658" t="s">
        <v>37</v>
      </c>
      <c r="D3658">
        <v>5.2822569999999898</v>
      </c>
      <c r="E3658">
        <v>0.59689190000000003</v>
      </c>
      <c r="F3658" t="s">
        <v>39</v>
      </c>
      <c r="G3658">
        <v>-194.36519999999999</v>
      </c>
      <c r="H3658" s="1">
        <v>-3.096325E-6</v>
      </c>
      <c r="I3658">
        <v>163.6848</v>
      </c>
      <c r="J3658">
        <v>-190.28630000000001</v>
      </c>
      <c r="K3658">
        <v>1.102695</v>
      </c>
      <c r="L3658">
        <v>173.8938</v>
      </c>
      <c r="M3658">
        <v>-2.63305E-2</v>
      </c>
      <c r="N3658">
        <v>0</v>
      </c>
      <c r="O3658">
        <v>-0.99955629999999995</v>
      </c>
      <c r="P3658">
        <v>-0.13166459999999999</v>
      </c>
      <c r="Q3658">
        <v>-1.038072E-2</v>
      </c>
      <c r="R3658">
        <v>-0.99124020000000002</v>
      </c>
      <c r="S3658">
        <v>-1.1208799999999901</v>
      </c>
      <c r="T3658">
        <v>-0.30232389999999998</v>
      </c>
      <c r="U3658">
        <v>-2.8778990000000002</v>
      </c>
      <c r="V3658">
        <v>0.1055287</v>
      </c>
      <c r="W3658">
        <v>3.0892490000000001E-3</v>
      </c>
      <c r="X3658">
        <v>0.9944115</v>
      </c>
      <c r="Y3658">
        <v>0.33652199999999999</v>
      </c>
      <c r="Z3658">
        <v>9.783435E-2</v>
      </c>
      <c r="AA3658">
        <v>0.93657959999999996</v>
      </c>
      <c r="AB3658">
        <v>26</v>
      </c>
      <c r="AC3658">
        <v>-4.0788999999999698</v>
      </c>
      <c r="AD3658">
        <v>-1.1026980963249999</v>
      </c>
      <c r="AE3658">
        <v>-10.209</v>
      </c>
      <c r="AF3658">
        <v>3.7707154941682401</v>
      </c>
      <c r="AG3658">
        <v>-1.1026980963249999</v>
      </c>
      <c r="AH3658">
        <v>10.2101487794059</v>
      </c>
      <c r="AI3658">
        <v>95.785010050593797</v>
      </c>
      <c r="AJ3658">
        <v>69.7302807752246</v>
      </c>
      <c r="AK3658">
        <v>10.939898378284999</v>
      </c>
    </row>
    <row r="3659" spans="1:37" x14ac:dyDescent="0.2">
      <c r="A3659" t="str">
        <f>"20200111155921973"</f>
        <v>20200111155921973</v>
      </c>
      <c r="B3659" t="str">
        <f>"1578729561965631"</f>
        <v>1578729561965631</v>
      </c>
      <c r="C3659" t="s">
        <v>37</v>
      </c>
      <c r="D3659">
        <v>5.3262939999999999</v>
      </c>
      <c r="E3659">
        <v>0.59667899999999996</v>
      </c>
      <c r="F3659" t="s">
        <v>39</v>
      </c>
      <c r="G3659">
        <v>-194.5993</v>
      </c>
      <c r="H3659" s="1">
        <v>-2.856733E-6</v>
      </c>
      <c r="I3659">
        <v>163.0461</v>
      </c>
      <c r="J3659">
        <v>-190.29560000000001</v>
      </c>
      <c r="K3659">
        <v>1.1026359999999999</v>
      </c>
      <c r="L3659">
        <v>173.63659999999999</v>
      </c>
      <c r="M3659">
        <v>-2.8542370000000001E-2</v>
      </c>
      <c r="N3659">
        <v>0</v>
      </c>
      <c r="O3659">
        <v>-0.99949529999999998</v>
      </c>
      <c r="P3659">
        <v>-0.13641129999999899</v>
      </c>
      <c r="Q3659">
        <v>-8.2612620000000001E-3</v>
      </c>
      <c r="R3659">
        <v>-0.990618</v>
      </c>
      <c r="S3659">
        <v>-1.141815</v>
      </c>
      <c r="T3659">
        <v>-0.2919291</v>
      </c>
      <c r="U3659">
        <v>-2.8718110000000001</v>
      </c>
      <c r="V3659">
        <v>0.1080991</v>
      </c>
      <c r="W3659">
        <v>5.1834990000000003E-3</v>
      </c>
      <c r="X3659">
        <v>0.99412659999999997</v>
      </c>
      <c r="Y3659">
        <v>0.34113709999999903</v>
      </c>
      <c r="Z3659">
        <v>9.4477350000000002E-2</v>
      </c>
      <c r="AA3659">
        <v>0.93525369999999997</v>
      </c>
      <c r="AB3659">
        <v>26</v>
      </c>
      <c r="AC3659">
        <v>-4.3036999999999903</v>
      </c>
      <c r="AD3659">
        <v>-1.1026388567329899</v>
      </c>
      <c r="AE3659">
        <v>-10.590499999999899</v>
      </c>
      <c r="AF3659">
        <v>3.9627704643856001</v>
      </c>
      <c r="AG3659">
        <v>-1.1026388567329899</v>
      </c>
      <c r="AH3659">
        <v>10.6103189319885</v>
      </c>
      <c r="AI3659">
        <v>95.560398699617295</v>
      </c>
      <c r="AJ3659">
        <v>69.520210126196105</v>
      </c>
      <c r="AK3659">
        <v>11.3797289089107</v>
      </c>
    </row>
    <row r="3660" spans="1:37" x14ac:dyDescent="0.2">
      <c r="A3660" t="str">
        <f>"20200111155921993"</f>
        <v>20200111155921993</v>
      </c>
      <c r="B3660" t="str">
        <f>"1578729561986126"</f>
        <v>1578729561986126</v>
      </c>
      <c r="C3660" t="s">
        <v>37</v>
      </c>
      <c r="D3660">
        <v>5.1372879999999999</v>
      </c>
      <c r="E3660">
        <v>0.60892190000000002</v>
      </c>
      <c r="F3660" t="s">
        <v>39</v>
      </c>
      <c r="G3660">
        <v>-194.755</v>
      </c>
      <c r="H3660" s="1">
        <v>-2.66836999999999E-6</v>
      </c>
      <c r="I3660">
        <v>162.56</v>
      </c>
      <c r="J3660">
        <v>-190.3049</v>
      </c>
      <c r="K3660">
        <v>1.1025559999999901</v>
      </c>
      <c r="L3660">
        <v>173.39779999999999</v>
      </c>
      <c r="M3660">
        <v>-3.0722220000000001E-2</v>
      </c>
      <c r="N3660">
        <v>0</v>
      </c>
      <c r="O3660">
        <v>-0.99943059999999995</v>
      </c>
      <c r="P3660">
        <v>-0.1408201</v>
      </c>
      <c r="Q3660">
        <v>-8.0014390000000008E-3</v>
      </c>
      <c r="R3660">
        <v>-0.99000290000000002</v>
      </c>
      <c r="S3660">
        <v>-1.154282</v>
      </c>
      <c r="T3660">
        <v>-0.28541</v>
      </c>
      <c r="U3660">
        <v>-2.8670960000000001</v>
      </c>
      <c r="V3660">
        <v>0.110358399999999</v>
      </c>
      <c r="W3660">
        <v>5.4147609999999997E-3</v>
      </c>
      <c r="X3660">
        <v>0.99387709999999996</v>
      </c>
      <c r="Y3660">
        <v>0.34319250000000001</v>
      </c>
      <c r="Z3660">
        <v>9.2410640000000002E-2</v>
      </c>
      <c r="AA3660">
        <v>0.93470810000000004</v>
      </c>
      <c r="AB3660">
        <v>26</v>
      </c>
      <c r="AC3660">
        <v>-4.4500999999999902</v>
      </c>
      <c r="AD3660">
        <v>-1.1025586683699999</v>
      </c>
      <c r="AE3660">
        <v>-10.8377999999999</v>
      </c>
      <c r="AF3660">
        <v>4.0788812449361398</v>
      </c>
      <c r="AG3660">
        <v>-1.1025586683699999</v>
      </c>
      <c r="AH3660">
        <v>10.873117147931801</v>
      </c>
      <c r="AI3660">
        <v>95.423501874609798</v>
      </c>
      <c r="AJ3660">
        <v>69.4371994398292</v>
      </c>
      <c r="AK3660">
        <v>11.665229716561001</v>
      </c>
    </row>
    <row r="3661" spans="1:37" x14ac:dyDescent="0.2">
      <c r="A3661" t="str">
        <f>"20200111155922016"</f>
        <v>20200111155922016</v>
      </c>
      <c r="B3661" t="str">
        <f>"1578729562005647"</f>
        <v>1578729562005647</v>
      </c>
      <c r="C3661" t="s">
        <v>37</v>
      </c>
      <c r="D3661">
        <v>5.1587230000000002</v>
      </c>
      <c r="E3661">
        <v>0.6081088</v>
      </c>
      <c r="F3661" t="s">
        <v>71</v>
      </c>
      <c r="G3661">
        <v>-197.84790000000001</v>
      </c>
      <c r="H3661" s="1">
        <v>-1.4197110000000001E-5</v>
      </c>
      <c r="I3661">
        <v>156.51480000000001</v>
      </c>
      <c r="J3661">
        <v>-190.3152</v>
      </c>
      <c r="K3661">
        <v>1.10244599999999</v>
      </c>
      <c r="L3661">
        <v>173.14750000000001</v>
      </c>
      <c r="M3661">
        <v>-3.3173479999999998E-2</v>
      </c>
      <c r="N3661">
        <v>0</v>
      </c>
      <c r="O3661">
        <v>-0.99935249999999998</v>
      </c>
      <c r="P3661">
        <v>-0.14476639999999999</v>
      </c>
      <c r="Q3661">
        <v>-8.1747709999999904E-3</v>
      </c>
      <c r="R3661">
        <v>-0.98943250000000005</v>
      </c>
      <c r="S3661">
        <v>-1.272354</v>
      </c>
      <c r="T3661">
        <v>-0.1859806</v>
      </c>
      <c r="U3661">
        <v>-2.8478089999999998</v>
      </c>
      <c r="V3661">
        <v>0.1118841</v>
      </c>
      <c r="W3661">
        <v>5.2087720000000004E-3</v>
      </c>
      <c r="X3661">
        <v>0.99370759999999903</v>
      </c>
      <c r="Y3661">
        <v>0.3766755</v>
      </c>
      <c r="Z3661">
        <v>5.98741E-2</v>
      </c>
      <c r="AA3661">
        <v>0.92440829999999996</v>
      </c>
      <c r="AB3661">
        <v>26</v>
      </c>
      <c r="AC3661">
        <v>-7.5327000000000002</v>
      </c>
      <c r="AD3661">
        <v>-1.1024601971100001</v>
      </c>
      <c r="AE3661">
        <v>-16.6327</v>
      </c>
      <c r="AF3661">
        <v>6.9513927877712502</v>
      </c>
      <c r="AG3661">
        <v>-1.1024601971100001</v>
      </c>
      <c r="AH3661">
        <v>16.8121625195291</v>
      </c>
      <c r="AI3661">
        <v>93.467847755067098</v>
      </c>
      <c r="AJ3661">
        <v>67.536175714083001</v>
      </c>
      <c r="AK3661">
        <v>18.225972916668901</v>
      </c>
    </row>
    <row r="3662" spans="1:37" x14ac:dyDescent="0.2">
      <c r="A3662" t="str">
        <f>"20200111155922039"</f>
        <v>20200111155922039</v>
      </c>
      <c r="B3662" t="str">
        <f>"1578729562035902"</f>
        <v>1578729562035902</v>
      </c>
      <c r="C3662" t="s">
        <v>37</v>
      </c>
      <c r="D3662">
        <v>5.1991170000000002</v>
      </c>
      <c r="E3662">
        <v>0.60758840000000003</v>
      </c>
      <c r="F3662" t="s">
        <v>71</v>
      </c>
      <c r="G3662">
        <v>-197.57159999999999</v>
      </c>
      <c r="H3662" s="1">
        <v>-1.4315360000000001E-5</v>
      </c>
      <c r="I3662">
        <v>156.9847</v>
      </c>
      <c r="J3662">
        <v>-190.32730000000001</v>
      </c>
      <c r="K3662">
        <v>1.1023080000000001</v>
      </c>
      <c r="L3662">
        <v>172.8777</v>
      </c>
      <c r="M3662">
        <v>-3.6027320000000002E-2</v>
      </c>
      <c r="N3662">
        <v>0</v>
      </c>
      <c r="O3662">
        <v>-0.99925339999999996</v>
      </c>
      <c r="P3662">
        <v>-0.1496873</v>
      </c>
      <c r="Q3662">
        <v>-9.1354119999999903E-3</v>
      </c>
      <c r="R3662">
        <v>-0.98869130000000005</v>
      </c>
      <c r="S3662">
        <v>-1.276672</v>
      </c>
      <c r="T3662">
        <v>-0.1939641</v>
      </c>
      <c r="U3662">
        <v>-2.8436279999999998</v>
      </c>
      <c r="V3662">
        <v>0.11398759999999999</v>
      </c>
      <c r="W3662">
        <v>4.2031339999999999E-3</v>
      </c>
      <c r="X3662">
        <v>0.9934733</v>
      </c>
      <c r="Y3662">
        <v>0.37563990000000003</v>
      </c>
      <c r="Z3662">
        <v>6.2502849999999999E-2</v>
      </c>
      <c r="AA3662">
        <v>0.92465569999999897</v>
      </c>
      <c r="AB3662">
        <v>26</v>
      </c>
      <c r="AC3662">
        <v>-7.2442999999999804</v>
      </c>
      <c r="AD3662">
        <v>-1.1023223153599999</v>
      </c>
      <c r="AE3662">
        <v>-15.893000000000001</v>
      </c>
      <c r="AF3662">
        <v>6.6405083585961204</v>
      </c>
      <c r="AG3662">
        <v>-1.1023223153599999</v>
      </c>
      <c r="AH3662">
        <v>16.079651560374</v>
      </c>
      <c r="AI3662">
        <v>93.625597399555602</v>
      </c>
      <c r="AJ3662">
        <v>67.560555019923299</v>
      </c>
      <c r="AK3662">
        <v>17.431771569480901</v>
      </c>
    </row>
    <row r="3663" spans="1:37" x14ac:dyDescent="0.2">
      <c r="A3663" t="str">
        <f>"20200111155922062"</f>
        <v>20200111155922062</v>
      </c>
      <c r="B3663" t="str">
        <f>"1578729562055423"</f>
        <v>1578729562055423</v>
      </c>
      <c r="C3663" t="s">
        <v>37</v>
      </c>
      <c r="D3663">
        <v>5.2209300000000001</v>
      </c>
      <c r="E3663">
        <v>0.60766489999999995</v>
      </c>
      <c r="F3663" t="s">
        <v>71</v>
      </c>
      <c r="G3663">
        <v>-197.3064</v>
      </c>
      <c r="H3663" s="1">
        <v>-1.4439809999999999E-5</v>
      </c>
      <c r="I3663">
        <v>157.47929999999999</v>
      </c>
      <c r="J3663">
        <v>-190.34</v>
      </c>
      <c r="K3663">
        <v>1.1021540000000001</v>
      </c>
      <c r="L3663">
        <v>172.61699999999999</v>
      </c>
      <c r="M3663">
        <v>-3.9013989999999998E-2</v>
      </c>
      <c r="N3663">
        <v>0</v>
      </c>
      <c r="O3663">
        <v>-0.9991411</v>
      </c>
      <c r="P3663">
        <v>-0.1541872</v>
      </c>
      <c r="Q3663">
        <v>-9.5986809999999995E-3</v>
      </c>
      <c r="R3663">
        <v>-0.98799509999999902</v>
      </c>
      <c r="S3663">
        <v>-1.2861629999999999</v>
      </c>
      <c r="T3663">
        <v>-0.20314560000000001</v>
      </c>
      <c r="U3663">
        <v>-2.8377379999999999</v>
      </c>
      <c r="V3663">
        <v>0.11554049999999901</v>
      </c>
      <c r="W3663">
        <v>3.6938740000000002E-3</v>
      </c>
      <c r="X3663">
        <v>0.99329590000000001</v>
      </c>
      <c r="Y3663">
        <v>0.37607689999999999</v>
      </c>
      <c r="Z3663">
        <v>6.5511230000000004E-2</v>
      </c>
      <c r="AA3663">
        <v>0.92426969999999997</v>
      </c>
      <c r="AB3663">
        <v>26</v>
      </c>
      <c r="AC3663">
        <v>-6.9663999999999904</v>
      </c>
      <c r="AD3663">
        <v>-1.10216843981</v>
      </c>
      <c r="AE3663">
        <v>-15.137700000000001</v>
      </c>
      <c r="AF3663">
        <v>6.3427079681231602</v>
      </c>
      <c r="AG3663">
        <v>-1.10216843981</v>
      </c>
      <c r="AH3663">
        <v>15.3309179685444</v>
      </c>
      <c r="AI3663">
        <v>93.800632659321195</v>
      </c>
      <c r="AJ3663">
        <v>67.524140012059604</v>
      </c>
      <c r="AK3663">
        <v>16.627740838636001</v>
      </c>
    </row>
    <row r="3664" spans="1:37" x14ac:dyDescent="0.2">
      <c r="A3664" t="str">
        <f>"20200111155922083"</f>
        <v>20200111155922083</v>
      </c>
      <c r="B3664" t="str">
        <f>"1578729562075918"</f>
        <v>1578729562075918</v>
      </c>
      <c r="C3664" t="s">
        <v>37</v>
      </c>
      <c r="D3664">
        <v>5.2465830000000002</v>
      </c>
      <c r="E3664">
        <v>0.60723300000000002</v>
      </c>
      <c r="F3664" t="s">
        <v>71</v>
      </c>
      <c r="G3664">
        <v>-197.2799</v>
      </c>
      <c r="H3664" s="1">
        <v>-1.44431399999999E-5</v>
      </c>
      <c r="I3664">
        <v>157.49260000000001</v>
      </c>
      <c r="J3664">
        <v>-190.35329999999999</v>
      </c>
      <c r="K3664">
        <v>1.1020000000000001</v>
      </c>
      <c r="L3664">
        <v>172.36500000000001</v>
      </c>
      <c r="M3664">
        <v>-4.2138549999999997E-2</v>
      </c>
      <c r="N3664">
        <v>0</v>
      </c>
      <c r="O3664">
        <v>-0.99901399999999996</v>
      </c>
      <c r="P3664">
        <v>-0.15830559999999999</v>
      </c>
      <c r="Q3664">
        <v>-9.4063730000000009E-3</v>
      </c>
      <c r="R3664">
        <v>-0.98734529999999998</v>
      </c>
      <c r="S3664">
        <v>-1.2993159999999999</v>
      </c>
      <c r="T3664">
        <v>-0.2063547</v>
      </c>
      <c r="U3664">
        <v>-2.83168</v>
      </c>
      <c r="V3664">
        <v>0.1165783</v>
      </c>
      <c r="W3664">
        <v>3.8407390000000001E-3</v>
      </c>
      <c r="X3664">
        <v>0.99317409999999995</v>
      </c>
      <c r="Y3664">
        <v>0.37744650000000002</v>
      </c>
      <c r="Z3664">
        <v>6.6576960000000004E-2</v>
      </c>
      <c r="AA3664">
        <v>0.92363499999999998</v>
      </c>
      <c r="AB3664">
        <v>26</v>
      </c>
      <c r="AC3664">
        <v>-6.9265999999999996</v>
      </c>
      <c r="AD3664">
        <v>-1.1020144431400001</v>
      </c>
      <c r="AE3664">
        <v>-14.872400000000001</v>
      </c>
      <c r="AF3664">
        <v>6.2654152429703798</v>
      </c>
      <c r="AG3664">
        <v>-1.1020144431400001</v>
      </c>
      <c r="AH3664">
        <v>15.0830404493353</v>
      </c>
      <c r="AI3664">
        <v>93.860086689120195</v>
      </c>
      <c r="AJ3664">
        <v>67.442260002960595</v>
      </c>
      <c r="AK3664">
        <v>16.369727340307801</v>
      </c>
    </row>
    <row r="3665" spans="1:37" x14ac:dyDescent="0.2">
      <c r="A3665" t="str">
        <f>"20200111155922106"</f>
        <v>20200111155922106</v>
      </c>
      <c r="B3665" t="str">
        <f>"1578729562095438"</f>
        <v>1578729562095438</v>
      </c>
      <c r="C3665" t="s">
        <v>37</v>
      </c>
      <c r="D3665">
        <v>5.2722470000000001</v>
      </c>
      <c r="E3665">
        <v>0.60670139999999995</v>
      </c>
      <c r="F3665" t="s">
        <v>71</v>
      </c>
      <c r="G3665">
        <v>-197.18369999999999</v>
      </c>
      <c r="H3665" s="1">
        <v>-1.446845E-5</v>
      </c>
      <c r="I3665">
        <v>157.5932</v>
      </c>
      <c r="J3665">
        <v>-190.36760000000001</v>
      </c>
      <c r="K3665">
        <v>1.1018429999999999</v>
      </c>
      <c r="L3665">
        <v>172.113</v>
      </c>
      <c r="M3665">
        <v>-4.5512520000000001E-2</v>
      </c>
      <c r="N3665">
        <v>0</v>
      </c>
      <c r="O3665">
        <v>-0.99886609999999998</v>
      </c>
      <c r="P3665">
        <v>-0.16196079999999999</v>
      </c>
      <c r="Q3665">
        <v>-8.0437140000000004E-3</v>
      </c>
      <c r="R3665">
        <v>-0.98676459999999999</v>
      </c>
      <c r="S3665">
        <v>-1.3071139999999899</v>
      </c>
      <c r="T3665">
        <v>-0.21088999999999999</v>
      </c>
      <c r="U3665">
        <v>-2.8268430000000002</v>
      </c>
      <c r="V3665">
        <v>0.11691069999999899</v>
      </c>
      <c r="W3665">
        <v>5.162519E-3</v>
      </c>
      <c r="X3665">
        <v>0.99312900000000004</v>
      </c>
      <c r="Y3665">
        <v>0.37697729999999902</v>
      </c>
      <c r="Z3665">
        <v>6.8092180000000002E-2</v>
      </c>
      <c r="AA3665">
        <v>0.92371619999999999</v>
      </c>
      <c r="AB3665">
        <v>26</v>
      </c>
      <c r="AC3665">
        <v>-6.8160999999999703</v>
      </c>
      <c r="AD3665">
        <v>-1.10185746845</v>
      </c>
      <c r="AE3665">
        <v>-14.5198</v>
      </c>
      <c r="AF3665">
        <v>6.1192623647840803</v>
      </c>
      <c r="AG3665">
        <v>-1.10185746845</v>
      </c>
      <c r="AH3665">
        <v>14.745417576480399</v>
      </c>
      <c r="AI3665">
        <v>93.948191529865198</v>
      </c>
      <c r="AJ3665">
        <v>67.461834796912299</v>
      </c>
      <c r="AK3665">
        <v>16.002712309937301</v>
      </c>
    </row>
    <row r="3666" spans="1:37" x14ac:dyDescent="0.2">
      <c r="A3666" t="str">
        <f>"20200111155922129"</f>
        <v>20200111155922129</v>
      </c>
      <c r="B3666" t="str">
        <f>"1578729562125695"</f>
        <v>1578729562125695</v>
      </c>
      <c r="C3666" t="s">
        <v>37</v>
      </c>
      <c r="D3666">
        <v>5.2579859999999998</v>
      </c>
      <c r="E3666">
        <v>0.60671450000000005</v>
      </c>
      <c r="F3666" t="s">
        <v>71</v>
      </c>
      <c r="G3666">
        <v>-197.32</v>
      </c>
      <c r="H3666" s="1">
        <v>-1.4361660000000001E-5</v>
      </c>
      <c r="I3666">
        <v>157.1688</v>
      </c>
      <c r="J3666">
        <v>-190.3844</v>
      </c>
      <c r="K3666">
        <v>1.1016680000000001</v>
      </c>
      <c r="L3666">
        <v>171.84020000000001</v>
      </c>
      <c r="M3666">
        <v>-4.9465729999999999E-2</v>
      </c>
      <c r="N3666">
        <v>0</v>
      </c>
      <c r="O3666">
        <v>-0.9986777</v>
      </c>
      <c r="P3666">
        <v>-0.1665336</v>
      </c>
      <c r="Q3666">
        <v>-6.6950930000000001E-3</v>
      </c>
      <c r="R3666">
        <v>-0.98601289999999997</v>
      </c>
      <c r="S3666">
        <v>-1.313339</v>
      </c>
      <c r="T3666">
        <v>-0.20814369999999999</v>
      </c>
      <c r="U3666">
        <v>-2.8229980000000001</v>
      </c>
      <c r="V3666">
        <v>0.1175943</v>
      </c>
      <c r="W3666">
        <v>6.4647389999999997E-3</v>
      </c>
      <c r="X3666">
        <v>0.993040699999999</v>
      </c>
      <c r="Y3666">
        <v>0.37549120000000002</v>
      </c>
      <c r="Z3666">
        <v>6.7264500000000005E-2</v>
      </c>
      <c r="AA3666">
        <v>0.92438189999999998</v>
      </c>
      <c r="AB3666">
        <v>26</v>
      </c>
      <c r="AC3666">
        <v>-6.9355999999999902</v>
      </c>
      <c r="AD3666">
        <v>-1.10168236166</v>
      </c>
      <c r="AE3666">
        <v>-14.6714</v>
      </c>
      <c r="AF3666">
        <v>6.17285664209715</v>
      </c>
      <c r="AG3666">
        <v>-1.10168236166</v>
      </c>
      <c r="AH3666">
        <v>14.9277471941241</v>
      </c>
      <c r="AI3666">
        <v>93.901532439898801</v>
      </c>
      <c r="AJ3666">
        <v>67.534141277824105</v>
      </c>
      <c r="AK3666">
        <v>16.1912167375264</v>
      </c>
    </row>
    <row r="3667" spans="1:37" x14ac:dyDescent="0.2">
      <c r="A3667" t="str">
        <f>"20200111155922152"</f>
        <v>20200111155922152</v>
      </c>
      <c r="B3667" t="str">
        <f>"1578729562145214"</f>
        <v>1578729562145214</v>
      </c>
      <c r="C3667" t="s">
        <v>37</v>
      </c>
      <c r="D3667">
        <v>5.2726889999999997</v>
      </c>
      <c r="E3667">
        <v>0.60700609999999999</v>
      </c>
      <c r="F3667" t="s">
        <v>71</v>
      </c>
      <c r="G3667">
        <v>-197.4658</v>
      </c>
      <c r="H3667" s="1">
        <v>-1.4268239999999899E-5</v>
      </c>
      <c r="I3667">
        <v>156.79750000000001</v>
      </c>
      <c r="J3667">
        <v>-190.40190000000001</v>
      </c>
      <c r="K3667">
        <v>1.1015250000000001</v>
      </c>
      <c r="L3667">
        <v>171.57849999999999</v>
      </c>
      <c r="M3667">
        <v>-5.3480010000000001E-2</v>
      </c>
      <c r="N3667">
        <v>0</v>
      </c>
      <c r="O3667">
        <v>-0.99847070000000004</v>
      </c>
      <c r="P3667">
        <v>-0.17120489999999999</v>
      </c>
      <c r="Q3667">
        <v>-5.5597769999999897E-3</v>
      </c>
      <c r="R3667">
        <v>-0.98521970000000003</v>
      </c>
      <c r="S3667">
        <v>-1.326187</v>
      </c>
      <c r="T3667">
        <v>-0.20632039999999899</v>
      </c>
      <c r="U3667">
        <v>-2.8171689999999998</v>
      </c>
      <c r="V3667">
        <v>0.118318399999999</v>
      </c>
      <c r="W3667">
        <v>7.5600060000000002E-3</v>
      </c>
      <c r="X3667">
        <v>0.99294689999999997</v>
      </c>
      <c r="Y3667">
        <v>0.375971</v>
      </c>
      <c r="Z3667">
        <v>6.6713380000000003E-2</v>
      </c>
      <c r="AA3667">
        <v>0.92422680000000001</v>
      </c>
      <c r="AB3667">
        <v>26</v>
      </c>
      <c r="AC3667">
        <v>-7.0638999999999896</v>
      </c>
      <c r="AD3667">
        <v>-1.10153926824</v>
      </c>
      <c r="AE3667">
        <v>-14.780999999999899</v>
      </c>
      <c r="AF3667">
        <v>6.2350335121208698</v>
      </c>
      <c r="AG3667">
        <v>-1.10153926824</v>
      </c>
      <c r="AH3667">
        <v>15.0695249797663</v>
      </c>
      <c r="AI3667">
        <v>93.864116645593398</v>
      </c>
      <c r="AJ3667">
        <v>67.522617256859306</v>
      </c>
      <c r="AK3667">
        <v>16.345629837132201</v>
      </c>
    </row>
    <row r="3668" spans="1:37" x14ac:dyDescent="0.2">
      <c r="A3668" t="str">
        <f>"20200111155922173"</f>
        <v>20200111155922173</v>
      </c>
      <c r="B3668" t="str">
        <f>"1578729562165710"</f>
        <v>1578729562165710</v>
      </c>
      <c r="C3668" t="s">
        <v>37</v>
      </c>
      <c r="D3668">
        <v>5.3441879999999999</v>
      </c>
      <c r="E3668">
        <v>0.60713109999999904</v>
      </c>
      <c r="F3668" t="s">
        <v>71</v>
      </c>
      <c r="G3668">
        <v>-197.64420000000001</v>
      </c>
      <c r="H3668" s="1">
        <v>-1.417017E-5</v>
      </c>
      <c r="I3668">
        <v>156.40770000000001</v>
      </c>
      <c r="J3668">
        <v>-190.41980000000001</v>
      </c>
      <c r="K3668">
        <v>1.101404</v>
      </c>
      <c r="L3668">
        <v>171.32689999999999</v>
      </c>
      <c r="M3668">
        <v>-5.754132E-2</v>
      </c>
      <c r="N3668">
        <v>0</v>
      </c>
      <c r="O3668">
        <v>-0.99824469999999998</v>
      </c>
      <c r="P3668">
        <v>-0.17608279999999901</v>
      </c>
      <c r="Q3668">
        <v>-4.1374109999999997E-3</v>
      </c>
      <c r="R3668">
        <v>-0.98436689999999905</v>
      </c>
      <c r="S3668">
        <v>-1.341812</v>
      </c>
      <c r="T3668">
        <v>-0.2040844</v>
      </c>
      <c r="U3668">
        <v>-2.8107150000000001</v>
      </c>
      <c r="V3668">
        <v>0.1192095</v>
      </c>
      <c r="W3668">
        <v>8.9451730000000007E-3</v>
      </c>
      <c r="X3668">
        <v>0.99282879999999996</v>
      </c>
      <c r="Y3668">
        <v>0.3772335</v>
      </c>
      <c r="Z3668">
        <v>6.6015110000000002E-2</v>
      </c>
      <c r="AA3668">
        <v>0.92376229999999904</v>
      </c>
      <c r="AB3668">
        <v>26</v>
      </c>
      <c r="AC3668">
        <v>-7.2244000000000002</v>
      </c>
      <c r="AD3668">
        <v>-1.1014181701700001</v>
      </c>
      <c r="AE3668">
        <v>-14.919199999999901</v>
      </c>
      <c r="AF3668">
        <v>6.3259440236036797</v>
      </c>
      <c r="AG3668">
        <v>-1.1014181701700001</v>
      </c>
      <c r="AH3668">
        <v>15.242921172690799</v>
      </c>
      <c r="AI3668">
        <v>93.818179128530105</v>
      </c>
      <c r="AJ3668">
        <v>67.461127534104506</v>
      </c>
      <c r="AK3668">
        <v>16.540173386401101</v>
      </c>
    </row>
    <row r="3669" spans="1:37" x14ac:dyDescent="0.2">
      <c r="A3669" t="str">
        <f>"20200111155922195"</f>
        <v>20200111155922195</v>
      </c>
      <c r="B3669" t="str">
        <f>"1578729562185230"</f>
        <v>1578729562185230</v>
      </c>
      <c r="C3669" t="s">
        <v>37</v>
      </c>
      <c r="D3669">
        <v>5.2998149999999997</v>
      </c>
      <c r="E3669">
        <v>0.60725430000000002</v>
      </c>
      <c r="F3669" t="s">
        <v>71</v>
      </c>
      <c r="G3669">
        <v>-197.8563</v>
      </c>
      <c r="H3669" s="1">
        <v>-1.40568899999999E-5</v>
      </c>
      <c r="I3669">
        <v>155.95750000000001</v>
      </c>
      <c r="J3669">
        <v>-190.4392</v>
      </c>
      <c r="K3669">
        <v>1.1012789999999999</v>
      </c>
      <c r="L3669">
        <v>171.07230000000001</v>
      </c>
      <c r="M3669">
        <v>-6.1867020000000002E-2</v>
      </c>
      <c r="N3669">
        <v>0</v>
      </c>
      <c r="O3669">
        <v>-0.99798580000000003</v>
      </c>
      <c r="P3669">
        <v>-0.18150810000000001</v>
      </c>
      <c r="Q3669">
        <v>-2.3792050000000001E-3</v>
      </c>
      <c r="R3669">
        <v>-0.98338669999999995</v>
      </c>
      <c r="S3669">
        <v>-1.3567659999999999</v>
      </c>
      <c r="T3669">
        <v>-0.2009502</v>
      </c>
      <c r="U3669">
        <v>-2.8041079999999998</v>
      </c>
      <c r="V3669">
        <v>0.1203969</v>
      </c>
      <c r="W3669">
        <v>1.0662659999999999E-2</v>
      </c>
      <c r="X3669">
        <v>0.99266860000000001</v>
      </c>
      <c r="Y3669">
        <v>0.37809540000000003</v>
      </c>
      <c r="Z3669">
        <v>6.503457E-2</v>
      </c>
      <c r="AA3669">
        <v>0.92347950000000001</v>
      </c>
      <c r="AB3669">
        <v>26</v>
      </c>
      <c r="AC3669">
        <v>-7.4170999999999996</v>
      </c>
      <c r="AD3669">
        <v>-1.1012930568899999</v>
      </c>
      <c r="AE3669">
        <v>-15.114800000000001</v>
      </c>
      <c r="AF3669">
        <v>6.4401348255328896</v>
      </c>
      <c r="AG3669">
        <v>-1.1012930568899999</v>
      </c>
      <c r="AH3669">
        <v>15.4785335695491</v>
      </c>
      <c r="AI3669">
        <v>93.758393252584</v>
      </c>
      <c r="AJ3669">
        <v>67.409329337424495</v>
      </c>
      <c r="AK3669">
        <v>16.800987602871899</v>
      </c>
    </row>
    <row r="3670" spans="1:37" x14ac:dyDescent="0.2">
      <c r="A3670" t="str">
        <f>"20200111155922218"</f>
        <v>20200111155922218</v>
      </c>
      <c r="B3670" t="str">
        <f>"1578729562205726"</f>
        <v>1578729562205726</v>
      </c>
      <c r="C3670" t="s">
        <v>37</v>
      </c>
      <c r="D3670">
        <v>5.3986000000000001</v>
      </c>
      <c r="E3670">
        <v>0.60752490000000003</v>
      </c>
      <c r="F3670" t="s">
        <v>71</v>
      </c>
      <c r="G3670">
        <v>-198.1328</v>
      </c>
      <c r="H3670" s="1">
        <v>-1.38958999999999E-5</v>
      </c>
      <c r="I3670">
        <v>155.405</v>
      </c>
      <c r="J3670">
        <v>-190.4597</v>
      </c>
      <c r="K3670">
        <v>1.101146</v>
      </c>
      <c r="L3670">
        <v>170.8218</v>
      </c>
      <c r="M3670">
        <v>-6.634118E-2</v>
      </c>
      <c r="N3670">
        <v>0</v>
      </c>
      <c r="O3670">
        <v>-0.99769830000000004</v>
      </c>
      <c r="P3670">
        <v>-0.18715390000000001</v>
      </c>
      <c r="Q3670">
        <v>-1.3310259999999999E-3</v>
      </c>
      <c r="R3670">
        <v>-0.98232989999999998</v>
      </c>
      <c r="S3670">
        <v>-1.3733519999999999</v>
      </c>
      <c r="T3670">
        <v>-0.1965876</v>
      </c>
      <c r="U3670">
        <v>-2.7967219999999999</v>
      </c>
      <c r="V3670">
        <v>0.1216598</v>
      </c>
      <c r="W3670">
        <v>1.1667769999999999E-2</v>
      </c>
      <c r="X3670">
        <v>0.99250329999999998</v>
      </c>
      <c r="Y3670">
        <v>0.37936360000000002</v>
      </c>
      <c r="Z3670">
        <v>6.3655760000000006E-2</v>
      </c>
      <c r="AA3670">
        <v>0.92305539999999997</v>
      </c>
      <c r="AB3670">
        <v>26</v>
      </c>
      <c r="AC3670">
        <v>-7.6730999999999998</v>
      </c>
      <c r="AD3670">
        <v>-1.1011598959</v>
      </c>
      <c r="AE3670">
        <v>-15.416799999999901</v>
      </c>
      <c r="AF3670">
        <v>6.6063114318514398</v>
      </c>
      <c r="AG3670">
        <v>-1.1011598959</v>
      </c>
      <c r="AH3670">
        <v>15.8272082787232</v>
      </c>
      <c r="AI3670">
        <v>93.673646917081001</v>
      </c>
      <c r="AJ3670">
        <v>67.344236021528801</v>
      </c>
      <c r="AK3670">
        <v>17.185936859800002</v>
      </c>
    </row>
    <row r="3671" spans="1:37" x14ac:dyDescent="0.2">
      <c r="A3671" t="str">
        <f>"20200111155922240"</f>
        <v>20200111155922240</v>
      </c>
      <c r="B3671" t="str">
        <f>"1578729562235982"</f>
        <v>1578729562235982</v>
      </c>
      <c r="C3671" t="s">
        <v>37</v>
      </c>
      <c r="D3671">
        <v>5.3182799999999997</v>
      </c>
      <c r="E3671">
        <v>0.60767439999999995</v>
      </c>
      <c r="F3671" t="s">
        <v>71</v>
      </c>
      <c r="G3671">
        <v>-198.3143</v>
      </c>
      <c r="H3671" s="1">
        <v>-1.3773489999999901E-5</v>
      </c>
      <c r="I3671">
        <v>155.0821</v>
      </c>
      <c r="J3671">
        <v>-190.48230000000001</v>
      </c>
      <c r="K3671">
        <v>1.1009930000000001</v>
      </c>
      <c r="L3671">
        <v>170.56180000000001</v>
      </c>
      <c r="M3671">
        <v>-7.1212059999999994E-2</v>
      </c>
      <c r="N3671">
        <v>0</v>
      </c>
      <c r="O3671">
        <v>-0.99736229999999904</v>
      </c>
      <c r="P3671">
        <v>-0.19360250000000001</v>
      </c>
      <c r="Q3671">
        <v>5.959095E-4</v>
      </c>
      <c r="R3671">
        <v>-0.98108009999999901</v>
      </c>
      <c r="S3671">
        <v>-1.3915709999999999</v>
      </c>
      <c r="T3671">
        <v>-0.19508929999999999</v>
      </c>
      <c r="U3671">
        <v>-2.7885589999999998</v>
      </c>
      <c r="V3671">
        <v>0.12335309999999999</v>
      </c>
      <c r="W3671">
        <v>1.3543970000000001E-2</v>
      </c>
      <c r="X3671">
        <v>0.9922704</v>
      </c>
      <c r="Y3671">
        <v>0.38076949999999998</v>
      </c>
      <c r="Z3671">
        <v>6.3199649999999996E-2</v>
      </c>
      <c r="AA3671">
        <v>0.92250769999999904</v>
      </c>
      <c r="AB3671">
        <v>26</v>
      </c>
      <c r="AC3671">
        <v>-7.8319999999999901</v>
      </c>
      <c r="AD3671">
        <v>-1.10100677349</v>
      </c>
      <c r="AE3671">
        <v>-15.479699999999999</v>
      </c>
      <c r="AF3671">
        <v>6.6827452523523698</v>
      </c>
      <c r="AG3671">
        <v>-1.10100677349</v>
      </c>
      <c r="AH3671">
        <v>15.934001054900801</v>
      </c>
      <c r="AI3671">
        <v>93.645996546802607</v>
      </c>
      <c r="AJ3671">
        <v>67.246746038726002</v>
      </c>
      <c r="AK3671">
        <v>17.313685039317502</v>
      </c>
    </row>
    <row r="3672" spans="1:37" x14ac:dyDescent="0.2">
      <c r="A3672" t="str">
        <f>"20200111155922263"</f>
        <v>20200111155922263</v>
      </c>
      <c r="B3672" t="str">
        <f>"1578729562255502"</f>
        <v>1578729562255502</v>
      </c>
      <c r="C3672" t="s">
        <v>37</v>
      </c>
      <c r="D3672">
        <v>5.3261599999999998</v>
      </c>
      <c r="E3672">
        <v>0.60769949999999995</v>
      </c>
      <c r="F3672" t="s">
        <v>71</v>
      </c>
      <c r="G3672">
        <v>-198.60589999999999</v>
      </c>
      <c r="H3672" s="1">
        <v>-1.358586E-5</v>
      </c>
      <c r="I3672">
        <v>154.56200000000001</v>
      </c>
      <c r="J3672">
        <v>-190.50649999999999</v>
      </c>
      <c r="K3672">
        <v>1.100832</v>
      </c>
      <c r="L3672">
        <v>170.30199999999999</v>
      </c>
      <c r="M3672">
        <v>-7.6315400000000005E-2</v>
      </c>
      <c r="N3672">
        <v>0</v>
      </c>
      <c r="O3672">
        <v>-0.99698449999999905</v>
      </c>
      <c r="P3672">
        <v>-0.20086870000000001</v>
      </c>
      <c r="Q3672">
        <v>2.4823520000000002E-3</v>
      </c>
      <c r="R3672">
        <v>-0.97961529999999997</v>
      </c>
      <c r="S3672">
        <v>-1.411224</v>
      </c>
      <c r="T3672">
        <v>-0.19126760000000001</v>
      </c>
      <c r="U3672">
        <v>-2.7794949999999998</v>
      </c>
      <c r="V3672">
        <v>0.12565119999999999</v>
      </c>
      <c r="W3672">
        <v>1.537007E-2</v>
      </c>
      <c r="X3672">
        <v>0.99195540000000004</v>
      </c>
      <c r="Y3672">
        <v>0.382474599999999</v>
      </c>
      <c r="Z3672">
        <v>6.1994899999999999E-2</v>
      </c>
      <c r="AA3672">
        <v>0.92188389999999998</v>
      </c>
      <c r="AB3672">
        <v>26</v>
      </c>
      <c r="AC3672">
        <v>-8.0993999999999993</v>
      </c>
      <c r="AD3672">
        <v>-1.1008455858599999</v>
      </c>
      <c r="AE3672">
        <v>-15.74</v>
      </c>
      <c r="AF3672">
        <v>6.8479677540527701</v>
      </c>
      <c r="AG3672">
        <v>-1.1008455858599999</v>
      </c>
      <c r="AH3672">
        <v>16.249414891465999</v>
      </c>
      <c r="AI3672">
        <v>93.572306996208297</v>
      </c>
      <c r="AJ3672">
        <v>67.148052001994898</v>
      </c>
      <c r="AK3672">
        <v>17.667767478644599</v>
      </c>
    </row>
    <row r="3673" spans="1:37" x14ac:dyDescent="0.2">
      <c r="A3673" t="str">
        <f>"20200111155922285"</f>
        <v>20200111155922285</v>
      </c>
      <c r="B3673" t="str">
        <f>"1578729562275998"</f>
        <v>1578729562275998</v>
      </c>
      <c r="C3673" t="s">
        <v>37</v>
      </c>
      <c r="D3673">
        <v>5.3609059999999999</v>
      </c>
      <c r="E3673">
        <v>0.60771140000000001</v>
      </c>
      <c r="F3673" t="s">
        <v>71</v>
      </c>
      <c r="G3673">
        <v>-198.87629999999999</v>
      </c>
      <c r="H3673" s="1">
        <v>-1.349717E-5</v>
      </c>
      <c r="I3673">
        <v>154.11420000000001</v>
      </c>
      <c r="J3673">
        <v>-190.5316</v>
      </c>
      <c r="K3673">
        <v>1.100668</v>
      </c>
      <c r="L3673">
        <v>170.04990000000001</v>
      </c>
      <c r="M3673">
        <v>-8.15086E-2</v>
      </c>
      <c r="N3673">
        <v>0</v>
      </c>
      <c r="O3673">
        <v>-0.9965733</v>
      </c>
      <c r="P3673">
        <v>-0.2085127</v>
      </c>
      <c r="Q3673">
        <v>3.2517759999999901E-3</v>
      </c>
      <c r="R3673">
        <v>-0.97801439999999995</v>
      </c>
      <c r="S3673">
        <v>-1.4318389999999901</v>
      </c>
      <c r="T3673">
        <v>-0.18832499999999999</v>
      </c>
      <c r="U3673">
        <v>-2.7693020000000002</v>
      </c>
      <c r="V3673">
        <v>0.12824279999999999</v>
      </c>
      <c r="W3673">
        <v>1.6076179999999999E-2</v>
      </c>
      <c r="X3673">
        <v>0.99161250000000001</v>
      </c>
      <c r="Y3673">
        <v>0.38448759999999998</v>
      </c>
      <c r="Z3673">
        <v>6.1081320000000001E-2</v>
      </c>
      <c r="AA3673">
        <v>0.92110720000000001</v>
      </c>
      <c r="AB3673">
        <v>25</v>
      </c>
      <c r="AC3673">
        <v>-8.34469999999998</v>
      </c>
      <c r="AD3673">
        <v>-1.1006814971700001</v>
      </c>
      <c r="AE3673">
        <v>-15.935699999999899</v>
      </c>
      <c r="AF3673">
        <v>6.9917261181175796</v>
      </c>
      <c r="AG3673">
        <v>-1.1006814971700001</v>
      </c>
      <c r="AH3673">
        <v>16.5011169035064</v>
      </c>
      <c r="AI3673">
        <v>93.514559432950406</v>
      </c>
      <c r="AJ3673">
        <v>67.037029310170993</v>
      </c>
      <c r="AK3673">
        <v>17.955015815425</v>
      </c>
    </row>
    <row r="3674" spans="1:37" x14ac:dyDescent="0.2">
      <c r="A3674" t="str">
        <f>"20200111155922306"</f>
        <v>20200111155922306</v>
      </c>
      <c r="B3674" t="str">
        <f>"1578729562295517"</f>
        <v>1578729562295517</v>
      </c>
      <c r="C3674" t="s">
        <v>37</v>
      </c>
      <c r="D3674">
        <v>5.3734279999999996</v>
      </c>
      <c r="E3674">
        <v>0.60693889999999995</v>
      </c>
      <c r="F3674" t="s">
        <v>71</v>
      </c>
      <c r="G3674">
        <v>-199.02719999999999</v>
      </c>
      <c r="H3674" s="1">
        <v>-1.346352E-5</v>
      </c>
      <c r="I3674">
        <v>153.9273</v>
      </c>
      <c r="J3674">
        <v>-190.55690000000001</v>
      </c>
      <c r="K3674">
        <v>1.100517</v>
      </c>
      <c r="L3674">
        <v>169.8109</v>
      </c>
      <c r="M3674">
        <v>-8.6664899999999906E-2</v>
      </c>
      <c r="N3674">
        <v>0</v>
      </c>
      <c r="O3674">
        <v>-0.99613779999999996</v>
      </c>
      <c r="P3674">
        <v>-0.21595520000000001</v>
      </c>
      <c r="Q3674">
        <v>3.0264250000000001E-3</v>
      </c>
      <c r="R3674">
        <v>-0.97639880000000001</v>
      </c>
      <c r="S3674">
        <v>-1.4534149999999999</v>
      </c>
      <c r="T3674">
        <v>-0.18830279999999999</v>
      </c>
      <c r="U3674">
        <v>-2.7582239999999998</v>
      </c>
      <c r="V3674">
        <v>0.13066700000000001</v>
      </c>
      <c r="W3674">
        <v>1.5791059999999999E-2</v>
      </c>
      <c r="X3674">
        <v>0.99130049999999903</v>
      </c>
      <c r="Y3674">
        <v>0.38687549999999998</v>
      </c>
      <c r="Z3674">
        <v>6.1114019999999998E-2</v>
      </c>
      <c r="AA3674">
        <v>0.92010460000000005</v>
      </c>
      <c r="AB3674">
        <v>25</v>
      </c>
      <c r="AC3674">
        <v>-8.4702999999999804</v>
      </c>
      <c r="AD3674">
        <v>-1.1005304635199999</v>
      </c>
      <c r="AE3674">
        <v>-15.883599999999999</v>
      </c>
      <c r="AF3674">
        <v>7.0354400872746004</v>
      </c>
      <c r="AG3674">
        <v>-1.1005304635199999</v>
      </c>
      <c r="AH3674">
        <v>16.496317560318499</v>
      </c>
      <c r="AI3674">
        <v>93.511599061134802</v>
      </c>
      <c r="AJ3674">
        <v>66.902455641138104</v>
      </c>
      <c r="AK3674">
        <v>17.9676675607503</v>
      </c>
    </row>
    <row r="3675" spans="1:37" x14ac:dyDescent="0.2">
      <c r="A3675" t="str">
        <f>"20200111155922329"</f>
        <v>20200111155922329</v>
      </c>
      <c r="B3675" t="str">
        <f>"1578729562325775"</f>
        <v>1578729562325775</v>
      </c>
      <c r="C3675" t="s">
        <v>37</v>
      </c>
      <c r="D3675">
        <v>5.6075869999999997</v>
      </c>
      <c r="E3675">
        <v>0.55926290000000001</v>
      </c>
      <c r="F3675" t="s">
        <v>71</v>
      </c>
      <c r="G3675">
        <v>-197.16220000000001</v>
      </c>
      <c r="H3675" s="1">
        <v>-1.4421379999999899E-5</v>
      </c>
      <c r="I3675">
        <v>157.40610000000001</v>
      </c>
      <c r="J3675">
        <v>-190.58690000000001</v>
      </c>
      <c r="K3675">
        <v>1.100371</v>
      </c>
      <c r="L3675">
        <v>169.54419999999999</v>
      </c>
      <c r="M3675">
        <v>-9.2636919999999998E-2</v>
      </c>
      <c r="N3675">
        <v>0</v>
      </c>
      <c r="O3675">
        <v>-0.99560000000000004</v>
      </c>
      <c r="P3675">
        <v>-0.2226282</v>
      </c>
      <c r="Q3675">
        <v>2.474974E-3</v>
      </c>
      <c r="R3675">
        <v>-0.97490049999999995</v>
      </c>
      <c r="S3675">
        <v>-1.4640500000000001</v>
      </c>
      <c r="T3675">
        <v>-0.24392990000000001</v>
      </c>
      <c r="U3675">
        <v>-2.7494809999999998</v>
      </c>
      <c r="V3675">
        <v>0.131502799999999</v>
      </c>
      <c r="W3675">
        <v>1.520033E-2</v>
      </c>
      <c r="X3675">
        <v>0.99119930000000001</v>
      </c>
      <c r="Y3675">
        <v>0.38473479999999999</v>
      </c>
      <c r="Z3675">
        <v>7.9184669999999999E-2</v>
      </c>
      <c r="AA3675">
        <v>0.91962429999999995</v>
      </c>
      <c r="AB3675">
        <v>25</v>
      </c>
      <c r="AC3675">
        <v>-6.5752999999999897</v>
      </c>
      <c r="AD3675">
        <v>-1.10038542138</v>
      </c>
      <c r="AE3675">
        <v>-12.1380999999999</v>
      </c>
      <c r="AF3675">
        <v>5.3882359056994504</v>
      </c>
      <c r="AG3675">
        <v>-1.10038542138</v>
      </c>
      <c r="AH3675">
        <v>12.614917604107699</v>
      </c>
      <c r="AI3675">
        <v>94.586318333952704</v>
      </c>
      <c r="AJ3675">
        <v>66.871117870837097</v>
      </c>
      <c r="AK3675">
        <v>13.761543532957401</v>
      </c>
    </row>
    <row r="3676" spans="1:37" x14ac:dyDescent="0.2">
      <c r="A3676" t="str">
        <f>"20200111155922352"</f>
        <v>20200111155922352</v>
      </c>
      <c r="B3676" t="str">
        <f>"1578729562345294"</f>
        <v>1578729562345294</v>
      </c>
      <c r="C3676" t="s">
        <v>37</v>
      </c>
      <c r="D3676">
        <v>5.4234499999999999</v>
      </c>
      <c r="E3676">
        <v>0.45447860000000001</v>
      </c>
      <c r="F3676" t="s">
        <v>71</v>
      </c>
      <c r="G3676">
        <v>-195.92</v>
      </c>
      <c r="H3676" s="1">
        <v>-1.3956930000000001E-5</v>
      </c>
      <c r="I3676">
        <v>156.00470000000001</v>
      </c>
      <c r="J3676">
        <v>-190.6174</v>
      </c>
      <c r="K3676">
        <v>1.1002479999999999</v>
      </c>
      <c r="L3676">
        <v>169.28870000000001</v>
      </c>
      <c r="M3676">
        <v>-9.8563960000000006E-2</v>
      </c>
      <c r="N3676">
        <v>0</v>
      </c>
      <c r="O3676">
        <v>-0.99503050000000004</v>
      </c>
      <c r="P3676">
        <v>-0.22966739999999999</v>
      </c>
      <c r="Q3676">
        <v>1.9499719999999999E-3</v>
      </c>
      <c r="R3676">
        <v>-0.973267199999999</v>
      </c>
      <c r="S3676">
        <v>-1.112274</v>
      </c>
      <c r="T3676">
        <v>-0.2294967</v>
      </c>
      <c r="U3676">
        <v>-2.823807</v>
      </c>
      <c r="V3676">
        <v>0.1327624</v>
      </c>
      <c r="W3676">
        <v>1.46363E-2</v>
      </c>
      <c r="X3676">
        <v>0.99103980000000003</v>
      </c>
      <c r="Y3676">
        <v>0.2719241</v>
      </c>
      <c r="Z3676">
        <v>7.6067599999999999E-2</v>
      </c>
      <c r="AA3676">
        <v>0.95930759999999904</v>
      </c>
      <c r="AB3676">
        <v>25</v>
      </c>
      <c r="AC3676">
        <v>-5.3025999999999804</v>
      </c>
      <c r="AD3676">
        <v>-1.1002619569299901</v>
      </c>
      <c r="AE3676">
        <v>-13.283999999999899</v>
      </c>
      <c r="AF3676">
        <v>3.9439829763963599</v>
      </c>
      <c r="AG3676">
        <v>-1.1002619569299901</v>
      </c>
      <c r="AH3676">
        <v>13.6611635688276</v>
      </c>
      <c r="AI3676">
        <v>94.424686640344206</v>
      </c>
      <c r="AJ3676">
        <v>73.896551598633494</v>
      </c>
      <c r="AK3676">
        <v>14.2615906597488</v>
      </c>
    </row>
    <row r="3677" spans="1:37" x14ac:dyDescent="0.2">
      <c r="A3677" t="str">
        <f>"20200111155922367"</f>
        <v>20200111155922367</v>
      </c>
      <c r="B3677" t="str">
        <f>"1578729562356030"</f>
        <v>1578729562356030</v>
      </c>
      <c r="C3677" t="s">
        <v>37</v>
      </c>
      <c r="D3677">
        <v>5.3948799999999997</v>
      </c>
      <c r="E3677">
        <v>0.44379879999999999</v>
      </c>
      <c r="F3677" t="s">
        <v>71</v>
      </c>
      <c r="G3677">
        <v>-193.01439999999999</v>
      </c>
      <c r="H3677" s="1">
        <v>-1.053635E-5</v>
      </c>
      <c r="I3677">
        <v>146.9871</v>
      </c>
      <c r="J3677">
        <v>-190.63800000000001</v>
      </c>
      <c r="K3677">
        <v>1.1001669999999999</v>
      </c>
      <c r="L3677">
        <v>169.12209999999999</v>
      </c>
      <c r="M3677">
        <v>-0.10252219999999999</v>
      </c>
      <c r="N3677">
        <v>0</v>
      </c>
      <c r="O3677">
        <v>-0.99463029999999997</v>
      </c>
      <c r="P3677">
        <v>-0.23390709999999901</v>
      </c>
      <c r="Q3677">
        <v>1.6154889999999999E-3</v>
      </c>
      <c r="R3677">
        <v>-0.97225759999999894</v>
      </c>
      <c r="S3677">
        <v>-0.32313540000000002</v>
      </c>
      <c r="T3677">
        <v>-0.14832219999999999</v>
      </c>
      <c r="U3677">
        <v>-3.0064090000000001</v>
      </c>
      <c r="V3677">
        <v>0.13313800000000001</v>
      </c>
      <c r="W3677">
        <v>1.4282039999999999E-2</v>
      </c>
      <c r="X3677">
        <v>0.99099459999999995</v>
      </c>
      <c r="Y3677">
        <v>4.230457E-3</v>
      </c>
      <c r="Z3677">
        <v>4.8746650000000002E-2</v>
      </c>
      <c r="AA3677">
        <v>0.99880219999999897</v>
      </c>
      <c r="AB3677">
        <v>25</v>
      </c>
      <c r="AC3677">
        <v>-2.3763999999999799</v>
      </c>
      <c r="AD3677">
        <v>-1.1001775363499999</v>
      </c>
      <c r="AE3677">
        <v>-22.134999999999899</v>
      </c>
      <c r="AF3677">
        <v>9.4090177925350002E-2</v>
      </c>
      <c r="AG3677">
        <v>-1.1001775363499999</v>
      </c>
      <c r="AH3677">
        <v>22.2077623186313</v>
      </c>
      <c r="AI3677">
        <v>92.836101724256693</v>
      </c>
      <c r="AJ3677">
        <v>89.757249841082199</v>
      </c>
      <c r="AK3677">
        <v>22.235196216222</v>
      </c>
    </row>
    <row r="3678" spans="1:37" x14ac:dyDescent="0.2">
      <c r="A3678" t="str">
        <f>"20200111155922381"</f>
        <v>20200111155922381</v>
      </c>
      <c r="B3678" t="str">
        <f>"1578729562375551"</f>
        <v>1578729562375551</v>
      </c>
      <c r="C3678" t="s">
        <v>37</v>
      </c>
      <c r="D3678">
        <v>5.3597000000000001</v>
      </c>
      <c r="E3678">
        <v>0.4346332</v>
      </c>
      <c r="F3678" t="s">
        <v>71</v>
      </c>
      <c r="G3678">
        <v>-192.55889999999999</v>
      </c>
      <c r="H3678" s="1">
        <v>-1.024751E-5</v>
      </c>
      <c r="I3678">
        <v>146.19810000000001</v>
      </c>
      <c r="J3678">
        <v>-190.65960000000001</v>
      </c>
      <c r="K3678">
        <v>1.10009</v>
      </c>
      <c r="L3678">
        <v>168.95580000000001</v>
      </c>
      <c r="M3678">
        <v>-0.10657899999999999</v>
      </c>
      <c r="N3678">
        <v>0</v>
      </c>
      <c r="O3678">
        <v>-0.99420359999999997</v>
      </c>
      <c r="P3678">
        <v>-0.23800209999999999</v>
      </c>
      <c r="Q3678">
        <v>1.1650930000000001E-3</v>
      </c>
      <c r="R3678">
        <v>-0.97126409999999996</v>
      </c>
      <c r="S3678">
        <v>-0.25346370000000001</v>
      </c>
      <c r="T3678">
        <v>-0.1451694</v>
      </c>
      <c r="U3678">
        <v>-3.0248409999999999</v>
      </c>
      <c r="V3678">
        <v>0.1332692</v>
      </c>
      <c r="W3678">
        <v>1.381574E-2</v>
      </c>
      <c r="X3678">
        <v>0.99098349999999902</v>
      </c>
      <c r="Y3678">
        <v>-2.3286210000000002E-2</v>
      </c>
      <c r="Z3678">
        <v>4.7439040000000002E-2</v>
      </c>
      <c r="AA3678">
        <v>0.99860269999999995</v>
      </c>
      <c r="AB3678">
        <v>25</v>
      </c>
      <c r="AC3678">
        <v>-1.89929999999998</v>
      </c>
      <c r="AD3678">
        <v>-1.1001002475099999</v>
      </c>
      <c r="AE3678">
        <v>-22.7577</v>
      </c>
      <c r="AF3678">
        <v>-0.53601192153015897</v>
      </c>
      <c r="AG3678">
        <v>-1.1001002475099999</v>
      </c>
      <c r="AH3678">
        <v>22.777640331624902</v>
      </c>
      <c r="AI3678">
        <v>92.764323021275601</v>
      </c>
      <c r="AJ3678">
        <v>91.348056835460895</v>
      </c>
      <c r="AK3678">
        <v>22.810489438226899</v>
      </c>
    </row>
    <row r="3679" spans="1:37" x14ac:dyDescent="0.2">
      <c r="A3679" t="str">
        <f>"20200111155922396"</f>
        <v>20200111155922396</v>
      </c>
      <c r="B3679" t="str">
        <f>"1578729562385310"</f>
        <v>1578729562385310</v>
      </c>
      <c r="C3679" t="s">
        <v>37</v>
      </c>
      <c r="D3679">
        <v>5.2458589999999896</v>
      </c>
      <c r="E3679">
        <v>0.43046620000000002</v>
      </c>
      <c r="F3679" t="s">
        <v>71</v>
      </c>
      <c r="G3679">
        <v>-192.1208</v>
      </c>
      <c r="H3679" s="1">
        <v>-1.016345E-5</v>
      </c>
      <c r="I3679">
        <v>146.17410000000001</v>
      </c>
      <c r="J3679">
        <v>-190.6814</v>
      </c>
      <c r="K3679">
        <v>1.100009</v>
      </c>
      <c r="L3679">
        <v>168.79390000000001</v>
      </c>
      <c r="M3679">
        <v>-0.1106181</v>
      </c>
      <c r="N3679">
        <v>0</v>
      </c>
      <c r="O3679">
        <v>-0.99376209999999898</v>
      </c>
      <c r="P3679">
        <v>-0.24258369999999899</v>
      </c>
      <c r="Q3679">
        <v>5.1521230000000002E-4</v>
      </c>
      <c r="R3679">
        <v>-0.97013039999999995</v>
      </c>
      <c r="S3679">
        <v>-0.19505310000000001</v>
      </c>
      <c r="T3679">
        <v>-0.1468525</v>
      </c>
      <c r="U3679">
        <v>-3.0411380000000001</v>
      </c>
      <c r="V3679">
        <v>0.13391539999999999</v>
      </c>
      <c r="W3679">
        <v>1.314299E-2</v>
      </c>
      <c r="X3679">
        <v>0.99090560000000005</v>
      </c>
      <c r="Y3679">
        <v>-4.686179E-2</v>
      </c>
      <c r="Z3679">
        <v>4.7713770000000003E-2</v>
      </c>
      <c r="AA3679">
        <v>0.99776119999999902</v>
      </c>
      <c r="AB3679">
        <v>25</v>
      </c>
      <c r="AC3679">
        <v>-1.4394</v>
      </c>
      <c r="AD3679">
        <v>-1.1000191634500001</v>
      </c>
      <c r="AE3679">
        <v>-22.619800000000001</v>
      </c>
      <c r="AF3679">
        <v>-1.06932689130061</v>
      </c>
      <c r="AG3679">
        <v>-1.1000191634500001</v>
      </c>
      <c r="AH3679">
        <v>22.586991915019301</v>
      </c>
      <c r="AI3679">
        <v>92.785069875935207</v>
      </c>
      <c r="AJ3679">
        <v>92.710507259052406</v>
      </c>
      <c r="AK3679">
        <v>22.6390305872306</v>
      </c>
    </row>
    <row r="3680" spans="1:37" x14ac:dyDescent="0.2">
      <c r="A3680" t="str">
        <f>"20200111155922410"</f>
        <v>20200111155922410</v>
      </c>
      <c r="B3680" t="str">
        <f>"1578729562405806"</f>
        <v>1578729562405806</v>
      </c>
      <c r="C3680" t="s">
        <v>37</v>
      </c>
      <c r="D3680">
        <v>5.1082169999999998</v>
      </c>
      <c r="E3680">
        <v>0.42497669999999999</v>
      </c>
      <c r="F3680" t="s">
        <v>71</v>
      </c>
      <c r="G3680">
        <v>-192.06360000000001</v>
      </c>
      <c r="H3680" s="1">
        <v>-9.8667929999999993E-6</v>
      </c>
      <c r="I3680">
        <v>145.08760000000001</v>
      </c>
      <c r="J3680">
        <v>-190.7037</v>
      </c>
      <c r="K3680">
        <v>1.0999270000000001</v>
      </c>
      <c r="L3680">
        <v>168.63239999999999</v>
      </c>
      <c r="M3680">
        <v>-0.114715899999999</v>
      </c>
      <c r="N3680">
        <v>0</v>
      </c>
      <c r="O3680">
        <v>-0.99329750000000006</v>
      </c>
      <c r="P3680">
        <v>-0.24675830000000001</v>
      </c>
      <c r="Q3680">
        <v>2.1415479999999901E-4</v>
      </c>
      <c r="R3680">
        <v>-0.96907719999999897</v>
      </c>
      <c r="S3680">
        <v>-0.17771909999999999</v>
      </c>
      <c r="T3680">
        <v>-0.1414337</v>
      </c>
      <c r="U3680">
        <v>-3.0480040000000002</v>
      </c>
      <c r="V3680">
        <v>0.1340943</v>
      </c>
      <c r="W3680">
        <v>1.282401E-2</v>
      </c>
      <c r="X3680">
        <v>0.99088559999999903</v>
      </c>
      <c r="Y3680">
        <v>-5.6770830000000001E-2</v>
      </c>
      <c r="Z3680">
        <v>4.5817660000000003E-2</v>
      </c>
      <c r="AA3680">
        <v>0.99733539999999998</v>
      </c>
      <c r="AB3680">
        <v>25</v>
      </c>
      <c r="AC3680">
        <v>-1.3599000000000101</v>
      </c>
      <c r="AD3680">
        <v>-1.0999368667929901</v>
      </c>
      <c r="AE3680">
        <v>-23.544799999999899</v>
      </c>
      <c r="AF3680">
        <v>-1.3473820938554599</v>
      </c>
      <c r="AG3680">
        <v>-1.0999368667929901</v>
      </c>
      <c r="AH3680">
        <v>23.494247094849801</v>
      </c>
      <c r="AI3680">
        <v>92.676084839672001</v>
      </c>
      <c r="AJ3680">
        <v>93.282286023507396</v>
      </c>
      <c r="AK3680">
        <v>23.558542955192099</v>
      </c>
    </row>
    <row r="3681" spans="1:37" x14ac:dyDescent="0.2">
      <c r="A3681" t="str">
        <f>"20200111155922423"</f>
        <v>20200111155922423</v>
      </c>
      <c r="B3681" t="str">
        <f>"1578729562415566"</f>
        <v>1578729562415566</v>
      </c>
      <c r="C3681" t="s">
        <v>37</v>
      </c>
      <c r="D3681">
        <v>5.2401400000000002</v>
      </c>
      <c r="E3681">
        <v>0.42263859999999998</v>
      </c>
      <c r="F3681" t="s">
        <v>71</v>
      </c>
      <c r="G3681">
        <v>-191.84010000000001</v>
      </c>
      <c r="H3681" s="1">
        <v>-9.8425930000000004E-6</v>
      </c>
      <c r="I3681">
        <v>145.14619999999999</v>
      </c>
      <c r="J3681">
        <v>-190.72640000000001</v>
      </c>
      <c r="K3681">
        <v>1.0998399999999999</v>
      </c>
      <c r="L3681">
        <v>168.4735</v>
      </c>
      <c r="M3681">
        <v>-0.11882769999999999</v>
      </c>
      <c r="N3681">
        <v>0</v>
      </c>
      <c r="O3681">
        <v>-0.99281369999999902</v>
      </c>
      <c r="P3681">
        <v>-0.25102859999999999</v>
      </c>
      <c r="Q3681">
        <v>5.8939769999999999E-4</v>
      </c>
      <c r="R3681">
        <v>-0.967979699999999</v>
      </c>
      <c r="S3681">
        <v>-0.1479645</v>
      </c>
      <c r="T3681">
        <v>-0.14322109999999999</v>
      </c>
      <c r="U3681">
        <v>-3.0581049999999999</v>
      </c>
      <c r="V3681">
        <v>0.13436719999999999</v>
      </c>
      <c r="W3681">
        <v>1.3178749999999999E-2</v>
      </c>
      <c r="X3681">
        <v>0.99084399999999995</v>
      </c>
      <c r="Y3681">
        <v>-7.0767269999999993E-2</v>
      </c>
      <c r="Z3681">
        <v>4.6199850000000001E-2</v>
      </c>
      <c r="AA3681">
        <v>0.99642240000000004</v>
      </c>
      <c r="AB3681">
        <v>25</v>
      </c>
      <c r="AC3681">
        <v>-1.1136999999999899</v>
      </c>
      <c r="AD3681">
        <v>-1.0998498425929999</v>
      </c>
      <c r="AE3681">
        <v>-23.327300000000001</v>
      </c>
      <c r="AF3681">
        <v>-1.66271242557685</v>
      </c>
      <c r="AG3681">
        <v>-1.0998498425929999</v>
      </c>
      <c r="AH3681">
        <v>23.242790843429098</v>
      </c>
      <c r="AI3681">
        <v>92.702322294460302</v>
      </c>
      <c r="AJ3681">
        <v>94.091780275891495</v>
      </c>
      <c r="AK3681">
        <v>23.328129125110198</v>
      </c>
    </row>
    <row r="3682" spans="1:37" x14ac:dyDescent="0.2">
      <c r="A3682" t="str">
        <f>"20200111155922675"</f>
        <v>20200111155922675</v>
      </c>
      <c r="B3682" t="str">
        <f>"1578729562665422"</f>
        <v>1578729562665422</v>
      </c>
      <c r="C3682" t="s">
        <v>37</v>
      </c>
      <c r="D3682">
        <v>5.3842429999999997</v>
      </c>
      <c r="E3682">
        <v>0.64791319999999997</v>
      </c>
      <c r="F3682" t="s">
        <v>71</v>
      </c>
      <c r="G3682">
        <v>-191.84010000000001</v>
      </c>
      <c r="H3682" s="1">
        <v>-9.7221729999999993E-6</v>
      </c>
      <c r="I3682">
        <v>144.68960000000001</v>
      </c>
      <c r="J3682">
        <v>-191.2646</v>
      </c>
      <c r="K3682">
        <v>1.0985819999999999</v>
      </c>
      <c r="L3682">
        <v>165.68940000000001</v>
      </c>
      <c r="M3682">
        <v>-0.2042706</v>
      </c>
      <c r="N3682">
        <v>0</v>
      </c>
      <c r="O3682">
        <v>-0.97880859999999903</v>
      </c>
      <c r="P3682">
        <v>-0.34896939999999999</v>
      </c>
      <c r="Q3682">
        <v>5.5343880000000003E-3</v>
      </c>
      <c r="R3682">
        <v>-0.9371178</v>
      </c>
      <c r="S3682">
        <v>-0.14338679999999901</v>
      </c>
      <c r="T3682">
        <v>-0.14160339999999999</v>
      </c>
      <c r="U3682">
        <v>-3.0621339999999999</v>
      </c>
      <c r="V3682">
        <v>0.150426799999999</v>
      </c>
      <c r="W3682">
        <v>1.7666680000000001E-2</v>
      </c>
      <c r="X3682">
        <v>0.98846329999999905</v>
      </c>
      <c r="Y3682">
        <v>-0.15832589999999999</v>
      </c>
      <c r="Z3682">
        <v>4.4420040000000001E-2</v>
      </c>
      <c r="AA3682">
        <v>0.98638729999999997</v>
      </c>
      <c r="AB3682">
        <v>25</v>
      </c>
      <c r="AC3682">
        <v>-0.57550000000000501</v>
      </c>
      <c r="AD3682">
        <v>-1.0985917221729999</v>
      </c>
      <c r="AE3682">
        <v>-20.9998</v>
      </c>
      <c r="AF3682">
        <v>-3.7165597617016002</v>
      </c>
      <c r="AG3682">
        <v>-1.0985917221729999</v>
      </c>
      <c r="AH3682">
        <v>20.618099864228402</v>
      </c>
      <c r="AI3682">
        <v>93.001713545641394</v>
      </c>
      <c r="AJ3682">
        <v>100.218243877834</v>
      </c>
      <c r="AK3682">
        <v>20.979174489136199</v>
      </c>
    </row>
    <row r="3683" spans="1:37" x14ac:dyDescent="0.2">
      <c r="A3683" t="str">
        <f>"20200111155922733"</f>
        <v>20200111155922733</v>
      </c>
      <c r="B3683" t="str">
        <f>"1578729562725935"</f>
        <v>1578729562725935</v>
      </c>
      <c r="C3683" t="s">
        <v>37</v>
      </c>
      <c r="D3683">
        <v>5.2223620000000004</v>
      </c>
      <c r="E3683">
        <v>0.64578380000000002</v>
      </c>
      <c r="F3683" t="s">
        <v>71</v>
      </c>
      <c r="G3683">
        <v>-201.75200000000001</v>
      </c>
      <c r="H3683">
        <v>7.9984760000000002E-2</v>
      </c>
      <c r="I3683">
        <v>153.905</v>
      </c>
      <c r="J3683">
        <v>-191.4289</v>
      </c>
      <c r="K3683">
        <v>1.098371</v>
      </c>
      <c r="L3683">
        <v>165.05170000000001</v>
      </c>
      <c r="M3683">
        <v>-0.226713099999999</v>
      </c>
      <c r="N3683">
        <v>0</v>
      </c>
      <c r="O3683">
        <v>-0.97385449999999996</v>
      </c>
      <c r="P3683">
        <v>-0.3760539</v>
      </c>
      <c r="Q3683">
        <v>1.8158129999999899E-3</v>
      </c>
      <c r="R3683">
        <v>-0.92659599999999898</v>
      </c>
      <c r="S3683">
        <v>-2.140625</v>
      </c>
      <c r="T3683">
        <v>-0.20791089999999901</v>
      </c>
      <c r="U3683">
        <v>-2.4053800000000001</v>
      </c>
      <c r="V3683">
        <v>0.1563832</v>
      </c>
      <c r="W3683">
        <v>1.382337E-2</v>
      </c>
      <c r="X3683">
        <v>0.98759969999999997</v>
      </c>
      <c r="Y3683">
        <v>0.47662549999999998</v>
      </c>
      <c r="Z3683">
        <v>6.6471840000000004E-2</v>
      </c>
      <c r="AA3683">
        <v>0.87658979999999997</v>
      </c>
      <c r="AB3683">
        <v>25</v>
      </c>
      <c r="AC3683">
        <v>-10.3231</v>
      </c>
      <c r="AD3683">
        <v>-1.0183862400000001</v>
      </c>
      <c r="AE3683">
        <v>-11.146699999999999</v>
      </c>
      <c r="AF3683">
        <v>7.4932106516298296</v>
      </c>
      <c r="AG3683">
        <v>-1.0183862400000001</v>
      </c>
      <c r="AH3683">
        <v>13.1379901150101</v>
      </c>
      <c r="AI3683">
        <v>93.852075846986395</v>
      </c>
      <c r="AJ3683">
        <v>60.301864464790803</v>
      </c>
      <c r="AK3683">
        <v>15.1588951004228</v>
      </c>
    </row>
    <row r="3684" spans="1:37" x14ac:dyDescent="0.2">
      <c r="A3684" t="str">
        <f>"20200111155922754"</f>
        <v>20200111155922754</v>
      </c>
      <c r="B3684" t="str">
        <f>"1578729562745962"</f>
        <v>1578729562745962</v>
      </c>
      <c r="C3684" t="s">
        <v>37</v>
      </c>
      <c r="D3684">
        <v>5.1639229999999996</v>
      </c>
      <c r="E3684">
        <v>0.64393059999999902</v>
      </c>
      <c r="F3684" t="s">
        <v>71</v>
      </c>
      <c r="G3684">
        <v>-202.59809999999999</v>
      </c>
      <c r="H3684">
        <v>7.9984719999999995E-2</v>
      </c>
      <c r="I3684">
        <v>153.1103</v>
      </c>
      <c r="J3684">
        <v>-191.49080000000001</v>
      </c>
      <c r="K3684">
        <v>1.0982909999999999</v>
      </c>
      <c r="L3684">
        <v>164.82730000000001</v>
      </c>
      <c r="M3684">
        <v>-0.23481540000000001</v>
      </c>
      <c r="N3684">
        <v>0</v>
      </c>
      <c r="O3684">
        <v>-0.97193259999999904</v>
      </c>
      <c r="P3684">
        <v>-0.38636419999999999</v>
      </c>
      <c r="Q3684">
        <v>-1.2680250000000001E-3</v>
      </c>
      <c r="R3684">
        <v>-0.92234559999999999</v>
      </c>
      <c r="S3684">
        <v>-2.1953279999999999</v>
      </c>
      <c r="T3684">
        <v>-0.2001657</v>
      </c>
      <c r="U3684">
        <v>-2.347092</v>
      </c>
      <c r="V3684">
        <v>0.1591291</v>
      </c>
      <c r="W3684">
        <v>1.0684590000000001E-2</v>
      </c>
      <c r="X3684">
        <v>0.98719999999999997</v>
      </c>
      <c r="Y3684">
        <v>0.49106359999999899</v>
      </c>
      <c r="Z3684">
        <v>6.4264950000000001E-2</v>
      </c>
      <c r="AA3684">
        <v>0.86875000000000002</v>
      </c>
      <c r="AB3684">
        <v>25</v>
      </c>
      <c r="AC3684">
        <v>-11.107299999999899</v>
      </c>
      <c r="AD3684">
        <v>-1.01830628</v>
      </c>
      <c r="AE3684">
        <v>-11.717000000000001</v>
      </c>
      <c r="AF3684">
        <v>8.0131769779020008</v>
      </c>
      <c r="AG3684">
        <v>-1.01830628</v>
      </c>
      <c r="AH3684">
        <v>13.942295785187699</v>
      </c>
      <c r="AI3684">
        <v>93.623334866324001</v>
      </c>
      <c r="AJ3684">
        <v>60.112350754621403</v>
      </c>
      <c r="AK3684">
        <v>16.113210875574399</v>
      </c>
    </row>
    <row r="3685" spans="1:37" x14ac:dyDescent="0.2">
      <c r="A3685" t="str">
        <f>"20200111155922776"</f>
        <v>20200111155922776</v>
      </c>
      <c r="B3685" t="str">
        <f>"1578729562765484"</f>
        <v>1578729562765484</v>
      </c>
      <c r="C3685" t="s">
        <v>37</v>
      </c>
      <c r="D3685">
        <v>5.0845690000000001</v>
      </c>
      <c r="E3685">
        <v>0.6426771</v>
      </c>
      <c r="F3685" t="s">
        <v>71</v>
      </c>
      <c r="G3685">
        <v>-202.41640000000001</v>
      </c>
      <c r="H3685">
        <v>7.9984719999999995E-2</v>
      </c>
      <c r="I3685">
        <v>153.30940000000001</v>
      </c>
      <c r="J3685">
        <v>-191.55709999999999</v>
      </c>
      <c r="K3685">
        <v>1.09822</v>
      </c>
      <c r="L3685">
        <v>164.5949</v>
      </c>
      <c r="M3685">
        <v>-0.2433063</v>
      </c>
      <c r="N3685">
        <v>0</v>
      </c>
      <c r="O3685">
        <v>-0.96984169999999903</v>
      </c>
      <c r="P3685">
        <v>-0.39640570000000003</v>
      </c>
      <c r="Q3685">
        <v>-4.29557799999999E-3</v>
      </c>
      <c r="R3685">
        <v>-0.91806569999999899</v>
      </c>
      <c r="S3685">
        <v>-2.2077939999999998</v>
      </c>
      <c r="T3685">
        <v>-0.2057745</v>
      </c>
      <c r="U3685">
        <v>-2.3274840000000001</v>
      </c>
      <c r="V3685">
        <v>0.1612267</v>
      </c>
      <c r="W3685">
        <v>7.6138880000000001E-3</v>
      </c>
      <c r="X3685">
        <v>0.98688809999999905</v>
      </c>
      <c r="Y3685">
        <v>0.48945549999999999</v>
      </c>
      <c r="Z3685">
        <v>6.6170329999999999E-2</v>
      </c>
      <c r="AA3685">
        <v>0.86951409999999996</v>
      </c>
      <c r="AB3685">
        <v>25</v>
      </c>
      <c r="AC3685">
        <v>-10.859299999999999</v>
      </c>
      <c r="AD3685">
        <v>-1.0182352800000001</v>
      </c>
      <c r="AE3685">
        <v>-11.2854999999999</v>
      </c>
      <c r="AF3685">
        <v>7.7540075478441803</v>
      </c>
      <c r="AG3685">
        <v>-1.0182352800000001</v>
      </c>
      <c r="AH3685">
        <v>13.5315091987855</v>
      </c>
      <c r="AI3685">
        <v>93.735506415515502</v>
      </c>
      <c r="AJ3685">
        <v>60.185847912941803</v>
      </c>
      <c r="AK3685">
        <v>15.628921182675301</v>
      </c>
    </row>
    <row r="3686" spans="1:37" x14ac:dyDescent="0.2">
      <c r="A3686" t="str">
        <f>"20200111155922790"</f>
        <v>20200111155922790</v>
      </c>
      <c r="B3686" t="str">
        <f>"1578729562785979"</f>
        <v>1578729562785979</v>
      </c>
      <c r="C3686" t="s">
        <v>37</v>
      </c>
      <c r="D3686">
        <v>5.2818300000000002</v>
      </c>
      <c r="E3686">
        <v>0.62222809999999995</v>
      </c>
      <c r="F3686" t="s">
        <v>71</v>
      </c>
      <c r="G3686">
        <v>-202.43559999999999</v>
      </c>
      <c r="H3686">
        <v>7.9984719999999995E-2</v>
      </c>
      <c r="I3686">
        <v>153.31489999999999</v>
      </c>
      <c r="J3686">
        <v>-191.60059999999999</v>
      </c>
      <c r="K3686">
        <v>1.0981829999999999</v>
      </c>
      <c r="L3686">
        <v>164.44630000000001</v>
      </c>
      <c r="M3686">
        <v>-0.248781</v>
      </c>
      <c r="N3686">
        <v>0</v>
      </c>
      <c r="O3686">
        <v>-0.96845149999999902</v>
      </c>
      <c r="P3686">
        <v>-0.4023853</v>
      </c>
      <c r="Q3686">
        <v>-5.4514559999999899E-3</v>
      </c>
      <c r="R3686">
        <v>-0.9154544</v>
      </c>
      <c r="S3686">
        <v>-2.2242579999999998</v>
      </c>
      <c r="T3686">
        <v>-0.2081925</v>
      </c>
      <c r="U3686">
        <v>-2.3063509999999998</v>
      </c>
      <c r="V3686">
        <v>0.16207349999999901</v>
      </c>
      <c r="W3686">
        <v>6.440421E-3</v>
      </c>
      <c r="X3686">
        <v>0.98675769999999996</v>
      </c>
      <c r="Y3686">
        <v>0.49167870000000002</v>
      </c>
      <c r="Z3686">
        <v>6.7050970000000001E-2</v>
      </c>
      <c r="AA3686">
        <v>0.8681913</v>
      </c>
      <c r="AB3686">
        <v>25</v>
      </c>
      <c r="AC3686">
        <v>-10.835000000000001</v>
      </c>
      <c r="AD3686">
        <v>-1.01819828</v>
      </c>
      <c r="AE3686">
        <v>-11.131399999999999</v>
      </c>
      <c r="AF3686">
        <v>7.6916552727022403</v>
      </c>
      <c r="AG3686">
        <v>-1.01819828</v>
      </c>
      <c r="AH3686">
        <v>13.419521634370099</v>
      </c>
      <c r="AI3686">
        <v>93.766234064827401</v>
      </c>
      <c r="AJ3686">
        <v>60.179997371644198</v>
      </c>
      <c r="AK3686">
        <v>15.5010273681073</v>
      </c>
    </row>
    <row r="3687" spans="1:37" x14ac:dyDescent="0.2">
      <c r="A3687" t="str">
        <f>"20200111155922803"</f>
        <v>20200111155922803</v>
      </c>
      <c r="B3687" t="str">
        <f>"1578729562795740"</f>
        <v>1578729562795740</v>
      </c>
      <c r="C3687" t="s">
        <v>37</v>
      </c>
      <c r="D3687">
        <v>5.2503289999999998</v>
      </c>
      <c r="E3687">
        <v>0.61972490000000002</v>
      </c>
      <c r="F3687" t="s">
        <v>71</v>
      </c>
      <c r="G3687">
        <v>-199.97130000000001</v>
      </c>
      <c r="H3687">
        <v>6.3533519999999996E-2</v>
      </c>
      <c r="I3687">
        <v>154.98840000000001</v>
      </c>
      <c r="J3687">
        <v>-191.64400000000001</v>
      </c>
      <c r="K3687">
        <v>1.0981559999999999</v>
      </c>
      <c r="L3687">
        <v>164.30119999999999</v>
      </c>
      <c r="M3687">
        <v>-0.25415509999999902</v>
      </c>
      <c r="N3687">
        <v>0</v>
      </c>
      <c r="O3687">
        <v>-0.96705490000000005</v>
      </c>
      <c r="P3687">
        <v>-0.40793390000000002</v>
      </c>
      <c r="Q3687">
        <v>-6.247509E-3</v>
      </c>
      <c r="R3687">
        <v>-0.91299030000000003</v>
      </c>
      <c r="S3687">
        <v>-2.087097</v>
      </c>
      <c r="T3687">
        <v>-0.25797310000000001</v>
      </c>
      <c r="U3687">
        <v>-2.3581699999999999</v>
      </c>
      <c r="V3687">
        <v>0.16257260000000001</v>
      </c>
      <c r="W3687">
        <v>5.63362699999999E-3</v>
      </c>
      <c r="X3687">
        <v>0.98668049999999996</v>
      </c>
      <c r="Y3687">
        <v>0.44827709999999998</v>
      </c>
      <c r="Z3687">
        <v>8.3896650000000003E-2</v>
      </c>
      <c r="AA3687">
        <v>0.88994889999999904</v>
      </c>
      <c r="AB3687">
        <v>25</v>
      </c>
      <c r="AC3687">
        <v>-8.3272999999999993</v>
      </c>
      <c r="AD3687">
        <v>-1.0346224799999999</v>
      </c>
      <c r="AE3687">
        <v>-9.3127999999999798</v>
      </c>
      <c r="AF3687">
        <v>5.6479207138047602</v>
      </c>
      <c r="AG3687">
        <v>-1.0346224799999999</v>
      </c>
      <c r="AH3687">
        <v>11.047809695276101</v>
      </c>
      <c r="AI3687">
        <v>94.766578787603507</v>
      </c>
      <c r="AJ3687">
        <v>62.922728940514197</v>
      </c>
      <c r="AK3687">
        <v>12.450845398147999</v>
      </c>
    </row>
    <row r="3688" spans="1:37" x14ac:dyDescent="0.2">
      <c r="A3688" t="str">
        <f>"20200111155922823"</f>
        <v>20200111155922823</v>
      </c>
      <c r="B3688" t="str">
        <f>"1578729562816237"</f>
        <v>1578729562816237</v>
      </c>
      <c r="C3688" t="s">
        <v>37</v>
      </c>
      <c r="D3688">
        <v>5.2059660000000001</v>
      </c>
      <c r="E3688">
        <v>0.61920390000000003</v>
      </c>
      <c r="F3688" t="s">
        <v>71</v>
      </c>
      <c r="G3688">
        <v>-199.95779999999999</v>
      </c>
      <c r="H3688">
        <v>2.7385590000000001E-2</v>
      </c>
      <c r="I3688">
        <v>154.90520000000001</v>
      </c>
      <c r="J3688">
        <v>-191.70599999999999</v>
      </c>
      <c r="K3688">
        <v>1.098122</v>
      </c>
      <c r="L3688">
        <v>164.09970000000001</v>
      </c>
      <c r="M3688">
        <v>-0.26167479999999999</v>
      </c>
      <c r="N3688">
        <v>0</v>
      </c>
      <c r="O3688">
        <v>-0.96504709999999905</v>
      </c>
      <c r="P3688">
        <v>-0.41685440000000001</v>
      </c>
      <c r="Q3688">
        <v>-7.1913230000000003E-3</v>
      </c>
      <c r="R3688">
        <v>-0.90894489999999994</v>
      </c>
      <c r="S3688">
        <v>-2.0824889999999998</v>
      </c>
      <c r="T3688">
        <v>-0.26821349999999999</v>
      </c>
      <c r="U3688">
        <v>-2.353577</v>
      </c>
      <c r="V3688">
        <v>0.16454170000000001</v>
      </c>
      <c r="W3688">
        <v>4.6551709999999996E-3</v>
      </c>
      <c r="X3688">
        <v>0.98635910000000004</v>
      </c>
      <c r="Y3688">
        <v>0.44099890000000003</v>
      </c>
      <c r="Z3688">
        <v>8.7270050000000002E-2</v>
      </c>
      <c r="AA3688">
        <v>0.89325469999999896</v>
      </c>
      <c r="AB3688">
        <v>25</v>
      </c>
      <c r="AC3688">
        <v>-8.2517999999999994</v>
      </c>
      <c r="AD3688">
        <v>-1.0707364100000001</v>
      </c>
      <c r="AE3688">
        <v>-9.1944999999999997</v>
      </c>
      <c r="AF3688">
        <v>5.5165542456556196</v>
      </c>
      <c r="AG3688">
        <v>-1.0707364100000001</v>
      </c>
      <c r="AH3688">
        <v>10.951314464617001</v>
      </c>
      <c r="AI3688">
        <v>94.990379842504296</v>
      </c>
      <c r="AJ3688">
        <v>63.264030579742098</v>
      </c>
      <c r="AK3688">
        <v>12.3089453531929</v>
      </c>
    </row>
    <row r="3689" spans="1:37" x14ac:dyDescent="0.2">
      <c r="A3689" t="str">
        <f>"20200111155922845"</f>
        <v>20200111155922845</v>
      </c>
      <c r="B3689" t="str">
        <f>"1578729562835755"</f>
        <v>1578729562835755</v>
      </c>
      <c r="C3689" t="s">
        <v>37</v>
      </c>
      <c r="D3689">
        <v>5.2213779999999996</v>
      </c>
      <c r="E3689">
        <v>0.61816530000000003</v>
      </c>
      <c r="F3689" t="s">
        <v>71</v>
      </c>
      <c r="G3689">
        <v>-199.92080000000001</v>
      </c>
      <c r="H3689" s="1">
        <v>-1.38088899999999E-5</v>
      </c>
      <c r="I3689">
        <v>154.9718</v>
      </c>
      <c r="J3689">
        <v>-191.77809999999999</v>
      </c>
      <c r="K3689">
        <v>1.0980859999999999</v>
      </c>
      <c r="L3689">
        <v>163.87190000000001</v>
      </c>
      <c r="M3689">
        <v>-0.27023239999999998</v>
      </c>
      <c r="N3689">
        <v>0</v>
      </c>
      <c r="O3689">
        <v>-0.96268589999999998</v>
      </c>
      <c r="P3689">
        <v>-0.42728749999999999</v>
      </c>
      <c r="Q3689">
        <v>-9.4846879999999998E-3</v>
      </c>
      <c r="R3689">
        <v>-0.90406629999999999</v>
      </c>
      <c r="S3689">
        <v>-2.10115099999999</v>
      </c>
      <c r="T3689">
        <v>-0.28087659999999998</v>
      </c>
      <c r="U3689">
        <v>-2.334686</v>
      </c>
      <c r="V3689">
        <v>0.1671069</v>
      </c>
      <c r="W3689">
        <v>2.3186840000000001E-3</v>
      </c>
      <c r="X3689">
        <v>0.98593600000000003</v>
      </c>
      <c r="Y3689">
        <v>0.44032120000000002</v>
      </c>
      <c r="Z3689">
        <v>9.1367499999999893E-2</v>
      </c>
      <c r="AA3689">
        <v>0.89317930000000001</v>
      </c>
      <c r="AB3689">
        <v>25</v>
      </c>
      <c r="AC3689">
        <v>-8.1427000000000191</v>
      </c>
      <c r="AD3689">
        <v>-1.09809980889</v>
      </c>
      <c r="AE3689">
        <v>-8.9001000000000001</v>
      </c>
      <c r="AF3689">
        <v>5.3896766301693297</v>
      </c>
      <c r="AG3689">
        <v>-1.09809980889</v>
      </c>
      <c r="AH3689">
        <v>10.681045424201001</v>
      </c>
      <c r="AI3689">
        <v>95.244195806647397</v>
      </c>
      <c r="AJ3689">
        <v>63.224398295610797</v>
      </c>
      <c r="AK3689">
        <v>12.014123718437499</v>
      </c>
    </row>
    <row r="3690" spans="1:37" x14ac:dyDescent="0.2">
      <c r="A3690" t="str">
        <f>"20200111155922866"</f>
        <v>20200111155922866</v>
      </c>
      <c r="B3690" t="str">
        <f>"1578729562855784"</f>
        <v>1578729562855784</v>
      </c>
      <c r="C3690" t="s">
        <v>37</v>
      </c>
      <c r="D3690">
        <v>5.2341319999999998</v>
      </c>
      <c r="E3690">
        <v>0.61681960000000002</v>
      </c>
      <c r="F3690" t="s">
        <v>71</v>
      </c>
      <c r="G3690">
        <v>-199.79920000000001</v>
      </c>
      <c r="H3690" s="1">
        <v>-1.384562E-5</v>
      </c>
      <c r="I3690">
        <v>155.11779999999999</v>
      </c>
      <c r="J3690">
        <v>-191.8526</v>
      </c>
      <c r="K3690">
        <v>1.09805</v>
      </c>
      <c r="L3690">
        <v>163.6439</v>
      </c>
      <c r="M3690">
        <v>-0.27885270000000001</v>
      </c>
      <c r="N3690">
        <v>0</v>
      </c>
      <c r="O3690">
        <v>-0.96022399999999997</v>
      </c>
      <c r="P3690">
        <v>-0.436235499999999</v>
      </c>
      <c r="Q3690">
        <v>-1.292653E-2</v>
      </c>
      <c r="R3690">
        <v>-0.89973969999999903</v>
      </c>
      <c r="S3690">
        <v>-2.1197360000000001</v>
      </c>
      <c r="T3690">
        <v>-0.29019450000000002</v>
      </c>
      <c r="U3690">
        <v>-2.3134459999999999</v>
      </c>
      <c r="V3690">
        <v>0.16800860000000001</v>
      </c>
      <c r="W3690">
        <v>-1.136605E-3</v>
      </c>
      <c r="X3690">
        <v>0.98578489999999996</v>
      </c>
      <c r="Y3690">
        <v>0.44005870000000002</v>
      </c>
      <c r="Z3690">
        <v>9.4426759999999998E-2</v>
      </c>
      <c r="AA3690">
        <v>0.89299039999999996</v>
      </c>
      <c r="AB3690">
        <v>24</v>
      </c>
      <c r="AC3690">
        <v>-7.9466000000000099</v>
      </c>
      <c r="AD3690">
        <v>-1.09806384562</v>
      </c>
      <c r="AE3690">
        <v>-8.5261000000000102</v>
      </c>
      <c r="AF3690">
        <v>5.2073240879537304</v>
      </c>
      <c r="AG3690">
        <v>-1.09806384562</v>
      </c>
      <c r="AH3690">
        <v>10.3124609592724</v>
      </c>
      <c r="AI3690">
        <v>95.429588363497004</v>
      </c>
      <c r="AJ3690">
        <v>63.208299320886802</v>
      </c>
      <c r="AK3690">
        <v>11.6046895435663</v>
      </c>
    </row>
    <row r="3691" spans="1:37" x14ac:dyDescent="0.2">
      <c r="A3691" t="str">
        <f>"20200111155922887"</f>
        <v>20200111155922887</v>
      </c>
      <c r="B3691" t="str">
        <f>"1578729562875304"</f>
        <v>1578729562875304</v>
      </c>
      <c r="C3691" t="s">
        <v>37</v>
      </c>
      <c r="D3691">
        <v>5.2332479999999997</v>
      </c>
      <c r="E3691">
        <v>0.61569110000000005</v>
      </c>
      <c r="F3691" t="s">
        <v>71</v>
      </c>
      <c r="G3691">
        <v>-199.5094</v>
      </c>
      <c r="H3691" s="1">
        <v>-1.391553E-5</v>
      </c>
      <c r="I3691">
        <v>155.39570000000001</v>
      </c>
      <c r="J3691">
        <v>-191.9299</v>
      </c>
      <c r="K3691">
        <v>1.09802</v>
      </c>
      <c r="L3691">
        <v>163.41499999999999</v>
      </c>
      <c r="M3691">
        <v>-0.28755019999999998</v>
      </c>
      <c r="N3691">
        <v>0</v>
      </c>
      <c r="O3691">
        <v>-0.95765540000000005</v>
      </c>
      <c r="P3691">
        <v>-0.44456699999999999</v>
      </c>
      <c r="Q3691">
        <v>-1.8129860000000001E-2</v>
      </c>
      <c r="R3691">
        <v>-0.89556239999999998</v>
      </c>
      <c r="S3691">
        <v>-2.1316830000000002</v>
      </c>
      <c r="T3691">
        <v>-0.30570770000000003</v>
      </c>
      <c r="U3691">
        <v>-2.2963559999999998</v>
      </c>
      <c r="V3691">
        <v>0.16816420000000001</v>
      </c>
      <c r="W3691">
        <v>-6.339824E-3</v>
      </c>
      <c r="X3691">
        <v>0.98573860000000002</v>
      </c>
      <c r="Y3691">
        <v>0.43737819999999999</v>
      </c>
      <c r="Z3691">
        <v>9.9476670000000003E-2</v>
      </c>
      <c r="AA3691">
        <v>0.89375879999999996</v>
      </c>
      <c r="AB3691">
        <v>24</v>
      </c>
      <c r="AC3691">
        <v>-7.5794999999999897</v>
      </c>
      <c r="AD3691">
        <v>-1.0980339155299901</v>
      </c>
      <c r="AE3691">
        <v>-8.0192999999999799</v>
      </c>
      <c r="AF3691">
        <v>4.9045542716466599</v>
      </c>
      <c r="AG3691">
        <v>-1.0980339155299901</v>
      </c>
      <c r="AH3691">
        <v>9.7635717272576699</v>
      </c>
      <c r="AI3691">
        <v>95.738697319887095</v>
      </c>
      <c r="AJ3691">
        <v>63.328158685808397</v>
      </c>
      <c r="AK3691">
        <v>10.981241457890199</v>
      </c>
    </row>
    <row r="3692" spans="1:37" x14ac:dyDescent="0.2">
      <c r="A3692" t="str">
        <f>"20200111155922911"</f>
        <v>20200111155922911</v>
      </c>
      <c r="B3692" t="str">
        <f>"1578729562905559"</f>
        <v>1578729562905559</v>
      </c>
      <c r="C3692" t="s">
        <v>37</v>
      </c>
      <c r="D3692">
        <v>5.1976930000000001</v>
      </c>
      <c r="E3692">
        <v>0.61445229999999995</v>
      </c>
      <c r="F3692" t="s">
        <v>71</v>
      </c>
      <c r="G3692">
        <v>-199.15010000000001</v>
      </c>
      <c r="H3692" s="1">
        <v>-1.40015799999999E-5</v>
      </c>
      <c r="I3692">
        <v>155.73769999999999</v>
      </c>
      <c r="J3692">
        <v>-192.01240000000001</v>
      </c>
      <c r="K3692">
        <v>1.0980049999999999</v>
      </c>
      <c r="L3692">
        <v>163.17779999999999</v>
      </c>
      <c r="M3692">
        <v>-0.29659099999999999</v>
      </c>
      <c r="N3692">
        <v>0</v>
      </c>
      <c r="O3692">
        <v>-0.95489409999999897</v>
      </c>
      <c r="P3692">
        <v>-0.45210309999999998</v>
      </c>
      <c r="Q3692">
        <v>-2.236111E-2</v>
      </c>
      <c r="R3692">
        <v>-0.89168549999999902</v>
      </c>
      <c r="S3692">
        <v>-2.143494</v>
      </c>
      <c r="T3692">
        <v>-0.32597979999999999</v>
      </c>
      <c r="U3692">
        <v>-2.2792050000000001</v>
      </c>
      <c r="V3692">
        <v>0.1671223</v>
      </c>
      <c r="W3692">
        <v>-1.054897E-2</v>
      </c>
      <c r="X3692">
        <v>0.98587969999999903</v>
      </c>
      <c r="Y3692">
        <v>0.43421120000000002</v>
      </c>
      <c r="Z3692">
        <v>0.106035199999999</v>
      </c>
      <c r="AA3692">
        <v>0.89454859999999903</v>
      </c>
      <c r="AB3692">
        <v>24</v>
      </c>
      <c r="AC3692">
        <v>-7.1376999999999899</v>
      </c>
      <c r="AD3692">
        <v>-1.09801900158</v>
      </c>
      <c r="AE3692">
        <v>-7.4401000000000002</v>
      </c>
      <c r="AF3692">
        <v>4.5578732193074503</v>
      </c>
      <c r="AG3692">
        <v>-1.09801900158</v>
      </c>
      <c r="AH3692">
        <v>9.1190328529247999</v>
      </c>
      <c r="AI3692">
        <v>96.147365657800194</v>
      </c>
      <c r="AJ3692">
        <v>63.443208963862098</v>
      </c>
      <c r="AK3692">
        <v>10.253614688676</v>
      </c>
    </row>
    <row r="3693" spans="1:37" x14ac:dyDescent="0.2">
      <c r="A3693" t="str">
        <f>"20200111155922933"</f>
        <v>20200111155922933</v>
      </c>
      <c r="B3693" t="str">
        <f>"1578729562926056"</f>
        <v>1578729562926056</v>
      </c>
      <c r="C3693" t="s">
        <v>37</v>
      </c>
      <c r="D3693">
        <v>5.222359</v>
      </c>
      <c r="E3693">
        <v>0.61361980000000005</v>
      </c>
      <c r="F3693" t="s">
        <v>71</v>
      </c>
      <c r="G3693">
        <v>-199.0061</v>
      </c>
      <c r="H3693" s="1">
        <v>-1.4023189999999899E-5</v>
      </c>
      <c r="I3693">
        <v>155.8236</v>
      </c>
      <c r="J3693">
        <v>-192.09809999999999</v>
      </c>
      <c r="K3693">
        <v>1.098004</v>
      </c>
      <c r="L3693">
        <v>162.93899999999999</v>
      </c>
      <c r="M3693">
        <v>-0.30572959999999999</v>
      </c>
      <c r="N3693">
        <v>0</v>
      </c>
      <c r="O3693">
        <v>-0.95200750000000001</v>
      </c>
      <c r="P3693">
        <v>-0.45910820000000002</v>
      </c>
      <c r="Q3693">
        <v>-2.329094E-2</v>
      </c>
      <c r="R3693">
        <v>-0.88807510000000001</v>
      </c>
      <c r="S3693">
        <v>-2.1531980000000002</v>
      </c>
      <c r="T3693">
        <v>-0.33805679999999999</v>
      </c>
      <c r="U3693">
        <v>-2.264221</v>
      </c>
      <c r="V3693">
        <v>0.1654273</v>
      </c>
      <c r="W3693">
        <v>-1.144439E-2</v>
      </c>
      <c r="X3693">
        <v>0.98615560000000002</v>
      </c>
      <c r="Y3693">
        <v>0.43024579999999901</v>
      </c>
      <c r="Z3693">
        <v>0.109910199999999</v>
      </c>
      <c r="AA3693">
        <v>0.89599569999999995</v>
      </c>
      <c r="AB3693">
        <v>24</v>
      </c>
      <c r="AC3693">
        <v>-6.9080000000000101</v>
      </c>
      <c r="AD3693">
        <v>-1.0980180231900001</v>
      </c>
      <c r="AE3693">
        <v>-7.1153999999999904</v>
      </c>
      <c r="AF3693">
        <v>4.3482399673837202</v>
      </c>
      <c r="AG3693">
        <v>-1.0980180231900001</v>
      </c>
      <c r="AH3693">
        <v>8.7792100197056104</v>
      </c>
      <c r="AI3693">
        <v>96.394833538009706</v>
      </c>
      <c r="AJ3693">
        <v>63.651324216084497</v>
      </c>
      <c r="AK3693">
        <v>9.8583651262926306</v>
      </c>
    </row>
    <row r="3694" spans="1:37" x14ac:dyDescent="0.2">
      <c r="A3694" t="str">
        <f>"20200111155922954"</f>
        <v>20200111155922954</v>
      </c>
      <c r="B3694" t="str">
        <f>"1578729562946085"</f>
        <v>1578729562946085</v>
      </c>
      <c r="C3694" t="s">
        <v>37</v>
      </c>
      <c r="D3694">
        <v>5.2282229999999998</v>
      </c>
      <c r="E3694">
        <v>0.61267879999999997</v>
      </c>
      <c r="F3694" t="s">
        <v>71</v>
      </c>
      <c r="G3694">
        <v>-199.14189999999999</v>
      </c>
      <c r="H3694" s="1">
        <v>-1.397215E-5</v>
      </c>
      <c r="I3694">
        <v>155.6207</v>
      </c>
      <c r="J3694">
        <v>-192.17859999999999</v>
      </c>
      <c r="K3694">
        <v>1.098007</v>
      </c>
      <c r="L3694">
        <v>162.7208</v>
      </c>
      <c r="M3694">
        <v>-0.31410559999999998</v>
      </c>
      <c r="N3694">
        <v>0</v>
      </c>
      <c r="O3694">
        <v>-0.94927669999999997</v>
      </c>
      <c r="P3694">
        <v>-0.46553069999999902</v>
      </c>
      <c r="Q3694">
        <v>-2.1583359999999999E-2</v>
      </c>
      <c r="R3694">
        <v>-0.88476860000000002</v>
      </c>
      <c r="S3694">
        <v>-2.1654209999999998</v>
      </c>
      <c r="T3694">
        <v>-0.3375571</v>
      </c>
      <c r="U3694">
        <v>-2.2498019999999999</v>
      </c>
      <c r="V3694">
        <v>0.16389629999999999</v>
      </c>
      <c r="W3694">
        <v>-9.7058040000000002E-3</v>
      </c>
      <c r="X3694">
        <v>0.98642980000000002</v>
      </c>
      <c r="Y3694">
        <v>0.4277089</v>
      </c>
      <c r="Z3694">
        <v>0.10968029999999999</v>
      </c>
      <c r="AA3694">
        <v>0.89723759999999997</v>
      </c>
      <c r="AB3694">
        <v>24</v>
      </c>
      <c r="AC3694">
        <v>-6.9633000000000003</v>
      </c>
      <c r="AD3694">
        <v>-1.0980209721500001</v>
      </c>
      <c r="AE3694">
        <v>-7.1000999999999896</v>
      </c>
      <c r="AF3694">
        <v>4.3276234811489598</v>
      </c>
      <c r="AG3694">
        <v>-1.0980209721500001</v>
      </c>
      <c r="AH3694">
        <v>8.8205855302730907</v>
      </c>
      <c r="AI3694">
        <v>96.376779152722605</v>
      </c>
      <c r="AJ3694">
        <v>63.866152422398002</v>
      </c>
      <c r="AK3694">
        <v>9.8861875435749305</v>
      </c>
    </row>
    <row r="3695" spans="1:37" x14ac:dyDescent="0.2">
      <c r="A3695" t="str">
        <f>"20200111155922978"</f>
        <v>20200111155922978</v>
      </c>
      <c r="B3695" t="str">
        <f>"1578729562965605"</f>
        <v>1578729562965605</v>
      </c>
      <c r="C3695" t="s">
        <v>37</v>
      </c>
      <c r="D3695">
        <v>5.3439829999999997</v>
      </c>
      <c r="E3695">
        <v>0.611981</v>
      </c>
      <c r="F3695" t="s">
        <v>71</v>
      </c>
      <c r="G3695">
        <v>-199.37690000000001</v>
      </c>
      <c r="H3695" s="1">
        <v>-1.38951E-5</v>
      </c>
      <c r="I3695">
        <v>155.31450000000001</v>
      </c>
      <c r="J3695">
        <v>-192.26859999999999</v>
      </c>
      <c r="K3695">
        <v>1.0980049999999999</v>
      </c>
      <c r="L3695">
        <v>162.48400000000001</v>
      </c>
      <c r="M3695">
        <v>-0.32324150000000001</v>
      </c>
      <c r="N3695">
        <v>0</v>
      </c>
      <c r="O3695">
        <v>-0.94620479999999996</v>
      </c>
      <c r="P3695">
        <v>-0.47352269999999902</v>
      </c>
      <c r="Q3695">
        <v>-1.9033810000000002E-2</v>
      </c>
      <c r="R3695">
        <v>-0.88057640000000004</v>
      </c>
      <c r="S3695">
        <v>-2.1752319999999998</v>
      </c>
      <c r="T3695">
        <v>-0.3318062</v>
      </c>
      <c r="U3695">
        <v>-2.2380979999999999</v>
      </c>
      <c r="V3695">
        <v>0.16333879999999901</v>
      </c>
      <c r="W3695">
        <v>-7.143422E-3</v>
      </c>
      <c r="X3695">
        <v>0.98654419999999898</v>
      </c>
      <c r="Y3695">
        <v>0.4235196</v>
      </c>
      <c r="Z3695">
        <v>0.1076964</v>
      </c>
      <c r="AA3695">
        <v>0.89946250000000005</v>
      </c>
      <c r="AB3695">
        <v>24</v>
      </c>
      <c r="AC3695">
        <v>-7.1083000000000096</v>
      </c>
      <c r="AD3695">
        <v>-1.0980188950999901</v>
      </c>
      <c r="AE3695">
        <v>-7.1694999999999904</v>
      </c>
      <c r="AF3695">
        <v>4.35735400872694</v>
      </c>
      <c r="AG3695">
        <v>-1.0980188950999901</v>
      </c>
      <c r="AH3695">
        <v>8.9762994160714893</v>
      </c>
      <c r="AI3695">
        <v>96.279788539268907</v>
      </c>
      <c r="AJ3695">
        <v>64.106729547490005</v>
      </c>
      <c r="AK3695">
        <v>10.038233443107901</v>
      </c>
    </row>
    <row r="3696" spans="1:37" x14ac:dyDescent="0.2">
      <c r="A3696" t="str">
        <f>"20200111155923000"</f>
        <v>20200111155923000</v>
      </c>
      <c r="B3696" t="str">
        <f>"1578729562995861"</f>
        <v>1578729562995861</v>
      </c>
      <c r="C3696" t="s">
        <v>37</v>
      </c>
      <c r="D3696">
        <v>5.2953330000000003</v>
      </c>
      <c r="E3696">
        <v>0.61072439999999995</v>
      </c>
      <c r="F3696" t="s">
        <v>71</v>
      </c>
      <c r="G3696">
        <v>-199.6986</v>
      </c>
      <c r="H3696" s="1">
        <v>-1.380269E-5</v>
      </c>
      <c r="I3696">
        <v>154.94720000000001</v>
      </c>
      <c r="J3696">
        <v>-192.35849999999999</v>
      </c>
      <c r="K3696">
        <v>1.0979969999999999</v>
      </c>
      <c r="L3696">
        <v>162.25389999999999</v>
      </c>
      <c r="M3696">
        <v>-0.33216009999999901</v>
      </c>
      <c r="N3696">
        <v>0</v>
      </c>
      <c r="O3696">
        <v>-0.94311080000000003</v>
      </c>
      <c r="P3696">
        <v>-0.48188500000000001</v>
      </c>
      <c r="Q3696">
        <v>-1.632948E-2</v>
      </c>
      <c r="R3696">
        <v>-0.87608240000000004</v>
      </c>
      <c r="S3696">
        <v>-2.1904599999999999</v>
      </c>
      <c r="T3696">
        <v>-0.32371</v>
      </c>
      <c r="U3696">
        <v>-2.2219389999999999</v>
      </c>
      <c r="V3696">
        <v>0.16344029999999901</v>
      </c>
      <c r="W3696">
        <v>-4.4397259999999997E-3</v>
      </c>
      <c r="X3696">
        <v>0.98654319999999895</v>
      </c>
      <c r="Y3696">
        <v>0.42157990000000001</v>
      </c>
      <c r="Z3696">
        <v>0.1049728</v>
      </c>
      <c r="AA3696">
        <v>0.90069480000000002</v>
      </c>
      <c r="AB3696">
        <v>24</v>
      </c>
      <c r="AC3696">
        <v>-7.3400999999999996</v>
      </c>
      <c r="AD3696">
        <v>-1.09801080269</v>
      </c>
      <c r="AE3696">
        <v>-7.30669999999997</v>
      </c>
      <c r="AF3696">
        <v>4.4460370706076002</v>
      </c>
      <c r="AG3696">
        <v>-1.09801080269</v>
      </c>
      <c r="AH3696">
        <v>9.2264014536432395</v>
      </c>
      <c r="AI3696">
        <v>96.119258688066097</v>
      </c>
      <c r="AJ3696">
        <v>64.271418402637806</v>
      </c>
      <c r="AK3696">
        <v>10.300454220073499</v>
      </c>
    </row>
    <row r="3697" spans="1:37" x14ac:dyDescent="0.2">
      <c r="A3697" t="str">
        <f>"20200111155923023"</f>
        <v>20200111155923023</v>
      </c>
      <c r="B3697" t="str">
        <f>"1578729563015380"</f>
        <v>1578729563015380</v>
      </c>
      <c r="C3697" t="s">
        <v>37</v>
      </c>
      <c r="D3697">
        <v>5.2522099999999998</v>
      </c>
      <c r="E3697">
        <v>0.60858040000000002</v>
      </c>
      <c r="F3697" t="s">
        <v>71</v>
      </c>
      <c r="G3697">
        <v>-199.95779999999999</v>
      </c>
      <c r="H3697">
        <v>1.2501419999999999E-2</v>
      </c>
      <c r="I3697">
        <v>154.64179999999999</v>
      </c>
      <c r="J3697">
        <v>-192.4538</v>
      </c>
      <c r="K3697">
        <v>1.097996</v>
      </c>
      <c r="L3697">
        <v>162.01679999999999</v>
      </c>
      <c r="M3697">
        <v>-0.34140379999999998</v>
      </c>
      <c r="N3697">
        <v>0</v>
      </c>
      <c r="O3697">
        <v>-0.93980399999999997</v>
      </c>
      <c r="P3697">
        <v>-0.49180859999999899</v>
      </c>
      <c r="Q3697">
        <v>-1.282753E-2</v>
      </c>
      <c r="R3697">
        <v>-0.87060919999999897</v>
      </c>
      <c r="S3697">
        <v>-2.2030180000000001</v>
      </c>
      <c r="T3697">
        <v>-0.3146832</v>
      </c>
      <c r="U3697">
        <v>-2.20672599999999</v>
      </c>
      <c r="V3697">
        <v>0.16499620000000001</v>
      </c>
      <c r="W3697">
        <v>-9.6530140000000003E-4</v>
      </c>
      <c r="X3697">
        <v>0.98629369999999905</v>
      </c>
      <c r="Y3697">
        <v>0.4185797</v>
      </c>
      <c r="Z3697">
        <v>0.1019515</v>
      </c>
      <c r="AA3697">
        <v>0.9024394</v>
      </c>
      <c r="AB3697">
        <v>24</v>
      </c>
      <c r="AC3697">
        <v>-7.5039999999999898</v>
      </c>
      <c r="AD3697">
        <v>-1.08549458</v>
      </c>
      <c r="AE3697">
        <v>-7.375</v>
      </c>
      <c r="AF3697">
        <v>4.4871553448696702</v>
      </c>
      <c r="AG3697">
        <v>-1.08549458</v>
      </c>
      <c r="AH3697">
        <v>9.3939650538723196</v>
      </c>
      <c r="AI3697">
        <v>95.952603290571105</v>
      </c>
      <c r="AJ3697">
        <v>64.467891063169702</v>
      </c>
      <c r="AK3697">
        <v>10.4670645839975</v>
      </c>
    </row>
    <row r="3698" spans="1:37" x14ac:dyDescent="0.2">
      <c r="A3698" t="str">
        <f>"20200111155923044"</f>
        <v>20200111155923044</v>
      </c>
      <c r="B3698" t="str">
        <f>"1578729563035877"</f>
        <v>1578729563035877</v>
      </c>
      <c r="C3698" t="s">
        <v>37</v>
      </c>
      <c r="D3698">
        <v>5.4208160000000003</v>
      </c>
      <c r="E3698">
        <v>0.54389719999999997</v>
      </c>
      <c r="F3698" t="s">
        <v>71</v>
      </c>
      <c r="G3698">
        <v>-199.97749999999999</v>
      </c>
      <c r="H3698">
        <v>6.9688860000000005E-2</v>
      </c>
      <c r="I3698">
        <v>154.56809999999999</v>
      </c>
      <c r="J3698">
        <v>-192.5421</v>
      </c>
      <c r="K3698">
        <v>1.0980019999999999</v>
      </c>
      <c r="L3698">
        <v>161.8032</v>
      </c>
      <c r="M3698">
        <v>-0.3497768</v>
      </c>
      <c r="N3698">
        <v>0</v>
      </c>
      <c r="O3698">
        <v>-0.93672</v>
      </c>
      <c r="P3698">
        <v>-0.5019093</v>
      </c>
      <c r="Q3698">
        <v>-1.0412670000000001E-2</v>
      </c>
      <c r="R3698">
        <v>-0.86485780000000001</v>
      </c>
      <c r="S3698">
        <v>-2.2132259999999899</v>
      </c>
      <c r="T3698">
        <v>-0.30249490000000001</v>
      </c>
      <c r="U3698">
        <v>-2.191147</v>
      </c>
      <c r="V3698">
        <v>0.1676996</v>
      </c>
      <c r="W3698">
        <v>1.4002960000000001E-3</v>
      </c>
      <c r="X3698">
        <v>0.98583719999999997</v>
      </c>
      <c r="Y3698">
        <v>0.4160566</v>
      </c>
      <c r="Z3698">
        <v>9.7985459999999996E-2</v>
      </c>
      <c r="AA3698">
        <v>0.90404409999999902</v>
      </c>
      <c r="AB3698">
        <v>24</v>
      </c>
      <c r="AC3698">
        <v>-7.43539999999998</v>
      </c>
      <c r="AD3698">
        <v>-1.0283131400000001</v>
      </c>
      <c r="AE3698">
        <v>-7.2351000000000099</v>
      </c>
      <c r="AF3698">
        <v>4.3915428254647404</v>
      </c>
      <c r="AG3698">
        <v>-1.0283131400000001</v>
      </c>
      <c r="AH3698">
        <v>9.2877394301831995</v>
      </c>
      <c r="AI3698">
        <v>95.715832034895499</v>
      </c>
      <c r="AJ3698">
        <v>64.693704964044599</v>
      </c>
      <c r="AK3698">
        <v>10.32497845154</v>
      </c>
    </row>
    <row r="3699" spans="1:37" x14ac:dyDescent="0.2">
      <c r="A3699" t="str">
        <f>"20200111155923067"</f>
        <v>20200111155923067</v>
      </c>
      <c r="B3699" t="str">
        <f>"1578729563055767"</f>
        <v>1578729563055767</v>
      </c>
      <c r="C3699" t="s">
        <v>37</v>
      </c>
      <c r="D3699">
        <v>5.2024999999999997</v>
      </c>
      <c r="E3699">
        <v>0.54349179999999997</v>
      </c>
      <c r="F3699" t="s">
        <v>71</v>
      </c>
      <c r="G3699">
        <v>-198.38149999999999</v>
      </c>
      <c r="H3699" s="1">
        <v>-1.33944E-5</v>
      </c>
      <c r="I3699">
        <v>153.8801</v>
      </c>
      <c r="J3699">
        <v>-192.63640000000001</v>
      </c>
      <c r="K3699">
        <v>1.0980030000000001</v>
      </c>
      <c r="L3699">
        <v>161.58150000000001</v>
      </c>
      <c r="M3699">
        <v>-0.3585216</v>
      </c>
      <c r="N3699">
        <v>0</v>
      </c>
      <c r="O3699">
        <v>-0.93340780000000001</v>
      </c>
      <c r="P3699">
        <v>-0.51323129999999995</v>
      </c>
      <c r="Q3699">
        <v>-7.0877300000000004E-3</v>
      </c>
      <c r="R3699">
        <v>-0.85822129999999996</v>
      </c>
      <c r="S3699">
        <v>-1.7885439999999999</v>
      </c>
      <c r="T3699">
        <v>-0.33631309999999998</v>
      </c>
      <c r="U3699">
        <v>-2.4267729999999998</v>
      </c>
      <c r="V3699">
        <v>0.17147219999999999</v>
      </c>
      <c r="W3699">
        <v>4.657553E-3</v>
      </c>
      <c r="X3699">
        <v>0.98517790000000005</v>
      </c>
      <c r="Y3699">
        <v>0.26146049999999998</v>
      </c>
      <c r="Z3699">
        <v>0.10885009999999901</v>
      </c>
      <c r="AA3699">
        <v>0.95905689999999999</v>
      </c>
      <c r="AB3699">
        <v>24</v>
      </c>
      <c r="AC3699">
        <v>-5.7450999999999697</v>
      </c>
      <c r="AD3699">
        <v>-1.0980163944000001</v>
      </c>
      <c r="AE3699">
        <v>-7.7013999999999996</v>
      </c>
      <c r="AF3699">
        <v>2.56813979636373</v>
      </c>
      <c r="AG3699">
        <v>-1.0980163944000001</v>
      </c>
      <c r="AH3699">
        <v>9.1300350751345807</v>
      </c>
      <c r="AI3699">
        <v>96.603813605443506</v>
      </c>
      <c r="AJ3699">
        <v>74.289516161506697</v>
      </c>
      <c r="AK3699">
        <v>9.5476972348952298</v>
      </c>
    </row>
    <row r="3700" spans="1:37" x14ac:dyDescent="0.2">
      <c r="A3700" t="str">
        <f>"20200111155923088"</f>
        <v>20200111155923088</v>
      </c>
      <c r="B3700" t="str">
        <f>"1578729563086051"</f>
        <v>1578729563086051</v>
      </c>
      <c r="C3700" t="s">
        <v>37</v>
      </c>
      <c r="D3700">
        <v>5.4001900000000003</v>
      </c>
      <c r="E3700">
        <v>0.54152230000000001</v>
      </c>
      <c r="F3700" t="s">
        <v>71</v>
      </c>
      <c r="G3700">
        <v>-198.5444</v>
      </c>
      <c r="H3700" s="1">
        <v>-1.3378E-5</v>
      </c>
      <c r="I3700">
        <v>153.75749999999999</v>
      </c>
      <c r="J3700">
        <v>-192.73589999999999</v>
      </c>
      <c r="K3700">
        <v>1.0980110000000001</v>
      </c>
      <c r="L3700">
        <v>161.3537</v>
      </c>
      <c r="M3700">
        <v>-0.3675602</v>
      </c>
      <c r="N3700">
        <v>0</v>
      </c>
      <c r="O3700">
        <v>-0.92988559999999998</v>
      </c>
      <c r="P3700">
        <v>-0.52490559999999997</v>
      </c>
      <c r="Q3700">
        <v>-4.1417440000000002E-3</v>
      </c>
      <c r="R3700">
        <v>-0.85115039999999997</v>
      </c>
      <c r="S3700">
        <v>-1.816986</v>
      </c>
      <c r="T3700">
        <v>-0.3376865</v>
      </c>
      <c r="U3700">
        <v>-2.4062039999999998</v>
      </c>
      <c r="V3700">
        <v>0.17540720000000001</v>
      </c>
      <c r="W3700">
        <v>7.5328289999999996E-3</v>
      </c>
      <c r="X3700">
        <v>0.98446710000000004</v>
      </c>
      <c r="Y3700">
        <v>0.26324350000000002</v>
      </c>
      <c r="Z3700">
        <v>0.109054</v>
      </c>
      <c r="AA3700">
        <v>0.9585458</v>
      </c>
      <c r="AB3700">
        <v>24</v>
      </c>
      <c r="AC3700">
        <v>-5.8085000000000004</v>
      </c>
      <c r="AD3700">
        <v>-1.0980243780000001</v>
      </c>
      <c r="AE3700">
        <v>-7.5961999999999996</v>
      </c>
      <c r="AF3700">
        <v>2.57549848743085</v>
      </c>
      <c r="AG3700">
        <v>-1.0980243780000001</v>
      </c>
      <c r="AH3700">
        <v>9.0798284401300098</v>
      </c>
      <c r="AI3700">
        <v>96.635980368310797</v>
      </c>
      <c r="AJ3700">
        <v>74.163981999199507</v>
      </c>
      <c r="AK3700">
        <v>9.5016911387202398</v>
      </c>
    </row>
    <row r="3701" spans="1:37" x14ac:dyDescent="0.2">
      <c r="A3701" t="str">
        <f>"20200111155923112"</f>
        <v>20200111155923112</v>
      </c>
      <c r="B3701" t="str">
        <f>"1578729563105571"</f>
        <v>1578729563105571</v>
      </c>
      <c r="C3701" t="s">
        <v>37</v>
      </c>
      <c r="D3701">
        <v>5.1728459999999998</v>
      </c>
      <c r="E3701">
        <v>0.54212830000000001</v>
      </c>
      <c r="F3701" t="s">
        <v>71</v>
      </c>
      <c r="G3701">
        <v>-198.69730000000001</v>
      </c>
      <c r="H3701" s="1">
        <v>-1.334911E-5</v>
      </c>
      <c r="I3701">
        <v>153.58879999999999</v>
      </c>
      <c r="J3701">
        <v>-192.83930000000001</v>
      </c>
      <c r="K3701">
        <v>1.0980219999999901</v>
      </c>
      <c r="L3701">
        <v>161.12299999999999</v>
      </c>
      <c r="M3701">
        <v>-0.3767509</v>
      </c>
      <c r="N3701">
        <v>0</v>
      </c>
      <c r="O3701">
        <v>-0.92619989999999996</v>
      </c>
      <c r="P3701">
        <v>-0.53627969999999903</v>
      </c>
      <c r="Q3701">
        <v>-1.002008E-3</v>
      </c>
      <c r="R3701">
        <v>-0.8440396</v>
      </c>
      <c r="S3701">
        <v>-1.8356319999999999</v>
      </c>
      <c r="T3701">
        <v>-0.33809919999999999</v>
      </c>
      <c r="U3701">
        <v>-2.3909150000000001</v>
      </c>
      <c r="V3701">
        <v>0.1789113</v>
      </c>
      <c r="W3701">
        <v>1.061164E-2</v>
      </c>
      <c r="X3701">
        <v>0.98380800000000002</v>
      </c>
      <c r="Y3701">
        <v>0.26135749999999902</v>
      </c>
      <c r="Z3701">
        <v>0.1089039</v>
      </c>
      <c r="AA3701">
        <v>0.95907880000000001</v>
      </c>
      <c r="AB3701">
        <v>24</v>
      </c>
      <c r="AC3701">
        <v>-5.8579999999999997</v>
      </c>
      <c r="AD3701">
        <v>-1.0980353491099999</v>
      </c>
      <c r="AE3701">
        <v>-7.5341999999999896</v>
      </c>
      <c r="AF3701">
        <v>2.55363343643491</v>
      </c>
      <c r="AG3701">
        <v>-1.0980353491099999</v>
      </c>
      <c r="AH3701">
        <v>9.0661445046354103</v>
      </c>
      <c r="AI3701">
        <v>96.649393207928597</v>
      </c>
      <c r="AJ3701">
        <v>74.269225307194603</v>
      </c>
      <c r="AK3701">
        <v>9.4827053911056591</v>
      </c>
    </row>
    <row r="3702" spans="1:37" x14ac:dyDescent="0.2">
      <c r="A3702" t="str">
        <f>"20200111155923134"</f>
        <v>20200111155923134</v>
      </c>
      <c r="B3702" t="str">
        <f>"1578729563126066"</f>
        <v>1578729563126066</v>
      </c>
      <c r="C3702" t="s">
        <v>37</v>
      </c>
      <c r="D3702">
        <v>5.1947199999999896</v>
      </c>
      <c r="E3702">
        <v>0.542077699999999</v>
      </c>
      <c r="F3702" t="s">
        <v>71</v>
      </c>
      <c r="G3702">
        <v>-199.08770000000001</v>
      </c>
      <c r="H3702" s="1">
        <v>-1.329339E-5</v>
      </c>
      <c r="I3702">
        <v>153.22980000000001</v>
      </c>
      <c r="J3702">
        <v>-192.93899999999999</v>
      </c>
      <c r="K3702">
        <v>1.0980350000000001</v>
      </c>
      <c r="L3702">
        <v>160.90639999999999</v>
      </c>
      <c r="M3702">
        <v>-0.38540930000000001</v>
      </c>
      <c r="N3702">
        <v>0</v>
      </c>
      <c r="O3702">
        <v>-0.92263069999999903</v>
      </c>
      <c r="P3702">
        <v>-0.54696440000000002</v>
      </c>
      <c r="Q3702">
        <v>1.5576909999999999E-3</v>
      </c>
      <c r="R3702">
        <v>-0.83715450000000002</v>
      </c>
      <c r="S3702">
        <v>-1.871872</v>
      </c>
      <c r="T3702">
        <v>-0.32894519999999999</v>
      </c>
      <c r="U3702">
        <v>-2.3646090000000002</v>
      </c>
      <c r="V3702">
        <v>0.1822396</v>
      </c>
      <c r="W3702">
        <v>1.3114860000000001E-2</v>
      </c>
      <c r="X3702">
        <v>0.98316669999999995</v>
      </c>
      <c r="Y3702">
        <v>0.26677059999999903</v>
      </c>
      <c r="Z3702">
        <v>0.10579369999999901</v>
      </c>
      <c r="AA3702">
        <v>0.95793589999999995</v>
      </c>
      <c r="AB3702">
        <v>24</v>
      </c>
      <c r="AC3702">
        <v>-6.1486999999999901</v>
      </c>
      <c r="AD3702">
        <v>-1.09804829339</v>
      </c>
      <c r="AE3702">
        <v>-7.6765999999999703</v>
      </c>
      <c r="AF3702">
        <v>2.6812162448404901</v>
      </c>
      <c r="AG3702">
        <v>-1.09804829339</v>
      </c>
      <c r="AH3702">
        <v>9.33706078920126</v>
      </c>
      <c r="AI3702">
        <v>96.448942992032499</v>
      </c>
      <c r="AJ3702">
        <v>73.978131733634498</v>
      </c>
      <c r="AK3702">
        <v>9.77626384604328</v>
      </c>
    </row>
    <row r="3703" spans="1:37" x14ac:dyDescent="0.2">
      <c r="A3703" t="str">
        <f>"20200111155923156"</f>
        <v>20200111155923156</v>
      </c>
      <c r="B3703" t="str">
        <f>"1578729563146093"</f>
        <v>1578729563146093</v>
      </c>
      <c r="C3703" t="s">
        <v>37</v>
      </c>
      <c r="D3703">
        <v>5.1899660000000001</v>
      </c>
      <c r="E3703">
        <v>0.54157200000000005</v>
      </c>
      <c r="F3703" t="s">
        <v>71</v>
      </c>
      <c r="G3703">
        <v>-199.41720000000001</v>
      </c>
      <c r="H3703" s="1">
        <v>-1.324632E-5</v>
      </c>
      <c r="I3703">
        <v>152.9265</v>
      </c>
      <c r="J3703">
        <v>-193.0412</v>
      </c>
      <c r="K3703">
        <v>1.09805</v>
      </c>
      <c r="L3703">
        <v>160.68960000000001</v>
      </c>
      <c r="M3703">
        <v>-0.39409820000000001</v>
      </c>
      <c r="N3703">
        <v>0</v>
      </c>
      <c r="O3703">
        <v>-0.91895289999999996</v>
      </c>
      <c r="P3703">
        <v>-0.55698149999999902</v>
      </c>
      <c r="Q3703">
        <v>3.0841599999999999E-3</v>
      </c>
      <c r="R3703">
        <v>-0.83051939999999902</v>
      </c>
      <c r="S3703">
        <v>-1.90126</v>
      </c>
      <c r="T3703">
        <v>-0.32226090000000002</v>
      </c>
      <c r="U3703">
        <v>-2.3419650000000001</v>
      </c>
      <c r="V3703">
        <v>0.18479699999999999</v>
      </c>
      <c r="W3703">
        <v>1.460006E-2</v>
      </c>
      <c r="X3703">
        <v>0.98266830000000005</v>
      </c>
      <c r="Y3703">
        <v>0.269621</v>
      </c>
      <c r="Z3703">
        <v>0.103441899999999</v>
      </c>
      <c r="AA3703">
        <v>0.95739449999999904</v>
      </c>
      <c r="AB3703">
        <v>24</v>
      </c>
      <c r="AC3703">
        <v>-6.3760000000000003</v>
      </c>
      <c r="AD3703">
        <v>-1.09806324632</v>
      </c>
      <c r="AE3703">
        <v>-7.7630999999999997</v>
      </c>
      <c r="AF3703">
        <v>2.7670572838135601</v>
      </c>
      <c r="AG3703">
        <v>-1.09806324632</v>
      </c>
      <c r="AH3703">
        <v>9.5338106106406197</v>
      </c>
      <c r="AI3703">
        <v>96.311891005492797</v>
      </c>
      <c r="AJ3703">
        <v>73.815356587276895</v>
      </c>
      <c r="AK3703">
        <v>9.9877872256265103</v>
      </c>
    </row>
    <row r="3704" spans="1:37" x14ac:dyDescent="0.2">
      <c r="A3704" t="str">
        <f>"20200111155923179"</f>
        <v>20200111155923179</v>
      </c>
      <c r="B3704" t="str">
        <f>"1578729563175374"</f>
        <v>1578729563175374</v>
      </c>
      <c r="C3704" t="s">
        <v>37</v>
      </c>
      <c r="D3704">
        <v>5.406244</v>
      </c>
      <c r="E3704">
        <v>0.54079060000000001</v>
      </c>
      <c r="F3704" t="s">
        <v>71</v>
      </c>
      <c r="G3704">
        <v>-199.63929999999999</v>
      </c>
      <c r="H3704" s="1">
        <v>-1.3217290000000001E-5</v>
      </c>
      <c r="I3704">
        <v>152.7329</v>
      </c>
      <c r="J3704">
        <v>-193.14869999999999</v>
      </c>
      <c r="K3704">
        <v>1.098074</v>
      </c>
      <c r="L3704">
        <v>160.46709999999999</v>
      </c>
      <c r="M3704">
        <v>-0.40302850000000001</v>
      </c>
      <c r="N3704">
        <v>0</v>
      </c>
      <c r="O3704">
        <v>-0.91507139999999998</v>
      </c>
      <c r="P3704">
        <v>-0.5671564</v>
      </c>
      <c r="Q3704">
        <v>4.1563009999999899E-3</v>
      </c>
      <c r="R3704">
        <v>-0.82359959999999899</v>
      </c>
      <c r="S3704">
        <v>-1.9255519999999999</v>
      </c>
      <c r="T3704">
        <v>-0.32045220000000002</v>
      </c>
      <c r="U3704">
        <v>-2.3220369999999999</v>
      </c>
      <c r="V3704">
        <v>0.18733379999999999</v>
      </c>
      <c r="W3704">
        <v>1.5632770000000001E-2</v>
      </c>
      <c r="X3704">
        <v>0.98217189999999999</v>
      </c>
      <c r="Y3704">
        <v>0.27027139999999999</v>
      </c>
      <c r="Z3704">
        <v>0.1026035</v>
      </c>
      <c r="AA3704">
        <v>0.95730139999999997</v>
      </c>
      <c r="AB3704">
        <v>24</v>
      </c>
      <c r="AC3704">
        <v>-6.4905999999999997</v>
      </c>
      <c r="AD3704">
        <v>-1.09808721729</v>
      </c>
      <c r="AE3704">
        <v>-7.73419999999998</v>
      </c>
      <c r="AF3704">
        <v>2.7895646605008002</v>
      </c>
      <c r="AG3704">
        <v>-1.09808721729</v>
      </c>
      <c r="AH3704">
        <v>9.5809496817760103</v>
      </c>
      <c r="AI3704">
        <v>96.279682424527493</v>
      </c>
      <c r="AJ3704">
        <v>73.766688739410597</v>
      </c>
      <c r="AK3704">
        <v>10.0390270114495</v>
      </c>
    </row>
    <row r="3705" spans="1:37" x14ac:dyDescent="0.2">
      <c r="A3705" t="str">
        <f>"20200111155923201"</f>
        <v>20200111155923201</v>
      </c>
      <c r="B3705" t="str">
        <f>"1578729563195870"</f>
        <v>1578729563195870</v>
      </c>
      <c r="C3705" t="s">
        <v>37</v>
      </c>
      <c r="D3705">
        <v>5.2674849999999998</v>
      </c>
      <c r="E3705">
        <v>0.54059480000000004</v>
      </c>
      <c r="F3705" t="s">
        <v>71</v>
      </c>
      <c r="G3705">
        <v>-199.80080000000001</v>
      </c>
      <c r="H3705" s="1">
        <v>-1.3200199999999999E-5</v>
      </c>
      <c r="I3705">
        <v>152.608</v>
      </c>
      <c r="J3705">
        <v>-193.25799999999899</v>
      </c>
      <c r="K3705">
        <v>1.0980989999999999</v>
      </c>
      <c r="L3705">
        <v>160.24639999999999</v>
      </c>
      <c r="M3705">
        <v>-0.41189629999999999</v>
      </c>
      <c r="N3705">
        <v>0</v>
      </c>
      <c r="O3705">
        <v>-0.91111430000000004</v>
      </c>
      <c r="P3705">
        <v>-0.5768259</v>
      </c>
      <c r="Q3705">
        <v>4.9232540000000002E-3</v>
      </c>
      <c r="R3705">
        <v>-0.81685240000000003</v>
      </c>
      <c r="S3705">
        <v>-1.94866899999999</v>
      </c>
      <c r="T3705">
        <v>-0.32167649999999998</v>
      </c>
      <c r="U3705">
        <v>-2.3022610000000001</v>
      </c>
      <c r="V3705">
        <v>0.189386</v>
      </c>
      <c r="W3705">
        <v>1.6370340000000001E-2</v>
      </c>
      <c r="X3705">
        <v>0.98176620000000003</v>
      </c>
      <c r="Y3705">
        <v>0.27056249999999998</v>
      </c>
      <c r="Z3705">
        <v>0.1027211</v>
      </c>
      <c r="AA3705">
        <v>0.95720649999999996</v>
      </c>
      <c r="AB3705">
        <v>24</v>
      </c>
      <c r="AC3705">
        <v>-6.5428000000000202</v>
      </c>
      <c r="AD3705">
        <v>-1.0981122001999899</v>
      </c>
      <c r="AE3705">
        <v>-7.6383999999999901</v>
      </c>
      <c r="AF3705">
        <v>2.7821426753435201</v>
      </c>
      <c r="AG3705">
        <v>-1.0981122001999899</v>
      </c>
      <c r="AH3705">
        <v>9.54168838306426</v>
      </c>
      <c r="AI3705">
        <v>96.304750332862199</v>
      </c>
      <c r="AJ3705">
        <v>73.744498037607599</v>
      </c>
      <c r="AK3705">
        <v>9.9994992609479798</v>
      </c>
    </row>
    <row r="3706" spans="1:37" x14ac:dyDescent="0.2">
      <c r="A3706" t="str">
        <f>"20200111155923223"</f>
        <v>20200111155923223</v>
      </c>
      <c r="B3706" t="str">
        <f>"1578729563215389"</f>
        <v>1578729563215389</v>
      </c>
      <c r="C3706" t="s">
        <v>37</v>
      </c>
      <c r="D3706">
        <v>5.1830610000000004</v>
      </c>
      <c r="E3706">
        <v>0.54077509999999995</v>
      </c>
      <c r="F3706" t="s">
        <v>71</v>
      </c>
      <c r="G3706">
        <v>-200.01830000000001</v>
      </c>
      <c r="H3706" s="1">
        <v>-1.3142100000000001E-5</v>
      </c>
      <c r="I3706">
        <v>152.43899999999999</v>
      </c>
      <c r="J3706">
        <v>-193.3664</v>
      </c>
      <c r="K3706">
        <v>1.0981190000000001</v>
      </c>
      <c r="L3706">
        <v>160.03270000000001</v>
      </c>
      <c r="M3706">
        <v>-0.42048540000000001</v>
      </c>
      <c r="N3706">
        <v>0</v>
      </c>
      <c r="O3706">
        <v>-0.90718220000000005</v>
      </c>
      <c r="P3706">
        <v>-0.58565210000000001</v>
      </c>
      <c r="Q3706">
        <v>5.6105440000000003E-3</v>
      </c>
      <c r="R3706">
        <v>-0.81054320000000002</v>
      </c>
      <c r="S3706">
        <v>-1.97444199999999</v>
      </c>
      <c r="T3706">
        <v>-0.32072030000000001</v>
      </c>
      <c r="U3706">
        <v>-2.28027299999999</v>
      </c>
      <c r="V3706">
        <v>0.1907713</v>
      </c>
      <c r="W3706">
        <v>1.7039729999999999E-2</v>
      </c>
      <c r="X3706">
        <v>0.98148659999999999</v>
      </c>
      <c r="Y3706">
        <v>0.2722542</v>
      </c>
      <c r="Z3706">
        <v>0.1021685</v>
      </c>
      <c r="AA3706">
        <v>0.95678589999999997</v>
      </c>
      <c r="AB3706">
        <v>24</v>
      </c>
      <c r="AC3706">
        <v>-6.6519000000000101</v>
      </c>
      <c r="AD3706">
        <v>-1.0981321421000001</v>
      </c>
      <c r="AE3706">
        <v>-7.5937000000000099</v>
      </c>
      <c r="AF3706">
        <v>2.8085149243571998</v>
      </c>
      <c r="AG3706">
        <v>-1.0981321421000001</v>
      </c>
      <c r="AH3706">
        <v>9.5736435194479501</v>
      </c>
      <c r="AI3706">
        <v>96.280996786835402</v>
      </c>
      <c r="AJ3706">
        <v>73.650471983653503</v>
      </c>
      <c r="AK3706">
        <v>10.037345292422501</v>
      </c>
    </row>
    <row r="3707" spans="1:37" x14ac:dyDescent="0.2">
      <c r="A3707" t="str">
        <f>"20200111155923246"</f>
        <v>20200111155923246</v>
      </c>
      <c r="B3707" t="str">
        <f>"1578729563235886"</f>
        <v>1578729563235886</v>
      </c>
      <c r="C3707" t="s">
        <v>37</v>
      </c>
      <c r="D3707">
        <v>5.1830410000000002</v>
      </c>
      <c r="E3707">
        <v>0.54068609999999995</v>
      </c>
      <c r="F3707" t="s">
        <v>71</v>
      </c>
      <c r="G3707">
        <v>-200.0247</v>
      </c>
      <c r="H3707">
        <v>4.1052190000000002E-2</v>
      </c>
      <c r="I3707">
        <v>152.5181</v>
      </c>
      <c r="J3707">
        <v>-193.476</v>
      </c>
      <c r="K3707">
        <v>1.098144</v>
      </c>
      <c r="L3707">
        <v>159.82140000000001</v>
      </c>
      <c r="M3707">
        <v>-0.42897639999999998</v>
      </c>
      <c r="N3707">
        <v>0</v>
      </c>
      <c r="O3707">
        <v>-0.90319819999999995</v>
      </c>
      <c r="P3707">
        <v>-0.59369269999999996</v>
      </c>
      <c r="Q3707">
        <v>6.6205300000000003E-3</v>
      </c>
      <c r="R3707">
        <v>-0.80466490000000002</v>
      </c>
      <c r="S3707">
        <v>-2.000626</v>
      </c>
      <c r="T3707">
        <v>-0.31761669999999997</v>
      </c>
      <c r="U3707">
        <v>-2.257889</v>
      </c>
      <c r="V3707">
        <v>0.191354</v>
      </c>
      <c r="W3707">
        <v>1.8045699999999901E-2</v>
      </c>
      <c r="X3707">
        <v>0.98135519999999998</v>
      </c>
      <c r="Y3707">
        <v>0.2742406</v>
      </c>
      <c r="Z3707">
        <v>0.10093149999999999</v>
      </c>
      <c r="AA3707">
        <v>0.95634979999999903</v>
      </c>
      <c r="AB3707">
        <v>24</v>
      </c>
      <c r="AC3707">
        <v>-6.5486999999999904</v>
      </c>
      <c r="AD3707">
        <v>-1.05709181</v>
      </c>
      <c r="AE3707">
        <v>-7.3033000000000001</v>
      </c>
      <c r="AF3707">
        <v>2.7501881236096302</v>
      </c>
      <c r="AG3707">
        <v>-1.05709181</v>
      </c>
      <c r="AH3707">
        <v>9.2985793552688207</v>
      </c>
      <c r="AI3707">
        <v>96.221529469442203</v>
      </c>
      <c r="AJ3707">
        <v>73.523662048748506</v>
      </c>
      <c r="AK3707">
        <v>9.7542070839327604</v>
      </c>
    </row>
    <row r="3708" spans="1:37" x14ac:dyDescent="0.2">
      <c r="A3708" t="str">
        <f>"20200111155923268"</f>
        <v>20200111155923268</v>
      </c>
      <c r="B3708" t="str">
        <f>"1578729563255405"</f>
        <v>1578729563255405</v>
      </c>
      <c r="C3708" t="s">
        <v>37</v>
      </c>
      <c r="D3708">
        <v>5.33291</v>
      </c>
      <c r="E3708">
        <v>0.54041380000000006</v>
      </c>
      <c r="F3708" t="s">
        <v>71</v>
      </c>
      <c r="G3708">
        <v>-200.05080000000001</v>
      </c>
      <c r="H3708">
        <v>7.8241469999999994E-2</v>
      </c>
      <c r="I3708">
        <v>152.54730000000001</v>
      </c>
      <c r="J3708">
        <v>-193.5881</v>
      </c>
      <c r="K3708">
        <v>1.0981590000000001</v>
      </c>
      <c r="L3708">
        <v>159.61070000000001</v>
      </c>
      <c r="M3708">
        <v>-0.43745059999999902</v>
      </c>
      <c r="N3708">
        <v>0</v>
      </c>
      <c r="O3708">
        <v>-0.89912440000000005</v>
      </c>
      <c r="P3708">
        <v>-0.60102440000000001</v>
      </c>
      <c r="Q3708">
        <v>7.2327719999999898E-3</v>
      </c>
      <c r="R3708">
        <v>-0.79919819999999997</v>
      </c>
      <c r="S3708">
        <v>-2.0230410000000001</v>
      </c>
      <c r="T3708">
        <v>-0.3138205</v>
      </c>
      <c r="U3708">
        <v>-2.238235</v>
      </c>
      <c r="V3708">
        <v>0.19110849999999999</v>
      </c>
      <c r="W3708">
        <v>1.86693E-2</v>
      </c>
      <c r="X3708">
        <v>0.98139140000000002</v>
      </c>
      <c r="Y3708">
        <v>0.27475229999999901</v>
      </c>
      <c r="Z3708">
        <v>9.9442080000000002E-2</v>
      </c>
      <c r="AA3708">
        <v>0.95635899999999996</v>
      </c>
      <c r="AB3708">
        <v>24</v>
      </c>
      <c r="AC3708">
        <v>-6.4627000000000097</v>
      </c>
      <c r="AD3708">
        <v>-1.0199175300000001</v>
      </c>
      <c r="AE3708">
        <v>-7.0633999999999997</v>
      </c>
      <c r="AF3708">
        <v>2.6906354055614901</v>
      </c>
      <c r="AG3708">
        <v>-1.0199175300000001</v>
      </c>
      <c r="AH3708">
        <v>9.0759581808839602</v>
      </c>
      <c r="AI3708">
        <v>96.149378898630303</v>
      </c>
      <c r="AJ3708">
        <v>73.487150834158498</v>
      </c>
      <c r="AK3708">
        <v>9.5211746940604396</v>
      </c>
    </row>
    <row r="3709" spans="1:37" x14ac:dyDescent="0.2">
      <c r="A3709" t="str">
        <f>"20200111155923291"</f>
        <v>20200111155923291</v>
      </c>
      <c r="B3709" t="str">
        <f>"1578729563285662"</f>
        <v>1578729563285662</v>
      </c>
      <c r="C3709" t="s">
        <v>37</v>
      </c>
      <c r="D3709">
        <v>5.4728779999999997</v>
      </c>
      <c r="E3709">
        <v>0.53927199999999997</v>
      </c>
      <c r="F3709" t="s">
        <v>71</v>
      </c>
      <c r="G3709">
        <v>-200.25550000000001</v>
      </c>
      <c r="H3709">
        <v>7.9984699999999895E-2</v>
      </c>
      <c r="I3709">
        <v>152.35990000000001</v>
      </c>
      <c r="J3709">
        <v>-193.70949999999999</v>
      </c>
      <c r="K3709">
        <v>1.0981809999999901</v>
      </c>
      <c r="L3709">
        <v>159.38759999999999</v>
      </c>
      <c r="M3709">
        <v>-0.44642549999999998</v>
      </c>
      <c r="N3709">
        <v>0</v>
      </c>
      <c r="O3709">
        <v>-0.89470229999999995</v>
      </c>
      <c r="P3709">
        <v>-0.60844419999999899</v>
      </c>
      <c r="Q3709">
        <v>7.6410489999999996E-3</v>
      </c>
      <c r="R3709">
        <v>-0.79356000000000004</v>
      </c>
      <c r="S3709">
        <v>-2.0421450000000001</v>
      </c>
      <c r="T3709">
        <v>-0.31185200000000002</v>
      </c>
      <c r="U3709">
        <v>-2.220825</v>
      </c>
      <c r="V3709">
        <v>0.19043850000000001</v>
      </c>
      <c r="W3709">
        <v>1.9096470000000001E-2</v>
      </c>
      <c r="X3709">
        <v>0.98151339999999998</v>
      </c>
      <c r="Y3709">
        <v>0.27338990000000002</v>
      </c>
      <c r="Z3709">
        <v>9.8467360000000004E-2</v>
      </c>
      <c r="AA3709">
        <v>0.95685010000000004</v>
      </c>
      <c r="AB3709">
        <v>24</v>
      </c>
      <c r="AC3709">
        <v>-6.5460000000000198</v>
      </c>
      <c r="AD3709">
        <v>-1.0181962999999901</v>
      </c>
      <c r="AE3709">
        <v>-7.0276999999999799</v>
      </c>
      <c r="AF3709">
        <v>2.6894370284998499</v>
      </c>
      <c r="AG3709">
        <v>-1.0181962999999901</v>
      </c>
      <c r="AH3709">
        <v>9.1086005921356996</v>
      </c>
      <c r="AI3709">
        <v>96.119219193077697</v>
      </c>
      <c r="AJ3709">
        <v>73.550054519289404</v>
      </c>
      <c r="AK3709">
        <v>9.55177470330276</v>
      </c>
    </row>
    <row r="3710" spans="1:37" x14ac:dyDescent="0.2">
      <c r="A3710" t="str">
        <f>"20200111155923312"</f>
        <v>20200111155923312</v>
      </c>
      <c r="B3710" t="str">
        <f>"1578729563306158"</f>
        <v>1578729563306158</v>
      </c>
      <c r="C3710" t="s">
        <v>37</v>
      </c>
      <c r="D3710">
        <v>5.3352019999999998</v>
      </c>
      <c r="E3710">
        <v>0.52489410000000003</v>
      </c>
      <c r="F3710" t="s">
        <v>71</v>
      </c>
      <c r="G3710">
        <v>-200.37280000000001</v>
      </c>
      <c r="H3710">
        <v>7.9984659999999999E-2</v>
      </c>
      <c r="I3710">
        <v>152.23480000000001</v>
      </c>
      <c r="J3710">
        <v>-193.8252</v>
      </c>
      <c r="K3710">
        <v>1.0982099999999999</v>
      </c>
      <c r="L3710">
        <v>159.1799</v>
      </c>
      <c r="M3710">
        <v>-0.45478590000000002</v>
      </c>
      <c r="N3710">
        <v>0</v>
      </c>
      <c r="O3710">
        <v>-0.89048169999999904</v>
      </c>
      <c r="P3710">
        <v>-0.61490610000000001</v>
      </c>
      <c r="Q3710">
        <v>6.9605669999999904E-3</v>
      </c>
      <c r="R3710">
        <v>-0.78856949999999904</v>
      </c>
      <c r="S3710">
        <v>-2.0560149999999999</v>
      </c>
      <c r="T3710">
        <v>-0.31417240000000002</v>
      </c>
      <c r="U3710">
        <v>-2.2070620000000001</v>
      </c>
      <c r="V3710">
        <v>0.18924869999999999</v>
      </c>
      <c r="W3710">
        <v>1.8443319999999999E-2</v>
      </c>
      <c r="X3710">
        <v>0.98175599999999996</v>
      </c>
      <c r="Y3710">
        <v>0.27053890000000003</v>
      </c>
      <c r="Z3710">
        <v>9.8829479999999997E-2</v>
      </c>
      <c r="AA3710">
        <v>0.9576228</v>
      </c>
      <c r="AB3710">
        <v>24</v>
      </c>
      <c r="AC3710">
        <v>-6.5476000000000099</v>
      </c>
      <c r="AD3710">
        <v>-1.0182253400000001</v>
      </c>
      <c r="AE3710">
        <v>-6.9450999999999903</v>
      </c>
      <c r="AF3710">
        <v>2.6421995670240199</v>
      </c>
      <c r="AG3710">
        <v>-1.0182253400000001</v>
      </c>
      <c r="AH3710">
        <v>9.0601082689791799</v>
      </c>
      <c r="AI3710">
        <v>96.157890471015705</v>
      </c>
      <c r="AJ3710">
        <v>73.741730327565193</v>
      </c>
      <c r="AK3710">
        <v>9.4922896732361099</v>
      </c>
    </row>
    <row r="3711" spans="1:37" x14ac:dyDescent="0.2">
      <c r="A3711" t="str">
        <f>"20200111155923335"</f>
        <v>20200111155923335</v>
      </c>
      <c r="B3711" t="str">
        <f>"1578729563325677"</f>
        <v>1578729563325677</v>
      </c>
      <c r="C3711" t="s">
        <v>37</v>
      </c>
      <c r="D3711">
        <v>5.4230010000000002</v>
      </c>
      <c r="E3711">
        <v>0.54147409999999996</v>
      </c>
      <c r="F3711" t="s">
        <v>38</v>
      </c>
      <c r="G3711">
        <v>-194.3938</v>
      </c>
      <c r="H3711">
        <v>0.99440599999999901</v>
      </c>
      <c r="I3711">
        <v>158.53020000000001</v>
      </c>
      <c r="J3711">
        <v>-193.94110000000001</v>
      </c>
      <c r="K3711">
        <v>1.098225</v>
      </c>
      <c r="L3711">
        <v>158.9761</v>
      </c>
      <c r="M3711">
        <v>-0.46298820000000002</v>
      </c>
      <c r="N3711">
        <v>0</v>
      </c>
      <c r="O3711">
        <v>-0.8862447</v>
      </c>
      <c r="P3711">
        <v>-0.62210109999999996</v>
      </c>
      <c r="Q3711">
        <v>7.2230159999999996E-3</v>
      </c>
      <c r="R3711">
        <v>-0.78290389999999999</v>
      </c>
      <c r="S3711">
        <v>-1.980804</v>
      </c>
      <c r="T3711">
        <v>-0.36166579999999998</v>
      </c>
      <c r="U3711">
        <v>-2.2629549999999998</v>
      </c>
      <c r="V3711">
        <v>0.18917809999999999</v>
      </c>
      <c r="W3711">
        <v>1.871316E-2</v>
      </c>
      <c r="X3711">
        <v>0.98176439999999998</v>
      </c>
      <c r="Y3711">
        <v>0.23070079999999901</v>
      </c>
      <c r="Z3711">
        <v>0.1124016</v>
      </c>
      <c r="AA3711">
        <v>0.9665108</v>
      </c>
      <c r="AB3711">
        <v>24</v>
      </c>
      <c r="AC3711">
        <v>-0.452699999999993</v>
      </c>
      <c r="AD3711">
        <v>-0.10381899999999999</v>
      </c>
      <c r="AE3711">
        <v>-0.44589999999999402</v>
      </c>
      <c r="AF3711">
        <v>0.189712870861141</v>
      </c>
      <c r="AG3711">
        <v>-0.10381899999999999</v>
      </c>
      <c r="AH3711">
        <v>0.58910933315040503</v>
      </c>
      <c r="AI3711">
        <v>99.522528052593501</v>
      </c>
      <c r="AJ3711">
        <v>72.149708505690995</v>
      </c>
      <c r="AK3711">
        <v>0.62755012910228203</v>
      </c>
    </row>
    <row r="3712" spans="1:37" x14ac:dyDescent="0.2">
      <c r="A3712" t="str">
        <f>"20200111155923358"</f>
        <v>20200111155923358</v>
      </c>
      <c r="B3712" t="str">
        <f>"1578729563345363"</f>
        <v>1578729563345363</v>
      </c>
      <c r="C3712" t="s">
        <v>37</v>
      </c>
      <c r="D3712">
        <v>5.4128309999999997</v>
      </c>
      <c r="E3712">
        <v>0.55244119999999997</v>
      </c>
      <c r="F3712" t="s">
        <v>71</v>
      </c>
      <c r="G3712">
        <v>-200.60409999999999</v>
      </c>
      <c r="H3712">
        <v>7.9984730000000004E-2</v>
      </c>
      <c r="I3712">
        <v>152.14670000000001</v>
      </c>
      <c r="J3712">
        <v>-194.06110000000001</v>
      </c>
      <c r="K3712">
        <v>1.0982449999999999</v>
      </c>
      <c r="L3712">
        <v>158.7698</v>
      </c>
      <c r="M3712">
        <v>-0.47129949999999998</v>
      </c>
      <c r="N3712">
        <v>0</v>
      </c>
      <c r="O3712">
        <v>-0.881853</v>
      </c>
      <c r="P3712">
        <v>-0.6295174</v>
      </c>
      <c r="Q3712">
        <v>7.6076980000000004E-3</v>
      </c>
      <c r="R3712">
        <v>-0.77694909999999995</v>
      </c>
      <c r="S3712">
        <v>-2.1075439999999999</v>
      </c>
      <c r="T3712">
        <v>-0.3220749</v>
      </c>
      <c r="U3712">
        <v>-2.160202</v>
      </c>
      <c r="V3712">
        <v>0.189290299999999</v>
      </c>
      <c r="W3712">
        <v>1.9101239999999998E-2</v>
      </c>
      <c r="X3712">
        <v>0.98173529999999998</v>
      </c>
      <c r="Y3712">
        <v>0.27454079999999997</v>
      </c>
      <c r="Z3712">
        <v>0.1006739</v>
      </c>
      <c r="AA3712">
        <v>0.9562908</v>
      </c>
      <c r="AB3712">
        <v>24</v>
      </c>
      <c r="AC3712">
        <v>-6.54299999999997</v>
      </c>
      <c r="AD3712">
        <v>-1.0182602700000001</v>
      </c>
      <c r="AE3712">
        <v>-6.6230999999999902</v>
      </c>
      <c r="AF3712">
        <v>2.61747018978103</v>
      </c>
      <c r="AG3712">
        <v>-1.0182602700000001</v>
      </c>
      <c r="AH3712">
        <v>8.81975449846502</v>
      </c>
      <c r="AI3712">
        <v>96.315846127639801</v>
      </c>
      <c r="AJ3712">
        <v>73.470502131399101</v>
      </c>
      <c r="AK3712">
        <v>9.2561370768289102</v>
      </c>
    </row>
    <row r="3713" spans="1:37" x14ac:dyDescent="0.2">
      <c r="A3713" t="str">
        <f>"20200111155923380"</f>
        <v>20200111155923380</v>
      </c>
      <c r="B3713" t="str">
        <f>"1578729563375621"</f>
        <v>1578729563375621</v>
      </c>
      <c r="C3713" t="s">
        <v>37</v>
      </c>
      <c r="D3713">
        <v>5.3324350000000003</v>
      </c>
      <c r="E3713">
        <v>0.56927099999999997</v>
      </c>
      <c r="F3713" t="s">
        <v>71</v>
      </c>
      <c r="G3713">
        <v>-201.44640000000001</v>
      </c>
      <c r="H3713">
        <v>7.9984749999999993E-2</v>
      </c>
      <c r="I3713">
        <v>151.76499999999999</v>
      </c>
      <c r="J3713">
        <v>-194.18680000000001</v>
      </c>
      <c r="K3713">
        <v>1.098268</v>
      </c>
      <c r="L3713">
        <v>158.5581</v>
      </c>
      <c r="M3713">
        <v>-0.47983149999999902</v>
      </c>
      <c r="N3713">
        <v>0</v>
      </c>
      <c r="O3713">
        <v>-0.87723999999999902</v>
      </c>
      <c r="P3713">
        <v>-0.63712159999999995</v>
      </c>
      <c r="Q3713">
        <v>7.2757899999999999E-3</v>
      </c>
      <c r="R3713">
        <v>-0.770729199999999</v>
      </c>
      <c r="S3713">
        <v>-2.197174</v>
      </c>
      <c r="T3713">
        <v>-0.30293740000000002</v>
      </c>
      <c r="U3713">
        <v>-2.08396899999999</v>
      </c>
      <c r="V3713">
        <v>0.18940670000000001</v>
      </c>
      <c r="W3713">
        <v>1.8772279999999999E-2</v>
      </c>
      <c r="X3713">
        <v>0.98171929999999996</v>
      </c>
      <c r="Y3713">
        <v>0.30264629999999998</v>
      </c>
      <c r="Z3713">
        <v>9.4805810000000004E-2</v>
      </c>
      <c r="AA3713">
        <v>0.948376</v>
      </c>
      <c r="AB3713">
        <v>24</v>
      </c>
      <c r="AC3713">
        <v>-7.2595999999999998</v>
      </c>
      <c r="AD3713">
        <v>-1.0182832500000001</v>
      </c>
      <c r="AE3713">
        <v>-6.7931000000000097</v>
      </c>
      <c r="AF3713">
        <v>3.0769208482187702</v>
      </c>
      <c r="AG3713">
        <v>-1.0182832500000001</v>
      </c>
      <c r="AH3713">
        <v>9.3455303024035992</v>
      </c>
      <c r="AI3713">
        <v>95.908752623287995</v>
      </c>
      <c r="AJ3713">
        <v>71.776395957803103</v>
      </c>
      <c r="AK3713">
        <v>9.8915761795872399</v>
      </c>
    </row>
    <row r="3714" spans="1:37" x14ac:dyDescent="0.2">
      <c r="A3714" t="str">
        <f>"20200111155923395"</f>
        <v>20200111155923395</v>
      </c>
      <c r="B3714" t="str">
        <f>"1578729563385380"</f>
        <v>1578729563385380</v>
      </c>
      <c r="C3714" t="s">
        <v>37</v>
      </c>
      <c r="D3714">
        <v>5.3081239999999896</v>
      </c>
      <c r="E3714">
        <v>0.57267679999999999</v>
      </c>
      <c r="F3714" t="s">
        <v>71</v>
      </c>
      <c r="G3714">
        <v>-203.0522</v>
      </c>
      <c r="H3714">
        <v>7.9984730000000004E-2</v>
      </c>
      <c r="I3714">
        <v>151.02430000000001</v>
      </c>
      <c r="J3714">
        <v>-194.26830000000001</v>
      </c>
      <c r="K3714">
        <v>1.0982799999999999</v>
      </c>
      <c r="L3714">
        <v>158.42349999999999</v>
      </c>
      <c r="M3714">
        <v>-0.4852611</v>
      </c>
      <c r="N3714">
        <v>0</v>
      </c>
      <c r="O3714">
        <v>-0.87424809999999997</v>
      </c>
      <c r="P3714">
        <v>-0.64150359999999995</v>
      </c>
      <c r="Q3714">
        <v>7.1330550000000001E-3</v>
      </c>
      <c r="R3714">
        <v>-0.76708710000000002</v>
      </c>
      <c r="S3714">
        <v>-2.323318</v>
      </c>
      <c r="T3714">
        <v>-0.26685679999999901</v>
      </c>
      <c r="U3714">
        <v>-1.97435</v>
      </c>
      <c r="V3714">
        <v>0.18891159999999901</v>
      </c>
      <c r="W3714">
        <v>1.8641169999999999E-2</v>
      </c>
      <c r="X3714">
        <v>0.9818171</v>
      </c>
      <c r="Y3714">
        <v>0.34898299999999999</v>
      </c>
      <c r="Z3714">
        <v>8.3913810000000005E-2</v>
      </c>
      <c r="AA3714">
        <v>0.93336450000000004</v>
      </c>
      <c r="AB3714">
        <v>24</v>
      </c>
      <c r="AC3714">
        <v>-8.7838999999999796</v>
      </c>
      <c r="AD3714">
        <v>-1.0182952700000001</v>
      </c>
      <c r="AE3714">
        <v>-7.3991999999999702</v>
      </c>
      <c r="AF3714">
        <v>4.0573022228347702</v>
      </c>
      <c r="AG3714">
        <v>-1.0182952700000001</v>
      </c>
      <c r="AH3714">
        <v>10.648648198520499</v>
      </c>
      <c r="AI3714">
        <v>95.106394168904401</v>
      </c>
      <c r="AJ3714">
        <v>69.142373533864202</v>
      </c>
      <c r="AK3714">
        <v>11.440818809865799</v>
      </c>
    </row>
    <row r="3715" spans="1:37" x14ac:dyDescent="0.2">
      <c r="A3715" t="str">
        <f>"20200111155923414"</f>
        <v>20200111155923414</v>
      </c>
      <c r="B3715" t="str">
        <f>"1578729563405876"</f>
        <v>1578729563405876</v>
      </c>
      <c r="C3715" t="s">
        <v>37</v>
      </c>
      <c r="D3715">
        <v>5.2894449999999997</v>
      </c>
      <c r="E3715">
        <v>0.57780989999999999</v>
      </c>
      <c r="F3715" t="s">
        <v>71</v>
      </c>
      <c r="G3715">
        <v>-203.5068</v>
      </c>
      <c r="H3715">
        <v>7.9984719999999995E-2</v>
      </c>
      <c r="I3715">
        <v>150.80340000000001</v>
      </c>
      <c r="J3715">
        <v>-194.3767</v>
      </c>
      <c r="K3715">
        <v>1.0982969999999901</v>
      </c>
      <c r="L3715">
        <v>158.24719999999999</v>
      </c>
      <c r="M3715">
        <v>-0.49237529999999902</v>
      </c>
      <c r="N3715">
        <v>0</v>
      </c>
      <c r="O3715">
        <v>-0.87026139999999996</v>
      </c>
      <c r="P3715">
        <v>-0.6470127</v>
      </c>
      <c r="Q3715">
        <v>6.4973349999999999E-3</v>
      </c>
      <c r="R3715">
        <v>-0.76245169999999995</v>
      </c>
      <c r="S3715">
        <v>-2.3558650000000001</v>
      </c>
      <c r="T3715">
        <v>-0.25967069999999998</v>
      </c>
      <c r="U3715">
        <v>-1.9431609999999999</v>
      </c>
      <c r="V3715">
        <v>0.18796350000000001</v>
      </c>
      <c r="W3715">
        <v>1.8026159999999999E-2</v>
      </c>
      <c r="X3715">
        <v>0.98201059999999996</v>
      </c>
      <c r="Y3715">
        <v>0.35521469999999999</v>
      </c>
      <c r="Z3715">
        <v>8.1452529999999995E-2</v>
      </c>
      <c r="AA3715">
        <v>0.93122929999999904</v>
      </c>
      <c r="AB3715">
        <v>24</v>
      </c>
      <c r="AC3715">
        <v>-9.1301000000000005</v>
      </c>
      <c r="AD3715">
        <v>-1.01831228</v>
      </c>
      <c r="AE3715">
        <v>-7.44379999999998</v>
      </c>
      <c r="AF3715">
        <v>4.2491314957989399</v>
      </c>
      <c r="AG3715">
        <v>-1.01831228</v>
      </c>
      <c r="AH3715">
        <v>10.893248504169</v>
      </c>
      <c r="AI3715">
        <v>94.977329524056202</v>
      </c>
      <c r="AJ3715">
        <v>68.690725885812498</v>
      </c>
      <c r="AK3715">
        <v>11.7369051006545</v>
      </c>
    </row>
    <row r="3716" spans="1:37" x14ac:dyDescent="0.2">
      <c r="A3716" t="str">
        <f>"20200111155923437"</f>
        <v>20200111155923437</v>
      </c>
      <c r="B3716" t="str">
        <f>"1578729563425396"</f>
        <v>1578729563425396</v>
      </c>
      <c r="C3716" t="s">
        <v>37</v>
      </c>
      <c r="D3716">
        <v>5.2789650000000004</v>
      </c>
      <c r="E3716">
        <v>0.58106959999999996</v>
      </c>
      <c r="F3716" t="s">
        <v>71</v>
      </c>
      <c r="G3716">
        <v>-204.16800000000001</v>
      </c>
      <c r="H3716">
        <v>7.9984699999999895E-2</v>
      </c>
      <c r="I3716">
        <v>150.5076</v>
      </c>
      <c r="J3716">
        <v>-194.50489999999999</v>
      </c>
      <c r="K3716">
        <v>1.0983179999999999</v>
      </c>
      <c r="L3716">
        <v>158.0427</v>
      </c>
      <c r="M3716">
        <v>-0.5006313</v>
      </c>
      <c r="N3716">
        <v>0</v>
      </c>
      <c r="O3716">
        <v>-0.86553840000000004</v>
      </c>
      <c r="P3716">
        <v>-0.65229389999999998</v>
      </c>
      <c r="Q3716">
        <v>6.6445860000000001E-3</v>
      </c>
      <c r="R3716">
        <v>-0.75793730000000004</v>
      </c>
      <c r="S3716">
        <v>-2.4018860000000002</v>
      </c>
      <c r="T3716">
        <v>-0.24979979999999999</v>
      </c>
      <c r="U3716">
        <v>-1.8985749999999999</v>
      </c>
      <c r="V3716">
        <v>0.18544549999999899</v>
      </c>
      <c r="W3716">
        <v>1.8221620000000001E-2</v>
      </c>
      <c r="X3716">
        <v>0.98248559999999996</v>
      </c>
      <c r="Y3716">
        <v>0.365903599999999</v>
      </c>
      <c r="Z3716">
        <v>7.8157610000000002E-2</v>
      </c>
      <c r="AA3716">
        <v>0.92736509999999905</v>
      </c>
      <c r="AB3716">
        <v>24</v>
      </c>
      <c r="AC3716">
        <v>-9.6631000000000107</v>
      </c>
      <c r="AD3716">
        <v>-1.0183333000000001</v>
      </c>
      <c r="AE3716">
        <v>-7.5350999999999999</v>
      </c>
      <c r="AF3716">
        <v>4.5604670763894903</v>
      </c>
      <c r="AG3716">
        <v>-1.0183333000000001</v>
      </c>
      <c r="AH3716">
        <v>11.2828479399332</v>
      </c>
      <c r="AI3716">
        <v>94.783256895218798</v>
      </c>
      <c r="AJ3716">
        <v>67.991703356541805</v>
      </c>
      <c r="AK3716">
        <v>12.2121873675593</v>
      </c>
    </row>
    <row r="3717" spans="1:37" x14ac:dyDescent="0.2">
      <c r="A3717" t="str">
        <f>"20200111155923453"</f>
        <v>20200111155923453</v>
      </c>
      <c r="B3717" t="str">
        <f>"1578729563445894"</f>
        <v>1578729563445894</v>
      </c>
      <c r="C3717" t="s">
        <v>37</v>
      </c>
      <c r="D3717">
        <v>5.2814030000000001</v>
      </c>
      <c r="E3717">
        <v>0.58345519999999995</v>
      </c>
      <c r="F3717" t="s">
        <v>71</v>
      </c>
      <c r="G3717">
        <v>-204.81809999999999</v>
      </c>
      <c r="H3717">
        <v>7.9984689999999997E-2</v>
      </c>
      <c r="I3717">
        <v>150.1491</v>
      </c>
      <c r="J3717">
        <v>-194.60220000000001</v>
      </c>
      <c r="K3717">
        <v>1.098333</v>
      </c>
      <c r="L3717">
        <v>157.8905</v>
      </c>
      <c r="M3717">
        <v>-0.50678290000000004</v>
      </c>
      <c r="N3717">
        <v>0</v>
      </c>
      <c r="O3717">
        <v>-0.86195109999999997</v>
      </c>
      <c r="P3717">
        <v>-0.6567518</v>
      </c>
      <c r="Q3717">
        <v>6.6757869999999999E-3</v>
      </c>
      <c r="R3717">
        <v>-0.75407760000000001</v>
      </c>
      <c r="S3717">
        <v>-2.4355319999999998</v>
      </c>
      <c r="T3717">
        <v>-0.24048699999999901</v>
      </c>
      <c r="U3717">
        <v>-1.8641509999999999</v>
      </c>
      <c r="V3717">
        <v>0.184241299999999</v>
      </c>
      <c r="W3717">
        <v>1.827645E-2</v>
      </c>
      <c r="X3717">
        <v>0.98271109999999995</v>
      </c>
      <c r="Y3717">
        <v>0.37394769999999999</v>
      </c>
      <c r="Z3717">
        <v>7.5116119999999995E-2</v>
      </c>
      <c r="AA3717">
        <v>0.92440290000000003</v>
      </c>
      <c r="AB3717">
        <v>24</v>
      </c>
      <c r="AC3717">
        <v>-10.2158999999999</v>
      </c>
      <c r="AD3717">
        <v>-1.0183483099999999</v>
      </c>
      <c r="AE3717">
        <v>-7.7413999999999898</v>
      </c>
      <c r="AF3717">
        <v>4.8522853076155599</v>
      </c>
      <c r="AG3717">
        <v>-1.0183483099999999</v>
      </c>
      <c r="AH3717">
        <v>11.7768680464238</v>
      </c>
      <c r="AI3717">
        <v>94.571073162572802</v>
      </c>
      <c r="AJ3717">
        <v>67.607441938349695</v>
      </c>
      <c r="AK3717">
        <v>12.7779625515909</v>
      </c>
    </row>
    <row r="3718" spans="1:37" x14ac:dyDescent="0.2">
      <c r="A3718" t="str">
        <f>"20200111155923471"</f>
        <v>20200111155923471</v>
      </c>
      <c r="B3718" t="str">
        <f>"1578729563465412"</f>
        <v>1578729563465412</v>
      </c>
      <c r="C3718" t="s">
        <v>37</v>
      </c>
      <c r="D3718">
        <v>5.2833860000000001</v>
      </c>
      <c r="E3718">
        <v>0.58517419999999998</v>
      </c>
      <c r="F3718" t="s">
        <v>71</v>
      </c>
      <c r="G3718">
        <v>-205.20359999999999</v>
      </c>
      <c r="H3718">
        <v>7.9984730000000004E-2</v>
      </c>
      <c r="I3718">
        <v>149.97749999999999</v>
      </c>
      <c r="J3718">
        <v>-194.69980000000001</v>
      </c>
      <c r="K3718">
        <v>1.098349</v>
      </c>
      <c r="L3718">
        <v>157.74010000000001</v>
      </c>
      <c r="M3718">
        <v>-0.51286339999999997</v>
      </c>
      <c r="N3718">
        <v>0</v>
      </c>
      <c r="O3718">
        <v>-0.85834719999999998</v>
      </c>
      <c r="P3718">
        <v>-0.65979679999999996</v>
      </c>
      <c r="Q3718">
        <v>7.6515469999999999E-3</v>
      </c>
      <c r="R3718">
        <v>-0.7514052</v>
      </c>
      <c r="S3718">
        <v>-2.4611049999999999</v>
      </c>
      <c r="T3718">
        <v>-0.23640729999999999</v>
      </c>
      <c r="U3718">
        <v>-1.836975</v>
      </c>
      <c r="V3718">
        <v>0.18128720000000001</v>
      </c>
      <c r="W3718">
        <v>1.9305760000000002E-2</v>
      </c>
      <c r="X3718">
        <v>0.98324069999999997</v>
      </c>
      <c r="Y3718">
        <v>0.37865919999999997</v>
      </c>
      <c r="Z3718">
        <v>7.3670769999999997E-2</v>
      </c>
      <c r="AA3718">
        <v>0.92259950000000002</v>
      </c>
      <c r="AB3718">
        <v>23</v>
      </c>
      <c r="AC3718">
        <v>-10.503799999999901</v>
      </c>
      <c r="AD3718">
        <v>-1.01836427</v>
      </c>
      <c r="AE3718">
        <v>-7.7626000000000097</v>
      </c>
      <c r="AF3718">
        <v>5.0048593083855897</v>
      </c>
      <c r="AG3718">
        <v>-1.01836427</v>
      </c>
      <c r="AH3718">
        <v>11.978471809255399</v>
      </c>
      <c r="AI3718">
        <v>94.485342725625799</v>
      </c>
      <c r="AJ3718">
        <v>67.323794402891394</v>
      </c>
      <c r="AK3718">
        <v>13.0218842479985</v>
      </c>
    </row>
    <row r="3719" spans="1:37" x14ac:dyDescent="0.2">
      <c r="A3719" t="str">
        <f>"20200111155923493"</f>
        <v>20200111155923493</v>
      </c>
      <c r="B3719" t="str">
        <f>"1578729563485908"</f>
        <v>1578729563485908</v>
      </c>
      <c r="C3719" t="s">
        <v>37</v>
      </c>
      <c r="D3719">
        <v>5.2298900000000001</v>
      </c>
      <c r="E3719">
        <v>0.5865397</v>
      </c>
      <c r="F3719" t="s">
        <v>71</v>
      </c>
      <c r="G3719">
        <v>-205.71190000000001</v>
      </c>
      <c r="H3719">
        <v>7.9984840000000001E-2</v>
      </c>
      <c r="I3719">
        <v>149.66679999999999</v>
      </c>
      <c r="J3719">
        <v>-194.833</v>
      </c>
      <c r="K3719">
        <v>1.0983639999999999</v>
      </c>
      <c r="L3719">
        <v>157.5386</v>
      </c>
      <c r="M3719">
        <v>-0.52101390000000003</v>
      </c>
      <c r="N3719">
        <v>0</v>
      </c>
      <c r="O3719">
        <v>-0.85342450000000003</v>
      </c>
      <c r="P3719">
        <v>-0.66525080000000003</v>
      </c>
      <c r="Q3719">
        <v>7.6697390000000001E-3</v>
      </c>
      <c r="R3719">
        <v>-0.74658069999999999</v>
      </c>
      <c r="S3719">
        <v>-2.4794160000000001</v>
      </c>
      <c r="T3719">
        <v>-0.22928850000000001</v>
      </c>
      <c r="U3719">
        <v>-1.8177189999999901</v>
      </c>
      <c r="V3719">
        <v>0.17908250000000001</v>
      </c>
      <c r="W3719">
        <v>1.9365360000000002E-2</v>
      </c>
      <c r="X3719">
        <v>0.9836435</v>
      </c>
      <c r="Y3719">
        <v>0.3779304</v>
      </c>
      <c r="Z3719">
        <v>7.1124809999999997E-2</v>
      </c>
      <c r="AA3719">
        <v>0.92309799999999997</v>
      </c>
      <c r="AB3719">
        <v>23</v>
      </c>
      <c r="AC3719">
        <v>-10.8789</v>
      </c>
      <c r="AD3719">
        <v>-1.0183791599999901</v>
      </c>
      <c r="AE3719">
        <v>-7.8718000000000004</v>
      </c>
      <c r="AF3719">
        <v>5.1539068368235599</v>
      </c>
      <c r="AG3719">
        <v>-1.0183791599999901</v>
      </c>
      <c r="AH3719">
        <v>12.316513753638301</v>
      </c>
      <c r="AI3719">
        <v>94.361802179913596</v>
      </c>
      <c r="AJ3719">
        <v>67.292883660065499</v>
      </c>
      <c r="AK3719">
        <v>13.390159179029199</v>
      </c>
    </row>
    <row r="3720" spans="1:37" x14ac:dyDescent="0.2">
      <c r="A3720" t="str">
        <f>"20200111155923515"</f>
        <v>20200111155923515</v>
      </c>
      <c r="B3720" t="str">
        <f>"1578729563505428"</f>
        <v>1578729563505428</v>
      </c>
      <c r="C3720" t="s">
        <v>37</v>
      </c>
      <c r="D3720">
        <v>5.1864809999999997</v>
      </c>
      <c r="E3720">
        <v>0.5876962</v>
      </c>
      <c r="F3720" t="s">
        <v>71</v>
      </c>
      <c r="G3720">
        <v>-206.98519999999999</v>
      </c>
      <c r="H3720" s="1">
        <v>-9.1375500000000003E-6</v>
      </c>
      <c r="I3720">
        <v>148.8305</v>
      </c>
      <c r="J3720">
        <v>-194.96350000000001</v>
      </c>
      <c r="K3720">
        <v>1.0983769999999999</v>
      </c>
      <c r="L3720">
        <v>157.345</v>
      </c>
      <c r="M3720">
        <v>-0.52885190000000004</v>
      </c>
      <c r="N3720">
        <v>0</v>
      </c>
      <c r="O3720">
        <v>-0.8485895</v>
      </c>
      <c r="P3720">
        <v>-0.67044859999999995</v>
      </c>
      <c r="Q3720">
        <v>7.5478519999999999E-3</v>
      </c>
      <c r="R3720">
        <v>-0.74191759999999995</v>
      </c>
      <c r="S3720">
        <v>-2.5009459999999999</v>
      </c>
      <c r="T3720">
        <v>-0.22604669999999999</v>
      </c>
      <c r="U3720">
        <v>-1.7921450000000001</v>
      </c>
      <c r="V3720">
        <v>0.17688879999999901</v>
      </c>
      <c r="W3720">
        <v>1.9283829999999998E-2</v>
      </c>
      <c r="X3720">
        <v>0.98404190000000002</v>
      </c>
      <c r="Y3720">
        <v>0.37949080000000002</v>
      </c>
      <c r="Z3720">
        <v>6.9861859999999998E-2</v>
      </c>
      <c r="AA3720">
        <v>0.92255409999999904</v>
      </c>
      <c r="AB3720">
        <v>23</v>
      </c>
      <c r="AC3720">
        <v>-12.0216999999999</v>
      </c>
      <c r="AD3720">
        <v>-1.0983861375499999</v>
      </c>
      <c r="AE3720">
        <v>-8.5144999999999893</v>
      </c>
      <c r="AF3720">
        <v>5.6676738084363301</v>
      </c>
      <c r="AG3720">
        <v>-1.0983861375499999</v>
      </c>
      <c r="AH3720">
        <v>13.509349474947101</v>
      </c>
      <c r="AI3720">
        <v>94.287712856119896</v>
      </c>
      <c r="AJ3720">
        <v>67.240141403668602</v>
      </c>
      <c r="AK3720">
        <v>14.691204911179</v>
      </c>
    </row>
    <row r="3721" spans="1:37" x14ac:dyDescent="0.2">
      <c r="A3721" t="str">
        <f>"20200111155923536"</f>
        <v>20200111155923536</v>
      </c>
      <c r="B3721" t="str">
        <f>"1578729563525924"</f>
        <v>1578729563525924</v>
      </c>
      <c r="C3721" t="s">
        <v>37</v>
      </c>
      <c r="D3721">
        <v>5.1857179999999996</v>
      </c>
      <c r="E3721">
        <v>0.58854340000000005</v>
      </c>
      <c r="F3721" t="s">
        <v>71</v>
      </c>
      <c r="G3721">
        <v>-207.35499999999999</v>
      </c>
      <c r="H3721" s="1">
        <v>-8.9264290000000008E-6</v>
      </c>
      <c r="I3721">
        <v>148.65199999999999</v>
      </c>
      <c r="J3721">
        <v>-195.09209999999999</v>
      </c>
      <c r="K3721">
        <v>1.0983969999999901</v>
      </c>
      <c r="L3721">
        <v>157.15819999999999</v>
      </c>
      <c r="M3721">
        <v>-0.53642339999999999</v>
      </c>
      <c r="N3721">
        <v>0</v>
      </c>
      <c r="O3721">
        <v>-0.84382400000000002</v>
      </c>
      <c r="P3721">
        <v>-0.67587299999999995</v>
      </c>
      <c r="Q3721">
        <v>7.493375E-3</v>
      </c>
      <c r="R3721">
        <v>-0.73697990000000002</v>
      </c>
      <c r="S3721">
        <v>-2.5204770000000001</v>
      </c>
      <c r="T3721">
        <v>-0.22341659999999999</v>
      </c>
      <c r="U3721">
        <v>-1.7682040000000001</v>
      </c>
      <c r="V3721">
        <v>0.1753007</v>
      </c>
      <c r="W3721">
        <v>1.9259519999999999E-2</v>
      </c>
      <c r="X3721">
        <v>0.98432649999999999</v>
      </c>
      <c r="Y3721">
        <v>0.38052039999999998</v>
      </c>
      <c r="Z3721">
        <v>6.8792160000000005E-2</v>
      </c>
      <c r="AA3721">
        <v>0.92221030000000004</v>
      </c>
      <c r="AB3721">
        <v>23</v>
      </c>
      <c r="AC3721">
        <v>-12.2629</v>
      </c>
      <c r="AD3721">
        <v>-1.09840592642899</v>
      </c>
      <c r="AE3721">
        <v>-8.5061999999999696</v>
      </c>
      <c r="AF3721">
        <v>5.7542456585152602</v>
      </c>
      <c r="AG3721">
        <v>-1.09840592642899</v>
      </c>
      <c r="AH3721">
        <v>13.6831752822913</v>
      </c>
      <c r="AI3721">
        <v>94.232017050847205</v>
      </c>
      <c r="AJ3721">
        <v>67.191572525350693</v>
      </c>
      <c r="AK3721">
        <v>14.884459159931399</v>
      </c>
    </row>
    <row r="3722" spans="1:37" x14ac:dyDescent="0.2">
      <c r="A3722" t="str">
        <f>"20200111155923559"</f>
        <v>20200111155923559</v>
      </c>
      <c r="B3722" t="str">
        <f>"1578729563556180"</f>
        <v>1578729563556180</v>
      </c>
      <c r="C3722" t="s">
        <v>37</v>
      </c>
      <c r="D3722">
        <v>5.1233719999999998</v>
      </c>
      <c r="E3722">
        <v>0.58946909999999997</v>
      </c>
      <c r="F3722" t="s">
        <v>71</v>
      </c>
      <c r="G3722">
        <v>-207.73480000000001</v>
      </c>
      <c r="H3722" s="1">
        <v>-8.7101470000000001E-6</v>
      </c>
      <c r="I3722">
        <v>148.47059999999999</v>
      </c>
      <c r="J3722">
        <v>-195.2278</v>
      </c>
      <c r="K3722">
        <v>1.0984119999999999</v>
      </c>
      <c r="L3722">
        <v>156.96469999999999</v>
      </c>
      <c r="M3722">
        <v>-0.54426809999999903</v>
      </c>
      <c r="N3722">
        <v>0</v>
      </c>
      <c r="O3722">
        <v>-0.83878569999999997</v>
      </c>
      <c r="P3722">
        <v>-0.68215389999999998</v>
      </c>
      <c r="Q3722">
        <v>7.3927489999999997E-3</v>
      </c>
      <c r="R3722">
        <v>-0.73117140000000003</v>
      </c>
      <c r="S3722">
        <v>-2.5388489999999999</v>
      </c>
      <c r="T3722">
        <v>-0.2205763</v>
      </c>
      <c r="U3722">
        <v>-1.744583</v>
      </c>
      <c r="V3722">
        <v>0.17454149999999999</v>
      </c>
      <c r="W3722">
        <v>1.917466E-2</v>
      </c>
      <c r="X3722">
        <v>0.98446309999999904</v>
      </c>
      <c r="Y3722">
        <v>0.38091710000000001</v>
      </c>
      <c r="Z3722">
        <v>6.7645930000000007E-2</v>
      </c>
      <c r="AA3722">
        <v>0.92213140000000005</v>
      </c>
      <c r="AB3722">
        <v>23</v>
      </c>
      <c r="AC3722">
        <v>-12.507</v>
      </c>
      <c r="AD3722">
        <v>-1.098420710147</v>
      </c>
      <c r="AE3722">
        <v>-8.4940999999999995</v>
      </c>
      <c r="AF3722">
        <v>5.8374308046683998</v>
      </c>
      <c r="AG3722">
        <v>-1.098420710147</v>
      </c>
      <c r="AH3722">
        <v>13.860198469901601</v>
      </c>
      <c r="AI3722">
        <v>94.177275563970198</v>
      </c>
      <c r="AJ3722">
        <v>67.160876218416107</v>
      </c>
      <c r="AK3722">
        <v>15.079364312889201</v>
      </c>
    </row>
    <row r="3723" spans="1:37" x14ac:dyDescent="0.2">
      <c r="A3723" t="str">
        <f>"20200111155923574"</f>
        <v>20200111155923574</v>
      </c>
      <c r="B3723" t="str">
        <f>"1578729563565941"</f>
        <v>1578729563565941</v>
      </c>
      <c r="C3723" t="s">
        <v>37</v>
      </c>
      <c r="D3723">
        <v>5.2807740000000001</v>
      </c>
      <c r="E3723">
        <v>0.58955000000000002</v>
      </c>
      <c r="F3723" t="s">
        <v>71</v>
      </c>
      <c r="G3723">
        <v>-208.12260000000001</v>
      </c>
      <c r="H3723" s="1">
        <v>-8.4962849999999992E-6</v>
      </c>
      <c r="I3723">
        <v>148.31190000000001</v>
      </c>
      <c r="J3723">
        <v>-195.3235</v>
      </c>
      <c r="K3723">
        <v>1.098422</v>
      </c>
      <c r="L3723">
        <v>156.8305</v>
      </c>
      <c r="M3723">
        <v>-0.549709</v>
      </c>
      <c r="N3723">
        <v>0</v>
      </c>
      <c r="O3723">
        <v>-0.83523019999999903</v>
      </c>
      <c r="P3723">
        <v>-0.68664480000000006</v>
      </c>
      <c r="Q3723">
        <v>7.6137019999999904E-3</v>
      </c>
      <c r="R3723">
        <v>-0.72695330000000002</v>
      </c>
      <c r="S3723">
        <v>-2.5593870000000001</v>
      </c>
      <c r="T3723">
        <v>-0.2180165</v>
      </c>
      <c r="U3723">
        <v>-1.7174069999999999</v>
      </c>
      <c r="V3723">
        <v>0.1742098</v>
      </c>
      <c r="W3723">
        <v>1.9403500000000001E-2</v>
      </c>
      <c r="X3723">
        <v>0.98451730000000004</v>
      </c>
      <c r="Y3723">
        <v>0.38514159999999997</v>
      </c>
      <c r="Z3723">
        <v>6.6744799999999896E-2</v>
      </c>
      <c r="AA3723">
        <v>0.920440699999999</v>
      </c>
      <c r="AB3723">
        <v>23</v>
      </c>
      <c r="AC3723">
        <v>-12.799099999999999</v>
      </c>
      <c r="AD3723">
        <v>-1.098430496285</v>
      </c>
      <c r="AE3723">
        <v>-8.5185999999999904</v>
      </c>
      <c r="AF3723">
        <v>5.9775655221455004</v>
      </c>
      <c r="AG3723">
        <v>-1.098430496285</v>
      </c>
      <c r="AH3723">
        <v>14.0803930546315</v>
      </c>
      <c r="AI3723">
        <v>94.107266749186493</v>
      </c>
      <c r="AJ3723">
        <v>66.997264912522297</v>
      </c>
      <c r="AK3723">
        <v>15.336078628503</v>
      </c>
    </row>
    <row r="3724" spans="1:37" x14ac:dyDescent="0.2">
      <c r="A3724" t="str">
        <f>"20200111155923594"</f>
        <v>20200111155923594</v>
      </c>
      <c r="B3724" t="str">
        <f>"1578729563585460"</f>
        <v>1578729563585460</v>
      </c>
      <c r="C3724" t="s">
        <v>37</v>
      </c>
      <c r="D3724">
        <v>5.1006400000000003</v>
      </c>
      <c r="E3724">
        <v>0.58987089999999998</v>
      </c>
      <c r="F3724" t="s">
        <v>71</v>
      </c>
      <c r="G3724">
        <v>-208.36099999999999</v>
      </c>
      <c r="H3724" s="1">
        <v>-8.3613829999999994E-6</v>
      </c>
      <c r="I3724">
        <v>148.20150000000001</v>
      </c>
      <c r="J3724">
        <v>-195.4453</v>
      </c>
      <c r="K3724">
        <v>1.0984320000000001</v>
      </c>
      <c r="L3724">
        <v>156.66229999999999</v>
      </c>
      <c r="M3724">
        <v>-0.55653069999999905</v>
      </c>
      <c r="N3724">
        <v>0</v>
      </c>
      <c r="O3724">
        <v>-0.83070029999999995</v>
      </c>
      <c r="P3724">
        <v>-0.69272730000000005</v>
      </c>
      <c r="Q3724">
        <v>6.6055300000000001E-3</v>
      </c>
      <c r="R3724">
        <v>-0.72116939999999996</v>
      </c>
      <c r="S3724">
        <v>-2.570389</v>
      </c>
      <c r="T3724">
        <v>-0.21655859999999999</v>
      </c>
      <c r="U3724">
        <v>-1.701233</v>
      </c>
      <c r="V3724">
        <v>0.17439660000000001</v>
      </c>
      <c r="W3724">
        <v>1.8395640000000001E-2</v>
      </c>
      <c r="X3724">
        <v>0.98450360000000003</v>
      </c>
      <c r="Y3724">
        <v>0.38346659999999999</v>
      </c>
      <c r="Z3724">
        <v>6.6038180000000002E-2</v>
      </c>
      <c r="AA3724">
        <v>0.92119069999999903</v>
      </c>
      <c r="AB3724">
        <v>23</v>
      </c>
      <c r="AC3724">
        <v>-12.9156999999999</v>
      </c>
      <c r="AD3724">
        <v>-1.0984403613830001</v>
      </c>
      <c r="AE3724">
        <v>-8.4607999999999706</v>
      </c>
      <c r="AF3724">
        <v>5.99069536166009</v>
      </c>
      <c r="AG3724">
        <v>-1.0984403613830001</v>
      </c>
      <c r="AH3724">
        <v>14.146273950625901</v>
      </c>
      <c r="AI3724">
        <v>94.089776578460103</v>
      </c>
      <c r="AJ3724">
        <v>67.048206608623005</v>
      </c>
      <c r="AK3724">
        <v>15.4016904536446</v>
      </c>
    </row>
    <row r="3725" spans="1:37" x14ac:dyDescent="0.2">
      <c r="A3725" t="str">
        <f>"20200111155923617"</f>
        <v>20200111155923617</v>
      </c>
      <c r="B3725" t="str">
        <f>"1578729563605957"</f>
        <v>1578729563605957</v>
      </c>
      <c r="C3725" t="s">
        <v>37</v>
      </c>
      <c r="D3725">
        <v>5.0977750000000004</v>
      </c>
      <c r="E3725">
        <v>0.59003649999999996</v>
      </c>
      <c r="F3725" t="s">
        <v>71</v>
      </c>
      <c r="G3725">
        <v>-208.34530000000001</v>
      </c>
      <c r="H3725" s="1">
        <v>-8.3925899999999992E-6</v>
      </c>
      <c r="I3725">
        <v>148.29320000000001</v>
      </c>
      <c r="J3725">
        <v>-195.58760000000001</v>
      </c>
      <c r="K3725">
        <v>1.098447</v>
      </c>
      <c r="L3725">
        <v>156.46960000000001</v>
      </c>
      <c r="M3725">
        <v>-0.56434659999999903</v>
      </c>
      <c r="N3725">
        <v>0</v>
      </c>
      <c r="O3725">
        <v>-0.82541069999999905</v>
      </c>
      <c r="P3725">
        <v>-0.699565199999999</v>
      </c>
      <c r="Q3725">
        <v>5.5798480000000001E-3</v>
      </c>
      <c r="R3725">
        <v>-0.71454709999999999</v>
      </c>
      <c r="S3725">
        <v>-2.5861209999999999</v>
      </c>
      <c r="T3725">
        <v>-0.22021019999999999</v>
      </c>
      <c r="U3725">
        <v>-1.6777949999999999</v>
      </c>
      <c r="V3725">
        <v>0.17446129999999899</v>
      </c>
      <c r="W3725">
        <v>1.7372990000000001E-2</v>
      </c>
      <c r="X3725">
        <v>0.98451080000000002</v>
      </c>
      <c r="Y3725">
        <v>0.38312629999999998</v>
      </c>
      <c r="Z3725">
        <v>6.686773E-2</v>
      </c>
      <c r="AA3725">
        <v>0.92127250000000005</v>
      </c>
      <c r="AB3725">
        <v>23</v>
      </c>
      <c r="AC3725">
        <v>-12.7577</v>
      </c>
      <c r="AD3725">
        <v>-1.09845539259</v>
      </c>
      <c r="AE3725">
        <v>-8.1763999999999992</v>
      </c>
      <c r="AF3725">
        <v>5.8857109184953398</v>
      </c>
      <c r="AG3725">
        <v>-1.09845539259</v>
      </c>
      <c r="AH3725">
        <v>13.877194035487101</v>
      </c>
      <c r="AI3725">
        <v>94.167893395588806</v>
      </c>
      <c r="AJ3725">
        <v>67.016824187239607</v>
      </c>
      <c r="AK3725">
        <v>15.113725932547601</v>
      </c>
    </row>
    <row r="3726" spans="1:37" x14ac:dyDescent="0.2">
      <c r="A3726" t="str">
        <f>"20200111155923639"</f>
        <v>20200111155923639</v>
      </c>
      <c r="B3726" t="str">
        <f>"1578729563636213"</f>
        <v>1578729563636213</v>
      </c>
      <c r="C3726" t="s">
        <v>37</v>
      </c>
      <c r="D3726">
        <v>5.1111589999999998</v>
      </c>
      <c r="E3726">
        <v>0.59006579999999997</v>
      </c>
      <c r="F3726" t="s">
        <v>71</v>
      </c>
      <c r="G3726">
        <v>-208.35470000000001</v>
      </c>
      <c r="H3726" s="1">
        <v>-8.4078469999999996E-6</v>
      </c>
      <c r="I3726">
        <v>148.36689999999999</v>
      </c>
      <c r="J3726">
        <v>-195.72569999999999</v>
      </c>
      <c r="K3726">
        <v>1.0984689999999999</v>
      </c>
      <c r="L3726">
        <v>156.286</v>
      </c>
      <c r="M3726">
        <v>-0.57178709999999999</v>
      </c>
      <c r="N3726">
        <v>0</v>
      </c>
      <c r="O3726">
        <v>-0.8202739</v>
      </c>
      <c r="P3726">
        <v>-0.70647320000000002</v>
      </c>
      <c r="Q3726">
        <v>4.3312740000000004E-3</v>
      </c>
      <c r="R3726">
        <v>-0.70772679999999999</v>
      </c>
      <c r="S3726">
        <v>-2.602859</v>
      </c>
      <c r="T3726">
        <v>-0.22394420000000001</v>
      </c>
      <c r="U3726">
        <v>-1.6519169999999901</v>
      </c>
      <c r="V3726">
        <v>0.17509859999999999</v>
      </c>
      <c r="W3726">
        <v>1.6119080000000001E-2</v>
      </c>
      <c r="X3726">
        <v>0.98441889999999999</v>
      </c>
      <c r="Y3726">
        <v>0.38392120000000002</v>
      </c>
      <c r="Z3726">
        <v>6.7749089999999998E-2</v>
      </c>
      <c r="AA3726">
        <v>0.9208771</v>
      </c>
      <c r="AB3726">
        <v>23</v>
      </c>
      <c r="AC3726">
        <v>-12.629</v>
      </c>
      <c r="AD3726">
        <v>-1.0984774078470001</v>
      </c>
      <c r="AE3726">
        <v>-7.91910000000001</v>
      </c>
      <c r="AF3726">
        <v>5.8003149787701904</v>
      </c>
      <c r="AG3726">
        <v>-1.0984774078470001</v>
      </c>
      <c r="AH3726">
        <v>13.644278769012301</v>
      </c>
      <c r="AI3726">
        <v>94.237378272765696</v>
      </c>
      <c r="AJ3726">
        <v>66.969185435840203</v>
      </c>
      <c r="AK3726">
        <v>14.8666287232518</v>
      </c>
    </row>
    <row r="3727" spans="1:37" x14ac:dyDescent="0.2">
      <c r="A3727" t="str">
        <f>"20200111155923660"</f>
        <v>20200111155923660</v>
      </c>
      <c r="B3727" t="str">
        <f>"1578729563655733"</f>
        <v>1578729563655733</v>
      </c>
      <c r="C3727" t="s">
        <v>37</v>
      </c>
      <c r="D3727">
        <v>5.0746029999999998</v>
      </c>
      <c r="E3727">
        <v>0.59000059999999999</v>
      </c>
      <c r="F3727" t="s">
        <v>71</v>
      </c>
      <c r="G3727">
        <v>-208.31610000000001</v>
      </c>
      <c r="H3727" s="1">
        <v>-8.4515039999999996E-6</v>
      </c>
      <c r="I3727">
        <v>148.4675</v>
      </c>
      <c r="J3727">
        <v>-195.8648</v>
      </c>
      <c r="K3727">
        <v>1.098489</v>
      </c>
      <c r="L3727">
        <v>156.1045</v>
      </c>
      <c r="M3727">
        <v>-0.57913669999999995</v>
      </c>
      <c r="N3727">
        <v>0</v>
      </c>
      <c r="O3727">
        <v>-0.81510159999999998</v>
      </c>
      <c r="P3727">
        <v>-0.71338489999999999</v>
      </c>
      <c r="Q3727">
        <v>3.5646300000000001E-3</v>
      </c>
      <c r="R3727">
        <v>-0.70076359999999904</v>
      </c>
      <c r="S3727">
        <v>-2.6187589999999998</v>
      </c>
      <c r="T3727">
        <v>-0.22847909999999999</v>
      </c>
      <c r="U3727">
        <v>-1.6262209999999999</v>
      </c>
      <c r="V3727">
        <v>0.17589730000000001</v>
      </c>
      <c r="W3727">
        <v>1.5343839999999999E-2</v>
      </c>
      <c r="X3727">
        <v>0.98428890000000002</v>
      </c>
      <c r="Y3727">
        <v>0.38456689999999999</v>
      </c>
      <c r="Z3727">
        <v>6.8862259999999995E-2</v>
      </c>
      <c r="AA3727">
        <v>0.92052500000000004</v>
      </c>
      <c r="AB3727">
        <v>23</v>
      </c>
      <c r="AC3727">
        <v>-12.4513</v>
      </c>
      <c r="AD3727">
        <v>-1.098497451504</v>
      </c>
      <c r="AE3727">
        <v>-7.6369999999999996</v>
      </c>
      <c r="AF3727">
        <v>5.6946020326407902</v>
      </c>
      <c r="AG3727">
        <v>-1.098497451504</v>
      </c>
      <c r="AH3727">
        <v>13.3617766775474</v>
      </c>
      <c r="AI3727">
        <v>94.325037772530607</v>
      </c>
      <c r="AJ3727">
        <v>66.916976389153405</v>
      </c>
      <c r="AK3727">
        <v>14.5661341797255</v>
      </c>
    </row>
    <row r="3728" spans="1:37" x14ac:dyDescent="0.2">
      <c r="A3728" t="str">
        <f>"20200111155923683"</f>
        <v>20200111155923683</v>
      </c>
      <c r="B3728" t="str">
        <f>"1578729563676228"</f>
        <v>1578729563676228</v>
      </c>
      <c r="C3728" t="s">
        <v>37</v>
      </c>
      <c r="D3728">
        <v>5.3202780000000001</v>
      </c>
      <c r="E3728">
        <v>0.58991349999999998</v>
      </c>
      <c r="F3728" t="s">
        <v>71</v>
      </c>
      <c r="G3728">
        <v>-208.39</v>
      </c>
      <c r="H3728" s="1">
        <v>-8.4253920000000005E-6</v>
      </c>
      <c r="I3728">
        <v>148.49260000000001</v>
      </c>
      <c r="J3728">
        <v>-196.0104</v>
      </c>
      <c r="K3728">
        <v>1.0985149999999999</v>
      </c>
      <c r="L3728">
        <v>155.91800000000001</v>
      </c>
      <c r="M3728">
        <v>-0.58668260000000005</v>
      </c>
      <c r="N3728">
        <v>0</v>
      </c>
      <c r="O3728">
        <v>-0.8096873</v>
      </c>
      <c r="P3728">
        <v>-0.720479599999999</v>
      </c>
      <c r="Q3728">
        <v>3.259592E-3</v>
      </c>
      <c r="R3728">
        <v>-0.69346850000000004</v>
      </c>
      <c r="S3728">
        <v>-2.6340180000000002</v>
      </c>
      <c r="T3728">
        <v>-0.23101099999999999</v>
      </c>
      <c r="U3728">
        <v>-1.600754</v>
      </c>
      <c r="V3728">
        <v>0.176765899999999</v>
      </c>
      <c r="W3728">
        <v>1.50306E-2</v>
      </c>
      <c r="X3728">
        <v>0.98413809999999902</v>
      </c>
      <c r="Y3728">
        <v>0.38481919999999997</v>
      </c>
      <c r="Z3728">
        <v>6.9344719999999999E-2</v>
      </c>
      <c r="AA3728">
        <v>0.92038330000000002</v>
      </c>
      <c r="AB3728">
        <v>23</v>
      </c>
      <c r="AC3728">
        <v>-12.3795999999999</v>
      </c>
      <c r="AD3728">
        <v>-1.098523425392</v>
      </c>
      <c r="AE3728">
        <v>-7.42539999999999</v>
      </c>
      <c r="AF3728">
        <v>5.6352146096007001</v>
      </c>
      <c r="AG3728">
        <v>-1.098523425392</v>
      </c>
      <c r="AH3728">
        <v>13.20010279295</v>
      </c>
      <c r="AI3728">
        <v>94.376774566000506</v>
      </c>
      <c r="AJ3728">
        <v>66.8820309156267</v>
      </c>
      <c r="AK3728">
        <v>14.394620910494201</v>
      </c>
    </row>
    <row r="3729" spans="1:37" x14ac:dyDescent="0.2">
      <c r="A3729" t="str">
        <f>"20200111155923706"</f>
        <v>20200111155923706</v>
      </c>
      <c r="B3729" t="str">
        <f>"1578729563695748"</f>
        <v>1578729563695748</v>
      </c>
      <c r="C3729" t="s">
        <v>37</v>
      </c>
      <c r="D3729">
        <v>5.178007</v>
      </c>
      <c r="E3729">
        <v>0.62178029999999995</v>
      </c>
      <c r="F3729" t="s">
        <v>71</v>
      </c>
      <c r="G3729">
        <v>-208.59460000000001</v>
      </c>
      <c r="H3729" s="1">
        <v>-8.3210569999999997E-6</v>
      </c>
      <c r="I3729">
        <v>148.44110000000001</v>
      </c>
      <c r="J3729">
        <v>-196.16069999999999</v>
      </c>
      <c r="K3729">
        <v>1.098535</v>
      </c>
      <c r="L3729">
        <v>155.72919999999999</v>
      </c>
      <c r="M3729">
        <v>-0.59431099999999903</v>
      </c>
      <c r="N3729">
        <v>0</v>
      </c>
      <c r="O3729">
        <v>-0.80410490000000001</v>
      </c>
      <c r="P3729">
        <v>-0.72787489999999999</v>
      </c>
      <c r="Q3729">
        <v>2.8506829999999901E-3</v>
      </c>
      <c r="R3729">
        <v>-0.68570410000000004</v>
      </c>
      <c r="S3729">
        <v>-2.6496580000000001</v>
      </c>
      <c r="T3729">
        <v>-0.23129910000000001</v>
      </c>
      <c r="U3729">
        <v>-1.5742799999999999</v>
      </c>
      <c r="V3729">
        <v>0.1780079</v>
      </c>
      <c r="W3729">
        <v>1.4606259999999999E-2</v>
      </c>
      <c r="X3729">
        <v>0.98392060000000003</v>
      </c>
      <c r="Y3729">
        <v>0.38528429999999902</v>
      </c>
      <c r="Z3729">
        <v>6.9144949999999997E-2</v>
      </c>
      <c r="AA3729">
        <v>0.92020369999999996</v>
      </c>
      <c r="AB3729">
        <v>23</v>
      </c>
      <c r="AC3729">
        <v>-12.4339</v>
      </c>
      <c r="AD3729">
        <v>-1.0985433210569999</v>
      </c>
      <c r="AE3729">
        <v>-7.2880999999999796</v>
      </c>
      <c r="AF3729">
        <v>5.6346203940795503</v>
      </c>
      <c r="AG3729">
        <v>-1.0985433210569999</v>
      </c>
      <c r="AH3729">
        <v>13.1748472818732</v>
      </c>
      <c r="AI3729">
        <v>94.383990775628305</v>
      </c>
      <c r="AJ3729">
        <v>66.8445667773114</v>
      </c>
      <c r="AK3729">
        <v>14.3712332565545</v>
      </c>
    </row>
    <row r="3730" spans="1:37" x14ac:dyDescent="0.2">
      <c r="A3730" t="str">
        <f>"20200111155923794"</f>
        <v>20200111155923794</v>
      </c>
      <c r="B3730" t="str">
        <f>"1578729563785954"</f>
        <v>1578729563785954</v>
      </c>
      <c r="C3730" t="s">
        <v>37</v>
      </c>
      <c r="D3730">
        <v>5.301215</v>
      </c>
      <c r="E3730">
        <v>0.62702259999999999</v>
      </c>
      <c r="F3730" t="s">
        <v>39</v>
      </c>
      <c r="G3730">
        <v>-211.6293</v>
      </c>
      <c r="H3730" s="1">
        <v>-5.631768E-6</v>
      </c>
      <c r="I3730">
        <v>148.33269999999999</v>
      </c>
      <c r="J3730">
        <v>-196.75710000000001</v>
      </c>
      <c r="K3730">
        <v>1.098627</v>
      </c>
      <c r="L3730">
        <v>155.0146</v>
      </c>
      <c r="M3730">
        <v>-0.62315769999999904</v>
      </c>
      <c r="N3730">
        <v>0</v>
      </c>
      <c r="O3730">
        <v>-0.78196259999999995</v>
      </c>
      <c r="P3730">
        <v>-0.75406569999999995</v>
      </c>
      <c r="Q3730">
        <v>1.2437699999999999E-3</v>
      </c>
      <c r="R3730">
        <v>-0.6567984</v>
      </c>
      <c r="S3730">
        <v>-2.842117</v>
      </c>
      <c r="T3730">
        <v>-0.20183979999999899</v>
      </c>
      <c r="U3730">
        <v>-1.358978</v>
      </c>
      <c r="V3730">
        <v>0.18057799999999999</v>
      </c>
      <c r="W3730">
        <v>1.297182E-2</v>
      </c>
      <c r="X3730">
        <v>0.98347510000000005</v>
      </c>
      <c r="Y3730">
        <v>0.43474859999999999</v>
      </c>
      <c r="Z3730">
        <v>5.9153499999999998E-2</v>
      </c>
      <c r="AA3730">
        <v>0.89860699999999905</v>
      </c>
      <c r="AB3730">
        <v>23</v>
      </c>
      <c r="AC3730">
        <v>-14.8721999999999</v>
      </c>
      <c r="AD3730">
        <v>-1.098632631768</v>
      </c>
      <c r="AE3730">
        <v>-6.6819000000000104</v>
      </c>
      <c r="AF3730">
        <v>7.4326591589062101</v>
      </c>
      <c r="AG3730">
        <v>-1.098632631768</v>
      </c>
      <c r="AH3730">
        <v>14.428723191691301</v>
      </c>
      <c r="AI3730">
        <v>93.872384748908601</v>
      </c>
      <c r="AJ3730">
        <v>62.745674131081003</v>
      </c>
      <c r="AK3730">
        <v>16.2677431985665</v>
      </c>
    </row>
    <row r="3731" spans="1:37" x14ac:dyDescent="0.2">
      <c r="A3731" t="str">
        <f>"20200111155923816"</f>
        <v>20200111155923816</v>
      </c>
      <c r="B3731" t="str">
        <f>"1578729563805474"</f>
        <v>1578729563805474</v>
      </c>
      <c r="C3731" t="s">
        <v>37</v>
      </c>
      <c r="D3731">
        <v>5.259862</v>
      </c>
      <c r="E3731">
        <v>0.63143099999999996</v>
      </c>
      <c r="F3731" t="s">
        <v>39</v>
      </c>
      <c r="G3731">
        <v>-211.6748</v>
      </c>
      <c r="H3731" s="1">
        <v>-5.6980529999999901E-6</v>
      </c>
      <c r="I3731">
        <v>148.8049</v>
      </c>
      <c r="J3731">
        <v>-196.90360000000001</v>
      </c>
      <c r="K3731">
        <v>1.0986389999999999</v>
      </c>
      <c r="L3731">
        <v>154.84690000000001</v>
      </c>
      <c r="M3731">
        <v>-0.62993100000000002</v>
      </c>
      <c r="N3731">
        <v>0</v>
      </c>
      <c r="O3731">
        <v>-0.77651669999999995</v>
      </c>
      <c r="P3731">
        <v>-0.76025310000000001</v>
      </c>
      <c r="Q3731">
        <v>5.671103E-4</v>
      </c>
      <c r="R3731">
        <v>-0.64962710000000001</v>
      </c>
      <c r="S3731">
        <v>-2.9200439999999999</v>
      </c>
      <c r="T3731">
        <v>-0.21505079999999999</v>
      </c>
      <c r="U3731">
        <v>-1.21553</v>
      </c>
      <c r="V3731">
        <v>0.18133469999999999</v>
      </c>
      <c r="W3731">
        <v>1.2284750000000001E-2</v>
      </c>
      <c r="X3731">
        <v>0.98334469999999996</v>
      </c>
      <c r="Y3731">
        <v>0.47255720000000001</v>
      </c>
      <c r="Z3731">
        <v>6.34604E-2</v>
      </c>
      <c r="AA3731">
        <v>0.87901219999999902</v>
      </c>
      <c r="AB3731">
        <v>23</v>
      </c>
      <c r="AC3731">
        <v>-14.771199999999901</v>
      </c>
      <c r="AD3731">
        <v>-1.098644698053</v>
      </c>
      <c r="AE3731">
        <v>-6.0419999999999998</v>
      </c>
      <c r="AF3731">
        <v>7.6286873447639598</v>
      </c>
      <c r="AG3731">
        <v>-1.098644698053</v>
      </c>
      <c r="AH3731">
        <v>13.9319867661904</v>
      </c>
      <c r="AI3731">
        <v>93.956695272496702</v>
      </c>
      <c r="AJ3731">
        <v>61.296369646439203</v>
      </c>
      <c r="AK3731">
        <v>15.921813528302099</v>
      </c>
    </row>
    <row r="3732" spans="1:37" x14ac:dyDescent="0.2">
      <c r="A3732" t="str">
        <f>"20200111155923840"</f>
        <v>20200111155923840</v>
      </c>
      <c r="B3732" t="str">
        <f>"1578729563835731"</f>
        <v>1578729563835731</v>
      </c>
      <c r="C3732" t="s">
        <v>37</v>
      </c>
      <c r="D3732">
        <v>5.33169</v>
      </c>
      <c r="E3732">
        <v>0.63300290000000003</v>
      </c>
      <c r="F3732" t="s">
        <v>71</v>
      </c>
      <c r="G3732">
        <v>-209.87200000000001</v>
      </c>
      <c r="H3732">
        <v>7.998545E-2</v>
      </c>
      <c r="I3732">
        <v>149.74600000000001</v>
      </c>
      <c r="J3732">
        <v>-197.06569999999999</v>
      </c>
      <c r="K3732">
        <v>1.098651</v>
      </c>
      <c r="L3732">
        <v>154.66460000000001</v>
      </c>
      <c r="M3732">
        <v>-0.63729569999999902</v>
      </c>
      <c r="N3732">
        <v>0</v>
      </c>
      <c r="O3732">
        <v>-0.77048399999999995</v>
      </c>
      <c r="P3732">
        <v>-0.76751979999999997</v>
      </c>
      <c r="Q3732">
        <v>-1.2088719999999999E-3</v>
      </c>
      <c r="R3732">
        <v>-0.64102409999999999</v>
      </c>
      <c r="S3732">
        <v>-2.9535369999999999</v>
      </c>
      <c r="T3732">
        <v>-0.23199610000000001</v>
      </c>
      <c r="U3732">
        <v>-1.161713</v>
      </c>
      <c r="V3732">
        <v>0.1830205</v>
      </c>
      <c r="W3732">
        <v>1.04829E-2</v>
      </c>
      <c r="X3732">
        <v>0.98305319999999996</v>
      </c>
      <c r="Y3732">
        <v>0.48111199999999998</v>
      </c>
      <c r="Z3732">
        <v>6.8147379999999994E-2</v>
      </c>
      <c r="AA3732">
        <v>0.87400639999999996</v>
      </c>
      <c r="AB3732">
        <v>23</v>
      </c>
      <c r="AC3732">
        <v>-12.8063</v>
      </c>
      <c r="AD3732">
        <v>-1.0186655499999999</v>
      </c>
      <c r="AE3732">
        <v>-4.9185999999999899</v>
      </c>
      <c r="AF3732">
        <v>6.6962266971822801</v>
      </c>
      <c r="AG3732">
        <v>-1.0186655499999999</v>
      </c>
      <c r="AH3732">
        <v>11.8868067312638</v>
      </c>
      <c r="AI3732">
        <v>94.270064143525104</v>
      </c>
      <c r="AJ3732">
        <v>60.606017446187003</v>
      </c>
      <c r="AK3732">
        <v>13.681129549464501</v>
      </c>
    </row>
    <row r="3733" spans="1:37" x14ac:dyDescent="0.2">
      <c r="A3733" t="str">
        <f>"20200111155923873"</f>
        <v>20200111155923873</v>
      </c>
      <c r="B3733" t="str">
        <f>"1578729563865519"</f>
        <v>1578729563865519</v>
      </c>
      <c r="C3733" t="s">
        <v>37</v>
      </c>
      <c r="D3733">
        <v>5.3272069999999996</v>
      </c>
      <c r="E3733">
        <v>0.63228490000000004</v>
      </c>
      <c r="F3733" t="s">
        <v>71</v>
      </c>
      <c r="G3733">
        <v>-209.31219999999999</v>
      </c>
      <c r="H3733">
        <v>7.9985349999999997E-2</v>
      </c>
      <c r="I3733">
        <v>150.05430000000001</v>
      </c>
      <c r="J3733">
        <v>-197.3</v>
      </c>
      <c r="K3733">
        <v>1.098665</v>
      </c>
      <c r="L3733">
        <v>154.40719999999999</v>
      </c>
      <c r="M3733">
        <v>-0.6477098</v>
      </c>
      <c r="N3733">
        <v>0</v>
      </c>
      <c r="O3733">
        <v>-0.76175029999999999</v>
      </c>
      <c r="P3733">
        <v>-0.77694019999999897</v>
      </c>
      <c r="Q3733">
        <v>-4.1382929999999899E-3</v>
      </c>
      <c r="R3733">
        <v>-0.62956069999999997</v>
      </c>
      <c r="S3733">
        <v>-2.9734189999999998</v>
      </c>
      <c r="T3733">
        <v>-0.2473291</v>
      </c>
      <c r="U3733">
        <v>-1.11937</v>
      </c>
      <c r="V3733">
        <v>0.18420149999999999</v>
      </c>
      <c r="W3733">
        <v>7.5371199999999996E-3</v>
      </c>
      <c r="X3733">
        <v>0.98285959999999895</v>
      </c>
      <c r="Y3733">
        <v>0.48170590000000002</v>
      </c>
      <c r="Z3733">
        <v>7.2106310000000007E-2</v>
      </c>
      <c r="AA3733">
        <v>0.87336130000000001</v>
      </c>
      <c r="AB3733">
        <v>23</v>
      </c>
      <c r="AC3733">
        <v>-12.012199999999901</v>
      </c>
      <c r="AD3733">
        <v>-1.0186796499999999</v>
      </c>
      <c r="AE3733">
        <v>-4.3528999999999698</v>
      </c>
      <c r="AF3733">
        <v>6.2915461833434199</v>
      </c>
      <c r="AG3733">
        <v>-1.0186796499999999</v>
      </c>
      <c r="AH3733">
        <v>11.0272998004549</v>
      </c>
      <c r="AI3733">
        <v>94.587421941807406</v>
      </c>
      <c r="AJ3733">
        <v>60.293392979544102</v>
      </c>
      <c r="AK3733">
        <v>12.736663711332699</v>
      </c>
    </row>
    <row r="3734" spans="1:37" x14ac:dyDescent="0.2">
      <c r="A3734" t="str">
        <f>"20200111155923895"</f>
        <v>20200111155923895</v>
      </c>
      <c r="B3734" t="str">
        <f>"1578729563886014"</f>
        <v>1578729563886014</v>
      </c>
      <c r="C3734" t="s">
        <v>37</v>
      </c>
      <c r="D3734">
        <v>5.3601960000000002</v>
      </c>
      <c r="E3734">
        <v>0.63148959999999998</v>
      </c>
      <c r="F3734" t="s">
        <v>71</v>
      </c>
      <c r="G3734">
        <v>-208.91980000000001</v>
      </c>
      <c r="H3734">
        <v>7.9985280000000006E-2</v>
      </c>
      <c r="I3734">
        <v>150.20609999999999</v>
      </c>
      <c r="J3734">
        <v>-197.45679999999999</v>
      </c>
      <c r="K3734">
        <v>1.0986849999999999</v>
      </c>
      <c r="L3734">
        <v>154.2389</v>
      </c>
      <c r="M3734">
        <v>-0.65452719999999998</v>
      </c>
      <c r="N3734">
        <v>0</v>
      </c>
      <c r="O3734">
        <v>-0.75590059999999903</v>
      </c>
      <c r="P3734">
        <v>-0.78250090000000005</v>
      </c>
      <c r="Q3734">
        <v>-5.292181E-3</v>
      </c>
      <c r="R3734">
        <v>-0.62262709999999999</v>
      </c>
      <c r="S3734">
        <v>-2.9853209999999999</v>
      </c>
      <c r="T3734">
        <v>-0.26171610000000001</v>
      </c>
      <c r="U3734">
        <v>-1.0793299999999999</v>
      </c>
      <c r="V3734">
        <v>0.18409010000000001</v>
      </c>
      <c r="W3734">
        <v>6.3874909999999899E-3</v>
      </c>
      <c r="X3734">
        <v>0.9828886</v>
      </c>
      <c r="Y3734">
        <v>0.48493589999999998</v>
      </c>
      <c r="Z3734">
        <v>7.6117379999999998E-2</v>
      </c>
      <c r="AA3734">
        <v>0.87123090000000003</v>
      </c>
      <c r="AB3734">
        <v>23</v>
      </c>
      <c r="AC3734">
        <v>-11.462999999999999</v>
      </c>
      <c r="AD3734">
        <v>-1.0186997200000001</v>
      </c>
      <c r="AE3734">
        <v>-4.0327999999999999</v>
      </c>
      <c r="AF3734">
        <v>5.9838858661075696</v>
      </c>
      <c r="AG3734">
        <v>-1.0186997200000001</v>
      </c>
      <c r="AH3734">
        <v>10.478698990405601</v>
      </c>
      <c r="AI3734">
        <v>94.825525684328497</v>
      </c>
      <c r="AJ3734">
        <v>60.2713704156034</v>
      </c>
      <c r="AK3734">
        <v>12.1098212914005</v>
      </c>
    </row>
    <row r="3735" spans="1:37" x14ac:dyDescent="0.2">
      <c r="A3735" t="str">
        <f>"20200111155923919"</f>
        <v>20200111155923919</v>
      </c>
      <c r="B3735" t="str">
        <f>"1578729563916271"</f>
        <v>1578729563916271</v>
      </c>
      <c r="C3735" t="s">
        <v>37</v>
      </c>
      <c r="D3735">
        <v>5.371632</v>
      </c>
      <c r="E3735">
        <v>0.62968009999999996</v>
      </c>
      <c r="F3735" t="s">
        <v>71</v>
      </c>
      <c r="G3735">
        <v>-208.9734</v>
      </c>
      <c r="H3735">
        <v>7.9985290000000001E-2</v>
      </c>
      <c r="I3735">
        <v>150.16820000000001</v>
      </c>
      <c r="J3735">
        <v>-197.6198</v>
      </c>
      <c r="K3735">
        <v>1.0986940000000001</v>
      </c>
      <c r="L3735">
        <v>154.06710000000001</v>
      </c>
      <c r="M3735">
        <v>-0.66149199999999997</v>
      </c>
      <c r="N3735">
        <v>0</v>
      </c>
      <c r="O3735">
        <v>-0.74981319999999996</v>
      </c>
      <c r="P3735">
        <v>-0.7874873</v>
      </c>
      <c r="Q3735">
        <v>-6.2430330000000003E-3</v>
      </c>
      <c r="R3735">
        <v>-0.61629880000000004</v>
      </c>
      <c r="S3735">
        <v>-2.990891</v>
      </c>
      <c r="T3735">
        <v>-0.26455909999999999</v>
      </c>
      <c r="U3735">
        <v>-1.057175</v>
      </c>
      <c r="V3735">
        <v>0.18290190000000001</v>
      </c>
      <c r="W3735">
        <v>5.4576759999999998E-3</v>
      </c>
      <c r="X3735">
        <v>0.98311599999999999</v>
      </c>
      <c r="Y3735">
        <v>0.48303770000000001</v>
      </c>
      <c r="Z3735">
        <v>7.6574920000000005E-2</v>
      </c>
      <c r="AA3735">
        <v>0.87224469999999998</v>
      </c>
      <c r="AB3735">
        <v>23</v>
      </c>
      <c r="AC3735">
        <v>-11.3536</v>
      </c>
      <c r="AD3735">
        <v>-1.0187087100000001</v>
      </c>
      <c r="AE3735">
        <v>-3.89889999999999</v>
      </c>
      <c r="AF3735">
        <v>5.8921745912403498</v>
      </c>
      <c r="AG3735">
        <v>-1.0187087100000001</v>
      </c>
      <c r="AH3735">
        <v>10.360241540211399</v>
      </c>
      <c r="AI3735">
        <v>94.885333610803698</v>
      </c>
      <c r="AJ3735">
        <v>60.371834754695399</v>
      </c>
      <c r="AK3735">
        <v>11.962027153497401</v>
      </c>
    </row>
    <row r="3736" spans="1:37" x14ac:dyDescent="0.2">
      <c r="A3736" t="str">
        <f>"20200111155923940"</f>
        <v>20200111155923940</v>
      </c>
      <c r="B3736" t="str">
        <f>"1578729563935791"</f>
        <v>1578729563935791</v>
      </c>
      <c r="C3736" t="s">
        <v>37</v>
      </c>
      <c r="D3736">
        <v>5.432938</v>
      </c>
      <c r="E3736">
        <v>0.6291409</v>
      </c>
      <c r="F3736" t="s">
        <v>71</v>
      </c>
      <c r="G3736">
        <v>-208.97239999999999</v>
      </c>
      <c r="H3736">
        <v>7.9985299999999995E-2</v>
      </c>
      <c r="I3736">
        <v>150.10319999999999</v>
      </c>
      <c r="J3736">
        <v>-197.77379999999999</v>
      </c>
      <c r="K3736">
        <v>1.098706</v>
      </c>
      <c r="L3736">
        <v>153.9076</v>
      </c>
      <c r="M3736">
        <v>-0.667965699999999</v>
      </c>
      <c r="N3736">
        <v>0</v>
      </c>
      <c r="O3736">
        <v>-0.74405239999999995</v>
      </c>
      <c r="P3736">
        <v>-0.79171530000000001</v>
      </c>
      <c r="Q3736">
        <v>-6.7665190000000004E-3</v>
      </c>
      <c r="R3736">
        <v>-0.61085279999999997</v>
      </c>
      <c r="S3736">
        <v>-2.990326</v>
      </c>
      <c r="T3736">
        <v>-0.26833109999999999</v>
      </c>
      <c r="U3736">
        <v>-1.0441129999999901</v>
      </c>
      <c r="V3736">
        <v>0.1811519</v>
      </c>
      <c r="W3736">
        <v>4.96463299999999E-3</v>
      </c>
      <c r="X3736">
        <v>0.98344259999999994</v>
      </c>
      <c r="Y3736">
        <v>0.47870750000000001</v>
      </c>
      <c r="Z3736">
        <v>7.7286560000000004E-2</v>
      </c>
      <c r="AA3736">
        <v>0.87456619999999996</v>
      </c>
      <c r="AB3736">
        <v>23</v>
      </c>
      <c r="AC3736">
        <v>-11.198600000000001</v>
      </c>
      <c r="AD3736">
        <v>-1.0187207</v>
      </c>
      <c r="AE3736">
        <v>-3.80440000000001</v>
      </c>
      <c r="AF3736">
        <v>5.7490856981251</v>
      </c>
      <c r="AG3736">
        <v>-1.0187207</v>
      </c>
      <c r="AH3736">
        <v>10.236083387529799</v>
      </c>
      <c r="AI3736">
        <v>94.959299933454304</v>
      </c>
      <c r="AJ3736">
        <v>60.6793004600461</v>
      </c>
      <c r="AK3736">
        <v>11.784192010717501</v>
      </c>
    </row>
    <row r="3737" spans="1:37" x14ac:dyDescent="0.2">
      <c r="A3737" t="str">
        <f>"20200111155923962"</f>
        <v>20200111155923962</v>
      </c>
      <c r="B3737" t="str">
        <f>"1578729563955819"</f>
        <v>1578729563955819</v>
      </c>
      <c r="C3737" t="s">
        <v>37</v>
      </c>
      <c r="D3737">
        <v>5.4427699999999897</v>
      </c>
      <c r="E3737">
        <v>0.61798540000000002</v>
      </c>
      <c r="F3737" t="s">
        <v>71</v>
      </c>
      <c r="G3737">
        <v>-209.1395</v>
      </c>
      <c r="H3737">
        <v>7.9985319999999999E-2</v>
      </c>
      <c r="I3737">
        <v>150.01230000000001</v>
      </c>
      <c r="J3737">
        <v>-197.93819999999999</v>
      </c>
      <c r="K3737">
        <v>1.0987199999999999</v>
      </c>
      <c r="L3737">
        <v>153.74029999999999</v>
      </c>
      <c r="M3737">
        <v>-0.67476049999999999</v>
      </c>
      <c r="N3737">
        <v>0</v>
      </c>
      <c r="O3737">
        <v>-0.73789589999999905</v>
      </c>
      <c r="P3737">
        <v>-0.79602019999999996</v>
      </c>
      <c r="Q3737">
        <v>-6.4995769999999899E-3</v>
      </c>
      <c r="R3737">
        <v>-0.60523570000000004</v>
      </c>
      <c r="S3737">
        <v>-2.99498</v>
      </c>
      <c r="T3737">
        <v>-0.26844200000000001</v>
      </c>
      <c r="U3737">
        <v>-1.026443</v>
      </c>
      <c r="V3737">
        <v>0.17909739999999999</v>
      </c>
      <c r="W3737">
        <v>5.2674200000000001E-3</v>
      </c>
      <c r="X3737">
        <v>0.98381730000000001</v>
      </c>
      <c r="Y3737">
        <v>0.47571479999999999</v>
      </c>
      <c r="Z3737">
        <v>7.6875239999999997E-2</v>
      </c>
      <c r="AA3737">
        <v>0.87623379999999995</v>
      </c>
      <c r="AB3737">
        <v>23</v>
      </c>
      <c r="AC3737">
        <v>-11.2013</v>
      </c>
      <c r="AD3737">
        <v>-1.0187346799999999</v>
      </c>
      <c r="AE3737">
        <v>-3.7279999999999802</v>
      </c>
      <c r="AF3737">
        <v>5.7079786060154598</v>
      </c>
      <c r="AG3737">
        <v>-1.0187346799999999</v>
      </c>
      <c r="AH3737">
        <v>10.233933850485499</v>
      </c>
      <c r="AI3737">
        <v>94.968611993777799</v>
      </c>
      <c r="AJ3737">
        <v>60.849398334326203</v>
      </c>
      <c r="AK3737">
        <v>11.762322992125201</v>
      </c>
    </row>
    <row r="3738" spans="1:37" x14ac:dyDescent="0.2">
      <c r="A3738" t="str">
        <f>"20200111155923984"</f>
        <v>20200111155923984</v>
      </c>
      <c r="B3738" t="str">
        <f>"1578729563976315"</f>
        <v>1578729563976315</v>
      </c>
      <c r="C3738" t="s">
        <v>37</v>
      </c>
      <c r="D3738">
        <v>5.3481500000000004</v>
      </c>
      <c r="E3738">
        <v>0.61810109999999996</v>
      </c>
      <c r="F3738" t="s">
        <v>71</v>
      </c>
      <c r="G3738">
        <v>-208.21090000000001</v>
      </c>
      <c r="H3738">
        <v>7.9985189999999998E-2</v>
      </c>
      <c r="I3738">
        <v>149.98580000000001</v>
      </c>
      <c r="J3738">
        <v>-198.09970000000001</v>
      </c>
      <c r="K3738">
        <v>1.0987359999999999</v>
      </c>
      <c r="L3738">
        <v>153.57900000000001</v>
      </c>
      <c r="M3738">
        <v>-0.68132099999999995</v>
      </c>
      <c r="N3738">
        <v>0</v>
      </c>
      <c r="O3738">
        <v>-0.73184280000000002</v>
      </c>
      <c r="P3738">
        <v>-0.80024010000000001</v>
      </c>
      <c r="Q3738">
        <v>-6.5726819999999998E-3</v>
      </c>
      <c r="R3738">
        <v>-0.59964390000000001</v>
      </c>
      <c r="S3738">
        <v>-2.9473419999999999</v>
      </c>
      <c r="T3738">
        <v>-0.29228399999999999</v>
      </c>
      <c r="U3738">
        <v>-1.077194</v>
      </c>
      <c r="V3738">
        <v>0.17720520000000001</v>
      </c>
      <c r="W3738">
        <v>5.2264130000000001E-3</v>
      </c>
      <c r="X3738">
        <v>0.98416009999999998</v>
      </c>
      <c r="Y3738">
        <v>0.44931459999999901</v>
      </c>
      <c r="Z3738">
        <v>8.2999100000000006E-2</v>
      </c>
      <c r="AA3738">
        <v>0.88950969999999996</v>
      </c>
      <c r="AB3738">
        <v>23</v>
      </c>
      <c r="AC3738">
        <v>-10.111199999999901</v>
      </c>
      <c r="AD3738">
        <v>-1.01875081</v>
      </c>
      <c r="AE3738">
        <v>-3.5931999999999902</v>
      </c>
      <c r="AF3738">
        <v>4.9079641630041504</v>
      </c>
      <c r="AG3738">
        <v>-1.01875081</v>
      </c>
      <c r="AH3738">
        <v>9.4345833419291605</v>
      </c>
      <c r="AI3738">
        <v>95.471887106436597</v>
      </c>
      <c r="AJ3738">
        <v>62.516100155697202</v>
      </c>
      <c r="AK3738">
        <v>10.683507302099599</v>
      </c>
    </row>
    <row r="3739" spans="1:37" x14ac:dyDescent="0.2">
      <c r="A3739" t="str">
        <f>"20200111155924008"</f>
        <v>20200111155924008</v>
      </c>
      <c r="B3739" t="str">
        <f>"1578729563995834"</f>
        <v>1578729563995834</v>
      </c>
      <c r="C3739" t="s">
        <v>37</v>
      </c>
      <c r="D3739">
        <v>5.366943</v>
      </c>
      <c r="E3739">
        <v>0.61790819999999902</v>
      </c>
      <c r="F3739" t="s">
        <v>71</v>
      </c>
      <c r="G3739">
        <v>-208.7559</v>
      </c>
      <c r="H3739">
        <v>7.9985280000000006E-2</v>
      </c>
      <c r="I3739">
        <v>149.7748</v>
      </c>
      <c r="J3739">
        <v>-198.26910000000001</v>
      </c>
      <c r="K3739">
        <v>1.099126</v>
      </c>
      <c r="L3739">
        <v>153.41220000000001</v>
      </c>
      <c r="M3739">
        <v>-0.68879969999999902</v>
      </c>
      <c r="N3739">
        <v>0</v>
      </c>
      <c r="O3739">
        <v>-0.72479890000000002</v>
      </c>
      <c r="P3739">
        <v>-0.80557880000000004</v>
      </c>
      <c r="Q3739">
        <v>-7.5734649999999997E-3</v>
      </c>
      <c r="R3739">
        <v>-0.59244039999999998</v>
      </c>
      <c r="S3739">
        <v>-2.9558409999999999</v>
      </c>
      <c r="T3739">
        <v>-0.28258129999999998</v>
      </c>
      <c r="U3739">
        <v>-1.055191</v>
      </c>
      <c r="V3739">
        <v>0.17590639999999999</v>
      </c>
      <c r="W3739">
        <v>4.8125249999999998E-3</v>
      </c>
      <c r="X3739">
        <v>0.98439509999999897</v>
      </c>
      <c r="Y3739">
        <v>0.4471369</v>
      </c>
      <c r="Z3739">
        <v>7.969482E-2</v>
      </c>
      <c r="AA3739">
        <v>0.89090809999999998</v>
      </c>
      <c r="AB3739">
        <v>23</v>
      </c>
      <c r="AC3739">
        <v>-10.486799999999899</v>
      </c>
      <c r="AD3739">
        <v>-1.01914072</v>
      </c>
      <c r="AE3739">
        <v>-3.6374000000000102</v>
      </c>
      <c r="AF3739">
        <v>5.0533441802949204</v>
      </c>
      <c r="AG3739">
        <v>-1.01914072</v>
      </c>
      <c r="AH3739">
        <v>9.7783457820258395</v>
      </c>
      <c r="AI3739">
        <v>95.289984527666604</v>
      </c>
      <c r="AJ3739">
        <v>62.6705644043696</v>
      </c>
      <c r="AK3739">
        <v>11.0540029602196</v>
      </c>
    </row>
    <row r="3740" spans="1:37" x14ac:dyDescent="0.2">
      <c r="A3740" t="str">
        <f>"20200111155924029"</f>
        <v>20200111155924029</v>
      </c>
      <c r="B3740" t="str">
        <f>"1578729564026091"</f>
        <v>1578729564026091</v>
      </c>
      <c r="C3740" t="s">
        <v>37</v>
      </c>
      <c r="D3740">
        <v>5.44895</v>
      </c>
      <c r="E3740">
        <v>0.61661829999999995</v>
      </c>
      <c r="F3740" t="s">
        <v>71</v>
      </c>
      <c r="G3740">
        <v>-208.9547</v>
      </c>
      <c r="H3740">
        <v>7.9985310000000004E-2</v>
      </c>
      <c r="I3740">
        <v>149.70189999999999</v>
      </c>
      <c r="J3740">
        <v>-198.4178</v>
      </c>
      <c r="K3740">
        <v>1.0993599999999999</v>
      </c>
      <c r="L3740">
        <v>153.2672</v>
      </c>
      <c r="M3740">
        <v>-0.69608130000000001</v>
      </c>
      <c r="N3740">
        <v>0</v>
      </c>
      <c r="O3740">
        <v>-0.71780089999999996</v>
      </c>
      <c r="P3740">
        <v>-0.81157979999999996</v>
      </c>
      <c r="Q3740">
        <v>-8.5916440000000007E-3</v>
      </c>
      <c r="R3740">
        <v>-0.584179</v>
      </c>
      <c r="S3740">
        <v>-2.9644169999999899</v>
      </c>
      <c r="T3740">
        <v>-0.2827308</v>
      </c>
      <c r="U3740">
        <v>-1.029312</v>
      </c>
      <c r="V3740">
        <v>0.17600729999999901</v>
      </c>
      <c r="W3740">
        <v>4.0815399999999998E-3</v>
      </c>
      <c r="X3740">
        <v>0.98438040000000004</v>
      </c>
      <c r="Y3740">
        <v>0.4458725</v>
      </c>
      <c r="Z3740">
        <v>7.9230599999999998E-2</v>
      </c>
      <c r="AA3740">
        <v>0.89158300000000001</v>
      </c>
      <c r="AB3740">
        <v>22</v>
      </c>
      <c r="AC3740">
        <v>-10.536899999999999</v>
      </c>
      <c r="AD3740">
        <v>-1.01937469</v>
      </c>
      <c r="AE3740">
        <v>-3.5653000000000001</v>
      </c>
      <c r="AF3740">
        <v>5.0399246604146501</v>
      </c>
      <c r="AG3740">
        <v>-1.01937469</v>
      </c>
      <c r="AH3740">
        <v>9.8124627197247491</v>
      </c>
      <c r="AI3740">
        <v>95.279658368670894</v>
      </c>
      <c r="AJ3740">
        <v>62.813841312961301</v>
      </c>
      <c r="AK3740">
        <v>11.0781040781921</v>
      </c>
    </row>
    <row r="3741" spans="1:37" x14ac:dyDescent="0.2">
      <c r="A3741" t="str">
        <f>"20200111155924053"</f>
        <v>20200111155924053</v>
      </c>
      <c r="B3741" t="str">
        <f>"1578729564045611"</f>
        <v>1578729564045611</v>
      </c>
      <c r="C3741" t="s">
        <v>37</v>
      </c>
      <c r="D3741">
        <v>5.5850460000000002</v>
      </c>
      <c r="E3741">
        <v>0.61621319999999902</v>
      </c>
      <c r="F3741" t="s">
        <v>71</v>
      </c>
      <c r="G3741">
        <v>-208.9872</v>
      </c>
      <c r="H3741">
        <v>7.9985319999999999E-2</v>
      </c>
      <c r="I3741">
        <v>149.68180000000001</v>
      </c>
      <c r="J3741">
        <v>-198.6009</v>
      </c>
      <c r="K3741">
        <v>1.098662</v>
      </c>
      <c r="L3741">
        <v>153.09129999999999</v>
      </c>
      <c r="M3741">
        <v>-0.70503149999999903</v>
      </c>
      <c r="N3741">
        <v>0</v>
      </c>
      <c r="O3741">
        <v>-0.70901910000000001</v>
      </c>
      <c r="P3741">
        <v>-0.81908029999999998</v>
      </c>
      <c r="Q3741">
        <v>-7.5382169999999998E-3</v>
      </c>
      <c r="R3741">
        <v>-0.57362950000000001</v>
      </c>
      <c r="S3741">
        <v>-2.9685820000000001</v>
      </c>
      <c r="T3741">
        <v>-0.28630879999999997</v>
      </c>
      <c r="U3741">
        <v>-1.007034</v>
      </c>
      <c r="V3741">
        <v>0.17643139999999999</v>
      </c>
      <c r="W3741">
        <v>4.1940720000000001E-3</v>
      </c>
      <c r="X3741">
        <v>0.98430399999999996</v>
      </c>
      <c r="Y3741">
        <v>0.44096459999999998</v>
      </c>
      <c r="Z3741">
        <v>7.9519430000000002E-2</v>
      </c>
      <c r="AA3741">
        <v>0.89399490000000004</v>
      </c>
      <c r="AB3741">
        <v>22</v>
      </c>
      <c r="AC3741">
        <v>-10.3863</v>
      </c>
      <c r="AD3741">
        <v>-1.01867668</v>
      </c>
      <c r="AE3741">
        <v>-3.4094999999999702</v>
      </c>
      <c r="AF3741">
        <v>4.9181245532859403</v>
      </c>
      <c r="AG3741">
        <v>-1.01867668</v>
      </c>
      <c r="AH3741">
        <v>9.6572919665695203</v>
      </c>
      <c r="AI3741">
        <v>95.369774479867104</v>
      </c>
      <c r="AJ3741">
        <v>63.0118305219573</v>
      </c>
      <c r="AK3741">
        <v>10.8852624877665</v>
      </c>
    </row>
    <row r="3742" spans="1:37" x14ac:dyDescent="0.2">
      <c r="A3742" t="str">
        <f>"20200111155924074"</f>
        <v>20200111155924074</v>
      </c>
      <c r="B3742" t="str">
        <f>"1578729564066108"</f>
        <v>1578729564066108</v>
      </c>
      <c r="C3742" t="s">
        <v>37</v>
      </c>
      <c r="D3742">
        <v>5.4886220000000003</v>
      </c>
      <c r="E3742">
        <v>0.60832889999999995</v>
      </c>
      <c r="F3742" t="s">
        <v>39</v>
      </c>
      <c r="G3742">
        <v>-210.30250000000001</v>
      </c>
      <c r="H3742" s="1">
        <v>-6.309435E-6</v>
      </c>
      <c r="I3742">
        <v>149.2808</v>
      </c>
      <c r="J3742">
        <v>-198.7578</v>
      </c>
      <c r="K3742">
        <v>1.097467</v>
      </c>
      <c r="L3742">
        <v>152.9442</v>
      </c>
      <c r="M3742">
        <v>-0.71122099999999999</v>
      </c>
      <c r="N3742">
        <v>0</v>
      </c>
      <c r="O3742">
        <v>-0.70283619999999902</v>
      </c>
      <c r="P3742">
        <v>-0.82424129999999995</v>
      </c>
      <c r="Q3742">
        <v>-5.5166149999999999E-3</v>
      </c>
      <c r="R3742">
        <v>-0.5662121</v>
      </c>
      <c r="S3742">
        <v>-2.9803919999999899</v>
      </c>
      <c r="T3742">
        <v>-0.27982979999999902</v>
      </c>
      <c r="U3742">
        <v>-0.97053529999999999</v>
      </c>
      <c r="V3742">
        <v>0.1767494</v>
      </c>
      <c r="W3742">
        <v>4.1587869999999997E-3</v>
      </c>
      <c r="X3742">
        <v>0.98424709999999904</v>
      </c>
      <c r="Y3742">
        <v>0.444250599999999</v>
      </c>
      <c r="Z3742">
        <v>7.7437190000000003E-2</v>
      </c>
      <c r="AA3742">
        <v>0.89254959999999905</v>
      </c>
      <c r="AB3742">
        <v>22</v>
      </c>
      <c r="AC3742">
        <v>-11.544700000000001</v>
      </c>
      <c r="AD3742">
        <v>-1.097473309435</v>
      </c>
      <c r="AE3742">
        <v>-3.66339999999999</v>
      </c>
      <c r="AF3742">
        <v>5.4641959562317597</v>
      </c>
      <c r="AG3742">
        <v>-1.097473309435</v>
      </c>
      <c r="AH3742">
        <v>10.6987667439322</v>
      </c>
      <c r="AI3742">
        <v>95.219729042324303</v>
      </c>
      <c r="AJ3742">
        <v>62.945172742237503</v>
      </c>
      <c r="AK3742">
        <v>12.063394835372501</v>
      </c>
    </row>
    <row r="3743" spans="1:37" x14ac:dyDescent="0.2">
      <c r="A3743" t="str">
        <f>"20200111155924097"</f>
        <v>20200111155924097</v>
      </c>
      <c r="B3743" t="str">
        <f>"1578729564085626"</f>
        <v>1578729564085626</v>
      </c>
      <c r="C3743" t="s">
        <v>37</v>
      </c>
      <c r="D3743">
        <v>5.5704750000000001</v>
      </c>
      <c r="E3743">
        <v>0.61530450000000003</v>
      </c>
      <c r="F3743" t="s">
        <v>39</v>
      </c>
      <c r="G3743">
        <v>-210.49019999999999</v>
      </c>
      <c r="H3743" s="1">
        <v>-6.186249E-6</v>
      </c>
      <c r="I3743">
        <v>148.99270000000001</v>
      </c>
      <c r="J3743">
        <v>-198.92400000000001</v>
      </c>
      <c r="K3743">
        <v>1.096444</v>
      </c>
      <c r="L3743">
        <v>152.79249999999999</v>
      </c>
      <c r="M3743">
        <v>-0.71613780000000005</v>
      </c>
      <c r="N3743">
        <v>0</v>
      </c>
      <c r="O3743">
        <v>-0.697856699999999</v>
      </c>
      <c r="P3743">
        <v>-0.82824540000000002</v>
      </c>
      <c r="Q3743">
        <v>-2.2448120000000001E-3</v>
      </c>
      <c r="R3743">
        <v>-0.56036129999999995</v>
      </c>
      <c r="S3743">
        <v>-2.9543300000000001</v>
      </c>
      <c r="T3743">
        <v>-0.27635310000000002</v>
      </c>
      <c r="U3743">
        <v>-0.99502559999999995</v>
      </c>
      <c r="V3743">
        <v>0.17690049999999999</v>
      </c>
      <c r="W3743">
        <v>4.9455599999999999E-3</v>
      </c>
      <c r="X3743">
        <v>0.98421630000000004</v>
      </c>
      <c r="Y3743">
        <v>0.42905979999999999</v>
      </c>
      <c r="Z3743">
        <v>7.5991790000000004E-2</v>
      </c>
      <c r="AA3743">
        <v>0.90007389999999998</v>
      </c>
      <c r="AB3743">
        <v>22</v>
      </c>
      <c r="AC3743">
        <v>-11.566199999999901</v>
      </c>
      <c r="AD3743">
        <v>-1.0964501862489999</v>
      </c>
      <c r="AE3743">
        <v>-3.7997999999999701</v>
      </c>
      <c r="AF3743">
        <v>5.30769974743371</v>
      </c>
      <c r="AG3743">
        <v>-1.0964501862489999</v>
      </c>
      <c r="AH3743">
        <v>10.847502962454</v>
      </c>
      <c r="AI3743">
        <v>95.187810642783802</v>
      </c>
      <c r="AJ3743">
        <v>63.927426197729098</v>
      </c>
      <c r="AK3743">
        <v>12.126095832553901</v>
      </c>
    </row>
    <row r="3744" spans="1:37" x14ac:dyDescent="0.2">
      <c r="A3744" t="str">
        <f>"20200111155924118"</f>
        <v>20200111155924118</v>
      </c>
      <c r="B3744" t="str">
        <f>"1578729564115883"</f>
        <v>1578729564115883</v>
      </c>
      <c r="C3744" t="s">
        <v>37</v>
      </c>
      <c r="D3744">
        <v>5.6119589999999997</v>
      </c>
      <c r="E3744">
        <v>0.63376569999999899</v>
      </c>
      <c r="F3744" t="s">
        <v>39</v>
      </c>
      <c r="G3744">
        <v>-211.32390000000001</v>
      </c>
      <c r="H3744" s="1">
        <v>-5.8586969999999996E-6</v>
      </c>
      <c r="I3744">
        <v>148.95089999999999</v>
      </c>
      <c r="J3744">
        <v>-199.08779999999999</v>
      </c>
      <c r="K3744">
        <v>1.0962809999999901</v>
      </c>
      <c r="L3744">
        <v>152.64660000000001</v>
      </c>
      <c r="M3744">
        <v>-0.72040740000000003</v>
      </c>
      <c r="N3744">
        <v>0</v>
      </c>
      <c r="O3744">
        <v>-0.69347289999999995</v>
      </c>
      <c r="P3744">
        <v>-0.831569</v>
      </c>
      <c r="Q3744">
        <v>-4.0653910000000001E-4</v>
      </c>
      <c r="R3744">
        <v>-0.55542139999999995</v>
      </c>
      <c r="S3744">
        <v>-2.9938349999999998</v>
      </c>
      <c r="T3744">
        <v>-0.26472849999999998</v>
      </c>
      <c r="U3744">
        <v>-0.92753600000000003</v>
      </c>
      <c r="V3744">
        <v>0.17676129999999901</v>
      </c>
      <c r="W3744">
        <v>4.7190660000000001E-3</v>
      </c>
      <c r="X3744">
        <v>0.98424239999999996</v>
      </c>
      <c r="Y3744">
        <v>0.44577259999999902</v>
      </c>
      <c r="Z3744">
        <v>7.2728370000000001E-2</v>
      </c>
      <c r="AA3744">
        <v>0.89218679999999995</v>
      </c>
      <c r="AB3744">
        <v>22</v>
      </c>
      <c r="AC3744">
        <v>-12.2361</v>
      </c>
      <c r="AD3744">
        <v>-1.0962868586969901</v>
      </c>
      <c r="AE3744">
        <v>-3.6957000000000102</v>
      </c>
      <c r="AF3744">
        <v>5.7807859536254096</v>
      </c>
      <c r="AG3744">
        <v>-1.0962868586969901</v>
      </c>
      <c r="AH3744">
        <v>11.295372090865699</v>
      </c>
      <c r="AI3744">
        <v>94.938019678955996</v>
      </c>
      <c r="AJ3744">
        <v>62.897378999623399</v>
      </c>
      <c r="AK3744">
        <v>12.7359633239614</v>
      </c>
    </row>
    <row r="3745" spans="1:37" x14ac:dyDescent="0.2">
      <c r="A3745" t="str">
        <f>"20200111155924141"</f>
        <v>20200111155924141</v>
      </c>
      <c r="B3745" t="str">
        <f>"1578729564135402"</f>
        <v>1578729564135402</v>
      </c>
      <c r="C3745" t="s">
        <v>37</v>
      </c>
      <c r="D3745">
        <v>5.6302009999999996</v>
      </c>
      <c r="E3745">
        <v>0.64106379999999996</v>
      </c>
      <c r="F3745" t="s">
        <v>39</v>
      </c>
      <c r="G3745">
        <v>-212.02350000000001</v>
      </c>
      <c r="H3745" s="1">
        <v>-5.6595690000000002E-6</v>
      </c>
      <c r="I3745">
        <v>149.34289999999999</v>
      </c>
      <c r="J3745">
        <v>-199.25649999999999</v>
      </c>
      <c r="K3745">
        <v>1.0969990000000001</v>
      </c>
      <c r="L3745">
        <v>152.49860000000001</v>
      </c>
      <c r="M3745">
        <v>-0.72540479999999996</v>
      </c>
      <c r="N3745">
        <v>0</v>
      </c>
      <c r="O3745">
        <v>-0.68826339999999997</v>
      </c>
      <c r="P3745">
        <v>-0.83524940000000003</v>
      </c>
      <c r="Q3745">
        <v>1.2631809999999999E-3</v>
      </c>
      <c r="R3745">
        <v>-0.54986969999999902</v>
      </c>
      <c r="S3745">
        <v>-3.0818180000000002</v>
      </c>
      <c r="T3745">
        <v>-0.26117990000000002</v>
      </c>
      <c r="U3745">
        <v>-0.78707890000000003</v>
      </c>
      <c r="V3745">
        <v>0.1762272</v>
      </c>
      <c r="W3745">
        <v>4.7972659999999997E-3</v>
      </c>
      <c r="X3745">
        <v>0.98433780000000004</v>
      </c>
      <c r="Y3745">
        <v>0.48395290000000002</v>
      </c>
      <c r="Z3745">
        <v>7.1746980000000002E-2</v>
      </c>
      <c r="AA3745">
        <v>0.87214789999999998</v>
      </c>
      <c r="AB3745">
        <v>22</v>
      </c>
      <c r="AC3745">
        <v>-12.766999999999999</v>
      </c>
      <c r="AD3745">
        <v>-1.097004659569</v>
      </c>
      <c r="AE3745">
        <v>-3.1557000000000199</v>
      </c>
      <c r="AF3745">
        <v>6.4532614773796002</v>
      </c>
      <c r="AG3745">
        <v>-1.097004659569</v>
      </c>
      <c r="AH3745">
        <v>11.3546553662918</v>
      </c>
      <c r="AI3745">
        <v>94.801290762172897</v>
      </c>
      <c r="AJ3745">
        <v>60.388863740488702</v>
      </c>
      <c r="AK3745">
        <v>13.106342029941301</v>
      </c>
    </row>
    <row r="3746" spans="1:37" x14ac:dyDescent="0.2">
      <c r="A3746" t="str">
        <f>"20200111155924163"</f>
        <v>20200111155924163</v>
      </c>
      <c r="B3746" t="str">
        <f>"1578729564155900"</f>
        <v>1578729564155900</v>
      </c>
      <c r="C3746" t="s">
        <v>37</v>
      </c>
      <c r="D3746">
        <v>5.6681999999999997</v>
      </c>
      <c r="E3746">
        <v>0.64520999999999995</v>
      </c>
      <c r="F3746" t="s">
        <v>39</v>
      </c>
      <c r="G3746">
        <v>-212.8383</v>
      </c>
      <c r="H3746" s="1">
        <v>-5.352118E-6</v>
      </c>
      <c r="I3746">
        <v>149.37360000000001</v>
      </c>
      <c r="J3746">
        <v>-199.4297</v>
      </c>
      <c r="K3746">
        <v>1.0982700000000001</v>
      </c>
      <c r="L3746">
        <v>152.34829999999999</v>
      </c>
      <c r="M3746">
        <v>-0.73152709999999999</v>
      </c>
      <c r="N3746">
        <v>0</v>
      </c>
      <c r="O3746">
        <v>-0.68176859999999995</v>
      </c>
      <c r="P3746">
        <v>-0.8394412</v>
      </c>
      <c r="Q3746">
        <v>3.2705859999999998E-3</v>
      </c>
      <c r="R3746">
        <v>-0.54344119999999996</v>
      </c>
      <c r="S3746">
        <v>-3.1195979999999999</v>
      </c>
      <c r="T3746">
        <v>-0.25196979999999902</v>
      </c>
      <c r="U3746">
        <v>-0.71778869999999995</v>
      </c>
      <c r="V3746">
        <v>0.17501929999999999</v>
      </c>
      <c r="W3746">
        <v>5.5501819999999999E-3</v>
      </c>
      <c r="X3746">
        <v>0.98454929999999996</v>
      </c>
      <c r="Y3746">
        <v>0.49720049999999999</v>
      </c>
      <c r="Z3746">
        <v>6.8870399999999998E-2</v>
      </c>
      <c r="AA3746">
        <v>0.86489799999999994</v>
      </c>
      <c r="AB3746">
        <v>22</v>
      </c>
      <c r="AC3746">
        <v>-13.4086</v>
      </c>
      <c r="AD3746">
        <v>-1.098275352118</v>
      </c>
      <c r="AE3746">
        <v>-2.9746999999999799</v>
      </c>
      <c r="AF3746">
        <v>6.9214391778849897</v>
      </c>
      <c r="AG3746">
        <v>-1.098275352118</v>
      </c>
      <c r="AH3746">
        <v>11.7619555762895</v>
      </c>
      <c r="AI3746">
        <v>94.600985922213795</v>
      </c>
      <c r="AJ3746">
        <v>59.5248953562376</v>
      </c>
      <c r="AK3746">
        <v>13.6914618657337</v>
      </c>
    </row>
    <row r="3747" spans="1:37" x14ac:dyDescent="0.2">
      <c r="A3747" t="str">
        <f>"20200111155924185"</f>
        <v>20200111155924185</v>
      </c>
      <c r="B3747" t="str">
        <f>"1578729564175418"</f>
        <v>1578729564175418</v>
      </c>
      <c r="C3747" t="s">
        <v>37</v>
      </c>
      <c r="D3747">
        <v>5.6144080000000001</v>
      </c>
      <c r="E3747">
        <v>0.64777430000000003</v>
      </c>
      <c r="F3747" t="s">
        <v>39</v>
      </c>
      <c r="G3747">
        <v>-213.5746</v>
      </c>
      <c r="H3747" s="1">
        <v>-5.0654510000000002E-6</v>
      </c>
      <c r="I3747">
        <v>149.35149999999999</v>
      </c>
      <c r="J3747">
        <v>-199.59460000000001</v>
      </c>
      <c r="K3747">
        <v>1.0994899999999901</v>
      </c>
      <c r="L3747">
        <v>152.20679999999999</v>
      </c>
      <c r="M3747">
        <v>-0.73782190000000003</v>
      </c>
      <c r="N3747">
        <v>0</v>
      </c>
      <c r="O3747">
        <v>-0.67496339999999999</v>
      </c>
      <c r="P3747">
        <v>-0.84347469999999902</v>
      </c>
      <c r="Q3747">
        <v>4.692519E-3</v>
      </c>
      <c r="R3747">
        <v>-0.53714890000000004</v>
      </c>
      <c r="S3747">
        <v>-3.1435849999999999</v>
      </c>
      <c r="T3747">
        <v>-0.2440821</v>
      </c>
      <c r="U3747">
        <v>-0.66601560000000004</v>
      </c>
      <c r="V3747">
        <v>0.17326029999999901</v>
      </c>
      <c r="W3747">
        <v>5.9025569999999897E-3</v>
      </c>
      <c r="X3747">
        <v>0.98485840000000002</v>
      </c>
      <c r="Y3747">
        <v>0.50439929999999999</v>
      </c>
      <c r="Z3747">
        <v>6.6330159999999999E-2</v>
      </c>
      <c r="AA3747">
        <v>0.86091909999999905</v>
      </c>
      <c r="AB3747">
        <v>22</v>
      </c>
      <c r="AC3747">
        <v>-13.979999999999899</v>
      </c>
      <c r="AD3747">
        <v>-1.0994950654509901</v>
      </c>
      <c r="AE3747">
        <v>-2.8553000000000002</v>
      </c>
      <c r="AF3747">
        <v>7.2861803022342597</v>
      </c>
      <c r="AG3747">
        <v>-1.0994950654509901</v>
      </c>
      <c r="AH3747">
        <v>12.1699753898148</v>
      </c>
      <c r="AI3747">
        <v>94.432389341200107</v>
      </c>
      <c r="AJ3747">
        <v>59.090987327573302</v>
      </c>
      <c r="AK3747">
        <v>14.2269326906511</v>
      </c>
    </row>
    <row r="3748" spans="1:37" x14ac:dyDescent="0.2">
      <c r="A3748" t="str">
        <f>"20200111155924209"</f>
        <v>20200111155924209</v>
      </c>
      <c r="B3748" t="str">
        <f>"1578729564205675"</f>
        <v>1578729564205675</v>
      </c>
      <c r="C3748" t="s">
        <v>37</v>
      </c>
      <c r="D3748">
        <v>5.6729279999999997</v>
      </c>
      <c r="E3748">
        <v>0.65015829999999997</v>
      </c>
      <c r="F3748" t="s">
        <v>39</v>
      </c>
      <c r="G3748">
        <v>-214.37620000000001</v>
      </c>
      <c r="H3748" s="1">
        <v>-4.7455809999999996E-6</v>
      </c>
      <c r="I3748">
        <v>149.2835</v>
      </c>
      <c r="J3748">
        <v>-199.774</v>
      </c>
      <c r="K3748">
        <v>1.1005</v>
      </c>
      <c r="L3748">
        <v>152.05520000000001</v>
      </c>
      <c r="M3748">
        <v>-0.74446699999999999</v>
      </c>
      <c r="N3748">
        <v>0</v>
      </c>
      <c r="O3748">
        <v>-0.66763669999999997</v>
      </c>
      <c r="P3748">
        <v>-0.84818850000000001</v>
      </c>
      <c r="Q3748">
        <v>6.2778909999999999E-3</v>
      </c>
      <c r="R3748">
        <v>-0.52965719999999905</v>
      </c>
      <c r="S3748">
        <v>-3.160034</v>
      </c>
      <c r="T3748">
        <v>-0.23505229999999899</v>
      </c>
      <c r="U3748">
        <v>-0.62493900000000002</v>
      </c>
      <c r="V3748">
        <v>0.1722534</v>
      </c>
      <c r="W3748">
        <v>6.3050010000000002E-3</v>
      </c>
      <c r="X3748">
        <v>0.98503249999999998</v>
      </c>
      <c r="Y3748">
        <v>0.50775760000000003</v>
      </c>
      <c r="Z3748">
        <v>6.3439880000000004E-2</v>
      </c>
      <c r="AA3748">
        <v>0.85916099999999995</v>
      </c>
      <c r="AB3748">
        <v>22</v>
      </c>
      <c r="AC3748">
        <v>-14.6022</v>
      </c>
      <c r="AD3748">
        <v>-1.100504745581</v>
      </c>
      <c r="AE3748">
        <v>-2.7717000000000001</v>
      </c>
      <c r="AF3748">
        <v>7.6437347486769198</v>
      </c>
      <c r="AG3748">
        <v>-1.100504745581</v>
      </c>
      <c r="AH3748">
        <v>12.6521712918442</v>
      </c>
      <c r="AI3748">
        <v>94.257790269267105</v>
      </c>
      <c r="AJ3748">
        <v>58.861974428025398</v>
      </c>
      <c r="AK3748">
        <v>14.822794271032199</v>
      </c>
    </row>
    <row r="3749" spans="1:37" x14ac:dyDescent="0.2">
      <c r="A3749" t="str">
        <f>"20200111155924252"</f>
        <v>20200111155924252</v>
      </c>
      <c r="B3749" t="str">
        <f>"1578729564245691"</f>
        <v>1578729564245691</v>
      </c>
      <c r="C3749" t="s">
        <v>37</v>
      </c>
      <c r="D3749">
        <v>5.6741760000000001</v>
      </c>
      <c r="E3749">
        <v>0.65124329999999997</v>
      </c>
      <c r="F3749" t="s">
        <v>39</v>
      </c>
      <c r="G3749">
        <v>-215.0394</v>
      </c>
      <c r="H3749" s="1">
        <v>-4.4871269999999901E-6</v>
      </c>
      <c r="I3749">
        <v>149.26220000000001</v>
      </c>
      <c r="J3749">
        <v>-200.1217</v>
      </c>
      <c r="K3749">
        <v>1.1018250000000001</v>
      </c>
      <c r="L3749">
        <v>151.76929999999999</v>
      </c>
      <c r="M3749">
        <v>-0.75648680000000001</v>
      </c>
      <c r="N3749">
        <v>0</v>
      </c>
      <c r="O3749">
        <v>-0.65399830000000003</v>
      </c>
      <c r="P3749">
        <v>-0.85688439999999999</v>
      </c>
      <c r="Q3749">
        <v>8.8678860000000002E-3</v>
      </c>
      <c r="R3749">
        <v>-0.51543220000000001</v>
      </c>
      <c r="S3749">
        <v>-3.1758120000000001</v>
      </c>
      <c r="T3749">
        <v>-0.22894980000000001</v>
      </c>
      <c r="U3749">
        <v>-0.58105469999999904</v>
      </c>
      <c r="V3749">
        <v>0.17080789999999901</v>
      </c>
      <c r="W3749">
        <v>6.8547829999999997E-3</v>
      </c>
      <c r="X3749">
        <v>0.9852805</v>
      </c>
      <c r="Y3749">
        <v>0.50457249999999998</v>
      </c>
      <c r="Z3749">
        <v>6.0819390000000001E-2</v>
      </c>
      <c r="AA3749">
        <v>0.86122449999999995</v>
      </c>
      <c r="AB3749">
        <v>22</v>
      </c>
      <c r="AC3749">
        <v>-14.9176999999999</v>
      </c>
      <c r="AD3749">
        <v>-1.101829487127</v>
      </c>
      <c r="AE3749">
        <v>-2.5070999999999799</v>
      </c>
      <c r="AF3749">
        <v>7.81813784718722</v>
      </c>
      <c r="AG3749">
        <v>-1.101829487127</v>
      </c>
      <c r="AH3749">
        <v>12.8565615640328</v>
      </c>
      <c r="AI3749">
        <v>94.188037107440493</v>
      </c>
      <c r="AJ3749">
        <v>58.696011464524503</v>
      </c>
      <c r="AK3749">
        <v>15.0873616933542</v>
      </c>
    </row>
    <row r="3750" spans="1:37" x14ac:dyDescent="0.2">
      <c r="A3750" t="str">
        <f>"20200111155924275"</f>
        <v>20200111155924275</v>
      </c>
      <c r="B3750" t="str">
        <f>"1578729564266186"</f>
        <v>1578729564266186</v>
      </c>
      <c r="C3750" t="s">
        <v>37</v>
      </c>
      <c r="D3750">
        <v>5.6750220000000002</v>
      </c>
      <c r="E3750">
        <v>0.65193999999999996</v>
      </c>
      <c r="F3750" t="s">
        <v>39</v>
      </c>
      <c r="G3750">
        <v>-216.22</v>
      </c>
      <c r="H3750" s="1">
        <v>-4.0127020000000002E-6</v>
      </c>
      <c r="I3750">
        <v>149.14349999999999</v>
      </c>
      <c r="J3750">
        <v>-200.29589999999999</v>
      </c>
      <c r="K3750">
        <v>1.102501</v>
      </c>
      <c r="L3750">
        <v>151.62979999999999</v>
      </c>
      <c r="M3750">
        <v>-0.76287389999999999</v>
      </c>
      <c r="N3750">
        <v>0</v>
      </c>
      <c r="O3750">
        <v>-0.64653870000000002</v>
      </c>
      <c r="P3750">
        <v>-0.86169130000000005</v>
      </c>
      <c r="Q3750">
        <v>9.372867E-3</v>
      </c>
      <c r="R3750">
        <v>-0.50734670000000004</v>
      </c>
      <c r="S3750">
        <v>-3.1903079999999999</v>
      </c>
      <c r="T3750">
        <v>-0.21835830000000001</v>
      </c>
      <c r="U3750">
        <v>-0.52038569999999995</v>
      </c>
      <c r="V3750">
        <v>0.17041429999999999</v>
      </c>
      <c r="W3750">
        <v>6.8557369999999998E-3</v>
      </c>
      <c r="X3750">
        <v>0.98534859999999902</v>
      </c>
      <c r="Y3750">
        <v>0.51291629999999999</v>
      </c>
      <c r="Z3750">
        <v>5.7825469999999997E-2</v>
      </c>
      <c r="AA3750">
        <v>0.85648880000000005</v>
      </c>
      <c r="AB3750">
        <v>22</v>
      </c>
      <c r="AC3750">
        <v>-15.924099999999999</v>
      </c>
      <c r="AD3750">
        <v>-1.102505012702</v>
      </c>
      <c r="AE3750">
        <v>-2.4863</v>
      </c>
      <c r="AF3750">
        <v>8.3597415806098905</v>
      </c>
      <c r="AG3750">
        <v>-1.102505012702</v>
      </c>
      <c r="AH3750">
        <v>13.6915774280079</v>
      </c>
      <c r="AI3750">
        <v>93.931545679366906</v>
      </c>
      <c r="AJ3750">
        <v>58.5927839864205</v>
      </c>
      <c r="AK3750">
        <v>16.079803763253601</v>
      </c>
    </row>
    <row r="3751" spans="1:37" x14ac:dyDescent="0.2">
      <c r="A3751" t="str">
        <f>"20200111155924296"</f>
        <v>20200111155924296</v>
      </c>
      <c r="B3751" t="str">
        <f>"1578729564285706"</f>
        <v>1578729564285706</v>
      </c>
      <c r="C3751" t="s">
        <v>37</v>
      </c>
      <c r="D3751">
        <v>5.6682649999999999</v>
      </c>
      <c r="E3751">
        <v>0.65234809999999999</v>
      </c>
      <c r="F3751" t="s">
        <v>39</v>
      </c>
      <c r="G3751">
        <v>-216.5188</v>
      </c>
      <c r="H3751" s="1">
        <v>-3.9021850000000003E-6</v>
      </c>
      <c r="I3751">
        <v>149.16739999999999</v>
      </c>
      <c r="J3751">
        <v>-200.4607</v>
      </c>
      <c r="K3751">
        <v>1.1031879999999901</v>
      </c>
      <c r="L3751">
        <v>151.49950000000001</v>
      </c>
      <c r="M3751">
        <v>-0.7688064</v>
      </c>
      <c r="N3751">
        <v>0</v>
      </c>
      <c r="O3751">
        <v>-0.63947010000000004</v>
      </c>
      <c r="P3751">
        <v>-0.86640919999999899</v>
      </c>
      <c r="Q3751">
        <v>8.7147500000000003E-3</v>
      </c>
      <c r="R3751">
        <v>-0.49925909999999901</v>
      </c>
      <c r="S3751">
        <v>-3.1980740000000001</v>
      </c>
      <c r="T3751">
        <v>-0.21734099999999901</v>
      </c>
      <c r="U3751">
        <v>-0.48542790000000002</v>
      </c>
      <c r="V3751">
        <v>0.17055419999999999</v>
      </c>
      <c r="W3751">
        <v>6.3154919999999998E-3</v>
      </c>
      <c r="X3751">
        <v>0.98532809999999904</v>
      </c>
      <c r="Y3751">
        <v>0.51450410000000002</v>
      </c>
      <c r="Z3751">
        <v>5.7204919999999999E-2</v>
      </c>
      <c r="AA3751">
        <v>0.85557759999999905</v>
      </c>
      <c r="AB3751">
        <v>22</v>
      </c>
      <c r="AC3751">
        <v>-16.0580999999999</v>
      </c>
      <c r="AD3751">
        <v>-1.1031919021850001</v>
      </c>
      <c r="AE3751">
        <v>-2.33210000000002</v>
      </c>
      <c r="AF3751">
        <v>8.4368070991735902</v>
      </c>
      <c r="AG3751">
        <v>-1.1031919021850001</v>
      </c>
      <c r="AH3751">
        <v>13.7733169554374</v>
      </c>
      <c r="AI3751">
        <v>93.907293416745205</v>
      </c>
      <c r="AJ3751">
        <v>58.510562993476199</v>
      </c>
      <c r="AK3751">
        <v>16.189533852358199</v>
      </c>
    </row>
    <row r="3752" spans="1:37" x14ac:dyDescent="0.2">
      <c r="A3752" t="str">
        <f>"20200111155924319"</f>
        <v>20200111155924319</v>
      </c>
      <c r="B3752" t="str">
        <f>"1578729564315962"</f>
        <v>1578729564315962</v>
      </c>
      <c r="C3752" t="s">
        <v>37</v>
      </c>
      <c r="D3752">
        <v>5.7655699999999896</v>
      </c>
      <c r="E3752">
        <v>0.65279200000000004</v>
      </c>
      <c r="F3752" t="s">
        <v>39</v>
      </c>
      <c r="G3752">
        <v>-216.6678</v>
      </c>
      <c r="H3752" s="1">
        <v>-3.8529029999999999E-6</v>
      </c>
      <c r="I3752">
        <v>149.21209999999999</v>
      </c>
      <c r="J3752">
        <v>-200.64230000000001</v>
      </c>
      <c r="K3752">
        <v>1.103845</v>
      </c>
      <c r="L3752">
        <v>151.35740000000001</v>
      </c>
      <c r="M3752">
        <v>-0.77464379999999999</v>
      </c>
      <c r="N3752">
        <v>0</v>
      </c>
      <c r="O3752">
        <v>-0.63238169999999905</v>
      </c>
      <c r="P3752">
        <v>-0.87106649999999997</v>
      </c>
      <c r="Q3752">
        <v>7.9413939999999992E-3</v>
      </c>
      <c r="R3752">
        <v>-0.49110130000000002</v>
      </c>
      <c r="S3752">
        <v>-3.20417799999999</v>
      </c>
      <c r="T3752">
        <v>-0.218104399999999</v>
      </c>
      <c r="U3752">
        <v>-0.45223999999999998</v>
      </c>
      <c r="V3752">
        <v>0.1707747</v>
      </c>
      <c r="W3752">
        <v>5.6870330000000002E-3</v>
      </c>
      <c r="X3752">
        <v>0.98529369999999905</v>
      </c>
      <c r="Y3752">
        <v>0.51555240000000002</v>
      </c>
      <c r="Z3752">
        <v>5.7050530000000002E-2</v>
      </c>
      <c r="AA3752">
        <v>0.85495669999999901</v>
      </c>
      <c r="AB3752">
        <v>22</v>
      </c>
      <c r="AC3752">
        <v>-16.025499999999901</v>
      </c>
      <c r="AD3752">
        <v>-1.1038488529029999</v>
      </c>
      <c r="AE3752">
        <v>-2.1453000000000202</v>
      </c>
      <c r="AF3752">
        <v>8.4331686027252992</v>
      </c>
      <c r="AG3752">
        <v>-1.1038488529029999</v>
      </c>
      <c r="AH3752">
        <v>13.706954364883501</v>
      </c>
      <c r="AI3752">
        <v>93.923770373588297</v>
      </c>
      <c r="AJ3752">
        <v>58.398198762151999</v>
      </c>
      <c r="AK3752">
        <v>16.131255776691599</v>
      </c>
    </row>
    <row r="3753" spans="1:37" x14ac:dyDescent="0.2">
      <c r="A3753" t="str">
        <f>"20200111155924341"</f>
        <v>20200111155924341</v>
      </c>
      <c r="B3753" t="str">
        <f>"1578729564335483"</f>
        <v>1578729564335483</v>
      </c>
      <c r="C3753" t="s">
        <v>37</v>
      </c>
      <c r="D3753">
        <v>5.7106579999999996</v>
      </c>
      <c r="E3753">
        <v>0.65281460000000002</v>
      </c>
      <c r="F3753" t="s">
        <v>39</v>
      </c>
      <c r="G3753">
        <v>-216.73519999999999</v>
      </c>
      <c r="H3753" s="1">
        <v>-3.8355019999999996E-6</v>
      </c>
      <c r="I3753">
        <v>149.26009999999999</v>
      </c>
      <c r="J3753">
        <v>-200.81460000000001</v>
      </c>
      <c r="K3753">
        <v>1.1041510000000001</v>
      </c>
      <c r="L3753">
        <v>151.22389999999999</v>
      </c>
      <c r="M3753">
        <v>-0.77961329999999995</v>
      </c>
      <c r="N3753">
        <v>0</v>
      </c>
      <c r="O3753">
        <v>-0.62624460000000004</v>
      </c>
      <c r="P3753">
        <v>-0.87514599999999898</v>
      </c>
      <c r="Q3753">
        <v>7.71785599999999E-3</v>
      </c>
      <c r="R3753">
        <v>-0.48379729999999999</v>
      </c>
      <c r="S3753">
        <v>-3.2101899999999999</v>
      </c>
      <c r="T3753">
        <v>-0.22019420000000001</v>
      </c>
      <c r="U3753">
        <v>-0.41838069999999999</v>
      </c>
      <c r="V3753">
        <v>0.1712447</v>
      </c>
      <c r="W3753">
        <v>5.0218529999999997E-3</v>
      </c>
      <c r="X3753">
        <v>0.98521569999999903</v>
      </c>
      <c r="Y3753">
        <v>0.51783100000000004</v>
      </c>
      <c r="Z3753">
        <v>5.7324519999999997E-2</v>
      </c>
      <c r="AA3753">
        <v>0.85356019999999899</v>
      </c>
      <c r="AB3753">
        <v>22</v>
      </c>
      <c r="AC3753">
        <v>-15.920599999999901</v>
      </c>
      <c r="AD3753">
        <v>-1.1041548355020001</v>
      </c>
      <c r="AE3753">
        <v>-1.96379999999999</v>
      </c>
      <c r="AF3753">
        <v>8.3994773434231504</v>
      </c>
      <c r="AG3753">
        <v>-1.1041548355020001</v>
      </c>
      <c r="AH3753">
        <v>13.5775439296893</v>
      </c>
      <c r="AI3753">
        <v>93.956179153830405</v>
      </c>
      <c r="AJ3753">
        <v>58.257817681166401</v>
      </c>
      <c r="AK3753">
        <v>16.003751957153199</v>
      </c>
    </row>
    <row r="3754" spans="1:37" x14ac:dyDescent="0.2">
      <c r="A3754" t="str">
        <f>"20200111155924364"</f>
        <v>20200111155924364</v>
      </c>
      <c r="B3754" t="str">
        <f>"1578729564355978"</f>
        <v>1578729564355978</v>
      </c>
      <c r="C3754" t="s">
        <v>37</v>
      </c>
      <c r="D3754">
        <v>5.6779419999999998</v>
      </c>
      <c r="E3754">
        <v>0.65285019999999905</v>
      </c>
      <c r="F3754" t="s">
        <v>39</v>
      </c>
      <c r="G3754">
        <v>-216.88560000000001</v>
      </c>
      <c r="H3754" s="1">
        <v>-3.77932399999999E-6</v>
      </c>
      <c r="I3754">
        <v>149.2688</v>
      </c>
      <c r="J3754">
        <v>-201.00409999999999</v>
      </c>
      <c r="K3754">
        <v>1.105208</v>
      </c>
      <c r="L3754">
        <v>151.0804</v>
      </c>
      <c r="M3754">
        <v>-0.78525230000000001</v>
      </c>
      <c r="N3754">
        <v>0</v>
      </c>
      <c r="O3754">
        <v>-0.61916289999999996</v>
      </c>
      <c r="P3754">
        <v>-0.87958809999999998</v>
      </c>
      <c r="Q3754">
        <v>7.8179909999999998E-3</v>
      </c>
      <c r="R3754">
        <v>-0.47567159999999897</v>
      </c>
      <c r="S3754">
        <v>-3.2138059999999999</v>
      </c>
      <c r="T3754">
        <v>-0.22080369999999999</v>
      </c>
      <c r="U3754">
        <v>-0.39097599999999999</v>
      </c>
      <c r="V3754">
        <v>0.1714398</v>
      </c>
      <c r="W3754">
        <v>4.230312E-3</v>
      </c>
      <c r="X3754">
        <v>0.98518549999999905</v>
      </c>
      <c r="Y3754">
        <v>0.51738479999999998</v>
      </c>
      <c r="Z3754">
        <v>5.7090219999999997E-2</v>
      </c>
      <c r="AA3754">
        <v>0.85384649999999995</v>
      </c>
      <c r="AB3754">
        <v>22</v>
      </c>
      <c r="AC3754">
        <v>-15.881500000000001</v>
      </c>
      <c r="AD3754">
        <v>-1.1052117793239999</v>
      </c>
      <c r="AE3754">
        <v>-1.8115999999999901</v>
      </c>
      <c r="AF3754">
        <v>8.37072226764292</v>
      </c>
      <c r="AG3754">
        <v>-1.1052117793239999</v>
      </c>
      <c r="AH3754">
        <v>13.528095476461599</v>
      </c>
      <c r="AI3754">
        <v>93.9741419613907</v>
      </c>
      <c r="AJ3754">
        <v>58.252196596409298</v>
      </c>
      <c r="AK3754">
        <v>15.9467818565199</v>
      </c>
    </row>
    <row r="3755" spans="1:37" x14ac:dyDescent="0.2">
      <c r="A3755" t="str">
        <f>"20200111155924386"</f>
        <v>20200111155924386</v>
      </c>
      <c r="B3755" t="str">
        <f>"1578729564375498"</f>
        <v>1578729564375498</v>
      </c>
      <c r="C3755" t="s">
        <v>37</v>
      </c>
      <c r="D3755">
        <v>5.7173489999999996</v>
      </c>
      <c r="E3755">
        <v>0.65259140000000004</v>
      </c>
      <c r="F3755" t="s">
        <v>39</v>
      </c>
      <c r="G3755">
        <v>-217.26609999999999</v>
      </c>
      <c r="H3755" s="1">
        <v>-3.6312340000000002E-6</v>
      </c>
      <c r="I3755">
        <v>149.2578</v>
      </c>
      <c r="J3755">
        <v>-201.17599999999999</v>
      </c>
      <c r="K3755">
        <v>1.107005</v>
      </c>
      <c r="L3755">
        <v>150.95400000000001</v>
      </c>
      <c r="M3755">
        <v>-0.78926439999999998</v>
      </c>
      <c r="N3755">
        <v>0</v>
      </c>
      <c r="O3755">
        <v>-0.61403819999999998</v>
      </c>
      <c r="P3755">
        <v>-0.88260709999999998</v>
      </c>
      <c r="Q3755">
        <v>7.4295359999999996E-3</v>
      </c>
      <c r="R3755">
        <v>-0.4700529</v>
      </c>
      <c r="S3755">
        <v>-3.2176209999999998</v>
      </c>
      <c r="T3755">
        <v>-0.21867819999999999</v>
      </c>
      <c r="U3755">
        <v>-0.36061100000000001</v>
      </c>
      <c r="V3755">
        <v>0.17131579999999999</v>
      </c>
      <c r="W3755">
        <v>3.9666240000000002E-3</v>
      </c>
      <c r="X3755">
        <v>0.98520819999999998</v>
      </c>
      <c r="Y3755">
        <v>0.51994099999999999</v>
      </c>
      <c r="Z3755">
        <v>5.6353710000000001E-2</v>
      </c>
      <c r="AA3755">
        <v>0.85234120000000002</v>
      </c>
      <c r="AB3755">
        <v>22</v>
      </c>
      <c r="AC3755">
        <v>-16.0901</v>
      </c>
      <c r="AD3755">
        <v>-1.107008631234</v>
      </c>
      <c r="AE3755">
        <v>-1.6961999999999999</v>
      </c>
      <c r="AF3755">
        <v>8.5014664450260504</v>
      </c>
      <c r="AG3755">
        <v>-1.107008631234</v>
      </c>
      <c r="AH3755">
        <v>13.6769751328784</v>
      </c>
      <c r="AI3755">
        <v>93.9324276791843</v>
      </c>
      <c r="AJ3755">
        <v>58.135342821361597</v>
      </c>
      <c r="AK3755">
        <v>16.141872524924199</v>
      </c>
    </row>
    <row r="3756" spans="1:37" x14ac:dyDescent="0.2">
      <c r="A3756" t="str">
        <f>"20200111155924408"</f>
        <v>20200111155924408</v>
      </c>
      <c r="B3756" t="str">
        <f>"1578729564405755"</f>
        <v>1578729564405755</v>
      </c>
      <c r="C3756" t="s">
        <v>37</v>
      </c>
      <c r="D3756">
        <v>5.7051379999999998</v>
      </c>
      <c r="E3756">
        <v>0.65209130000000004</v>
      </c>
      <c r="F3756" t="s">
        <v>39</v>
      </c>
      <c r="G3756">
        <v>-217.4006</v>
      </c>
      <c r="H3756" s="1">
        <v>-3.5751069999999999E-6</v>
      </c>
      <c r="I3756">
        <v>149.23249999999999</v>
      </c>
      <c r="J3756">
        <v>-201.35400000000001</v>
      </c>
      <c r="K3756">
        <v>1.109005</v>
      </c>
      <c r="L3756">
        <v>150.82599999999999</v>
      </c>
      <c r="M3756">
        <v>-0.79307910000000004</v>
      </c>
      <c r="N3756">
        <v>0</v>
      </c>
      <c r="O3756">
        <v>-0.609097</v>
      </c>
      <c r="P3756">
        <v>-0.88527359999999899</v>
      </c>
      <c r="Q3756">
        <v>7.68953E-3</v>
      </c>
      <c r="R3756">
        <v>-0.46500710000000001</v>
      </c>
      <c r="S3756">
        <v>-3.2189480000000001</v>
      </c>
      <c r="T3756">
        <v>-0.21962999999999999</v>
      </c>
      <c r="U3756">
        <v>-0.34155269999999999</v>
      </c>
      <c r="V3756">
        <v>0.1708412</v>
      </c>
      <c r="W3756">
        <v>4.7743780000000001E-3</v>
      </c>
      <c r="X3756">
        <v>0.98528700000000002</v>
      </c>
      <c r="Y3756">
        <v>0.51962900000000001</v>
      </c>
      <c r="Z3756">
        <v>5.6339119999999999E-2</v>
      </c>
      <c r="AA3756">
        <v>0.85253250000000003</v>
      </c>
      <c r="AB3756">
        <v>22</v>
      </c>
      <c r="AC3756">
        <v>-16.046599999999899</v>
      </c>
      <c r="AD3756">
        <v>-1.109008575107</v>
      </c>
      <c r="AE3756">
        <v>-1.5934999999999999</v>
      </c>
      <c r="AF3756">
        <v>8.4702143032994108</v>
      </c>
      <c r="AG3756">
        <v>-1.109008575107</v>
      </c>
      <c r="AH3756">
        <v>13.6325208794796</v>
      </c>
      <c r="AI3756">
        <v>93.952784444672105</v>
      </c>
      <c r="AJ3756">
        <v>58.146317880513401</v>
      </c>
      <c r="AK3756">
        <v>16.087885376671601</v>
      </c>
    </row>
    <row r="3757" spans="1:37" x14ac:dyDescent="0.2">
      <c r="A3757" t="str">
        <f>"20200111155924431"</f>
        <v>20200111155924431</v>
      </c>
      <c r="B3757" t="str">
        <f>"1578729564426251"</f>
        <v>1578729564426251</v>
      </c>
      <c r="C3757" t="s">
        <v>37</v>
      </c>
      <c r="D3757">
        <v>5.7243839999999997</v>
      </c>
      <c r="E3757">
        <v>0.65157749999999903</v>
      </c>
      <c r="F3757" t="s">
        <v>39</v>
      </c>
      <c r="G3757">
        <v>-217.6232</v>
      </c>
      <c r="H3757" s="1">
        <v>-3.479697E-6</v>
      </c>
      <c r="I3757">
        <v>149.17670000000001</v>
      </c>
      <c r="J3757">
        <v>-201.5386</v>
      </c>
      <c r="K3757">
        <v>1.110668</v>
      </c>
      <c r="L3757">
        <v>150.69589999999999</v>
      </c>
      <c r="M3757">
        <v>-0.79743330000000001</v>
      </c>
      <c r="N3757">
        <v>0</v>
      </c>
      <c r="O3757">
        <v>-0.60338019999999903</v>
      </c>
      <c r="P3757">
        <v>-0.88824979999999998</v>
      </c>
      <c r="Q3757">
        <v>8.5908040000000005E-3</v>
      </c>
      <c r="R3757">
        <v>-0.459281099999999</v>
      </c>
      <c r="S3757">
        <v>-3.2192689999999899</v>
      </c>
      <c r="T3757">
        <v>-0.21944520000000001</v>
      </c>
      <c r="U3757">
        <v>-0.3263702</v>
      </c>
      <c r="V3757">
        <v>0.17019879999999901</v>
      </c>
      <c r="W3757">
        <v>5.9945850000000002E-3</v>
      </c>
      <c r="X3757">
        <v>0.98539149999999998</v>
      </c>
      <c r="Y3757">
        <v>0.51749920000000005</v>
      </c>
      <c r="Z3757">
        <v>5.5936850000000003E-2</v>
      </c>
      <c r="AA3757">
        <v>0.85385339999999998</v>
      </c>
      <c r="AB3757">
        <v>22</v>
      </c>
      <c r="AC3757">
        <v>-16.084599999999899</v>
      </c>
      <c r="AD3757">
        <v>-1.1106714796970001</v>
      </c>
      <c r="AE3757">
        <v>-1.5191999999999799</v>
      </c>
      <c r="AF3757">
        <v>8.4538534785436497</v>
      </c>
      <c r="AG3757">
        <v>-1.1106714796970001</v>
      </c>
      <c r="AH3757">
        <v>13.6786287755583</v>
      </c>
      <c r="AI3757">
        <v>93.951189404261001</v>
      </c>
      <c r="AJ3757">
        <v>58.282537785932803</v>
      </c>
      <c r="AK3757">
        <v>16.118502255235398</v>
      </c>
    </row>
    <row r="3758" spans="1:37" x14ac:dyDescent="0.2">
      <c r="A3758" t="str">
        <f>"20200111155924454"</f>
        <v>20200111155924454</v>
      </c>
      <c r="B3758" t="str">
        <f>"1578729564445771"</f>
        <v>1578729564445771</v>
      </c>
      <c r="C3758" t="s">
        <v>37</v>
      </c>
      <c r="D3758">
        <v>5.7143540000000002</v>
      </c>
      <c r="E3758">
        <v>0.65094730000000001</v>
      </c>
      <c r="F3758" t="s">
        <v>39</v>
      </c>
      <c r="G3758">
        <v>-218.01910000000001</v>
      </c>
      <c r="H3758" s="1">
        <v>-3.3166809999999899E-6</v>
      </c>
      <c r="I3758">
        <v>149.1147</v>
      </c>
      <c r="J3758">
        <v>-201.72839999999999</v>
      </c>
      <c r="K3758">
        <v>1.111998</v>
      </c>
      <c r="L3758">
        <v>150.5643</v>
      </c>
      <c r="M3758">
        <v>-0.80217969999999905</v>
      </c>
      <c r="N3758">
        <v>0</v>
      </c>
      <c r="O3758">
        <v>-0.59704990000000002</v>
      </c>
      <c r="P3758">
        <v>-0.89133490000000004</v>
      </c>
      <c r="Q3758">
        <v>9.9852580000000003E-3</v>
      </c>
      <c r="R3758">
        <v>-0.45323559999999902</v>
      </c>
      <c r="S3758">
        <v>-3.21980299999999</v>
      </c>
      <c r="T3758">
        <v>-0.2169915</v>
      </c>
      <c r="U3758">
        <v>-0.30891420000000003</v>
      </c>
      <c r="V3758">
        <v>0.16919809999999999</v>
      </c>
      <c r="W3758">
        <v>7.6486940000000002E-3</v>
      </c>
      <c r="X3758">
        <v>0.9855524</v>
      </c>
      <c r="Y3758">
        <v>0.51540149999999996</v>
      </c>
      <c r="Z3758">
        <v>5.4927139999999999E-2</v>
      </c>
      <c r="AA3758">
        <v>0.85518669999999997</v>
      </c>
      <c r="AB3758">
        <v>22</v>
      </c>
      <c r="AC3758">
        <v>-16.290700000000001</v>
      </c>
      <c r="AD3758">
        <v>-1.1120013166810001</v>
      </c>
      <c r="AE3758">
        <v>-1.4496</v>
      </c>
      <c r="AF3758">
        <v>8.5242826050484393</v>
      </c>
      <c r="AG3758">
        <v>-1.1120013166810001</v>
      </c>
      <c r="AH3758">
        <v>13.869708098120901</v>
      </c>
      <c r="AI3758">
        <v>93.907550107219606</v>
      </c>
      <c r="AJ3758">
        <v>58.4252360405197</v>
      </c>
      <c r="AK3758">
        <v>16.317743213634401</v>
      </c>
    </row>
    <row r="3759" spans="1:37" x14ac:dyDescent="0.2">
      <c r="A3759" t="str">
        <f>"20200111155924476"</f>
        <v>20200111155924476</v>
      </c>
      <c r="B3759" t="str">
        <f>"1578729564466266"</f>
        <v>1578729564466266</v>
      </c>
      <c r="C3759" t="s">
        <v>37</v>
      </c>
      <c r="D3759">
        <v>8.6942269999999997</v>
      </c>
      <c r="E3759">
        <v>0.65064119999999903</v>
      </c>
      <c r="F3759" t="s">
        <v>39</v>
      </c>
      <c r="G3759">
        <v>-218.57730000000001</v>
      </c>
      <c r="H3759" s="1">
        <v>-3.0891569999999999E-6</v>
      </c>
      <c r="I3759">
        <v>149.04040000000001</v>
      </c>
      <c r="J3759">
        <v>-201.90700000000001</v>
      </c>
      <c r="K3759">
        <v>1.1134459999999999</v>
      </c>
      <c r="L3759">
        <v>150.44309999999999</v>
      </c>
      <c r="M3759">
        <v>-0.80663059999999998</v>
      </c>
      <c r="N3759">
        <v>0</v>
      </c>
      <c r="O3759">
        <v>-0.59101269999999995</v>
      </c>
      <c r="P3759">
        <v>-0.89418280000000006</v>
      </c>
      <c r="Q3759">
        <v>1.084834E-2</v>
      </c>
      <c r="R3759">
        <v>-0.44757029999999998</v>
      </c>
      <c r="S3759">
        <v>-3.2200319999999998</v>
      </c>
      <c r="T3759">
        <v>-0.2125175</v>
      </c>
      <c r="U3759">
        <v>-0.29124450000000002</v>
      </c>
      <c r="V3759">
        <v>0.1681552</v>
      </c>
      <c r="W3759">
        <v>9.2160030000000004E-3</v>
      </c>
      <c r="X3759">
        <v>0.98571749999999903</v>
      </c>
      <c r="Y3759">
        <v>0.51374509999999995</v>
      </c>
      <c r="Z3759">
        <v>5.3450869999999998E-2</v>
      </c>
      <c r="AA3759">
        <v>0.85627629999999999</v>
      </c>
      <c r="AB3759">
        <v>22</v>
      </c>
      <c r="AC3759">
        <v>-16.670299999999902</v>
      </c>
      <c r="AD3759">
        <v>-1.1134490891569999</v>
      </c>
      <c r="AE3759">
        <v>-1.4026999999999801</v>
      </c>
      <c r="AF3759">
        <v>8.6826579920692897</v>
      </c>
      <c r="AG3759">
        <v>-1.1134490891569999</v>
      </c>
      <c r="AH3759">
        <v>14.213189685908</v>
      </c>
      <c r="AI3759">
        <v>93.824647763163398</v>
      </c>
      <c r="AJ3759">
        <v>58.579769224031899</v>
      </c>
      <c r="AK3759">
        <v>16.692605540447801</v>
      </c>
    </row>
    <row r="3760" spans="1:37" x14ac:dyDescent="0.2">
      <c r="A3760" t="str">
        <f>"20200111155924497"</f>
        <v>20200111155924497</v>
      </c>
      <c r="B3760" t="str">
        <f>"1578729564485786"</f>
        <v>1578729564485786</v>
      </c>
      <c r="C3760" t="s">
        <v>37</v>
      </c>
      <c r="D3760">
        <v>5.405697</v>
      </c>
      <c r="E3760">
        <v>0.64837549999999999</v>
      </c>
      <c r="F3760" t="s">
        <v>39</v>
      </c>
      <c r="G3760">
        <v>-219.08260000000001</v>
      </c>
      <c r="H3760" s="1">
        <v>-2.885961E-6</v>
      </c>
      <c r="I3760">
        <v>148.98869999999999</v>
      </c>
      <c r="J3760">
        <v>-202.0838</v>
      </c>
      <c r="K3760">
        <v>1.1151420000000001</v>
      </c>
      <c r="L3760">
        <v>150.32589999999999</v>
      </c>
      <c r="M3760">
        <v>-0.81066859999999996</v>
      </c>
      <c r="N3760">
        <v>0</v>
      </c>
      <c r="O3760">
        <v>-0.5854414</v>
      </c>
      <c r="P3760">
        <v>-0.89690009999999998</v>
      </c>
      <c r="Q3760">
        <v>1.1591239999999999E-2</v>
      </c>
      <c r="R3760">
        <v>-0.44208130000000001</v>
      </c>
      <c r="S3760">
        <v>-3.2210239999999999</v>
      </c>
      <c r="T3760">
        <v>-0.20881069999999999</v>
      </c>
      <c r="U3760">
        <v>-0.27275090000000002</v>
      </c>
      <c r="V3760">
        <v>0.16753660000000001</v>
      </c>
      <c r="W3760">
        <v>1.1284890000000001E-2</v>
      </c>
      <c r="X3760">
        <v>0.98580129999999999</v>
      </c>
      <c r="Y3760">
        <v>0.5128376</v>
      </c>
      <c r="Z3760">
        <v>5.2214419999999998E-2</v>
      </c>
      <c r="AA3760">
        <v>0.8568962</v>
      </c>
      <c r="AB3760">
        <v>22</v>
      </c>
      <c r="AC3760">
        <v>-16.998799999999999</v>
      </c>
      <c r="AD3760">
        <v>-1.115144885961</v>
      </c>
      <c r="AE3760">
        <v>-1.33719999999999</v>
      </c>
      <c r="AF3760">
        <v>8.8303388152101103</v>
      </c>
      <c r="AG3760">
        <v>-1.115144885961</v>
      </c>
      <c r="AH3760">
        <v>14.5017651060571</v>
      </c>
      <c r="AI3760">
        <v>93.757736436120794</v>
      </c>
      <c r="AJ3760">
        <v>58.662147977644899</v>
      </c>
      <c r="AK3760">
        <v>17.0152761628881</v>
      </c>
    </row>
    <row r="3761" spans="1:37" x14ac:dyDescent="0.2">
      <c r="A3761" t="str">
        <f>"20200111155924520"</f>
        <v>20200111155924520</v>
      </c>
      <c r="B3761" t="str">
        <f>"1578729564516042"</f>
        <v>1578729564516042</v>
      </c>
      <c r="C3761" t="s">
        <v>37</v>
      </c>
      <c r="D3761">
        <v>5.359051</v>
      </c>
      <c r="E3761">
        <v>0.64546729999999997</v>
      </c>
      <c r="F3761" t="s">
        <v>39</v>
      </c>
      <c r="G3761">
        <v>-219.6919</v>
      </c>
      <c r="H3761" s="1">
        <v>-2.5835080000000001E-6</v>
      </c>
      <c r="I3761">
        <v>148.85210000000001</v>
      </c>
      <c r="J3761">
        <v>-202.2756</v>
      </c>
      <c r="K3761">
        <v>1.117326</v>
      </c>
      <c r="L3761">
        <v>150.20240000000001</v>
      </c>
      <c r="M3761">
        <v>-0.81453529999999996</v>
      </c>
      <c r="N3761">
        <v>0</v>
      </c>
      <c r="O3761">
        <v>-0.58001449999999999</v>
      </c>
      <c r="P3761">
        <v>-0.89928330000000001</v>
      </c>
      <c r="Q3761">
        <v>1.2079380000000001E-2</v>
      </c>
      <c r="R3761">
        <v>-0.43719999999999998</v>
      </c>
      <c r="S3761">
        <v>-3.2148439999999998</v>
      </c>
      <c r="T3761">
        <v>-0.20359969999999999</v>
      </c>
      <c r="U3761">
        <v>-0.26908870000000001</v>
      </c>
      <c r="V3761">
        <v>0.166466899999999</v>
      </c>
      <c r="W3761">
        <v>1.382623E-2</v>
      </c>
      <c r="X3761">
        <v>0.98595010000000005</v>
      </c>
      <c r="Y3761">
        <v>0.50806079999999998</v>
      </c>
      <c r="Z3761">
        <v>5.0588620000000001E-2</v>
      </c>
      <c r="AA3761">
        <v>0.85983430000000005</v>
      </c>
      <c r="AB3761">
        <v>22</v>
      </c>
      <c r="AC3761">
        <v>-17.4163</v>
      </c>
      <c r="AD3761">
        <v>-1.117328583508</v>
      </c>
      <c r="AE3761">
        <v>-1.3503000000000001</v>
      </c>
      <c r="AF3761">
        <v>8.9656789873465392</v>
      </c>
      <c r="AG3761">
        <v>-1.117328583508</v>
      </c>
      <c r="AH3761">
        <v>14.9092524667421</v>
      </c>
      <c r="AI3761">
        <v>93.674712546060704</v>
      </c>
      <c r="AJ3761">
        <v>58.979402806682003</v>
      </c>
      <c r="AK3761">
        <v>17.433233549308198</v>
      </c>
    </row>
    <row r="3762" spans="1:37" x14ac:dyDescent="0.2">
      <c r="A3762" t="str">
        <f>"20200111155924543"</f>
        <v>20200111155924543</v>
      </c>
      <c r="B3762" t="str">
        <f>"1578729564535563"</f>
        <v>1578729564535563</v>
      </c>
      <c r="C3762" t="s">
        <v>37</v>
      </c>
      <c r="D3762">
        <v>5.3744300000000003</v>
      </c>
      <c r="E3762">
        <v>0.64371780000000001</v>
      </c>
      <c r="F3762" t="s">
        <v>39</v>
      </c>
      <c r="G3762">
        <v>-220.39500000000001</v>
      </c>
      <c r="H3762" s="1">
        <v>-5.7463189999999998E-6</v>
      </c>
      <c r="I3762">
        <v>148.66299999999899</v>
      </c>
      <c r="J3762">
        <v>-202.4632</v>
      </c>
      <c r="K3762">
        <v>1.120107</v>
      </c>
      <c r="L3762">
        <v>150.0855</v>
      </c>
      <c r="M3762">
        <v>-0.8183665</v>
      </c>
      <c r="N3762">
        <v>0</v>
      </c>
      <c r="O3762">
        <v>-0.5745538</v>
      </c>
      <c r="P3762">
        <v>-0.90168349999999897</v>
      </c>
      <c r="Q3762">
        <v>1.1089E-2</v>
      </c>
      <c r="R3762">
        <v>-0.43225479999999999</v>
      </c>
      <c r="S3762">
        <v>-3.206207</v>
      </c>
      <c r="T3762">
        <v>-0.19771089999999999</v>
      </c>
      <c r="U3762">
        <v>-0.27239989999999997</v>
      </c>
      <c r="V3762">
        <v>0.165353799999999</v>
      </c>
      <c r="W3762">
        <v>1.507875E-2</v>
      </c>
      <c r="X3762">
        <v>0.98611899999999997</v>
      </c>
      <c r="Y3762">
        <v>0.50135669999999999</v>
      </c>
      <c r="Z3762">
        <v>4.8775829999999999E-2</v>
      </c>
      <c r="AA3762">
        <v>0.86386479999999999</v>
      </c>
      <c r="AB3762">
        <v>22</v>
      </c>
      <c r="AC3762">
        <v>-17.931799999999999</v>
      </c>
      <c r="AD3762">
        <v>-1.1201127463189999</v>
      </c>
      <c r="AE3762">
        <v>-1.4225000000000101</v>
      </c>
      <c r="AF3762">
        <v>9.1041067430946701</v>
      </c>
      <c r="AG3762">
        <v>-1.1201127463189999</v>
      </c>
      <c r="AH3762">
        <v>15.433515879681501</v>
      </c>
      <c r="AI3762">
        <v>93.576961370728796</v>
      </c>
      <c r="AJ3762">
        <v>59.4639877101583</v>
      </c>
      <c r="AK3762">
        <v>17.953629843641899</v>
      </c>
    </row>
    <row r="3763" spans="1:37" x14ac:dyDescent="0.2">
      <c r="A3763" t="str">
        <f>"20200111155924564"</f>
        <v>20200111155924564</v>
      </c>
      <c r="B3763" t="str">
        <f>"1578729564556058"</f>
        <v>1578729564556058</v>
      </c>
      <c r="C3763" t="s">
        <v>37</v>
      </c>
      <c r="D3763">
        <v>5.3796710000000001</v>
      </c>
      <c r="E3763">
        <v>0.64209869999999902</v>
      </c>
      <c r="F3763" t="s">
        <v>39</v>
      </c>
      <c r="G3763">
        <v>-220.3467</v>
      </c>
      <c r="H3763" s="1">
        <v>-5.7498289999999997E-6</v>
      </c>
      <c r="I3763">
        <v>148.59010000000001</v>
      </c>
      <c r="J3763">
        <v>-202.6454</v>
      </c>
      <c r="K3763">
        <v>1.1233629999999999</v>
      </c>
      <c r="L3763">
        <v>149.9744</v>
      </c>
      <c r="M3763">
        <v>-0.82303839999999995</v>
      </c>
      <c r="N3763">
        <v>0</v>
      </c>
      <c r="O3763">
        <v>-0.5678048</v>
      </c>
      <c r="P3763">
        <v>-0.90491900000000003</v>
      </c>
      <c r="Q3763">
        <v>8.9716250000000004E-3</v>
      </c>
      <c r="R3763">
        <v>-0.42548940000000002</v>
      </c>
      <c r="S3763">
        <v>-3.2012480000000001</v>
      </c>
      <c r="T3763">
        <v>-0.20050660000000001</v>
      </c>
      <c r="U3763">
        <v>-0.2676849</v>
      </c>
      <c r="V3763">
        <v>0.16458929999999999</v>
      </c>
      <c r="W3763">
        <v>1.492666E-2</v>
      </c>
      <c r="X3763">
        <v>0.98624920000000005</v>
      </c>
      <c r="Y3763">
        <v>0.495360999999999</v>
      </c>
      <c r="Z3763">
        <v>4.9014580000000002E-2</v>
      </c>
      <c r="AA3763">
        <v>0.86730339999999995</v>
      </c>
      <c r="AB3763">
        <v>21</v>
      </c>
      <c r="AC3763">
        <v>-17.7013</v>
      </c>
      <c r="AD3763">
        <v>-1.1233687498289999</v>
      </c>
      <c r="AE3763">
        <v>-1.3842999999999901</v>
      </c>
      <c r="AF3763">
        <v>8.8769324306597408</v>
      </c>
      <c r="AG3763">
        <v>-1.1233687498289999</v>
      </c>
      <c r="AH3763">
        <v>15.2952129274315</v>
      </c>
      <c r="AI3763">
        <v>93.634692898822806</v>
      </c>
      <c r="AJ3763">
        <v>59.870267024925397</v>
      </c>
      <c r="AK3763">
        <v>17.7201982275046</v>
      </c>
    </row>
    <row r="3764" spans="1:37" x14ac:dyDescent="0.2">
      <c r="A3764" t="str">
        <f>"20200111155924588"</f>
        <v>20200111155924588</v>
      </c>
      <c r="B3764" t="str">
        <f>"1578729564575578"</f>
        <v>1578729564575578</v>
      </c>
      <c r="C3764" t="s">
        <v>37</v>
      </c>
      <c r="D3764">
        <v>5.3738910000000004</v>
      </c>
      <c r="E3764">
        <v>0.64057149999999996</v>
      </c>
      <c r="F3764" t="s">
        <v>39</v>
      </c>
      <c r="G3764">
        <v>-219.8716</v>
      </c>
      <c r="H3764" s="1">
        <v>-2.4302239999999999E-6</v>
      </c>
      <c r="I3764">
        <v>148.5951</v>
      </c>
      <c r="J3764">
        <v>-202.83779999999999</v>
      </c>
      <c r="K3764">
        <v>1.127151</v>
      </c>
      <c r="L3764">
        <v>149.85839999999999</v>
      </c>
      <c r="M3764">
        <v>-0.82892109999999997</v>
      </c>
      <c r="N3764">
        <v>0</v>
      </c>
      <c r="O3764">
        <v>-0.55914319999999995</v>
      </c>
      <c r="P3764">
        <v>-0.90917959999999998</v>
      </c>
      <c r="Q3764">
        <v>6.215216E-3</v>
      </c>
      <c r="R3764">
        <v>-0.41635800000000001</v>
      </c>
      <c r="S3764">
        <v>-3.19693</v>
      </c>
      <c r="T3764">
        <v>-0.2084801</v>
      </c>
      <c r="U3764">
        <v>-0.25598139999999903</v>
      </c>
      <c r="V3764">
        <v>0.1640858</v>
      </c>
      <c r="W3764">
        <v>1.420623E-2</v>
      </c>
      <c r="X3764">
        <v>0.98634379999999999</v>
      </c>
      <c r="Y3764">
        <v>0.48918139999999999</v>
      </c>
      <c r="Z3764">
        <v>5.0378739999999998E-2</v>
      </c>
      <c r="AA3764">
        <v>0.87072590000000005</v>
      </c>
      <c r="AB3764">
        <v>21</v>
      </c>
      <c r="AC3764">
        <v>-17.033799999999999</v>
      </c>
      <c r="AD3764">
        <v>-1.1271534302240001</v>
      </c>
      <c r="AE3764">
        <v>-1.2632999999999801</v>
      </c>
      <c r="AF3764">
        <v>8.4414515089281004</v>
      </c>
      <c r="AG3764">
        <v>-1.1271534302240001</v>
      </c>
      <c r="AH3764">
        <v>14.7635943421442</v>
      </c>
      <c r="AI3764">
        <v>93.791887419072495</v>
      </c>
      <c r="AJ3764">
        <v>60.240165661766298</v>
      </c>
      <c r="AK3764">
        <v>17.043834554824901</v>
      </c>
    </row>
    <row r="3765" spans="1:37" x14ac:dyDescent="0.2">
      <c r="A3765" t="str">
        <f>"20200111155924610"</f>
        <v>20200111155924610</v>
      </c>
      <c r="B3765" t="str">
        <f>"1578729564605835"</f>
        <v>1578729564605835</v>
      </c>
      <c r="C3765" t="s">
        <v>37</v>
      </c>
      <c r="D3765">
        <v>5.362101</v>
      </c>
      <c r="E3765">
        <v>0.63854480000000002</v>
      </c>
      <c r="F3765" t="s">
        <v>39</v>
      </c>
      <c r="G3765">
        <v>-219.34389999999999</v>
      </c>
      <c r="H3765" s="1">
        <v>-2.6921809999999999E-6</v>
      </c>
      <c r="I3765">
        <v>148.64230000000001</v>
      </c>
      <c r="J3765">
        <v>-203.0308</v>
      </c>
      <c r="K3765">
        <v>1.1307719999999899</v>
      </c>
      <c r="L3765">
        <v>149.74350000000001</v>
      </c>
      <c r="M3765">
        <v>-0.83495299999999995</v>
      </c>
      <c r="N3765">
        <v>0</v>
      </c>
      <c r="O3765">
        <v>-0.55004969999999997</v>
      </c>
      <c r="P3765">
        <v>-0.91369669999999903</v>
      </c>
      <c r="Q3765">
        <v>3.083765E-3</v>
      </c>
      <c r="R3765">
        <v>-0.40638550000000001</v>
      </c>
      <c r="S3765">
        <v>-3.193451</v>
      </c>
      <c r="T3765">
        <v>-0.21807159999999901</v>
      </c>
      <c r="U3765">
        <v>-0.23529050000000001</v>
      </c>
      <c r="V3765">
        <v>0.16400379999999901</v>
      </c>
      <c r="W3765">
        <v>1.312058E-2</v>
      </c>
      <c r="X3765">
        <v>0.98637249999999999</v>
      </c>
      <c r="Y3765">
        <v>0.4850238</v>
      </c>
      <c r="Z3765">
        <v>5.2120100000000003E-2</v>
      </c>
      <c r="AA3765">
        <v>0.87294640000000001</v>
      </c>
      <c r="AB3765">
        <v>22</v>
      </c>
      <c r="AC3765">
        <v>-16.313099999999899</v>
      </c>
      <c r="AD3765">
        <v>-1.13077469218099</v>
      </c>
      <c r="AE3765">
        <v>-1.1012</v>
      </c>
      <c r="AF3765">
        <v>8.0164261070283604</v>
      </c>
      <c r="AG3765">
        <v>-1.13077469218099</v>
      </c>
      <c r="AH3765">
        <v>14.1607808382059</v>
      </c>
      <c r="AI3765">
        <v>93.975114724864198</v>
      </c>
      <c r="AJ3765">
        <v>60.485774958654702</v>
      </c>
      <c r="AK3765">
        <v>16.311635506031301</v>
      </c>
    </row>
    <row r="3766" spans="1:37" x14ac:dyDescent="0.2">
      <c r="A3766" t="str">
        <f>"20200111155924634"</f>
        <v>20200111155924634</v>
      </c>
      <c r="B3766" t="str">
        <f>"1578729564625355"</f>
        <v>1578729564625355</v>
      </c>
      <c r="C3766" t="s">
        <v>37</v>
      </c>
      <c r="D3766">
        <v>5.3890719999999996</v>
      </c>
      <c r="E3766">
        <v>0.63720869999999996</v>
      </c>
      <c r="F3766" t="s">
        <v>39</v>
      </c>
      <c r="G3766">
        <v>-218.85669999999999</v>
      </c>
      <c r="H3766" s="1">
        <v>-2.9170059999999999E-6</v>
      </c>
      <c r="I3766">
        <v>148.6747</v>
      </c>
      <c r="J3766">
        <v>-203.22720000000001</v>
      </c>
      <c r="K3766">
        <v>1.133864</v>
      </c>
      <c r="L3766">
        <v>149.62819999999999</v>
      </c>
      <c r="M3766">
        <v>-0.84068299999999996</v>
      </c>
      <c r="N3766">
        <v>0</v>
      </c>
      <c r="O3766">
        <v>-0.54119930000000005</v>
      </c>
      <c r="P3766">
        <v>-0.91816960000000003</v>
      </c>
      <c r="Q3766">
        <v>-5.6708419999999999E-4</v>
      </c>
      <c r="R3766">
        <v>-0.39618720000000002</v>
      </c>
      <c r="S3766">
        <v>-3.1883849999999998</v>
      </c>
      <c r="T3766">
        <v>-0.22781299999999999</v>
      </c>
      <c r="U3766">
        <v>-0.215316799999999</v>
      </c>
      <c r="V3766">
        <v>0.16447139999999999</v>
      </c>
      <c r="W3766">
        <v>1.136118E-2</v>
      </c>
      <c r="X3766">
        <v>0.98631639999999998</v>
      </c>
      <c r="Y3766">
        <v>0.48095939999999998</v>
      </c>
      <c r="Z3766">
        <v>5.3881459999999999E-2</v>
      </c>
      <c r="AA3766">
        <v>0.87508560000000002</v>
      </c>
      <c r="AB3766">
        <v>22</v>
      </c>
      <c r="AC3766">
        <v>-15.629499999999901</v>
      </c>
      <c r="AD3766">
        <v>-1.1338669170060001</v>
      </c>
      <c r="AE3766">
        <v>-0.95349999999999102</v>
      </c>
      <c r="AF3766">
        <v>7.6184967578466303</v>
      </c>
      <c r="AG3766">
        <v>-1.1338669170060001</v>
      </c>
      <c r="AH3766">
        <v>13.5866741611979</v>
      </c>
      <c r="AI3766">
        <v>94.163311708526606</v>
      </c>
      <c r="AJ3766">
        <v>60.719211493830002</v>
      </c>
      <c r="AK3766">
        <v>15.6180940513675</v>
      </c>
    </row>
    <row r="3767" spans="1:37" x14ac:dyDescent="0.2">
      <c r="A3767" t="str">
        <f>"20200111155924655"</f>
        <v>20200111155924655</v>
      </c>
      <c r="B3767" t="str">
        <f>"1578729564645851"</f>
        <v>1578729564645851</v>
      </c>
      <c r="C3767" t="s">
        <v>37</v>
      </c>
      <c r="D3767">
        <v>5.3963580000000002</v>
      </c>
      <c r="E3767">
        <v>0.63589770000000001</v>
      </c>
      <c r="F3767" t="s">
        <v>39</v>
      </c>
      <c r="G3767">
        <v>-218.3228</v>
      </c>
      <c r="H3767" s="1">
        <v>-3.131744E-6</v>
      </c>
      <c r="I3767">
        <v>148.7296</v>
      </c>
      <c r="J3767">
        <v>-203.41130000000001</v>
      </c>
      <c r="K3767">
        <v>1.1353279999999999</v>
      </c>
      <c r="L3767">
        <v>149.52080000000001</v>
      </c>
      <c r="M3767">
        <v>-0.84620329999999999</v>
      </c>
      <c r="N3767">
        <v>0</v>
      </c>
      <c r="O3767">
        <v>-0.53250189999999997</v>
      </c>
      <c r="P3767">
        <v>-0.92248799999999997</v>
      </c>
      <c r="Q3767">
        <v>-2.474398E-3</v>
      </c>
      <c r="R3767">
        <v>-0.38601819999999998</v>
      </c>
      <c r="S3767">
        <v>-3.1853940000000001</v>
      </c>
      <c r="T3767">
        <v>-0.23926230000000001</v>
      </c>
      <c r="U3767">
        <v>-0.18962100000000001</v>
      </c>
      <c r="V3767">
        <v>0.16514809999999999</v>
      </c>
      <c r="W3767">
        <v>1.020015E-2</v>
      </c>
      <c r="X3767">
        <v>0.98621599999999998</v>
      </c>
      <c r="Y3767">
        <v>0.47867669999999901</v>
      </c>
      <c r="Z3767">
        <v>5.6031730000000002E-2</v>
      </c>
      <c r="AA3767">
        <v>0.87620149999999997</v>
      </c>
      <c r="AB3767">
        <v>21</v>
      </c>
      <c r="AC3767">
        <v>-14.911499999999901</v>
      </c>
      <c r="AD3767">
        <v>-1.135331131744</v>
      </c>
      <c r="AE3767">
        <v>-0.79120000000000301</v>
      </c>
      <c r="AF3767">
        <v>7.2304767663574303</v>
      </c>
      <c r="AG3767">
        <v>-1.135331131744</v>
      </c>
      <c r="AH3767">
        <v>12.9670067642544</v>
      </c>
      <c r="AI3767">
        <v>94.372927300273503</v>
      </c>
      <c r="AJ3767">
        <v>60.855713721128403</v>
      </c>
      <c r="AK3767">
        <v>14.889997833168399</v>
      </c>
    </row>
    <row r="3768" spans="1:37" x14ac:dyDescent="0.2">
      <c r="A3768" t="str">
        <f>"20200111155924677"</f>
        <v>20200111155924677</v>
      </c>
      <c r="B3768" t="str">
        <f>"1578729564665370"</f>
        <v>1578729564665370</v>
      </c>
      <c r="C3768" t="s">
        <v>37</v>
      </c>
      <c r="D3768">
        <v>5.3863329999999996</v>
      </c>
      <c r="E3768">
        <v>0.63455729999999999</v>
      </c>
      <c r="F3768" t="s">
        <v>39</v>
      </c>
      <c r="G3768">
        <v>-218.3218</v>
      </c>
      <c r="H3768" s="1">
        <v>-3.1364519999999999E-6</v>
      </c>
      <c r="I3768">
        <v>148.75380000000001</v>
      </c>
      <c r="J3768">
        <v>-203.59780000000001</v>
      </c>
      <c r="K3768">
        <v>1.1358159999999999</v>
      </c>
      <c r="L3768">
        <v>149.41239999999999</v>
      </c>
      <c r="M3768">
        <v>-0.85247070000000003</v>
      </c>
      <c r="N3768">
        <v>0</v>
      </c>
      <c r="O3768">
        <v>-0.52241610000000005</v>
      </c>
      <c r="P3768">
        <v>-0.92739479999999996</v>
      </c>
      <c r="Q3768">
        <v>-3.3376650000000001E-3</v>
      </c>
      <c r="R3768">
        <v>-0.3740697</v>
      </c>
      <c r="S3768">
        <v>-3.1829070000000002</v>
      </c>
      <c r="T3768">
        <v>-0.2423574</v>
      </c>
      <c r="U3768">
        <v>-0.16372679999999901</v>
      </c>
      <c r="V3768">
        <v>0.1661308</v>
      </c>
      <c r="W3768">
        <v>9.1516340000000005E-3</v>
      </c>
      <c r="X3768">
        <v>0.98606130000000003</v>
      </c>
      <c r="Y3768">
        <v>0.47528169999999997</v>
      </c>
      <c r="Z3768">
        <v>5.6046680000000001E-2</v>
      </c>
      <c r="AA3768">
        <v>0.87804680000000002</v>
      </c>
      <c r="AB3768">
        <v>21</v>
      </c>
      <c r="AC3768">
        <v>-14.723999999999901</v>
      </c>
      <c r="AD3768">
        <v>-1.1358191364519901</v>
      </c>
      <c r="AE3768">
        <v>-0.65859999999997798</v>
      </c>
      <c r="AF3768">
        <v>7.0898500613786597</v>
      </c>
      <c r="AG3768">
        <v>-1.1358191364519901</v>
      </c>
      <c r="AH3768">
        <v>12.8221133148096</v>
      </c>
      <c r="AI3768">
        <v>94.432776435116594</v>
      </c>
      <c r="AJ3768">
        <v>61.060070671094898</v>
      </c>
      <c r="AK3768">
        <v>14.6956676902201</v>
      </c>
    </row>
    <row r="3769" spans="1:37" x14ac:dyDescent="0.2">
      <c r="A3769" t="str">
        <f>"20200111155924699"</f>
        <v>20200111155924699</v>
      </c>
      <c r="B3769" t="str">
        <f>"1578729564695626"</f>
        <v>1578729564695626</v>
      </c>
      <c r="C3769" t="s">
        <v>37</v>
      </c>
      <c r="D3769">
        <v>5.389888</v>
      </c>
      <c r="E3769">
        <v>0.63261350000000005</v>
      </c>
      <c r="F3769" t="s">
        <v>39</v>
      </c>
      <c r="G3769">
        <v>-218.45519999999999</v>
      </c>
      <c r="H3769" s="1">
        <v>-3.092422E-6</v>
      </c>
      <c r="I3769">
        <v>148.7946</v>
      </c>
      <c r="J3769">
        <v>-203.7894</v>
      </c>
      <c r="K3769">
        <v>1.1363289999999999</v>
      </c>
      <c r="L3769">
        <v>149.303</v>
      </c>
      <c r="M3769">
        <v>-0.85880119999999904</v>
      </c>
      <c r="N3769">
        <v>0</v>
      </c>
      <c r="O3769">
        <v>-0.51193729999999904</v>
      </c>
      <c r="P3769">
        <v>-0.93210849999999901</v>
      </c>
      <c r="Q3769">
        <v>-4.5750890000000001E-3</v>
      </c>
      <c r="R3769">
        <v>-0.3621509</v>
      </c>
      <c r="S3769">
        <v>-3.1806179999999999</v>
      </c>
      <c r="T3769">
        <v>-0.24315059999999999</v>
      </c>
      <c r="U3769">
        <v>-0.1322632</v>
      </c>
      <c r="V3769">
        <v>0.16665170000000001</v>
      </c>
      <c r="W3769">
        <v>7.9905779999999999E-3</v>
      </c>
      <c r="X3769">
        <v>0.98598339999999995</v>
      </c>
      <c r="Y3769">
        <v>0.47316279999999999</v>
      </c>
      <c r="Z3769">
        <v>5.5535309999999997E-2</v>
      </c>
      <c r="AA3769">
        <v>0.87922289999999903</v>
      </c>
      <c r="AB3769">
        <v>22</v>
      </c>
      <c r="AC3769">
        <v>-14.6657999999999</v>
      </c>
      <c r="AD3769">
        <v>-1.136332092422</v>
      </c>
      <c r="AE3769">
        <v>-0.50839999999999397</v>
      </c>
      <c r="AF3769">
        <v>7.0305452552374197</v>
      </c>
      <c r="AG3769">
        <v>-1.136332092422</v>
      </c>
      <c r="AH3769">
        <v>12.781085083204699</v>
      </c>
      <c r="AI3769">
        <v>94.454321113585394</v>
      </c>
      <c r="AJ3769">
        <v>61.185942015054302</v>
      </c>
      <c r="AK3769">
        <v>14.6313346320261</v>
      </c>
    </row>
    <row r="3770" spans="1:37" x14ac:dyDescent="0.2">
      <c r="A3770" t="str">
        <f>"20200111155924722"</f>
        <v>20200111155924722</v>
      </c>
      <c r="B3770" t="str">
        <f>"1578729564716123"</f>
        <v>1578729564716123</v>
      </c>
      <c r="C3770" t="s">
        <v>37</v>
      </c>
      <c r="D3770">
        <v>5.3708289999999996</v>
      </c>
      <c r="E3770">
        <v>0.63141150000000001</v>
      </c>
      <c r="F3770" t="s">
        <v>39</v>
      </c>
      <c r="G3770">
        <v>-218.5515</v>
      </c>
      <c r="H3770" s="1">
        <v>-3.0584919999999998E-6</v>
      </c>
      <c r="I3770">
        <v>148.81180000000001</v>
      </c>
      <c r="J3770">
        <v>-203.99109999999999</v>
      </c>
      <c r="K3770">
        <v>1.1363639999999999</v>
      </c>
      <c r="L3770">
        <v>149.19069999999999</v>
      </c>
      <c r="M3770">
        <v>-0.86468579999999995</v>
      </c>
      <c r="N3770">
        <v>0</v>
      </c>
      <c r="O3770">
        <v>-0.50190769999999996</v>
      </c>
      <c r="P3770">
        <v>-0.93628230000000001</v>
      </c>
      <c r="Q3770">
        <v>-5.3660950000000004E-3</v>
      </c>
      <c r="R3770">
        <v>-0.35120790000000002</v>
      </c>
      <c r="S3770">
        <v>-3.1762389999999998</v>
      </c>
      <c r="T3770">
        <v>-0.2444952</v>
      </c>
      <c r="U3770">
        <v>-0.1056976</v>
      </c>
      <c r="V3770">
        <v>0.16673829999999901</v>
      </c>
      <c r="W3770">
        <v>7.5857549999999996E-3</v>
      </c>
      <c r="X3770">
        <v>0.98597199999999996</v>
      </c>
      <c r="Y3770">
        <v>0.47021409999999902</v>
      </c>
      <c r="Z3770">
        <v>5.5161929999999998E-2</v>
      </c>
      <c r="AA3770">
        <v>0.88082680000000002</v>
      </c>
      <c r="AB3770">
        <v>22</v>
      </c>
      <c r="AC3770">
        <v>-14.5604</v>
      </c>
      <c r="AD3770">
        <v>-1.136367058492</v>
      </c>
      <c r="AE3770">
        <v>-0.37889999999998702</v>
      </c>
      <c r="AF3770">
        <v>6.9395285421090902</v>
      </c>
      <c r="AG3770">
        <v>-1.136367058492</v>
      </c>
      <c r="AH3770">
        <v>12.705608505168399</v>
      </c>
      <c r="AI3770">
        <v>94.488145258265106</v>
      </c>
      <c r="AJ3770">
        <v>61.357587496497302</v>
      </c>
      <c r="AK3770">
        <v>14.5217379801792</v>
      </c>
    </row>
    <row r="3771" spans="1:37" x14ac:dyDescent="0.2">
      <c r="A3771" t="str">
        <f>"20200111155924745"</f>
        <v>20200111155924745</v>
      </c>
      <c r="B3771" t="str">
        <f>"1578729564735642"</f>
        <v>1578729564735642</v>
      </c>
      <c r="C3771" t="s">
        <v>37</v>
      </c>
      <c r="D3771">
        <v>5.3681419999999997</v>
      </c>
      <c r="E3771">
        <v>0.63026549999999903</v>
      </c>
      <c r="F3771" t="s">
        <v>39</v>
      </c>
      <c r="G3771">
        <v>-218.86510000000001</v>
      </c>
      <c r="H3771" s="1">
        <v>-2.9414310000000001E-6</v>
      </c>
      <c r="I3771">
        <v>148.8306</v>
      </c>
      <c r="J3771">
        <v>-204.18099999999899</v>
      </c>
      <c r="K3771">
        <v>1.1355420000000001</v>
      </c>
      <c r="L3771">
        <v>149.0883</v>
      </c>
      <c r="M3771">
        <v>-0.86919809999999997</v>
      </c>
      <c r="N3771">
        <v>0</v>
      </c>
      <c r="O3771">
        <v>-0.49403549999999902</v>
      </c>
      <c r="P3771">
        <v>-0.93922280000000002</v>
      </c>
      <c r="Q3771">
        <v>-4.9158489999999999E-3</v>
      </c>
      <c r="R3771">
        <v>-0.34327299999999999</v>
      </c>
      <c r="S3771">
        <v>-3.17395</v>
      </c>
      <c r="T3771">
        <v>-0.24248979999999901</v>
      </c>
      <c r="U3771">
        <v>-7.6843259999999997E-2</v>
      </c>
      <c r="V3771">
        <v>0.16619419999999999</v>
      </c>
      <c r="W3771">
        <v>7.9648299999999991E-3</v>
      </c>
      <c r="X3771">
        <v>0.98606090000000002</v>
      </c>
      <c r="Y3771">
        <v>0.47025339999999999</v>
      </c>
      <c r="Z3771">
        <v>5.4252399999999999E-2</v>
      </c>
      <c r="AA3771">
        <v>0.88086229999999999</v>
      </c>
      <c r="AB3771">
        <v>22</v>
      </c>
      <c r="AC3771">
        <v>-14.684100000000001</v>
      </c>
      <c r="AD3771">
        <v>-1.1355449414309999</v>
      </c>
      <c r="AE3771">
        <v>-0.25769999999999899</v>
      </c>
      <c r="AF3771">
        <v>6.9901742161743297</v>
      </c>
      <c r="AG3771">
        <v>-1.1355449414309999</v>
      </c>
      <c r="AH3771">
        <v>12.816812608305501</v>
      </c>
      <c r="AI3771">
        <v>94.447621708953307</v>
      </c>
      <c r="AJ3771">
        <v>61.3923465426262</v>
      </c>
      <c r="AK3771">
        <v>14.6431787301425</v>
      </c>
    </row>
    <row r="3772" spans="1:37" x14ac:dyDescent="0.2">
      <c r="A3772" t="str">
        <f>"20200111155924766"</f>
        <v>20200111155924766</v>
      </c>
      <c r="B3772" t="str">
        <f>"1578729564756138"</f>
        <v>1578729564756138</v>
      </c>
      <c r="C3772" t="s">
        <v>37</v>
      </c>
      <c r="D3772">
        <v>5.3777780000000002</v>
      </c>
      <c r="E3772">
        <v>0.62912089999999998</v>
      </c>
      <c r="F3772" t="s">
        <v>39</v>
      </c>
      <c r="G3772">
        <v>-219.4143</v>
      </c>
      <c r="H3772" s="1">
        <v>-2.7035259999999999E-6</v>
      </c>
      <c r="I3772">
        <v>148.81</v>
      </c>
      <c r="J3772">
        <v>-204.36709999999999</v>
      </c>
      <c r="K3772">
        <v>1.134144</v>
      </c>
      <c r="L3772">
        <v>148.99189999999999</v>
      </c>
      <c r="M3772">
        <v>-0.87293259999999995</v>
      </c>
      <c r="N3772">
        <v>0</v>
      </c>
      <c r="O3772">
        <v>-0.48740410000000001</v>
      </c>
      <c r="P3772">
        <v>-0.94155769999999905</v>
      </c>
      <c r="Q3772">
        <v>-4.4556539999999999E-3</v>
      </c>
      <c r="R3772">
        <v>-0.33682240000000002</v>
      </c>
      <c r="S3772">
        <v>-3.1717219999999999</v>
      </c>
      <c r="T3772">
        <v>-0.23643169999999999</v>
      </c>
      <c r="U3772">
        <v>-5.7952879999999998E-2</v>
      </c>
      <c r="V3772">
        <v>0.16550509999999999</v>
      </c>
      <c r="W3772">
        <v>7.9562480000000008E-3</v>
      </c>
      <c r="X3772">
        <v>0.98617679999999996</v>
      </c>
      <c r="Y3772">
        <v>0.46892079999999903</v>
      </c>
      <c r="Z3772">
        <v>5.2468470000000003E-2</v>
      </c>
      <c r="AA3772">
        <v>0.88168040000000003</v>
      </c>
      <c r="AB3772">
        <v>21</v>
      </c>
      <c r="AC3772">
        <v>-15.0472</v>
      </c>
      <c r="AD3772">
        <v>-1.134146703526</v>
      </c>
      <c r="AE3772">
        <v>-0.18189999999998399</v>
      </c>
      <c r="AF3772">
        <v>7.1362736057982596</v>
      </c>
      <c r="AG3772">
        <v>-1.134146703526</v>
      </c>
      <c r="AH3772">
        <v>13.1519614992831</v>
      </c>
      <c r="AI3772">
        <v>94.334457459030205</v>
      </c>
      <c r="AJ3772">
        <v>61.515677344489099</v>
      </c>
      <c r="AK3772">
        <v>15.006224741771501</v>
      </c>
    </row>
    <row r="3773" spans="1:37" x14ac:dyDescent="0.2">
      <c r="A3773" t="str">
        <f>"20200111155924789"</f>
        <v>20200111155924789</v>
      </c>
      <c r="B3773" t="str">
        <f>"1578729564785419"</f>
        <v>1578729564785419</v>
      </c>
      <c r="C3773" t="s">
        <v>37</v>
      </c>
      <c r="D3773">
        <v>5.393243</v>
      </c>
      <c r="E3773">
        <v>0.58889199999999997</v>
      </c>
      <c r="F3773" t="s">
        <v>39</v>
      </c>
      <c r="G3773">
        <v>-219.89189999999999</v>
      </c>
      <c r="H3773" s="1">
        <v>-2.468455E-6</v>
      </c>
      <c r="I3773">
        <v>148.7749</v>
      </c>
      <c r="J3773">
        <v>-204.56319999999999</v>
      </c>
      <c r="K3773">
        <v>1.1327479999999901</v>
      </c>
      <c r="L3773">
        <v>148.89410000000001</v>
      </c>
      <c r="M3773">
        <v>-0.87680130000000001</v>
      </c>
      <c r="N3773">
        <v>0</v>
      </c>
      <c r="O3773">
        <v>-0.48040769999999999</v>
      </c>
      <c r="P3773">
        <v>-0.94427689999999997</v>
      </c>
      <c r="Q3773">
        <v>-4.1764539999999996E-3</v>
      </c>
      <c r="R3773">
        <v>-0.32912590000000003</v>
      </c>
      <c r="S3773">
        <v>-3.1692659999999999</v>
      </c>
      <c r="T3773">
        <v>-0.23152629999999999</v>
      </c>
      <c r="U3773">
        <v>-4.4296259999999997E-2</v>
      </c>
      <c r="V3773">
        <v>0.16570570000000001</v>
      </c>
      <c r="W3773">
        <v>7.8418089999999999E-3</v>
      </c>
      <c r="X3773">
        <v>0.98614409999999897</v>
      </c>
      <c r="Y3773">
        <v>0.46577429999999997</v>
      </c>
      <c r="Z3773">
        <v>5.086508E-2</v>
      </c>
      <c r="AA3773">
        <v>0.88344049999999996</v>
      </c>
      <c r="AB3773">
        <v>22</v>
      </c>
      <c r="AC3773">
        <v>-15.3286999999999</v>
      </c>
      <c r="AD3773">
        <v>-1.1327504684549901</v>
      </c>
      <c r="AE3773">
        <v>-0.119200000000006</v>
      </c>
      <c r="AF3773">
        <v>7.2216309062401596</v>
      </c>
      <c r="AG3773">
        <v>-1.1327504684549901</v>
      </c>
      <c r="AH3773">
        <v>13.427059230852199</v>
      </c>
      <c r="AI3773">
        <v>94.249190471045097</v>
      </c>
      <c r="AJ3773">
        <v>61.726787772353703</v>
      </c>
      <c r="AK3773">
        <v>15.287936294953701</v>
      </c>
    </row>
    <row r="3774" spans="1:37" x14ac:dyDescent="0.2">
      <c r="A3774" t="str">
        <f>"20200111155924811"</f>
        <v>20200111155924811</v>
      </c>
      <c r="B3774" t="str">
        <f>"1578729564805915"</f>
        <v>1578729564805915</v>
      </c>
      <c r="C3774" t="s">
        <v>37</v>
      </c>
      <c r="D3774">
        <v>5.3602309999999997</v>
      </c>
      <c r="E3774">
        <v>0.587503</v>
      </c>
      <c r="F3774" t="s">
        <v>39</v>
      </c>
      <c r="G3774">
        <v>-222.8843</v>
      </c>
      <c r="H3774" s="1">
        <v>-4.600276E-6</v>
      </c>
      <c r="I3774">
        <v>146.9777</v>
      </c>
      <c r="J3774">
        <v>-204.76130000000001</v>
      </c>
      <c r="K3774">
        <v>1.131562</v>
      </c>
      <c r="L3774">
        <v>148.79849999999999</v>
      </c>
      <c r="M3774">
        <v>-0.88085619999999998</v>
      </c>
      <c r="N3774">
        <v>0</v>
      </c>
      <c r="O3774">
        <v>-0.47292129999999999</v>
      </c>
      <c r="P3774">
        <v>-0.94708440000000005</v>
      </c>
      <c r="Q3774">
        <v>-4.3496559999999899E-3</v>
      </c>
      <c r="R3774">
        <v>-0.32095559999999901</v>
      </c>
      <c r="S3774">
        <v>-3.0644680000000002</v>
      </c>
      <c r="T3774">
        <v>-0.18946979999999999</v>
      </c>
      <c r="U3774">
        <v>-0.32054139999999998</v>
      </c>
      <c r="V3774">
        <v>0.16584070000000001</v>
      </c>
      <c r="W3774">
        <v>7.6577549999999996E-3</v>
      </c>
      <c r="X3774">
        <v>0.98612279999999997</v>
      </c>
      <c r="Y3774">
        <v>0.37727080000000002</v>
      </c>
      <c r="Z3774">
        <v>3.9660580000000001E-2</v>
      </c>
      <c r="AA3774">
        <v>0.92525329999999995</v>
      </c>
      <c r="AB3774">
        <v>22</v>
      </c>
      <c r="AC3774">
        <v>-18.122999999999902</v>
      </c>
      <c r="AD3774">
        <v>-1.1315666002760001</v>
      </c>
      <c r="AE3774">
        <v>-1.82079999999999</v>
      </c>
      <c r="AF3774">
        <v>6.9416236588412303</v>
      </c>
      <c r="AG3774">
        <v>-1.1315666002760001</v>
      </c>
      <c r="AH3774">
        <v>16.763835080426102</v>
      </c>
      <c r="AI3774">
        <v>93.568639011584807</v>
      </c>
      <c r="AJ3774">
        <v>67.506372210828005</v>
      </c>
      <c r="AK3774">
        <v>18.1794595242974</v>
      </c>
    </row>
    <row r="3775" spans="1:37" x14ac:dyDescent="0.2">
      <c r="A3775" t="str">
        <f>"20200111155924834"</f>
        <v>20200111155924834</v>
      </c>
      <c r="B3775" t="str">
        <f>"1578729564825435"</f>
        <v>1578729564825435</v>
      </c>
      <c r="C3775" t="s">
        <v>37</v>
      </c>
      <c r="D3775">
        <v>5.3803109999999998</v>
      </c>
      <c r="E3775">
        <v>0.58647050000000001</v>
      </c>
      <c r="F3775" t="s">
        <v>39</v>
      </c>
      <c r="G3775">
        <v>-223.31389999999999</v>
      </c>
      <c r="H3775" s="1">
        <v>-4.4500099999999996E-6</v>
      </c>
      <c r="I3775">
        <v>146.9547</v>
      </c>
      <c r="J3775">
        <v>-204.9674</v>
      </c>
      <c r="K3775">
        <v>1.13046</v>
      </c>
      <c r="L3775">
        <v>148.70179999999999</v>
      </c>
      <c r="M3775">
        <v>-0.88527800000000001</v>
      </c>
      <c r="N3775">
        <v>0</v>
      </c>
      <c r="O3775">
        <v>-0.46457520000000002</v>
      </c>
      <c r="P3775">
        <v>-0.95044980000000001</v>
      </c>
      <c r="Q3775">
        <v>-4.4701289999999998E-3</v>
      </c>
      <c r="R3775">
        <v>-0.31084580000000001</v>
      </c>
      <c r="S3775">
        <v>-3.0636139999999998</v>
      </c>
      <c r="T3775">
        <v>-0.186857299999999</v>
      </c>
      <c r="U3775">
        <v>-0.30445859999999902</v>
      </c>
      <c r="V3775">
        <v>0.1670451</v>
      </c>
      <c r="W3775">
        <v>7.7602719999999899E-3</v>
      </c>
      <c r="X3775">
        <v>0.98591870000000004</v>
      </c>
      <c r="Y3775">
        <v>0.37336329999999901</v>
      </c>
      <c r="Z3775">
        <v>3.8575560000000002E-2</v>
      </c>
      <c r="AA3775">
        <v>0.92688289999999995</v>
      </c>
      <c r="AB3775">
        <v>21</v>
      </c>
      <c r="AC3775">
        <v>-18.346499999999899</v>
      </c>
      <c r="AD3775">
        <v>-1.1304644500100001</v>
      </c>
      <c r="AE3775">
        <v>-1.7470999999999799</v>
      </c>
      <c r="AF3775">
        <v>6.9520817517289197</v>
      </c>
      <c r="AG3775">
        <v>-1.1304644500100001</v>
      </c>
      <c r="AH3775">
        <v>16.993334970003801</v>
      </c>
      <c r="AI3775">
        <v>93.523295979982095</v>
      </c>
      <c r="AJ3775">
        <v>67.750217014183207</v>
      </c>
      <c r="AK3775">
        <v>18.395184803589601</v>
      </c>
    </row>
    <row r="3776" spans="1:37" x14ac:dyDescent="0.2">
      <c r="A3776" t="str">
        <f>"20200111155924855"</f>
        <v>20200111155924855</v>
      </c>
      <c r="B3776" t="str">
        <f>"1578729564845930"</f>
        <v>1578729564845930</v>
      </c>
      <c r="C3776" t="s">
        <v>37</v>
      </c>
      <c r="D3776">
        <v>5.357469</v>
      </c>
      <c r="E3776">
        <v>0.58512849999999905</v>
      </c>
      <c r="F3776" t="s">
        <v>39</v>
      </c>
      <c r="G3776">
        <v>-223.55260000000001</v>
      </c>
      <c r="H3776" s="1">
        <v>-4.377882E-6</v>
      </c>
      <c r="I3776">
        <v>147.006</v>
      </c>
      <c r="J3776">
        <v>-205.15099999999899</v>
      </c>
      <c r="K3776">
        <v>1.1294660000000001</v>
      </c>
      <c r="L3776">
        <v>148.61770000000001</v>
      </c>
      <c r="M3776">
        <v>-0.88931689999999997</v>
      </c>
      <c r="N3776">
        <v>0</v>
      </c>
      <c r="O3776">
        <v>-0.45678229999999997</v>
      </c>
      <c r="P3776">
        <v>-0.95354150000000004</v>
      </c>
      <c r="Q3776">
        <v>-4.8226579999999996E-3</v>
      </c>
      <c r="R3776">
        <v>-0.30122329999999897</v>
      </c>
      <c r="S3776">
        <v>-3.0640559999999999</v>
      </c>
      <c r="T3776">
        <v>-0.18637529999999999</v>
      </c>
      <c r="U3776">
        <v>-0.27957149999999997</v>
      </c>
      <c r="V3776">
        <v>0.16834649999999901</v>
      </c>
      <c r="W3776">
        <v>7.6734910000000002E-3</v>
      </c>
      <c r="X3776">
        <v>0.98569799999999996</v>
      </c>
      <c r="Y3776">
        <v>0.37271599999999999</v>
      </c>
      <c r="Z3776">
        <v>3.8056810000000003E-2</v>
      </c>
      <c r="AA3776">
        <v>0.92716469999999995</v>
      </c>
      <c r="AB3776">
        <v>21</v>
      </c>
      <c r="AC3776">
        <v>-18.401599999999998</v>
      </c>
      <c r="AD3776">
        <v>-1.1294703778820001</v>
      </c>
      <c r="AE3776">
        <v>-1.6117000000000099</v>
      </c>
      <c r="AF3776">
        <v>6.9478601499794301</v>
      </c>
      <c r="AG3776">
        <v>-1.1294703778820001</v>
      </c>
      <c r="AH3776">
        <v>17.041318303155801</v>
      </c>
      <c r="AI3776">
        <v>93.512034387819597</v>
      </c>
      <c r="AJ3776">
        <v>67.818947166532297</v>
      </c>
      <c r="AK3776">
        <v>18.437868464322499</v>
      </c>
    </row>
    <row r="3777" spans="1:37" x14ac:dyDescent="0.2">
      <c r="A3777" t="str">
        <f>"20200111155924878"</f>
        <v>20200111155924878</v>
      </c>
      <c r="B3777" t="str">
        <f>"1578729564865450"</f>
        <v>1578729564865450</v>
      </c>
      <c r="C3777" t="s">
        <v>37</v>
      </c>
      <c r="D3777">
        <v>5.3503600000000002</v>
      </c>
      <c r="E3777">
        <v>0.58397730000000003</v>
      </c>
      <c r="F3777" t="s">
        <v>39</v>
      </c>
      <c r="G3777">
        <v>-223.42169999999999</v>
      </c>
      <c r="H3777" s="1">
        <v>-4.4343329999999902E-6</v>
      </c>
      <c r="I3777">
        <v>147.07320000000001</v>
      </c>
      <c r="J3777">
        <v>-205.3477</v>
      </c>
      <c r="K3777">
        <v>1.1283510000000001</v>
      </c>
      <c r="L3777">
        <v>148.52979999999999</v>
      </c>
      <c r="M3777">
        <v>-0.893622899999999</v>
      </c>
      <c r="N3777">
        <v>0</v>
      </c>
      <c r="O3777">
        <v>-0.44828580000000001</v>
      </c>
      <c r="P3777">
        <v>-0.95677540000000005</v>
      </c>
      <c r="Q3777">
        <v>-6.0758280000000001E-3</v>
      </c>
      <c r="R3777">
        <v>-0.29076429999999998</v>
      </c>
      <c r="S3777">
        <v>-3.0634000000000001</v>
      </c>
      <c r="T3777">
        <v>-0.1893754</v>
      </c>
      <c r="U3777">
        <v>-0.25895689999999999</v>
      </c>
      <c r="V3777">
        <v>0.16968839999999999</v>
      </c>
      <c r="W3777">
        <v>6.7470200000000003E-3</v>
      </c>
      <c r="X3777">
        <v>0.98547469999999904</v>
      </c>
      <c r="Y3777">
        <v>0.37002059999999998</v>
      </c>
      <c r="Z3777">
        <v>3.8144989999999997E-2</v>
      </c>
      <c r="AA3777">
        <v>0.92824010000000001</v>
      </c>
      <c r="AB3777">
        <v>21</v>
      </c>
      <c r="AC3777">
        <v>-18.073999999999899</v>
      </c>
      <c r="AD3777">
        <v>-1.128355434333</v>
      </c>
      <c r="AE3777">
        <v>-1.4565999999999799</v>
      </c>
      <c r="AF3777">
        <v>6.7760531440917298</v>
      </c>
      <c r="AG3777">
        <v>-1.128355434333</v>
      </c>
      <c r="AH3777">
        <v>16.743494436520901</v>
      </c>
      <c r="AI3777">
        <v>93.574563360489705</v>
      </c>
      <c r="AJ3777">
        <v>67.966935549080006</v>
      </c>
      <c r="AK3777">
        <v>18.097864187344101</v>
      </c>
    </row>
    <row r="3778" spans="1:37" x14ac:dyDescent="0.2">
      <c r="A3778" t="str">
        <f>"20200111155924911"</f>
        <v>20200111155924911</v>
      </c>
      <c r="B3778" t="str">
        <f>"1578729564905467"</f>
        <v>1578729564905467</v>
      </c>
      <c r="C3778" t="s">
        <v>37</v>
      </c>
      <c r="D3778">
        <v>5.3691279999999999</v>
      </c>
      <c r="E3778">
        <v>0.57388819999999996</v>
      </c>
      <c r="F3778" t="s">
        <v>39</v>
      </c>
      <c r="G3778">
        <v>-223.3792</v>
      </c>
      <c r="H3778" s="1">
        <v>-4.4624319999999999E-6</v>
      </c>
      <c r="I3778">
        <v>147.15010000000001</v>
      </c>
      <c r="J3778">
        <v>-205.64439999999999</v>
      </c>
      <c r="K3778">
        <v>1.1265590000000001</v>
      </c>
      <c r="L3778">
        <v>148.4015</v>
      </c>
      <c r="M3778">
        <v>-0.89992249999999996</v>
      </c>
      <c r="N3778">
        <v>0</v>
      </c>
      <c r="O3778">
        <v>-0.43547399999999897</v>
      </c>
      <c r="P3778">
        <v>-0.96047870000000002</v>
      </c>
      <c r="Q3778">
        <v>-8.28453E-3</v>
      </c>
      <c r="R3778">
        <v>-0.27823039999999999</v>
      </c>
      <c r="S3778">
        <v>-3.0630950000000001</v>
      </c>
      <c r="T3778">
        <v>-0.19167909999999999</v>
      </c>
      <c r="U3778">
        <v>-0.234375</v>
      </c>
      <c r="V3778">
        <v>0.1684003</v>
      </c>
      <c r="W3778">
        <v>5.3646950000000001E-3</v>
      </c>
      <c r="X3778">
        <v>0.98570409999999997</v>
      </c>
      <c r="Y3778">
        <v>0.364141099999999</v>
      </c>
      <c r="Z3778">
        <v>3.7730140000000002E-2</v>
      </c>
      <c r="AA3778">
        <v>0.93057919999999905</v>
      </c>
      <c r="AB3778">
        <v>21</v>
      </c>
      <c r="AC3778">
        <v>-17.7348</v>
      </c>
      <c r="AD3778">
        <v>-1.126563462432</v>
      </c>
      <c r="AE3778">
        <v>-1.2513999999999801</v>
      </c>
      <c r="AF3778">
        <v>6.5721491903885498</v>
      </c>
      <c r="AG3778">
        <v>-1.126563462432</v>
      </c>
      <c r="AH3778">
        <v>16.443019903334399</v>
      </c>
      <c r="AI3778">
        <v>93.640230408692801</v>
      </c>
      <c r="AJ3778">
        <v>68.213788083278303</v>
      </c>
      <c r="AK3778">
        <v>17.743595851942299</v>
      </c>
    </row>
    <row r="3779" spans="1:37" x14ac:dyDescent="0.2">
      <c r="A3779" t="str">
        <f>"20200111155924934"</f>
        <v>20200111155924934</v>
      </c>
      <c r="B3779" t="str">
        <f>"1578729564925964"</f>
        <v>1578729564925964</v>
      </c>
      <c r="C3779" t="s">
        <v>37</v>
      </c>
      <c r="D3779">
        <v>5.5046010000000001</v>
      </c>
      <c r="E3779">
        <v>0.57276389999999999</v>
      </c>
      <c r="F3779" t="s">
        <v>39</v>
      </c>
      <c r="G3779">
        <v>-221.42599999999999</v>
      </c>
      <c r="H3779" s="1">
        <v>-5.0990459999999998E-6</v>
      </c>
      <c r="I3779">
        <v>146.99189999999999</v>
      </c>
      <c r="J3779">
        <v>-205.85290000000001</v>
      </c>
      <c r="K3779">
        <v>1.1252789999999999</v>
      </c>
      <c r="L3779">
        <v>148.31450000000001</v>
      </c>
      <c r="M3779">
        <v>-0.9042249</v>
      </c>
      <c r="N3779">
        <v>0</v>
      </c>
      <c r="O3779">
        <v>-0.42644359999999998</v>
      </c>
      <c r="P3779">
        <v>-0.96287540000000005</v>
      </c>
      <c r="Q3779">
        <v>-9.8865940000000003E-3</v>
      </c>
      <c r="R3779">
        <v>-0.26976519999999998</v>
      </c>
      <c r="S3779">
        <v>-3.0428470000000001</v>
      </c>
      <c r="T3779">
        <v>-0.2172125</v>
      </c>
      <c r="U3779">
        <v>-0.27178959999999902</v>
      </c>
      <c r="V3779">
        <v>0.1671474</v>
      </c>
      <c r="W3779">
        <v>4.4878009999999996E-3</v>
      </c>
      <c r="X3779">
        <v>0.98592169999999901</v>
      </c>
      <c r="Y3779">
        <v>0.34252749999999998</v>
      </c>
      <c r="Z3779">
        <v>4.1632049999999997E-2</v>
      </c>
      <c r="AA3779">
        <v>0.93858490000000006</v>
      </c>
      <c r="AB3779">
        <v>21</v>
      </c>
      <c r="AC3779">
        <v>-15.573099999999901</v>
      </c>
      <c r="AD3779">
        <v>-1.125284099046</v>
      </c>
      <c r="AE3779">
        <v>-1.32260000000002</v>
      </c>
      <c r="AF3779">
        <v>5.4184574345719803</v>
      </c>
      <c r="AG3779">
        <v>-1.125284099046</v>
      </c>
      <c r="AH3779">
        <v>14.5738828716283</v>
      </c>
      <c r="AI3779">
        <v>94.139406651175406</v>
      </c>
      <c r="AJ3779">
        <v>69.605253369696598</v>
      </c>
      <c r="AK3779">
        <v>15.589227281356001</v>
      </c>
    </row>
    <row r="3780" spans="1:37" x14ac:dyDescent="0.2">
      <c r="A3780" t="str">
        <f>"20200111155924957"</f>
        <v>20200111155924957</v>
      </c>
      <c r="B3780" t="str">
        <f>"1578729564945482"</f>
        <v>1578729564945482</v>
      </c>
      <c r="C3780" t="s">
        <v>37</v>
      </c>
      <c r="D3780">
        <v>5.3785369999999997</v>
      </c>
      <c r="E3780">
        <v>0.56563169999999996</v>
      </c>
      <c r="F3780" t="s">
        <v>39</v>
      </c>
      <c r="G3780">
        <v>-221.1754</v>
      </c>
      <c r="H3780" s="1">
        <v>-5.1924359999999998E-6</v>
      </c>
      <c r="I3780">
        <v>147.0376</v>
      </c>
      <c r="J3780">
        <v>-206.04990000000001</v>
      </c>
      <c r="K3780">
        <v>1.124077</v>
      </c>
      <c r="L3780">
        <v>148.2345</v>
      </c>
      <c r="M3780">
        <v>-0.90820769999999995</v>
      </c>
      <c r="N3780">
        <v>0</v>
      </c>
      <c r="O3780">
        <v>-0.41786610000000002</v>
      </c>
      <c r="P3780">
        <v>-0.965182599999999</v>
      </c>
      <c r="Q3780">
        <v>-1.004829E-2</v>
      </c>
      <c r="R3780">
        <v>-0.26138429999999901</v>
      </c>
      <c r="S3780">
        <v>-3.0423740000000001</v>
      </c>
      <c r="T3780">
        <v>-0.22343179999999899</v>
      </c>
      <c r="U3780">
        <v>-0.2535095</v>
      </c>
      <c r="V3780">
        <v>0.1664032</v>
      </c>
      <c r="W3780">
        <v>5.0685820000000003E-3</v>
      </c>
      <c r="X3780">
        <v>0.98604480000000005</v>
      </c>
      <c r="Y3780">
        <v>0.339146</v>
      </c>
      <c r="Z3780">
        <v>4.2151429999999997E-2</v>
      </c>
      <c r="AA3780">
        <v>0.93978890000000004</v>
      </c>
      <c r="AB3780">
        <v>21</v>
      </c>
      <c r="AC3780">
        <v>-15.125499999999899</v>
      </c>
      <c r="AD3780">
        <v>-1.124082192436</v>
      </c>
      <c r="AE3780">
        <v>-1.1968999999999901</v>
      </c>
      <c r="AF3780">
        <v>5.2062557007386401</v>
      </c>
      <c r="AG3780">
        <v>-1.124082192436</v>
      </c>
      <c r="AH3780">
        <v>14.1633948755508</v>
      </c>
      <c r="AI3780">
        <v>94.260212526809298</v>
      </c>
      <c r="AJ3780">
        <v>69.817314431244299</v>
      </c>
      <c r="AK3780">
        <v>15.131768356593501</v>
      </c>
    </row>
    <row r="3781" spans="1:37" x14ac:dyDescent="0.2">
      <c r="A3781" t="str">
        <f>"20200111155924978"</f>
        <v>20200111155924978</v>
      </c>
      <c r="B3781" t="str">
        <f>"1578729564975739"</f>
        <v>1578729564975739</v>
      </c>
      <c r="C3781" t="s">
        <v>37</v>
      </c>
      <c r="D3781">
        <v>5.3827030000000002</v>
      </c>
      <c r="E3781">
        <v>0.56477559999999905</v>
      </c>
      <c r="F3781" t="s">
        <v>39</v>
      </c>
      <c r="G3781">
        <v>-220.86429999999999</v>
      </c>
      <c r="H3781" s="1">
        <v>-5.26574899999999E-6</v>
      </c>
      <c r="I3781">
        <v>146.85399999999899</v>
      </c>
      <c r="J3781">
        <v>-206.24119999999999</v>
      </c>
      <c r="K3781">
        <v>1.12296</v>
      </c>
      <c r="L3781">
        <v>148.15889999999999</v>
      </c>
      <c r="M3781">
        <v>-0.91201520000000003</v>
      </c>
      <c r="N3781">
        <v>0</v>
      </c>
      <c r="O3781">
        <v>-0.40945520000000002</v>
      </c>
      <c r="P3781">
        <v>-0.96738809999999997</v>
      </c>
      <c r="Q3781">
        <v>-1.046157E-2</v>
      </c>
      <c r="R3781">
        <v>-0.25308310000000001</v>
      </c>
      <c r="S3781">
        <v>-3.0293580000000002</v>
      </c>
      <c r="T3781">
        <v>-0.22986109999999901</v>
      </c>
      <c r="U3781">
        <v>-0.28228759999999897</v>
      </c>
      <c r="V3781">
        <v>0.16576830000000001</v>
      </c>
      <c r="W3781">
        <v>5.4834250000000001E-3</v>
      </c>
      <c r="X3781">
        <v>0.98614950000000001</v>
      </c>
      <c r="Y3781">
        <v>0.32115389999999999</v>
      </c>
      <c r="Z3781">
        <v>4.2250030000000001E-2</v>
      </c>
      <c r="AA3781">
        <v>0.94608409999999998</v>
      </c>
      <c r="AB3781">
        <v>21</v>
      </c>
      <c r="AC3781">
        <v>-14.6230999999999</v>
      </c>
      <c r="AD3781">
        <v>-1.1229652657489999</v>
      </c>
      <c r="AE3781">
        <v>-1.3048999999999999</v>
      </c>
      <c r="AF3781">
        <v>4.7708817826140502</v>
      </c>
      <c r="AG3781">
        <v>-1.1229652657489999</v>
      </c>
      <c r="AH3781">
        <v>13.794069936303099</v>
      </c>
      <c r="AI3781">
        <v>94.399527306015102</v>
      </c>
      <c r="AJ3781">
        <v>70.921303788782893</v>
      </c>
      <c r="AK3781">
        <v>14.638945637558001</v>
      </c>
    </row>
    <row r="3782" spans="1:37" x14ac:dyDescent="0.2">
      <c r="A3782" t="str">
        <f>"20200111155925001"</f>
        <v>20200111155925001</v>
      </c>
      <c r="B3782" t="str">
        <f>"1578729564996235"</f>
        <v>1578729564996235</v>
      </c>
      <c r="C3782" t="s">
        <v>37</v>
      </c>
      <c r="D3782">
        <v>5.4515440000000002</v>
      </c>
      <c r="E3782">
        <v>0.56342300000000001</v>
      </c>
      <c r="F3782" t="s">
        <v>39</v>
      </c>
      <c r="G3782">
        <v>-220.7218</v>
      </c>
      <c r="H3782" s="1">
        <v>-5.3226480000000001E-6</v>
      </c>
      <c r="I3782">
        <v>146.9014</v>
      </c>
      <c r="J3782">
        <v>-206.44450000000001</v>
      </c>
      <c r="K3782">
        <v>1.1218349999999999</v>
      </c>
      <c r="L3782">
        <v>148.08090000000001</v>
      </c>
      <c r="M3782">
        <v>-0.91601619999999995</v>
      </c>
      <c r="N3782">
        <v>0</v>
      </c>
      <c r="O3782">
        <v>-0.4003795</v>
      </c>
      <c r="P3782">
        <v>-0.96973560000000003</v>
      </c>
      <c r="Q3782">
        <v>-1.09205E-2</v>
      </c>
      <c r="R3782">
        <v>-0.2439132</v>
      </c>
      <c r="S3782">
        <v>-3.02975499999999</v>
      </c>
      <c r="T3782">
        <v>-0.23495779999999999</v>
      </c>
      <c r="U3782">
        <v>-0.26310729999999999</v>
      </c>
      <c r="V3782">
        <v>0.1653231</v>
      </c>
      <c r="W3782">
        <v>6.0107980000000004E-3</v>
      </c>
      <c r="X3782">
        <v>0.98622109999999996</v>
      </c>
      <c r="Y3782">
        <v>0.31765659999999901</v>
      </c>
      <c r="Z3782">
        <v>4.2420449999999998E-2</v>
      </c>
      <c r="AA3782">
        <v>0.9472564</v>
      </c>
      <c r="AB3782">
        <v>21</v>
      </c>
      <c r="AC3782">
        <v>-14.277299999999901</v>
      </c>
      <c r="AD3782">
        <v>-1.121840322648</v>
      </c>
      <c r="AE3782">
        <v>-1.17950000000001</v>
      </c>
      <c r="AF3782">
        <v>4.6090494747169997</v>
      </c>
      <c r="AG3782">
        <v>-1.121840322648</v>
      </c>
      <c r="AH3782">
        <v>13.472011422686201</v>
      </c>
      <c r="AI3782">
        <v>94.5049440483144</v>
      </c>
      <c r="AJ3782">
        <v>71.113137983616696</v>
      </c>
      <c r="AK3782">
        <v>14.2827502443645</v>
      </c>
    </row>
    <row r="3783" spans="1:37" x14ac:dyDescent="0.2">
      <c r="A3783" t="str">
        <f>"20200111155925024"</f>
        <v>20200111155925024</v>
      </c>
      <c r="B3783" t="str">
        <f>"1578729565015755"</f>
        <v>1578729565015755</v>
      </c>
      <c r="C3783" t="s">
        <v>37</v>
      </c>
      <c r="D3783">
        <v>5.4198849999999998</v>
      </c>
      <c r="E3783">
        <v>0.56283159999999999</v>
      </c>
      <c r="F3783" t="s">
        <v>39</v>
      </c>
      <c r="G3783">
        <v>-220.60220000000001</v>
      </c>
      <c r="H3783" s="1">
        <v>-5.3695089999999996E-6</v>
      </c>
      <c r="I3783">
        <v>146.93620000000001</v>
      </c>
      <c r="J3783">
        <v>-206.65280000000001</v>
      </c>
      <c r="K3783">
        <v>1.1206969999999901</v>
      </c>
      <c r="L3783">
        <v>148.0033</v>
      </c>
      <c r="M3783">
        <v>-0.92005499999999996</v>
      </c>
      <c r="N3783">
        <v>0</v>
      </c>
      <c r="O3783">
        <v>-0.39095869999999999</v>
      </c>
      <c r="P3783">
        <v>-0.97204889999999999</v>
      </c>
      <c r="Q3783">
        <v>-1.1180580000000001E-2</v>
      </c>
      <c r="R3783">
        <v>-0.23451239999999901</v>
      </c>
      <c r="S3783">
        <v>-3.0293269999999999</v>
      </c>
      <c r="T3783">
        <v>-0.24004009999999901</v>
      </c>
      <c r="U3783">
        <v>-0.24491879999999999</v>
      </c>
      <c r="V3783">
        <v>0.164774</v>
      </c>
      <c r="W3783">
        <v>6.7794439999999999E-3</v>
      </c>
      <c r="X3783">
        <v>0.98630799999999996</v>
      </c>
      <c r="Y3783">
        <v>0.3135193</v>
      </c>
      <c r="Z3783">
        <v>4.2510369999999999E-2</v>
      </c>
      <c r="AA3783">
        <v>0.94862979999999997</v>
      </c>
      <c r="AB3783">
        <v>21</v>
      </c>
      <c r="AC3783">
        <v>-13.949399999999899</v>
      </c>
      <c r="AD3783">
        <v>-1.1207023695089999</v>
      </c>
      <c r="AE3783">
        <v>-1.06709999999998</v>
      </c>
      <c r="AF3783">
        <v>4.4447804828671398</v>
      </c>
      <c r="AG3783">
        <v>-1.1207023695089999</v>
      </c>
      <c r="AH3783">
        <v>13.171196427805199</v>
      </c>
      <c r="AI3783">
        <v>94.609247931298398</v>
      </c>
      <c r="AJ3783">
        <v>71.352407298967194</v>
      </c>
      <c r="AK3783">
        <v>13.946055452411199</v>
      </c>
    </row>
    <row r="3784" spans="1:37" x14ac:dyDescent="0.2">
      <c r="A3784" t="str">
        <f>"20200111155925046"</f>
        <v>20200111155925046</v>
      </c>
      <c r="B3784" t="str">
        <f>"1578729565036251"</f>
        <v>1578729565036251</v>
      </c>
      <c r="C3784" t="s">
        <v>37</v>
      </c>
      <c r="D3784">
        <v>5.439241</v>
      </c>
      <c r="E3784">
        <v>0.5564038</v>
      </c>
      <c r="F3784" t="s">
        <v>39</v>
      </c>
      <c r="G3784">
        <v>-220.7011</v>
      </c>
      <c r="H3784" s="1">
        <v>-5.3442980000000002E-6</v>
      </c>
      <c r="I3784">
        <v>146.9837</v>
      </c>
      <c r="J3784">
        <v>-206.84700000000001</v>
      </c>
      <c r="K3784">
        <v>1.1195949999999999</v>
      </c>
      <c r="L3784">
        <v>147.9333</v>
      </c>
      <c r="M3784">
        <v>-0.92370529999999995</v>
      </c>
      <c r="N3784">
        <v>0</v>
      </c>
      <c r="O3784">
        <v>-0.3822081</v>
      </c>
      <c r="P3784">
        <v>-0.97419609999999901</v>
      </c>
      <c r="Q3784">
        <v>-1.122422E-2</v>
      </c>
      <c r="R3784">
        <v>-0.22542390000000001</v>
      </c>
      <c r="S3784">
        <v>-3.0304259999999998</v>
      </c>
      <c r="T3784">
        <v>-0.24175160000000001</v>
      </c>
      <c r="U3784">
        <v>-0.21992489999999901</v>
      </c>
      <c r="V3784">
        <v>0.1646504</v>
      </c>
      <c r="W3784">
        <v>7.5771719999999897E-3</v>
      </c>
      <c r="X3784">
        <v>0.986322899999999</v>
      </c>
      <c r="Y3784">
        <v>0.31232129999999902</v>
      </c>
      <c r="Z3784">
        <v>4.212888E-2</v>
      </c>
      <c r="AA3784">
        <v>0.94904189999999999</v>
      </c>
      <c r="AB3784">
        <v>21</v>
      </c>
      <c r="AC3784">
        <v>-13.854099999999899</v>
      </c>
      <c r="AD3784">
        <v>-1.119600344298</v>
      </c>
      <c r="AE3784">
        <v>-0.949600000000003</v>
      </c>
      <c r="AF3784">
        <v>4.3909710481771</v>
      </c>
      <c r="AG3784">
        <v>-1.119600344298</v>
      </c>
      <c r="AH3784">
        <v>13.0795422208041</v>
      </c>
      <c r="AI3784">
        <v>94.639304440526402</v>
      </c>
      <c r="AJ3784">
        <v>71.442433688667904</v>
      </c>
      <c r="AK3784">
        <v>13.842274248933199</v>
      </c>
    </row>
    <row r="3785" spans="1:37" x14ac:dyDescent="0.2">
      <c r="A3785" t="str">
        <f>"20200111155925069"</f>
        <v>20200111155925069</v>
      </c>
      <c r="B3785" t="str">
        <f>"1578729565065531"</f>
        <v>1578729565065531</v>
      </c>
      <c r="C3785" t="s">
        <v>37</v>
      </c>
      <c r="D3785">
        <v>5.3892040000000003</v>
      </c>
      <c r="E3785">
        <v>0.55729309999999999</v>
      </c>
      <c r="F3785" t="s">
        <v>39</v>
      </c>
      <c r="G3785">
        <v>-220.42429999999999</v>
      </c>
      <c r="H3785" s="1">
        <v>-5.4141639999999996E-6</v>
      </c>
      <c r="I3785">
        <v>146.84649999999999</v>
      </c>
      <c r="J3785">
        <v>-207.05330000000001</v>
      </c>
      <c r="K3785">
        <v>1.1183889999999901</v>
      </c>
      <c r="L3785">
        <v>147.8613</v>
      </c>
      <c r="M3785">
        <v>-0.92725309999999905</v>
      </c>
      <c r="N3785">
        <v>0</v>
      </c>
      <c r="O3785">
        <v>-0.3734864</v>
      </c>
      <c r="P3785">
        <v>-0.97618119999999997</v>
      </c>
      <c r="Q3785">
        <v>-1.1376290000000001E-2</v>
      </c>
      <c r="R3785">
        <v>-0.21665870000000001</v>
      </c>
      <c r="S3785">
        <v>-3.0206599999999999</v>
      </c>
      <c r="T3785">
        <v>-0.24908849999999999</v>
      </c>
      <c r="U3785">
        <v>-0.24176030000000001</v>
      </c>
      <c r="V3785">
        <v>0.1642313</v>
      </c>
      <c r="W3785">
        <v>8.04636699999999E-3</v>
      </c>
      <c r="X3785">
        <v>0.98638899999999996</v>
      </c>
      <c r="Y3785">
        <v>0.29622999999999999</v>
      </c>
      <c r="Z3785">
        <v>4.2190789999999999E-2</v>
      </c>
      <c r="AA3785">
        <v>0.95418440000000004</v>
      </c>
      <c r="AB3785">
        <v>21</v>
      </c>
      <c r="AC3785">
        <v>-13.370999999999899</v>
      </c>
      <c r="AD3785">
        <v>-1.1183944141640001</v>
      </c>
      <c r="AE3785">
        <v>-1.0147999999999999</v>
      </c>
      <c r="AF3785">
        <v>4.0263411832862204</v>
      </c>
      <c r="AG3785">
        <v>-1.1183944141640001</v>
      </c>
      <c r="AH3785">
        <v>12.6935529656415</v>
      </c>
      <c r="AI3785">
        <v>94.800639776351602</v>
      </c>
      <c r="AJ3785">
        <v>72.401193440215096</v>
      </c>
      <c r="AK3785">
        <v>13.3637014438892</v>
      </c>
    </row>
    <row r="3786" spans="1:37" x14ac:dyDescent="0.2">
      <c r="A3786" t="str">
        <f>"20200111155925090"</f>
        <v>20200111155925090</v>
      </c>
      <c r="B3786" t="str">
        <f>"1578729565086027"</f>
        <v>1578729565086027</v>
      </c>
      <c r="C3786" t="s">
        <v>37</v>
      </c>
      <c r="D3786">
        <v>5.3225059999999997</v>
      </c>
      <c r="E3786">
        <v>0.58150179999999996</v>
      </c>
      <c r="F3786" t="s">
        <v>39</v>
      </c>
      <c r="G3786">
        <v>-220.4992</v>
      </c>
      <c r="H3786" s="1">
        <v>-5.4047140000000001E-6</v>
      </c>
      <c r="I3786">
        <v>146.93690000000001</v>
      </c>
      <c r="J3786">
        <v>-207.25110000000001</v>
      </c>
      <c r="K3786">
        <v>1.117351</v>
      </c>
      <c r="L3786">
        <v>147.7944</v>
      </c>
      <c r="M3786">
        <v>-0.93044419999999906</v>
      </c>
      <c r="N3786">
        <v>0</v>
      </c>
      <c r="O3786">
        <v>-0.36544199999999999</v>
      </c>
      <c r="P3786">
        <v>-0.97785889999999998</v>
      </c>
      <c r="Q3786">
        <v>-1.0955599999999999E-2</v>
      </c>
      <c r="R3786">
        <v>-0.20897959999999999</v>
      </c>
      <c r="S3786">
        <v>-3.024124</v>
      </c>
      <c r="T3786">
        <v>-0.25154009999999999</v>
      </c>
      <c r="U3786">
        <v>-0.20788570000000001</v>
      </c>
      <c r="V3786">
        <v>0.16346820000000001</v>
      </c>
      <c r="W3786">
        <v>8.9694890000000006E-3</v>
      </c>
      <c r="X3786">
        <v>0.98650780000000005</v>
      </c>
      <c r="Y3786">
        <v>0.2986567</v>
      </c>
      <c r="Z3786">
        <v>4.2065980000000003E-2</v>
      </c>
      <c r="AA3786">
        <v>0.95343310000000003</v>
      </c>
      <c r="AB3786">
        <v>21</v>
      </c>
      <c r="AC3786">
        <v>-13.2480999999999</v>
      </c>
      <c r="AD3786">
        <v>-1.1173564047139899</v>
      </c>
      <c r="AE3786">
        <v>-0.85749999999998705</v>
      </c>
      <c r="AF3786">
        <v>4.0165721143074302</v>
      </c>
      <c r="AG3786">
        <v>-1.1173564047139899</v>
      </c>
      <c r="AH3786">
        <v>12.555633037096401</v>
      </c>
      <c r="AI3786">
        <v>94.844864820705894</v>
      </c>
      <c r="AJ3786">
        <v>72.260421962868705</v>
      </c>
      <c r="AK3786">
        <v>13.229711177755</v>
      </c>
    </row>
    <row r="3787" spans="1:37" x14ac:dyDescent="0.2">
      <c r="A3787" t="str">
        <f>"20200111155925114"</f>
        <v>20200111155925114</v>
      </c>
      <c r="B3787" t="str">
        <f>"1578729565105547"</f>
        <v>1578729565105547</v>
      </c>
      <c r="C3787" t="s">
        <v>37</v>
      </c>
      <c r="D3787">
        <v>5.3046670000000002</v>
      </c>
      <c r="E3787">
        <v>0.58183280000000004</v>
      </c>
      <c r="F3787" t="s">
        <v>39</v>
      </c>
      <c r="G3787">
        <v>-220.3571</v>
      </c>
      <c r="H3787" s="1">
        <v>-5.6084509999999999E-6</v>
      </c>
      <c r="I3787">
        <v>147.81299999999999</v>
      </c>
      <c r="J3787">
        <v>-207.45519999999999</v>
      </c>
      <c r="K3787">
        <v>1.116519</v>
      </c>
      <c r="L3787">
        <v>147.72749999999999</v>
      </c>
      <c r="M3787">
        <v>-0.93371530000000003</v>
      </c>
      <c r="N3787">
        <v>0</v>
      </c>
      <c r="O3787">
        <v>-0.3569814</v>
      </c>
      <c r="P3787">
        <v>-0.97941880000000003</v>
      </c>
      <c r="Q3787">
        <v>-1.076511E-2</v>
      </c>
      <c r="R3787">
        <v>-0.20155109999999901</v>
      </c>
      <c r="S3787">
        <v>-3.0659329999999998</v>
      </c>
      <c r="T3787">
        <v>-0.26138620000000001</v>
      </c>
      <c r="U3787">
        <v>4.379272E-3</v>
      </c>
      <c r="V3787">
        <v>0.16200980000000001</v>
      </c>
      <c r="W3787">
        <v>9.7242890000000005E-3</v>
      </c>
      <c r="X3787">
        <v>0.98674119999999998</v>
      </c>
      <c r="Y3787">
        <v>0.35590470000000002</v>
      </c>
      <c r="Z3787">
        <v>4.5017399999999999E-2</v>
      </c>
      <c r="AA3787">
        <v>0.93343729999999903</v>
      </c>
      <c r="AB3787">
        <v>21</v>
      </c>
      <c r="AC3787">
        <v>-12.901899999999999</v>
      </c>
      <c r="AD3787">
        <v>-1.1165246084510001</v>
      </c>
      <c r="AE3787">
        <v>8.5499999999996107E-2</v>
      </c>
      <c r="AF3787">
        <v>4.6524644391109096</v>
      </c>
      <c r="AG3787">
        <v>-1.1165246084510001</v>
      </c>
      <c r="AH3787">
        <v>11.9312775567674</v>
      </c>
      <c r="AI3787">
        <v>94.982773385313607</v>
      </c>
      <c r="AJ3787">
        <v>68.697275083046705</v>
      </c>
      <c r="AK3787">
        <v>12.85486043079</v>
      </c>
    </row>
    <row r="3788" spans="1:37" x14ac:dyDescent="0.2">
      <c r="A3788" t="str">
        <f>"20200111155925135"</f>
        <v>20200111155925135</v>
      </c>
      <c r="B3788" t="str">
        <f>"1578729565126043"</f>
        <v>1578729565126043</v>
      </c>
      <c r="C3788" t="s">
        <v>37</v>
      </c>
      <c r="D3788">
        <v>5.3732369999999996</v>
      </c>
      <c r="E3788">
        <v>0.58095039999999998</v>
      </c>
      <c r="F3788" t="s">
        <v>39</v>
      </c>
      <c r="G3788">
        <v>-220.84530000000001</v>
      </c>
      <c r="H3788" s="1">
        <v>-5.4502839999999997E-6</v>
      </c>
      <c r="I3788">
        <v>147.8578</v>
      </c>
      <c r="J3788">
        <v>-207.65799999999999</v>
      </c>
      <c r="K3788">
        <v>1.1158459999999999</v>
      </c>
      <c r="L3788">
        <v>147.66309999999999</v>
      </c>
      <c r="M3788">
        <v>-0.93702949999999996</v>
      </c>
      <c r="N3788">
        <v>0</v>
      </c>
      <c r="O3788">
        <v>-0.3481764</v>
      </c>
      <c r="P3788">
        <v>-0.98091779999999995</v>
      </c>
      <c r="Q3788">
        <v>-1.0679370000000001E-2</v>
      </c>
      <c r="R3788">
        <v>-0.19412929999999901</v>
      </c>
      <c r="S3788">
        <v>-3.066376</v>
      </c>
      <c r="T3788">
        <v>-0.25568809999999997</v>
      </c>
      <c r="U3788">
        <v>2.9846190000000002E-2</v>
      </c>
      <c r="V3788">
        <v>0.16018679999999999</v>
      </c>
      <c r="W3788">
        <v>1.0355110000000001E-2</v>
      </c>
      <c r="X3788">
        <v>0.98703240000000003</v>
      </c>
      <c r="Y3788">
        <v>0.3550102</v>
      </c>
      <c r="Z3788">
        <v>4.331049E-2</v>
      </c>
      <c r="AA3788">
        <v>0.93385859999999998</v>
      </c>
      <c r="AB3788">
        <v>21</v>
      </c>
      <c r="AC3788">
        <v>-13.1873</v>
      </c>
      <c r="AD3788">
        <v>-1.11585145028399</v>
      </c>
      <c r="AE3788">
        <v>0.194700000000011</v>
      </c>
      <c r="AF3788">
        <v>4.7417920260704998</v>
      </c>
      <c r="AG3788">
        <v>-1.11585145028399</v>
      </c>
      <c r="AH3788">
        <v>12.2063276462881</v>
      </c>
      <c r="AI3788">
        <v>94.870523608419902</v>
      </c>
      <c r="AJ3788">
        <v>68.770345423057407</v>
      </c>
      <c r="AK3788">
        <v>13.1424560370634</v>
      </c>
    </row>
    <row r="3789" spans="1:37" x14ac:dyDescent="0.2">
      <c r="A3789" t="str">
        <f>"20200111155925158"</f>
        <v>20200111155925158</v>
      </c>
      <c r="B3789" t="str">
        <f>"1578729565156299"</f>
        <v>1578729565156299</v>
      </c>
      <c r="C3789" t="s">
        <v>37</v>
      </c>
      <c r="D3789">
        <v>5.3453660000000003</v>
      </c>
      <c r="E3789">
        <v>0.57973149999999996</v>
      </c>
      <c r="F3789" t="s">
        <v>39</v>
      </c>
      <c r="G3789">
        <v>-221.07929999999999</v>
      </c>
      <c r="H3789" s="1">
        <v>-5.3715059999999999E-6</v>
      </c>
      <c r="I3789">
        <v>147.86259999999999</v>
      </c>
      <c r="J3789">
        <v>-207.8569</v>
      </c>
      <c r="K3789">
        <v>1.1151949999999999</v>
      </c>
      <c r="L3789">
        <v>147.60169999999999</v>
      </c>
      <c r="M3789">
        <v>-0.94025840000000005</v>
      </c>
      <c r="N3789">
        <v>0</v>
      </c>
      <c r="O3789">
        <v>-0.33935879999999902</v>
      </c>
      <c r="P3789">
        <v>-0.98224349999999905</v>
      </c>
      <c r="Q3789">
        <v>-1.120207E-2</v>
      </c>
      <c r="R3789">
        <v>-0.1872762</v>
      </c>
      <c r="S3789">
        <v>-3.0646059999999999</v>
      </c>
      <c r="T3789">
        <v>-0.25479289999999999</v>
      </c>
      <c r="U3789">
        <v>4.5578E-2</v>
      </c>
      <c r="V3789">
        <v>0.15776699999999999</v>
      </c>
      <c r="W3789">
        <v>1.025355E-2</v>
      </c>
      <c r="X3789">
        <v>0.9874231</v>
      </c>
      <c r="Y3789">
        <v>0.35108699999999998</v>
      </c>
      <c r="Z3789">
        <v>4.2329650000000003E-2</v>
      </c>
      <c r="AA3789">
        <v>0.93538559999999904</v>
      </c>
      <c r="AB3789">
        <v>21</v>
      </c>
      <c r="AC3789">
        <v>-13.222399999999899</v>
      </c>
      <c r="AD3789">
        <v>-1.1152003715059999</v>
      </c>
      <c r="AE3789">
        <v>0.26089999999999203</v>
      </c>
      <c r="AF3789">
        <v>4.7008000078366798</v>
      </c>
      <c r="AG3789">
        <v>-1.1152003715059999</v>
      </c>
      <c r="AH3789">
        <v>12.2613762346231</v>
      </c>
      <c r="AI3789">
        <v>94.854193957166203</v>
      </c>
      <c r="AJ3789">
        <v>69.024038539422804</v>
      </c>
      <c r="AK3789">
        <v>13.1788671648691</v>
      </c>
    </row>
    <row r="3790" spans="1:37" x14ac:dyDescent="0.2">
      <c r="A3790" t="str">
        <f>"20200111155925180"</f>
        <v>20200111155925180</v>
      </c>
      <c r="B3790" t="str">
        <f>"1578729565175818"</f>
        <v>1578729565175818</v>
      </c>
      <c r="C3790" t="s">
        <v>37</v>
      </c>
      <c r="D3790">
        <v>5.3777540000000004</v>
      </c>
      <c r="E3790">
        <v>0.57866289999999998</v>
      </c>
      <c r="F3790" t="s">
        <v>39</v>
      </c>
      <c r="G3790">
        <v>-221.06049999999999</v>
      </c>
      <c r="H3790" s="1">
        <v>-5.3751699999999901E-6</v>
      </c>
      <c r="I3790">
        <v>147.84729999999999</v>
      </c>
      <c r="J3790">
        <v>-208.05619999999999</v>
      </c>
      <c r="K3790">
        <v>1.114482</v>
      </c>
      <c r="L3790">
        <v>147.54220000000001</v>
      </c>
      <c r="M3790">
        <v>-0.94335380000000002</v>
      </c>
      <c r="N3790">
        <v>0</v>
      </c>
      <c r="O3790">
        <v>-0.33066909999999999</v>
      </c>
      <c r="P3790">
        <v>-0.98342419999999997</v>
      </c>
      <c r="Q3790">
        <v>-1.232626E-2</v>
      </c>
      <c r="R3790">
        <v>-0.18089959999999999</v>
      </c>
      <c r="S3790">
        <v>-3.0621640000000001</v>
      </c>
      <c r="T3790">
        <v>-0.25863639999999999</v>
      </c>
      <c r="U3790">
        <v>5.6961060000000001E-2</v>
      </c>
      <c r="V3790">
        <v>0.1549953</v>
      </c>
      <c r="W3790">
        <v>9.3776450000000004E-3</v>
      </c>
      <c r="X3790">
        <v>0.98787069999999999</v>
      </c>
      <c r="Y3790">
        <v>0.34590769999999998</v>
      </c>
      <c r="Z3790">
        <v>4.2084950000000003E-2</v>
      </c>
      <c r="AA3790">
        <v>0.93732420000000005</v>
      </c>
      <c r="AB3790">
        <v>21</v>
      </c>
      <c r="AC3790">
        <v>-13.004300000000001</v>
      </c>
      <c r="AD3790">
        <v>-1.11448737517</v>
      </c>
      <c r="AE3790">
        <v>0.305099999999981</v>
      </c>
      <c r="AF3790">
        <v>4.5561938275600697</v>
      </c>
      <c r="AG3790">
        <v>-1.11448737517</v>
      </c>
      <c r="AH3790">
        <v>12.082587721531601</v>
      </c>
      <c r="AI3790">
        <v>94.932792233920097</v>
      </c>
      <c r="AJ3790">
        <v>69.339163410905201</v>
      </c>
      <c r="AK3790">
        <v>12.9610921743585</v>
      </c>
    </row>
    <row r="3791" spans="1:37" x14ac:dyDescent="0.2">
      <c r="A3791" t="str">
        <f>"20200111155925203"</f>
        <v>20200111155925203</v>
      </c>
      <c r="B3791" t="str">
        <f>"1578729565195338"</f>
        <v>1578729565195338</v>
      </c>
      <c r="C3791" t="s">
        <v>37</v>
      </c>
      <c r="D3791">
        <v>5.4041449999999998</v>
      </c>
      <c r="E3791">
        <v>0.57759459999999996</v>
      </c>
      <c r="F3791" t="s">
        <v>39</v>
      </c>
      <c r="G3791">
        <v>-221.02209999999999</v>
      </c>
      <c r="H3791" s="1">
        <v>-5.3854579999999996E-6</v>
      </c>
      <c r="I3791">
        <v>147.83150000000001</v>
      </c>
      <c r="J3791">
        <v>-208.26329999999999</v>
      </c>
      <c r="K3791">
        <v>1.1137330000000001</v>
      </c>
      <c r="L3791">
        <v>147.48249999999999</v>
      </c>
      <c r="M3791">
        <v>-0.94637649999999995</v>
      </c>
      <c r="N3791">
        <v>0</v>
      </c>
      <c r="O3791">
        <v>-0.32194440000000002</v>
      </c>
      <c r="P3791">
        <v>-0.98457240000000001</v>
      </c>
      <c r="Q3791">
        <v>-1.328258E-2</v>
      </c>
      <c r="R3791">
        <v>-0.17447389999999999</v>
      </c>
      <c r="S3791">
        <v>-3.0598299999999998</v>
      </c>
      <c r="T3791">
        <v>-0.26301059999999998</v>
      </c>
      <c r="U3791">
        <v>6.8283079999999996E-2</v>
      </c>
      <c r="V3791">
        <v>0.1522588</v>
      </c>
      <c r="W3791">
        <v>8.5022090000000002E-3</v>
      </c>
      <c r="X3791">
        <v>0.98830409999999902</v>
      </c>
      <c r="Y3791">
        <v>0.34068799999999999</v>
      </c>
      <c r="Z3791">
        <v>4.1888050000000003E-2</v>
      </c>
      <c r="AA3791">
        <v>0.93924279999999905</v>
      </c>
      <c r="AB3791">
        <v>21</v>
      </c>
      <c r="AC3791">
        <v>-12.758800000000001</v>
      </c>
      <c r="AD3791">
        <v>-1.1137383854580001</v>
      </c>
      <c r="AE3791">
        <v>0.34900000000001802</v>
      </c>
      <c r="AF3791">
        <v>4.4059677676716502</v>
      </c>
      <c r="AG3791">
        <v>-1.1137383854580001</v>
      </c>
      <c r="AH3791">
        <v>11.8761714897225</v>
      </c>
      <c r="AI3791">
        <v>95.024726844845205</v>
      </c>
      <c r="AJ3791">
        <v>69.645535733806099</v>
      </c>
      <c r="AK3791">
        <v>12.715990500716099</v>
      </c>
    </row>
    <row r="3792" spans="1:37" x14ac:dyDescent="0.2">
      <c r="A3792" t="str">
        <f>"20200111155925224"</f>
        <v>20200111155925224</v>
      </c>
      <c r="B3792" t="str">
        <f>"1578729565215834"</f>
        <v>1578729565215834</v>
      </c>
      <c r="C3792" t="s">
        <v>37</v>
      </c>
      <c r="D3792">
        <v>5.4265650000000001</v>
      </c>
      <c r="E3792">
        <v>0.57660500000000003</v>
      </c>
      <c r="F3792" t="s">
        <v>39</v>
      </c>
      <c r="G3792">
        <v>-220.97819999999999</v>
      </c>
      <c r="H3792" s="1">
        <v>-5.3971079999999998E-6</v>
      </c>
      <c r="I3792">
        <v>147.81309999999999</v>
      </c>
      <c r="J3792">
        <v>-208.4624</v>
      </c>
      <c r="K3792">
        <v>1.1130599999999999</v>
      </c>
      <c r="L3792">
        <v>147.42699999999999</v>
      </c>
      <c r="M3792">
        <v>-0.94911489999999998</v>
      </c>
      <c r="N3792">
        <v>0</v>
      </c>
      <c r="O3792">
        <v>-0.31381909999999902</v>
      </c>
      <c r="P3792">
        <v>-0.98546889999999998</v>
      </c>
      <c r="Q3792">
        <v>-1.282516E-2</v>
      </c>
      <c r="R3792">
        <v>-0.1693721</v>
      </c>
      <c r="S3792">
        <v>-3.0574650000000001</v>
      </c>
      <c r="T3792">
        <v>-0.26781319999999997</v>
      </c>
      <c r="U3792">
        <v>7.9513550000000002E-2</v>
      </c>
      <c r="V3792">
        <v>0.14888509999999999</v>
      </c>
      <c r="W3792">
        <v>8.9408790000000005E-3</v>
      </c>
      <c r="X3792">
        <v>0.98881409999999903</v>
      </c>
      <c r="Y3792">
        <v>0.33604489999999998</v>
      </c>
      <c r="Z3792">
        <v>4.1799429999999999E-2</v>
      </c>
      <c r="AA3792">
        <v>0.94091800000000003</v>
      </c>
      <c r="AB3792">
        <v>21</v>
      </c>
      <c r="AC3792">
        <v>-12.515799999999899</v>
      </c>
      <c r="AD3792">
        <v>-1.113065397108</v>
      </c>
      <c r="AE3792">
        <v>0.38609999999997002</v>
      </c>
      <c r="AF3792">
        <v>4.2619747194375899</v>
      </c>
      <c r="AG3792">
        <v>-1.113065397108</v>
      </c>
      <c r="AH3792">
        <v>11.669666951565</v>
      </c>
      <c r="AI3792">
        <v>95.119626297906095</v>
      </c>
      <c r="AJ3792">
        <v>69.936886621919399</v>
      </c>
      <c r="AK3792">
        <v>12.473350385835101</v>
      </c>
    </row>
    <row r="3793" spans="1:37" x14ac:dyDescent="0.2">
      <c r="A3793" t="str">
        <f>"20200111155925248"</f>
        <v>20200111155925248</v>
      </c>
      <c r="B3793" t="str">
        <f>"1578729565235355"</f>
        <v>1578729565235355</v>
      </c>
      <c r="C3793" t="s">
        <v>37</v>
      </c>
      <c r="D3793">
        <v>5.4797459999999996</v>
      </c>
      <c r="E3793">
        <v>0.5760516</v>
      </c>
      <c r="F3793" t="s">
        <v>39</v>
      </c>
      <c r="G3793">
        <v>-221.1174</v>
      </c>
      <c r="H3793" s="1">
        <v>-5.3452339999999998E-6</v>
      </c>
      <c r="I3793">
        <v>147.7876</v>
      </c>
      <c r="J3793">
        <v>-208.6619</v>
      </c>
      <c r="K3793">
        <v>1.112465</v>
      </c>
      <c r="L3793">
        <v>147.37309999999999</v>
      </c>
      <c r="M3793">
        <v>-0.95172019999999902</v>
      </c>
      <c r="N3793">
        <v>0</v>
      </c>
      <c r="O3793">
        <v>-0.30587599999999998</v>
      </c>
      <c r="P3793">
        <v>-0.98618449999999902</v>
      </c>
      <c r="Q3793">
        <v>-1.3056180000000001E-2</v>
      </c>
      <c r="R3793">
        <v>-0.16513529999999901</v>
      </c>
      <c r="S3793">
        <v>-3.0557400000000001</v>
      </c>
      <c r="T3793">
        <v>-0.26876630000000001</v>
      </c>
      <c r="U3793">
        <v>8.7097170000000002E-2</v>
      </c>
      <c r="V3793">
        <v>0.14482249999999999</v>
      </c>
      <c r="W3793">
        <v>8.6090149999999994E-3</v>
      </c>
      <c r="X3793">
        <v>0.98942019999999997</v>
      </c>
      <c r="Y3793">
        <v>0.33054719999999999</v>
      </c>
      <c r="Z3793">
        <v>4.1059270000000002E-2</v>
      </c>
      <c r="AA3793">
        <v>0.94289590000000001</v>
      </c>
      <c r="AB3793">
        <v>21</v>
      </c>
      <c r="AC3793">
        <v>-12.455500000000001</v>
      </c>
      <c r="AD3793">
        <v>-1.1124703452339999</v>
      </c>
      <c r="AE3793">
        <v>0.41450000000000298</v>
      </c>
      <c r="AF3793">
        <v>4.17248437900205</v>
      </c>
      <c r="AG3793">
        <v>-1.1124703452339999</v>
      </c>
      <c r="AH3793">
        <v>11.638546209470899</v>
      </c>
      <c r="AI3793">
        <v>95.141485113831806</v>
      </c>
      <c r="AJ3793">
        <v>70.276957262562405</v>
      </c>
      <c r="AK3793">
        <v>12.4138218946475</v>
      </c>
    </row>
    <row r="3794" spans="1:37" x14ac:dyDescent="0.2">
      <c r="A3794" t="str">
        <f>"20200111155925269"</f>
        <v>20200111155925269</v>
      </c>
      <c r="B3794" t="str">
        <f>"1578729565265611"</f>
        <v>1578729565265611</v>
      </c>
      <c r="C3794" t="s">
        <v>37</v>
      </c>
      <c r="D3794">
        <v>5.4968110000000001</v>
      </c>
      <c r="E3794">
        <v>0.56518859999999904</v>
      </c>
      <c r="F3794" t="s">
        <v>39</v>
      </c>
      <c r="G3794">
        <v>-221.19069999999999</v>
      </c>
      <c r="H3794" s="1">
        <v>-5.31609E-6</v>
      </c>
      <c r="I3794">
        <v>147.76390000000001</v>
      </c>
      <c r="J3794">
        <v>-208.86060000000001</v>
      </c>
      <c r="K3794">
        <v>1.1119289999999999</v>
      </c>
      <c r="L3794">
        <v>147.32089999999999</v>
      </c>
      <c r="M3794">
        <v>-0.95418409999999998</v>
      </c>
      <c r="N3794">
        <v>0</v>
      </c>
      <c r="O3794">
        <v>-0.29815900000000001</v>
      </c>
      <c r="P3794">
        <v>-0.98670689999999905</v>
      </c>
      <c r="Q3794">
        <v>-1.220135E-2</v>
      </c>
      <c r="R3794">
        <v>-0.16205169999999999</v>
      </c>
      <c r="S3794">
        <v>-3.0544129999999998</v>
      </c>
      <c r="T3794">
        <v>-0.27121129999999999</v>
      </c>
      <c r="U3794">
        <v>9.5291139999999996E-2</v>
      </c>
      <c r="V3794">
        <v>0.1398837</v>
      </c>
      <c r="W3794">
        <v>9.2961080000000008E-3</v>
      </c>
      <c r="X3794">
        <v>0.99012429999999996</v>
      </c>
      <c r="Y3794">
        <v>0.32544209999999901</v>
      </c>
      <c r="Z3794">
        <v>4.0563660000000001E-2</v>
      </c>
      <c r="AA3794">
        <v>0.94469150000000002</v>
      </c>
      <c r="AB3794">
        <v>21</v>
      </c>
      <c r="AC3794">
        <v>-12.3300999999999</v>
      </c>
      <c r="AD3794">
        <v>-1.1119343160899999</v>
      </c>
      <c r="AE3794">
        <v>0.443000000000012</v>
      </c>
      <c r="AF3794">
        <v>4.0672989359363498</v>
      </c>
      <c r="AG3794">
        <v>-1.1119343160899999</v>
      </c>
      <c r="AH3794">
        <v>11.543036938375501</v>
      </c>
      <c r="AI3794">
        <v>95.191315721157096</v>
      </c>
      <c r="AJ3794">
        <v>70.589605578440398</v>
      </c>
      <c r="AK3794">
        <v>12.2890610023007</v>
      </c>
    </row>
    <row r="3795" spans="1:37" x14ac:dyDescent="0.2">
      <c r="A3795" t="str">
        <f>"20200111155925291"</f>
        <v>20200111155925291</v>
      </c>
      <c r="B3795" t="str">
        <f>"1578729565286106"</f>
        <v>1578729565286106</v>
      </c>
      <c r="C3795" t="s">
        <v>37</v>
      </c>
      <c r="D3795">
        <v>5.535488</v>
      </c>
      <c r="E3795">
        <v>0.56447360000000002</v>
      </c>
      <c r="F3795" t="s">
        <v>39</v>
      </c>
      <c r="G3795">
        <v>-221.20740000000001</v>
      </c>
      <c r="H3795" s="1">
        <v>-5.245429E-6</v>
      </c>
      <c r="I3795">
        <v>147.39769999999999</v>
      </c>
      <c r="J3795">
        <v>-209.06790000000001</v>
      </c>
      <c r="K3795">
        <v>1.111372</v>
      </c>
      <c r="L3795">
        <v>147.26779999999999</v>
      </c>
      <c r="M3795">
        <v>-0.95662190000000002</v>
      </c>
      <c r="N3795">
        <v>0</v>
      </c>
      <c r="O3795">
        <v>-0.29030850000000002</v>
      </c>
      <c r="P3795">
        <v>-0.98738389999999998</v>
      </c>
      <c r="Q3795">
        <v>-1.030525E-2</v>
      </c>
      <c r="R3795">
        <v>-0.15800939999999999</v>
      </c>
      <c r="S3795">
        <v>-3.0401609999999999</v>
      </c>
      <c r="T3795">
        <v>-0.27379320000000001</v>
      </c>
      <c r="U3795">
        <v>1.893616E-2</v>
      </c>
      <c r="V3795">
        <v>0.13580339999999999</v>
      </c>
      <c r="W3795">
        <v>1.089057E-2</v>
      </c>
      <c r="X3795">
        <v>0.99067590000000005</v>
      </c>
      <c r="Y3795">
        <v>0.29400929999999997</v>
      </c>
      <c r="Z3795">
        <v>3.9029699999999903E-2</v>
      </c>
      <c r="AA3795">
        <v>0.95500529999999995</v>
      </c>
      <c r="AB3795">
        <v>21</v>
      </c>
      <c r="AC3795">
        <v>-12.1394999999999</v>
      </c>
      <c r="AD3795">
        <v>-1.1113772454290001</v>
      </c>
      <c r="AE3795">
        <v>0.12989999999999199</v>
      </c>
      <c r="AF3795">
        <v>3.6192210602789898</v>
      </c>
      <c r="AG3795">
        <v>-1.1113772454290001</v>
      </c>
      <c r="AH3795">
        <v>11.482419818982001</v>
      </c>
      <c r="AI3795">
        <v>95.274166424898098</v>
      </c>
      <c r="AJ3795">
        <v>72.5053194814124</v>
      </c>
      <c r="AK3795">
        <v>12.0904873915064</v>
      </c>
    </row>
    <row r="3796" spans="1:37" x14ac:dyDescent="0.2">
      <c r="A3796" t="str">
        <f>"20200111155925316"</f>
        <v>20200111155925316</v>
      </c>
      <c r="B3796" t="str">
        <f>"1578729565305627"</f>
        <v>1578729565305627</v>
      </c>
      <c r="C3796" t="s">
        <v>37</v>
      </c>
      <c r="D3796">
        <v>5.615056</v>
      </c>
      <c r="E3796">
        <v>0.56370180000000003</v>
      </c>
      <c r="F3796" t="s">
        <v>39</v>
      </c>
      <c r="G3796">
        <v>-221.57560000000001</v>
      </c>
      <c r="H3796" s="1">
        <v>-5.1154729999999999E-6</v>
      </c>
      <c r="I3796">
        <v>147.37139999999999</v>
      </c>
      <c r="J3796">
        <v>-209.2843</v>
      </c>
      <c r="K3796">
        <v>1.1107849999999999</v>
      </c>
      <c r="L3796">
        <v>147.21379999999999</v>
      </c>
      <c r="M3796">
        <v>-0.95904590000000001</v>
      </c>
      <c r="N3796">
        <v>0</v>
      </c>
      <c r="O3796">
        <v>-0.28226809999999902</v>
      </c>
      <c r="P3796">
        <v>-0.98817029999999995</v>
      </c>
      <c r="Q3796">
        <v>-8.2256180000000005E-3</v>
      </c>
      <c r="R3796">
        <v>-0.1531419</v>
      </c>
      <c r="S3796">
        <v>-3.03956599999999</v>
      </c>
      <c r="T3796">
        <v>-0.27008300000000002</v>
      </c>
      <c r="U3796">
        <v>2.5177000000000001E-2</v>
      </c>
      <c r="V3796">
        <v>0.1323635</v>
      </c>
      <c r="W3796">
        <v>1.259419E-2</v>
      </c>
      <c r="X3796">
        <v>0.99112119999999904</v>
      </c>
      <c r="Y3796">
        <v>0.28805740000000002</v>
      </c>
      <c r="Z3796">
        <v>3.7557599999999997E-2</v>
      </c>
      <c r="AA3796">
        <v>0.95687639999999996</v>
      </c>
      <c r="AB3796">
        <v>21</v>
      </c>
      <c r="AC3796">
        <v>-12.2913</v>
      </c>
      <c r="AD3796">
        <v>-1.110790115473</v>
      </c>
      <c r="AE3796">
        <v>0.15760000000000199</v>
      </c>
      <c r="AF3796">
        <v>3.5922603367016301</v>
      </c>
      <c r="AG3796">
        <v>-1.110790115473</v>
      </c>
      <c r="AH3796">
        <v>11.651555694644699</v>
      </c>
      <c r="AI3796">
        <v>95.205421100757803</v>
      </c>
      <c r="AJ3796">
        <v>72.865084649540506</v>
      </c>
      <c r="AK3796">
        <v>12.2432405478565</v>
      </c>
    </row>
    <row r="3797" spans="1:37" x14ac:dyDescent="0.2">
      <c r="A3797" t="str">
        <f>"20200111155925337"</f>
        <v>20200111155925337</v>
      </c>
      <c r="B3797" t="str">
        <f>"1578729565326122"</f>
        <v>1578729565326122</v>
      </c>
      <c r="C3797" t="s">
        <v>37</v>
      </c>
      <c r="D3797">
        <v>5.6621969999999999</v>
      </c>
      <c r="E3797">
        <v>0.53930469999999997</v>
      </c>
      <c r="F3797" t="s">
        <v>39</v>
      </c>
      <c r="G3797">
        <v>-221.8974</v>
      </c>
      <c r="H3797" s="1">
        <v>-5.0023039999999996E-6</v>
      </c>
      <c r="I3797">
        <v>147.35069999999999</v>
      </c>
      <c r="J3797">
        <v>-209.47890000000001</v>
      </c>
      <c r="K3797">
        <v>1.1102350000000001</v>
      </c>
      <c r="L3797">
        <v>147.16640000000001</v>
      </c>
      <c r="M3797">
        <v>-0.96109529999999999</v>
      </c>
      <c r="N3797">
        <v>0</v>
      </c>
      <c r="O3797">
        <v>-0.27527170000000001</v>
      </c>
      <c r="P3797">
        <v>-0.98887219999999998</v>
      </c>
      <c r="Q3797">
        <v>-7.8441759999999996E-3</v>
      </c>
      <c r="R3797">
        <v>-0.1485621</v>
      </c>
      <c r="S3797">
        <v>-3.0388029999999899</v>
      </c>
      <c r="T3797">
        <v>-0.26761839999999998</v>
      </c>
      <c r="U3797">
        <v>3.3004760000000001E-2</v>
      </c>
      <c r="V3797">
        <v>0.12969320000000001</v>
      </c>
      <c r="W3797">
        <v>1.259801E-2</v>
      </c>
      <c r="X3797">
        <v>0.99147419999999997</v>
      </c>
      <c r="Y3797">
        <v>0.28362409999999999</v>
      </c>
      <c r="Z3797">
        <v>3.6435719999999998E-2</v>
      </c>
      <c r="AA3797">
        <v>0.95824310000000001</v>
      </c>
      <c r="AB3797">
        <v>21</v>
      </c>
      <c r="AC3797">
        <v>-12.4184999999999</v>
      </c>
      <c r="AD3797">
        <v>-1.110240002304</v>
      </c>
      <c r="AE3797">
        <v>0.18429999999997901</v>
      </c>
      <c r="AF3797">
        <v>3.5680171170941701</v>
      </c>
      <c r="AG3797">
        <v>-1.110240002304</v>
      </c>
      <c r="AH3797">
        <v>11.7934869719431</v>
      </c>
      <c r="AI3797">
        <v>95.148822561969695</v>
      </c>
      <c r="AJ3797">
        <v>73.167265050440193</v>
      </c>
      <c r="AK3797">
        <v>12.371326281688001</v>
      </c>
    </row>
    <row r="3798" spans="1:37" x14ac:dyDescent="0.2">
      <c r="A3798" t="str">
        <f>"20200111155925359"</f>
        <v>20200111155925359</v>
      </c>
      <c r="B3798" t="str">
        <f>"1578729565355406"</f>
        <v>1578729565355406</v>
      </c>
      <c r="C3798" t="s">
        <v>37</v>
      </c>
      <c r="D3798">
        <v>5.5128680000000001</v>
      </c>
      <c r="E3798">
        <v>0.53907559999999999</v>
      </c>
      <c r="F3798" t="s">
        <v>39</v>
      </c>
      <c r="G3798">
        <v>-223.12889999999999</v>
      </c>
      <c r="H3798" s="1">
        <v>-4.4332220000000004E-6</v>
      </c>
      <c r="I3798">
        <v>146.5052</v>
      </c>
      <c r="J3798">
        <v>-209.66980000000001</v>
      </c>
      <c r="K3798">
        <v>1.109675</v>
      </c>
      <c r="L3798">
        <v>147.1207</v>
      </c>
      <c r="M3798">
        <v>-0.96294169999999901</v>
      </c>
      <c r="N3798">
        <v>0</v>
      </c>
      <c r="O3798">
        <v>-0.2688026</v>
      </c>
      <c r="P3798">
        <v>-0.98945419999999995</v>
      </c>
      <c r="Q3798">
        <v>-9.4623620000000002E-3</v>
      </c>
      <c r="R3798">
        <v>-0.14453729999999901</v>
      </c>
      <c r="S3798">
        <v>-3.0099179999999999</v>
      </c>
      <c r="T3798">
        <v>-0.24481509999999901</v>
      </c>
      <c r="U3798">
        <v>-0.14578250000000001</v>
      </c>
      <c r="V3798">
        <v>0.12698999999999999</v>
      </c>
      <c r="W3798">
        <v>1.05611E-2</v>
      </c>
      <c r="X3798">
        <v>0.99184779999999995</v>
      </c>
      <c r="Y3798">
        <v>0.2203676</v>
      </c>
      <c r="Z3798">
        <v>3.0521590000000001E-2</v>
      </c>
      <c r="AA3798">
        <v>0.97493920000000001</v>
      </c>
      <c r="AB3798">
        <v>20</v>
      </c>
      <c r="AC3798">
        <v>-13.4590999999999</v>
      </c>
      <c r="AD3798">
        <v>-1.1096794332219999</v>
      </c>
      <c r="AE3798">
        <v>-0.61549999999999705</v>
      </c>
      <c r="AF3798">
        <v>3.0055016279853999</v>
      </c>
      <c r="AG3798">
        <v>-1.1096794332219999</v>
      </c>
      <c r="AH3798">
        <v>13.0405226454266</v>
      </c>
      <c r="AI3798">
        <v>94.740172716332793</v>
      </c>
      <c r="AJ3798">
        <v>77.021443563063599</v>
      </c>
      <c r="AK3798">
        <v>13.4283155811227</v>
      </c>
    </row>
    <row r="3799" spans="1:37" x14ac:dyDescent="0.2">
      <c r="A3799" t="str">
        <f>"20200111155925381"</f>
        <v>20200111155925381</v>
      </c>
      <c r="B3799" t="str">
        <f>"1578729565375903"</f>
        <v>1578729565375903</v>
      </c>
      <c r="C3799" t="s">
        <v>37</v>
      </c>
      <c r="D3799">
        <v>5.416099</v>
      </c>
      <c r="E3799">
        <v>0.54145940000000004</v>
      </c>
      <c r="F3799" t="s">
        <v>39</v>
      </c>
      <c r="G3799">
        <v>-224.00409999999999</v>
      </c>
      <c r="H3799" s="1">
        <v>-4.1302989999999998E-6</v>
      </c>
      <c r="I3799">
        <v>146.47649999999999</v>
      </c>
      <c r="J3799">
        <v>-209.8749</v>
      </c>
      <c r="K3799">
        <v>1.109067</v>
      </c>
      <c r="L3799">
        <v>147.07259999999999</v>
      </c>
      <c r="M3799">
        <v>-0.96470959999999994</v>
      </c>
      <c r="N3799">
        <v>0</v>
      </c>
      <c r="O3799">
        <v>-0.26245400000000002</v>
      </c>
      <c r="P3799">
        <v>-0.98998269999999899</v>
      </c>
      <c r="Q3799">
        <v>-1.1237219999999999E-2</v>
      </c>
      <c r="R3799">
        <v>-0.14074149999999999</v>
      </c>
      <c r="S3799">
        <v>-3.009979</v>
      </c>
      <c r="T3799">
        <v>-0.23301639999999901</v>
      </c>
      <c r="U3799">
        <v>-0.13526920000000001</v>
      </c>
      <c r="V3799">
        <v>0.12419569999999901</v>
      </c>
      <c r="W3799">
        <v>8.2828699999999995E-3</v>
      </c>
      <c r="X3799">
        <v>0.99222310000000002</v>
      </c>
      <c r="Y3799">
        <v>0.21751329999999999</v>
      </c>
      <c r="Z3799">
        <v>2.847338E-2</v>
      </c>
      <c r="AA3799">
        <v>0.97564200000000001</v>
      </c>
      <c r="AB3799">
        <v>20</v>
      </c>
      <c r="AC3799">
        <v>-14.1291999999999</v>
      </c>
      <c r="AD3799">
        <v>-1.109071130299</v>
      </c>
      <c r="AE3799">
        <v>-0.59610000000000696</v>
      </c>
      <c r="AF3799">
        <v>3.1147546846167602</v>
      </c>
      <c r="AG3799">
        <v>-1.109071130299</v>
      </c>
      <c r="AH3799">
        <v>13.7058514863228</v>
      </c>
      <c r="AI3799">
        <v>94.511721755990706</v>
      </c>
      <c r="AJ3799">
        <v>77.196574911226193</v>
      </c>
      <c r="AK3799">
        <v>14.0990106206975</v>
      </c>
    </row>
    <row r="3800" spans="1:37" x14ac:dyDescent="0.2">
      <c r="A3800" t="str">
        <f>"20200111155925404"</f>
        <v>20200111155925404</v>
      </c>
      <c r="B3800" t="str">
        <f>"1578729565395423"</f>
        <v>1578729565395423</v>
      </c>
      <c r="C3800" t="s">
        <v>37</v>
      </c>
      <c r="D3800">
        <v>5.4939539999999996</v>
      </c>
      <c r="E3800">
        <v>0.54254389999999997</v>
      </c>
      <c r="F3800" t="s">
        <v>39</v>
      </c>
      <c r="G3800">
        <v>-224.61019999999999</v>
      </c>
      <c r="H3800" s="1">
        <v>-3.939174E-6</v>
      </c>
      <c r="I3800">
        <v>146.56180000000001</v>
      </c>
      <c r="J3800">
        <v>-210.07599999999999</v>
      </c>
      <c r="K3800">
        <v>1.1085119999999999</v>
      </c>
      <c r="L3800">
        <v>147.02610000000001</v>
      </c>
      <c r="M3800">
        <v>-0.9662269</v>
      </c>
      <c r="N3800">
        <v>0</v>
      </c>
      <c r="O3800">
        <v>-0.2568761</v>
      </c>
      <c r="P3800">
        <v>-0.99060059999999905</v>
      </c>
      <c r="Q3800">
        <v>-1.185772E-2</v>
      </c>
      <c r="R3800">
        <v>-0.13627110000000001</v>
      </c>
      <c r="S3800">
        <v>-3.0129549999999998</v>
      </c>
      <c r="T3800">
        <v>-0.226774899999999</v>
      </c>
      <c r="U3800">
        <v>-0.104431199999999</v>
      </c>
      <c r="V3800">
        <v>0.122905</v>
      </c>
      <c r="W3800">
        <v>7.1275280000000002E-3</v>
      </c>
      <c r="X3800">
        <v>0.99239279999999996</v>
      </c>
      <c r="Y3800">
        <v>0.221961299999999</v>
      </c>
      <c r="Z3800">
        <v>2.7457619999999999E-2</v>
      </c>
      <c r="AA3800">
        <v>0.9746688</v>
      </c>
      <c r="AB3800">
        <v>20</v>
      </c>
      <c r="AC3800">
        <v>-14.534199999999901</v>
      </c>
      <c r="AD3800">
        <v>-1.108515939174</v>
      </c>
      <c r="AE3800">
        <v>-0.46430000000000798</v>
      </c>
      <c r="AF3800">
        <v>3.2665774873495699</v>
      </c>
      <c r="AG3800">
        <v>-1.108515939174</v>
      </c>
      <c r="AH3800">
        <v>14.083737354678799</v>
      </c>
      <c r="AI3800">
        <v>94.384494128061405</v>
      </c>
      <c r="AJ3800">
        <v>76.941728707395697</v>
      </c>
      <c r="AK3800">
        <v>14.5000342738849</v>
      </c>
    </row>
    <row r="3801" spans="1:37" x14ac:dyDescent="0.2">
      <c r="A3801" t="str">
        <f>"20200111155925426"</f>
        <v>20200111155925426</v>
      </c>
      <c r="B3801" t="str">
        <f>"1578729565415918"</f>
        <v>1578729565415918</v>
      </c>
      <c r="C3801" t="s">
        <v>37</v>
      </c>
      <c r="D3801">
        <v>5.3520500000000002</v>
      </c>
      <c r="E3801">
        <v>0.54459199999999996</v>
      </c>
      <c r="F3801" t="s">
        <v>39</v>
      </c>
      <c r="G3801">
        <v>-225.4682</v>
      </c>
      <c r="H3801" s="1">
        <v>-3.6554510000000001E-6</v>
      </c>
      <c r="I3801">
        <v>146.60830000000001</v>
      </c>
      <c r="J3801">
        <v>-210.27330000000001</v>
      </c>
      <c r="K3801">
        <v>1.1080570000000001</v>
      </c>
      <c r="L3801">
        <v>146.98099999999999</v>
      </c>
      <c r="M3801">
        <v>-0.96752369999999899</v>
      </c>
      <c r="N3801">
        <v>0</v>
      </c>
      <c r="O3801">
        <v>-0.25200639999999902</v>
      </c>
      <c r="P3801">
        <v>-0.99086700000000005</v>
      </c>
      <c r="Q3801">
        <v>-1.1470030000000001E-2</v>
      </c>
      <c r="R3801">
        <v>-0.134354</v>
      </c>
      <c r="S3801">
        <v>-3.014618</v>
      </c>
      <c r="T3801">
        <v>-0.21710749999999901</v>
      </c>
      <c r="U3801">
        <v>-8.1817630000000002E-2</v>
      </c>
      <c r="V3801">
        <v>0.1198085</v>
      </c>
      <c r="W3801">
        <v>7.0321609999999899E-3</v>
      </c>
      <c r="X3801">
        <v>0.99277209999999905</v>
      </c>
      <c r="Y3801">
        <v>0.22448799999999999</v>
      </c>
      <c r="Z3801">
        <v>2.603314E-2</v>
      </c>
      <c r="AA3801">
        <v>0.97412900000000002</v>
      </c>
      <c r="AB3801">
        <v>20</v>
      </c>
      <c r="AC3801">
        <v>-15.194899999999899</v>
      </c>
      <c r="AD3801">
        <v>-1.108060655451</v>
      </c>
      <c r="AE3801">
        <v>-0.37269999999997999</v>
      </c>
      <c r="AF3801">
        <v>3.4509532761542498</v>
      </c>
      <c r="AG3801">
        <v>-1.108060655451</v>
      </c>
      <c r="AH3801">
        <v>14.7200086245505</v>
      </c>
      <c r="AI3801">
        <v>94.191639700426904</v>
      </c>
      <c r="AJ3801">
        <v>76.805879499963694</v>
      </c>
      <c r="AK3801">
        <v>15.1596678999641</v>
      </c>
    </row>
    <row r="3802" spans="1:37" x14ac:dyDescent="0.2">
      <c r="A3802" t="str">
        <f>"20200111155925449"</f>
        <v>20200111155925449</v>
      </c>
      <c r="B3802" t="str">
        <f>"1578729565446176"</f>
        <v>1578729565446176</v>
      </c>
      <c r="C3802" t="s">
        <v>37</v>
      </c>
      <c r="D3802">
        <v>5.4292059999999998</v>
      </c>
      <c r="E3802">
        <v>0.54365940000000001</v>
      </c>
      <c r="F3802" t="s">
        <v>39</v>
      </c>
      <c r="G3802">
        <v>-226.5163</v>
      </c>
      <c r="H3802" s="1">
        <v>-3.3079659999999998E-6</v>
      </c>
      <c r="I3802">
        <v>146.66</v>
      </c>
      <c r="J3802">
        <v>-210.4752</v>
      </c>
      <c r="K3802">
        <v>1.1076790000000001</v>
      </c>
      <c r="L3802">
        <v>146.93510000000001</v>
      </c>
      <c r="M3802">
        <v>-0.96868299999999996</v>
      </c>
      <c r="N3802">
        <v>0</v>
      </c>
      <c r="O3802">
        <v>-0.2475677</v>
      </c>
      <c r="P3802">
        <v>-0.99103459999999999</v>
      </c>
      <c r="Q3802">
        <v>-1.0603110000000001E-2</v>
      </c>
      <c r="R3802">
        <v>-0.13318459999999999</v>
      </c>
      <c r="S3802">
        <v>-3.0171809999999999</v>
      </c>
      <c r="T3802">
        <v>-0.20582689999999901</v>
      </c>
      <c r="U3802">
        <v>-5.960083E-2</v>
      </c>
      <c r="V3802">
        <v>0.1164167</v>
      </c>
      <c r="W3802">
        <v>7.4365100000000003E-3</v>
      </c>
      <c r="X3802">
        <v>0.99317259999999996</v>
      </c>
      <c r="Y3802">
        <v>0.227336499999999</v>
      </c>
      <c r="Z3802">
        <v>2.4471110000000001E-2</v>
      </c>
      <c r="AA3802">
        <v>0.97350879999999995</v>
      </c>
      <c r="AB3802">
        <v>20</v>
      </c>
      <c r="AC3802">
        <v>-16.0411</v>
      </c>
      <c r="AD3802">
        <v>-1.1076823079660001</v>
      </c>
      <c r="AE3802">
        <v>-0.275100000000009</v>
      </c>
      <c r="AF3802">
        <v>3.6878673972505802</v>
      </c>
      <c r="AG3802">
        <v>-1.1076823079660001</v>
      </c>
      <c r="AH3802">
        <v>15.535627394857899</v>
      </c>
      <c r="AI3802">
        <v>93.968349717669497</v>
      </c>
      <c r="AJ3802">
        <v>76.646219704716998</v>
      </c>
      <c r="AK3802">
        <v>16.005719121206099</v>
      </c>
    </row>
    <row r="3803" spans="1:37" x14ac:dyDescent="0.2">
      <c r="A3803" t="str">
        <f>"20200111155925471"</f>
        <v>20200111155925471</v>
      </c>
      <c r="B3803" t="str">
        <f>"1578729565465695"</f>
        <v>1578729565465695</v>
      </c>
      <c r="C3803" t="s">
        <v>37</v>
      </c>
      <c r="D3803">
        <v>5.4463349999999897</v>
      </c>
      <c r="E3803">
        <v>0.5439311</v>
      </c>
      <c r="F3803" t="s">
        <v>43</v>
      </c>
      <c r="G3803">
        <v>0</v>
      </c>
      <c r="H3803">
        <v>0</v>
      </c>
      <c r="I3803">
        <v>0</v>
      </c>
      <c r="J3803">
        <v>-210.6728</v>
      </c>
      <c r="K3803">
        <v>1.1073200000000001</v>
      </c>
      <c r="L3803">
        <v>146.8904</v>
      </c>
      <c r="M3803">
        <v>-0.96969680000000003</v>
      </c>
      <c r="N3803">
        <v>0</v>
      </c>
      <c r="O3803">
        <v>-0.24361569999999999</v>
      </c>
      <c r="P3803">
        <v>-0.99101280000000003</v>
      </c>
      <c r="Q3803">
        <v>-1.003482E-2</v>
      </c>
      <c r="R3803">
        <v>-0.13339239999999999</v>
      </c>
      <c r="S3803">
        <v>-3.0202939999999998</v>
      </c>
      <c r="T3803">
        <v>1.008034E-2</v>
      </c>
      <c r="U3803">
        <v>-5.1635739999999999E-2</v>
      </c>
      <c r="V3803">
        <v>0.1121458</v>
      </c>
      <c r="W3803">
        <v>7.5766969999999899E-3</v>
      </c>
      <c r="X3803">
        <v>0.99366290000000002</v>
      </c>
      <c r="Y3803">
        <v>0.227040299999999</v>
      </c>
      <c r="Z3803">
        <v>-1.1853569999999999E-3</v>
      </c>
      <c r="AA3803">
        <v>0.97388459999999999</v>
      </c>
      <c r="AB3803">
        <v>20</v>
      </c>
      <c r="AC3803">
        <v>-3.0202939999999998</v>
      </c>
      <c r="AD3803">
        <v>1.008034E-2</v>
      </c>
      <c r="AE3803">
        <v>-5.1635739999999999E-2</v>
      </c>
      <c r="AF3803">
        <v>0.68582882080476304</v>
      </c>
      <c r="AG3803">
        <v>1.008034E-2</v>
      </c>
      <c r="AH3803">
        <v>2.9418153751587499</v>
      </c>
      <c r="AI3803">
        <v>89.808799792917299</v>
      </c>
      <c r="AJ3803">
        <v>76.876963946945395</v>
      </c>
      <c r="AK3803">
        <v>3.0207185380669599</v>
      </c>
    </row>
    <row r="3804" spans="1:37" x14ac:dyDescent="0.2">
      <c r="A3804" t="str">
        <f>"20200111155925493"</f>
        <v>20200111155925493</v>
      </c>
      <c r="B3804" t="str">
        <f>"1578729565486191"</f>
        <v>1578729565486191</v>
      </c>
      <c r="C3804" t="s">
        <v>37</v>
      </c>
      <c r="D3804">
        <v>5.4823399999999998</v>
      </c>
      <c r="E3804">
        <v>0.54340769999999905</v>
      </c>
      <c r="F3804" t="s">
        <v>43</v>
      </c>
      <c r="G3804">
        <v>0</v>
      </c>
      <c r="H3804">
        <v>0</v>
      </c>
      <c r="I3804">
        <v>0</v>
      </c>
      <c r="J3804">
        <v>-210.87119999999999</v>
      </c>
      <c r="K3804">
        <v>1.1069610000000001</v>
      </c>
      <c r="L3804">
        <v>146.84569999999999</v>
      </c>
      <c r="M3804">
        <v>-0.97059769999999901</v>
      </c>
      <c r="N3804">
        <v>0</v>
      </c>
      <c r="O3804">
        <v>-0.2400438</v>
      </c>
      <c r="P3804">
        <v>-0.9908515</v>
      </c>
      <c r="Q3804">
        <v>-8.5439309999999994E-3</v>
      </c>
      <c r="R3804">
        <v>-0.1346869</v>
      </c>
      <c r="S3804">
        <v>-3.02034</v>
      </c>
      <c r="T3804">
        <v>-3.2793279999999902E-3</v>
      </c>
      <c r="U3804">
        <v>-5.0903320000000002E-2</v>
      </c>
      <c r="V3804">
        <v>0.1071853</v>
      </c>
      <c r="W3804">
        <v>8.6571730000000006E-3</v>
      </c>
      <c r="X3804">
        <v>0.99420140000000001</v>
      </c>
      <c r="Y3804">
        <v>0.22368949999999899</v>
      </c>
      <c r="Z3804">
        <v>3.8001089999999902E-4</v>
      </c>
      <c r="AA3804">
        <v>0.97466039999999998</v>
      </c>
      <c r="AB3804">
        <v>20</v>
      </c>
      <c r="AC3804">
        <v>-3.02034</v>
      </c>
      <c r="AD3804">
        <v>-3.2793279999999902E-3</v>
      </c>
      <c r="AE3804">
        <v>-5.0903320000000002E-2</v>
      </c>
      <c r="AF3804">
        <v>0.67571426102687004</v>
      </c>
      <c r="AG3804">
        <v>-3.2793279999999902E-3</v>
      </c>
      <c r="AH3804">
        <v>2.9442203710126198</v>
      </c>
      <c r="AI3804">
        <v>90.062199991685105</v>
      </c>
      <c r="AJ3804">
        <v>77.074157033570799</v>
      </c>
      <c r="AK3804">
        <v>3.02076713925997</v>
      </c>
    </row>
    <row r="3805" spans="1:37" x14ac:dyDescent="0.2">
      <c r="A3805" t="str">
        <f>"20200111155925516"</f>
        <v>20200111155925516</v>
      </c>
      <c r="B3805" t="str">
        <f>"1578729565505711"</f>
        <v>1578729565505711</v>
      </c>
      <c r="C3805" t="s">
        <v>37</v>
      </c>
      <c r="D3805">
        <v>5.452197</v>
      </c>
      <c r="E3805">
        <v>0.54377719999999996</v>
      </c>
      <c r="F3805" t="s">
        <v>43</v>
      </c>
      <c r="G3805">
        <v>0</v>
      </c>
      <c r="H3805">
        <v>0</v>
      </c>
      <c r="I3805">
        <v>0</v>
      </c>
      <c r="J3805">
        <v>-211.06979999999999</v>
      </c>
      <c r="K3805">
        <v>1.1066260000000001</v>
      </c>
      <c r="L3805">
        <v>146.80109999999999</v>
      </c>
      <c r="M3805">
        <v>-0.97138219999999997</v>
      </c>
      <c r="N3805">
        <v>0</v>
      </c>
      <c r="O3805">
        <v>-0.23688679999999901</v>
      </c>
      <c r="P3805">
        <v>-0.99065700000000001</v>
      </c>
      <c r="Q3805">
        <v>-5.2121839999999999E-3</v>
      </c>
      <c r="R3805">
        <v>-0.1362777</v>
      </c>
      <c r="S3805">
        <v>-3.0196689999999999</v>
      </c>
      <c r="T3805" s="1">
        <v>7.6293949999999998E-6</v>
      </c>
      <c r="U3805">
        <v>-5.9127810000000003E-2</v>
      </c>
      <c r="V3805">
        <v>0.10236339999999999</v>
      </c>
      <c r="W3805">
        <v>1.1599109999999999E-2</v>
      </c>
      <c r="X3805">
        <v>0.99467950000000005</v>
      </c>
      <c r="Y3805">
        <v>0.217857299999999</v>
      </c>
      <c r="Z3805" s="1">
        <v>-8.6906400000000003E-7</v>
      </c>
      <c r="AA3805">
        <v>0.97598059999999998</v>
      </c>
      <c r="AB3805">
        <v>20</v>
      </c>
      <c r="AC3805">
        <v>-3.0196689999999999</v>
      </c>
      <c r="AD3805" s="1">
        <v>7.6293949999999998E-6</v>
      </c>
      <c r="AE3805">
        <v>-5.9127810000000003E-2</v>
      </c>
      <c r="AF3805">
        <v>0.65798314558564497</v>
      </c>
      <c r="AG3805" s="1">
        <v>7.6293949999999998E-6</v>
      </c>
      <c r="AH3805">
        <v>2.9477033682996598</v>
      </c>
      <c r="AI3805">
        <v>89.9998552661377</v>
      </c>
      <c r="AJ3805">
        <v>77.416784893393199</v>
      </c>
      <c r="AK3805">
        <v>3.0202478321187698</v>
      </c>
    </row>
    <row r="3806" spans="1:37" x14ac:dyDescent="0.2">
      <c r="A3806" t="str">
        <f>"20200111155925537"</f>
        <v>20200111155925537</v>
      </c>
      <c r="B3806" t="str">
        <f>"1578729565526206"</f>
        <v>1578729565526206</v>
      </c>
      <c r="C3806" t="s">
        <v>37</v>
      </c>
      <c r="D3806">
        <v>5.4505660000000002</v>
      </c>
      <c r="E3806">
        <v>0.54416569999999997</v>
      </c>
      <c r="F3806" t="s">
        <v>43</v>
      </c>
      <c r="G3806">
        <v>0</v>
      </c>
      <c r="H3806">
        <v>0</v>
      </c>
      <c r="I3806">
        <v>0</v>
      </c>
      <c r="J3806">
        <v>-211.2637</v>
      </c>
      <c r="K3806">
        <v>1.1063399999999901</v>
      </c>
      <c r="L3806">
        <v>146.7577</v>
      </c>
      <c r="M3806">
        <v>-0.97204259999999998</v>
      </c>
      <c r="N3806">
        <v>0</v>
      </c>
      <c r="O3806">
        <v>-0.23419609999999999</v>
      </c>
      <c r="P3806">
        <v>-0.990488699999999</v>
      </c>
      <c r="Q3806">
        <v>-1.726266E-3</v>
      </c>
      <c r="R3806">
        <v>-0.1375836</v>
      </c>
      <c r="S3806">
        <v>-3.0200650000000002</v>
      </c>
      <c r="T3806">
        <v>2.0186900000000001E-2</v>
      </c>
      <c r="U3806">
        <v>-6.0531620000000001E-2</v>
      </c>
      <c r="V3806">
        <v>9.8300230000000002E-2</v>
      </c>
      <c r="W3806">
        <v>1.473022E-2</v>
      </c>
      <c r="X3806">
        <v>0.99504780000000004</v>
      </c>
      <c r="Y3806">
        <v>0.21469089999999999</v>
      </c>
      <c r="Z3806">
        <v>-2.270963E-3</v>
      </c>
      <c r="AA3806">
        <v>0.97667939999999998</v>
      </c>
      <c r="AB3806">
        <v>20</v>
      </c>
      <c r="AC3806">
        <v>-3.0200650000000002</v>
      </c>
      <c r="AD3806">
        <v>2.0186900000000001E-2</v>
      </c>
      <c r="AE3806">
        <v>-6.0531620000000001E-2</v>
      </c>
      <c r="AF3806">
        <v>0.64851171182497802</v>
      </c>
      <c r="AG3806">
        <v>2.0186900000000001E-2</v>
      </c>
      <c r="AH3806">
        <v>2.9500973329034701</v>
      </c>
      <c r="AI3806">
        <v>89.617085610347104</v>
      </c>
      <c r="AJ3806">
        <v>77.602024056565</v>
      </c>
      <c r="AK3806">
        <v>3.0206041158864201</v>
      </c>
    </row>
    <row r="3807" spans="1:37" x14ac:dyDescent="0.2">
      <c r="A3807" t="str">
        <f>"20200111155925560"</f>
        <v>20200111155925560</v>
      </c>
      <c r="B3807" t="str">
        <f>"1578729565555487"</f>
        <v>1578729565555487</v>
      </c>
      <c r="C3807" t="s">
        <v>37</v>
      </c>
      <c r="D3807">
        <v>5.6281429999999997</v>
      </c>
      <c r="E3807">
        <v>0.53335889999999997</v>
      </c>
      <c r="F3807" t="s">
        <v>43</v>
      </c>
      <c r="G3807">
        <v>0</v>
      </c>
      <c r="H3807">
        <v>0</v>
      </c>
      <c r="I3807">
        <v>0</v>
      </c>
      <c r="J3807">
        <v>-211.45660000000001</v>
      </c>
      <c r="K3807">
        <v>1.10612</v>
      </c>
      <c r="L3807">
        <v>146.71469999999999</v>
      </c>
      <c r="M3807">
        <v>-0.97260679999999999</v>
      </c>
      <c r="N3807">
        <v>0</v>
      </c>
      <c r="O3807">
        <v>-0.23187060000000001</v>
      </c>
      <c r="P3807">
        <v>-0.99030499999999899</v>
      </c>
      <c r="Q3807">
        <v>9.2603640000000001E-4</v>
      </c>
      <c r="R3807">
        <v>-0.1389087</v>
      </c>
      <c r="S3807">
        <v>-3.0203250000000001</v>
      </c>
      <c r="T3807">
        <v>2.8121110000000001E-2</v>
      </c>
      <c r="U3807">
        <v>-6.141663E-2</v>
      </c>
      <c r="V3807">
        <v>9.4583819999999999E-2</v>
      </c>
      <c r="W3807">
        <v>1.7064039999999999E-2</v>
      </c>
      <c r="X3807">
        <v>0.99537059999999999</v>
      </c>
      <c r="Y3807">
        <v>0.2120591</v>
      </c>
      <c r="Z3807">
        <v>-3.129775E-3</v>
      </c>
      <c r="AA3807">
        <v>0.9772518</v>
      </c>
      <c r="AB3807">
        <v>20</v>
      </c>
      <c r="AC3807">
        <v>-3.0203250000000001</v>
      </c>
      <c r="AD3807">
        <v>2.8121110000000001E-2</v>
      </c>
      <c r="AE3807">
        <v>-6.141663E-2</v>
      </c>
      <c r="AF3807">
        <v>0.64062197693308598</v>
      </c>
      <c r="AG3807">
        <v>2.8121110000000001E-2</v>
      </c>
      <c r="AH3807">
        <v>2.9519751358419302</v>
      </c>
      <c r="AI3807">
        <v>89.466619996886195</v>
      </c>
      <c r="AJ3807">
        <v>77.755832392538807</v>
      </c>
      <c r="AK3807">
        <v>3.0208185176846101</v>
      </c>
    </row>
    <row r="3808" spans="1:37" x14ac:dyDescent="0.2">
      <c r="A3808" t="str">
        <f>"20200111155925583"</f>
        <v>20200111155925583</v>
      </c>
      <c r="B3808" t="str">
        <f>"1578729565575983"</f>
        <v>1578729565575983</v>
      </c>
      <c r="C3808" t="s">
        <v>37</v>
      </c>
      <c r="D3808">
        <v>5.6440910000000004</v>
      </c>
      <c r="E3808">
        <v>0.53415330000000005</v>
      </c>
      <c r="F3808" t="s">
        <v>39</v>
      </c>
      <c r="G3808">
        <v>-228.7047</v>
      </c>
      <c r="H3808" s="1">
        <v>-2.1758009999999998E-6</v>
      </c>
      <c r="I3808">
        <v>145.77170000000001</v>
      </c>
      <c r="J3808">
        <v>-211.66409999999999</v>
      </c>
      <c r="K3808">
        <v>1.1059429999999999</v>
      </c>
      <c r="L3808">
        <v>146.66839999999999</v>
      </c>
      <c r="M3808">
        <v>-0.97312410000000005</v>
      </c>
      <c r="N3808">
        <v>0</v>
      </c>
      <c r="O3808">
        <v>-0.22971739999999999</v>
      </c>
      <c r="P3808">
        <v>-0.99015689999999901</v>
      </c>
      <c r="Q3808">
        <v>3.2963990000000002E-3</v>
      </c>
      <c r="R3808">
        <v>-0.13992349999999901</v>
      </c>
      <c r="S3808">
        <v>-3.006516</v>
      </c>
      <c r="T3808">
        <v>-0.1928086</v>
      </c>
      <c r="U3808">
        <v>-0.16435239999999901</v>
      </c>
      <c r="V3808">
        <v>9.1349550000000002E-2</v>
      </c>
      <c r="W3808">
        <v>1.912794E-2</v>
      </c>
      <c r="X3808">
        <v>0.99563519999999905</v>
      </c>
      <c r="Y3808">
        <v>0.17545999999999901</v>
      </c>
      <c r="Z3808">
        <v>2.0201119999999999E-2</v>
      </c>
      <c r="AA3808">
        <v>0.98427929999999997</v>
      </c>
      <c r="AB3808">
        <v>20</v>
      </c>
      <c r="AC3808">
        <v>-17.040600000000001</v>
      </c>
      <c r="AD3808">
        <v>-1.1059451758009999</v>
      </c>
      <c r="AE3808">
        <v>-0.89669999999998096</v>
      </c>
      <c r="AF3808">
        <v>3.0295908974056598</v>
      </c>
      <c r="AG3808">
        <v>-1.1059451758009999</v>
      </c>
      <c r="AH3808">
        <v>16.720550105538099</v>
      </c>
      <c r="AI3808">
        <v>93.723739026621303</v>
      </c>
      <c r="AJ3808">
        <v>79.730016297406394</v>
      </c>
      <c r="AK3808">
        <v>17.028750147011099</v>
      </c>
    </row>
    <row r="3809" spans="1:37" x14ac:dyDescent="0.2">
      <c r="A3809" t="str">
        <f>"20200111155925606"</f>
        <v>20200111155925606</v>
      </c>
      <c r="B3809" t="str">
        <f>"1578729565595503"</f>
        <v>1578729565595503</v>
      </c>
      <c r="C3809" t="s">
        <v>37</v>
      </c>
      <c r="D3809">
        <v>5.4124869999999996</v>
      </c>
      <c r="E3809">
        <v>0.529865699999999</v>
      </c>
      <c r="F3809" t="s">
        <v>39</v>
      </c>
      <c r="G3809">
        <v>-235.1523</v>
      </c>
      <c r="H3809" s="1">
        <v>-3.5537029999999998E-6</v>
      </c>
      <c r="I3809">
        <v>145.42859999999999</v>
      </c>
      <c r="J3809">
        <v>-211.864</v>
      </c>
      <c r="K3809">
        <v>1.1058349999999999</v>
      </c>
      <c r="L3809">
        <v>146.62360000000001</v>
      </c>
      <c r="M3809">
        <v>-0.97353519999999905</v>
      </c>
      <c r="N3809">
        <v>0</v>
      </c>
      <c r="O3809">
        <v>-0.22799220000000001</v>
      </c>
      <c r="P3809">
        <v>-0.99007459999999903</v>
      </c>
      <c r="Q3809">
        <v>5.2782069999999896E-3</v>
      </c>
      <c r="R3809">
        <v>-0.1404465</v>
      </c>
      <c r="S3809">
        <v>-3.0078580000000001</v>
      </c>
      <c r="T3809">
        <v>-0.1416259</v>
      </c>
      <c r="U3809">
        <v>-0.15875239999999999</v>
      </c>
      <c r="V3809">
        <v>8.9045609999999997E-2</v>
      </c>
      <c r="W3809">
        <v>2.0847540000000001E-2</v>
      </c>
      <c r="X3809">
        <v>0.99580939999999996</v>
      </c>
      <c r="Y3809">
        <v>0.17594460000000001</v>
      </c>
      <c r="Z3809">
        <v>1.47724E-2</v>
      </c>
      <c r="AA3809">
        <v>0.98428919999999998</v>
      </c>
      <c r="AB3809">
        <v>20</v>
      </c>
      <c r="AC3809">
        <v>-23.2882999999999</v>
      </c>
      <c r="AD3809">
        <v>-1.105838553703</v>
      </c>
      <c r="AE3809">
        <v>-1.19500000000002</v>
      </c>
      <c r="AF3809">
        <v>4.1373875288719102</v>
      </c>
      <c r="AG3809">
        <v>-1.105838553703</v>
      </c>
      <c r="AH3809">
        <v>22.895795119600301</v>
      </c>
      <c r="AI3809">
        <v>92.721162245553401</v>
      </c>
      <c r="AJ3809">
        <v>79.756898286625002</v>
      </c>
      <c r="AK3809">
        <v>23.292880642583398</v>
      </c>
    </row>
    <row r="3810" spans="1:37" x14ac:dyDescent="0.2">
      <c r="A3810" t="str">
        <f>"20200111155925628"</f>
        <v>20200111155925628</v>
      </c>
      <c r="B3810" t="str">
        <f>"1578729565625759"</f>
        <v>1578729565625759</v>
      </c>
      <c r="C3810" t="s">
        <v>37</v>
      </c>
      <c r="D3810">
        <v>5.5306059999999997</v>
      </c>
      <c r="E3810">
        <v>0.52850529999999996</v>
      </c>
      <c r="F3810" t="s">
        <v>39</v>
      </c>
      <c r="G3810">
        <v>-230.97409999999999</v>
      </c>
      <c r="H3810" s="1">
        <v>-4.9652560000000002E-6</v>
      </c>
      <c r="I3810">
        <v>145.3707</v>
      </c>
      <c r="J3810">
        <v>-212.06120000000001</v>
      </c>
      <c r="K3810">
        <v>1.1057399999999999</v>
      </c>
      <c r="L3810">
        <v>146.57939999999999</v>
      </c>
      <c r="M3810">
        <v>-0.9738559</v>
      </c>
      <c r="N3810">
        <v>0</v>
      </c>
      <c r="O3810">
        <v>-0.2266379</v>
      </c>
      <c r="P3810">
        <v>-0.99010789999999904</v>
      </c>
      <c r="Q3810">
        <v>7.1511680000000003E-3</v>
      </c>
      <c r="R3810">
        <v>-0.14012669999999999</v>
      </c>
      <c r="S3810">
        <v>-3.0030359999999998</v>
      </c>
      <c r="T3810">
        <v>-0.17377590000000001</v>
      </c>
      <c r="U3810">
        <v>-0.19688420000000001</v>
      </c>
      <c r="V3810">
        <v>8.7968770000000002E-2</v>
      </c>
      <c r="W3810">
        <v>2.2487480000000001E-2</v>
      </c>
      <c r="X3810">
        <v>0.99586939999999902</v>
      </c>
      <c r="Y3810">
        <v>0.1618213</v>
      </c>
      <c r="Z3810">
        <v>1.7653950000000002E-2</v>
      </c>
      <c r="AA3810">
        <v>0.98666209999999899</v>
      </c>
      <c r="AB3810">
        <v>20</v>
      </c>
      <c r="AC3810">
        <v>-18.912899999999901</v>
      </c>
      <c r="AD3810">
        <v>-1.1057449652560001</v>
      </c>
      <c r="AE3810">
        <v>-1.2086999999999899</v>
      </c>
      <c r="AF3810">
        <v>3.0991032409310399</v>
      </c>
      <c r="AG3810">
        <v>-1.1057449652560001</v>
      </c>
      <c r="AH3810">
        <v>18.631193944815401</v>
      </c>
      <c r="AI3810">
        <v>93.350540574674099</v>
      </c>
      <c r="AJ3810">
        <v>80.555918130260295</v>
      </c>
      <c r="AK3810">
        <v>18.919526966482699</v>
      </c>
    </row>
    <row r="3811" spans="1:37" x14ac:dyDescent="0.2">
      <c r="A3811" t="str">
        <f>"20200111155925651"</f>
        <v>20200111155925651</v>
      </c>
      <c r="B3811" t="str">
        <f>"1578729565646255"</f>
        <v>1578729565646255</v>
      </c>
      <c r="C3811" t="s">
        <v>37</v>
      </c>
      <c r="D3811">
        <v>5.7480359999999999</v>
      </c>
      <c r="E3811">
        <v>0.52793650000000003</v>
      </c>
      <c r="F3811" t="s">
        <v>39</v>
      </c>
      <c r="G3811">
        <v>-230.90170000000001</v>
      </c>
      <c r="H3811" s="1">
        <v>-4.9733569999999902E-6</v>
      </c>
      <c r="I3811">
        <v>145.2775</v>
      </c>
      <c r="J3811">
        <v>-212.2499</v>
      </c>
      <c r="K3811">
        <v>1.105637</v>
      </c>
      <c r="L3811">
        <v>146.5369</v>
      </c>
      <c r="M3811">
        <v>-0.97410209999999997</v>
      </c>
      <c r="N3811">
        <v>0</v>
      </c>
      <c r="O3811">
        <v>-0.2255933</v>
      </c>
      <c r="P3811">
        <v>-0.990216599999999</v>
      </c>
      <c r="Q3811">
        <v>8.8825599999999994E-3</v>
      </c>
      <c r="R3811">
        <v>-0.13925589999999999</v>
      </c>
      <c r="S3811">
        <v>-3.0019070000000001</v>
      </c>
      <c r="T3811">
        <v>-0.17618129999999901</v>
      </c>
      <c r="U3811">
        <v>-0.207428</v>
      </c>
      <c r="V3811">
        <v>8.7765159999999995E-2</v>
      </c>
      <c r="W3811">
        <v>2.401199E-2</v>
      </c>
      <c r="X3811">
        <v>0.99585179999999995</v>
      </c>
      <c r="Y3811">
        <v>0.157277799999999</v>
      </c>
      <c r="Z3811">
        <v>1.7708359999999999E-2</v>
      </c>
      <c r="AA3811">
        <v>0.98739560000000004</v>
      </c>
      <c r="AB3811">
        <v>20</v>
      </c>
      <c r="AC3811">
        <v>-18.651800000000001</v>
      </c>
      <c r="AD3811">
        <v>-1.105641973357</v>
      </c>
      <c r="AE3811">
        <v>-1.2593999999999901</v>
      </c>
      <c r="AF3811">
        <v>2.9708919193964798</v>
      </c>
      <c r="AG3811">
        <v>-1.105641973357</v>
      </c>
      <c r="AH3811">
        <v>18.390688214067801</v>
      </c>
      <c r="AI3811">
        <v>93.396534045959001</v>
      </c>
      <c r="AJ3811">
        <v>80.823528138130399</v>
      </c>
      <c r="AK3811">
        <v>18.6618877918885</v>
      </c>
    </row>
    <row r="3812" spans="1:37" x14ac:dyDescent="0.2">
      <c r="A3812" t="str">
        <f>"20200111155925672"</f>
        <v>20200111155925672</v>
      </c>
      <c r="B3812" t="str">
        <f>"1578729565665775"</f>
        <v>1578729565665775</v>
      </c>
      <c r="C3812" t="s">
        <v>37</v>
      </c>
      <c r="D3812">
        <v>5.7377419999999999</v>
      </c>
      <c r="E3812">
        <v>0.52758479999999996</v>
      </c>
      <c r="F3812" t="s">
        <v>39</v>
      </c>
      <c r="G3812">
        <v>-232.57149999999999</v>
      </c>
      <c r="H3812" s="1">
        <v>-4.3774569999999999E-6</v>
      </c>
      <c r="I3812">
        <v>145.1215</v>
      </c>
      <c r="J3812">
        <v>-212.44810000000001</v>
      </c>
      <c r="K3812">
        <v>1.1055200000000001</v>
      </c>
      <c r="L3812">
        <v>146.4923</v>
      </c>
      <c r="M3812">
        <v>-0.97430339999999904</v>
      </c>
      <c r="N3812">
        <v>0</v>
      </c>
      <c r="O3812">
        <v>-0.22473799999999999</v>
      </c>
      <c r="P3812">
        <v>-0.99034630000000001</v>
      </c>
      <c r="Q3812">
        <v>1.0638359999999999E-2</v>
      </c>
      <c r="R3812">
        <v>-0.13820739999999901</v>
      </c>
      <c r="S3812">
        <v>-3.001709</v>
      </c>
      <c r="T3812">
        <v>-0.16331419999999999</v>
      </c>
      <c r="U3812">
        <v>-0.20906069999999999</v>
      </c>
      <c r="V3812">
        <v>8.7934780000000004E-2</v>
      </c>
      <c r="W3812">
        <v>2.556696E-2</v>
      </c>
      <c r="X3812">
        <v>0.99579810000000002</v>
      </c>
      <c r="Y3812">
        <v>0.1559652</v>
      </c>
      <c r="Z3812">
        <v>1.6336610000000001E-2</v>
      </c>
      <c r="AA3812">
        <v>0.98762739999999904</v>
      </c>
      <c r="AB3812">
        <v>20</v>
      </c>
      <c r="AC3812">
        <v>-20.123399999999901</v>
      </c>
      <c r="AD3812">
        <v>-1.1055243774570001</v>
      </c>
      <c r="AE3812">
        <v>-1.3708</v>
      </c>
      <c r="AF3812">
        <v>3.1777308806368501</v>
      </c>
      <c r="AG3812">
        <v>-1.1055243774570001</v>
      </c>
      <c r="AH3812">
        <v>19.856962237800001</v>
      </c>
      <c r="AI3812">
        <v>93.146661980067506</v>
      </c>
      <c r="AJ3812">
        <v>80.907987436271497</v>
      </c>
      <c r="AK3812">
        <v>20.139987760977402</v>
      </c>
    </row>
    <row r="3813" spans="1:37" x14ac:dyDescent="0.2">
      <c r="A3813" t="str">
        <f>"20200111155925695"</f>
        <v>20200111155925695</v>
      </c>
      <c r="B3813" t="str">
        <f>"1578729565686271"</f>
        <v>1578729565686271</v>
      </c>
      <c r="C3813" t="s">
        <v>37</v>
      </c>
      <c r="D3813">
        <v>5.7175849999999997</v>
      </c>
      <c r="E3813">
        <v>0.52729759999999903</v>
      </c>
      <c r="F3813" t="s">
        <v>39</v>
      </c>
      <c r="G3813">
        <v>-231.87950000000001</v>
      </c>
      <c r="H3813" s="1">
        <v>-4.6157319999999997E-6</v>
      </c>
      <c r="I3813">
        <v>145.13720000000001</v>
      </c>
      <c r="J3813">
        <v>-212.63919999999999</v>
      </c>
      <c r="K3813">
        <v>1.1053919999999999</v>
      </c>
      <c r="L3813">
        <v>146.44919999999999</v>
      </c>
      <c r="M3813">
        <v>-0.974450499999999</v>
      </c>
      <c r="N3813">
        <v>0</v>
      </c>
      <c r="O3813">
        <v>-0.2241137</v>
      </c>
      <c r="P3813">
        <v>-0.99059629999999999</v>
      </c>
      <c r="Q3813">
        <v>1.292389E-2</v>
      </c>
      <c r="R3813">
        <v>-0.136206299999999</v>
      </c>
      <c r="S3813">
        <v>-3.001862</v>
      </c>
      <c r="T3813">
        <v>-0.170787299999999</v>
      </c>
      <c r="U3813">
        <v>-0.2093353</v>
      </c>
      <c r="V3813">
        <v>8.929811E-2</v>
      </c>
      <c r="W3813">
        <v>2.7654290000000002E-2</v>
      </c>
      <c r="X3813">
        <v>0.99562099999999898</v>
      </c>
      <c r="Y3813">
        <v>0.15519559999999999</v>
      </c>
      <c r="Z3813">
        <v>1.7025530000000001E-2</v>
      </c>
      <c r="AA3813">
        <v>0.98773709999999904</v>
      </c>
      <c r="AB3813">
        <v>20</v>
      </c>
      <c r="AC3813">
        <v>-19.240300000000001</v>
      </c>
      <c r="AD3813">
        <v>-1.1053966157320001</v>
      </c>
      <c r="AE3813">
        <v>-1.3119999999999801</v>
      </c>
      <c r="AF3813">
        <v>3.0239333564741999</v>
      </c>
      <c r="AG3813">
        <v>-1.1053966157320001</v>
      </c>
      <c r="AH3813">
        <v>18.982478837599</v>
      </c>
      <c r="AI3813">
        <v>93.291304073225504</v>
      </c>
      <c r="AJ3813">
        <v>80.948761224229102</v>
      </c>
      <c r="AK3813">
        <v>19.2535860930467</v>
      </c>
    </row>
    <row r="3814" spans="1:37" x14ac:dyDescent="0.2">
      <c r="A3814" t="str">
        <f>"20200111155925716"</f>
        <v>20200111155925716</v>
      </c>
      <c r="B3814" t="str">
        <f>"1578729565705790"</f>
        <v>1578729565705790</v>
      </c>
      <c r="C3814" t="s">
        <v>37</v>
      </c>
      <c r="D3814">
        <v>5.6180589999999997</v>
      </c>
      <c r="E3814">
        <v>0.52748509999999904</v>
      </c>
      <c r="F3814" t="s">
        <v>39</v>
      </c>
      <c r="G3814">
        <v>-231.7595</v>
      </c>
      <c r="H3814" s="1">
        <v>-4.6564540000000002E-6</v>
      </c>
      <c r="I3814">
        <v>145.13650000000001</v>
      </c>
      <c r="J3814">
        <v>-212.83029999999999</v>
      </c>
      <c r="K3814">
        <v>1.105256</v>
      </c>
      <c r="L3814">
        <v>146.40600000000001</v>
      </c>
      <c r="M3814">
        <v>-0.97456330000000002</v>
      </c>
      <c r="N3814">
        <v>0</v>
      </c>
      <c r="O3814">
        <v>-0.223639799999999</v>
      </c>
      <c r="P3814">
        <v>-0.99091609999999997</v>
      </c>
      <c r="Q3814">
        <v>1.407479E-2</v>
      </c>
      <c r="R3814">
        <v>-0.13374469999999999</v>
      </c>
      <c r="S3814">
        <v>-3.0024109999999999</v>
      </c>
      <c r="T3814">
        <v>-0.1735777</v>
      </c>
      <c r="U3814">
        <v>-0.20611570000000001</v>
      </c>
      <c r="V3814">
        <v>9.1280210000000001E-2</v>
      </c>
      <c r="W3814">
        <v>2.8544190000000001E-2</v>
      </c>
      <c r="X3814">
        <v>0.99541599999999997</v>
      </c>
      <c r="Y3814">
        <v>0.15576110000000001</v>
      </c>
      <c r="Z3814">
        <v>1.7290659999999999E-2</v>
      </c>
      <c r="AA3814">
        <v>0.98764339999999995</v>
      </c>
      <c r="AB3814">
        <v>20</v>
      </c>
      <c r="AC3814">
        <v>-18.929200000000002</v>
      </c>
      <c r="AD3814">
        <v>-1.105260656454</v>
      </c>
      <c r="AE3814">
        <v>-1.2694999999999901</v>
      </c>
      <c r="AF3814">
        <v>2.98629587004464</v>
      </c>
      <c r="AG3814">
        <v>-1.105260656454</v>
      </c>
      <c r="AH3814">
        <v>18.670229244373498</v>
      </c>
      <c r="AI3814">
        <v>93.345477812484702</v>
      </c>
      <c r="AJ3814">
        <v>80.912538218364801</v>
      </c>
      <c r="AK3814">
        <v>18.9398264031012</v>
      </c>
    </row>
    <row r="3815" spans="1:37" x14ac:dyDescent="0.2">
      <c r="A3815" t="str">
        <f>"20200111155925738"</f>
        <v>20200111155925738</v>
      </c>
      <c r="B3815" t="str">
        <f>"1578729565736047"</f>
        <v>1578729565736047</v>
      </c>
      <c r="C3815" t="s">
        <v>37</v>
      </c>
      <c r="D3815">
        <v>5.8936820000000001</v>
      </c>
      <c r="E3815">
        <v>0.52775609999999995</v>
      </c>
      <c r="F3815" t="s">
        <v>39</v>
      </c>
      <c r="G3815">
        <v>-231.42939999999999</v>
      </c>
      <c r="H3815" s="1">
        <v>-4.7768389999999998E-6</v>
      </c>
      <c r="I3815">
        <v>145.18199999999999</v>
      </c>
      <c r="J3815">
        <v>-213.01920000000001</v>
      </c>
      <c r="K3815">
        <v>1.1051089999999999</v>
      </c>
      <c r="L3815">
        <v>146.36330000000001</v>
      </c>
      <c r="M3815">
        <v>-0.97465559999999996</v>
      </c>
      <c r="N3815">
        <v>0</v>
      </c>
      <c r="O3815">
        <v>-0.22326099999999999</v>
      </c>
      <c r="P3815">
        <v>-0.99129310000000004</v>
      </c>
      <c r="Q3815">
        <v>1.408599E-2</v>
      </c>
      <c r="R3815">
        <v>-0.13091989999999901</v>
      </c>
      <c r="S3815">
        <v>-3.0033569999999998</v>
      </c>
      <c r="T3815">
        <v>-0.17847589999999999</v>
      </c>
      <c r="U3815">
        <v>-0.19764709999999999</v>
      </c>
      <c r="V3815">
        <v>9.3726610000000002E-2</v>
      </c>
      <c r="W3815">
        <v>2.8198150000000002E-2</v>
      </c>
      <c r="X3815">
        <v>0.99519849999999999</v>
      </c>
      <c r="Y3815">
        <v>0.1581302</v>
      </c>
      <c r="Z3815">
        <v>1.7823120000000001E-2</v>
      </c>
      <c r="AA3815">
        <v>0.98725739999999995</v>
      </c>
      <c r="AB3815">
        <v>20</v>
      </c>
      <c r="AC3815">
        <v>-18.4101999999999</v>
      </c>
      <c r="AD3815">
        <v>-1.105113776839</v>
      </c>
      <c r="AE3815">
        <v>-1.18129999999999</v>
      </c>
      <c r="AF3815">
        <v>2.9486352312410999</v>
      </c>
      <c r="AG3815">
        <v>-1.105113776839</v>
      </c>
      <c r="AH3815">
        <v>18.144062833264201</v>
      </c>
      <c r="AI3815">
        <v>93.440425691157898</v>
      </c>
      <c r="AJ3815">
        <v>80.769421462087095</v>
      </c>
      <c r="AK3815">
        <v>18.415285560754</v>
      </c>
    </row>
    <row r="3816" spans="1:37" x14ac:dyDescent="0.2">
      <c r="A3816" t="str">
        <f>"20200111155925761"</f>
        <v>20200111155925761</v>
      </c>
      <c r="B3816" t="str">
        <f>"1578729565756122"</f>
        <v>1578729565756122</v>
      </c>
      <c r="C3816" t="s">
        <v>37</v>
      </c>
      <c r="D3816">
        <v>5.6428399999999996</v>
      </c>
      <c r="E3816">
        <v>0.52832860000000004</v>
      </c>
      <c r="F3816" t="s">
        <v>39</v>
      </c>
      <c r="G3816">
        <v>-231.07</v>
      </c>
      <c r="H3816" s="1">
        <v>-4.9091810000000001E-6</v>
      </c>
      <c r="I3816">
        <v>145.23840000000001</v>
      </c>
      <c r="J3816">
        <v>-213.21780000000001</v>
      </c>
      <c r="K3816">
        <v>1.1049359999999999</v>
      </c>
      <c r="L3816">
        <v>146.31829999999999</v>
      </c>
      <c r="M3816">
        <v>-0.97474289999999997</v>
      </c>
      <c r="N3816">
        <v>0</v>
      </c>
      <c r="O3816">
        <v>-0.22290839999999901</v>
      </c>
      <c r="P3816">
        <v>-0.99147050000000003</v>
      </c>
      <c r="Q3816">
        <v>1.3870540000000001E-2</v>
      </c>
      <c r="R3816">
        <v>-0.12959319999999999</v>
      </c>
      <c r="S3816">
        <v>-3.004257</v>
      </c>
      <c r="T3816">
        <v>-0.18392839999999999</v>
      </c>
      <c r="U3816">
        <v>-0.18721009999999999</v>
      </c>
      <c r="V3816">
        <v>9.4696059999999999E-2</v>
      </c>
      <c r="W3816">
        <v>2.753131E-2</v>
      </c>
      <c r="X3816">
        <v>0.995125499999999</v>
      </c>
      <c r="Y3816">
        <v>0.16116</v>
      </c>
      <c r="Z3816">
        <v>1.8435920000000001E-2</v>
      </c>
      <c r="AA3816">
        <v>0.98675610000000002</v>
      </c>
      <c r="AB3816">
        <v>20</v>
      </c>
      <c r="AC3816">
        <v>-17.8521999999999</v>
      </c>
      <c r="AD3816">
        <v>-1.1049409091810001</v>
      </c>
      <c r="AE3816">
        <v>-1.0798999999999801</v>
      </c>
      <c r="AF3816">
        <v>2.9159260824477302</v>
      </c>
      <c r="AG3816">
        <v>-1.1049409091810001</v>
      </c>
      <c r="AH3816">
        <v>17.5765959251206</v>
      </c>
      <c r="AI3816">
        <v>93.548750407125198</v>
      </c>
      <c r="AJ3816">
        <v>80.580521574957004</v>
      </c>
      <c r="AK3816">
        <v>17.851057213679098</v>
      </c>
    </row>
    <row r="3817" spans="1:37" x14ac:dyDescent="0.2">
      <c r="A3817" t="str">
        <f>"20200111155925784"</f>
        <v>20200111155925784</v>
      </c>
      <c r="B3817" t="str">
        <f>"1578729565775642"</f>
        <v>1578729565775642</v>
      </c>
      <c r="C3817" t="s">
        <v>37</v>
      </c>
      <c r="D3817">
        <v>5.6617439999999997</v>
      </c>
      <c r="E3817">
        <v>0.52849729999999995</v>
      </c>
      <c r="F3817" t="s">
        <v>39</v>
      </c>
      <c r="G3817">
        <v>-230.83090000000001</v>
      </c>
      <c r="H3817" s="1">
        <v>-4.996042E-6</v>
      </c>
      <c r="I3817">
        <v>145.26939999999999</v>
      </c>
      <c r="J3817">
        <v>-213.42240000000001</v>
      </c>
      <c r="K3817">
        <v>1.10476</v>
      </c>
      <c r="L3817">
        <v>146.27199999999999</v>
      </c>
      <c r="M3817">
        <v>-0.97482839999999904</v>
      </c>
      <c r="N3817">
        <v>0</v>
      </c>
      <c r="O3817">
        <v>-0.22256509999999999</v>
      </c>
      <c r="P3817">
        <v>-0.99143219999999999</v>
      </c>
      <c r="Q3817">
        <v>1.456463E-2</v>
      </c>
      <c r="R3817">
        <v>-0.1298087</v>
      </c>
      <c r="S3817">
        <v>-3.0050659999999998</v>
      </c>
      <c r="T3817">
        <v>-0.18852079999999999</v>
      </c>
      <c r="U3817">
        <v>-0.17895510000000001</v>
      </c>
      <c r="V3817">
        <v>9.4124940000000004E-2</v>
      </c>
      <c r="W3817">
        <v>2.7721019999999999E-2</v>
      </c>
      <c r="X3817">
        <v>0.99517429999999996</v>
      </c>
      <c r="Y3817">
        <v>0.1634881</v>
      </c>
      <c r="Z3817">
        <v>1.894469E-2</v>
      </c>
      <c r="AA3817">
        <v>0.9863634</v>
      </c>
      <c r="AB3817">
        <v>20</v>
      </c>
      <c r="AC3817">
        <v>-17.4085</v>
      </c>
      <c r="AD3817">
        <v>-1.1047649960420001</v>
      </c>
      <c r="AE3817">
        <v>-1.0026000000000199</v>
      </c>
      <c r="AF3817">
        <v>2.8858304406281698</v>
      </c>
      <c r="AG3817">
        <v>-1.1047649960420001</v>
      </c>
      <c r="AH3817">
        <v>17.1261983347494</v>
      </c>
      <c r="AI3817">
        <v>93.639713158202099</v>
      </c>
      <c r="AJ3817">
        <v>80.435290217429497</v>
      </c>
      <c r="AK3817">
        <v>17.402735199666399</v>
      </c>
    </row>
    <row r="3818" spans="1:37" x14ac:dyDescent="0.2">
      <c r="A3818" t="str">
        <f>"20200111155925806"</f>
        <v>20200111155925806</v>
      </c>
      <c r="B3818" t="str">
        <f>"1578729565796137"</f>
        <v>1578729565796137</v>
      </c>
      <c r="C3818" t="s">
        <v>37</v>
      </c>
      <c r="D3818">
        <v>5.625432</v>
      </c>
      <c r="E3818">
        <v>0.52891299999999997</v>
      </c>
      <c r="F3818" t="s">
        <v>39</v>
      </c>
      <c r="G3818">
        <v>-230.74510000000001</v>
      </c>
      <c r="H3818" s="1">
        <v>-5.0201359999999997E-6</v>
      </c>
      <c r="I3818">
        <v>145.24080000000001</v>
      </c>
      <c r="J3818">
        <v>-213.61850000000001</v>
      </c>
      <c r="K3818">
        <v>1.1045940000000001</v>
      </c>
      <c r="L3818">
        <v>146.2276</v>
      </c>
      <c r="M3818">
        <v>-0.97490919999999903</v>
      </c>
      <c r="N3818">
        <v>0</v>
      </c>
      <c r="O3818">
        <v>-0.22224079999999999</v>
      </c>
      <c r="P3818">
        <v>-0.99121299999999901</v>
      </c>
      <c r="Q3818">
        <v>1.6123760000000001E-2</v>
      </c>
      <c r="R3818">
        <v>-0.13129060000000001</v>
      </c>
      <c r="S3818">
        <v>-3.005325</v>
      </c>
      <c r="T3818">
        <v>-0.191666</v>
      </c>
      <c r="U3818">
        <v>-0.178894</v>
      </c>
      <c r="V3818">
        <v>9.2300170000000001E-2</v>
      </c>
      <c r="W3818">
        <v>2.8771069999999999E-2</v>
      </c>
      <c r="X3818">
        <v>0.99531550000000002</v>
      </c>
      <c r="Y3818">
        <v>0.16315979999999999</v>
      </c>
      <c r="Z3818">
        <v>1.9227770000000002E-2</v>
      </c>
      <c r="AA3818">
        <v>0.98641229999999902</v>
      </c>
      <c r="AB3818">
        <v>20</v>
      </c>
      <c r="AC3818">
        <v>-17.1265999999999</v>
      </c>
      <c r="AD3818">
        <v>-1.1045990201360001</v>
      </c>
      <c r="AE3818">
        <v>-0.98679999999998702</v>
      </c>
      <c r="AF3818">
        <v>2.83267376378127</v>
      </c>
      <c r="AG3818">
        <v>-1.1045990201360001</v>
      </c>
      <c r="AH3818">
        <v>16.847699419411001</v>
      </c>
      <c r="AI3818">
        <v>93.699382199907504</v>
      </c>
      <c r="AJ3818">
        <v>80.455888686884194</v>
      </c>
      <c r="AK3818">
        <v>17.119846826829999</v>
      </c>
    </row>
    <row r="3819" spans="1:37" x14ac:dyDescent="0.2">
      <c r="A3819" t="str">
        <f>"20200111155925827"</f>
        <v>20200111155925827</v>
      </c>
      <c r="B3819" t="str">
        <f>"1578729565815657"</f>
        <v>1578729565815657</v>
      </c>
      <c r="C3819" t="s">
        <v>37</v>
      </c>
      <c r="D3819">
        <v>5.6154580000000003</v>
      </c>
      <c r="E3819">
        <v>0.52964469999999997</v>
      </c>
      <c r="F3819" t="s">
        <v>39</v>
      </c>
      <c r="G3819">
        <v>-231.0951</v>
      </c>
      <c r="H3819" s="1">
        <v>-4.8900370000000002E-6</v>
      </c>
      <c r="I3819">
        <v>145.1788</v>
      </c>
      <c r="J3819">
        <v>-213.80459999999999</v>
      </c>
      <c r="K3819">
        <v>1.1044290000000001</v>
      </c>
      <c r="L3819">
        <v>146.18549999999999</v>
      </c>
      <c r="M3819">
        <v>-0.97498859999999998</v>
      </c>
      <c r="N3819">
        <v>0</v>
      </c>
      <c r="O3819">
        <v>-0.22192010000000001</v>
      </c>
      <c r="P3819">
        <v>-0.99090440000000002</v>
      </c>
      <c r="Q3819">
        <v>1.8551560000000002E-2</v>
      </c>
      <c r="R3819">
        <v>-0.1332845</v>
      </c>
      <c r="S3819">
        <v>-3.0057830000000001</v>
      </c>
      <c r="T3819">
        <v>-0.1899786</v>
      </c>
      <c r="U3819">
        <v>-0.18037410000000001</v>
      </c>
      <c r="V3819">
        <v>8.9961940000000004E-2</v>
      </c>
      <c r="W3819">
        <v>3.069473E-2</v>
      </c>
      <c r="X3819">
        <v>0.99547209999999997</v>
      </c>
      <c r="Y3819">
        <v>0.16237470000000001</v>
      </c>
      <c r="Z3819">
        <v>1.9010860000000001E-2</v>
      </c>
      <c r="AA3819">
        <v>0.98654599999999903</v>
      </c>
      <c r="AB3819">
        <v>20</v>
      </c>
      <c r="AC3819">
        <v>-17.290500000000002</v>
      </c>
      <c r="AD3819">
        <v>-1.1044338900370001</v>
      </c>
      <c r="AE3819">
        <v>-1.0066999999999899</v>
      </c>
      <c r="AF3819">
        <v>2.8442354139161998</v>
      </c>
      <c r="AG3819">
        <v>-1.1044338900370001</v>
      </c>
      <c r="AH3819">
        <v>17.0135361136313</v>
      </c>
      <c r="AI3819">
        <v>93.663447066856506</v>
      </c>
      <c r="AJ3819">
        <v>80.509350091228498</v>
      </c>
      <c r="AK3819">
        <v>17.284960526338299</v>
      </c>
    </row>
    <row r="3820" spans="1:37" x14ac:dyDescent="0.2">
      <c r="A3820" t="str">
        <f>"20200111155925851"</f>
        <v>20200111155925851</v>
      </c>
      <c r="B3820" t="str">
        <f>"1578729565845914"</f>
        <v>1578729565845914</v>
      </c>
      <c r="C3820" t="s">
        <v>37</v>
      </c>
      <c r="D3820">
        <v>5.6538930000000001</v>
      </c>
      <c r="E3820">
        <v>0.53031219999999901</v>
      </c>
      <c r="F3820" t="s">
        <v>39</v>
      </c>
      <c r="G3820">
        <v>-231.8794</v>
      </c>
      <c r="H3820" s="1">
        <v>-4.6087240000000003E-6</v>
      </c>
      <c r="I3820">
        <v>145.0975</v>
      </c>
      <c r="J3820">
        <v>-214.01499999999999</v>
      </c>
      <c r="K3820">
        <v>1.104252</v>
      </c>
      <c r="L3820">
        <v>146.13800000000001</v>
      </c>
      <c r="M3820">
        <v>-0.97508449999999902</v>
      </c>
      <c r="N3820">
        <v>0</v>
      </c>
      <c r="O3820">
        <v>-0.22152739999999899</v>
      </c>
      <c r="P3820">
        <v>-0.99065230000000004</v>
      </c>
      <c r="Q3820">
        <v>2.0151820000000001E-2</v>
      </c>
      <c r="R3820">
        <v>-0.13491420000000001</v>
      </c>
      <c r="S3820">
        <v>-3.0066380000000001</v>
      </c>
      <c r="T3820">
        <v>-0.1837164</v>
      </c>
      <c r="U3820">
        <v>-0.1809692</v>
      </c>
      <c r="V3820">
        <v>8.7918780000000002E-2</v>
      </c>
      <c r="W3820">
        <v>3.1729920000000002E-2</v>
      </c>
      <c r="X3820">
        <v>0.99562220000000001</v>
      </c>
      <c r="Y3820">
        <v>0.1618491</v>
      </c>
      <c r="Z3820">
        <v>1.8340479999999999E-2</v>
      </c>
      <c r="AA3820">
        <v>0.98664509999999905</v>
      </c>
      <c r="AB3820">
        <v>20</v>
      </c>
      <c r="AC3820">
        <v>-17.8644</v>
      </c>
      <c r="AD3820">
        <v>-1.104256608724</v>
      </c>
      <c r="AE3820">
        <v>-1.0405</v>
      </c>
      <c r="AF3820">
        <v>2.9319139367178901</v>
      </c>
      <c r="AG3820">
        <v>-1.104256608724</v>
      </c>
      <c r="AH3820">
        <v>17.584038291869501</v>
      </c>
      <c r="AI3820">
        <v>93.544580897007407</v>
      </c>
      <c r="AJ3820">
        <v>80.533743809434995</v>
      </c>
      <c r="AK3820">
        <v>17.860960350444898</v>
      </c>
    </row>
    <row r="3821" spans="1:37" x14ac:dyDescent="0.2">
      <c r="A3821" t="str">
        <f>"20200111155925874"</f>
        <v>20200111155925874</v>
      </c>
      <c r="B3821" t="str">
        <f>"1578729565866410"</f>
        <v>1578729565866410</v>
      </c>
      <c r="C3821" t="s">
        <v>37</v>
      </c>
      <c r="D3821">
        <v>5.6443070000000004</v>
      </c>
      <c r="E3821">
        <v>0.53037919999999905</v>
      </c>
      <c r="F3821" t="s">
        <v>39</v>
      </c>
      <c r="G3821">
        <v>-232.25659999999999</v>
      </c>
      <c r="H3821" s="1">
        <v>-4.4700179999999996E-6</v>
      </c>
      <c r="I3821">
        <v>145.03919999999999</v>
      </c>
      <c r="J3821">
        <v>-214.21709999999999</v>
      </c>
      <c r="K3821">
        <v>1.1040969999999899</v>
      </c>
      <c r="L3821">
        <v>146.0926</v>
      </c>
      <c r="M3821">
        <v>-0.97518609999999994</v>
      </c>
      <c r="N3821">
        <v>0</v>
      </c>
      <c r="O3821">
        <v>-0.2211071</v>
      </c>
      <c r="P3821">
        <v>-0.990595</v>
      </c>
      <c r="Q3821">
        <v>2.1432369999999999E-2</v>
      </c>
      <c r="R3821">
        <v>-0.13513739999999999</v>
      </c>
      <c r="S3821">
        <v>-3.007355</v>
      </c>
      <c r="T3821">
        <v>-0.18204989999999999</v>
      </c>
      <c r="U3821">
        <v>-0.18115229999999999</v>
      </c>
      <c r="V3821">
        <v>8.7262370000000006E-2</v>
      </c>
      <c r="W3821">
        <v>3.2474360000000001E-2</v>
      </c>
      <c r="X3821">
        <v>0.99565590000000004</v>
      </c>
      <c r="Y3821">
        <v>0.16139129999999999</v>
      </c>
      <c r="Z3821">
        <v>1.8131310000000001E-2</v>
      </c>
      <c r="AA3821">
        <v>0.98672389999999999</v>
      </c>
      <c r="AB3821">
        <v>20</v>
      </c>
      <c r="AC3821">
        <v>-18.0395</v>
      </c>
      <c r="AD3821">
        <v>-1.1041014700180001</v>
      </c>
      <c r="AE3821">
        <v>-1.0534000000000101</v>
      </c>
      <c r="AF3821">
        <v>2.9505684036367299</v>
      </c>
      <c r="AG3821">
        <v>-1.1041014700180001</v>
      </c>
      <c r="AH3821">
        <v>17.759585107859799</v>
      </c>
      <c r="AI3821">
        <v>93.509479092652001</v>
      </c>
      <c r="AJ3821">
        <v>80.567068976361099</v>
      </c>
      <c r="AK3821">
        <v>18.036844434766099</v>
      </c>
    </row>
    <row r="3822" spans="1:37" x14ac:dyDescent="0.2">
      <c r="A3822" t="str">
        <f>"20200111155925895"</f>
        <v>20200111155925895</v>
      </c>
      <c r="B3822" t="str">
        <f>"1578729565885929"</f>
        <v>1578729565885929</v>
      </c>
      <c r="C3822" t="s">
        <v>37</v>
      </c>
      <c r="D3822">
        <v>5.6843399999999997</v>
      </c>
      <c r="E3822">
        <v>0.53048930000000005</v>
      </c>
      <c r="F3822" t="s">
        <v>39</v>
      </c>
      <c r="G3822">
        <v>-232.58920000000001</v>
      </c>
      <c r="H3822" s="1">
        <v>-4.34689E-6</v>
      </c>
      <c r="I3822">
        <v>144.98320000000001</v>
      </c>
      <c r="J3822">
        <v>-214.41370000000001</v>
      </c>
      <c r="K3822">
        <v>1.1039490000000001</v>
      </c>
      <c r="L3822">
        <v>146.04849999999999</v>
      </c>
      <c r="M3822">
        <v>-0.97529500000000002</v>
      </c>
      <c r="N3822">
        <v>0</v>
      </c>
      <c r="O3822">
        <v>-0.22065189999999901</v>
      </c>
      <c r="P3822">
        <v>-0.99064039999999998</v>
      </c>
      <c r="Q3822">
        <v>2.2399490000000001E-2</v>
      </c>
      <c r="R3822">
        <v>-0.13464849999999901</v>
      </c>
      <c r="S3822">
        <v>-3.0075989999999999</v>
      </c>
      <c r="T3822">
        <v>-0.1807463</v>
      </c>
      <c r="U3822">
        <v>-0.1816101</v>
      </c>
      <c r="V3822">
        <v>8.7287519999999993E-2</v>
      </c>
      <c r="W3822">
        <v>3.2918049999999997E-2</v>
      </c>
      <c r="X3822">
        <v>0.9956391</v>
      </c>
      <c r="Y3822">
        <v>0.16079640000000001</v>
      </c>
      <c r="Z3822">
        <v>1.7955510000000001E-2</v>
      </c>
      <c r="AA3822">
        <v>0.98682429999999999</v>
      </c>
      <c r="AB3822">
        <v>20</v>
      </c>
      <c r="AC3822">
        <v>-18.1755</v>
      </c>
      <c r="AD3822">
        <v>-1.10395334689</v>
      </c>
      <c r="AE3822">
        <v>-1.0652999999999699</v>
      </c>
      <c r="AF3822">
        <v>2.96075851153932</v>
      </c>
      <c r="AG3822">
        <v>-1.10395334689</v>
      </c>
      <c r="AH3822">
        <v>17.8967461775079</v>
      </c>
      <c r="AI3822">
        <v>93.482577297183994</v>
      </c>
      <c r="AJ3822">
        <v>80.606321378506806</v>
      </c>
      <c r="AK3822">
        <v>18.173561227726001</v>
      </c>
    </row>
    <row r="3823" spans="1:37" x14ac:dyDescent="0.2">
      <c r="A3823" t="str">
        <f>"20200111155925917"</f>
        <v>20200111155925917</v>
      </c>
      <c r="B3823" t="str">
        <f>"1578729565905449"</f>
        <v>1578729565905449</v>
      </c>
      <c r="C3823" t="s">
        <v>37</v>
      </c>
      <c r="D3823">
        <v>5.6671250000000004</v>
      </c>
      <c r="E3823">
        <v>0.53048709999999999</v>
      </c>
      <c r="F3823" t="s">
        <v>39</v>
      </c>
      <c r="G3823">
        <v>-232.84139999999999</v>
      </c>
      <c r="H3823" s="1">
        <v>-4.2550029999999998E-6</v>
      </c>
      <c r="I3823">
        <v>144.94880000000001</v>
      </c>
      <c r="J3823">
        <v>-214.60919999999999</v>
      </c>
      <c r="K3823">
        <v>1.103818</v>
      </c>
      <c r="L3823">
        <v>146.00489999999999</v>
      </c>
      <c r="M3823">
        <v>-0.97541290000000003</v>
      </c>
      <c r="N3823">
        <v>0</v>
      </c>
      <c r="O3823">
        <v>-0.22015489999999999</v>
      </c>
      <c r="P3823">
        <v>-0.99073529999999999</v>
      </c>
      <c r="Q3823">
        <v>2.4138260000000002E-2</v>
      </c>
      <c r="R3823">
        <v>-0.1336464</v>
      </c>
      <c r="S3823">
        <v>-3.0080259999999899</v>
      </c>
      <c r="T3823">
        <v>-0.1802029</v>
      </c>
      <c r="U3823">
        <v>-0.17950439999999901</v>
      </c>
      <c r="V3823">
        <v>8.7781499999999998E-2</v>
      </c>
      <c r="W3823">
        <v>3.4135690000000003E-2</v>
      </c>
      <c r="X3823">
        <v>0.99555469999999902</v>
      </c>
      <c r="Y3823">
        <v>0.16099379999999999</v>
      </c>
      <c r="Z3823">
        <v>1.7876489999999998E-2</v>
      </c>
      <c r="AA3823">
        <v>0.98679349999999999</v>
      </c>
      <c r="AB3823">
        <v>21</v>
      </c>
      <c r="AC3823">
        <v>-18.232199999999999</v>
      </c>
      <c r="AD3823">
        <v>-1.1038222550029999</v>
      </c>
      <c r="AE3823">
        <v>-1.0560999999999801</v>
      </c>
      <c r="AF3823">
        <v>2.9730650344010998</v>
      </c>
      <c r="AG3823">
        <v>-1.1038222550029999</v>
      </c>
      <c r="AH3823">
        <v>17.951762856374302</v>
      </c>
      <c r="AI3823">
        <v>93.471419530274403</v>
      </c>
      <c r="AJ3823">
        <v>80.596365525374793</v>
      </c>
      <c r="AK3823">
        <v>18.229737489084101</v>
      </c>
    </row>
    <row r="3824" spans="1:37" x14ac:dyDescent="0.2">
      <c r="A3824" t="str">
        <f>"20200111155925952"</f>
        <v>20200111155925952</v>
      </c>
      <c r="B3824" t="str">
        <f>"1578729565946441"</f>
        <v>1578729565946441</v>
      </c>
      <c r="C3824" t="s">
        <v>37</v>
      </c>
      <c r="D3824">
        <v>5.6698309999999896</v>
      </c>
      <c r="E3824">
        <v>0.53051110000000001</v>
      </c>
      <c r="F3824" t="s">
        <v>39</v>
      </c>
      <c r="G3824">
        <v>-233.32169999999999</v>
      </c>
      <c r="H3824" s="1">
        <v>-4.0837990000000004E-6</v>
      </c>
      <c r="I3824">
        <v>144.90520000000001</v>
      </c>
      <c r="J3824">
        <v>-214.92670000000001</v>
      </c>
      <c r="K3824">
        <v>1.1036319999999999</v>
      </c>
      <c r="L3824">
        <v>145.9342</v>
      </c>
      <c r="M3824">
        <v>-0.97561909999999896</v>
      </c>
      <c r="N3824">
        <v>0</v>
      </c>
      <c r="O3824">
        <v>-0.219273999999999</v>
      </c>
      <c r="P3824">
        <v>-0.99120940000000002</v>
      </c>
      <c r="Q3824">
        <v>2.5439639999999999E-2</v>
      </c>
      <c r="R3824">
        <v>-0.1298337</v>
      </c>
      <c r="S3824">
        <v>-3.0085299999999999</v>
      </c>
      <c r="T3824">
        <v>-0.1774685</v>
      </c>
      <c r="U3824">
        <v>-0.17678829999999901</v>
      </c>
      <c r="V3824">
        <v>9.0709330000000005E-2</v>
      </c>
      <c r="W3824">
        <v>3.4612240000000002E-2</v>
      </c>
      <c r="X3824">
        <v>0.99527569999999999</v>
      </c>
      <c r="Y3824">
        <v>0.16102040000000001</v>
      </c>
      <c r="Z3824">
        <v>1.7553530000000001E-2</v>
      </c>
      <c r="AA3824">
        <v>0.98679490000000003</v>
      </c>
      <c r="AB3824">
        <v>21</v>
      </c>
      <c r="AC3824">
        <v>-18.3949999999999</v>
      </c>
      <c r="AD3824">
        <v>-1.103636083799</v>
      </c>
      <c r="AE3824">
        <v>-1.0289999999999899</v>
      </c>
      <c r="AF3824">
        <v>3.0189308959044001</v>
      </c>
      <c r="AG3824">
        <v>-1.103636083799</v>
      </c>
      <c r="AH3824">
        <v>18.107952577911</v>
      </c>
      <c r="AI3824">
        <v>93.440357130044802</v>
      </c>
      <c r="AJ3824">
        <v>80.534787622575394</v>
      </c>
      <c r="AK3824">
        <v>18.391027783231301</v>
      </c>
    </row>
    <row r="3825" spans="1:37" x14ac:dyDescent="0.2">
      <c r="A3825" t="str">
        <f>"20200111155925973"</f>
        <v>20200111155925973</v>
      </c>
      <c r="B3825" t="str">
        <f>"1578729565965495"</f>
        <v>1578729565965495</v>
      </c>
      <c r="C3825" t="s">
        <v>37</v>
      </c>
      <c r="D3825">
        <v>5.8114970000000001</v>
      </c>
      <c r="E3825">
        <v>0.53064419999999901</v>
      </c>
      <c r="F3825" t="s">
        <v>39</v>
      </c>
      <c r="G3825">
        <v>-233.55510000000001</v>
      </c>
      <c r="H3825" s="1">
        <v>-4.0052140000000002E-6</v>
      </c>
      <c r="I3825">
        <v>144.90989999999999</v>
      </c>
      <c r="J3825">
        <v>-215.12469999999999</v>
      </c>
      <c r="K3825">
        <v>1.103534</v>
      </c>
      <c r="L3825">
        <v>145.8904</v>
      </c>
      <c r="M3825">
        <v>-0.97575419999999902</v>
      </c>
      <c r="N3825">
        <v>0</v>
      </c>
      <c r="O3825">
        <v>-0.21869139999999901</v>
      </c>
      <c r="P3825">
        <v>-0.9915659</v>
      </c>
      <c r="Q3825">
        <v>2.5756649999999999E-2</v>
      </c>
      <c r="R3825">
        <v>-0.1270165</v>
      </c>
      <c r="S3825">
        <v>-3.009506</v>
      </c>
      <c r="T3825">
        <v>-0.17829809999999999</v>
      </c>
      <c r="U3825">
        <v>-0.16548160000000001</v>
      </c>
      <c r="V3825">
        <v>9.2942999999999998E-2</v>
      </c>
      <c r="W3825">
        <v>3.444403E-2</v>
      </c>
      <c r="X3825">
        <v>0.995075499999999</v>
      </c>
      <c r="Y3825">
        <v>0.16413320000000001</v>
      </c>
      <c r="Z3825">
        <v>1.7691220000000001E-2</v>
      </c>
      <c r="AA3825">
        <v>0.98627949999999998</v>
      </c>
      <c r="AB3825">
        <v>21</v>
      </c>
      <c r="AC3825">
        <v>-18.430399999999999</v>
      </c>
      <c r="AD3825">
        <v>-1.103538005214</v>
      </c>
      <c r="AE3825">
        <v>-0.98050000000000603</v>
      </c>
      <c r="AF3825">
        <v>3.06301227547636</v>
      </c>
      <c r="AG3825">
        <v>-1.103538005214</v>
      </c>
      <c r="AH3825">
        <v>18.133846444799001</v>
      </c>
      <c r="AI3825">
        <v>93.433925430782594</v>
      </c>
      <c r="AJ3825">
        <v>80.412589251617007</v>
      </c>
      <c r="AK3825">
        <v>18.423795135970799</v>
      </c>
    </row>
    <row r="3826" spans="1:37" x14ac:dyDescent="0.2">
      <c r="A3826" t="str">
        <f>"20200111155925995"</f>
        <v>20200111155925995</v>
      </c>
      <c r="B3826" t="str">
        <f>"1578729565985990"</f>
        <v>1578729565985990</v>
      </c>
      <c r="C3826" t="s">
        <v>37</v>
      </c>
      <c r="D3826">
        <v>5.6828900000000004</v>
      </c>
      <c r="E3826">
        <v>0.53063009999999999</v>
      </c>
      <c r="F3826" t="s">
        <v>39</v>
      </c>
      <c r="G3826">
        <v>-233.67679999999999</v>
      </c>
      <c r="H3826" s="1">
        <v>-3.9671349999999996E-6</v>
      </c>
      <c r="I3826">
        <v>144.92869999999999</v>
      </c>
      <c r="J3826">
        <v>-215.3297</v>
      </c>
      <c r="K3826">
        <v>1.1034440000000001</v>
      </c>
      <c r="L3826">
        <v>145.8451</v>
      </c>
      <c r="M3826">
        <v>-0.97589769999999898</v>
      </c>
      <c r="N3826">
        <v>0</v>
      </c>
      <c r="O3826">
        <v>-0.21806919999999999</v>
      </c>
      <c r="P3826">
        <v>-0.99185959999999995</v>
      </c>
      <c r="Q3826">
        <v>2.52442999999999E-2</v>
      </c>
      <c r="R3826">
        <v>-0.12480869999999999</v>
      </c>
      <c r="S3826">
        <v>-3.0101779999999998</v>
      </c>
      <c r="T3826">
        <v>-0.17905489999999999</v>
      </c>
      <c r="U3826">
        <v>-0.1560211</v>
      </c>
      <c r="V3826">
        <v>9.4527199999999895E-2</v>
      </c>
      <c r="W3826">
        <v>3.3457529999999999E-2</v>
      </c>
      <c r="X3826">
        <v>0.99495990000000001</v>
      </c>
      <c r="Y3826">
        <v>0.166597</v>
      </c>
      <c r="Z3826">
        <v>1.7801790000000001E-2</v>
      </c>
      <c r="AA3826">
        <v>0.98586430000000003</v>
      </c>
      <c r="AB3826">
        <v>21</v>
      </c>
      <c r="AC3826">
        <v>-18.347099999999902</v>
      </c>
      <c r="AD3826">
        <v>-1.1034479671349999</v>
      </c>
      <c r="AE3826">
        <v>-0.91640000000000998</v>
      </c>
      <c r="AF3826">
        <v>3.0955634203112199</v>
      </c>
      <c r="AG3826">
        <v>-1.1034479671349999</v>
      </c>
      <c r="AH3826">
        <v>18.040268191294601</v>
      </c>
      <c r="AI3826">
        <v>93.449887248547796</v>
      </c>
      <c r="AJ3826">
        <v>80.263332284487106</v>
      </c>
      <c r="AK3826">
        <v>18.337158632655701</v>
      </c>
    </row>
    <row r="3827" spans="1:37" x14ac:dyDescent="0.2">
      <c r="A3827" t="str">
        <f>"20200111155926018"</f>
        <v>20200111155926018</v>
      </c>
      <c r="B3827" t="str">
        <f>"1578729566005510"</f>
        <v>1578729566005510</v>
      </c>
      <c r="C3827" t="s">
        <v>37</v>
      </c>
      <c r="D3827">
        <v>5.7234780000000001</v>
      </c>
      <c r="E3827">
        <v>0.53056059999999905</v>
      </c>
      <c r="F3827" t="s">
        <v>39</v>
      </c>
      <c r="G3827">
        <v>-233.5342</v>
      </c>
      <c r="H3827" s="1">
        <v>-4.017744E-6</v>
      </c>
      <c r="I3827">
        <v>144.94049999999999</v>
      </c>
      <c r="J3827">
        <v>-215.53270000000001</v>
      </c>
      <c r="K3827">
        <v>1.1033599999999999</v>
      </c>
      <c r="L3827">
        <v>145.8005</v>
      </c>
      <c r="M3827">
        <v>-0.97604389999999996</v>
      </c>
      <c r="N3827">
        <v>0</v>
      </c>
      <c r="O3827">
        <v>-0.21743080000000001</v>
      </c>
      <c r="P3827">
        <v>-0.99207400000000001</v>
      </c>
      <c r="Q3827">
        <v>2.3723569999999999E-2</v>
      </c>
      <c r="R3827">
        <v>-0.1233963</v>
      </c>
      <c r="S3827">
        <v>-3.0104220000000002</v>
      </c>
      <c r="T3827">
        <v>-0.182474</v>
      </c>
      <c r="U3827">
        <v>-0.14958189999999999</v>
      </c>
      <c r="V3827">
        <v>9.5300449999999995E-2</v>
      </c>
      <c r="W3827">
        <v>3.1483990000000003E-2</v>
      </c>
      <c r="X3827">
        <v>0.99495049999999996</v>
      </c>
      <c r="Y3827">
        <v>0.16803119999999999</v>
      </c>
      <c r="Z3827">
        <v>1.8146900000000001E-2</v>
      </c>
      <c r="AA3827">
        <v>0.98561469999999995</v>
      </c>
      <c r="AB3827">
        <v>21</v>
      </c>
      <c r="AC3827">
        <v>-18.001499999999901</v>
      </c>
      <c r="AD3827">
        <v>-1.1033640177440001</v>
      </c>
      <c r="AE3827">
        <v>-0.86000000000001298</v>
      </c>
      <c r="AF3827">
        <v>3.06329630309135</v>
      </c>
      <c r="AG3827">
        <v>-1.1033640177440001</v>
      </c>
      <c r="AH3827">
        <v>17.691484255075299</v>
      </c>
      <c r="AI3827">
        <v>93.516549409644398</v>
      </c>
      <c r="AJ3827">
        <v>80.176584494050303</v>
      </c>
      <c r="AK3827">
        <v>17.988602267651601</v>
      </c>
    </row>
    <row r="3828" spans="1:37" x14ac:dyDescent="0.2">
      <c r="A3828" t="str">
        <f>"20200111155926040"</f>
        <v>20200111155926040</v>
      </c>
      <c r="B3828" t="str">
        <f>"1578729566035767"</f>
        <v>1578729566035767</v>
      </c>
      <c r="C3828" t="s">
        <v>37</v>
      </c>
      <c r="D3828">
        <v>5.6908640000000004</v>
      </c>
      <c r="E3828">
        <v>0.53045540000000002</v>
      </c>
      <c r="F3828" t="s">
        <v>39</v>
      </c>
      <c r="G3828">
        <v>-233.0787</v>
      </c>
      <c r="H3828" s="1">
        <v>-4.1742179999999999E-6</v>
      </c>
      <c r="I3828">
        <v>144.9487</v>
      </c>
      <c r="J3828">
        <v>-215.74940000000001</v>
      </c>
      <c r="K3828">
        <v>1.1032690000000001</v>
      </c>
      <c r="L3828">
        <v>145.75299999999999</v>
      </c>
      <c r="M3828">
        <v>-0.97620569999999895</v>
      </c>
      <c r="N3828">
        <v>0</v>
      </c>
      <c r="O3828">
        <v>-0.21671940000000001</v>
      </c>
      <c r="P3828">
        <v>-0.99222449999999995</v>
      </c>
      <c r="Q3828">
        <v>2.1549639999999998E-2</v>
      </c>
      <c r="R3828">
        <v>-0.12258189999999999</v>
      </c>
      <c r="S3828">
        <v>-3.01032999999999</v>
      </c>
      <c r="T3828">
        <v>-0.18930169999999999</v>
      </c>
      <c r="U3828">
        <v>-0.1461334</v>
      </c>
      <c r="V3828">
        <v>9.5401250000000007E-2</v>
      </c>
      <c r="W3828">
        <v>2.8840660000000001E-2</v>
      </c>
      <c r="X3828">
        <v>0.99502099999999905</v>
      </c>
      <c r="Y3828">
        <v>0.16838420000000001</v>
      </c>
      <c r="Z3828">
        <v>1.879343E-2</v>
      </c>
      <c r="AA3828">
        <v>0.98554219999999904</v>
      </c>
      <c r="AB3828">
        <v>21</v>
      </c>
      <c r="AC3828">
        <v>-17.3292999999999</v>
      </c>
      <c r="AD3828">
        <v>-1.103273174218</v>
      </c>
      <c r="AE3828">
        <v>-0.80429999999998303</v>
      </c>
      <c r="AF3828">
        <v>2.9585491597751301</v>
      </c>
      <c r="AG3828">
        <v>-1.103273174218</v>
      </c>
      <c r="AH3828">
        <v>17.022890189628299</v>
      </c>
      <c r="AI3828">
        <v>93.6536014874263</v>
      </c>
      <c r="AJ3828">
        <v>80.140575196630195</v>
      </c>
      <c r="AK3828">
        <v>17.313261253614201</v>
      </c>
    </row>
    <row r="3829" spans="1:37" x14ac:dyDescent="0.2">
      <c r="A3829" t="str">
        <f>"20200111155926064"</f>
        <v>20200111155926064</v>
      </c>
      <c r="B3829" t="str">
        <f>"1578729566056263"</f>
        <v>1578729566056263</v>
      </c>
      <c r="C3829" t="s">
        <v>37</v>
      </c>
      <c r="D3829">
        <v>5.6723280000000003</v>
      </c>
      <c r="E3829">
        <v>0.53041919999999898</v>
      </c>
      <c r="F3829" t="s">
        <v>39</v>
      </c>
      <c r="G3829">
        <v>-232.4796</v>
      </c>
      <c r="H3829" s="1">
        <v>-4.3777109999999997E-6</v>
      </c>
      <c r="I3829">
        <v>144.94659999999999</v>
      </c>
      <c r="J3829">
        <v>-215.96469999999999</v>
      </c>
      <c r="K3829">
        <v>1.103178</v>
      </c>
      <c r="L3829">
        <v>145.70599999999999</v>
      </c>
      <c r="M3829">
        <v>-0.97637410000000002</v>
      </c>
      <c r="N3829">
        <v>0</v>
      </c>
      <c r="O3829">
        <v>-0.2159741</v>
      </c>
      <c r="P3829">
        <v>-0.99208890000000005</v>
      </c>
      <c r="Q3829">
        <v>1.9706999999999999E-2</v>
      </c>
      <c r="R3829">
        <v>-0.1239808</v>
      </c>
      <c r="S3829">
        <v>-3.009903</v>
      </c>
      <c r="T3829">
        <v>-0.1984881</v>
      </c>
      <c r="U3829">
        <v>-0.14506529999999901</v>
      </c>
      <c r="V3829">
        <v>9.3245320000000007E-2</v>
      </c>
      <c r="W3829">
        <v>2.6555099999999901E-2</v>
      </c>
      <c r="X3829">
        <v>0.99528899999999998</v>
      </c>
      <c r="Y3829">
        <v>0.16790089999999999</v>
      </c>
      <c r="Z3829">
        <v>1.964258E-2</v>
      </c>
      <c r="AA3829">
        <v>0.98560820000000005</v>
      </c>
      <c r="AB3829">
        <v>21</v>
      </c>
      <c r="AC3829">
        <v>-16.514900000000001</v>
      </c>
      <c r="AD3829">
        <v>-1.1031823777109999</v>
      </c>
      <c r="AE3829">
        <v>-0.75940000000002705</v>
      </c>
      <c r="AF3829">
        <v>2.8128761690450901</v>
      </c>
      <c r="AG3829">
        <v>-1.1031823777109999</v>
      </c>
      <c r="AH3829">
        <v>16.216919447342899</v>
      </c>
      <c r="AI3829">
        <v>93.834561942220205</v>
      </c>
      <c r="AJ3829">
        <v>80.159770021561499</v>
      </c>
      <c r="AK3829">
        <v>16.4959922424352</v>
      </c>
    </row>
    <row r="3830" spans="1:37" x14ac:dyDescent="0.2">
      <c r="A3830" t="str">
        <f>"20200111155926086"</f>
        <v>20200111155926086</v>
      </c>
      <c r="B3830" t="str">
        <f>"1578729566075782"</f>
        <v>1578729566075782</v>
      </c>
      <c r="C3830" t="s">
        <v>37</v>
      </c>
      <c r="D3830">
        <v>5.7333270000000001</v>
      </c>
      <c r="E3830">
        <v>0.53030889999999997</v>
      </c>
      <c r="F3830" t="s">
        <v>39</v>
      </c>
      <c r="G3830">
        <v>-232.14160000000001</v>
      </c>
      <c r="H3830" s="1">
        <v>-4.4844169999999996E-6</v>
      </c>
      <c r="I3830">
        <v>144.8997</v>
      </c>
      <c r="J3830">
        <v>-216.18129999999999</v>
      </c>
      <c r="K3830">
        <v>1.1030770000000001</v>
      </c>
      <c r="L3830">
        <v>145.65899999999999</v>
      </c>
      <c r="M3830">
        <v>-0.97655449999999999</v>
      </c>
      <c r="N3830">
        <v>0</v>
      </c>
      <c r="O3830">
        <v>-0.2151701</v>
      </c>
      <c r="P3830">
        <v>-0.99192060000000004</v>
      </c>
      <c r="Q3830">
        <v>1.7195660000000001E-2</v>
      </c>
      <c r="R3830">
        <v>-0.1256891</v>
      </c>
      <c r="S3830">
        <v>-3.009277</v>
      </c>
      <c r="T3830">
        <v>-0.2052177</v>
      </c>
      <c r="U3830">
        <v>-0.14999389999999899</v>
      </c>
      <c r="V3830">
        <v>9.0719889999999997E-2</v>
      </c>
      <c r="W3830">
        <v>2.362682E-2</v>
      </c>
      <c r="X3830">
        <v>0.99559609999999998</v>
      </c>
      <c r="Y3830">
        <v>0.1654185</v>
      </c>
      <c r="Z3830">
        <v>2.0171660000000001E-2</v>
      </c>
      <c r="AA3830">
        <v>0.98601719999999904</v>
      </c>
      <c r="AB3830">
        <v>22</v>
      </c>
      <c r="AC3830">
        <v>-15.9603</v>
      </c>
      <c r="AD3830">
        <v>-1.103081484417</v>
      </c>
      <c r="AE3830">
        <v>-0.75929999999999598</v>
      </c>
      <c r="AF3830">
        <v>2.6799669529622001</v>
      </c>
      <c r="AG3830">
        <v>-1.103081484417</v>
      </c>
      <c r="AH3830">
        <v>15.6751140290203</v>
      </c>
      <c r="AI3830">
        <v>93.967967337056294</v>
      </c>
      <c r="AJ3830">
        <v>80.297973406261605</v>
      </c>
      <c r="AK3830">
        <v>15.940771984224099</v>
      </c>
    </row>
    <row r="3831" spans="1:37" x14ac:dyDescent="0.2">
      <c r="A3831" t="str">
        <f>"20200111155926108"</f>
        <v>20200111155926108</v>
      </c>
      <c r="B3831" t="str">
        <f>"1578729566106038"</f>
        <v>1578729566106038</v>
      </c>
      <c r="C3831" t="s">
        <v>37</v>
      </c>
      <c r="D3831">
        <v>7.0085839999999999</v>
      </c>
      <c r="E3831">
        <v>0.53023900000000002</v>
      </c>
      <c r="F3831" t="s">
        <v>38</v>
      </c>
      <c r="G3831">
        <v>-217.10079999999999</v>
      </c>
      <c r="H3831">
        <v>1.0375760000000001</v>
      </c>
      <c r="I3831">
        <v>145.61150000000001</v>
      </c>
      <c r="J3831">
        <v>-216.39429999999999</v>
      </c>
      <c r="K3831">
        <v>1.102973</v>
      </c>
      <c r="L3831">
        <v>145.613</v>
      </c>
      <c r="M3831">
        <v>-0.97674570000000005</v>
      </c>
      <c r="N3831">
        <v>0</v>
      </c>
      <c r="O3831">
        <v>-0.21431259999999999</v>
      </c>
      <c r="P3831">
        <v>-0.99153639999999998</v>
      </c>
      <c r="Q3831">
        <v>1.434707E-2</v>
      </c>
      <c r="R3831">
        <v>-0.12903580000000001</v>
      </c>
      <c r="S3831">
        <v>-3.008362</v>
      </c>
      <c r="T3831">
        <v>-0.21436239999999901</v>
      </c>
      <c r="U3831">
        <v>-0.15614320000000001</v>
      </c>
      <c r="V3831">
        <v>8.6492459999999993E-2</v>
      </c>
      <c r="W3831">
        <v>2.0409429999999999E-2</v>
      </c>
      <c r="X3831">
        <v>0.99604340000000002</v>
      </c>
      <c r="Y3831">
        <v>0.16245589999999999</v>
      </c>
      <c r="Z3831">
        <v>2.090765E-2</v>
      </c>
      <c r="AA3831">
        <v>0.98649419999999899</v>
      </c>
      <c r="AB3831">
        <v>22</v>
      </c>
      <c r="AC3831">
        <v>-0.70650000000000501</v>
      </c>
      <c r="AD3831">
        <v>-6.53969999999999E-2</v>
      </c>
      <c r="AE3831">
        <v>-1.4999999999929499E-3</v>
      </c>
      <c r="AF3831">
        <v>0.14867569603140399</v>
      </c>
      <c r="AG3831">
        <v>-6.53969999999999E-2</v>
      </c>
      <c r="AH3831">
        <v>0.68454013187635498</v>
      </c>
      <c r="AI3831">
        <v>95.3335405626718</v>
      </c>
      <c r="AJ3831">
        <v>77.746206186267798</v>
      </c>
      <c r="AK3831">
        <v>0.70354560786683895</v>
      </c>
    </row>
    <row r="3832" spans="1:37" x14ac:dyDescent="0.2">
      <c r="A3832" t="str">
        <f>"20200111155926130"</f>
        <v>20200111155926130</v>
      </c>
      <c r="B3832" t="str">
        <f>"1578729566125558"</f>
        <v>1578729566125558</v>
      </c>
      <c r="C3832" t="s">
        <v>37</v>
      </c>
      <c r="D3832">
        <v>7.4172130000000003</v>
      </c>
      <c r="E3832">
        <v>0.52591379999999999</v>
      </c>
      <c r="F3832" t="s">
        <v>38</v>
      </c>
      <c r="G3832">
        <v>-217.2895</v>
      </c>
      <c r="H3832">
        <v>1.036151</v>
      </c>
      <c r="I3832">
        <v>145.56309999999999</v>
      </c>
      <c r="J3832">
        <v>-216.60419999999999</v>
      </c>
      <c r="K3832">
        <v>1.102873</v>
      </c>
      <c r="L3832">
        <v>145.56799999999899</v>
      </c>
      <c r="M3832">
        <v>-0.97694519999999996</v>
      </c>
      <c r="N3832">
        <v>0</v>
      </c>
      <c r="O3832">
        <v>-0.2134086</v>
      </c>
      <c r="P3832">
        <v>-0.99093880000000001</v>
      </c>
      <c r="Q3832">
        <v>1.2932819999999999E-2</v>
      </c>
      <c r="R3832">
        <v>-0.1336898</v>
      </c>
      <c r="S3832">
        <v>-3.007126</v>
      </c>
      <c r="T3832">
        <v>-0.2244573</v>
      </c>
      <c r="U3832">
        <v>-0.1670837</v>
      </c>
      <c r="V3832">
        <v>8.0895919999999996E-2</v>
      </c>
      <c r="W3832">
        <v>1.867168E-2</v>
      </c>
      <c r="X3832">
        <v>0.99654759999999998</v>
      </c>
      <c r="Y3832">
        <v>0.15786500000000001</v>
      </c>
      <c r="Z3832">
        <v>2.1657940000000001E-2</v>
      </c>
      <c r="AA3832">
        <v>0.98722310000000002</v>
      </c>
      <c r="AB3832">
        <v>22</v>
      </c>
      <c r="AC3832">
        <v>-0.68530000000001201</v>
      </c>
      <c r="AD3832">
        <v>-6.6721999999999906E-2</v>
      </c>
      <c r="AE3832">
        <v>-4.8999999999921303E-3</v>
      </c>
      <c r="AF3832">
        <v>0.140136022182104</v>
      </c>
      <c r="AG3832">
        <v>-6.6721999999999906E-2</v>
      </c>
      <c r="AH3832">
        <v>0.66426151304407599</v>
      </c>
      <c r="AI3832">
        <v>95.613122877450607</v>
      </c>
      <c r="AJ3832">
        <v>78.087268459052297</v>
      </c>
      <c r="AK3832">
        <v>0.68215341948027197</v>
      </c>
    </row>
    <row r="3833" spans="1:37" x14ac:dyDescent="0.2">
      <c r="A3833" t="str">
        <f>"20200111155926152"</f>
        <v>20200111155926152</v>
      </c>
      <c r="B3833" t="str">
        <f>"1578729566146055"</f>
        <v>1578729566146055</v>
      </c>
      <c r="C3833" t="s">
        <v>37</v>
      </c>
      <c r="D3833">
        <v>5.8631129999999896</v>
      </c>
      <c r="E3833">
        <v>0.52235980000000004</v>
      </c>
      <c r="F3833" t="s">
        <v>39</v>
      </c>
      <c r="G3833">
        <v>-245.209</v>
      </c>
      <c r="H3833" s="1">
        <v>-3.09643899999999E-6</v>
      </c>
      <c r="I3833">
        <v>143.59559999999999</v>
      </c>
      <c r="J3833">
        <v>-216.8185</v>
      </c>
      <c r="K3833">
        <v>1.1027910000000001</v>
      </c>
      <c r="L3833">
        <v>145.5223</v>
      </c>
      <c r="M3833">
        <v>-0.97716259999999999</v>
      </c>
      <c r="N3833">
        <v>0</v>
      </c>
      <c r="O3833">
        <v>-0.2124202</v>
      </c>
      <c r="P3833">
        <v>-0.99009809999999998</v>
      </c>
      <c r="Q3833">
        <v>1.291255E-2</v>
      </c>
      <c r="R3833">
        <v>-0.13978360000000001</v>
      </c>
      <c r="S3833">
        <v>-3.0010219999999999</v>
      </c>
      <c r="T3833">
        <v>-0.11570660000000001</v>
      </c>
      <c r="U3833">
        <v>-0.20692440000000001</v>
      </c>
      <c r="V3833">
        <v>7.3755760000000004E-2</v>
      </c>
      <c r="W3833">
        <v>1.8359879999999999E-2</v>
      </c>
      <c r="X3833">
        <v>0.99710730000000003</v>
      </c>
      <c r="Y3833">
        <v>0.14444109999999999</v>
      </c>
      <c r="Z3833">
        <v>1.0895480000000001E-2</v>
      </c>
      <c r="AA3833">
        <v>0.98945339999999904</v>
      </c>
      <c r="AB3833">
        <v>22</v>
      </c>
      <c r="AC3833">
        <v>-28.390499999999999</v>
      </c>
      <c r="AD3833">
        <v>-1.1027940964389999</v>
      </c>
      <c r="AE3833">
        <v>-1.9267000000000101</v>
      </c>
      <c r="AF3833">
        <v>4.1418598714828798</v>
      </c>
      <c r="AG3833">
        <v>-1.1027940964389999</v>
      </c>
      <c r="AH3833">
        <v>28.109621467758899</v>
      </c>
      <c r="AI3833">
        <v>92.222696091819898</v>
      </c>
      <c r="AJ3833">
        <v>81.617969773755405</v>
      </c>
      <c r="AK3833">
        <v>28.434520869443801</v>
      </c>
    </row>
    <row r="3834" spans="1:37" x14ac:dyDescent="0.2">
      <c r="A3834" t="str">
        <f>"20200111155926175"</f>
        <v>20200111155926175</v>
      </c>
      <c r="B3834" t="str">
        <f>"1578729566165575"</f>
        <v>1578729566165575</v>
      </c>
      <c r="C3834" t="s">
        <v>37</v>
      </c>
      <c r="D3834">
        <v>5.8571029999999897</v>
      </c>
      <c r="E3834">
        <v>0.46813549999999998</v>
      </c>
      <c r="F3834" t="s">
        <v>39</v>
      </c>
      <c r="G3834">
        <v>-247.96860000000001</v>
      </c>
      <c r="H3834" s="1">
        <v>-1.7264549999999999E-6</v>
      </c>
      <c r="I3834">
        <v>142.89599999999999</v>
      </c>
      <c r="J3834">
        <v>-217.04040000000001</v>
      </c>
      <c r="K3834">
        <v>1.1027039999999999</v>
      </c>
      <c r="L3834">
        <v>145.4753</v>
      </c>
      <c r="M3834">
        <v>-0.97740469999999902</v>
      </c>
      <c r="N3834">
        <v>0</v>
      </c>
      <c r="O3834">
        <v>-0.21131059999999999</v>
      </c>
      <c r="P3834">
        <v>-0.98933169999999904</v>
      </c>
      <c r="Q3834">
        <v>1.361827E-2</v>
      </c>
      <c r="R3834">
        <v>-0.14504229999999901</v>
      </c>
      <c r="S3834">
        <v>-2.9957119999999899</v>
      </c>
      <c r="T3834">
        <v>-0.10605580000000001</v>
      </c>
      <c r="U3834">
        <v>-0.2525635</v>
      </c>
      <c r="V3834">
        <v>6.7324640000000005E-2</v>
      </c>
      <c r="W3834">
        <v>1.8793259999999999E-2</v>
      </c>
      <c r="X3834">
        <v>0.997554099999999</v>
      </c>
      <c r="Y3834">
        <v>0.12824449999999901</v>
      </c>
      <c r="Z3834">
        <v>9.6716730000000004E-3</v>
      </c>
      <c r="AA3834">
        <v>0.9916954</v>
      </c>
      <c r="AB3834">
        <v>22</v>
      </c>
      <c r="AC3834">
        <v>-30.9282</v>
      </c>
      <c r="AD3834">
        <v>-1.102705726455</v>
      </c>
      <c r="AE3834">
        <v>-2.5792999999999799</v>
      </c>
      <c r="AF3834">
        <v>4.0094309842009102</v>
      </c>
      <c r="AG3834">
        <v>-1.102705726455</v>
      </c>
      <c r="AH3834">
        <v>30.736029093720301</v>
      </c>
      <c r="AI3834">
        <v>92.037452031852595</v>
      </c>
      <c r="AJ3834">
        <v>82.567888710482706</v>
      </c>
      <c r="AK3834">
        <v>31.016043931911302</v>
      </c>
    </row>
    <row r="3835" spans="1:37" x14ac:dyDescent="0.2">
      <c r="A3835" t="str">
        <f>"20200111155926196"</f>
        <v>20200111155926196</v>
      </c>
      <c r="B3835" t="str">
        <f>"1578729566186070"</f>
        <v>1578729566186070</v>
      </c>
      <c r="C3835" t="s">
        <v>37</v>
      </c>
      <c r="D3835">
        <v>5.6928929999999998</v>
      </c>
      <c r="E3835">
        <v>0.46763179999999999</v>
      </c>
      <c r="F3835" t="s">
        <v>38</v>
      </c>
      <c r="G3835">
        <v>-217.8449</v>
      </c>
      <c r="H3835">
        <v>1.0368029999999999</v>
      </c>
      <c r="I3835">
        <v>145.28149999999999</v>
      </c>
      <c r="J3835">
        <v>-217.2561</v>
      </c>
      <c r="K3835">
        <v>1.102617</v>
      </c>
      <c r="L3835">
        <v>145.4299</v>
      </c>
      <c r="M3835">
        <v>-0.97765930000000001</v>
      </c>
      <c r="N3835">
        <v>0</v>
      </c>
      <c r="O3835">
        <v>-0.21013470000000001</v>
      </c>
      <c r="P3835">
        <v>-0.98878480000000002</v>
      </c>
      <c r="Q3835">
        <v>1.432902E-2</v>
      </c>
      <c r="R3835">
        <v>-0.14865809999999999</v>
      </c>
      <c r="S3835">
        <v>-2.9320369999999998</v>
      </c>
      <c r="T3835">
        <v>-0.2401296</v>
      </c>
      <c r="U3835">
        <v>-0.70677190000000001</v>
      </c>
      <c r="V3835">
        <v>6.24781999999999E-2</v>
      </c>
      <c r="W3835">
        <v>1.9257130000000001E-2</v>
      </c>
      <c r="X3835">
        <v>0.99786059999999999</v>
      </c>
      <c r="Y3835">
        <v>-2.539079E-2</v>
      </c>
      <c r="Z3835">
        <v>1.5716339999999999E-2</v>
      </c>
      <c r="AA3835">
        <v>0.99955400000000005</v>
      </c>
      <c r="AB3835">
        <v>22</v>
      </c>
      <c r="AC3835">
        <v>-0.588799999999992</v>
      </c>
      <c r="AD3835">
        <v>-6.5813999999999803E-2</v>
      </c>
      <c r="AE3835">
        <v>-0.148400000000009</v>
      </c>
      <c r="AF3835">
        <v>-2.1109613149507201E-2</v>
      </c>
      <c r="AG3835">
        <v>-6.5813999999999803E-2</v>
      </c>
      <c r="AH3835">
        <v>0.59979139524642999</v>
      </c>
      <c r="AI3835">
        <v>96.258064467011707</v>
      </c>
      <c r="AJ3835">
        <v>92.015688669168895</v>
      </c>
      <c r="AK3835">
        <v>0.603760561957289</v>
      </c>
    </row>
    <row r="3836" spans="1:37" x14ac:dyDescent="0.2">
      <c r="A3836" t="str">
        <f>"20200111155926218"</f>
        <v>20200111155926218</v>
      </c>
      <c r="B3836" t="str">
        <f>"1578729566216327"</f>
        <v>1578729566216327</v>
      </c>
      <c r="C3836" t="s">
        <v>37</v>
      </c>
      <c r="D3836">
        <v>5.6505609999999997</v>
      </c>
      <c r="E3836">
        <v>0.4679237</v>
      </c>
      <c r="F3836" t="s">
        <v>39</v>
      </c>
      <c r="G3836">
        <v>-231.1618</v>
      </c>
      <c r="H3836" s="1">
        <v>-4.3046969999999998E-6</v>
      </c>
      <c r="I3836">
        <v>142.0069</v>
      </c>
      <c r="J3836">
        <v>-217.46799999999999</v>
      </c>
      <c r="K3836">
        <v>1.1025240000000001</v>
      </c>
      <c r="L3836">
        <v>145.38570000000001</v>
      </c>
      <c r="M3836">
        <v>-0.97792979999999996</v>
      </c>
      <c r="N3836">
        <v>0</v>
      </c>
      <c r="O3836">
        <v>-0.20887839999999999</v>
      </c>
      <c r="P3836">
        <v>-0.98849419999999899</v>
      </c>
      <c r="Q3836">
        <v>1.561823E-2</v>
      </c>
      <c r="R3836">
        <v>-0.15045220000000001</v>
      </c>
      <c r="S3836">
        <v>-2.929001</v>
      </c>
      <c r="T3836">
        <v>-0.23224879999999901</v>
      </c>
      <c r="U3836">
        <v>-0.72099299999999999</v>
      </c>
      <c r="V3836">
        <v>5.9386120000000001E-2</v>
      </c>
      <c r="W3836">
        <v>2.0313600000000001E-2</v>
      </c>
      <c r="X3836">
        <v>0.99802839999999904</v>
      </c>
      <c r="Y3836">
        <v>-3.1434570000000002E-2</v>
      </c>
      <c r="Z3836">
        <v>1.4875899999999999E-2</v>
      </c>
      <c r="AA3836">
        <v>0.99939509999999898</v>
      </c>
      <c r="AB3836">
        <v>22</v>
      </c>
      <c r="AC3836">
        <v>-13.6938</v>
      </c>
      <c r="AD3836">
        <v>-1.102528304697</v>
      </c>
      <c r="AE3836">
        <v>-3.3788000000000098</v>
      </c>
      <c r="AF3836">
        <v>-0.441199428815858</v>
      </c>
      <c r="AG3836">
        <v>-1.102528304697</v>
      </c>
      <c r="AH3836">
        <v>14.011879105152101</v>
      </c>
      <c r="AI3836">
        <v>94.496843749725301</v>
      </c>
      <c r="AJ3836">
        <v>91.803506553726805</v>
      </c>
      <c r="AK3836">
        <v>14.062111564627999</v>
      </c>
    </row>
    <row r="3837" spans="1:37" x14ac:dyDescent="0.2">
      <c r="A3837" t="str">
        <f>"20200111155926241"</f>
        <v>20200111155926241</v>
      </c>
      <c r="B3837" t="str">
        <f>"1578729566235847"</f>
        <v>1578729566235847</v>
      </c>
      <c r="C3837" t="s">
        <v>37</v>
      </c>
      <c r="D3837">
        <v>5.7013550000000004</v>
      </c>
      <c r="E3837">
        <v>0.4687036</v>
      </c>
      <c r="F3837" t="s">
        <v>39</v>
      </c>
      <c r="G3837">
        <v>-232.2354</v>
      </c>
      <c r="H3837" s="1">
        <v>-3.8773610000000003E-6</v>
      </c>
      <c r="I3837">
        <v>141.73609999999999</v>
      </c>
      <c r="J3837">
        <v>-217.7039</v>
      </c>
      <c r="K3837">
        <v>1.102406</v>
      </c>
      <c r="L3837">
        <v>145.33699999999999</v>
      </c>
      <c r="M3837">
        <v>-0.97825430000000002</v>
      </c>
      <c r="N3837">
        <v>0</v>
      </c>
      <c r="O3837">
        <v>-0.2073586</v>
      </c>
      <c r="P3837">
        <v>-0.98827699999999996</v>
      </c>
      <c r="Q3837">
        <v>1.751113E-2</v>
      </c>
      <c r="R3837">
        <v>-0.1516651</v>
      </c>
      <c r="S3837">
        <v>-2.928223</v>
      </c>
      <c r="T3837">
        <v>-0.21862129999999899</v>
      </c>
      <c r="U3837">
        <v>-0.72366330000000001</v>
      </c>
      <c r="V3837">
        <v>5.6611670000000003E-2</v>
      </c>
      <c r="W3837">
        <v>2.1957839999999999E-2</v>
      </c>
      <c r="X3837">
        <v>0.99815480000000001</v>
      </c>
      <c r="Y3837">
        <v>-3.3840370000000002E-2</v>
      </c>
      <c r="Z3837">
        <v>1.381042E-2</v>
      </c>
      <c r="AA3837">
        <v>0.99933179999999999</v>
      </c>
      <c r="AB3837">
        <v>23</v>
      </c>
      <c r="AC3837">
        <v>-14.5314999999999</v>
      </c>
      <c r="AD3837">
        <v>-1.102409877361</v>
      </c>
      <c r="AE3837">
        <v>-3.6009000000000202</v>
      </c>
      <c r="AF3837">
        <v>-0.50662267991728505</v>
      </c>
      <c r="AG3837">
        <v>-1.102409877361</v>
      </c>
      <c r="AH3837">
        <v>14.881643686147401</v>
      </c>
      <c r="AI3837">
        <v>94.234203147023706</v>
      </c>
      <c r="AJ3837">
        <v>91.949793715757906</v>
      </c>
      <c r="AK3837">
        <v>14.9310178112198</v>
      </c>
    </row>
    <row r="3838" spans="1:37" x14ac:dyDescent="0.2">
      <c r="A3838" t="str">
        <f>"20200111155926265"</f>
        <v>20200111155926265</v>
      </c>
      <c r="B3838" t="str">
        <f>"1578729566256342"</f>
        <v>1578729566256342</v>
      </c>
      <c r="C3838" t="s">
        <v>37</v>
      </c>
      <c r="D3838">
        <v>5.6821320000000002</v>
      </c>
      <c r="E3838">
        <v>0.46923509999999902</v>
      </c>
      <c r="F3838" t="s">
        <v>39</v>
      </c>
      <c r="G3838">
        <v>-233.1447</v>
      </c>
      <c r="H3838" s="1">
        <v>-3.4333779999999998E-6</v>
      </c>
      <c r="I3838">
        <v>141.53360000000001</v>
      </c>
      <c r="J3838">
        <v>-217.9425</v>
      </c>
      <c r="K3838">
        <v>1.10229</v>
      </c>
      <c r="L3838">
        <v>145.28819999999999</v>
      </c>
      <c r="M3838">
        <v>-0.97860709999999995</v>
      </c>
      <c r="N3838">
        <v>0</v>
      </c>
      <c r="O3838">
        <v>-0.2056925</v>
      </c>
      <c r="P3838">
        <v>-0.98838559999999998</v>
      </c>
      <c r="Q3838">
        <v>1.9777690000000001E-2</v>
      </c>
      <c r="R3838">
        <v>-0.15067510000000001</v>
      </c>
      <c r="S3838">
        <v>-2.928604</v>
      </c>
      <c r="T3838">
        <v>-0.2090912</v>
      </c>
      <c r="U3838">
        <v>-0.72137450000000003</v>
      </c>
      <c r="V3838">
        <v>5.5912740000000002E-2</v>
      </c>
      <c r="W3838">
        <v>2.3978619999999999E-2</v>
      </c>
      <c r="X3838">
        <v>0.99814769999999897</v>
      </c>
      <c r="Y3838">
        <v>-3.4732310000000002E-2</v>
      </c>
      <c r="Z3838">
        <v>1.30647E-2</v>
      </c>
      <c r="AA3838">
        <v>0.99931130000000001</v>
      </c>
      <c r="AB3838">
        <v>23</v>
      </c>
      <c r="AC3838">
        <v>-15.202199999999999</v>
      </c>
      <c r="AD3838">
        <v>-1.1022934333779999</v>
      </c>
      <c r="AE3838">
        <v>-3.75459999999998</v>
      </c>
      <c r="AF3838">
        <v>-0.54460615335472895</v>
      </c>
      <c r="AG3838">
        <v>-1.1022934333779999</v>
      </c>
      <c r="AH3838">
        <v>15.572255861267401</v>
      </c>
      <c r="AI3838">
        <v>94.046504077071305</v>
      </c>
      <c r="AJ3838">
        <v>92.002980298191602</v>
      </c>
      <c r="AK3838">
        <v>15.620716990084601</v>
      </c>
    </row>
    <row r="3839" spans="1:37" x14ac:dyDescent="0.2">
      <c r="A3839" t="str">
        <f>"20200111155926286"</f>
        <v>20200111155926286</v>
      </c>
      <c r="B3839" t="str">
        <f>"1578729566275862"</f>
        <v>1578729566275862</v>
      </c>
      <c r="C3839" t="s">
        <v>37</v>
      </c>
      <c r="D3839">
        <v>5.6036149999999996</v>
      </c>
      <c r="E3839">
        <v>0.46952470000000002</v>
      </c>
      <c r="F3839" t="s">
        <v>39</v>
      </c>
      <c r="G3839">
        <v>-233.93450000000001</v>
      </c>
      <c r="H3839" s="1">
        <v>-3.0561389999999999E-6</v>
      </c>
      <c r="I3839">
        <v>141.38919999999999</v>
      </c>
      <c r="J3839">
        <v>-218.1568</v>
      </c>
      <c r="K3839">
        <v>1.102182</v>
      </c>
      <c r="L3839">
        <v>145.2449</v>
      </c>
      <c r="M3839">
        <v>-0.97894590000000004</v>
      </c>
      <c r="N3839">
        <v>0</v>
      </c>
      <c r="O3839">
        <v>-0.20407819999999999</v>
      </c>
      <c r="P3839">
        <v>-0.98859640000000004</v>
      </c>
      <c r="Q3839">
        <v>2.1772329999999999E-2</v>
      </c>
      <c r="R3839">
        <v>-0.1490078</v>
      </c>
      <c r="S3839">
        <v>-2.930374</v>
      </c>
      <c r="T3839">
        <v>-0.20198479999999999</v>
      </c>
      <c r="U3839">
        <v>-0.71444700000000005</v>
      </c>
      <c r="V3839">
        <v>5.5951420000000002E-2</v>
      </c>
      <c r="W3839">
        <v>2.5764289999999999E-2</v>
      </c>
      <c r="X3839">
        <v>0.99810100000000002</v>
      </c>
      <c r="Y3839">
        <v>-3.3983310000000003E-2</v>
      </c>
      <c r="Z3839">
        <v>1.2537599999999999E-2</v>
      </c>
      <c r="AA3839">
        <v>0.9993438</v>
      </c>
      <c r="AB3839">
        <v>23</v>
      </c>
      <c r="AC3839">
        <v>-15.777699999999999</v>
      </c>
      <c r="AD3839">
        <v>-1.1021850561390001</v>
      </c>
      <c r="AE3839">
        <v>-3.8557000000000099</v>
      </c>
      <c r="AF3839">
        <v>-0.55209938553653903</v>
      </c>
      <c r="AG3839">
        <v>-1.1021850561390001</v>
      </c>
      <c r="AH3839">
        <v>16.158108876311498</v>
      </c>
      <c r="AI3839">
        <v>93.899974836234605</v>
      </c>
      <c r="AJ3839">
        <v>91.956953200577303</v>
      </c>
      <c r="AK3839">
        <v>16.2050642728816</v>
      </c>
    </row>
    <row r="3840" spans="1:37" x14ac:dyDescent="0.2">
      <c r="A3840" t="str">
        <f>"20200111155926308"</f>
        <v>20200111155926308</v>
      </c>
      <c r="B3840" t="str">
        <f>"1578729566296358"</f>
        <v>1578729566296358</v>
      </c>
      <c r="C3840" t="s">
        <v>37</v>
      </c>
      <c r="D3840">
        <v>5.7057089999999997</v>
      </c>
      <c r="E3840">
        <v>0.47025470000000003</v>
      </c>
      <c r="F3840" t="s">
        <v>39</v>
      </c>
      <c r="G3840">
        <v>-234.7321</v>
      </c>
      <c r="H3840" s="1">
        <v>-2.67577299999999E-6</v>
      </c>
      <c r="I3840">
        <v>141.2457</v>
      </c>
      <c r="J3840">
        <v>-218.37950000000001</v>
      </c>
      <c r="K3840">
        <v>1.1020749999999999</v>
      </c>
      <c r="L3840">
        <v>145.20050000000001</v>
      </c>
      <c r="M3840">
        <v>-0.97931630000000003</v>
      </c>
      <c r="N3840">
        <v>0</v>
      </c>
      <c r="O3840">
        <v>-0.20229649999999999</v>
      </c>
      <c r="P3840">
        <v>-0.98898149999999996</v>
      </c>
      <c r="Q3840">
        <v>2.3660239999999999E-2</v>
      </c>
      <c r="R3840">
        <v>-0.14613609999999999</v>
      </c>
      <c r="S3840">
        <v>-2.9322360000000001</v>
      </c>
      <c r="T3840">
        <v>-0.19498109999999999</v>
      </c>
      <c r="U3840">
        <v>-0.70747380000000004</v>
      </c>
      <c r="V3840">
        <v>5.7035500000000003E-2</v>
      </c>
      <c r="W3840">
        <v>2.7447889999999999E-2</v>
      </c>
      <c r="X3840">
        <v>0.99799479999999996</v>
      </c>
      <c r="Y3840">
        <v>-3.3383629999999997E-2</v>
      </c>
      <c r="Z3840">
        <v>1.200669E-2</v>
      </c>
      <c r="AA3840">
        <v>0.99937049999999905</v>
      </c>
      <c r="AB3840">
        <v>23</v>
      </c>
      <c r="AC3840">
        <v>-16.352599999999899</v>
      </c>
      <c r="AD3840">
        <v>-1.102077675773</v>
      </c>
      <c r="AE3840">
        <v>-3.9548000000000001</v>
      </c>
      <c r="AF3840">
        <v>-0.56251700209109201</v>
      </c>
      <c r="AG3840">
        <v>-1.102077675773</v>
      </c>
      <c r="AH3840">
        <v>16.742698124058901</v>
      </c>
      <c r="AI3840">
        <v>93.763908405563399</v>
      </c>
      <c r="AJ3840">
        <v>91.924285499193601</v>
      </c>
      <c r="AK3840">
        <v>16.7883573066111</v>
      </c>
    </row>
    <row r="3841" spans="1:37" x14ac:dyDescent="0.2">
      <c r="A3841" t="str">
        <f>"20200111155926330"</f>
        <v>20200111155926330</v>
      </c>
      <c r="B3841" t="str">
        <f>"1578729566325638"</f>
        <v>1578729566325638</v>
      </c>
      <c r="C3841" t="s">
        <v>37</v>
      </c>
      <c r="D3841">
        <v>5.6855729999999998</v>
      </c>
      <c r="E3841">
        <v>0.470915799999999</v>
      </c>
      <c r="F3841" t="s">
        <v>39</v>
      </c>
      <c r="G3841">
        <v>-235.43530000000001</v>
      </c>
      <c r="H3841" s="1">
        <v>-2.354307E-6</v>
      </c>
      <c r="I3841">
        <v>141.1712</v>
      </c>
      <c r="J3841">
        <v>-218.61699999999999</v>
      </c>
      <c r="K3841">
        <v>1.1019729999999901</v>
      </c>
      <c r="L3841">
        <v>145.15360000000001</v>
      </c>
      <c r="M3841">
        <v>-0.9797266</v>
      </c>
      <c r="N3841">
        <v>0</v>
      </c>
      <c r="O3841">
        <v>-0.20030390000000001</v>
      </c>
      <c r="P3841">
        <v>-0.98942269999999899</v>
      </c>
      <c r="Q3841">
        <v>2.5367819999999999E-2</v>
      </c>
      <c r="R3841">
        <v>-0.14282549999999999</v>
      </c>
      <c r="S3841">
        <v>-2.9355009999999999</v>
      </c>
      <c r="T3841">
        <v>-0.18968019999999999</v>
      </c>
      <c r="U3841">
        <v>-0.69346619999999903</v>
      </c>
      <c r="V3841">
        <v>5.8346660000000002E-2</v>
      </c>
      <c r="W3841">
        <v>2.895648E-2</v>
      </c>
      <c r="X3841">
        <v>0.99787630000000005</v>
      </c>
      <c r="Y3841">
        <v>-3.0634430000000001E-2</v>
      </c>
      <c r="Z3841">
        <v>1.1640309999999999E-2</v>
      </c>
      <c r="AA3841">
        <v>0.99946290000000004</v>
      </c>
      <c r="AB3841">
        <v>23</v>
      </c>
      <c r="AC3841">
        <v>-16.818299999999901</v>
      </c>
      <c r="AD3841">
        <v>-1.1019753543070001</v>
      </c>
      <c r="AE3841">
        <v>-3.9824000000000099</v>
      </c>
      <c r="AF3841">
        <v>-0.53073831392688298</v>
      </c>
      <c r="AG3841">
        <v>-1.1019753543070001</v>
      </c>
      <c r="AH3841">
        <v>17.205204798586902</v>
      </c>
      <c r="AI3841">
        <v>93.662991291623698</v>
      </c>
      <c r="AJ3841">
        <v>91.766873792649804</v>
      </c>
      <c r="AK3841">
        <v>17.248626177197</v>
      </c>
    </row>
    <row r="3842" spans="1:37" x14ac:dyDescent="0.2">
      <c r="A3842" t="str">
        <f>"20200111155926352"</f>
        <v>20200111155926352</v>
      </c>
      <c r="B3842" t="str">
        <f>"1578729566346135"</f>
        <v>1578729566346135</v>
      </c>
      <c r="C3842" t="s">
        <v>37</v>
      </c>
      <c r="D3842">
        <v>5.6715980000000004</v>
      </c>
      <c r="E3842">
        <v>0.47106979999999998</v>
      </c>
      <c r="F3842" t="s">
        <v>39</v>
      </c>
      <c r="G3842">
        <v>-235.9683</v>
      </c>
      <c r="H3842" s="1">
        <v>-2.119248E-6</v>
      </c>
      <c r="I3842">
        <v>141.14709999999999</v>
      </c>
      <c r="J3842">
        <v>-218.85669999999999</v>
      </c>
      <c r="K3842">
        <v>1.101882</v>
      </c>
      <c r="L3842">
        <v>145.1069</v>
      </c>
      <c r="M3842">
        <v>-0.98015229999999998</v>
      </c>
      <c r="N3842">
        <v>0</v>
      </c>
      <c r="O3842">
        <v>-0.1982131</v>
      </c>
      <c r="P3842">
        <v>-0.98991810000000002</v>
      </c>
      <c r="Q3842">
        <v>2.635697E-2</v>
      </c>
      <c r="R3842">
        <v>-0.13916770000000001</v>
      </c>
      <c r="S3842">
        <v>-2.938904</v>
      </c>
      <c r="T3842">
        <v>-0.1866497</v>
      </c>
      <c r="U3842">
        <v>-0.67858890000000005</v>
      </c>
      <c r="V3842">
        <v>5.9908160000000002E-2</v>
      </c>
      <c r="W3842">
        <v>2.9758650000000001E-2</v>
      </c>
      <c r="X3842">
        <v>0.99776019999999899</v>
      </c>
      <c r="Y3842">
        <v>-2.7701150000000001E-2</v>
      </c>
      <c r="Z3842">
        <v>1.1414250000000001E-2</v>
      </c>
      <c r="AA3842">
        <v>0.99955110000000003</v>
      </c>
      <c r="AB3842">
        <v>24</v>
      </c>
      <c r="AC3842">
        <v>-17.111599999999999</v>
      </c>
      <c r="AD3842">
        <v>-1.101884119248</v>
      </c>
      <c r="AE3842">
        <v>-3.9598</v>
      </c>
      <c r="AF3842">
        <v>-0.48754808467185801</v>
      </c>
      <c r="AG3842">
        <v>-1.101884119248</v>
      </c>
      <c r="AH3842">
        <v>17.4881425939436</v>
      </c>
      <c r="AI3842">
        <v>93.603901281674794</v>
      </c>
      <c r="AJ3842">
        <v>91.596922809525694</v>
      </c>
      <c r="AK3842">
        <v>17.529603051216601</v>
      </c>
    </row>
    <row r="3843" spans="1:37" x14ac:dyDescent="0.2">
      <c r="A3843" t="str">
        <f>"20200111155926375"</f>
        <v>20200111155926375</v>
      </c>
      <c r="B3843" t="str">
        <f>"1578729566365654"</f>
        <v>1578729566365654</v>
      </c>
      <c r="C3843" t="s">
        <v>37</v>
      </c>
      <c r="D3843">
        <v>6.1547219999999996</v>
      </c>
      <c r="E3843">
        <v>0.47114609999999901</v>
      </c>
      <c r="F3843" t="s">
        <v>39</v>
      </c>
      <c r="G3843">
        <v>-236.459</v>
      </c>
      <c r="H3843" s="1">
        <v>-1.9010659999999901E-6</v>
      </c>
      <c r="I3843">
        <v>141.11850000000001</v>
      </c>
      <c r="J3843">
        <v>-219.08609999999999</v>
      </c>
      <c r="K3843">
        <v>1.1017939999999999</v>
      </c>
      <c r="L3843">
        <v>145.06280000000001</v>
      </c>
      <c r="M3843">
        <v>-0.98056939999999904</v>
      </c>
      <c r="N3843">
        <v>0</v>
      </c>
      <c r="O3843">
        <v>-0.19614319999999999</v>
      </c>
      <c r="P3843">
        <v>-0.9902725</v>
      </c>
      <c r="Q3843">
        <v>2.7671359999999999E-2</v>
      </c>
      <c r="R3843">
        <v>-0.13636509999999999</v>
      </c>
      <c r="S3843">
        <v>-2.941757</v>
      </c>
      <c r="T3843">
        <v>-0.18415049999999999</v>
      </c>
      <c r="U3843">
        <v>-0.66654969999999902</v>
      </c>
      <c r="V3843">
        <v>6.0626850000000003E-2</v>
      </c>
      <c r="W3843">
        <v>3.090445E-2</v>
      </c>
      <c r="X3843">
        <v>0.99768199999999996</v>
      </c>
      <c r="Y3843">
        <v>-2.5703170000000001E-2</v>
      </c>
      <c r="Z3843">
        <v>1.1194519999999999E-2</v>
      </c>
      <c r="AA3843">
        <v>0.99960700000000002</v>
      </c>
      <c r="AB3843">
        <v>24</v>
      </c>
      <c r="AC3843">
        <v>-17.372900000000001</v>
      </c>
      <c r="AD3843">
        <v>-1.1017959010659999</v>
      </c>
      <c r="AE3843">
        <v>-3.9442999999999899</v>
      </c>
      <c r="AF3843">
        <v>-0.45833321371232499</v>
      </c>
      <c r="AG3843">
        <v>-1.1017959010659999</v>
      </c>
      <c r="AH3843">
        <v>17.741224267324501</v>
      </c>
      <c r="AI3843">
        <v>93.552534325757307</v>
      </c>
      <c r="AJ3843">
        <v>91.479870750478298</v>
      </c>
      <c r="AK3843">
        <v>17.781312157596901</v>
      </c>
    </row>
    <row r="3844" spans="1:37" x14ac:dyDescent="0.2">
      <c r="A3844" t="str">
        <f>"20200111155926396"</f>
        <v>20200111155926396</v>
      </c>
      <c r="B3844" t="str">
        <f>"1578729566386151"</f>
        <v>1578729566386151</v>
      </c>
      <c r="C3844" t="s">
        <v>37</v>
      </c>
      <c r="D3844">
        <v>5.6947390000000002</v>
      </c>
      <c r="E3844">
        <v>0.47036450000000002</v>
      </c>
      <c r="F3844" t="s">
        <v>39</v>
      </c>
      <c r="G3844">
        <v>-237.00749999999999</v>
      </c>
      <c r="H3844" s="1">
        <v>-1.6501599999999901E-6</v>
      </c>
      <c r="I3844">
        <v>141.05969999999999</v>
      </c>
      <c r="J3844">
        <v>-219.3203</v>
      </c>
      <c r="K3844">
        <v>1.1017170000000001</v>
      </c>
      <c r="L3844">
        <v>145.01830000000001</v>
      </c>
      <c r="M3844">
        <v>-0.98100299999999996</v>
      </c>
      <c r="N3844">
        <v>0</v>
      </c>
      <c r="O3844">
        <v>-0.1939652</v>
      </c>
      <c r="P3844">
        <v>-0.99048630000000004</v>
      </c>
      <c r="Q3844">
        <v>2.8278350000000001E-2</v>
      </c>
      <c r="R3844">
        <v>-0.1346754</v>
      </c>
      <c r="S3844">
        <v>-2.9439850000000001</v>
      </c>
      <c r="T3844">
        <v>-0.18099409999999999</v>
      </c>
      <c r="U3844">
        <v>-0.65757749999999904</v>
      </c>
      <c r="V3844">
        <v>6.0115689999999999E-2</v>
      </c>
      <c r="W3844">
        <v>3.1346249999999999E-2</v>
      </c>
      <c r="X3844">
        <v>0.99769909999999995</v>
      </c>
      <c r="Y3844">
        <v>-2.484739E-2</v>
      </c>
      <c r="Z3844">
        <v>1.089654E-2</v>
      </c>
      <c r="AA3844">
        <v>0.99963189999999902</v>
      </c>
      <c r="AB3844">
        <v>24</v>
      </c>
      <c r="AC3844">
        <v>-17.687199999999901</v>
      </c>
      <c r="AD3844">
        <v>-1.10171865016</v>
      </c>
      <c r="AE3844">
        <v>-3.9586000000000099</v>
      </c>
      <c r="AF3844">
        <v>-0.45103309644744</v>
      </c>
      <c r="AG3844">
        <v>-1.10171865016</v>
      </c>
      <c r="AH3844">
        <v>18.052422198310101</v>
      </c>
      <c r="AI3844">
        <v>93.491277485263694</v>
      </c>
      <c r="AJ3844">
        <v>91.431216120646795</v>
      </c>
      <c r="AK3844">
        <v>18.091632376992401</v>
      </c>
    </row>
    <row r="3845" spans="1:37" x14ac:dyDescent="0.2">
      <c r="A3845" t="str">
        <f>"20200111155926419"</f>
        <v>20200111155926419</v>
      </c>
      <c r="B3845" t="str">
        <f>"1578729566416407"</f>
        <v>1578729566416407</v>
      </c>
      <c r="C3845" t="s">
        <v>37</v>
      </c>
      <c r="D3845">
        <v>5.822997</v>
      </c>
      <c r="E3845">
        <v>0.47204940000000001</v>
      </c>
      <c r="F3845" t="s">
        <v>39</v>
      </c>
      <c r="G3845">
        <v>-267.75869999999998</v>
      </c>
      <c r="H3845" s="1">
        <v>-2.1587950000000001E-6</v>
      </c>
      <c r="I3845">
        <v>134.3169</v>
      </c>
      <c r="J3845">
        <v>-219.5591</v>
      </c>
      <c r="K3845">
        <v>1.101634</v>
      </c>
      <c r="L3845">
        <v>144.9735</v>
      </c>
      <c r="M3845">
        <v>-0.98145099999999996</v>
      </c>
      <c r="N3845">
        <v>0</v>
      </c>
      <c r="O3845">
        <v>-0.19168840000000001</v>
      </c>
      <c r="P3845">
        <v>-0.9906623</v>
      </c>
      <c r="Q3845">
        <v>2.9115470000000001E-2</v>
      </c>
      <c r="R3845">
        <v>-0.13319520000000001</v>
      </c>
      <c r="S3845">
        <v>-2.94233699999999</v>
      </c>
      <c r="T3845">
        <v>-6.6922780000000001E-2</v>
      </c>
      <c r="U3845">
        <v>-0.6500397</v>
      </c>
      <c r="V3845">
        <v>5.92933E-2</v>
      </c>
      <c r="W3845">
        <v>3.2016349999999999E-2</v>
      </c>
      <c r="X3845">
        <v>0.99772700000000003</v>
      </c>
      <c r="Y3845">
        <v>-2.4588459999999999E-2</v>
      </c>
      <c r="Z3845">
        <v>3.9887400000000002E-3</v>
      </c>
      <c r="AA3845">
        <v>0.99968969999999902</v>
      </c>
      <c r="AB3845">
        <v>24</v>
      </c>
      <c r="AC3845">
        <v>-48.199599999999897</v>
      </c>
      <c r="AD3845">
        <v>-1.1016361587950001</v>
      </c>
      <c r="AE3845">
        <v>-10.6565999999999</v>
      </c>
      <c r="AF3845">
        <v>-1.21902518898481</v>
      </c>
      <c r="AG3845">
        <v>-1.1016361587950001</v>
      </c>
      <c r="AH3845">
        <v>49.323961204610498</v>
      </c>
      <c r="AI3845">
        <v>91.279081201626994</v>
      </c>
      <c r="AJ3845">
        <v>91.415757801474498</v>
      </c>
      <c r="AK3845">
        <v>49.351319876490301</v>
      </c>
    </row>
    <row r="3846" spans="1:37" x14ac:dyDescent="0.2">
      <c r="A3846" t="str">
        <f>"20200111155926441"</f>
        <v>20200111155926441</v>
      </c>
      <c r="B3846" t="str">
        <f>"1578729566435927"</f>
        <v>1578729566435927</v>
      </c>
      <c r="C3846" t="s">
        <v>37</v>
      </c>
      <c r="D3846">
        <v>5.7283289999999996</v>
      </c>
      <c r="E3846">
        <v>0.47107719999999997</v>
      </c>
      <c r="F3846" t="s">
        <v>39</v>
      </c>
      <c r="G3846">
        <v>-236.3218</v>
      </c>
      <c r="H3846" s="1">
        <v>-2.015024E-6</v>
      </c>
      <c r="I3846">
        <v>141.32550000000001</v>
      </c>
      <c r="J3846">
        <v>-219.80260000000001</v>
      </c>
      <c r="K3846">
        <v>1.1015489999999999</v>
      </c>
      <c r="L3846">
        <v>144.92850000000001</v>
      </c>
      <c r="M3846">
        <v>-0.98191070000000003</v>
      </c>
      <c r="N3846">
        <v>0</v>
      </c>
      <c r="O3846">
        <v>-0.18932179999999901</v>
      </c>
      <c r="P3846">
        <v>-0.99085579999999995</v>
      </c>
      <c r="Q3846">
        <v>2.94885999999999E-2</v>
      </c>
      <c r="R3846">
        <v>-0.1316638</v>
      </c>
      <c r="S3846">
        <v>-2.9477229999999999</v>
      </c>
      <c r="T3846">
        <v>-0.19372210000000001</v>
      </c>
      <c r="U3846">
        <v>-0.64147949999999998</v>
      </c>
      <c r="V3846">
        <v>5.843259E-2</v>
      </c>
      <c r="W3846">
        <v>3.2221760000000002E-2</v>
      </c>
      <c r="X3846">
        <v>0.99777119999999997</v>
      </c>
      <c r="Y3846">
        <v>-2.4136439999999999E-2</v>
      </c>
      <c r="Z3846">
        <v>1.138435E-2</v>
      </c>
      <c r="AA3846">
        <v>0.99964390000000003</v>
      </c>
      <c r="AB3846">
        <v>24</v>
      </c>
      <c r="AC3846">
        <v>-16.519199999999898</v>
      </c>
      <c r="AD3846">
        <v>-1.101551015024</v>
      </c>
      <c r="AE3846">
        <v>-3.6030000000000002</v>
      </c>
      <c r="AF3846">
        <v>-0.40864676064551197</v>
      </c>
      <c r="AG3846">
        <v>-1.101551015024</v>
      </c>
      <c r="AH3846">
        <v>16.831135462433402</v>
      </c>
      <c r="AI3846">
        <v>93.7434091785059</v>
      </c>
      <c r="AJ3846">
        <v>91.390823318508495</v>
      </c>
      <c r="AK3846">
        <v>16.872093165000901</v>
      </c>
    </row>
    <row r="3847" spans="1:37" x14ac:dyDescent="0.2">
      <c r="A3847" t="str">
        <f>"20200111155926464"</f>
        <v>20200111155926464</v>
      </c>
      <c r="B3847" t="str">
        <f>"1578729566456423"</f>
        <v>1578729566456423</v>
      </c>
      <c r="C3847" t="s">
        <v>37</v>
      </c>
      <c r="D3847">
        <v>5.7770950000000001</v>
      </c>
      <c r="E3847">
        <v>0.47005370000000002</v>
      </c>
      <c r="F3847" t="s">
        <v>39</v>
      </c>
      <c r="G3847">
        <v>-236.50409999999999</v>
      </c>
      <c r="H3847" s="1">
        <v>-1.9233150000000001E-6</v>
      </c>
      <c r="I3847">
        <v>141.2747</v>
      </c>
      <c r="J3847">
        <v>-220.04910000000001</v>
      </c>
      <c r="K3847">
        <v>1.1014790000000001</v>
      </c>
      <c r="L3847">
        <v>144.8835</v>
      </c>
      <c r="M3847">
        <v>-0.98237669999999999</v>
      </c>
      <c r="N3847">
        <v>0</v>
      </c>
      <c r="O3847">
        <v>-0.18689129999999901</v>
      </c>
      <c r="P3847">
        <v>-0.99098589999999998</v>
      </c>
      <c r="Q3847">
        <v>3.0325970000000001E-2</v>
      </c>
      <c r="R3847">
        <v>-0.13048889999999999</v>
      </c>
      <c r="S3847">
        <v>-2.947784</v>
      </c>
      <c r="T3847">
        <v>-0.19442190000000001</v>
      </c>
      <c r="U3847">
        <v>-0.64486690000000002</v>
      </c>
      <c r="V3847">
        <v>5.7147690000000001E-2</v>
      </c>
      <c r="W3847">
        <v>3.2899949999999997E-2</v>
      </c>
      <c r="X3847">
        <v>0.99782349999999997</v>
      </c>
      <c r="Y3847">
        <v>-2.769288E-2</v>
      </c>
      <c r="Z3847">
        <v>1.1153150000000001E-2</v>
      </c>
      <c r="AA3847">
        <v>0.99955430000000001</v>
      </c>
      <c r="AB3847">
        <v>24</v>
      </c>
      <c r="AC3847">
        <v>-16.454999999999899</v>
      </c>
      <c r="AD3847">
        <v>-1.101480923315</v>
      </c>
      <c r="AE3847">
        <v>-3.6088</v>
      </c>
      <c r="AF3847">
        <v>-0.46790610259065202</v>
      </c>
      <c r="AG3847">
        <v>-1.101480923315</v>
      </c>
      <c r="AH3847">
        <v>16.767840601041499</v>
      </c>
      <c r="AI3847">
        <v>93.756906731065598</v>
      </c>
      <c r="AJ3847">
        <v>91.598422250791003</v>
      </c>
      <c r="AK3847">
        <v>16.8104929959595</v>
      </c>
    </row>
    <row r="3848" spans="1:37" x14ac:dyDescent="0.2">
      <c r="A3848" t="str">
        <f>"20200111155926487"</f>
        <v>20200111155926487</v>
      </c>
      <c r="B3848" t="str">
        <f>"1578729566475943"</f>
        <v>1578729566475943</v>
      </c>
      <c r="C3848" t="s">
        <v>37</v>
      </c>
      <c r="D3848">
        <v>5.73996</v>
      </c>
      <c r="E3848">
        <v>0.4693814</v>
      </c>
      <c r="F3848" t="s">
        <v>39</v>
      </c>
      <c r="G3848">
        <v>-236.90719999999999</v>
      </c>
      <c r="H3848" s="1">
        <v>-1.7222279999999999E-6</v>
      </c>
      <c r="I3848">
        <v>141.16890000000001</v>
      </c>
      <c r="J3848">
        <v>-220.29669999999999</v>
      </c>
      <c r="K3848">
        <v>1.101413</v>
      </c>
      <c r="L3848">
        <v>144.8391</v>
      </c>
      <c r="M3848">
        <v>-0.98284280000000002</v>
      </c>
      <c r="N3848">
        <v>0</v>
      </c>
      <c r="O3848">
        <v>-0.1844267</v>
      </c>
      <c r="P3848">
        <v>-0.9912533</v>
      </c>
      <c r="Q3848">
        <v>3.100698E-2</v>
      </c>
      <c r="R3848">
        <v>-0.12827919999999901</v>
      </c>
      <c r="S3848">
        <v>-2.9476619999999998</v>
      </c>
      <c r="T3848">
        <v>-0.19259519999999999</v>
      </c>
      <c r="U3848">
        <v>-0.64949040000000002</v>
      </c>
      <c r="V3848">
        <v>5.6870869999999997E-2</v>
      </c>
      <c r="W3848">
        <v>3.3432280000000002E-2</v>
      </c>
      <c r="X3848">
        <v>0.99782159999999998</v>
      </c>
      <c r="Y3848">
        <v>-3.1685320000000003E-2</v>
      </c>
      <c r="Z3848">
        <v>1.076276E-2</v>
      </c>
      <c r="AA3848">
        <v>0.99944</v>
      </c>
      <c r="AB3848">
        <v>25</v>
      </c>
      <c r="AC3848">
        <v>-16.610499999999998</v>
      </c>
      <c r="AD3848">
        <v>-1.101414722228</v>
      </c>
      <c r="AE3848">
        <v>-3.6701999999999901</v>
      </c>
      <c r="AF3848">
        <v>-0.54154158725116597</v>
      </c>
      <c r="AG3848">
        <v>-1.101414722228</v>
      </c>
      <c r="AH3848">
        <v>16.931472292213702</v>
      </c>
      <c r="AI3848">
        <v>93.720025394476195</v>
      </c>
      <c r="AJ3848">
        <v>91.831941889390805</v>
      </c>
      <c r="AK3848">
        <v>16.975898670263799</v>
      </c>
    </row>
    <row r="3849" spans="1:37" x14ac:dyDescent="0.2">
      <c r="A3849" t="str">
        <f>"20200111155926510"</f>
        <v>20200111155926510</v>
      </c>
      <c r="B3849" t="str">
        <f>"1578729566506199"</f>
        <v>1578729566506199</v>
      </c>
      <c r="C3849" t="s">
        <v>37</v>
      </c>
      <c r="D3849">
        <v>5.7528670000000002</v>
      </c>
      <c r="E3849">
        <v>0.46858939999999999</v>
      </c>
      <c r="F3849" t="s">
        <v>39</v>
      </c>
      <c r="G3849">
        <v>-236.8937</v>
      </c>
      <c r="H3849" s="1">
        <v>-1.733394E-6</v>
      </c>
      <c r="I3849">
        <v>141.18899999999999</v>
      </c>
      <c r="J3849">
        <v>-220.54400000000001</v>
      </c>
      <c r="K3849">
        <v>1.1013520000000001</v>
      </c>
      <c r="L3849">
        <v>144.7953</v>
      </c>
      <c r="M3849">
        <v>-0.98330399999999996</v>
      </c>
      <c r="N3849">
        <v>0</v>
      </c>
      <c r="O3849">
        <v>-0.18195329999999901</v>
      </c>
      <c r="P3849">
        <v>-0.99163509999999999</v>
      </c>
      <c r="Q3849">
        <v>3.0848489999999999E-2</v>
      </c>
      <c r="R3849">
        <v>-0.12533449999999999</v>
      </c>
      <c r="S3849">
        <v>-2.94866899999999</v>
      </c>
      <c r="T3849">
        <v>-0.19568039999999901</v>
      </c>
      <c r="U3849">
        <v>-0.64846800000000004</v>
      </c>
      <c r="V3849">
        <v>5.732657E-2</v>
      </c>
      <c r="W3849">
        <v>3.3135379999999999E-2</v>
      </c>
      <c r="X3849">
        <v>0.99780550000000001</v>
      </c>
      <c r="Y3849">
        <v>-3.3798099999999998E-2</v>
      </c>
      <c r="Z3849">
        <v>1.0704119999999999E-2</v>
      </c>
      <c r="AA3849">
        <v>0.99937129999999996</v>
      </c>
      <c r="AB3849">
        <v>25</v>
      </c>
      <c r="AC3849">
        <v>-16.349699999999899</v>
      </c>
      <c r="AD3849">
        <v>-1.101353733394</v>
      </c>
      <c r="AE3849">
        <v>-3.6063000000000001</v>
      </c>
      <c r="AF3849">
        <v>-0.56874806693072699</v>
      </c>
      <c r="AG3849">
        <v>-1.101353733394</v>
      </c>
      <c r="AH3849">
        <v>16.6608616591488</v>
      </c>
      <c r="AI3849">
        <v>93.779796711338093</v>
      </c>
      <c r="AJ3849">
        <v>91.955133853019106</v>
      </c>
      <c r="AK3849">
        <v>16.706907722106902</v>
      </c>
    </row>
    <row r="3850" spans="1:37" x14ac:dyDescent="0.2">
      <c r="A3850" t="str">
        <f>"20200111155926531"</f>
        <v>20200111155926531</v>
      </c>
      <c r="B3850" t="str">
        <f>"1578729566525718"</f>
        <v>1578729566525718</v>
      </c>
      <c r="C3850" t="s">
        <v>37</v>
      </c>
      <c r="D3850">
        <v>5.7244859999999997</v>
      </c>
      <c r="E3850">
        <v>0.46828320000000001</v>
      </c>
      <c r="F3850" t="s">
        <v>39</v>
      </c>
      <c r="G3850">
        <v>-236.89699999999999</v>
      </c>
      <c r="H3850" s="1">
        <v>-1.738595E-6</v>
      </c>
      <c r="I3850">
        <v>141.214</v>
      </c>
      <c r="J3850">
        <v>-220.79470000000001</v>
      </c>
      <c r="K3850">
        <v>1.1012999999999999</v>
      </c>
      <c r="L3850">
        <v>144.7516</v>
      </c>
      <c r="M3850">
        <v>-0.98376569999999997</v>
      </c>
      <c r="N3850">
        <v>0</v>
      </c>
      <c r="O3850">
        <v>-0.17944179999999901</v>
      </c>
      <c r="P3850">
        <v>-0.9921179</v>
      </c>
      <c r="Q3850">
        <v>3.01424E-2</v>
      </c>
      <c r="R3850">
        <v>-0.12162919999999899</v>
      </c>
      <c r="S3850">
        <v>-2.9498139999999999</v>
      </c>
      <c r="T3850">
        <v>-0.19866610000000001</v>
      </c>
      <c r="U3850">
        <v>-0.64601140000000001</v>
      </c>
      <c r="V3850">
        <v>5.8508409999999997E-2</v>
      </c>
      <c r="W3850">
        <v>3.2298019999999997E-2</v>
      </c>
      <c r="X3850">
        <v>0.99776430000000005</v>
      </c>
      <c r="Y3850">
        <v>-3.5475270000000003E-2</v>
      </c>
      <c r="Z3850">
        <v>1.0645150000000001E-2</v>
      </c>
      <c r="AA3850">
        <v>0.99931380000000003</v>
      </c>
      <c r="AB3850">
        <v>25</v>
      </c>
      <c r="AC3850">
        <v>-16.1023</v>
      </c>
      <c r="AD3850">
        <v>-1.1013017385949999</v>
      </c>
      <c r="AE3850">
        <v>-3.5375999999999901</v>
      </c>
      <c r="AF3850">
        <v>-0.58812111185918103</v>
      </c>
      <c r="AG3850">
        <v>-1.1013017385949999</v>
      </c>
      <c r="AH3850">
        <v>16.402536457912699</v>
      </c>
      <c r="AI3850">
        <v>93.838737831472699</v>
      </c>
      <c r="AJ3850">
        <v>92.053489004737997</v>
      </c>
      <c r="AK3850">
        <v>16.4499834107759</v>
      </c>
    </row>
    <row r="3851" spans="1:37" x14ac:dyDescent="0.2">
      <c r="A3851" t="str">
        <f>"20200111155926554"</f>
        <v>20200111155926554</v>
      </c>
      <c r="B3851" t="str">
        <f>"1578729566546215"</f>
        <v>1578729566546215</v>
      </c>
      <c r="C3851" t="s">
        <v>37</v>
      </c>
      <c r="D3851">
        <v>5.733301</v>
      </c>
      <c r="E3851">
        <v>0.46791640000000001</v>
      </c>
      <c r="F3851" t="s">
        <v>39</v>
      </c>
      <c r="G3851">
        <v>-236.84229999999999</v>
      </c>
      <c r="H3851" s="1">
        <v>-1.7812469999999901E-6</v>
      </c>
      <c r="I3851">
        <v>141.2861</v>
      </c>
      <c r="J3851">
        <v>-221.05539999999999</v>
      </c>
      <c r="K3851">
        <v>1.101254</v>
      </c>
      <c r="L3851">
        <v>144.70689999999999</v>
      </c>
      <c r="M3851">
        <v>-0.98423859999999996</v>
      </c>
      <c r="N3851">
        <v>0</v>
      </c>
      <c r="O3851">
        <v>-0.1768315</v>
      </c>
      <c r="P3851">
        <v>-0.99258019999999902</v>
      </c>
      <c r="Q3851">
        <v>2.9570949999999999E-2</v>
      </c>
      <c r="R3851">
        <v>-0.1179417</v>
      </c>
      <c r="S3851">
        <v>-2.9518430000000002</v>
      </c>
      <c r="T3851">
        <v>-0.20257639999999999</v>
      </c>
      <c r="U3851">
        <v>-0.6374512</v>
      </c>
      <c r="V3851">
        <v>5.9571109999999997E-2</v>
      </c>
      <c r="W3851">
        <v>3.160172E-2</v>
      </c>
      <c r="X3851">
        <v>0.99772369999999899</v>
      </c>
      <c r="Y3851">
        <v>-3.5222459999999997E-2</v>
      </c>
      <c r="Z3851">
        <v>1.068649E-2</v>
      </c>
      <c r="AA3851">
        <v>0.99932240000000006</v>
      </c>
      <c r="AB3851">
        <v>25</v>
      </c>
      <c r="AC3851">
        <v>-15.786899999999999</v>
      </c>
      <c r="AD3851">
        <v>-1.1012557812470001</v>
      </c>
      <c r="AE3851">
        <v>-3.4207999999999799</v>
      </c>
      <c r="AF3851">
        <v>-0.57260224274906402</v>
      </c>
      <c r="AG3851">
        <v>-1.1012557812470001</v>
      </c>
      <c r="AH3851">
        <v>16.068338075661998</v>
      </c>
      <c r="AI3851">
        <v>93.918199572985998</v>
      </c>
      <c r="AJ3851">
        <v>92.040896509750795</v>
      </c>
      <c r="AK3851">
        <v>16.116206940154999</v>
      </c>
    </row>
    <row r="3852" spans="1:37" x14ac:dyDescent="0.2">
      <c r="A3852" t="str">
        <f>"20200111155926578"</f>
        <v>20200111155926578</v>
      </c>
      <c r="B3852" t="str">
        <f>"1578729566565735"</f>
        <v>1578729566565735</v>
      </c>
      <c r="C3852" t="s">
        <v>37</v>
      </c>
      <c r="D3852">
        <v>5.6961279999999999</v>
      </c>
      <c r="E3852">
        <v>0.46770519999999999</v>
      </c>
      <c r="F3852" t="s">
        <v>39</v>
      </c>
      <c r="G3852">
        <v>-236.98939999999999</v>
      </c>
      <c r="H3852" s="1">
        <v>-1.7252269999999999E-6</v>
      </c>
      <c r="I3852">
        <v>141.31270000000001</v>
      </c>
      <c r="J3852">
        <v>-221.31700000000001</v>
      </c>
      <c r="K3852">
        <v>1.101226</v>
      </c>
      <c r="L3852">
        <v>144.6627</v>
      </c>
      <c r="M3852">
        <v>-0.98470480000000005</v>
      </c>
      <c r="N3852">
        <v>0</v>
      </c>
      <c r="O3852">
        <v>-0.17421739999999999</v>
      </c>
      <c r="P3852">
        <v>-0.99296319999999905</v>
      </c>
      <c r="Q3852">
        <v>2.948425E-2</v>
      </c>
      <c r="R3852">
        <v>-0.114692899999999</v>
      </c>
      <c r="S3852">
        <v>-2.953751</v>
      </c>
      <c r="T3852">
        <v>-0.20414379999999999</v>
      </c>
      <c r="U3852">
        <v>-0.62918090000000004</v>
      </c>
      <c r="V3852">
        <v>6.0187869999999997E-2</v>
      </c>
      <c r="W3852">
        <v>3.1403449999999999E-2</v>
      </c>
      <c r="X3852">
        <v>0.99769289999999999</v>
      </c>
      <c r="Y3852">
        <v>-3.5067279999999999E-2</v>
      </c>
      <c r="Z3852">
        <v>1.0596639999999999E-2</v>
      </c>
      <c r="AA3852">
        <v>0.99932880000000002</v>
      </c>
      <c r="AB3852">
        <v>25</v>
      </c>
      <c r="AC3852">
        <v>-15.6723999999999</v>
      </c>
      <c r="AD3852">
        <v>-1.101227725227</v>
      </c>
      <c r="AE3852">
        <v>-3.3499999999999899</v>
      </c>
      <c r="AF3852">
        <v>-0.56568675871366203</v>
      </c>
      <c r="AG3852">
        <v>-1.101227725227</v>
      </c>
      <c r="AH3852">
        <v>15.941087951708599</v>
      </c>
      <c r="AI3852">
        <v>93.949298694557697</v>
      </c>
      <c r="AJ3852">
        <v>92.032349945430994</v>
      </c>
      <c r="AK3852">
        <v>15.989089689407001</v>
      </c>
    </row>
    <row r="3853" spans="1:37" x14ac:dyDescent="0.2">
      <c r="A3853" t="str">
        <f>"20200111155926600"</f>
        <v>20200111155926600</v>
      </c>
      <c r="B3853" t="str">
        <f>"1578729566595991"</f>
        <v>1578729566595991</v>
      </c>
      <c r="C3853" t="s">
        <v>37</v>
      </c>
      <c r="D3853">
        <v>5.7225419999999998</v>
      </c>
      <c r="E3853">
        <v>0.46711199999999897</v>
      </c>
      <c r="F3853" t="s">
        <v>39</v>
      </c>
      <c r="G3853">
        <v>-236.96260000000001</v>
      </c>
      <c r="H3853" s="1">
        <v>-1.753723E-6</v>
      </c>
      <c r="I3853">
        <v>141.3766</v>
      </c>
      <c r="J3853">
        <v>-221.57210000000001</v>
      </c>
      <c r="K3853">
        <v>1.1011919999999999</v>
      </c>
      <c r="L3853">
        <v>144.62029999999999</v>
      </c>
      <c r="M3853">
        <v>-0.98515119999999901</v>
      </c>
      <c r="N3853">
        <v>0</v>
      </c>
      <c r="O3853">
        <v>-0.17167579999999999</v>
      </c>
      <c r="P3853">
        <v>-0.99321079999999995</v>
      </c>
      <c r="Q3853">
        <v>3.030863E-2</v>
      </c>
      <c r="R3853">
        <v>-0.11231140000000001</v>
      </c>
      <c r="S3853">
        <v>-2.9557340000000001</v>
      </c>
      <c r="T3853">
        <v>-0.2080407</v>
      </c>
      <c r="U3853">
        <v>-0.62078859999999902</v>
      </c>
      <c r="V3853">
        <v>6.0006249999999997E-2</v>
      </c>
      <c r="W3853">
        <v>3.2139319999999999E-2</v>
      </c>
      <c r="X3853">
        <v>0.99768049999999997</v>
      </c>
      <c r="Y3853">
        <v>-3.4800240000000003E-2</v>
      </c>
      <c r="Z3853">
        <v>1.0631379999999999E-2</v>
      </c>
      <c r="AA3853">
        <v>0.9993377</v>
      </c>
      <c r="AB3853">
        <v>26</v>
      </c>
      <c r="AC3853">
        <v>-15.390499999999999</v>
      </c>
      <c r="AD3853">
        <v>-1.1011937537229901</v>
      </c>
      <c r="AE3853">
        <v>-3.2436999999999898</v>
      </c>
      <c r="AF3853">
        <v>-0.55066062708685704</v>
      </c>
      <c r="AG3853">
        <v>-1.1011937537229901</v>
      </c>
      <c r="AH3853">
        <v>15.6421965668537</v>
      </c>
      <c r="AI3853">
        <v>94.024432575917203</v>
      </c>
      <c r="AJ3853">
        <v>92.016181424170597</v>
      </c>
      <c r="AK3853">
        <v>15.6905757780125</v>
      </c>
    </row>
    <row r="3854" spans="1:37" x14ac:dyDescent="0.2">
      <c r="A3854" t="str">
        <f>"20200111155926623"</f>
        <v>20200111155926623</v>
      </c>
      <c r="B3854" t="str">
        <f>"1578729566616487"</f>
        <v>1578729566616487</v>
      </c>
      <c r="C3854" t="s">
        <v>37</v>
      </c>
      <c r="D3854">
        <v>5.6939140000000004</v>
      </c>
      <c r="E3854">
        <v>0.46663539999999998</v>
      </c>
      <c r="F3854" t="s">
        <v>39</v>
      </c>
      <c r="G3854">
        <v>-237.2835</v>
      </c>
      <c r="H3854" s="1">
        <v>-1.604758E-6</v>
      </c>
      <c r="I3854">
        <v>141.33410000000001</v>
      </c>
      <c r="J3854">
        <v>-221.83959999999999</v>
      </c>
      <c r="K3854">
        <v>1.1011580000000001</v>
      </c>
      <c r="L3854">
        <v>144.57650000000001</v>
      </c>
      <c r="M3854">
        <v>-0.98561010000000004</v>
      </c>
      <c r="N3854">
        <v>0</v>
      </c>
      <c r="O3854">
        <v>-0.16902200000000001</v>
      </c>
      <c r="P3854">
        <v>-0.99342809999999904</v>
      </c>
      <c r="Q3854">
        <v>3.0284930000000002E-2</v>
      </c>
      <c r="R3854">
        <v>-0.1103793</v>
      </c>
      <c r="S3854">
        <v>-2.9568939999999899</v>
      </c>
      <c r="T3854">
        <v>-0.20724519999999999</v>
      </c>
      <c r="U3854">
        <v>-0.61845399999999995</v>
      </c>
      <c r="V3854">
        <v>5.9260889999999997E-2</v>
      </c>
      <c r="W3854">
        <v>3.204829E-2</v>
      </c>
      <c r="X3854">
        <v>0.9977279</v>
      </c>
      <c r="Y3854">
        <v>-3.664419E-2</v>
      </c>
      <c r="Z3854">
        <v>1.034382E-2</v>
      </c>
      <c r="AA3854">
        <v>0.99927479999999902</v>
      </c>
      <c r="AB3854">
        <v>26</v>
      </c>
      <c r="AC3854">
        <v>-15.443899999999999</v>
      </c>
      <c r="AD3854">
        <v>-1.1011596047579999</v>
      </c>
      <c r="AE3854">
        <v>-3.2423999999999999</v>
      </c>
      <c r="AF3854">
        <v>-0.58254806157069705</v>
      </c>
      <c r="AG3854">
        <v>-1.1011596047579999</v>
      </c>
      <c r="AH3854">
        <v>15.6933213757726</v>
      </c>
      <c r="AI3854">
        <v>94.010964064385306</v>
      </c>
      <c r="AJ3854">
        <v>92.125886947762893</v>
      </c>
      <c r="AK3854">
        <v>15.7426887958338</v>
      </c>
    </row>
    <row r="3855" spans="1:37" x14ac:dyDescent="0.2">
      <c r="A3855" t="str">
        <f>"20200111155926645"</f>
        <v>20200111155926645</v>
      </c>
      <c r="B3855" t="str">
        <f>"1578729566636007"</f>
        <v>1578729566636007</v>
      </c>
      <c r="C3855" t="s">
        <v>37</v>
      </c>
      <c r="D3855">
        <v>5.7242839999999999</v>
      </c>
      <c r="E3855">
        <v>0.46639219999999998</v>
      </c>
      <c r="F3855" t="s">
        <v>39</v>
      </c>
      <c r="G3855">
        <v>-237.42619999999999</v>
      </c>
      <c r="H3855" s="1">
        <v>-1.541861E-6</v>
      </c>
      <c r="I3855">
        <v>141.32769999999999</v>
      </c>
      <c r="J3855">
        <v>-222.0915</v>
      </c>
      <c r="K3855">
        <v>1.1011299999999999</v>
      </c>
      <c r="L3855">
        <v>144.5359</v>
      </c>
      <c r="M3855">
        <v>-0.9860331</v>
      </c>
      <c r="N3855">
        <v>0</v>
      </c>
      <c r="O3855">
        <v>-0.16653799999999999</v>
      </c>
      <c r="P3855">
        <v>-0.99362839999999997</v>
      </c>
      <c r="Q3855">
        <v>2.959583E-2</v>
      </c>
      <c r="R3855">
        <v>-0.108753</v>
      </c>
      <c r="S3855">
        <v>-2.957703</v>
      </c>
      <c r="T3855">
        <v>-0.20895549999999999</v>
      </c>
      <c r="U3855">
        <v>-0.61647030000000003</v>
      </c>
      <c r="V3855">
        <v>5.8381769999999999E-2</v>
      </c>
      <c r="W3855">
        <v>3.1322429999999998E-2</v>
      </c>
      <c r="X3855">
        <v>0.99780279999999999</v>
      </c>
      <c r="Y3855">
        <v>-3.8460189999999998E-2</v>
      </c>
      <c r="Z3855">
        <v>1.019362E-2</v>
      </c>
      <c r="AA3855">
        <v>0.99920819999999999</v>
      </c>
      <c r="AB3855">
        <v>26</v>
      </c>
      <c r="AC3855">
        <v>-15.3346999999999</v>
      </c>
      <c r="AD3855">
        <v>-1.1011315418609999</v>
      </c>
      <c r="AE3855">
        <v>-3.2082000000000002</v>
      </c>
      <c r="AF3855">
        <v>-0.60658577927851098</v>
      </c>
      <c r="AG3855">
        <v>-1.1011315418609999</v>
      </c>
      <c r="AH3855">
        <v>15.5778848052722</v>
      </c>
      <c r="AI3855">
        <v>94.040207695570999</v>
      </c>
      <c r="AJ3855">
        <v>92.2299083566067</v>
      </c>
      <c r="AK3855">
        <v>15.628529424947001</v>
      </c>
    </row>
    <row r="3856" spans="1:37" x14ac:dyDescent="0.2">
      <c r="A3856" t="str">
        <f>"20200111155926667"</f>
        <v>20200111155926667</v>
      </c>
      <c r="B3856" t="str">
        <f>"1578729566655526"</f>
        <v>1578729566655526</v>
      </c>
      <c r="C3856" t="s">
        <v>37</v>
      </c>
      <c r="D3856">
        <v>5.6830439999999998</v>
      </c>
      <c r="E3856">
        <v>0.46605659999999999</v>
      </c>
      <c r="F3856" t="s">
        <v>39</v>
      </c>
      <c r="G3856">
        <v>-237.4751</v>
      </c>
      <c r="H3856" s="1">
        <v>-1.5256989999999901E-6</v>
      </c>
      <c r="I3856">
        <v>141.3458</v>
      </c>
      <c r="J3856">
        <v>-222.34540000000001</v>
      </c>
      <c r="K3856">
        <v>1.101113</v>
      </c>
      <c r="L3856">
        <v>144.4956</v>
      </c>
      <c r="M3856">
        <v>-0.98644809999999905</v>
      </c>
      <c r="N3856">
        <v>0</v>
      </c>
      <c r="O3856">
        <v>-0.16406229999999999</v>
      </c>
      <c r="P3856">
        <v>-0.99385389999999996</v>
      </c>
      <c r="Q3856">
        <v>2.815206E-2</v>
      </c>
      <c r="R3856">
        <v>-0.107060199999999</v>
      </c>
      <c r="S3856">
        <v>-2.958405</v>
      </c>
      <c r="T3856">
        <v>-0.21175839999999899</v>
      </c>
      <c r="U3856">
        <v>-0.61346440000000002</v>
      </c>
      <c r="V3856">
        <v>5.757777E-2</v>
      </c>
      <c r="W3856">
        <v>2.9870190000000001E-2</v>
      </c>
      <c r="X3856">
        <v>0.99789399999999995</v>
      </c>
      <c r="Y3856">
        <v>-3.9946559999999999E-2</v>
      </c>
      <c r="Z3856">
        <v>1.010454E-2</v>
      </c>
      <c r="AA3856">
        <v>0.99915080000000001</v>
      </c>
      <c r="AB3856">
        <v>26</v>
      </c>
      <c r="AC3856">
        <v>-15.1296999999999</v>
      </c>
      <c r="AD3856">
        <v>-1.101114525699</v>
      </c>
      <c r="AE3856">
        <v>-3.1497999999999902</v>
      </c>
      <c r="AF3856">
        <v>-0.62174561440952603</v>
      </c>
      <c r="AG3856">
        <v>-1.101114525699</v>
      </c>
      <c r="AH3856">
        <v>15.3634608583797</v>
      </c>
      <c r="AI3856">
        <v>94.096094490837601</v>
      </c>
      <c r="AJ3856">
        <v>92.317444725279799</v>
      </c>
      <c r="AK3856">
        <v>15.415412753303301</v>
      </c>
    </row>
    <row r="3857" spans="1:37" x14ac:dyDescent="0.2">
      <c r="A3857" t="str">
        <f>"20200111155926688"</f>
        <v>20200111155926688</v>
      </c>
      <c r="B3857" t="str">
        <f>"1578729566685783"</f>
        <v>1578729566685783</v>
      </c>
      <c r="C3857" t="s">
        <v>37</v>
      </c>
      <c r="D3857">
        <v>5.7092489999999998</v>
      </c>
      <c r="E3857">
        <v>0.4654837</v>
      </c>
      <c r="F3857" t="s">
        <v>39</v>
      </c>
      <c r="G3857">
        <v>-237.4101</v>
      </c>
      <c r="H3857" s="1">
        <v>-1.56412999999999E-6</v>
      </c>
      <c r="I3857">
        <v>141.38550000000001</v>
      </c>
      <c r="J3857">
        <v>-222.6028</v>
      </c>
      <c r="K3857">
        <v>1.1011040000000001</v>
      </c>
      <c r="L3857">
        <v>144.4554</v>
      </c>
      <c r="M3857">
        <v>-0.986855699999999</v>
      </c>
      <c r="N3857">
        <v>0</v>
      </c>
      <c r="O3857">
        <v>-0.1615915</v>
      </c>
      <c r="P3857">
        <v>-0.99407860000000003</v>
      </c>
      <c r="Q3857">
        <v>2.6856120000000001E-2</v>
      </c>
      <c r="R3857">
        <v>-0.1052935</v>
      </c>
      <c r="S3857">
        <v>-2.9588779999999999</v>
      </c>
      <c r="T3857">
        <v>-0.216271299999999</v>
      </c>
      <c r="U3857">
        <v>-0.61083980000000004</v>
      </c>
      <c r="V3857">
        <v>5.6852939999999998E-2</v>
      </c>
      <c r="W3857">
        <v>2.8597580000000001E-2</v>
      </c>
      <c r="X3857">
        <v>0.99797289999999905</v>
      </c>
      <c r="Y3857">
        <v>-4.1569809999999999E-2</v>
      </c>
      <c r="Z3857">
        <v>1.008502E-2</v>
      </c>
      <c r="AA3857">
        <v>0.99908469999999905</v>
      </c>
      <c r="AB3857">
        <v>26</v>
      </c>
      <c r="AC3857">
        <v>-14.8072999999999</v>
      </c>
      <c r="AD3857">
        <v>-1.1011055641299901</v>
      </c>
      <c r="AE3857">
        <v>-3.0698999999999899</v>
      </c>
      <c r="AF3857">
        <v>-0.63345726673658398</v>
      </c>
      <c r="AG3857">
        <v>-1.1011055641299901</v>
      </c>
      <c r="AH3857">
        <v>15.0290862438397</v>
      </c>
      <c r="AI3857">
        <v>94.1865829487394</v>
      </c>
      <c r="AJ3857">
        <v>92.413517203595504</v>
      </c>
      <c r="AK3857">
        <v>15.082676648954299</v>
      </c>
    </row>
    <row r="3858" spans="1:37" x14ac:dyDescent="0.2">
      <c r="A3858" t="str">
        <f>"20200111155926711"</f>
        <v>20200111155926711</v>
      </c>
      <c r="B3858" t="str">
        <f>"1578729566706279"</f>
        <v>1578729566706279</v>
      </c>
      <c r="C3858" t="s">
        <v>37</v>
      </c>
      <c r="D3858">
        <v>5.7170730000000001</v>
      </c>
      <c r="E3858">
        <v>0.46507320000000002</v>
      </c>
      <c r="F3858" t="s">
        <v>39</v>
      </c>
      <c r="G3858">
        <v>-237.35489999999999</v>
      </c>
      <c r="H3858" s="1">
        <v>-1.5957939999999899E-6</v>
      </c>
      <c r="I3858">
        <v>141.41560000000001</v>
      </c>
      <c r="J3858">
        <v>-222.86689999999999</v>
      </c>
      <c r="K3858">
        <v>1.101108</v>
      </c>
      <c r="L3858">
        <v>144.41489999999999</v>
      </c>
      <c r="M3858">
        <v>-0.987261099999999</v>
      </c>
      <c r="N3858">
        <v>0</v>
      </c>
      <c r="O3858">
        <v>-0.15909570000000001</v>
      </c>
      <c r="P3858">
        <v>-0.99430049999999903</v>
      </c>
      <c r="Q3858">
        <v>2.5685889999999999E-2</v>
      </c>
      <c r="R3858">
        <v>-0.1034742</v>
      </c>
      <c r="S3858">
        <v>-2.959244</v>
      </c>
      <c r="T3858">
        <v>-0.2208792</v>
      </c>
      <c r="U3858">
        <v>-0.60977169999999903</v>
      </c>
      <c r="V3858">
        <v>5.6155259999999999E-2</v>
      </c>
      <c r="W3858">
        <v>2.7475059999999999E-2</v>
      </c>
      <c r="X3858">
        <v>0.99804400000000004</v>
      </c>
      <c r="Y3858">
        <v>-4.3726420000000002E-2</v>
      </c>
      <c r="Z3858">
        <v>1.0038190000000001E-2</v>
      </c>
      <c r="AA3858">
        <v>0.99899309999999997</v>
      </c>
      <c r="AB3858">
        <v>27</v>
      </c>
      <c r="AC3858">
        <v>-14.488</v>
      </c>
      <c r="AD3858">
        <v>-1.101109595794</v>
      </c>
      <c r="AE3858">
        <v>-2.9992999999999701</v>
      </c>
      <c r="AF3858">
        <v>-0.65250095038350797</v>
      </c>
      <c r="AG3858">
        <v>-1.101109595794</v>
      </c>
      <c r="AH3858">
        <v>14.699227910124</v>
      </c>
      <c r="AI3858">
        <v>94.2797895611927</v>
      </c>
      <c r="AJ3858">
        <v>92.541699734818295</v>
      </c>
      <c r="AK3858">
        <v>14.7548466947633</v>
      </c>
    </row>
    <row r="3859" spans="1:37" x14ac:dyDescent="0.2">
      <c r="A3859" t="str">
        <f>"20200111155926733"</f>
        <v>20200111155926733</v>
      </c>
      <c r="B3859" t="str">
        <f>"1578729566725800"</f>
        <v>1578729566725800</v>
      </c>
      <c r="C3859" t="s">
        <v>37</v>
      </c>
      <c r="D3859">
        <v>5.6981299999999999</v>
      </c>
      <c r="E3859">
        <v>0.46465869999999998</v>
      </c>
      <c r="F3859" t="s">
        <v>39</v>
      </c>
      <c r="G3859">
        <v>-237.32169999999999</v>
      </c>
      <c r="H3859" s="1">
        <v>-1.618574E-6</v>
      </c>
      <c r="I3859">
        <v>141.4477</v>
      </c>
      <c r="J3859">
        <v>-223.1396</v>
      </c>
      <c r="K3859">
        <v>1.1011309999999901</v>
      </c>
      <c r="L3859">
        <v>144.37370000000001</v>
      </c>
      <c r="M3859">
        <v>-0.98766449999999995</v>
      </c>
      <c r="N3859">
        <v>0</v>
      </c>
      <c r="O3859">
        <v>-0.15657179999999901</v>
      </c>
      <c r="P3859">
        <v>-0.99460400000000004</v>
      </c>
      <c r="Q3859">
        <v>2.3832510000000001E-2</v>
      </c>
      <c r="R3859">
        <v>-0.10097159999999999</v>
      </c>
      <c r="S3859">
        <v>-2.9598080000000002</v>
      </c>
      <c r="T3859">
        <v>-0.2254652</v>
      </c>
      <c r="U3859">
        <v>-0.60755919999999997</v>
      </c>
      <c r="V3859">
        <v>5.6114509999999999E-2</v>
      </c>
      <c r="W3859">
        <v>2.5695659999999999E-2</v>
      </c>
      <c r="X3859">
        <v>0.99809359999999903</v>
      </c>
      <c r="Y3859">
        <v>-4.5526659999999997E-2</v>
      </c>
      <c r="Z3859">
        <v>9.9906049999999996E-3</v>
      </c>
      <c r="AA3859">
        <v>0.99891319999999995</v>
      </c>
      <c r="AB3859">
        <v>27</v>
      </c>
      <c r="AC3859">
        <v>-14.182099999999901</v>
      </c>
      <c r="AD3859">
        <v>-1.10113261857399</v>
      </c>
      <c r="AE3859">
        <v>-2.9260000000000099</v>
      </c>
      <c r="AF3859">
        <v>-0.66554246552985297</v>
      </c>
      <c r="AG3859">
        <v>-1.10113261857399</v>
      </c>
      <c r="AH3859">
        <v>14.3821547500444</v>
      </c>
      <c r="AI3859">
        <v>94.373500328371705</v>
      </c>
      <c r="AJ3859">
        <v>92.649504918002407</v>
      </c>
      <c r="AK3859">
        <v>14.439591928837</v>
      </c>
    </row>
    <row r="3860" spans="1:37" x14ac:dyDescent="0.2">
      <c r="A3860" t="str">
        <f>"20200111155926756"</f>
        <v>20200111155926756</v>
      </c>
      <c r="B3860" t="str">
        <f>"1578729566746294"</f>
        <v>1578729566746294</v>
      </c>
      <c r="C3860" t="s">
        <v>37</v>
      </c>
      <c r="D3860">
        <v>5.8270520000000001</v>
      </c>
      <c r="E3860">
        <v>0.46477859999999999</v>
      </c>
      <c r="F3860" t="s">
        <v>39</v>
      </c>
      <c r="G3860">
        <v>-237.17</v>
      </c>
      <c r="H3860" s="1">
        <v>-1.701765E-6</v>
      </c>
      <c r="I3860">
        <v>141.51570000000001</v>
      </c>
      <c r="J3860">
        <v>-223.4153</v>
      </c>
      <c r="K3860">
        <v>1.101164</v>
      </c>
      <c r="L3860">
        <v>144.33260000000001</v>
      </c>
      <c r="M3860">
        <v>-0.98805330000000002</v>
      </c>
      <c r="N3860">
        <v>0</v>
      </c>
      <c r="O3860">
        <v>-0.15409709999999999</v>
      </c>
      <c r="P3860">
        <v>-0.99498500000000001</v>
      </c>
      <c r="Q3860">
        <v>2.058165E-2</v>
      </c>
      <c r="R3860">
        <v>-9.7884849999999995E-2</v>
      </c>
      <c r="S3860">
        <v>-2.9606319999999999</v>
      </c>
      <c r="T3860">
        <v>-0.23235529999999999</v>
      </c>
      <c r="U3860">
        <v>-0.60305790000000004</v>
      </c>
      <c r="V3860">
        <v>5.6707149999999998E-2</v>
      </c>
      <c r="W3860">
        <v>2.255041E-2</v>
      </c>
      <c r="X3860">
        <v>0.99813619999999903</v>
      </c>
      <c r="Y3860">
        <v>-4.6525280000000002E-2</v>
      </c>
      <c r="Z3860">
        <v>1.006669E-2</v>
      </c>
      <c r="AA3860">
        <v>0.99886640000000004</v>
      </c>
      <c r="AB3860">
        <v>27</v>
      </c>
      <c r="AC3860">
        <v>-13.7546999999999</v>
      </c>
      <c r="AD3860">
        <v>-1.1011657017649901</v>
      </c>
      <c r="AE3860">
        <v>-2.8169</v>
      </c>
      <c r="AF3860">
        <v>-0.65963201007111205</v>
      </c>
      <c r="AG3860">
        <v>-1.1011657017649901</v>
      </c>
      <c r="AH3860">
        <v>13.938746198812201</v>
      </c>
      <c r="AI3860">
        <v>94.511976114242799</v>
      </c>
      <c r="AJ3860">
        <v>92.709422632454604</v>
      </c>
      <c r="AK3860">
        <v>13.9977257397892</v>
      </c>
    </row>
    <row r="3861" spans="1:37" x14ac:dyDescent="0.2">
      <c r="A3861" t="str">
        <f>"20200111155926777"</f>
        <v>20200111155926777</v>
      </c>
      <c r="B3861" t="str">
        <f>"1578729566765814"</f>
        <v>1578729566765814</v>
      </c>
      <c r="C3861" t="s">
        <v>37</v>
      </c>
      <c r="D3861">
        <v>5.4761110000000004</v>
      </c>
      <c r="E3861">
        <v>0.46804780000000001</v>
      </c>
      <c r="F3861" t="s">
        <v>39</v>
      </c>
      <c r="G3861">
        <v>-236.83709999999999</v>
      </c>
      <c r="H3861" s="1">
        <v>-1.879623E-6</v>
      </c>
      <c r="I3861">
        <v>141.6474</v>
      </c>
      <c r="J3861">
        <v>-223.66820000000001</v>
      </c>
      <c r="K3861">
        <v>1.1012090000000001</v>
      </c>
      <c r="L3861">
        <v>144.2955</v>
      </c>
      <c r="M3861">
        <v>-0.98839089999999996</v>
      </c>
      <c r="N3861">
        <v>0</v>
      </c>
      <c r="O3861">
        <v>-0.15191489999999999</v>
      </c>
      <c r="P3861">
        <v>-0.99544449999999995</v>
      </c>
      <c r="Q3861">
        <v>1.6175100000000001E-2</v>
      </c>
      <c r="R3861">
        <v>-9.3960769999999999E-2</v>
      </c>
      <c r="S3861">
        <v>-2.961884</v>
      </c>
      <c r="T3861">
        <v>-0.24300099999999999</v>
      </c>
      <c r="U3861">
        <v>-0.59254459999999998</v>
      </c>
      <c r="V3861">
        <v>5.8430759999999998E-2</v>
      </c>
      <c r="W3861">
        <v>1.827407E-2</v>
      </c>
      <c r="X3861">
        <v>0.99812420000000002</v>
      </c>
      <c r="Y3861">
        <v>-4.5268210000000003E-2</v>
      </c>
      <c r="Z3861">
        <v>1.040348E-2</v>
      </c>
      <c r="AA3861">
        <v>0.99892069999999999</v>
      </c>
      <c r="AB3861">
        <v>27</v>
      </c>
      <c r="AC3861">
        <v>-13.168899999999899</v>
      </c>
      <c r="AD3861">
        <v>-1.101210879623</v>
      </c>
      <c r="AE3861">
        <v>-2.6480999999999901</v>
      </c>
      <c r="AF3861">
        <v>-0.61268963033201895</v>
      </c>
      <c r="AG3861">
        <v>-1.101210879623</v>
      </c>
      <c r="AH3861">
        <v>13.328761184499401</v>
      </c>
      <c r="AI3861">
        <v>94.718042160830706</v>
      </c>
      <c r="AJ3861">
        <v>92.631890194427001</v>
      </c>
      <c r="AK3861">
        <v>13.3882011001454</v>
      </c>
    </row>
    <row r="3862" spans="1:37" x14ac:dyDescent="0.2">
      <c r="A3862" t="str">
        <f>"20200111155926798"</f>
        <v>20200111155926798</v>
      </c>
      <c r="B3862" t="str">
        <f>"1578729566796070"</f>
        <v>1578729566796070</v>
      </c>
      <c r="C3862" t="s">
        <v>37</v>
      </c>
      <c r="D3862">
        <v>6.226737</v>
      </c>
      <c r="E3862">
        <v>0.47267109999999901</v>
      </c>
      <c r="F3862" t="s">
        <v>38</v>
      </c>
      <c r="G3862">
        <v>-224.47659999999999</v>
      </c>
      <c r="H3862">
        <v>1.031174</v>
      </c>
      <c r="I3862">
        <v>144.14449999999999</v>
      </c>
      <c r="J3862">
        <v>-223.9349</v>
      </c>
      <c r="K3862">
        <v>1.1012839999999999</v>
      </c>
      <c r="L3862">
        <v>144.2569</v>
      </c>
      <c r="M3862">
        <v>-0.98872450000000001</v>
      </c>
      <c r="N3862">
        <v>0</v>
      </c>
      <c r="O3862">
        <v>-0.14972469999999999</v>
      </c>
      <c r="P3862">
        <v>-0.99585080000000004</v>
      </c>
      <c r="Q3862">
        <v>1.320581E-2</v>
      </c>
      <c r="R3862">
        <v>-9.0040620000000002E-2</v>
      </c>
      <c r="S3862">
        <v>-2.965576</v>
      </c>
      <c r="T3862">
        <v>-0.25692719999999902</v>
      </c>
      <c r="U3862">
        <v>-0.55453490000000005</v>
      </c>
      <c r="V3862">
        <v>6.0142189999999998E-2</v>
      </c>
      <c r="W3862">
        <v>1.548831E-2</v>
      </c>
      <c r="X3862">
        <v>0.9980696</v>
      </c>
      <c r="Y3862">
        <v>-3.4968079999999999E-2</v>
      </c>
      <c r="Z3862">
        <v>1.125719E-2</v>
      </c>
      <c r="AA3862">
        <v>0.99932500000000002</v>
      </c>
      <c r="AB3862">
        <v>27</v>
      </c>
      <c r="AC3862">
        <v>-0.54169999999999097</v>
      </c>
      <c r="AD3862">
        <v>-7.0109999999999895E-2</v>
      </c>
      <c r="AE3862">
        <v>-0.11240000000000799</v>
      </c>
      <c r="AF3862">
        <v>-2.95522613095031E-2</v>
      </c>
      <c r="AG3862">
        <v>-7.0109999999999895E-2</v>
      </c>
      <c r="AH3862">
        <v>0.54369139922141996</v>
      </c>
      <c r="AI3862">
        <v>97.337134174025607</v>
      </c>
      <c r="AJ3862">
        <v>93.111241578646798</v>
      </c>
      <c r="AK3862">
        <v>0.54898914910574603</v>
      </c>
    </row>
    <row r="3863" spans="1:37" x14ac:dyDescent="0.2">
      <c r="A3863" t="str">
        <f>"20200111155926821"</f>
        <v>20200111155926821</v>
      </c>
      <c r="B3863" t="str">
        <f>"1578729566815591"</f>
        <v>1578729566815591</v>
      </c>
      <c r="C3863" t="s">
        <v>37</v>
      </c>
      <c r="D3863">
        <v>5.6744110000000001</v>
      </c>
      <c r="E3863">
        <v>0.53088150000000001</v>
      </c>
      <c r="F3863" t="s">
        <v>38</v>
      </c>
      <c r="G3863">
        <v>-224.72040000000001</v>
      </c>
      <c r="H3863">
        <v>1.031839</v>
      </c>
      <c r="I3863">
        <v>144.1232</v>
      </c>
      <c r="J3863">
        <v>-224.21530000000001</v>
      </c>
      <c r="K3863">
        <v>1.101397</v>
      </c>
      <c r="L3863">
        <v>144.21680000000001</v>
      </c>
      <c r="M3863">
        <v>-0.989050599999999</v>
      </c>
      <c r="N3863">
        <v>0</v>
      </c>
      <c r="O3863">
        <v>-0.14755199999999999</v>
      </c>
      <c r="P3863">
        <v>-0.996229699999999</v>
      </c>
      <c r="Q3863">
        <v>1.2967579999999999E-2</v>
      </c>
      <c r="R3863">
        <v>-8.5780209999999996E-2</v>
      </c>
      <c r="S3863">
        <v>-2.9702449999999998</v>
      </c>
      <c r="T3863">
        <v>-0.26258530000000002</v>
      </c>
      <c r="U3863">
        <v>-0.50581359999999997</v>
      </c>
      <c r="V3863">
        <v>6.2215510000000002E-2</v>
      </c>
      <c r="W3863">
        <v>1.5484019999999999E-2</v>
      </c>
      <c r="X3863">
        <v>0.99794259999999901</v>
      </c>
      <c r="Y3863">
        <v>-2.1054159999999999E-2</v>
      </c>
      <c r="Z3863">
        <v>1.1928660000000001E-2</v>
      </c>
      <c r="AA3863">
        <v>0.99970720000000002</v>
      </c>
      <c r="AB3863">
        <v>27</v>
      </c>
      <c r="AC3863">
        <v>-0.505099999999998</v>
      </c>
      <c r="AD3863">
        <v>-6.9557999999999995E-2</v>
      </c>
      <c r="AE3863">
        <v>-9.3600000000009204E-2</v>
      </c>
      <c r="AF3863">
        <v>-1.7721761993874399E-2</v>
      </c>
      <c r="AG3863">
        <v>-6.9557999999999995E-2</v>
      </c>
      <c r="AH3863">
        <v>0.50413891646289</v>
      </c>
      <c r="AI3863">
        <v>97.850933380869904</v>
      </c>
      <c r="AJ3863">
        <v>92.013263027801997</v>
      </c>
      <c r="AK3863">
        <v>0.50922335306282296</v>
      </c>
    </row>
    <row r="3864" spans="1:37" x14ac:dyDescent="0.2">
      <c r="A3864" t="str">
        <f>"20200111155926844"</f>
        <v>20200111155926844</v>
      </c>
      <c r="B3864" t="str">
        <f>"1578729566836087"</f>
        <v>1578729566836087</v>
      </c>
      <c r="C3864" t="s">
        <v>37</v>
      </c>
      <c r="D3864">
        <v>5.6851500000000001</v>
      </c>
      <c r="E3864">
        <v>0.5305685</v>
      </c>
      <c r="F3864" t="s">
        <v>38</v>
      </c>
      <c r="G3864">
        <v>-224.9948</v>
      </c>
      <c r="H3864">
        <v>1.052602</v>
      </c>
      <c r="I3864">
        <v>144.21029999999999</v>
      </c>
      <c r="J3864">
        <v>-224.50139999999999</v>
      </c>
      <c r="K3864">
        <v>1.101532</v>
      </c>
      <c r="L3864">
        <v>144.1763</v>
      </c>
      <c r="M3864">
        <v>-0.98935680000000004</v>
      </c>
      <c r="N3864">
        <v>0</v>
      </c>
      <c r="O3864">
        <v>-0.14547889999999999</v>
      </c>
      <c r="P3864">
        <v>-0.99665509999999902</v>
      </c>
      <c r="Q3864">
        <v>1.3531670000000001E-2</v>
      </c>
      <c r="R3864">
        <v>-8.0594579999999999E-2</v>
      </c>
      <c r="S3864">
        <v>-3.011612</v>
      </c>
      <c r="T3864">
        <v>-0.18847139999999901</v>
      </c>
      <c r="U3864">
        <v>-2.549744E-2</v>
      </c>
      <c r="V3864">
        <v>6.5316189999999996E-2</v>
      </c>
      <c r="W3864">
        <v>1.629978E-2</v>
      </c>
      <c r="X3864">
        <v>0.99773149999999999</v>
      </c>
      <c r="Y3864">
        <v>0.13654839999999999</v>
      </c>
      <c r="Z3864">
        <v>1.3337999999999999E-2</v>
      </c>
      <c r="AA3864">
        <v>0.99054359999999997</v>
      </c>
      <c r="AB3864">
        <v>27</v>
      </c>
      <c r="AC3864">
        <v>-0.493400000000008</v>
      </c>
      <c r="AD3864">
        <v>-4.8929999999999897E-2</v>
      </c>
      <c r="AE3864">
        <v>3.3999999999991801E-2</v>
      </c>
      <c r="AF3864">
        <v>0.10439606490727001</v>
      </c>
      <c r="AG3864">
        <v>-4.8929999999999897E-2</v>
      </c>
      <c r="AH3864">
        <v>0.47852076991515302</v>
      </c>
      <c r="AI3864">
        <v>95.705078196191295</v>
      </c>
      <c r="AJ3864">
        <v>77.692951883804497</v>
      </c>
      <c r="AK3864">
        <v>0.492214191697389</v>
      </c>
    </row>
    <row r="3865" spans="1:37" x14ac:dyDescent="0.2">
      <c r="A3865" t="str">
        <f>"20200111155926867"</f>
        <v>20200111155926867</v>
      </c>
      <c r="B3865" t="str">
        <f>"1578729566855606"</f>
        <v>1578729566855606</v>
      </c>
      <c r="C3865" t="s">
        <v>37</v>
      </c>
      <c r="D3865">
        <v>5.6694509999999996</v>
      </c>
      <c r="E3865">
        <v>0.52964860000000002</v>
      </c>
      <c r="F3865" t="s">
        <v>38</v>
      </c>
      <c r="G3865">
        <v>-225.23599999999999</v>
      </c>
      <c r="H3865">
        <v>1.0484629999999999</v>
      </c>
      <c r="I3865">
        <v>144.1728</v>
      </c>
      <c r="J3865">
        <v>-224.76920000000001</v>
      </c>
      <c r="K3865">
        <v>1.1016539999999999</v>
      </c>
      <c r="L3865">
        <v>144.13890000000001</v>
      </c>
      <c r="M3865">
        <v>-0.98961730000000003</v>
      </c>
      <c r="N3865">
        <v>0</v>
      </c>
      <c r="O3865">
        <v>-0.14369089999999901</v>
      </c>
      <c r="P3865">
        <v>-0.99704439999999905</v>
      </c>
      <c r="Q3865">
        <v>1.5297160000000001E-2</v>
      </c>
      <c r="R3865">
        <v>-7.5292059999999994E-2</v>
      </c>
      <c r="S3865">
        <v>-3.0118559999999999</v>
      </c>
      <c r="T3865">
        <v>-0.21753529999999999</v>
      </c>
      <c r="U3865">
        <v>-1.435852E-2</v>
      </c>
      <c r="V3865">
        <v>6.8820099999999995E-2</v>
      </c>
      <c r="W3865">
        <v>1.8292180000000002E-2</v>
      </c>
      <c r="X3865">
        <v>0.99746139999999905</v>
      </c>
      <c r="Y3865">
        <v>0.1382399</v>
      </c>
      <c r="Z3865">
        <v>1.5322570000000001E-2</v>
      </c>
      <c r="AA3865">
        <v>0.99028019999999894</v>
      </c>
      <c r="AB3865">
        <v>28</v>
      </c>
      <c r="AC3865">
        <v>-0.46679999999997701</v>
      </c>
      <c r="AD3865">
        <v>-5.3191000000000203E-2</v>
      </c>
      <c r="AE3865">
        <v>3.3899999999988398E-2</v>
      </c>
      <c r="AF3865">
        <v>9.9340381418184395E-2</v>
      </c>
      <c r="AG3865">
        <v>-5.3191000000000203E-2</v>
      </c>
      <c r="AH3865">
        <v>0.45125618585807398</v>
      </c>
      <c r="AI3865">
        <v>96.566798698629299</v>
      </c>
      <c r="AJ3865">
        <v>77.584828311979507</v>
      </c>
      <c r="AK3865">
        <v>0.46511282409377502</v>
      </c>
    </row>
    <row r="3866" spans="1:37" x14ac:dyDescent="0.2">
      <c r="A3866" t="str">
        <f>"20200111155926890"</f>
        <v>20200111155926890</v>
      </c>
      <c r="B3866" t="str">
        <f>"1578729566885862"</f>
        <v>1578729566885862</v>
      </c>
      <c r="C3866" t="s">
        <v>37</v>
      </c>
      <c r="D3866">
        <v>5.6754499999999997</v>
      </c>
      <c r="E3866">
        <v>0.52756780000000003</v>
      </c>
      <c r="F3866" t="s">
        <v>38</v>
      </c>
      <c r="G3866">
        <v>-225.72630000000001</v>
      </c>
      <c r="H3866">
        <v>1.030853</v>
      </c>
      <c r="I3866">
        <v>144.1369</v>
      </c>
      <c r="J3866">
        <v>-225.05619999999999</v>
      </c>
      <c r="K3866">
        <v>1.1017749999999999</v>
      </c>
      <c r="L3866">
        <v>144.0992</v>
      </c>
      <c r="M3866">
        <v>-0.98987150000000002</v>
      </c>
      <c r="N3866">
        <v>0</v>
      </c>
      <c r="O3866">
        <v>-0.14192439999999901</v>
      </c>
      <c r="P3866">
        <v>-0.99741489999999999</v>
      </c>
      <c r="Q3866">
        <v>1.6614009999999999E-2</v>
      </c>
      <c r="R3866">
        <v>-6.9912749999999996E-2</v>
      </c>
      <c r="S3866">
        <v>-3.011841</v>
      </c>
      <c r="T3866">
        <v>-0.22282249999999901</v>
      </c>
      <c r="U3866">
        <v>-6.4086909999999898E-3</v>
      </c>
      <c r="V3866">
        <v>7.2417789999999996E-2</v>
      </c>
      <c r="W3866">
        <v>1.9831620000000001E-2</v>
      </c>
      <c r="X3866">
        <v>0.99717719999999899</v>
      </c>
      <c r="Y3866">
        <v>0.139052799999999</v>
      </c>
      <c r="Z3866">
        <v>1.559518E-2</v>
      </c>
      <c r="AA3866">
        <v>0.99016219999999999</v>
      </c>
      <c r="AB3866">
        <v>28</v>
      </c>
      <c r="AC3866">
        <v>-0.67010000000001901</v>
      </c>
      <c r="AD3866">
        <v>-7.0921999999999902E-2</v>
      </c>
      <c r="AE3866">
        <v>3.7700000000000899E-2</v>
      </c>
      <c r="AF3866">
        <v>0.130960139042616</v>
      </c>
      <c r="AG3866">
        <v>-7.0921999999999902E-2</v>
      </c>
      <c r="AH3866">
        <v>0.65070031903980496</v>
      </c>
      <c r="AI3866">
        <v>96.098958536230896</v>
      </c>
      <c r="AJ3866">
        <v>78.620652016912999</v>
      </c>
      <c r="AK3866">
        <v>0.66752632405064405</v>
      </c>
    </row>
    <row r="3867" spans="1:37" x14ac:dyDescent="0.2">
      <c r="A3867" t="str">
        <f>"20200111155926912"</f>
        <v>20200111155926912</v>
      </c>
      <c r="B3867" t="str">
        <f>"1578729566906359"</f>
        <v>1578729566906359</v>
      </c>
      <c r="C3867" t="s">
        <v>37</v>
      </c>
      <c r="D3867">
        <v>6.5162909999999998</v>
      </c>
      <c r="E3867">
        <v>0.52895890000000001</v>
      </c>
      <c r="F3867" t="s">
        <v>38</v>
      </c>
      <c r="G3867">
        <v>-225.97980000000001</v>
      </c>
      <c r="H3867">
        <v>1.041194</v>
      </c>
      <c r="I3867">
        <v>144.09780000000001</v>
      </c>
      <c r="J3867">
        <v>-225.33420000000001</v>
      </c>
      <c r="K3867">
        <v>1.1018709999999901</v>
      </c>
      <c r="L3867">
        <v>144.06110000000001</v>
      </c>
      <c r="M3867">
        <v>-0.99009809999999998</v>
      </c>
      <c r="N3867">
        <v>0</v>
      </c>
      <c r="O3867">
        <v>-0.14033080000000001</v>
      </c>
      <c r="P3867">
        <v>-0.99780669999999905</v>
      </c>
      <c r="Q3867">
        <v>1.776995E-2</v>
      </c>
      <c r="R3867">
        <v>-6.3767379999999999E-2</v>
      </c>
      <c r="S3867">
        <v>-3.0106809999999999</v>
      </c>
      <c r="T3867">
        <v>-0.197542</v>
      </c>
      <c r="U3867">
        <v>-5.1574709999999899E-3</v>
      </c>
      <c r="V3867">
        <v>7.6952049999999994E-2</v>
      </c>
      <c r="W3867">
        <v>2.1177919999999999E-2</v>
      </c>
      <c r="X3867">
        <v>0.99680979999999997</v>
      </c>
      <c r="Y3867">
        <v>0.13803840000000001</v>
      </c>
      <c r="Z3867">
        <v>1.369836E-2</v>
      </c>
      <c r="AA3867">
        <v>0.99033209999999905</v>
      </c>
      <c r="AB3867">
        <v>28</v>
      </c>
      <c r="AC3867">
        <v>-0.64560000000000095</v>
      </c>
      <c r="AD3867">
        <v>-6.0676999999999801E-2</v>
      </c>
      <c r="AE3867">
        <v>3.6699999999996097E-2</v>
      </c>
      <c r="AF3867">
        <v>0.12582710724683199</v>
      </c>
      <c r="AG3867">
        <v>-6.0676999999999801E-2</v>
      </c>
      <c r="AH3867">
        <v>0.62852725727049896</v>
      </c>
      <c r="AI3867">
        <v>95.407513492879303</v>
      </c>
      <c r="AJ3867">
        <v>78.679404467292798</v>
      </c>
      <c r="AK3867">
        <v>0.64386386168124299</v>
      </c>
    </row>
    <row r="3868" spans="1:37" x14ac:dyDescent="0.2">
      <c r="A3868" t="str">
        <f>"20200111155926934"</f>
        <v>20200111155926934</v>
      </c>
      <c r="B3868" t="str">
        <f>"1578729566925878"</f>
        <v>1578729566925878</v>
      </c>
      <c r="C3868" t="s">
        <v>37</v>
      </c>
      <c r="D3868">
        <v>5.8894419999999998</v>
      </c>
      <c r="E3868">
        <v>0.52931359999999905</v>
      </c>
      <c r="F3868" t="s">
        <v>38</v>
      </c>
      <c r="G3868">
        <v>-226.2364</v>
      </c>
      <c r="H3868">
        <v>1.0472589999999999</v>
      </c>
      <c r="I3868">
        <v>144.06870000000001</v>
      </c>
      <c r="J3868">
        <v>-225.61349999999999</v>
      </c>
      <c r="K3868">
        <v>1.1019479999999999</v>
      </c>
      <c r="L3868">
        <v>144.0231</v>
      </c>
      <c r="M3868">
        <v>-0.99030720000000005</v>
      </c>
      <c r="N3868">
        <v>0</v>
      </c>
      <c r="O3868">
        <v>-0.1388422</v>
      </c>
      <c r="P3868">
        <v>-0.99814740000000002</v>
      </c>
      <c r="Q3868">
        <v>1.794598E-2</v>
      </c>
      <c r="R3868">
        <v>-5.8133690000000002E-2</v>
      </c>
      <c r="S3868">
        <v>-3.0114589999999999</v>
      </c>
      <c r="T3868">
        <v>-0.18232979999999999</v>
      </c>
      <c r="U3868">
        <v>2.5436400000000001E-2</v>
      </c>
      <c r="V3868">
        <v>8.107702E-2</v>
      </c>
      <c r="W3868">
        <v>2.1521640000000002E-2</v>
      </c>
      <c r="X3868">
        <v>0.99647549999999996</v>
      </c>
      <c r="Y3868">
        <v>0.1466809</v>
      </c>
      <c r="Z3868">
        <v>1.281552E-2</v>
      </c>
      <c r="AA3868">
        <v>0.9891008</v>
      </c>
      <c r="AB3868">
        <v>28</v>
      </c>
      <c r="AC3868">
        <v>-0.622900000000015</v>
      </c>
      <c r="AD3868">
        <v>-5.4688999999999897E-2</v>
      </c>
      <c r="AE3868">
        <v>4.5600000000007399E-2</v>
      </c>
      <c r="AF3868">
        <v>0.13064209737549301</v>
      </c>
      <c r="AG3868">
        <v>-5.4688999999999897E-2</v>
      </c>
      <c r="AH3868">
        <v>0.60589003816117704</v>
      </c>
      <c r="AI3868">
        <v>95.042403324855599</v>
      </c>
      <c r="AJ3868">
        <v>77.832162400022398</v>
      </c>
      <c r="AK3868">
        <v>0.62222261504273602</v>
      </c>
    </row>
    <row r="3869" spans="1:37" x14ac:dyDescent="0.2">
      <c r="A3869" t="str">
        <f>"20200111155926957"</f>
        <v>20200111155926957</v>
      </c>
      <c r="B3869" t="str">
        <f>"1578729566946374"</f>
        <v>1578729566946374</v>
      </c>
      <c r="C3869" t="s">
        <v>37</v>
      </c>
      <c r="D3869">
        <v>5.6134379999999897</v>
      </c>
      <c r="E3869">
        <v>0.52927170000000001</v>
      </c>
      <c r="F3869" t="s">
        <v>39</v>
      </c>
      <c r="G3869">
        <v>-246.56030000000001</v>
      </c>
      <c r="H3869" s="1">
        <v>-2.7172960000000001E-6</v>
      </c>
      <c r="I3869">
        <v>144.3493</v>
      </c>
      <c r="J3869">
        <v>-225.89250000000001</v>
      </c>
      <c r="K3869">
        <v>1.1020159999999899</v>
      </c>
      <c r="L3869">
        <v>143.9854</v>
      </c>
      <c r="M3869">
        <v>-0.99049880000000001</v>
      </c>
      <c r="N3869">
        <v>0</v>
      </c>
      <c r="O3869">
        <v>-0.13746529999999901</v>
      </c>
      <c r="P3869">
        <v>-0.99848709999999996</v>
      </c>
      <c r="Q3869">
        <v>1.8707959999999999E-2</v>
      </c>
      <c r="R3869">
        <v>-5.1709020000000001E-2</v>
      </c>
      <c r="S3869">
        <v>-3.011139</v>
      </c>
      <c r="T3869">
        <v>-0.158407299999999</v>
      </c>
      <c r="U3869">
        <v>4.6905519999999999E-2</v>
      </c>
      <c r="V3869">
        <v>8.6100889999999999E-2</v>
      </c>
      <c r="W3869">
        <v>2.241978E-2</v>
      </c>
      <c r="X3869">
        <v>0.99603410000000003</v>
      </c>
      <c r="Y3869">
        <v>0.1524771</v>
      </c>
      <c r="Z3869">
        <v>1.121864E-2</v>
      </c>
      <c r="AA3869">
        <v>0.98824330000000005</v>
      </c>
      <c r="AB3869">
        <v>28</v>
      </c>
      <c r="AC3869">
        <v>-20.6678</v>
      </c>
      <c r="AD3869">
        <v>-1.1020187172959901</v>
      </c>
      <c r="AE3869">
        <v>0.363900000000001</v>
      </c>
      <c r="AF3869">
        <v>3.19249879838654</v>
      </c>
      <c r="AG3869">
        <v>-1.1020187172959901</v>
      </c>
      <c r="AH3869">
        <v>20.363687214168198</v>
      </c>
      <c r="AI3869">
        <v>93.060337795006603</v>
      </c>
      <c r="AJ3869">
        <v>81.090029955920301</v>
      </c>
      <c r="AK3869">
        <v>20.641856766954099</v>
      </c>
    </row>
    <row r="3870" spans="1:37" x14ac:dyDescent="0.2">
      <c r="A3870" t="str">
        <f>"20200111155926990"</f>
        <v>20200111155926990</v>
      </c>
      <c r="B3870" t="str">
        <f>"1578729566986390"</f>
        <v>1578729566986390</v>
      </c>
      <c r="C3870" t="s">
        <v>37</v>
      </c>
      <c r="D3870">
        <v>5.8538759999999996</v>
      </c>
      <c r="E3870">
        <v>0.52983049999999998</v>
      </c>
      <c r="F3870" t="s">
        <v>39</v>
      </c>
      <c r="G3870">
        <v>-249.55080000000001</v>
      </c>
      <c r="H3870" s="1">
        <v>-1.477936E-6</v>
      </c>
      <c r="I3870">
        <v>144.51300000000001</v>
      </c>
      <c r="J3870">
        <v>-226.30539999999999</v>
      </c>
      <c r="K3870">
        <v>1.1021129999999999</v>
      </c>
      <c r="L3870">
        <v>143.93029999999999</v>
      </c>
      <c r="M3870">
        <v>-0.99075329999999995</v>
      </c>
      <c r="N3870">
        <v>0</v>
      </c>
      <c r="O3870">
        <v>-0.1356137</v>
      </c>
      <c r="P3870">
        <v>-0.99866840000000001</v>
      </c>
      <c r="Q3870">
        <v>1.9480520000000001E-2</v>
      </c>
      <c r="R3870">
        <v>-4.777124E-2</v>
      </c>
      <c r="S3870">
        <v>-3.0106660000000001</v>
      </c>
      <c r="T3870">
        <v>-0.14023859999999999</v>
      </c>
      <c r="U3870">
        <v>6.7138669999999998E-2</v>
      </c>
      <c r="V3870">
        <v>8.8161660000000003E-2</v>
      </c>
      <c r="W3870">
        <v>2.3356519999999999E-2</v>
      </c>
      <c r="X3870">
        <v>0.9958323</v>
      </c>
      <c r="Y3870">
        <v>0.15735279999999999</v>
      </c>
      <c r="Z3870">
        <v>9.9628979999999995E-3</v>
      </c>
      <c r="AA3870">
        <v>0.98749219999999904</v>
      </c>
      <c r="AB3870">
        <v>28</v>
      </c>
      <c r="AC3870">
        <v>-23.2454</v>
      </c>
      <c r="AD3870">
        <v>-1.1021144779359999</v>
      </c>
      <c r="AE3870">
        <v>0.58270000000001598</v>
      </c>
      <c r="AF3870">
        <v>3.7213779444491801</v>
      </c>
      <c r="AG3870">
        <v>-1.1021144779359999</v>
      </c>
      <c r="AH3870">
        <v>22.900182438721401</v>
      </c>
      <c r="AI3870">
        <v>92.719719408612804</v>
      </c>
      <c r="AJ3870">
        <v>80.769874143765705</v>
      </c>
      <c r="AK3870">
        <v>23.226744624562201</v>
      </c>
    </row>
    <row r="3871" spans="1:37" x14ac:dyDescent="0.2">
      <c r="A3871" t="str">
        <f>"20200111155927012"</f>
        <v>20200111155927012</v>
      </c>
      <c r="B3871" t="str">
        <f>"1578729567005911"</f>
        <v>1578729567005911</v>
      </c>
      <c r="C3871" t="s">
        <v>37</v>
      </c>
      <c r="D3871">
        <v>5.7635309999999897</v>
      </c>
      <c r="E3871">
        <v>0.56250330000000004</v>
      </c>
      <c r="F3871" t="s">
        <v>39</v>
      </c>
      <c r="G3871">
        <v>-250.42769999999999</v>
      </c>
      <c r="H3871" s="1">
        <v>-5.0149250000000001E-6</v>
      </c>
      <c r="I3871">
        <v>144.60230000000001</v>
      </c>
      <c r="J3871">
        <v>-226.6018</v>
      </c>
      <c r="K3871">
        <v>1.1021669999999999</v>
      </c>
      <c r="L3871">
        <v>143.89099999999999</v>
      </c>
      <c r="M3871">
        <v>-0.99091649999999998</v>
      </c>
      <c r="N3871">
        <v>0</v>
      </c>
      <c r="O3871">
        <v>-0.13441410000000001</v>
      </c>
      <c r="P3871">
        <v>-0.99876089999999995</v>
      </c>
      <c r="Q3871">
        <v>1.8882889999999999E-2</v>
      </c>
      <c r="R3871">
        <v>-4.6045509999999998E-2</v>
      </c>
      <c r="S3871">
        <v>-3.0106809999999999</v>
      </c>
      <c r="T3871">
        <v>-0.1375546</v>
      </c>
      <c r="U3871">
        <v>8.3892820000000007E-2</v>
      </c>
      <c r="V3871">
        <v>8.8673199999999994E-2</v>
      </c>
      <c r="W3871">
        <v>2.2839769999999999E-2</v>
      </c>
      <c r="X3871">
        <v>0.99579889999999904</v>
      </c>
      <c r="Y3871">
        <v>0.16165639999999901</v>
      </c>
      <c r="Z3871">
        <v>9.8160780000000007E-3</v>
      </c>
      <c r="AA3871">
        <v>0.98679830000000002</v>
      </c>
      <c r="AB3871">
        <v>29</v>
      </c>
      <c r="AC3871">
        <v>-23.825899999999901</v>
      </c>
      <c r="AD3871">
        <v>-1.1021720149249901</v>
      </c>
      <c r="AE3871">
        <v>0.71130000000002203</v>
      </c>
      <c r="AF3871">
        <v>3.8990733635381098</v>
      </c>
      <c r="AG3871">
        <v>-1.1021720149249901</v>
      </c>
      <c r="AH3871">
        <v>23.4639060829704</v>
      </c>
      <c r="AI3871">
        <v>92.653054936019203</v>
      </c>
      <c r="AJ3871">
        <v>80.565187009832499</v>
      </c>
      <c r="AK3871">
        <v>23.811183190156498</v>
      </c>
    </row>
    <row r="3872" spans="1:37" x14ac:dyDescent="0.2">
      <c r="A3872" t="str">
        <f>"20200111155927035"</f>
        <v>20200111155927035</v>
      </c>
      <c r="B3872" t="str">
        <f>"1578729567026409"</f>
        <v>1578729567026409</v>
      </c>
      <c r="C3872" t="s">
        <v>37</v>
      </c>
      <c r="D3872">
        <v>5.7531530000000002</v>
      </c>
      <c r="E3872">
        <v>0.56354490000000002</v>
      </c>
      <c r="F3872" t="s">
        <v>39</v>
      </c>
      <c r="G3872">
        <v>-265.49520000000001</v>
      </c>
      <c r="H3872" s="1">
        <v>-3.9695330000000001E-6</v>
      </c>
      <c r="I3872">
        <v>148.4307</v>
      </c>
      <c r="J3872">
        <v>-226.88480000000001</v>
      </c>
      <c r="K3872">
        <v>1.1022160000000001</v>
      </c>
      <c r="L3872">
        <v>143.8537</v>
      </c>
      <c r="M3872">
        <v>-0.99106079999999996</v>
      </c>
      <c r="N3872">
        <v>0</v>
      </c>
      <c r="O3872">
        <v>-0.13334470000000001</v>
      </c>
      <c r="P3872">
        <v>-0.99881239999999905</v>
      </c>
      <c r="Q3872">
        <v>1.8668299999999999E-2</v>
      </c>
      <c r="R3872">
        <v>-4.5006209999999998E-2</v>
      </c>
      <c r="S3872">
        <v>-3.0216059999999998</v>
      </c>
      <c r="T3872">
        <v>-8.5627079999999994E-2</v>
      </c>
      <c r="U3872">
        <v>0.3526917</v>
      </c>
      <c r="V3872">
        <v>8.8631810000000005E-2</v>
      </c>
      <c r="W3872">
        <v>2.267864E-2</v>
      </c>
      <c r="X3872">
        <v>0.99580630000000003</v>
      </c>
      <c r="Y3872">
        <v>0.24719639999999901</v>
      </c>
      <c r="Z3872">
        <v>7.2541559999999899E-3</v>
      </c>
      <c r="AA3872">
        <v>0.96893819999999997</v>
      </c>
      <c r="AB3872">
        <v>29</v>
      </c>
      <c r="AC3872">
        <v>-38.610399999999998</v>
      </c>
      <c r="AD3872">
        <v>-1.1022199695329999</v>
      </c>
      <c r="AE3872">
        <v>4.5769999999999902</v>
      </c>
      <c r="AF3872">
        <v>9.6768862676842708</v>
      </c>
      <c r="AG3872">
        <v>-1.1022199695329999</v>
      </c>
      <c r="AH3872">
        <v>37.625030730944403</v>
      </c>
      <c r="AI3872">
        <v>91.625132529115305</v>
      </c>
      <c r="AJ3872">
        <v>75.576543916549895</v>
      </c>
      <c r="AK3872">
        <v>38.865150896445101</v>
      </c>
    </row>
    <row r="3873" spans="1:37" x14ac:dyDescent="0.2">
      <c r="A3873" t="str">
        <f>"20200111155927056"</f>
        <v>20200111155927056</v>
      </c>
      <c r="B3873" t="str">
        <f>"1578729567045926"</f>
        <v>1578729567045926</v>
      </c>
      <c r="C3873" t="s">
        <v>37</v>
      </c>
      <c r="D3873">
        <v>5.698995</v>
      </c>
      <c r="E3873">
        <v>0.56308760000000002</v>
      </c>
      <c r="F3873" t="s">
        <v>39</v>
      </c>
      <c r="G3873">
        <v>-256.30959999999999</v>
      </c>
      <c r="H3873" s="1">
        <v>-3.50750999999999E-6</v>
      </c>
      <c r="I3873">
        <v>147.38839999999999</v>
      </c>
      <c r="J3873">
        <v>-227.1679</v>
      </c>
      <c r="K3873">
        <v>1.1022540000000001</v>
      </c>
      <c r="L3873">
        <v>143.8167</v>
      </c>
      <c r="M3873">
        <v>-0.99119360000000001</v>
      </c>
      <c r="N3873">
        <v>0</v>
      </c>
      <c r="O3873">
        <v>-0.13235269999999999</v>
      </c>
      <c r="P3873">
        <v>-0.99884200000000001</v>
      </c>
      <c r="Q3873">
        <v>1.7755320000000002E-2</v>
      </c>
      <c r="R3873">
        <v>-4.4713620000000003E-2</v>
      </c>
      <c r="S3873">
        <v>-3.0220340000000001</v>
      </c>
      <c r="T3873">
        <v>-0.11320230000000001</v>
      </c>
      <c r="U3873">
        <v>0.363037099999999</v>
      </c>
      <c r="V3873">
        <v>8.7923970000000004E-2</v>
      </c>
      <c r="W3873">
        <v>2.1794330000000001E-2</v>
      </c>
      <c r="X3873">
        <v>0.99588880000000002</v>
      </c>
      <c r="Y3873">
        <v>0.2493678</v>
      </c>
      <c r="Z3873">
        <v>9.5894559999999997E-3</v>
      </c>
      <c r="AA3873">
        <v>0.96836139999999904</v>
      </c>
      <c r="AB3873">
        <v>29</v>
      </c>
      <c r="AC3873">
        <v>-29.141699999999901</v>
      </c>
      <c r="AD3873">
        <v>-1.1022575075100001</v>
      </c>
      <c r="AE3873">
        <v>3.5716999999999901</v>
      </c>
      <c r="AF3873">
        <v>7.3868837567504997</v>
      </c>
      <c r="AG3873">
        <v>-1.1022575075100001</v>
      </c>
      <c r="AH3873">
        <v>28.3726074363999</v>
      </c>
      <c r="AI3873">
        <v>92.153080908728498</v>
      </c>
      <c r="AJ3873">
        <v>75.406859044036594</v>
      </c>
      <c r="AK3873">
        <v>29.339152611973301</v>
      </c>
    </row>
    <row r="3874" spans="1:37" x14ac:dyDescent="0.2">
      <c r="A3874" t="str">
        <f>"20200111155927079"</f>
        <v>20200111155927079</v>
      </c>
      <c r="B3874" t="str">
        <f>"1578729567076183"</f>
        <v>1578729567076183</v>
      </c>
      <c r="C3874" t="s">
        <v>37</v>
      </c>
      <c r="D3874">
        <v>5.7758180000000001</v>
      </c>
      <c r="E3874">
        <v>0.56297739999999996</v>
      </c>
      <c r="F3874" t="s">
        <v>39</v>
      </c>
      <c r="G3874">
        <v>-249.96860000000001</v>
      </c>
      <c r="H3874" s="1">
        <v>-5.5121409999999998E-6</v>
      </c>
      <c r="I3874">
        <v>146.52459999999999</v>
      </c>
      <c r="J3874">
        <v>-227.44820000000001</v>
      </c>
      <c r="K3874">
        <v>1.102282</v>
      </c>
      <c r="L3874">
        <v>143.78020000000001</v>
      </c>
      <c r="M3874">
        <v>-0.99131449999999999</v>
      </c>
      <c r="N3874">
        <v>0</v>
      </c>
      <c r="O3874">
        <v>-0.13144600000000001</v>
      </c>
      <c r="P3874">
        <v>-0.99889519999999998</v>
      </c>
      <c r="Q3874">
        <v>1.680282E-2</v>
      </c>
      <c r="R3874">
        <v>-4.3891409999999999E-2</v>
      </c>
      <c r="S3874">
        <v>-3.0221100000000001</v>
      </c>
      <c r="T3874">
        <v>-0.1460986</v>
      </c>
      <c r="U3874">
        <v>0.35893249999999999</v>
      </c>
      <c r="V3874">
        <v>8.7830530000000004E-2</v>
      </c>
      <c r="W3874">
        <v>2.0845160000000001E-2</v>
      </c>
      <c r="X3874">
        <v>0.99591730000000001</v>
      </c>
      <c r="Y3874">
        <v>0.24700939999999999</v>
      </c>
      <c r="Z3874">
        <v>1.22735E-2</v>
      </c>
      <c r="AA3874">
        <v>0.968935399999999</v>
      </c>
      <c r="AB3874">
        <v>29</v>
      </c>
      <c r="AC3874">
        <v>-22.520399999999899</v>
      </c>
      <c r="AD3874">
        <v>-1.1022875121410001</v>
      </c>
      <c r="AE3874">
        <v>2.7443999999999802</v>
      </c>
      <c r="AF3874">
        <v>5.6674507642303302</v>
      </c>
      <c r="AG3874">
        <v>-1.1022875121410001</v>
      </c>
      <c r="AH3874">
        <v>21.912522715217499</v>
      </c>
      <c r="AI3874">
        <v>92.788183715958795</v>
      </c>
      <c r="AJ3874">
        <v>75.498806273911399</v>
      </c>
      <c r="AK3874">
        <v>22.6603991065763</v>
      </c>
    </row>
    <row r="3875" spans="1:37" x14ac:dyDescent="0.2">
      <c r="A3875" t="str">
        <f>"20200111155927101"</f>
        <v>20200111155927101</v>
      </c>
      <c r="B3875" t="str">
        <f>"1578729567095703"</f>
        <v>1578729567095703</v>
      </c>
      <c r="C3875" t="s">
        <v>37</v>
      </c>
      <c r="D3875">
        <v>5.7710109999999997</v>
      </c>
      <c r="E3875">
        <v>0.56241470000000005</v>
      </c>
      <c r="F3875" t="s">
        <v>39</v>
      </c>
      <c r="G3875">
        <v>-260.14530000000002</v>
      </c>
      <c r="H3875" s="1">
        <v>-5.6622599999999997E-6</v>
      </c>
      <c r="I3875">
        <v>147.7097</v>
      </c>
      <c r="J3875">
        <v>-227.7534</v>
      </c>
      <c r="K3875">
        <v>1.102311</v>
      </c>
      <c r="L3875">
        <v>143.7406</v>
      </c>
      <c r="M3875">
        <v>-0.9914347</v>
      </c>
      <c r="N3875">
        <v>0</v>
      </c>
      <c r="O3875">
        <v>-0.1305364</v>
      </c>
      <c r="P3875">
        <v>-0.9989055</v>
      </c>
      <c r="Q3875">
        <v>1.6453220000000001E-2</v>
      </c>
      <c r="R3875">
        <v>-4.3784589999999998E-2</v>
      </c>
      <c r="S3875">
        <v>-3.020966</v>
      </c>
      <c r="T3875">
        <v>-0.10184319999999999</v>
      </c>
      <c r="U3875">
        <v>0.36306759999999999</v>
      </c>
      <c r="V3875">
        <v>8.7020509999999995E-2</v>
      </c>
      <c r="W3875">
        <v>2.0476640000000001E-2</v>
      </c>
      <c r="X3875">
        <v>0.99599609999999905</v>
      </c>
      <c r="Y3875">
        <v>0.24769559999999999</v>
      </c>
      <c r="Z3875">
        <v>8.5419039999999995E-3</v>
      </c>
      <c r="AA3875">
        <v>0.9688002</v>
      </c>
      <c r="AB3875">
        <v>29</v>
      </c>
      <c r="AC3875">
        <v>-32.3919</v>
      </c>
      <c r="AD3875">
        <v>-1.10231666226</v>
      </c>
      <c r="AE3875">
        <v>3.9690999999999899</v>
      </c>
      <c r="AF3875">
        <v>8.1541932991778392</v>
      </c>
      <c r="AG3875">
        <v>-1.10231666226</v>
      </c>
      <c r="AH3875">
        <v>31.560608688927001</v>
      </c>
      <c r="AI3875">
        <v>91.936806427457199</v>
      </c>
      <c r="AJ3875">
        <v>75.513503248396304</v>
      </c>
      <c r="AK3875">
        <v>32.6156096248381</v>
      </c>
    </row>
    <row r="3876" spans="1:37" x14ac:dyDescent="0.2">
      <c r="A3876" t="str">
        <f>"20200111155927124"</f>
        <v>20200111155927124</v>
      </c>
      <c r="B3876" t="str">
        <f>"1578729567117175"</f>
        <v>1578729567117175</v>
      </c>
      <c r="C3876" t="s">
        <v>37</v>
      </c>
      <c r="D3876">
        <v>5.7755159999999997</v>
      </c>
      <c r="E3876">
        <v>0.56251139999999999</v>
      </c>
      <c r="F3876" t="s">
        <v>39</v>
      </c>
      <c r="G3876">
        <v>-264.52089999999998</v>
      </c>
      <c r="H3876" s="1">
        <v>-4.2455990000000002E-6</v>
      </c>
      <c r="I3876">
        <v>148.11789999999999</v>
      </c>
      <c r="J3876">
        <v>-228.0573</v>
      </c>
      <c r="K3876">
        <v>1.102344</v>
      </c>
      <c r="L3876">
        <v>143.70150000000001</v>
      </c>
      <c r="M3876">
        <v>-0.99154370000000003</v>
      </c>
      <c r="N3876">
        <v>0</v>
      </c>
      <c r="O3876">
        <v>-0.1297085</v>
      </c>
      <c r="P3876">
        <v>-0.99889419999999995</v>
      </c>
      <c r="Q3876">
        <v>1.6821320000000001E-2</v>
      </c>
      <c r="R3876">
        <v>-4.3905E-2</v>
      </c>
      <c r="S3876">
        <v>-3.0205229999999998</v>
      </c>
      <c r="T3876">
        <v>-9.0557460000000006E-2</v>
      </c>
      <c r="U3876">
        <v>0.35960389999999998</v>
      </c>
      <c r="V3876">
        <v>8.6065710000000004E-2</v>
      </c>
      <c r="W3876">
        <v>2.0799870000000002E-2</v>
      </c>
      <c r="X3876">
        <v>0.99607230000000002</v>
      </c>
      <c r="Y3876">
        <v>0.24585319999999999</v>
      </c>
      <c r="Z3876">
        <v>7.5451469999999899E-3</v>
      </c>
      <c r="AA3876">
        <v>0.96927770000000002</v>
      </c>
      <c r="AB3876">
        <v>29</v>
      </c>
      <c r="AC3876">
        <v>-36.4635999999999</v>
      </c>
      <c r="AD3876">
        <v>-1.1023482455989999</v>
      </c>
      <c r="AE3876">
        <v>4.4163999999999799</v>
      </c>
      <c r="AF3876">
        <v>9.1005718087735907</v>
      </c>
      <c r="AG3876">
        <v>-1.1023482455989999</v>
      </c>
      <c r="AH3876">
        <v>35.550685549568698</v>
      </c>
      <c r="AI3876">
        <v>91.720600366637498</v>
      </c>
      <c r="AJ3876">
        <v>75.641274057108802</v>
      </c>
      <c r="AK3876">
        <v>36.713578168649398</v>
      </c>
    </row>
    <row r="3877" spans="1:37" x14ac:dyDescent="0.2">
      <c r="A3877" t="str">
        <f>"20200111155927169"</f>
        <v>20200111155927169</v>
      </c>
      <c r="B3877" t="str">
        <f>"1578729567165974"</f>
        <v>1578729567165974</v>
      </c>
      <c r="C3877" t="s">
        <v>37</v>
      </c>
      <c r="D3877">
        <v>5.7724169999999999</v>
      </c>
      <c r="E3877">
        <v>0.56262749999999995</v>
      </c>
      <c r="F3877" t="s">
        <v>39</v>
      </c>
      <c r="G3877">
        <v>-266.2457</v>
      </c>
      <c r="H3877" s="1">
        <v>-3.683171E-6</v>
      </c>
      <c r="I3877">
        <v>148.256</v>
      </c>
      <c r="J3877">
        <v>-228.6395</v>
      </c>
      <c r="K3877">
        <v>1.102392</v>
      </c>
      <c r="L3877">
        <v>143.62690000000001</v>
      </c>
      <c r="M3877">
        <v>-0.99172099999999996</v>
      </c>
      <c r="N3877">
        <v>0</v>
      </c>
      <c r="O3877">
        <v>-0.12835250000000001</v>
      </c>
      <c r="P3877">
        <v>-0.9988011</v>
      </c>
      <c r="Q3877">
        <v>1.9745699999999901E-2</v>
      </c>
      <c r="R3877">
        <v>-4.4794859999999999E-2</v>
      </c>
      <c r="S3877">
        <v>-3.0206300000000001</v>
      </c>
      <c r="T3877">
        <v>-8.7193729999999997E-2</v>
      </c>
      <c r="U3877">
        <v>0.36025999999999903</v>
      </c>
      <c r="V3877">
        <v>8.3807569999999998E-2</v>
      </c>
      <c r="W3877">
        <v>2.3529089999999999E-2</v>
      </c>
      <c r="X3877">
        <v>0.99620409999999904</v>
      </c>
      <c r="Y3877">
        <v>0.244744299999999</v>
      </c>
      <c r="Z3877">
        <v>7.2098209999999999E-3</v>
      </c>
      <c r="AA3877">
        <v>0.96956089999999995</v>
      </c>
      <c r="AB3877">
        <v>30</v>
      </c>
      <c r="AC3877">
        <v>-37.606200000000001</v>
      </c>
      <c r="AD3877">
        <v>-1.102395683171</v>
      </c>
      <c r="AE3877">
        <v>4.6290999999999896</v>
      </c>
      <c r="AF3877">
        <v>9.4097312408714497</v>
      </c>
      <c r="AG3877">
        <v>-1.102395683171</v>
      </c>
      <c r="AH3877">
        <v>36.669937734338802</v>
      </c>
      <c r="AI3877">
        <v>91.667937924795694</v>
      </c>
      <c r="AJ3877">
        <v>75.608074876404004</v>
      </c>
      <c r="AK3877">
        <v>37.874036643959499</v>
      </c>
    </row>
    <row r="3878" spans="1:37" x14ac:dyDescent="0.2">
      <c r="A3878" t="str">
        <f>"20200111155927192"</f>
        <v>20200111155927192</v>
      </c>
      <c r="B3878" t="str">
        <f>"1578729567186471"</f>
        <v>1578729567186471</v>
      </c>
      <c r="C3878" t="s">
        <v>37</v>
      </c>
      <c r="D3878">
        <v>5.7876719999999997</v>
      </c>
      <c r="E3878">
        <v>0.56245540000000005</v>
      </c>
      <c r="F3878" t="s">
        <v>39</v>
      </c>
      <c r="G3878">
        <v>-265.38909999999998</v>
      </c>
      <c r="H3878" s="1">
        <v>-3.9261989999999902E-6</v>
      </c>
      <c r="I3878">
        <v>147.9829</v>
      </c>
      <c r="J3878">
        <v>-228.94200000000001</v>
      </c>
      <c r="K3878">
        <v>1.102417</v>
      </c>
      <c r="L3878">
        <v>143.58840000000001</v>
      </c>
      <c r="M3878">
        <v>-0.99179969999999995</v>
      </c>
      <c r="N3878">
        <v>0</v>
      </c>
      <c r="O3878">
        <v>-0.12774730000000001</v>
      </c>
      <c r="P3878">
        <v>-0.99874560000000001</v>
      </c>
      <c r="Q3878">
        <v>2.1591920000000001E-2</v>
      </c>
      <c r="R3878">
        <v>-4.5179329999999997E-2</v>
      </c>
      <c r="S3878">
        <v>-3.0214539999999999</v>
      </c>
      <c r="T3878">
        <v>-9.0636129999999995E-2</v>
      </c>
      <c r="U3878">
        <v>0.35813899999999999</v>
      </c>
      <c r="V3878">
        <v>8.281057E-2</v>
      </c>
      <c r="W3878">
        <v>2.523566E-2</v>
      </c>
      <c r="X3878">
        <v>0.99624570000000001</v>
      </c>
      <c r="Y3878">
        <v>0.2434386</v>
      </c>
      <c r="Z3878">
        <v>7.4550179999999999E-3</v>
      </c>
      <c r="AA3878">
        <v>0.96988770000000002</v>
      </c>
      <c r="AB3878">
        <v>30</v>
      </c>
      <c r="AC3878">
        <v>-36.447099999999899</v>
      </c>
      <c r="AD3878">
        <v>-1.1024209261989999</v>
      </c>
      <c r="AE3878">
        <v>4.3944999999999901</v>
      </c>
      <c r="AF3878">
        <v>9.00642360605835</v>
      </c>
      <c r="AG3878">
        <v>-1.1024209261989999</v>
      </c>
      <c r="AH3878">
        <v>35.555023310775702</v>
      </c>
      <c r="AI3878">
        <v>91.721605963352204</v>
      </c>
      <c r="AJ3878">
        <v>75.785432109701702</v>
      </c>
      <c r="AK3878">
        <v>36.6945592792732</v>
      </c>
    </row>
    <row r="3879" spans="1:37" x14ac:dyDescent="0.2">
      <c r="A3879" t="str">
        <f>"20200111155927214"</f>
        <v>20200111155927214</v>
      </c>
      <c r="B3879" t="str">
        <f>"1578729567205991"</f>
        <v>1578729567205991</v>
      </c>
      <c r="C3879" t="s">
        <v>37</v>
      </c>
      <c r="D3879">
        <v>5.7609690000000002</v>
      </c>
      <c r="E3879">
        <v>0.56242919999999996</v>
      </c>
      <c r="F3879" t="s">
        <v>39</v>
      </c>
      <c r="G3879">
        <v>-263.1909</v>
      </c>
      <c r="H3879" s="1">
        <v>-4.6086740000000002E-6</v>
      </c>
      <c r="I3879">
        <v>147.613</v>
      </c>
      <c r="J3879">
        <v>-229.24019999999999</v>
      </c>
      <c r="K3879">
        <v>1.1024399999999901</v>
      </c>
      <c r="L3879">
        <v>143.5505</v>
      </c>
      <c r="M3879">
        <v>-0.99186929999999995</v>
      </c>
      <c r="N3879">
        <v>0</v>
      </c>
      <c r="O3879">
        <v>-0.1272104</v>
      </c>
      <c r="P3879">
        <v>-0.99869619999999903</v>
      </c>
      <c r="Q3879">
        <v>2.3511979999999998E-2</v>
      </c>
      <c r="R3879">
        <v>-4.5311379999999998E-2</v>
      </c>
      <c r="S3879">
        <v>-3.0219269999999998</v>
      </c>
      <c r="T3879">
        <v>-9.7271560000000007E-2</v>
      </c>
      <c r="U3879">
        <v>0.35511779999999998</v>
      </c>
      <c r="V3879">
        <v>8.2133239999999996E-2</v>
      </c>
      <c r="W3879">
        <v>2.6998879999999999E-2</v>
      </c>
      <c r="X3879">
        <v>0.99625560000000002</v>
      </c>
      <c r="Y3879">
        <v>0.241915299999999</v>
      </c>
      <c r="Z3879">
        <v>7.9580780000000004E-3</v>
      </c>
      <c r="AA3879">
        <v>0.97026469999999898</v>
      </c>
      <c r="AB3879">
        <v>30</v>
      </c>
      <c r="AC3879">
        <v>-33.950699999999998</v>
      </c>
      <c r="AD3879">
        <v>-1.1024446086739901</v>
      </c>
      <c r="AE3879">
        <v>4.0625</v>
      </c>
      <c r="AF3879">
        <v>8.3397351116026606</v>
      </c>
      <c r="AG3879">
        <v>-1.1024446086739901</v>
      </c>
      <c r="AH3879">
        <v>33.123643698392399</v>
      </c>
      <c r="AI3879">
        <v>91.848604733708399</v>
      </c>
      <c r="AJ3879">
        <v>75.868030582482007</v>
      </c>
      <c r="AK3879">
        <v>34.175171363212499</v>
      </c>
    </row>
    <row r="3880" spans="1:37" x14ac:dyDescent="0.2">
      <c r="A3880" t="str">
        <f>"20200111155927236"</f>
        <v>20200111155927236</v>
      </c>
      <c r="B3880" t="str">
        <f>"1578729567225510"</f>
        <v>1578729567225510</v>
      </c>
      <c r="C3880" t="s">
        <v>37</v>
      </c>
      <c r="D3880">
        <v>5.7672759999999998</v>
      </c>
      <c r="E3880">
        <v>0.56285479999999999</v>
      </c>
      <c r="F3880" t="s">
        <v>39</v>
      </c>
      <c r="G3880">
        <v>-263.58019999999999</v>
      </c>
      <c r="H3880" s="1">
        <v>-4.4697739999999997E-6</v>
      </c>
      <c r="I3880">
        <v>147.57689999999999</v>
      </c>
      <c r="J3880">
        <v>-229.52860000000001</v>
      </c>
      <c r="K3880">
        <v>1.1024590000000001</v>
      </c>
      <c r="L3880">
        <v>143.51400000000001</v>
      </c>
      <c r="M3880">
        <v>-0.9919289</v>
      </c>
      <c r="N3880">
        <v>0</v>
      </c>
      <c r="O3880">
        <v>-0.12674929999999901</v>
      </c>
      <c r="P3880">
        <v>-0.99867209999999995</v>
      </c>
      <c r="Q3880">
        <v>2.4666799999999999E-2</v>
      </c>
      <c r="R3880">
        <v>-4.523361E-2</v>
      </c>
      <c r="S3880">
        <v>-3.0222630000000001</v>
      </c>
      <c r="T3880">
        <v>-9.7026349999999997E-2</v>
      </c>
      <c r="U3880">
        <v>0.35437009999999902</v>
      </c>
      <c r="V3880">
        <v>8.1742789999999996E-2</v>
      </c>
      <c r="W3880">
        <v>2.798604E-2</v>
      </c>
      <c r="X3880">
        <v>0.99626049999999999</v>
      </c>
      <c r="Y3880">
        <v>0.241216399999999</v>
      </c>
      <c r="Z3880">
        <v>7.9113550000000001E-3</v>
      </c>
      <c r="AA3880">
        <v>0.9704391</v>
      </c>
      <c r="AB3880">
        <v>30</v>
      </c>
      <c r="AC3880">
        <v>-34.051599999999901</v>
      </c>
      <c r="AD3880">
        <v>-1.1024634697739999</v>
      </c>
      <c r="AE3880">
        <v>4.0628999999999804</v>
      </c>
      <c r="AF3880">
        <v>8.3375561628781192</v>
      </c>
      <c r="AG3880">
        <v>-1.1024634697739999</v>
      </c>
      <c r="AH3880">
        <v>33.227649451473603</v>
      </c>
      <c r="AI3880">
        <v>91.843225623453407</v>
      </c>
      <c r="AJ3880">
        <v>75.914035245990107</v>
      </c>
      <c r="AK3880">
        <v>34.275457058095498</v>
      </c>
    </row>
    <row r="3881" spans="1:37" x14ac:dyDescent="0.2">
      <c r="A3881" t="str">
        <f>"20200111155927257"</f>
        <v>20200111155927257</v>
      </c>
      <c r="B3881" t="str">
        <f>"1578729567246007"</f>
        <v>1578729567246007</v>
      </c>
      <c r="C3881" t="s">
        <v>37</v>
      </c>
      <c r="D3881">
        <v>5.7594900000000004</v>
      </c>
      <c r="E3881">
        <v>0.56277919999999904</v>
      </c>
      <c r="F3881" t="s">
        <v>39</v>
      </c>
      <c r="G3881">
        <v>-264.33159999999998</v>
      </c>
      <c r="H3881" s="1">
        <v>-4.2244989999999997E-6</v>
      </c>
      <c r="I3881">
        <v>147.63579999999999</v>
      </c>
      <c r="J3881">
        <v>-229.82679999999999</v>
      </c>
      <c r="K3881">
        <v>1.1024700000000001</v>
      </c>
      <c r="L3881">
        <v>143.47630000000001</v>
      </c>
      <c r="M3881">
        <v>-0.99198310000000001</v>
      </c>
      <c r="N3881">
        <v>0</v>
      </c>
      <c r="O3881">
        <v>-0.1263302</v>
      </c>
      <c r="P3881">
        <v>-0.9986469</v>
      </c>
      <c r="Q3881">
        <v>2.5458749999999999E-2</v>
      </c>
      <c r="R3881">
        <v>-4.5346289999999997E-2</v>
      </c>
      <c r="S3881">
        <v>-3.0225680000000001</v>
      </c>
      <c r="T3881">
        <v>-9.5746520000000002E-2</v>
      </c>
      <c r="U3881">
        <v>0.35797119999999999</v>
      </c>
      <c r="V3881">
        <v>8.1204380000000007E-2</v>
      </c>
      <c r="W3881">
        <v>2.8589469999999999E-2</v>
      </c>
      <c r="X3881">
        <v>0.99628729999999999</v>
      </c>
      <c r="Y3881">
        <v>0.24193999999999999</v>
      </c>
      <c r="Z3881">
        <v>7.80402099999999E-3</v>
      </c>
      <c r="AA3881">
        <v>0.97025980000000001</v>
      </c>
      <c r="AB3881">
        <v>30</v>
      </c>
      <c r="AC3881">
        <v>-34.504799999999904</v>
      </c>
      <c r="AD3881">
        <v>-1.102474224499</v>
      </c>
      <c r="AE3881">
        <v>4.15949999999998</v>
      </c>
      <c r="AF3881">
        <v>8.4766655385339895</v>
      </c>
      <c r="AG3881">
        <v>-1.102474224499</v>
      </c>
      <c r="AH3881">
        <v>33.669000134848801</v>
      </c>
      <c r="AI3881">
        <v>91.818735723001595</v>
      </c>
      <c r="AJ3881">
        <v>75.868634181103005</v>
      </c>
      <c r="AK3881">
        <v>34.737168539596098</v>
      </c>
    </row>
    <row r="3882" spans="1:37" x14ac:dyDescent="0.2">
      <c r="A3882" t="str">
        <f>"20200111155927280"</f>
        <v>20200111155927280</v>
      </c>
      <c r="B3882" t="str">
        <f>"1578729567276262"</f>
        <v>1578729567276262</v>
      </c>
      <c r="C3882" t="s">
        <v>37</v>
      </c>
      <c r="D3882">
        <v>5.7780360000000002</v>
      </c>
      <c r="E3882">
        <v>0.56257440000000003</v>
      </c>
      <c r="F3882" t="s">
        <v>39</v>
      </c>
      <c r="G3882">
        <v>-262.6078</v>
      </c>
      <c r="H3882" s="1">
        <v>-4.759879E-6</v>
      </c>
      <c r="I3882">
        <v>147.34690000000001</v>
      </c>
      <c r="J3882">
        <v>-230.12360000000001</v>
      </c>
      <c r="K3882">
        <v>1.102474</v>
      </c>
      <c r="L3882">
        <v>143.43889999999999</v>
      </c>
      <c r="M3882">
        <v>-0.99203019999999997</v>
      </c>
      <c r="N3882">
        <v>0</v>
      </c>
      <c r="O3882">
        <v>-0.12596459999999901</v>
      </c>
      <c r="P3882">
        <v>-0.99861809999999995</v>
      </c>
      <c r="Q3882">
        <v>2.5986769999999999E-2</v>
      </c>
      <c r="R3882">
        <v>-4.5677740000000001E-2</v>
      </c>
      <c r="S3882">
        <v>-3.0228730000000001</v>
      </c>
      <c r="T3882">
        <v>-0.1016638</v>
      </c>
      <c r="U3882">
        <v>0.35693359999999902</v>
      </c>
      <c r="V3882">
        <v>8.0502110000000002E-2</v>
      </c>
      <c r="W3882">
        <v>2.8916919999999999E-2</v>
      </c>
      <c r="X3882">
        <v>0.99633490000000002</v>
      </c>
      <c r="Y3882">
        <v>0.24121979999999901</v>
      </c>
      <c r="Z3882">
        <v>8.2610849999999996E-3</v>
      </c>
      <c r="AA3882">
        <v>0.97043539999999995</v>
      </c>
      <c r="AB3882">
        <v>30</v>
      </c>
      <c r="AC3882">
        <v>-32.484199999999902</v>
      </c>
      <c r="AD3882">
        <v>-1.102478759879</v>
      </c>
      <c r="AE3882">
        <v>3.9080000000000101</v>
      </c>
      <c r="AF3882">
        <v>7.9597115530126299</v>
      </c>
      <c r="AG3882">
        <v>-1.102478759879</v>
      </c>
      <c r="AH3882">
        <v>31.697191053832501</v>
      </c>
      <c r="AI3882">
        <v>91.932095380972797</v>
      </c>
      <c r="AJ3882">
        <v>75.903524016076503</v>
      </c>
      <c r="AK3882">
        <v>32.6999141914212</v>
      </c>
    </row>
    <row r="3883" spans="1:37" x14ac:dyDescent="0.2">
      <c r="A3883" t="str">
        <f>"20200111155927302"</f>
        <v>20200111155927302</v>
      </c>
      <c r="B3883" t="str">
        <f>"1578729567295783"</f>
        <v>1578729567295783</v>
      </c>
      <c r="C3883" t="s">
        <v>37</v>
      </c>
      <c r="D3883">
        <v>5.7555309999999897</v>
      </c>
      <c r="E3883">
        <v>0.56249019999999905</v>
      </c>
      <c r="F3883" t="s">
        <v>39</v>
      </c>
      <c r="G3883">
        <v>-260.19389999999999</v>
      </c>
      <c r="H3883" s="1">
        <v>-5.5132E-6</v>
      </c>
      <c r="I3883">
        <v>146.96279999999999</v>
      </c>
      <c r="J3883">
        <v>-230.44069999999999</v>
      </c>
      <c r="K3883">
        <v>1.102473</v>
      </c>
      <c r="L3883">
        <v>143.399</v>
      </c>
      <c r="M3883">
        <v>-0.99207489999999998</v>
      </c>
      <c r="N3883">
        <v>0</v>
      </c>
      <c r="O3883">
        <v>-0.12561829999999999</v>
      </c>
      <c r="P3883">
        <v>-0.99859419999999899</v>
      </c>
      <c r="Q3883">
        <v>2.5654690000000001E-2</v>
      </c>
      <c r="R3883">
        <v>-4.6389970000000003E-2</v>
      </c>
      <c r="S3883">
        <v>-3.0232239999999999</v>
      </c>
      <c r="T3883">
        <v>-0.1108418</v>
      </c>
      <c r="U3883">
        <v>0.35429379999999999</v>
      </c>
      <c r="V3883">
        <v>7.9441910000000004E-2</v>
      </c>
      <c r="W3883">
        <v>2.835735E-2</v>
      </c>
      <c r="X3883">
        <v>0.99643609999999905</v>
      </c>
      <c r="Y3883">
        <v>0.23999419999999999</v>
      </c>
      <c r="Z3883">
        <v>8.9707450000000005E-3</v>
      </c>
      <c r="AA3883">
        <v>0.97073290000000001</v>
      </c>
      <c r="AB3883">
        <v>31</v>
      </c>
      <c r="AC3883">
        <v>-29.7532</v>
      </c>
      <c r="AD3883">
        <v>-1.1024785131999999</v>
      </c>
      <c r="AE3883">
        <v>3.5637999999999801</v>
      </c>
      <c r="AF3883">
        <v>7.2632984608370803</v>
      </c>
      <c r="AG3883">
        <v>-1.1024785131999999</v>
      </c>
      <c r="AH3883">
        <v>29.030537115289398</v>
      </c>
      <c r="AI3883">
        <v>92.109875912578104</v>
      </c>
      <c r="AJ3883">
        <v>75.953235559680493</v>
      </c>
      <c r="AK3883">
        <v>29.9456682778237</v>
      </c>
    </row>
    <row r="3884" spans="1:37" x14ac:dyDescent="0.2">
      <c r="A3884" t="str">
        <f>"20200111155927325"</f>
        <v>20200111155927325</v>
      </c>
      <c r="B3884" t="str">
        <f>"1578729567317255"</f>
        <v>1578729567317255</v>
      </c>
      <c r="C3884" t="s">
        <v>37</v>
      </c>
      <c r="D3884">
        <v>5.7810759999999997</v>
      </c>
      <c r="E3884">
        <v>0.56233900000000003</v>
      </c>
      <c r="F3884" t="s">
        <v>39</v>
      </c>
      <c r="G3884">
        <v>-258.6146</v>
      </c>
      <c r="H3884" s="1">
        <v>-2.45442999999999E-6</v>
      </c>
      <c r="I3884">
        <v>146.67339999999999</v>
      </c>
      <c r="J3884">
        <v>-230.7501</v>
      </c>
      <c r="K3884">
        <v>1.1024620000000001</v>
      </c>
      <c r="L3884">
        <v>143.36009999999999</v>
      </c>
      <c r="M3884">
        <v>-0.9921141</v>
      </c>
      <c r="N3884">
        <v>0</v>
      </c>
      <c r="O3884">
        <v>-0.12531289999999901</v>
      </c>
      <c r="P3884">
        <v>-0.99854169999999998</v>
      </c>
      <c r="Q3884">
        <v>2.5506549999999999E-2</v>
      </c>
      <c r="R3884">
        <v>-4.7580629999999999E-2</v>
      </c>
      <c r="S3884">
        <v>-3.02359</v>
      </c>
      <c r="T3884">
        <v>-0.1183168</v>
      </c>
      <c r="U3884">
        <v>0.35142519999999999</v>
      </c>
      <c r="V3884">
        <v>7.7944899999999998E-2</v>
      </c>
      <c r="W3884">
        <v>2.7980789999999998E-2</v>
      </c>
      <c r="X3884">
        <v>0.99656489999999998</v>
      </c>
      <c r="Y3884">
        <v>0.23874029999999999</v>
      </c>
      <c r="Z3884">
        <v>9.5382499999999999E-3</v>
      </c>
      <c r="AA3884">
        <v>0.97103660000000003</v>
      </c>
      <c r="AB3884">
        <v>31</v>
      </c>
      <c r="AC3884">
        <v>-27.8644999999999</v>
      </c>
      <c r="AD3884">
        <v>-1.10246445443</v>
      </c>
      <c r="AE3884">
        <v>3.3132999999999901</v>
      </c>
      <c r="AF3884">
        <v>6.7685265050124803</v>
      </c>
      <c r="AG3884">
        <v>-1.10246445443</v>
      </c>
      <c r="AH3884">
        <v>27.187683371595199</v>
      </c>
      <c r="AI3884">
        <v>92.253372991536196</v>
      </c>
      <c r="AJ3884">
        <v>76.020089136657802</v>
      </c>
      <c r="AK3884">
        <v>28.0392315521744</v>
      </c>
    </row>
    <row r="3885" spans="1:37" x14ac:dyDescent="0.2">
      <c r="A3885" t="str">
        <f>"20200111155927346"</f>
        <v>20200111155927346</v>
      </c>
      <c r="B3885" t="str">
        <f>"1578729567335798"</f>
        <v>1578729567335798</v>
      </c>
      <c r="C3885" t="s">
        <v>37</v>
      </c>
      <c r="D3885">
        <v>5.9879670000000003</v>
      </c>
      <c r="E3885">
        <v>0.56236640000000004</v>
      </c>
      <c r="F3885" t="s">
        <v>39</v>
      </c>
      <c r="G3885">
        <v>-257.41629999999998</v>
      </c>
      <c r="H3885" s="1">
        <v>-2.899778E-6</v>
      </c>
      <c r="I3885">
        <v>146.4152</v>
      </c>
      <c r="J3885">
        <v>-231.04990000000001</v>
      </c>
      <c r="K3885">
        <v>1.102441</v>
      </c>
      <c r="L3885">
        <v>143.32249999999999</v>
      </c>
      <c r="M3885">
        <v>-0.99214919999999995</v>
      </c>
      <c r="N3885">
        <v>0</v>
      </c>
      <c r="O3885">
        <v>-0.12503900000000001</v>
      </c>
      <c r="P3885">
        <v>-0.99844409999999895</v>
      </c>
      <c r="Q3885">
        <v>2.5280830000000001E-2</v>
      </c>
      <c r="R3885">
        <v>-4.9702259999999998E-2</v>
      </c>
      <c r="S3885">
        <v>-3.0240629999999999</v>
      </c>
      <c r="T3885">
        <v>-0.12502469999999999</v>
      </c>
      <c r="U3885">
        <v>0.34648129999999999</v>
      </c>
      <c r="V3885">
        <v>7.5550969999999995E-2</v>
      </c>
      <c r="W3885">
        <v>2.754179E-2</v>
      </c>
      <c r="X3885">
        <v>0.99676149999999997</v>
      </c>
      <c r="Y3885">
        <v>0.236857499999999</v>
      </c>
      <c r="Z3885">
        <v>1.002779E-2</v>
      </c>
      <c r="AA3885">
        <v>0.97149259999999904</v>
      </c>
      <c r="AB3885">
        <v>31</v>
      </c>
      <c r="AC3885">
        <v>-26.366399999999899</v>
      </c>
      <c r="AD3885">
        <v>-1.1024438997779999</v>
      </c>
      <c r="AE3885">
        <v>3.0926999999999998</v>
      </c>
      <c r="AF3885">
        <v>6.3543063688984196</v>
      </c>
      <c r="AG3885">
        <v>-1.1024438997779999</v>
      </c>
      <c r="AH3885">
        <v>25.728391734941098</v>
      </c>
      <c r="AI3885">
        <v>92.382094637607295</v>
      </c>
      <c r="AJ3885">
        <v>76.126919451363193</v>
      </c>
      <c r="AK3885">
        <v>26.5243799785889</v>
      </c>
    </row>
    <row r="3886" spans="1:37" x14ac:dyDescent="0.2">
      <c r="A3886" t="str">
        <f>"20200111155927368"</f>
        <v>20200111155927368</v>
      </c>
      <c r="B3886" t="str">
        <f>"1578729567366055"</f>
        <v>1578729567366055</v>
      </c>
      <c r="C3886" t="s">
        <v>37</v>
      </c>
      <c r="D3886">
        <v>5.783188</v>
      </c>
      <c r="E3886">
        <v>0.56236699999999995</v>
      </c>
      <c r="F3886" t="s">
        <v>39</v>
      </c>
      <c r="G3886">
        <v>-256.31720000000001</v>
      </c>
      <c r="H3886" s="1">
        <v>-3.2877709999999999E-6</v>
      </c>
      <c r="I3886">
        <v>146.1643</v>
      </c>
      <c r="J3886">
        <v>-231.36510000000001</v>
      </c>
      <c r="K3886">
        <v>1.102425</v>
      </c>
      <c r="L3886">
        <v>143.28299999999999</v>
      </c>
      <c r="M3886">
        <v>-0.99218430000000002</v>
      </c>
      <c r="N3886">
        <v>0</v>
      </c>
      <c r="O3886">
        <v>-0.1247635</v>
      </c>
      <c r="P3886">
        <v>-0.99835119999999899</v>
      </c>
      <c r="Q3886">
        <v>2.4606679999999999E-2</v>
      </c>
      <c r="R3886">
        <v>-5.1861520000000001E-2</v>
      </c>
      <c r="S3886">
        <v>-3.0249329999999999</v>
      </c>
      <c r="T3886">
        <v>-0.13198170000000001</v>
      </c>
      <c r="U3886">
        <v>0.34022520000000001</v>
      </c>
      <c r="V3886">
        <v>7.3118950000000002E-2</v>
      </c>
      <c r="W3886">
        <v>2.6658540000000001E-2</v>
      </c>
      <c r="X3886">
        <v>0.99696689999999999</v>
      </c>
      <c r="Y3886">
        <v>0.23453939999999901</v>
      </c>
      <c r="Z3886">
        <v>1.0520949999999999E-2</v>
      </c>
      <c r="AA3886">
        <v>0.97204969999999902</v>
      </c>
      <c r="AB3886">
        <v>31</v>
      </c>
      <c r="AC3886">
        <v>-24.952100000000002</v>
      </c>
      <c r="AD3886">
        <v>-1.1024282877709899</v>
      </c>
      <c r="AE3886">
        <v>2.8813</v>
      </c>
      <c r="AF3886">
        <v>5.9604232164960003</v>
      </c>
      <c r="AG3886">
        <v>-1.1024282877709899</v>
      </c>
      <c r="AH3886">
        <v>24.350746363517398</v>
      </c>
      <c r="AI3886">
        <v>92.517941547596095</v>
      </c>
      <c r="AJ3886">
        <v>76.245929706564198</v>
      </c>
      <c r="AK3886">
        <v>25.093840708623699</v>
      </c>
    </row>
    <row r="3887" spans="1:37" x14ac:dyDescent="0.2">
      <c r="A3887" t="str">
        <f>"20200111155927391"</f>
        <v>20200111155927391</v>
      </c>
      <c r="B3887" t="str">
        <f>"1578729567385576"</f>
        <v>1578729567385576</v>
      </c>
      <c r="C3887" t="s">
        <v>37</v>
      </c>
      <c r="D3887">
        <v>5.8216070000000002</v>
      </c>
      <c r="E3887">
        <v>0.56236309999999901</v>
      </c>
      <c r="F3887" t="s">
        <v>39</v>
      </c>
      <c r="G3887">
        <v>-254.95590000000001</v>
      </c>
      <c r="H3887" s="1">
        <v>-3.7010370000000002E-6</v>
      </c>
      <c r="I3887">
        <v>145.88249999999999</v>
      </c>
      <c r="J3887">
        <v>-231.6891</v>
      </c>
      <c r="K3887">
        <v>1.1024069999999999</v>
      </c>
      <c r="L3887">
        <v>143.24250000000001</v>
      </c>
      <c r="M3887">
        <v>-0.99221959999999998</v>
      </c>
      <c r="N3887">
        <v>0</v>
      </c>
      <c r="O3887">
        <v>-0.1244874</v>
      </c>
      <c r="P3887">
        <v>-0.99831179999999997</v>
      </c>
      <c r="Q3887">
        <v>2.3562909999999999E-2</v>
      </c>
      <c r="R3887">
        <v>-5.30915E-2</v>
      </c>
      <c r="S3887">
        <v>-3.0257419999999899</v>
      </c>
      <c r="T3887">
        <v>-0.1413971</v>
      </c>
      <c r="U3887">
        <v>0.33341979999999999</v>
      </c>
      <c r="V3887">
        <v>7.1614849999999994E-2</v>
      </c>
      <c r="W3887">
        <v>2.541823E-2</v>
      </c>
      <c r="X3887">
        <v>0.99710849999999995</v>
      </c>
      <c r="Y3887">
        <v>0.23203270000000001</v>
      </c>
      <c r="Z3887">
        <v>1.119772E-2</v>
      </c>
      <c r="AA3887">
        <v>0.97264359999999905</v>
      </c>
      <c r="AB3887">
        <v>32</v>
      </c>
      <c r="AC3887">
        <v>-23.2668</v>
      </c>
      <c r="AD3887">
        <v>-1.1024107010369999</v>
      </c>
      <c r="AE3887">
        <v>2.6399999999999801</v>
      </c>
      <c r="AF3887">
        <v>5.5036932191054797</v>
      </c>
      <c r="AG3887">
        <v>-1.1024107010369999</v>
      </c>
      <c r="AH3887">
        <v>22.706835571744499</v>
      </c>
      <c r="AI3887">
        <v>92.701413711897203</v>
      </c>
      <c r="AJ3887">
        <v>76.375374545140801</v>
      </c>
      <c r="AK3887">
        <v>23.3903041896857</v>
      </c>
    </row>
    <row r="3888" spans="1:37" x14ac:dyDescent="0.2">
      <c r="A3888" t="str">
        <f>"20200111155927414"</f>
        <v>20200111155927414</v>
      </c>
      <c r="B3888" t="str">
        <f>"1578729567406072"</f>
        <v>1578729567406072</v>
      </c>
      <c r="C3888" t="s">
        <v>37</v>
      </c>
      <c r="D3888">
        <v>5.7569470000000003</v>
      </c>
      <c r="E3888">
        <v>0.5624479</v>
      </c>
      <c r="F3888" t="s">
        <v>39</v>
      </c>
      <c r="G3888">
        <v>-254.03460000000001</v>
      </c>
      <c r="H3888" s="1">
        <v>-3.9776769999999996E-6</v>
      </c>
      <c r="I3888">
        <v>145.67449999999999</v>
      </c>
      <c r="J3888">
        <v>-232.01329999999999</v>
      </c>
      <c r="K3888">
        <v>1.102382</v>
      </c>
      <c r="L3888">
        <v>143.2021</v>
      </c>
      <c r="M3888">
        <v>-0.99225409999999903</v>
      </c>
      <c r="N3888">
        <v>0</v>
      </c>
      <c r="O3888">
        <v>-0.1242142</v>
      </c>
      <c r="P3888">
        <v>-0.99830059999999998</v>
      </c>
      <c r="Q3888">
        <v>2.3054089999999999E-2</v>
      </c>
      <c r="R3888">
        <v>-5.3526190000000001E-2</v>
      </c>
      <c r="S3888">
        <v>-3.0261079999999998</v>
      </c>
      <c r="T3888">
        <v>-0.1492927</v>
      </c>
      <c r="U3888">
        <v>0.32936100000000001</v>
      </c>
      <c r="V3888">
        <v>7.0906999999999998E-2</v>
      </c>
      <c r="W3888">
        <v>2.4734659999999999E-2</v>
      </c>
      <c r="X3888">
        <v>0.99717619999999896</v>
      </c>
      <c r="Y3888">
        <v>0.23042080000000001</v>
      </c>
      <c r="Z3888">
        <v>1.1768570000000001E-2</v>
      </c>
      <c r="AA3888">
        <v>0.97301990000000005</v>
      </c>
      <c r="AB3888">
        <v>32</v>
      </c>
      <c r="AC3888">
        <v>-22.0213</v>
      </c>
      <c r="AD3888">
        <v>-1.102385977677</v>
      </c>
      <c r="AE3888">
        <v>2.4723999999999902</v>
      </c>
      <c r="AF3888">
        <v>5.1758049150161103</v>
      </c>
      <c r="AG3888">
        <v>-1.102385977677</v>
      </c>
      <c r="AH3888">
        <v>21.490461654562399</v>
      </c>
      <c r="AI3888">
        <v>92.8550063959337</v>
      </c>
      <c r="AJ3888">
        <v>76.458661998615099</v>
      </c>
      <c r="AK3888">
        <v>22.132423127355501</v>
      </c>
    </row>
    <row r="3889" spans="1:37" x14ac:dyDescent="0.2">
      <c r="A3889" t="str">
        <f>"20200111155927436"</f>
        <v>20200111155927436</v>
      </c>
      <c r="B3889" t="str">
        <f>"1578729567425590"</f>
        <v>1578729567425590</v>
      </c>
      <c r="C3889" t="s">
        <v>37</v>
      </c>
      <c r="D3889">
        <v>6.1456869999999997</v>
      </c>
      <c r="E3889">
        <v>0.56239969999999995</v>
      </c>
      <c r="F3889" t="s">
        <v>39</v>
      </c>
      <c r="G3889">
        <v>-253.51390000000001</v>
      </c>
      <c r="H3889" s="1">
        <v>-4.1304469999999997E-6</v>
      </c>
      <c r="I3889">
        <v>145.5368</v>
      </c>
      <c r="J3889">
        <v>-232.31620000000001</v>
      </c>
      <c r="K3889">
        <v>1.1023670000000001</v>
      </c>
      <c r="L3889">
        <v>143.1644</v>
      </c>
      <c r="M3889">
        <v>-0.992286</v>
      </c>
      <c r="N3889">
        <v>0</v>
      </c>
      <c r="O3889">
        <v>-0.1239596</v>
      </c>
      <c r="P3889">
        <v>-0.99831569999999903</v>
      </c>
      <c r="Q3889">
        <v>2.2844340000000001E-2</v>
      </c>
      <c r="R3889">
        <v>-5.3330660000000002E-2</v>
      </c>
      <c r="S3889">
        <v>-3.0262910000000001</v>
      </c>
      <c r="T3889">
        <v>-0.1551652</v>
      </c>
      <c r="U3889">
        <v>0.32862849999999999</v>
      </c>
      <c r="V3889">
        <v>7.0846740000000005E-2</v>
      </c>
      <c r="W3889">
        <v>2.438048E-2</v>
      </c>
      <c r="X3889">
        <v>0.9971892</v>
      </c>
      <c r="Y3889">
        <v>0.22989879999999999</v>
      </c>
      <c r="Z3889">
        <v>1.220399E-2</v>
      </c>
      <c r="AA3889">
        <v>0.97313799999999995</v>
      </c>
      <c r="AB3889">
        <v>32</v>
      </c>
      <c r="AC3889">
        <v>-21.197700000000001</v>
      </c>
      <c r="AD3889">
        <v>-1.1023711304470001</v>
      </c>
      <c r="AE3889">
        <v>2.3723999999999901</v>
      </c>
      <c r="AF3889">
        <v>4.9684931830816499</v>
      </c>
      <c r="AG3889">
        <v>-1.1023711304470001</v>
      </c>
      <c r="AH3889">
        <v>20.6848761488761</v>
      </c>
      <c r="AI3889">
        <v>92.966394344800193</v>
      </c>
      <c r="AJ3889">
        <v>76.493468995945094</v>
      </c>
      <c r="AK3889">
        <v>21.301766309719799</v>
      </c>
    </row>
    <row r="3890" spans="1:37" x14ac:dyDescent="0.2">
      <c r="A3890" t="str">
        <f>"20200111155927457"</f>
        <v>20200111155927457</v>
      </c>
      <c r="B3890" t="str">
        <f>"1578729567446087"</f>
        <v>1578729567446087</v>
      </c>
      <c r="C3890" t="s">
        <v>37</v>
      </c>
      <c r="D3890">
        <v>5.7397010000000002</v>
      </c>
      <c r="E3890">
        <v>0.51794070000000003</v>
      </c>
      <c r="F3890" t="s">
        <v>39</v>
      </c>
      <c r="G3890">
        <v>-253.95609999999999</v>
      </c>
      <c r="H3890" s="1">
        <v>-3.9761739999999999E-6</v>
      </c>
      <c r="I3890">
        <v>145.5154</v>
      </c>
      <c r="J3890">
        <v>-232.6318</v>
      </c>
      <c r="K3890">
        <v>1.1023529999999999</v>
      </c>
      <c r="L3890">
        <v>143.12520000000001</v>
      </c>
      <c r="M3890">
        <v>-0.99231939999999996</v>
      </c>
      <c r="N3890">
        <v>0</v>
      </c>
      <c r="O3890">
        <v>-0.12369479999999999</v>
      </c>
      <c r="P3890">
        <v>-0.99837749999999903</v>
      </c>
      <c r="Q3890">
        <v>2.191282E-2</v>
      </c>
      <c r="R3890">
        <v>-5.2561820000000002E-2</v>
      </c>
      <c r="S3890">
        <v>-3.0261689999999999</v>
      </c>
      <c r="T3890">
        <v>-0.1541583</v>
      </c>
      <c r="U3890">
        <v>0.32878109999999999</v>
      </c>
      <c r="V3890">
        <v>7.1350579999999997E-2</v>
      </c>
      <c r="W3890">
        <v>2.331743E-2</v>
      </c>
      <c r="X3890">
        <v>0.99717869999999997</v>
      </c>
      <c r="Y3890">
        <v>0.2296984</v>
      </c>
      <c r="Z3890">
        <v>1.2106850000000001E-2</v>
      </c>
      <c r="AA3890">
        <v>0.97318660000000001</v>
      </c>
      <c r="AB3890">
        <v>32</v>
      </c>
      <c r="AC3890">
        <v>-21.324299999999901</v>
      </c>
      <c r="AD3890">
        <v>-1.102356976174</v>
      </c>
      <c r="AE3890">
        <v>2.3901999999999899</v>
      </c>
      <c r="AF3890">
        <v>4.9963649596717499</v>
      </c>
      <c r="AG3890">
        <v>-1.102356976174</v>
      </c>
      <c r="AH3890">
        <v>20.8099584230632</v>
      </c>
      <c r="AI3890">
        <v>92.948627807078594</v>
      </c>
      <c r="AJ3890">
        <v>76.499125405309897</v>
      </c>
      <c r="AK3890">
        <v>21.4297275596956</v>
      </c>
    </row>
    <row r="3891" spans="1:37" x14ac:dyDescent="0.2">
      <c r="A3891" t="str">
        <f>"20200111155927481"</f>
        <v>20200111155927481</v>
      </c>
      <c r="B3891" t="str">
        <f>"1578729567476343"</f>
        <v>1578729567476343</v>
      </c>
      <c r="C3891" t="s">
        <v>37</v>
      </c>
      <c r="D3891">
        <v>5.9166040000000004</v>
      </c>
      <c r="E3891">
        <v>0.51187280000000002</v>
      </c>
      <c r="F3891" t="s">
        <v>38</v>
      </c>
      <c r="G3891">
        <v>-233.46979999999999</v>
      </c>
      <c r="H3891">
        <v>1.04789</v>
      </c>
      <c r="I3891">
        <v>143.11859999999999</v>
      </c>
      <c r="J3891">
        <v>-232.9622</v>
      </c>
      <c r="K3891">
        <v>1.102347</v>
      </c>
      <c r="L3891">
        <v>143.08430000000001</v>
      </c>
      <c r="M3891">
        <v>-0.99235419999999996</v>
      </c>
      <c r="N3891">
        <v>0</v>
      </c>
      <c r="O3891">
        <v>-0.1234176</v>
      </c>
      <c r="P3891">
        <v>-0.99840620000000002</v>
      </c>
      <c r="Q3891">
        <v>2.2342859999999999E-2</v>
      </c>
      <c r="R3891">
        <v>-5.1829750000000001E-2</v>
      </c>
      <c r="S3891">
        <v>-3.007889</v>
      </c>
      <c r="T3891">
        <v>-0.19556799999999999</v>
      </c>
      <c r="U3891">
        <v>-2.471924E-2</v>
      </c>
      <c r="V3891">
        <v>7.1802110000000002E-2</v>
      </c>
      <c r="W3891">
        <v>2.363063E-2</v>
      </c>
      <c r="X3891">
        <v>0.99713890000000005</v>
      </c>
      <c r="Y3891">
        <v>0.1147567</v>
      </c>
      <c r="Z3891">
        <v>1.172605E-2</v>
      </c>
      <c r="AA3891">
        <v>0.9933244</v>
      </c>
      <c r="AB3891">
        <v>32</v>
      </c>
      <c r="AC3891">
        <v>-0.50759999999999605</v>
      </c>
      <c r="AD3891">
        <v>-5.4456999999999901E-2</v>
      </c>
      <c r="AE3891">
        <v>3.4299999999973303E-2</v>
      </c>
      <c r="AF3891">
        <v>9.5589377909636702E-2</v>
      </c>
      <c r="AG3891">
        <v>-5.4456999999999901E-2</v>
      </c>
      <c r="AH3891">
        <v>0.49382809645428799</v>
      </c>
      <c r="AI3891">
        <v>96.179093552985904</v>
      </c>
      <c r="AJ3891">
        <v>79.044847385638704</v>
      </c>
      <c r="AK3891">
        <v>0.50593387202856599</v>
      </c>
    </row>
    <row r="3892" spans="1:37" x14ac:dyDescent="0.2">
      <c r="A3892" t="str">
        <f>"20200111155927504"</f>
        <v>20200111155927504</v>
      </c>
      <c r="B3892" t="str">
        <f>"1578729567495863"</f>
        <v>1578729567495863</v>
      </c>
      <c r="C3892" t="s">
        <v>37</v>
      </c>
      <c r="D3892">
        <v>5.7355669999999996</v>
      </c>
      <c r="E3892">
        <v>0.51085360000000002</v>
      </c>
      <c r="F3892" t="s">
        <v>38</v>
      </c>
      <c r="G3892">
        <v>-233.76429999999999</v>
      </c>
      <c r="H3892">
        <v>1.056109</v>
      </c>
      <c r="I3892">
        <v>143.0658</v>
      </c>
      <c r="J3892">
        <v>-233.31209999999999</v>
      </c>
      <c r="K3892">
        <v>1.102333</v>
      </c>
      <c r="L3892">
        <v>143.0411</v>
      </c>
      <c r="M3892">
        <v>-0.99239049999999995</v>
      </c>
      <c r="N3892">
        <v>0</v>
      </c>
      <c r="O3892">
        <v>-0.12312439999999999</v>
      </c>
      <c r="P3892">
        <v>-0.99842629999999999</v>
      </c>
      <c r="Q3892">
        <v>2.3028960000000001E-2</v>
      </c>
      <c r="R3892">
        <v>-5.1136389999999997E-2</v>
      </c>
      <c r="S3892">
        <v>-3.00502</v>
      </c>
      <c r="T3892">
        <v>-0.1732986</v>
      </c>
      <c r="U3892">
        <v>-6.997681E-2</v>
      </c>
      <c r="V3892">
        <v>7.2198509999999994E-2</v>
      </c>
      <c r="W3892">
        <v>2.421268E-2</v>
      </c>
      <c r="X3892">
        <v>0.99709639999999999</v>
      </c>
      <c r="Y3892">
        <v>9.9619120000000005E-2</v>
      </c>
      <c r="Z3892">
        <v>9.9473369999999901E-3</v>
      </c>
      <c r="AA3892">
        <v>0.99497590000000002</v>
      </c>
      <c r="AB3892">
        <v>33</v>
      </c>
      <c r="AC3892">
        <v>-0.45220000000000399</v>
      </c>
      <c r="AD3892">
        <v>-4.6224000000000001E-2</v>
      </c>
      <c r="AE3892">
        <v>2.4699999999995701E-2</v>
      </c>
      <c r="AF3892">
        <v>7.9362171225634701E-2</v>
      </c>
      <c r="AG3892">
        <v>-4.6224000000000001E-2</v>
      </c>
      <c r="AH3892">
        <v>0.44112257053183301</v>
      </c>
      <c r="AI3892">
        <v>95.888179536419202</v>
      </c>
      <c r="AJ3892">
        <v>79.801045105488996</v>
      </c>
      <c r="AK3892">
        <v>0.45058199545727401</v>
      </c>
    </row>
    <row r="3893" spans="1:37" x14ac:dyDescent="0.2">
      <c r="A3893" t="str">
        <f>"20200111155927526"</f>
        <v>20200111155927526</v>
      </c>
      <c r="B3893" t="str">
        <f>"1578729567516358"</f>
        <v>1578729567516358</v>
      </c>
      <c r="C3893" t="s">
        <v>37</v>
      </c>
      <c r="D3893">
        <v>5.7205839999999997</v>
      </c>
      <c r="E3893">
        <v>0.51069830000000005</v>
      </c>
      <c r="F3893" t="s">
        <v>38</v>
      </c>
      <c r="G3893">
        <v>-234.0558</v>
      </c>
      <c r="H3893">
        <v>1.056751</v>
      </c>
      <c r="I3893">
        <v>143.0224</v>
      </c>
      <c r="J3893">
        <v>-233.63140000000001</v>
      </c>
      <c r="K3893">
        <v>1.1023209999999899</v>
      </c>
      <c r="L3893">
        <v>143.0017</v>
      </c>
      <c r="M3893">
        <v>-0.99242410000000003</v>
      </c>
      <c r="N3893">
        <v>0</v>
      </c>
      <c r="O3893">
        <v>-0.12285499999999901</v>
      </c>
      <c r="P3893">
        <v>-0.99846819999999903</v>
      </c>
      <c r="Q3893">
        <v>2.2711519999999999E-2</v>
      </c>
      <c r="R3893">
        <v>-5.0457309999999998E-2</v>
      </c>
      <c r="S3893">
        <v>-3.0050509999999999</v>
      </c>
      <c r="T3893">
        <v>-0.18431400000000001</v>
      </c>
      <c r="U3893">
        <v>-7.6583860000000004E-2</v>
      </c>
      <c r="V3893">
        <v>7.2606760000000006E-2</v>
      </c>
      <c r="W3893">
        <v>2.3817499999999998E-2</v>
      </c>
      <c r="X3893">
        <v>0.99707619999999897</v>
      </c>
      <c r="Y3893">
        <v>9.7119490000000003E-2</v>
      </c>
      <c r="Z3893">
        <v>1.048485E-2</v>
      </c>
      <c r="AA3893">
        <v>0.99521749999999998</v>
      </c>
      <c r="AB3893">
        <v>33</v>
      </c>
      <c r="AC3893">
        <v>-0.42439999999999101</v>
      </c>
      <c r="AD3893">
        <v>-4.5569999999999798E-2</v>
      </c>
      <c r="AE3893">
        <v>2.0700000000004999E-2</v>
      </c>
      <c r="AF3893">
        <v>7.1856383283477696E-2</v>
      </c>
      <c r="AG3893">
        <v>-4.5569999999999798E-2</v>
      </c>
      <c r="AH3893">
        <v>0.41388142430799002</v>
      </c>
      <c r="AI3893">
        <v>96.191303422863399</v>
      </c>
      <c r="AJ3893">
        <v>80.150720839611907</v>
      </c>
      <c r="AK3893">
        <v>0.42253733338699501</v>
      </c>
    </row>
    <row r="3894" spans="1:37" x14ac:dyDescent="0.2">
      <c r="A3894" t="str">
        <f>"20200111155927547"</f>
        <v>20200111155927547</v>
      </c>
      <c r="B3894" t="str">
        <f>"1578729567535878"</f>
        <v>1578729567535878</v>
      </c>
      <c r="C3894" t="s">
        <v>37</v>
      </c>
      <c r="D3894">
        <v>5.7135030000000002</v>
      </c>
      <c r="E3894">
        <v>0.5114398</v>
      </c>
      <c r="F3894" t="s">
        <v>38</v>
      </c>
      <c r="G3894">
        <v>-234.63759999999999</v>
      </c>
      <c r="H3894">
        <v>1.0369740000000001</v>
      </c>
      <c r="I3894">
        <v>142.97630000000001</v>
      </c>
      <c r="J3894">
        <v>-233.94229999999999</v>
      </c>
      <c r="K3894">
        <v>1.1023049999999901</v>
      </c>
      <c r="L3894">
        <v>142.96350000000001</v>
      </c>
      <c r="M3894">
        <v>-0.99245720000000004</v>
      </c>
      <c r="N3894">
        <v>0</v>
      </c>
      <c r="O3894">
        <v>-0.1225875</v>
      </c>
      <c r="P3894">
        <v>-0.99850490000000003</v>
      </c>
      <c r="Q3894">
        <v>2.2229869999999999E-2</v>
      </c>
      <c r="R3894">
        <v>-4.9942630000000002E-2</v>
      </c>
      <c r="S3894">
        <v>-3.005188</v>
      </c>
      <c r="T3894">
        <v>-0.1952583</v>
      </c>
      <c r="U3894">
        <v>-7.6232910000000001E-2</v>
      </c>
      <c r="V3894">
        <v>7.2853340000000003E-2</v>
      </c>
      <c r="W3894">
        <v>2.3274530000000002E-2</v>
      </c>
      <c r="X3894">
        <v>0.99707099999999904</v>
      </c>
      <c r="Y3894">
        <v>9.691922E-2</v>
      </c>
      <c r="Z3894">
        <v>1.108193E-2</v>
      </c>
      <c r="AA3894">
        <v>0.99523059999999997</v>
      </c>
      <c r="AB3894">
        <v>33</v>
      </c>
      <c r="AC3894">
        <v>-0.69530000000000303</v>
      </c>
      <c r="AD3894">
        <v>-6.5330999999999806E-2</v>
      </c>
      <c r="AE3894">
        <v>1.27999999999985E-2</v>
      </c>
      <c r="AF3894">
        <v>9.7081780027522005E-2</v>
      </c>
      <c r="AG3894">
        <v>-6.5330999999999806E-2</v>
      </c>
      <c r="AH3894">
        <v>0.68246353086191802</v>
      </c>
      <c r="AI3894">
        <v>95.4139842143598</v>
      </c>
      <c r="AJ3894">
        <v>81.903881033771</v>
      </c>
      <c r="AK3894">
        <v>0.69242290728342304</v>
      </c>
    </row>
    <row r="3895" spans="1:37" x14ac:dyDescent="0.2">
      <c r="A3895" t="str">
        <f>"20200111155927570"</f>
        <v>20200111155927570</v>
      </c>
      <c r="B3895" t="str">
        <f>"1578729567566134"</f>
        <v>1578729567566134</v>
      </c>
      <c r="C3895" t="s">
        <v>37</v>
      </c>
      <c r="D3895">
        <v>5.7013569999999998</v>
      </c>
      <c r="E3895">
        <v>0.51261480000000004</v>
      </c>
      <c r="F3895" t="s">
        <v>38</v>
      </c>
      <c r="G3895">
        <v>-234.9348</v>
      </c>
      <c r="H3895">
        <v>1.0361610000000001</v>
      </c>
      <c r="I3895">
        <v>142.9408</v>
      </c>
      <c r="J3895">
        <v>-234.2851</v>
      </c>
      <c r="K3895">
        <v>1.1022909999999999</v>
      </c>
      <c r="L3895">
        <v>142.92140000000001</v>
      </c>
      <c r="M3895">
        <v>-0.99249430000000005</v>
      </c>
      <c r="N3895">
        <v>0</v>
      </c>
      <c r="O3895">
        <v>-0.122286899999999</v>
      </c>
      <c r="P3895">
        <v>-0.99853530000000001</v>
      </c>
      <c r="Q3895">
        <v>2.1684680000000001E-2</v>
      </c>
      <c r="R3895">
        <v>-4.9567689999999998E-2</v>
      </c>
      <c r="S3895">
        <v>-3.005493</v>
      </c>
      <c r="T3895">
        <v>-0.20034949999999899</v>
      </c>
      <c r="U3895">
        <v>-6.9183350000000005E-2</v>
      </c>
      <c r="V3895">
        <v>7.2927019999999995E-2</v>
      </c>
      <c r="W3895">
        <v>2.267483E-2</v>
      </c>
      <c r="X3895">
        <v>0.99707950000000001</v>
      </c>
      <c r="Y3895">
        <v>9.892513E-2</v>
      </c>
      <c r="Z3895">
        <v>1.1416610000000001E-2</v>
      </c>
      <c r="AA3895">
        <v>0.99502939999999995</v>
      </c>
      <c r="AB3895">
        <v>33</v>
      </c>
      <c r="AC3895">
        <v>-0.64969999999999495</v>
      </c>
      <c r="AD3895">
        <v>-6.61299999999998E-2</v>
      </c>
      <c r="AE3895">
        <v>1.93999999999903E-2</v>
      </c>
      <c r="AF3895">
        <v>9.7693011734210494E-2</v>
      </c>
      <c r="AG3895">
        <v>-6.61299999999998E-2</v>
      </c>
      <c r="AH3895">
        <v>0.63586957958550105</v>
      </c>
      <c r="AI3895">
        <v>95.869003491131195</v>
      </c>
      <c r="AJ3895">
        <v>81.265551954143305</v>
      </c>
      <c r="AK3895">
        <v>0.64672035972585795</v>
      </c>
    </row>
    <row r="3896" spans="1:37" x14ac:dyDescent="0.2">
      <c r="A3896" t="str">
        <f>"20200111155927593"</f>
        <v>20200111155927593</v>
      </c>
      <c r="B3896" t="str">
        <f>"1578729567585655"</f>
        <v>1578729567585655</v>
      </c>
      <c r="C3896" t="s">
        <v>37</v>
      </c>
      <c r="D3896">
        <v>6.0091449999999904</v>
      </c>
      <c r="E3896">
        <v>0.51292280000000001</v>
      </c>
      <c r="F3896" t="s">
        <v>38</v>
      </c>
      <c r="G3896">
        <v>-235.23429999999999</v>
      </c>
      <c r="H3896">
        <v>1.037312</v>
      </c>
      <c r="I3896">
        <v>142.90289999999999</v>
      </c>
      <c r="J3896">
        <v>-234.62989999999999</v>
      </c>
      <c r="K3896">
        <v>1.1022700000000001</v>
      </c>
      <c r="L3896">
        <v>142.8792</v>
      </c>
      <c r="M3896">
        <v>-0.99253259999999899</v>
      </c>
      <c r="N3896">
        <v>0</v>
      </c>
      <c r="O3896">
        <v>-0.1219758</v>
      </c>
      <c r="P3896">
        <v>-0.99858279999999999</v>
      </c>
      <c r="Q3896">
        <v>2.080508E-2</v>
      </c>
      <c r="R3896">
        <v>-4.8986519999999999E-2</v>
      </c>
      <c r="S3896">
        <v>-3.005951</v>
      </c>
      <c r="T3896">
        <v>-0.20581450000000001</v>
      </c>
      <c r="U3896">
        <v>-5.8944700000000003E-2</v>
      </c>
      <c r="V3896">
        <v>7.3196910000000004E-2</v>
      </c>
      <c r="W3896">
        <v>2.1751900000000001E-2</v>
      </c>
      <c r="X3896">
        <v>0.99708030000000003</v>
      </c>
      <c r="Y3896">
        <v>0.10197050000000001</v>
      </c>
      <c r="Z3896">
        <v>1.180936E-2</v>
      </c>
      <c r="AA3896">
        <v>0.99471730000000003</v>
      </c>
      <c r="AB3896">
        <v>34</v>
      </c>
      <c r="AC3896">
        <v>-0.60439999999999805</v>
      </c>
      <c r="AD3896">
        <v>-6.4958000000000002E-2</v>
      </c>
      <c r="AE3896">
        <v>2.3699999999990898E-2</v>
      </c>
      <c r="AF3896">
        <v>9.6136482482647903E-2</v>
      </c>
      <c r="AG3896">
        <v>-6.4958000000000002E-2</v>
      </c>
      <c r="AH3896">
        <v>0.59018939698450101</v>
      </c>
      <c r="AI3896">
        <v>96.1997997610315</v>
      </c>
      <c r="AJ3896">
        <v>80.748294349393305</v>
      </c>
      <c r="AK3896">
        <v>0.60148590119891099</v>
      </c>
    </row>
    <row r="3897" spans="1:37" x14ac:dyDescent="0.2">
      <c r="A3897" t="str">
        <f>"20200111155927616"</f>
        <v>20200111155927616</v>
      </c>
      <c r="B3897" t="str">
        <f>"1578729567606150"</f>
        <v>1578729567606150</v>
      </c>
      <c r="C3897" t="s">
        <v>37</v>
      </c>
      <c r="D3897">
        <v>5.7160830000000002</v>
      </c>
      <c r="E3897">
        <v>0.51279410000000003</v>
      </c>
      <c r="F3897" t="s">
        <v>38</v>
      </c>
      <c r="G3897">
        <v>-235.5351</v>
      </c>
      <c r="H3897">
        <v>1.038178</v>
      </c>
      <c r="I3897">
        <v>142.86269999999999</v>
      </c>
      <c r="J3897">
        <v>-234.9759</v>
      </c>
      <c r="K3897">
        <v>1.10225</v>
      </c>
      <c r="L3897">
        <v>142.83699999999999</v>
      </c>
      <c r="M3897">
        <v>-0.99257249999999997</v>
      </c>
      <c r="N3897">
        <v>0</v>
      </c>
      <c r="O3897">
        <v>-0.121651299999999</v>
      </c>
      <c r="P3897">
        <v>-0.99862189999999995</v>
      </c>
      <c r="Q3897">
        <v>2.03003E-2</v>
      </c>
      <c r="R3897">
        <v>-4.8403080000000001E-2</v>
      </c>
      <c r="S3897">
        <v>-3.0059969999999998</v>
      </c>
      <c r="T3897">
        <v>-0.21282029999999999</v>
      </c>
      <c r="U3897">
        <v>-5.4885860000000002E-2</v>
      </c>
      <c r="V3897">
        <v>7.345517E-2</v>
      </c>
      <c r="W3897">
        <v>2.1214630000000002E-2</v>
      </c>
      <c r="X3897">
        <v>0.99707289999999904</v>
      </c>
      <c r="Y3897">
        <v>0.1029504</v>
      </c>
      <c r="Z3897">
        <v>1.222234E-2</v>
      </c>
      <c r="AA3897">
        <v>0.99461139999999904</v>
      </c>
      <c r="AB3897">
        <v>34</v>
      </c>
      <c r="AC3897">
        <v>-0.55920000000000403</v>
      </c>
      <c r="AD3897">
        <v>-6.4071999999999907E-2</v>
      </c>
      <c r="AE3897">
        <v>2.5699999999971999E-2</v>
      </c>
      <c r="AF3897">
        <v>9.2327032538652404E-2</v>
      </c>
      <c r="AG3897">
        <v>-6.4071999999999907E-2</v>
      </c>
      <c r="AH3897">
        <v>0.54478341987173895</v>
      </c>
      <c r="AI3897">
        <v>96.614283930232503</v>
      </c>
      <c r="AJ3897">
        <v>80.381206661127194</v>
      </c>
      <c r="AK3897">
        <v>0.55625396779577296</v>
      </c>
    </row>
    <row r="3898" spans="1:37" x14ac:dyDescent="0.2">
      <c r="A3898" t="str">
        <f>"20200111155927638"</f>
        <v>20200111155927638</v>
      </c>
      <c r="B3898" t="str">
        <f>"1578729567636408"</f>
        <v>1578729567636408</v>
      </c>
      <c r="C3898" t="s">
        <v>37</v>
      </c>
      <c r="D3898">
        <v>5.9513819999999997</v>
      </c>
      <c r="E3898">
        <v>0.51240829999999904</v>
      </c>
      <c r="F3898" t="s">
        <v>38</v>
      </c>
      <c r="G3898">
        <v>-235.83799999999999</v>
      </c>
      <c r="H3898">
        <v>1.039919</v>
      </c>
      <c r="I3898">
        <v>142.82159999999999</v>
      </c>
      <c r="J3898">
        <v>-235.3091</v>
      </c>
      <c r="K3898">
        <v>1.102233</v>
      </c>
      <c r="L3898">
        <v>142.79640000000001</v>
      </c>
      <c r="M3898">
        <v>-0.99261250000000001</v>
      </c>
      <c r="N3898">
        <v>0</v>
      </c>
      <c r="O3898">
        <v>-0.121324399999999</v>
      </c>
      <c r="P3898">
        <v>-0.99866489999999997</v>
      </c>
      <c r="Q3898">
        <v>1.9972799999999999E-2</v>
      </c>
      <c r="R3898">
        <v>-4.7640710000000003E-2</v>
      </c>
      <c r="S3898">
        <v>-3.0059200000000001</v>
      </c>
      <c r="T3898">
        <v>-0.21742010000000001</v>
      </c>
      <c r="U3898">
        <v>-5.4306029999999998E-2</v>
      </c>
      <c r="V3898">
        <v>7.388923E-2</v>
      </c>
      <c r="W3898">
        <v>2.0864710000000002E-2</v>
      </c>
      <c r="X3898">
        <v>0.99704809999999999</v>
      </c>
      <c r="Y3898">
        <v>0.10279089999999901</v>
      </c>
      <c r="Z3898">
        <v>1.245697E-2</v>
      </c>
      <c r="AA3898">
        <v>0.99462499999999998</v>
      </c>
      <c r="AB3898">
        <v>34</v>
      </c>
      <c r="AC3898">
        <v>-0.52889999999999304</v>
      </c>
      <c r="AD3898">
        <v>-6.2313999999999897E-2</v>
      </c>
      <c r="AE3898">
        <v>2.5199999999983898E-2</v>
      </c>
      <c r="AF3898">
        <v>8.7964073370118995E-2</v>
      </c>
      <c r="AG3898">
        <v>-6.2313999999999897E-2</v>
      </c>
      <c r="AH3898">
        <v>0.51480570147948201</v>
      </c>
      <c r="AI3898">
        <v>96.804051613554407</v>
      </c>
      <c r="AJ3898">
        <v>80.303598461175099</v>
      </c>
      <c r="AK3898">
        <v>0.52597112380400302</v>
      </c>
    </row>
    <row r="3899" spans="1:37" x14ac:dyDescent="0.2">
      <c r="A3899" t="str">
        <f>"20200111155927659"</f>
        <v>20200111155927659</v>
      </c>
      <c r="B3899" t="str">
        <f>"1578729567655927"</f>
        <v>1578729567655927</v>
      </c>
      <c r="C3899" t="s">
        <v>37</v>
      </c>
      <c r="D3899">
        <v>5.7361690000000003</v>
      </c>
      <c r="E3899">
        <v>0.51214649999999995</v>
      </c>
      <c r="F3899" t="s">
        <v>38</v>
      </c>
      <c r="G3899">
        <v>-236.1448</v>
      </c>
      <c r="H3899">
        <v>1.0462849999999999</v>
      </c>
      <c r="I3899">
        <v>142.78129999999999</v>
      </c>
      <c r="J3899">
        <v>-235.63249999999999</v>
      </c>
      <c r="K3899">
        <v>1.1022110000000001</v>
      </c>
      <c r="L3899">
        <v>142.75710000000001</v>
      </c>
      <c r="M3899">
        <v>-0.99265289999999995</v>
      </c>
      <c r="N3899">
        <v>0</v>
      </c>
      <c r="O3899">
        <v>-0.120993899999999</v>
      </c>
      <c r="P3899">
        <v>-0.99869989999999997</v>
      </c>
      <c r="Q3899">
        <v>1.9964369999999999E-2</v>
      </c>
      <c r="R3899">
        <v>-4.6903760000000003E-2</v>
      </c>
      <c r="S3899">
        <v>-3.0054319999999999</v>
      </c>
      <c r="T3899">
        <v>-0.2012601</v>
      </c>
      <c r="U3899">
        <v>-5.4397580000000001E-2</v>
      </c>
      <c r="V3899">
        <v>7.4293360000000003E-2</v>
      </c>
      <c r="W3899">
        <v>2.0841350000000002E-2</v>
      </c>
      <c r="X3899">
        <v>0.99701859999999998</v>
      </c>
      <c r="Y3899">
        <v>0.10251109999999999</v>
      </c>
      <c r="Z3899">
        <v>1.150377E-2</v>
      </c>
      <c r="AA3899">
        <v>0.99466529999999997</v>
      </c>
      <c r="AB3899">
        <v>34</v>
      </c>
      <c r="AC3899">
        <v>-0.51230000000000997</v>
      </c>
      <c r="AD3899">
        <v>-5.5925999999999899E-2</v>
      </c>
      <c r="AE3899">
        <v>2.4199999999979099E-2</v>
      </c>
      <c r="AF3899">
        <v>8.4996726678039897E-2</v>
      </c>
      <c r="AG3899">
        <v>-5.5925999999999899E-2</v>
      </c>
      <c r="AH3899">
        <v>0.49966677057460002</v>
      </c>
      <c r="AI3899">
        <v>96.296632589454006</v>
      </c>
      <c r="AJ3899">
        <v>80.346006221048</v>
      </c>
      <c r="AK3899">
        <v>0.50992062386064696</v>
      </c>
    </row>
    <row r="3900" spans="1:37" x14ac:dyDescent="0.2">
      <c r="A3900" t="str">
        <f>"20200111155927682"</f>
        <v>20200111155927682</v>
      </c>
      <c r="B3900" t="str">
        <f>"1578729567676424"</f>
        <v>1578729567676424</v>
      </c>
      <c r="C3900" t="s">
        <v>37</v>
      </c>
      <c r="D3900">
        <v>10.51623</v>
      </c>
      <c r="E3900">
        <v>0.51205889999999998</v>
      </c>
      <c r="F3900" t="s">
        <v>38</v>
      </c>
      <c r="G3900">
        <v>-236.4513</v>
      </c>
      <c r="H3900">
        <v>1.0479609999999999</v>
      </c>
      <c r="I3900">
        <v>142.74250000000001</v>
      </c>
      <c r="J3900">
        <v>-235.98220000000001</v>
      </c>
      <c r="K3900">
        <v>1.1021909999999999</v>
      </c>
      <c r="L3900">
        <v>142.7148</v>
      </c>
      <c r="M3900">
        <v>-0.99269810000000003</v>
      </c>
      <c r="N3900">
        <v>0</v>
      </c>
      <c r="O3900">
        <v>-0.1206219</v>
      </c>
      <c r="P3900">
        <v>-0.99873259999999897</v>
      </c>
      <c r="Q3900">
        <v>1.9616829999999998E-2</v>
      </c>
      <c r="R3900">
        <v>-4.6351719999999999E-2</v>
      </c>
      <c r="S3900">
        <v>-3.005325</v>
      </c>
      <c r="T3900">
        <v>-0.199133</v>
      </c>
      <c r="U3900">
        <v>-5.4138180000000001E-2</v>
      </c>
      <c r="V3900">
        <v>7.4472239999999995E-2</v>
      </c>
      <c r="W3900">
        <v>2.0485699999999999E-2</v>
      </c>
      <c r="X3900">
        <v>0.99701269999999997</v>
      </c>
      <c r="Y3900">
        <v>0.10223550000000001</v>
      </c>
      <c r="Z3900">
        <v>1.134929E-2</v>
      </c>
      <c r="AA3900">
        <v>0.99469549999999995</v>
      </c>
      <c r="AB3900">
        <v>34</v>
      </c>
      <c r="AC3900">
        <v>-0.46909999999999702</v>
      </c>
      <c r="AD3900">
        <v>-5.4229999999999702E-2</v>
      </c>
      <c r="AE3900">
        <v>2.7700000000010001E-2</v>
      </c>
      <c r="AF3900">
        <v>8.2976431782096793E-2</v>
      </c>
      <c r="AG3900">
        <v>-5.4229999999999702E-2</v>
      </c>
      <c r="AH3900">
        <v>0.45625724485981201</v>
      </c>
      <c r="AI3900">
        <v>96.669889925537106</v>
      </c>
      <c r="AJ3900">
        <v>79.692653187922801</v>
      </c>
      <c r="AK3900">
        <v>0.466901118673275</v>
      </c>
    </row>
    <row r="3901" spans="1:37" x14ac:dyDescent="0.2">
      <c r="A3901" t="str">
        <f>"20200111155927704"</f>
        <v>20200111155927704</v>
      </c>
      <c r="B3901" t="str">
        <f>"1578729567695943"</f>
        <v>1578729567695943</v>
      </c>
      <c r="C3901" t="s">
        <v>37</v>
      </c>
      <c r="D3901">
        <v>5.7960949999999896</v>
      </c>
      <c r="E3901">
        <v>0.51180760000000003</v>
      </c>
      <c r="F3901" t="s">
        <v>38</v>
      </c>
      <c r="G3901">
        <v>-236.76179999999999</v>
      </c>
      <c r="H3901">
        <v>1.053364</v>
      </c>
      <c r="I3901">
        <v>142.7012</v>
      </c>
      <c r="J3901">
        <v>-236.3321</v>
      </c>
      <c r="K3901">
        <v>1.102168</v>
      </c>
      <c r="L3901">
        <v>142.67259999999999</v>
      </c>
      <c r="M3901">
        <v>-0.99274490000000004</v>
      </c>
      <c r="N3901">
        <v>0</v>
      </c>
      <c r="O3901">
        <v>-0.1202371</v>
      </c>
      <c r="P3901">
        <v>-0.99875689999999995</v>
      </c>
      <c r="Q3901">
        <v>1.94843E-2</v>
      </c>
      <c r="R3901">
        <v>-4.5881900000000003E-2</v>
      </c>
      <c r="S3901">
        <v>-3.0050509999999999</v>
      </c>
      <c r="T3901">
        <v>-0.18824929999999901</v>
      </c>
      <c r="U3901">
        <v>-5.2520749999999998E-2</v>
      </c>
      <c r="V3901">
        <v>7.4555700000000003E-2</v>
      </c>
      <c r="W3901">
        <v>2.0351259999999999E-2</v>
      </c>
      <c r="X3901">
        <v>0.99700919999999904</v>
      </c>
      <c r="Y3901">
        <v>0.1024355</v>
      </c>
      <c r="Z3901">
        <v>1.071366E-2</v>
      </c>
      <c r="AA3901">
        <v>0.99468199999999996</v>
      </c>
      <c r="AB3901">
        <v>34</v>
      </c>
      <c r="AC3901">
        <v>-0.42969999999999597</v>
      </c>
      <c r="AD3901">
        <v>-4.8804E-2</v>
      </c>
      <c r="AE3901">
        <v>2.8600000000011502E-2</v>
      </c>
      <c r="AF3901">
        <v>7.9043271491429506E-2</v>
      </c>
      <c r="AG3901">
        <v>-4.8804E-2</v>
      </c>
      <c r="AH3901">
        <v>0.41777837677169899</v>
      </c>
      <c r="AI3901">
        <v>96.547846212805993</v>
      </c>
      <c r="AJ3901">
        <v>79.286331585507796</v>
      </c>
      <c r="AK3901">
        <v>0.42798182354168202</v>
      </c>
    </row>
    <row r="3902" spans="1:37" x14ac:dyDescent="0.2">
      <c r="A3902" t="str">
        <f>"20200111155927726"</f>
        <v>20200111155927726</v>
      </c>
      <c r="B3902" t="str">
        <f>"1578729567715462"</f>
        <v>1578729567715462</v>
      </c>
      <c r="C3902" t="s">
        <v>37</v>
      </c>
      <c r="D3902">
        <v>5.7621589999999996</v>
      </c>
      <c r="E3902">
        <v>0.51154979999999906</v>
      </c>
      <c r="F3902" t="s">
        <v>38</v>
      </c>
      <c r="G3902">
        <v>-237.07499999999999</v>
      </c>
      <c r="H3902">
        <v>1.058632</v>
      </c>
      <c r="I3902">
        <v>142.65969999999999</v>
      </c>
      <c r="J3902">
        <v>-236.6626</v>
      </c>
      <c r="K3902">
        <v>1.102147</v>
      </c>
      <c r="L3902">
        <v>142.63290000000001</v>
      </c>
      <c r="M3902">
        <v>-0.99278999999999995</v>
      </c>
      <c r="N3902">
        <v>0</v>
      </c>
      <c r="O3902">
        <v>-0.1198641</v>
      </c>
      <c r="P3902">
        <v>-0.99878929999999999</v>
      </c>
      <c r="Q3902">
        <v>1.9180389999999999E-2</v>
      </c>
      <c r="R3902">
        <v>-4.5303910000000003E-2</v>
      </c>
      <c r="S3902">
        <v>-3.0047450000000002</v>
      </c>
      <c r="T3902">
        <v>-0.1761364</v>
      </c>
      <c r="U3902">
        <v>-5.2764890000000002E-2</v>
      </c>
      <c r="V3902">
        <v>7.4759140000000002E-2</v>
      </c>
      <c r="W3902">
        <v>2.0050910000000002E-2</v>
      </c>
      <c r="X3902">
        <v>0.997</v>
      </c>
      <c r="Y3902">
        <v>0.1020346</v>
      </c>
      <c r="Z3902">
        <v>9.9930580000000008E-3</v>
      </c>
      <c r="AA3902">
        <v>0.99473069999999897</v>
      </c>
      <c r="AB3902">
        <v>35</v>
      </c>
      <c r="AC3902">
        <v>-0.412399999999991</v>
      </c>
      <c r="AD3902">
        <v>-4.3514999999999901E-2</v>
      </c>
      <c r="AE3902">
        <v>2.67999999999801E-2</v>
      </c>
      <c r="AF3902">
        <v>7.5204959678245503E-2</v>
      </c>
      <c r="AG3902">
        <v>-4.3514999999999901E-2</v>
      </c>
      <c r="AH3902">
        <v>0.40176008552633002</v>
      </c>
      <c r="AI3902">
        <v>96.076920681836896</v>
      </c>
      <c r="AJ3902">
        <v>79.397574521851496</v>
      </c>
      <c r="AK3902">
        <v>0.41104805985107201</v>
      </c>
    </row>
    <row r="3903" spans="1:37" x14ac:dyDescent="0.2">
      <c r="A3903" t="str">
        <f>"20200111155927748"</f>
        <v>20200111155927748</v>
      </c>
      <c r="B3903" t="str">
        <f>"1578729567745718"</f>
        <v>1578729567745718</v>
      </c>
      <c r="C3903" t="s">
        <v>37</v>
      </c>
      <c r="D3903">
        <v>5.7628659999999998</v>
      </c>
      <c r="E3903">
        <v>0.51132290000000002</v>
      </c>
      <c r="F3903" t="s">
        <v>38</v>
      </c>
      <c r="G3903">
        <v>-237.69120000000001</v>
      </c>
      <c r="H3903">
        <v>1.0416219999999901</v>
      </c>
      <c r="I3903">
        <v>142.6148</v>
      </c>
      <c r="J3903">
        <v>-237.0121</v>
      </c>
      <c r="K3903">
        <v>1.1021259999999999</v>
      </c>
      <c r="L3903">
        <v>142.59100000000001</v>
      </c>
      <c r="M3903">
        <v>-0.9928382</v>
      </c>
      <c r="N3903">
        <v>0</v>
      </c>
      <c r="O3903">
        <v>-0.11946320000000001</v>
      </c>
      <c r="P3903">
        <v>-0.99879609999999996</v>
      </c>
      <c r="Q3903">
        <v>1.86015E-2</v>
      </c>
      <c r="R3903">
        <v>-4.5390470000000002E-2</v>
      </c>
      <c r="S3903">
        <v>-3.0046390000000001</v>
      </c>
      <c r="T3903">
        <v>-0.1768586</v>
      </c>
      <c r="U3903">
        <v>-5.3146359999999997E-2</v>
      </c>
      <c r="V3903">
        <v>7.4271539999999997E-2</v>
      </c>
      <c r="W3903">
        <v>1.9481209999999999E-2</v>
      </c>
      <c r="X3903">
        <v>0.99704780000000004</v>
      </c>
      <c r="Y3903">
        <v>0.1015045</v>
      </c>
      <c r="Z3903">
        <v>9.995271E-3</v>
      </c>
      <c r="AA3903">
        <v>0.99478489999999997</v>
      </c>
      <c r="AB3903">
        <v>35</v>
      </c>
      <c r="AC3903">
        <v>-0.67910000000000503</v>
      </c>
      <c r="AD3903">
        <v>-6.0504000000000099E-2</v>
      </c>
      <c r="AE3903">
        <v>2.3799999999994201E-2</v>
      </c>
      <c r="AF3903">
        <v>0.103933064051925</v>
      </c>
      <c r="AG3903">
        <v>-6.0504000000000099E-2</v>
      </c>
      <c r="AH3903">
        <v>0.66611249539629802</v>
      </c>
      <c r="AI3903">
        <v>95.128307479852694</v>
      </c>
      <c r="AJ3903">
        <v>81.131685275991103</v>
      </c>
      <c r="AK3903">
        <v>0.67688157926058601</v>
      </c>
    </row>
    <row r="3904" spans="1:37" x14ac:dyDescent="0.2">
      <c r="A3904" t="str">
        <f>"20200111155927772"</f>
        <v>20200111155927772</v>
      </c>
      <c r="B3904" t="str">
        <f>"1578729567765818"</f>
        <v>1578729567765818</v>
      </c>
      <c r="C3904" t="s">
        <v>37</v>
      </c>
      <c r="D3904">
        <v>5.9941240000000002</v>
      </c>
      <c r="E3904">
        <v>0.51143679999999903</v>
      </c>
      <c r="F3904" t="s">
        <v>38</v>
      </c>
      <c r="G3904">
        <v>-238.00470000000001</v>
      </c>
      <c r="H3904">
        <v>1.041317</v>
      </c>
      <c r="I3904">
        <v>142.5727</v>
      </c>
      <c r="J3904">
        <v>-237.39779999999999</v>
      </c>
      <c r="K3904">
        <v>1.1021099999999999</v>
      </c>
      <c r="L3904">
        <v>142.54499999999999</v>
      </c>
      <c r="M3904">
        <v>-0.99289189999999905</v>
      </c>
      <c r="N3904">
        <v>0</v>
      </c>
      <c r="O3904">
        <v>-0.1190166</v>
      </c>
      <c r="P3904">
        <v>-0.99878679999999997</v>
      </c>
      <c r="Q3904">
        <v>1.8356609999999999E-2</v>
      </c>
      <c r="R3904">
        <v>-4.5694510000000001E-2</v>
      </c>
      <c r="S3904">
        <v>-3.0045169999999999</v>
      </c>
      <c r="T3904">
        <v>-0.18407979999999999</v>
      </c>
      <c r="U3904">
        <v>-5.5404660000000001E-2</v>
      </c>
      <c r="V3904">
        <v>7.3520160000000001E-2</v>
      </c>
      <c r="W3904">
        <v>1.925284E-2</v>
      </c>
      <c r="X3904">
        <v>0.99710789999999905</v>
      </c>
      <c r="Y3904">
        <v>0.1002801</v>
      </c>
      <c r="Z3904">
        <v>1.033826E-2</v>
      </c>
      <c r="AA3904">
        <v>0.9949055</v>
      </c>
      <c r="AB3904">
        <v>35</v>
      </c>
      <c r="AC3904">
        <v>-0.60690000000002398</v>
      </c>
      <c r="AD3904">
        <v>-6.0793000000000097E-2</v>
      </c>
      <c r="AE3904">
        <v>2.7700000000010001E-2</v>
      </c>
      <c r="AF3904">
        <v>9.8745565782106207E-2</v>
      </c>
      <c r="AG3904">
        <v>-6.0793000000000097E-2</v>
      </c>
      <c r="AH3904">
        <v>0.59334828787828198</v>
      </c>
      <c r="AI3904">
        <v>95.771144940360301</v>
      </c>
      <c r="AJ3904">
        <v>80.551378240912797</v>
      </c>
      <c r="AK3904">
        <v>0.60457312737064095</v>
      </c>
    </row>
    <row r="3905" spans="1:37" x14ac:dyDescent="0.2">
      <c r="A3905" t="str">
        <f>"20200111155927794"</f>
        <v>20200111155927794</v>
      </c>
      <c r="B3905" t="str">
        <f>"1578729567786315"</f>
        <v>1578729567786315</v>
      </c>
      <c r="C3905" t="s">
        <v>37</v>
      </c>
      <c r="D3905">
        <v>5.8048320000000002</v>
      </c>
      <c r="E3905">
        <v>0.51127719999999999</v>
      </c>
      <c r="F3905" t="s">
        <v>38</v>
      </c>
      <c r="G3905">
        <v>-238.3212</v>
      </c>
      <c r="H3905">
        <v>1.0444100000000001</v>
      </c>
      <c r="I3905">
        <v>142.5282</v>
      </c>
      <c r="J3905">
        <v>-237.73400000000001</v>
      </c>
      <c r="K3905">
        <v>1.1020989999999999</v>
      </c>
      <c r="L3905">
        <v>142.505</v>
      </c>
      <c r="M3905">
        <v>-0.99293880000000001</v>
      </c>
      <c r="N3905">
        <v>0</v>
      </c>
      <c r="O3905">
        <v>-0.1186252</v>
      </c>
      <c r="P3905">
        <v>-0.99875059999999904</v>
      </c>
      <c r="Q3905">
        <v>1.9027769999999999E-2</v>
      </c>
      <c r="R3905">
        <v>-4.6214140000000001E-2</v>
      </c>
      <c r="S3905">
        <v>-3.0045470000000001</v>
      </c>
      <c r="T3905">
        <v>-0.1878099</v>
      </c>
      <c r="U3905">
        <v>-5.528259E-2</v>
      </c>
      <c r="V3905">
        <v>7.2608080000000005E-2</v>
      </c>
      <c r="W3905">
        <v>1.994222E-2</v>
      </c>
      <c r="X3905">
        <v>0.99716109999999902</v>
      </c>
      <c r="Y3905">
        <v>9.9913160000000001E-2</v>
      </c>
      <c r="Z3905">
        <v>1.051149E-2</v>
      </c>
      <c r="AA3905">
        <v>0.99494059999999995</v>
      </c>
      <c r="AB3905">
        <v>35</v>
      </c>
      <c r="AC3905">
        <v>-0.58719999999999495</v>
      </c>
      <c r="AD3905">
        <v>-5.7688999999999803E-2</v>
      </c>
      <c r="AE3905">
        <v>2.3200000000002701E-2</v>
      </c>
      <c r="AF3905">
        <v>9.1808180906620795E-2</v>
      </c>
      <c r="AG3905">
        <v>-5.7688999999999803E-2</v>
      </c>
      <c r="AH3905">
        <v>0.57476281206854896</v>
      </c>
      <c r="AI3905">
        <v>95.660307402924502</v>
      </c>
      <c r="AJ3905">
        <v>80.924679417747598</v>
      </c>
      <c r="AK3905">
        <v>0.58490089155285896</v>
      </c>
    </row>
    <row r="3906" spans="1:37" x14ac:dyDescent="0.2">
      <c r="A3906" t="str">
        <f>"20200111155927815"</f>
        <v>20200111155927815</v>
      </c>
      <c r="B3906" t="str">
        <f>"1578729567805834"</f>
        <v>1578729567805834</v>
      </c>
      <c r="C3906" t="s">
        <v>37</v>
      </c>
      <c r="D3906">
        <v>5.7534380000000001</v>
      </c>
      <c r="E3906">
        <v>0.51069969999999998</v>
      </c>
      <c r="F3906" t="s">
        <v>38</v>
      </c>
      <c r="G3906">
        <v>-238.6387</v>
      </c>
      <c r="H3906">
        <v>1.0454369999999999</v>
      </c>
      <c r="I3906">
        <v>142.48740000000001</v>
      </c>
      <c r="J3906">
        <v>-238.07910000000001</v>
      </c>
      <c r="K3906">
        <v>1.102088</v>
      </c>
      <c r="L3906">
        <v>142.4641</v>
      </c>
      <c r="M3906">
        <v>-0.9929867</v>
      </c>
      <c r="N3906">
        <v>0</v>
      </c>
      <c r="O3906">
        <v>-0.11822299999999999</v>
      </c>
      <c r="P3906">
        <v>-0.99875309999999995</v>
      </c>
      <c r="Q3906">
        <v>1.9182629999999999E-2</v>
      </c>
      <c r="R3906">
        <v>-4.6092639999999997E-2</v>
      </c>
      <c r="S3906">
        <v>-3.0046390000000001</v>
      </c>
      <c r="T3906">
        <v>-0.18814520000000001</v>
      </c>
      <c r="U3906">
        <v>-5.8380130000000002E-2</v>
      </c>
      <c r="V3906">
        <v>7.2325490000000006E-2</v>
      </c>
      <c r="W3906">
        <v>2.0120039999999999E-2</v>
      </c>
      <c r="X3906">
        <v>0.99717809999999996</v>
      </c>
      <c r="Y3906">
        <v>9.8487379999999999E-2</v>
      </c>
      <c r="Z3906">
        <v>1.046008E-2</v>
      </c>
      <c r="AA3906">
        <v>0.9950833</v>
      </c>
      <c r="AB3906">
        <v>36</v>
      </c>
      <c r="AC3906">
        <v>-0.559599999999989</v>
      </c>
      <c r="AD3906">
        <v>-5.6650999999999702E-2</v>
      </c>
      <c r="AE3906">
        <v>2.3300000000006E-2</v>
      </c>
      <c r="AF3906">
        <v>8.83899185588604E-2</v>
      </c>
      <c r="AG3906">
        <v>-5.6650999999999702E-2</v>
      </c>
      <c r="AH3906">
        <v>0.54732145559039402</v>
      </c>
      <c r="AI3906">
        <v>95.834346885297705</v>
      </c>
      <c r="AJ3906">
        <v>80.826199016917798</v>
      </c>
      <c r="AK3906">
        <v>0.55729964045693603</v>
      </c>
    </row>
    <row r="3907" spans="1:37" x14ac:dyDescent="0.2">
      <c r="A3907" t="str">
        <f>"20200111155927839"</f>
        <v>20200111155927839</v>
      </c>
      <c r="B3907" t="str">
        <f>"1578729567836091"</f>
        <v>1578729567836091</v>
      </c>
      <c r="C3907" t="s">
        <v>37</v>
      </c>
      <c r="D3907">
        <v>5.7521089999999999</v>
      </c>
      <c r="E3907">
        <v>0.50960280000000002</v>
      </c>
      <c r="F3907" t="s">
        <v>38</v>
      </c>
      <c r="G3907">
        <v>-238.9579</v>
      </c>
      <c r="H3907">
        <v>1.046495</v>
      </c>
      <c r="I3907">
        <v>142.446</v>
      </c>
      <c r="J3907">
        <v>-238.44130000000001</v>
      </c>
      <c r="K3907">
        <v>1.1020829999999999</v>
      </c>
      <c r="L3907">
        <v>142.42140000000001</v>
      </c>
      <c r="M3907">
        <v>-0.99303680000000005</v>
      </c>
      <c r="N3907">
        <v>0</v>
      </c>
      <c r="O3907">
        <v>-0.11780119999999999</v>
      </c>
      <c r="P3907">
        <v>-0.99878159999999905</v>
      </c>
      <c r="Q3907">
        <v>1.909887E-2</v>
      </c>
      <c r="R3907">
        <v>-4.550796E-2</v>
      </c>
      <c r="S3907">
        <v>-3.0044710000000001</v>
      </c>
      <c r="T3907">
        <v>-0.19016029999999901</v>
      </c>
      <c r="U3907">
        <v>-6.2973020000000005E-2</v>
      </c>
      <c r="V3907">
        <v>7.2486209999999995E-2</v>
      </c>
      <c r="W3907">
        <v>2.0069980000000001E-2</v>
      </c>
      <c r="X3907">
        <v>0.99716749999999899</v>
      </c>
      <c r="Y3907">
        <v>9.6538509999999994E-2</v>
      </c>
      <c r="Z3907">
        <v>1.048403E-2</v>
      </c>
      <c r="AA3907">
        <v>0.99527399999999999</v>
      </c>
      <c r="AB3907">
        <v>36</v>
      </c>
      <c r="AC3907">
        <v>-0.51659999999998196</v>
      </c>
      <c r="AD3907">
        <v>-5.55879999999997E-2</v>
      </c>
      <c r="AE3907">
        <v>2.4599999999992399E-2</v>
      </c>
      <c r="AF3907">
        <v>8.4310852087173996E-2</v>
      </c>
      <c r="AG3907">
        <v>-5.55879999999997E-2</v>
      </c>
      <c r="AH3907">
        <v>0.50427949957384599</v>
      </c>
      <c r="AI3907">
        <v>96.205021107656293</v>
      </c>
      <c r="AJ3907">
        <v>80.508465805801407</v>
      </c>
      <c r="AK3907">
        <v>0.51429190078603604</v>
      </c>
    </row>
    <row r="3908" spans="1:37" x14ac:dyDescent="0.2">
      <c r="A3908" t="str">
        <f>"20200111155927860"</f>
        <v>20200111155927860</v>
      </c>
      <c r="B3908" t="str">
        <f>"1578729567855611"</f>
        <v>1578729567855611</v>
      </c>
      <c r="C3908" t="s">
        <v>37</v>
      </c>
      <c r="D3908">
        <v>5.7185800000000002</v>
      </c>
      <c r="E3908">
        <v>0.50896719999999995</v>
      </c>
      <c r="F3908" t="s">
        <v>38</v>
      </c>
      <c r="G3908">
        <v>-239.27889999999999</v>
      </c>
      <c r="H3908">
        <v>1.0486879999999901</v>
      </c>
      <c r="I3908">
        <v>142.40190000000001</v>
      </c>
      <c r="J3908">
        <v>-238.79769999999999</v>
      </c>
      <c r="K3908">
        <v>1.1020749999999999</v>
      </c>
      <c r="L3908">
        <v>142.3794</v>
      </c>
      <c r="M3908">
        <v>-0.99308569999999996</v>
      </c>
      <c r="N3908">
        <v>0</v>
      </c>
      <c r="O3908">
        <v>-0.1173865</v>
      </c>
      <c r="P3908">
        <v>-0.99880869999999999</v>
      </c>
      <c r="Q3908">
        <v>1.923416E-2</v>
      </c>
      <c r="R3908">
        <v>-4.4850029999999999E-2</v>
      </c>
      <c r="S3908">
        <v>-3.00413499999999</v>
      </c>
      <c r="T3908">
        <v>-0.19152629999999901</v>
      </c>
      <c r="U3908">
        <v>-7.0022580000000001E-2</v>
      </c>
      <c r="V3908">
        <v>7.2726860000000004E-2</v>
      </c>
      <c r="W3908">
        <v>2.0251620000000001E-2</v>
      </c>
      <c r="X3908">
        <v>0.99714619999999998</v>
      </c>
      <c r="Y3908">
        <v>9.3785969999999996E-2</v>
      </c>
      <c r="Z3908">
        <v>1.0445950000000001E-2</v>
      </c>
      <c r="AA3908">
        <v>0.99553760000000002</v>
      </c>
      <c r="AB3908">
        <v>36</v>
      </c>
      <c r="AC3908">
        <v>-0.48120000000000102</v>
      </c>
      <c r="AD3908">
        <v>-5.3386999999999997E-2</v>
      </c>
      <c r="AE3908">
        <v>2.2500000000007899E-2</v>
      </c>
      <c r="AF3908">
        <v>7.78744011173437E-2</v>
      </c>
      <c r="AG3908">
        <v>-5.3386999999999997E-2</v>
      </c>
      <c r="AH3908">
        <v>0.46946591816446998</v>
      </c>
      <c r="AI3908">
        <v>96.400998765262401</v>
      </c>
      <c r="AJ3908">
        <v>80.581609783631393</v>
      </c>
      <c r="AK3908">
        <v>0.47886620515170297</v>
      </c>
    </row>
    <row r="3909" spans="1:37" x14ac:dyDescent="0.2">
      <c r="A3909" t="str">
        <f>"20200111155927882"</f>
        <v>20200111155927882</v>
      </c>
      <c r="B3909" t="str">
        <f>"1578729567876106"</f>
        <v>1578729567876106</v>
      </c>
      <c r="C3909" t="s">
        <v>37</v>
      </c>
      <c r="D3909">
        <v>5.8908990000000001</v>
      </c>
      <c r="E3909">
        <v>0.50842609999999999</v>
      </c>
      <c r="F3909" t="s">
        <v>38</v>
      </c>
      <c r="G3909">
        <v>-239.60169999999999</v>
      </c>
      <c r="H3909">
        <v>1.050718</v>
      </c>
      <c r="I3909">
        <v>142.36000000000001</v>
      </c>
      <c r="J3909">
        <v>-239.1677</v>
      </c>
      <c r="K3909">
        <v>1.1020729999999901</v>
      </c>
      <c r="L3909">
        <v>142.33600000000001</v>
      </c>
      <c r="M3909">
        <v>-0.99313639999999903</v>
      </c>
      <c r="N3909">
        <v>0</v>
      </c>
      <c r="O3909">
        <v>-0.1169567</v>
      </c>
      <c r="P3909">
        <v>-0.99885270000000004</v>
      </c>
      <c r="Q3909">
        <v>1.9089769999999999E-2</v>
      </c>
      <c r="R3909">
        <v>-4.3919850000000003E-2</v>
      </c>
      <c r="S3909">
        <v>-3.0039829999999998</v>
      </c>
      <c r="T3909">
        <v>-0.1919959</v>
      </c>
      <c r="U3909">
        <v>-7.3028560000000006E-2</v>
      </c>
      <c r="V3909">
        <v>7.3224419999999998E-2</v>
      </c>
      <c r="W3909">
        <v>2.01701E-2</v>
      </c>
      <c r="X3909">
        <v>0.99711149999999904</v>
      </c>
      <c r="Y3909">
        <v>9.2359919999999998E-2</v>
      </c>
      <c r="Z3909">
        <v>1.039901E-2</v>
      </c>
      <c r="AA3909">
        <v>0.99567139999999998</v>
      </c>
      <c r="AB3909">
        <v>36</v>
      </c>
      <c r="AC3909">
        <v>-0.433999999999997</v>
      </c>
      <c r="AD3909">
        <v>-5.1354999999999797E-2</v>
      </c>
      <c r="AE3909">
        <v>2.4000000000000899E-2</v>
      </c>
      <c r="AF3909">
        <v>7.3567583719347504E-2</v>
      </c>
      <c r="AG3909">
        <v>-5.1354999999999797E-2</v>
      </c>
      <c r="AH3909">
        <v>0.422319267114042</v>
      </c>
      <c r="AI3909">
        <v>96.831377352473396</v>
      </c>
      <c r="AJ3909">
        <v>80.118292079560007</v>
      </c>
      <c r="AK3909">
        <v>0.43174424000216199</v>
      </c>
    </row>
    <row r="3910" spans="1:37" x14ac:dyDescent="0.2">
      <c r="A3910" t="str">
        <f>"20200111155927907"</f>
        <v>20200111155927907</v>
      </c>
      <c r="B3910" t="str">
        <f>"1578729567895626"</f>
        <v>1578729567895626</v>
      </c>
      <c r="C3910" t="s">
        <v>37</v>
      </c>
      <c r="D3910">
        <v>5.7278949999999904</v>
      </c>
      <c r="E3910">
        <v>0.50781359999999998</v>
      </c>
      <c r="F3910" t="s">
        <v>38</v>
      </c>
      <c r="G3910">
        <v>-239.92679999999999</v>
      </c>
      <c r="H3910">
        <v>1.0532109999999999</v>
      </c>
      <c r="I3910">
        <v>142.31720000000001</v>
      </c>
      <c r="J3910">
        <v>-239.5412</v>
      </c>
      <c r="K3910">
        <v>1.1020650000000001</v>
      </c>
      <c r="L3910">
        <v>142.29239999999999</v>
      </c>
      <c r="M3910">
        <v>-0.9931873</v>
      </c>
      <c r="N3910">
        <v>0</v>
      </c>
      <c r="O3910">
        <v>-0.1165233</v>
      </c>
      <c r="P3910">
        <v>-0.99891079999999999</v>
      </c>
      <c r="Q3910">
        <v>1.837768E-2</v>
      </c>
      <c r="R3910">
        <v>-4.28961E-2</v>
      </c>
      <c r="S3910">
        <v>-3.0038909999999999</v>
      </c>
      <c r="T3910">
        <v>-0.1933947</v>
      </c>
      <c r="U3910">
        <v>-7.4371339999999994E-2</v>
      </c>
      <c r="V3910">
        <v>7.3812630000000004E-2</v>
      </c>
      <c r="W3910">
        <v>1.954032E-2</v>
      </c>
      <c r="X3910">
        <v>0.99708069999999904</v>
      </c>
      <c r="Y3910">
        <v>9.1476269999999998E-2</v>
      </c>
      <c r="Z3910">
        <v>1.0418709999999999E-2</v>
      </c>
      <c r="AA3910">
        <v>0.99575279999999999</v>
      </c>
      <c r="AB3910">
        <v>36</v>
      </c>
      <c r="AC3910">
        <v>-0.38559999999998201</v>
      </c>
      <c r="AD3910">
        <v>-4.8853999999999898E-2</v>
      </c>
      <c r="AE3910">
        <v>2.4800000000027401E-2</v>
      </c>
      <c r="AF3910">
        <v>6.8467962141724598E-2</v>
      </c>
      <c r="AG3910">
        <v>-4.8853999999999898E-2</v>
      </c>
      <c r="AH3910">
        <v>0.37410316763892798</v>
      </c>
      <c r="AI3910">
        <v>97.319899926607704</v>
      </c>
      <c r="AJ3910">
        <v>79.628571256380297</v>
      </c>
      <c r="AK3910">
        <v>0.38344198412969899</v>
      </c>
    </row>
    <row r="3911" spans="1:37" x14ac:dyDescent="0.2">
      <c r="A3911" t="str">
        <f>"20200111155927926"</f>
        <v>20200111155927926</v>
      </c>
      <c r="B3911" t="str">
        <f>"1578729567916123"</f>
        <v>1578729567916123</v>
      </c>
      <c r="C3911" t="s">
        <v>37</v>
      </c>
      <c r="D3911">
        <v>5.7048519999999998</v>
      </c>
      <c r="E3911">
        <v>0.50722040000000002</v>
      </c>
      <c r="F3911" t="s">
        <v>38</v>
      </c>
      <c r="G3911">
        <v>-240.57249999999999</v>
      </c>
      <c r="H3911">
        <v>1.0346850000000001</v>
      </c>
      <c r="I3911">
        <v>142.2662</v>
      </c>
      <c r="J3911">
        <v>-239.88249999999999</v>
      </c>
      <c r="K3911">
        <v>1.1020639999999999</v>
      </c>
      <c r="L3911">
        <v>142.2526</v>
      </c>
      <c r="M3911">
        <v>-0.99323349999999899</v>
      </c>
      <c r="N3911">
        <v>0</v>
      </c>
      <c r="O3911">
        <v>-0.1161271</v>
      </c>
      <c r="P3911">
        <v>-0.998934199999999</v>
      </c>
      <c r="Q3911">
        <v>1.8430169999999999E-2</v>
      </c>
      <c r="R3911">
        <v>-4.2320129999999997E-2</v>
      </c>
      <c r="S3911">
        <v>-3.00360099999999</v>
      </c>
      <c r="T3911">
        <v>-0.1962807</v>
      </c>
      <c r="U3911">
        <v>-7.6309199999999994E-2</v>
      </c>
      <c r="V3911">
        <v>7.3989970000000002E-2</v>
      </c>
      <c r="W3911">
        <v>1.9687159999999999E-2</v>
      </c>
      <c r="X3911">
        <v>0.99706469999999903</v>
      </c>
      <c r="Y3911">
        <v>9.0424809999999994E-2</v>
      </c>
      <c r="Z3911">
        <v>1.05147E-2</v>
      </c>
      <c r="AA3911">
        <v>0.99584779999999995</v>
      </c>
      <c r="AB3911">
        <v>37</v>
      </c>
      <c r="AC3911">
        <v>-0.68999999999999695</v>
      </c>
      <c r="AD3911">
        <v>-6.73789999999998E-2</v>
      </c>
      <c r="AE3911">
        <v>1.35999999999967E-2</v>
      </c>
      <c r="AF3911">
        <v>9.2751649608838693E-2</v>
      </c>
      <c r="AG3911">
        <v>-6.73789999999998E-2</v>
      </c>
      <c r="AH3911">
        <v>0.67729640851332695</v>
      </c>
      <c r="AI3911">
        <v>95.629027799785007</v>
      </c>
      <c r="AJ3911">
        <v>82.202193646996804</v>
      </c>
      <c r="AK3911">
        <v>0.68693028986296201</v>
      </c>
    </row>
    <row r="3912" spans="1:37" x14ac:dyDescent="0.2">
      <c r="A3912" t="str">
        <f>"20200111155927949"</f>
        <v>20200111155927949</v>
      </c>
      <c r="B3912" t="str">
        <f>"1578729567946379"</f>
        <v>1578729567946379</v>
      </c>
      <c r="C3912" t="s">
        <v>37</v>
      </c>
      <c r="D3912">
        <v>5.7929079999999997</v>
      </c>
      <c r="E3912">
        <v>0.49178649999999902</v>
      </c>
      <c r="F3912" t="s">
        <v>38</v>
      </c>
      <c r="G3912">
        <v>-240.9008</v>
      </c>
      <c r="H3912">
        <v>1.035488</v>
      </c>
      <c r="I3912">
        <v>142.2259</v>
      </c>
      <c r="J3912">
        <v>-240.24979999999999</v>
      </c>
      <c r="K3912">
        <v>1.102074</v>
      </c>
      <c r="L3912">
        <v>142.21010000000001</v>
      </c>
      <c r="M3912">
        <v>-0.99328309999999997</v>
      </c>
      <c r="N3912">
        <v>0</v>
      </c>
      <c r="O3912">
        <v>-0.1157007</v>
      </c>
      <c r="P3912">
        <v>-0.99895109999999998</v>
      </c>
      <c r="Q3912">
        <v>1.871302E-2</v>
      </c>
      <c r="R3912">
        <v>-4.1793990000000003E-2</v>
      </c>
      <c r="S3912">
        <v>-3.003479</v>
      </c>
      <c r="T3912">
        <v>-0.1963896</v>
      </c>
      <c r="U3912">
        <v>-7.9422000000000006E-2</v>
      </c>
      <c r="V3912">
        <v>7.4087299999999995E-2</v>
      </c>
      <c r="W3912">
        <v>2.008476E-2</v>
      </c>
      <c r="X3912">
        <v>0.99704950000000003</v>
      </c>
      <c r="Y3912">
        <v>8.8968279999999997E-2</v>
      </c>
      <c r="Z3912">
        <v>1.044545E-2</v>
      </c>
      <c r="AA3912">
        <v>0.99597969999999902</v>
      </c>
      <c r="AB3912">
        <v>37</v>
      </c>
      <c r="AC3912">
        <v>-0.65100000000001002</v>
      </c>
      <c r="AD3912">
        <v>-6.6586000000000006E-2</v>
      </c>
      <c r="AE3912">
        <v>1.5799999999984399E-2</v>
      </c>
      <c r="AF3912">
        <v>9.0073351979707603E-2</v>
      </c>
      <c r="AG3912">
        <v>-6.6586000000000006E-2</v>
      </c>
      <c r="AH3912">
        <v>0.63812788476536597</v>
      </c>
      <c r="AI3912">
        <v>95.898962151555295</v>
      </c>
      <c r="AJ3912">
        <v>81.965635365132499</v>
      </c>
      <c r="AK3912">
        <v>0.64788432721279798</v>
      </c>
    </row>
    <row r="3913" spans="1:37" x14ac:dyDescent="0.2">
      <c r="A3913" t="str">
        <f>"20200111155927972"</f>
        <v>20200111155927972</v>
      </c>
      <c r="B3913" t="str">
        <f>"1578729567965898"</f>
        <v>1578729567965898</v>
      </c>
      <c r="C3913" t="s">
        <v>37</v>
      </c>
      <c r="D3913">
        <v>5.8961600000000001</v>
      </c>
      <c r="E3913">
        <v>0.4901587</v>
      </c>
      <c r="F3913" t="s">
        <v>39</v>
      </c>
      <c r="G3913">
        <v>-276.84949999999998</v>
      </c>
      <c r="H3913" s="1">
        <v>-1.3846949999999999E-6</v>
      </c>
      <c r="I3913">
        <v>139.80709999999999</v>
      </c>
      <c r="J3913">
        <v>-240.63470000000001</v>
      </c>
      <c r="K3913">
        <v>1.102082</v>
      </c>
      <c r="L3913">
        <v>142.16560000000001</v>
      </c>
      <c r="M3913">
        <v>-0.99333490000000002</v>
      </c>
      <c r="N3913">
        <v>0</v>
      </c>
      <c r="O3913">
        <v>-0.11525349999999999</v>
      </c>
      <c r="P3913">
        <v>-0.99895879999999904</v>
      </c>
      <c r="Q3913">
        <v>1.881389E-2</v>
      </c>
      <c r="R3913">
        <v>-4.1561699999999903E-2</v>
      </c>
      <c r="S3913">
        <v>-2.996597</v>
      </c>
      <c r="T3913">
        <v>-9.0232370000000006E-2</v>
      </c>
      <c r="U3913">
        <v>-0.19673160000000001</v>
      </c>
      <c r="V3913">
        <v>7.3870379999999999E-2</v>
      </c>
      <c r="W3913">
        <v>2.0322179999999999E-2</v>
      </c>
      <c r="X3913">
        <v>0.99706079999999997</v>
      </c>
      <c r="Y3913">
        <v>4.9857770000000003E-2</v>
      </c>
      <c r="Z3913">
        <v>4.2065679999999999E-3</v>
      </c>
      <c r="AA3913">
        <v>0.99874750000000001</v>
      </c>
      <c r="AB3913">
        <v>37</v>
      </c>
      <c r="AC3913">
        <v>-36.214799999999897</v>
      </c>
      <c r="AD3913">
        <v>-1.102083384695</v>
      </c>
      <c r="AE3913">
        <v>-2.3585000000000198</v>
      </c>
      <c r="AF3913">
        <v>1.82941723061647</v>
      </c>
      <c r="AG3913">
        <v>-1.102083384695</v>
      </c>
      <c r="AH3913">
        <v>36.2118996244917</v>
      </c>
      <c r="AI3913">
        <v>91.740999229231406</v>
      </c>
      <c r="AJ3913">
        <v>87.107888569201805</v>
      </c>
      <c r="AK3913">
        <v>36.274826389726002</v>
      </c>
    </row>
    <row r="3914" spans="1:37" x14ac:dyDescent="0.2">
      <c r="A3914" t="str">
        <f>"20200111155927995"</f>
        <v>20200111155927995</v>
      </c>
      <c r="B3914" t="str">
        <f>"1578729567986394"</f>
        <v>1578729567986394</v>
      </c>
      <c r="C3914" t="s">
        <v>37</v>
      </c>
      <c r="D3914">
        <v>5.7053139999999898</v>
      </c>
      <c r="E3914">
        <v>0.49087120000000001</v>
      </c>
      <c r="F3914" t="s">
        <v>38</v>
      </c>
      <c r="G3914">
        <v>-241.55799999999999</v>
      </c>
      <c r="H3914">
        <v>1.0400940000000001</v>
      </c>
      <c r="I3914">
        <v>142.09989999999999</v>
      </c>
      <c r="J3914">
        <v>-241.0052</v>
      </c>
      <c r="K3914">
        <v>1.102095</v>
      </c>
      <c r="L3914">
        <v>142.12299999999999</v>
      </c>
      <c r="M3914">
        <v>-0.99338459999999995</v>
      </c>
      <c r="N3914">
        <v>0</v>
      </c>
      <c r="O3914">
        <v>-0.1148223</v>
      </c>
      <c r="P3914">
        <v>-0.99897150000000001</v>
      </c>
      <c r="Q3914">
        <v>1.8941980000000001E-2</v>
      </c>
      <c r="R3914">
        <v>-4.1194109999999999E-2</v>
      </c>
      <c r="S3914">
        <v>-2.9980159999999998</v>
      </c>
      <c r="T3914">
        <v>-0.20132359999999999</v>
      </c>
      <c r="U3914">
        <v>-0.21359249999999999</v>
      </c>
      <c r="V3914">
        <v>7.3804830000000002E-2</v>
      </c>
      <c r="W3914">
        <v>2.06005999999999E-2</v>
      </c>
      <c r="X3914">
        <v>0.9970599</v>
      </c>
      <c r="Y3914">
        <v>4.3584339999999999E-2</v>
      </c>
      <c r="Z3914">
        <v>9.1315010000000002E-3</v>
      </c>
      <c r="AA3914">
        <v>0.99900800000000001</v>
      </c>
      <c r="AB3914">
        <v>37</v>
      </c>
      <c r="AC3914">
        <v>-0.55279999999998997</v>
      </c>
      <c r="AD3914">
        <v>-6.2000999999999903E-2</v>
      </c>
      <c r="AE3914">
        <v>-2.3099999999999399E-2</v>
      </c>
      <c r="AF3914">
        <v>4.0024039075799801E-2</v>
      </c>
      <c r="AG3914">
        <v>-6.2000999999999903E-2</v>
      </c>
      <c r="AH3914">
        <v>0.54495294196905997</v>
      </c>
      <c r="AI3914">
        <v>96.4735220868711</v>
      </c>
      <c r="AJ3914">
        <v>85.799456568689095</v>
      </c>
      <c r="AK3914">
        <v>0.54992704667589798</v>
      </c>
    </row>
    <row r="3915" spans="1:37" x14ac:dyDescent="0.2">
      <c r="A3915" t="str">
        <f>"20200111155928016"</f>
        <v>20200111155928016</v>
      </c>
      <c r="B3915" t="str">
        <f>"1578729568005914"</f>
        <v>1578729568005914</v>
      </c>
      <c r="C3915" t="s">
        <v>37</v>
      </c>
      <c r="D3915">
        <v>5.92936</v>
      </c>
      <c r="E3915">
        <v>0.49181279999999999</v>
      </c>
      <c r="F3915" t="s">
        <v>38</v>
      </c>
      <c r="G3915">
        <v>-241.89269999999999</v>
      </c>
      <c r="H3915">
        <v>1.044869</v>
      </c>
      <c r="I3915">
        <v>142.06190000000001</v>
      </c>
      <c r="J3915">
        <v>-241.36179999999999</v>
      </c>
      <c r="K3915">
        <v>1.1021239999999899</v>
      </c>
      <c r="L3915">
        <v>142.0821</v>
      </c>
      <c r="M3915">
        <v>-0.99343219999999999</v>
      </c>
      <c r="N3915">
        <v>0</v>
      </c>
      <c r="O3915">
        <v>-0.1144071</v>
      </c>
      <c r="P3915">
        <v>-0.9989808</v>
      </c>
      <c r="Q3915">
        <v>1.927121E-2</v>
      </c>
      <c r="R3915">
        <v>-4.0821370000000003E-2</v>
      </c>
      <c r="S3915">
        <v>-2.9982449999999998</v>
      </c>
      <c r="T3915">
        <v>-0.19328870000000001</v>
      </c>
      <c r="U3915">
        <v>-0.20640559999999999</v>
      </c>
      <c r="V3915">
        <v>7.3760229999999996E-2</v>
      </c>
      <c r="W3915">
        <v>2.1104979999999999E-2</v>
      </c>
      <c r="X3915">
        <v>0.99705270000000001</v>
      </c>
      <c r="Y3915">
        <v>4.5579349999999998E-2</v>
      </c>
      <c r="Z3915">
        <v>8.8057829999999993E-3</v>
      </c>
      <c r="AA3915">
        <v>0.99892190000000003</v>
      </c>
      <c r="AB3915">
        <v>37</v>
      </c>
      <c r="AC3915">
        <v>-0.53090000000000204</v>
      </c>
      <c r="AD3915">
        <v>-5.7254999999999799E-2</v>
      </c>
      <c r="AE3915">
        <v>-2.0199999999988401E-2</v>
      </c>
      <c r="AF3915">
        <v>4.0204543499705897E-2</v>
      </c>
      <c r="AG3915">
        <v>-5.7254999999999799E-2</v>
      </c>
      <c r="AH3915">
        <v>0.52364362483584204</v>
      </c>
      <c r="AI3915">
        <v>96.221744536330704</v>
      </c>
      <c r="AJ3915">
        <v>85.609532761697906</v>
      </c>
      <c r="AK3915">
        <v>0.52829649456932803</v>
      </c>
    </row>
    <row r="3916" spans="1:37" x14ac:dyDescent="0.2">
      <c r="A3916" t="str">
        <f>"20200111155928050"</f>
        <v>20200111155928050</v>
      </c>
      <c r="B3916" t="str">
        <f>"1578729568045930"</f>
        <v>1578729568045930</v>
      </c>
      <c r="C3916" t="s">
        <v>37</v>
      </c>
      <c r="D3916">
        <v>5.7265899999999998</v>
      </c>
      <c r="E3916">
        <v>0.4914055</v>
      </c>
      <c r="F3916" t="s">
        <v>38</v>
      </c>
      <c r="G3916">
        <v>-242.22730000000001</v>
      </c>
      <c r="H3916">
        <v>1.046468</v>
      </c>
      <c r="I3916">
        <v>142.02520000000001</v>
      </c>
      <c r="J3916">
        <v>-241.92179999999999</v>
      </c>
      <c r="K3916">
        <v>1.1021749999999999</v>
      </c>
      <c r="L3916">
        <v>142.01820000000001</v>
      </c>
      <c r="M3916">
        <v>-0.99350629999999995</v>
      </c>
      <c r="N3916">
        <v>0</v>
      </c>
      <c r="O3916">
        <v>-0.113755</v>
      </c>
      <c r="P3916">
        <v>-0.99904989999999905</v>
      </c>
      <c r="Q3916">
        <v>1.8499209999999999E-2</v>
      </c>
      <c r="R3916">
        <v>-3.9463310000000001E-2</v>
      </c>
      <c r="S3916">
        <v>-2.9987029999999999</v>
      </c>
      <c r="T3916">
        <v>-0.19289879999999901</v>
      </c>
      <c r="U3916">
        <v>-0.19781489999999999</v>
      </c>
      <c r="V3916">
        <v>7.4462899999999901E-2</v>
      </c>
      <c r="W3916">
        <v>2.0700710000000001E-2</v>
      </c>
      <c r="X3916">
        <v>0.99700889999999998</v>
      </c>
      <c r="Y3916">
        <v>4.7781039999999997E-2</v>
      </c>
      <c r="Z3916">
        <v>8.8169640000000001E-3</v>
      </c>
      <c r="AA3916">
        <v>0.99881889999999995</v>
      </c>
      <c r="AB3916">
        <v>37</v>
      </c>
      <c r="AC3916">
        <v>-0.30550000000002298</v>
      </c>
      <c r="AD3916">
        <v>-5.5706999999999902E-2</v>
      </c>
      <c r="AE3916">
        <v>7.0000000000049996E-3</v>
      </c>
      <c r="AF3916">
        <v>4.0365341338104398E-2</v>
      </c>
      <c r="AG3916">
        <v>-5.5706999999999902E-2</v>
      </c>
      <c r="AH3916">
        <v>0.29298392516549099</v>
      </c>
      <c r="AI3916">
        <v>100.667108468968</v>
      </c>
      <c r="AJ3916">
        <v>82.155559685961805</v>
      </c>
      <c r="AK3916">
        <v>0.30095217400065399</v>
      </c>
    </row>
    <row r="3917" spans="1:37" x14ac:dyDescent="0.2">
      <c r="A3917" t="str">
        <f>"20200111155928073"</f>
        <v>20200111155928073</v>
      </c>
      <c r="B3917" t="str">
        <f>"1578729568066427"</f>
        <v>1578729568066427</v>
      </c>
      <c r="C3917" t="s">
        <v>37</v>
      </c>
      <c r="D3917">
        <v>5.7176679999999998</v>
      </c>
      <c r="E3917">
        <v>0.4914075</v>
      </c>
      <c r="F3917" t="s">
        <v>38</v>
      </c>
      <c r="G3917">
        <v>-242.89599999999999</v>
      </c>
      <c r="H3917">
        <v>1.041598</v>
      </c>
      <c r="I3917">
        <v>141.9545</v>
      </c>
      <c r="J3917">
        <v>-242.31309999999999</v>
      </c>
      <c r="K3917">
        <v>1.1022160000000001</v>
      </c>
      <c r="L3917">
        <v>141.97380000000001</v>
      </c>
      <c r="M3917">
        <v>-0.99355749999999998</v>
      </c>
      <c r="N3917">
        <v>0</v>
      </c>
      <c r="O3917">
        <v>-0.1132981</v>
      </c>
      <c r="P3917">
        <v>-0.99908619999999904</v>
      </c>
      <c r="Q3917">
        <v>1.8136380000000001E-2</v>
      </c>
      <c r="R3917">
        <v>-3.8700940000000003E-2</v>
      </c>
      <c r="S3917">
        <v>-2.9985499999999998</v>
      </c>
      <c r="T3917">
        <v>-0.186497</v>
      </c>
      <c r="U3917">
        <v>-0.19668579999999999</v>
      </c>
      <c r="V3917">
        <v>7.4766460000000007E-2</v>
      </c>
      <c r="W3917">
        <v>2.06702E-2</v>
      </c>
      <c r="X3917">
        <v>0.99698679999999995</v>
      </c>
      <c r="Y3917">
        <v>4.7715519999999997E-2</v>
      </c>
      <c r="Z3917">
        <v>8.4953010000000002E-3</v>
      </c>
      <c r="AA3917">
        <v>0.99882479999999996</v>
      </c>
      <c r="AB3917">
        <v>38</v>
      </c>
      <c r="AC3917">
        <v>-0.58289999999999498</v>
      </c>
      <c r="AD3917">
        <v>-6.0617999999999998E-2</v>
      </c>
      <c r="AE3917">
        <v>-1.9300000000015399E-2</v>
      </c>
      <c r="AF3917">
        <v>4.6365091422386401E-2</v>
      </c>
      <c r="AG3917">
        <v>-6.0617999999999998E-2</v>
      </c>
      <c r="AH3917">
        <v>0.57512041246249501</v>
      </c>
      <c r="AI3917">
        <v>95.997475260908701</v>
      </c>
      <c r="AJ3917">
        <v>85.390893489878593</v>
      </c>
      <c r="AK3917">
        <v>0.58016183298941404</v>
      </c>
    </row>
    <row r="3918" spans="1:37" x14ac:dyDescent="0.2">
      <c r="A3918" t="str">
        <f>"20200111155928094"</f>
        <v>20200111155928094</v>
      </c>
      <c r="B3918" t="str">
        <f>"1578729568085946"</f>
        <v>1578729568085946</v>
      </c>
      <c r="C3918" t="s">
        <v>37</v>
      </c>
      <c r="D3918">
        <v>5.6985599999999996</v>
      </c>
      <c r="E3918">
        <v>0.49134509999999998</v>
      </c>
      <c r="F3918" t="s">
        <v>38</v>
      </c>
      <c r="G3918">
        <v>-243.2336</v>
      </c>
      <c r="H3918">
        <v>1.0441559999999901</v>
      </c>
      <c r="I3918">
        <v>141.91409999999999</v>
      </c>
      <c r="J3918">
        <v>-242.67599999999999</v>
      </c>
      <c r="K3918">
        <v>1.10226</v>
      </c>
      <c r="L3918">
        <v>141.93279999999999</v>
      </c>
      <c r="M3918">
        <v>-0.99360499999999996</v>
      </c>
      <c r="N3918">
        <v>0</v>
      </c>
      <c r="O3918">
        <v>-0.112873499999999</v>
      </c>
      <c r="P3918">
        <v>-0.99911779999999994</v>
      </c>
      <c r="Q3918">
        <v>1.7904509999999998E-2</v>
      </c>
      <c r="R3918">
        <v>-3.7989910000000002E-2</v>
      </c>
      <c r="S3918">
        <v>-2.9986570000000001</v>
      </c>
      <c r="T3918">
        <v>-0.189144799999999</v>
      </c>
      <c r="U3918">
        <v>-0.19438169999999999</v>
      </c>
      <c r="V3918">
        <v>7.5050690000000003E-2</v>
      </c>
      <c r="W3918">
        <v>2.0782229999999999E-2</v>
      </c>
      <c r="X3918">
        <v>0.99696309999999999</v>
      </c>
      <c r="Y3918">
        <v>4.8046659999999998E-2</v>
      </c>
      <c r="Z3918">
        <v>8.5995419999999999E-3</v>
      </c>
      <c r="AA3918">
        <v>0.99880809999999998</v>
      </c>
      <c r="AB3918">
        <v>38</v>
      </c>
      <c r="AC3918">
        <v>-0.55760000000000698</v>
      </c>
      <c r="AD3918">
        <v>-5.81040000000001E-2</v>
      </c>
      <c r="AE3918">
        <v>-1.8699999999995401E-2</v>
      </c>
      <c r="AF3918">
        <v>4.3882087828530397E-2</v>
      </c>
      <c r="AG3918">
        <v>-5.81040000000001E-2</v>
      </c>
      <c r="AH3918">
        <v>0.55017992355441003</v>
      </c>
      <c r="AI3918">
        <v>96.009663534093306</v>
      </c>
      <c r="AJ3918">
        <v>85.439769743624197</v>
      </c>
      <c r="AK3918">
        <v>0.55497717135980296</v>
      </c>
    </row>
    <row r="3919" spans="1:37" x14ac:dyDescent="0.2">
      <c r="A3919" t="str">
        <f>"20200111155928119"</f>
        <v>20200111155928119</v>
      </c>
      <c r="B3919" t="str">
        <f>"1578729568116203"</f>
        <v>1578729568116203</v>
      </c>
      <c r="C3919" t="s">
        <v>37</v>
      </c>
      <c r="D3919">
        <v>5.7462229999999996</v>
      </c>
      <c r="E3919">
        <v>0.49128069999999902</v>
      </c>
      <c r="F3919" t="s">
        <v>38</v>
      </c>
      <c r="G3919">
        <v>-243.57159999999999</v>
      </c>
      <c r="H3919">
        <v>1.0456510000000001</v>
      </c>
      <c r="I3919">
        <v>141.87530000000001</v>
      </c>
      <c r="J3919">
        <v>-243.0787</v>
      </c>
      <c r="K3919">
        <v>1.1023229999999999</v>
      </c>
      <c r="L3919">
        <v>141.88740000000001</v>
      </c>
      <c r="M3919">
        <v>-0.99365720000000002</v>
      </c>
      <c r="N3919">
        <v>0</v>
      </c>
      <c r="O3919">
        <v>-0.1124006</v>
      </c>
      <c r="P3919">
        <v>-0.99915219999999905</v>
      </c>
      <c r="Q3919">
        <v>1.7858679999999998E-2</v>
      </c>
      <c r="R3919">
        <v>-3.7098079999999999E-2</v>
      </c>
      <c r="S3919">
        <v>-2.9987339999999998</v>
      </c>
      <c r="T3919">
        <v>-0.18960539999999901</v>
      </c>
      <c r="U3919">
        <v>-0.192688</v>
      </c>
      <c r="V3919">
        <v>7.5467279999999998E-2</v>
      </c>
      <c r="W3919">
        <v>2.1163609999999999E-2</v>
      </c>
      <c r="X3919">
        <v>0.99692369999999997</v>
      </c>
      <c r="Y3919">
        <v>4.8134080000000003E-2</v>
      </c>
      <c r="Z3919">
        <v>8.5935600000000001E-3</v>
      </c>
      <c r="AA3919">
        <v>0.99880389999999997</v>
      </c>
      <c r="AB3919">
        <v>38</v>
      </c>
      <c r="AC3919">
        <v>-0.49289999999999101</v>
      </c>
      <c r="AD3919">
        <v>-5.6671999999999799E-2</v>
      </c>
      <c r="AE3919">
        <v>-1.21000000000037E-2</v>
      </c>
      <c r="AF3919">
        <v>4.28136130512961E-2</v>
      </c>
      <c r="AG3919">
        <v>-5.6671999999999799E-2</v>
      </c>
      <c r="AH3919">
        <v>0.484732373407809</v>
      </c>
      <c r="AI3919">
        <v>96.642777500579001</v>
      </c>
      <c r="AJ3919">
        <v>84.9524927537813</v>
      </c>
      <c r="AK3919">
        <v>0.48990835354795997</v>
      </c>
    </row>
    <row r="3920" spans="1:37" x14ac:dyDescent="0.2">
      <c r="A3920" t="str">
        <f>"20200111155928139"</f>
        <v>20200111155928139</v>
      </c>
      <c r="B3920" t="str">
        <f>"1578729568135723"</f>
        <v>1578729568135723</v>
      </c>
      <c r="C3920" t="s">
        <v>37</v>
      </c>
      <c r="D3920">
        <v>6.7470669999999897</v>
      </c>
      <c r="E3920">
        <v>0.49125809999999998</v>
      </c>
      <c r="F3920" t="s">
        <v>38</v>
      </c>
      <c r="G3920">
        <v>-243.9119</v>
      </c>
      <c r="H3920">
        <v>1.0494490000000001</v>
      </c>
      <c r="I3920">
        <v>141.83449999999999</v>
      </c>
      <c r="J3920">
        <v>-243.4248</v>
      </c>
      <c r="K3920">
        <v>1.1023769999999999</v>
      </c>
      <c r="L3920">
        <v>141.8486</v>
      </c>
      <c r="M3920">
        <v>-0.99370190000000003</v>
      </c>
      <c r="N3920">
        <v>0</v>
      </c>
      <c r="O3920">
        <v>-0.1119928</v>
      </c>
      <c r="P3920">
        <v>-0.99917909999999899</v>
      </c>
      <c r="Q3920">
        <v>1.754996E-2</v>
      </c>
      <c r="R3920">
        <v>-3.6516159999999999E-2</v>
      </c>
      <c r="S3920">
        <v>-2.9988860000000002</v>
      </c>
      <c r="T3920">
        <v>-0.19037579999999901</v>
      </c>
      <c r="U3920">
        <v>-0.19064329999999999</v>
      </c>
      <c r="V3920">
        <v>7.563976E-2</v>
      </c>
      <c r="W3920">
        <v>2.1250379999999999E-2</v>
      </c>
      <c r="X3920">
        <v>0.99690869999999998</v>
      </c>
      <c r="Y3920">
        <v>4.8403509999999997E-2</v>
      </c>
      <c r="Z3920">
        <v>8.6111050000000008E-3</v>
      </c>
      <c r="AA3920">
        <v>0.99879069999999903</v>
      </c>
      <c r="AB3920">
        <v>38</v>
      </c>
      <c r="AC3920">
        <v>-0.48709999999999798</v>
      </c>
      <c r="AD3920">
        <v>-5.2927999999999802E-2</v>
      </c>
      <c r="AE3920">
        <v>-1.41000000000133E-2</v>
      </c>
      <c r="AF3920">
        <v>4.0068100150050801E-2</v>
      </c>
      <c r="AG3920">
        <v>-5.2927999999999802E-2</v>
      </c>
      <c r="AH3920">
        <v>0.47995273460878302</v>
      </c>
      <c r="AI3920">
        <v>96.271367542014005</v>
      </c>
      <c r="AJ3920">
        <v>85.227817863815702</v>
      </c>
      <c r="AK3920">
        <v>0.48452188112827599</v>
      </c>
    </row>
    <row r="3921" spans="1:37" x14ac:dyDescent="0.2">
      <c r="A3921" t="str">
        <f>"20200111155928162"</f>
        <v>20200111155928162</v>
      </c>
      <c r="B3921" t="str">
        <f>"1578729568156219"</f>
        <v>1578729568156219</v>
      </c>
      <c r="C3921" t="s">
        <v>37</v>
      </c>
      <c r="D3921">
        <v>5.7387189999999997</v>
      </c>
      <c r="E3921">
        <v>0.4918997</v>
      </c>
      <c r="F3921" t="s">
        <v>38</v>
      </c>
      <c r="G3921">
        <v>-244.2509</v>
      </c>
      <c r="H3921">
        <v>1.0496049999999999</v>
      </c>
      <c r="I3921">
        <v>141.79660000000001</v>
      </c>
      <c r="J3921">
        <v>-243.81780000000001</v>
      </c>
      <c r="K3921">
        <v>1.102427</v>
      </c>
      <c r="L3921">
        <v>141.8047</v>
      </c>
      <c r="M3921">
        <v>-0.99375259999999999</v>
      </c>
      <c r="N3921">
        <v>0</v>
      </c>
      <c r="O3921">
        <v>-0.111526</v>
      </c>
      <c r="P3921">
        <v>-0.99921229999999905</v>
      </c>
      <c r="Q3921">
        <v>1.7335409999999999E-2</v>
      </c>
      <c r="R3921">
        <v>-3.5704939999999998E-2</v>
      </c>
      <c r="S3921">
        <v>-2.998901</v>
      </c>
      <c r="T3921">
        <v>-0.19164200000000001</v>
      </c>
      <c r="U3921">
        <v>-0.18922420000000001</v>
      </c>
      <c r="V3921">
        <v>7.5981939999999998E-2</v>
      </c>
      <c r="W3921">
        <v>2.148922E-2</v>
      </c>
      <c r="X3921">
        <v>0.99687760000000003</v>
      </c>
      <c r="Y3921">
        <v>4.8402260000000003E-2</v>
      </c>
      <c r="Z3921">
        <v>8.6387909999999998E-3</v>
      </c>
      <c r="AA3921">
        <v>0.99879059999999897</v>
      </c>
      <c r="AB3921">
        <v>38</v>
      </c>
      <c r="AC3921">
        <v>-0.43309999999999599</v>
      </c>
      <c r="AD3921">
        <v>-5.2822000000000098E-2</v>
      </c>
      <c r="AE3921">
        <v>-8.0999999999846698E-3</v>
      </c>
      <c r="AF3921">
        <v>3.9663093949933302E-2</v>
      </c>
      <c r="AG3921">
        <v>-5.2822000000000098E-2</v>
      </c>
      <c r="AH3921">
        <v>0.42498208837727702</v>
      </c>
      <c r="AI3921">
        <v>97.054741466599197</v>
      </c>
      <c r="AJ3921">
        <v>84.668095191954805</v>
      </c>
      <c r="AK3921">
        <v>0.43008499177161802</v>
      </c>
    </row>
    <row r="3922" spans="1:37" x14ac:dyDescent="0.2">
      <c r="A3922" t="str">
        <f>"20200111155928185"</f>
        <v>20200111155928185</v>
      </c>
      <c r="B3922" t="str">
        <f>"1578729568175738"</f>
        <v>1578729568175738</v>
      </c>
      <c r="C3922" t="s">
        <v>37</v>
      </c>
      <c r="D3922">
        <v>5.8741110000000001</v>
      </c>
      <c r="E3922">
        <v>0.457951199999999</v>
      </c>
      <c r="F3922" t="s">
        <v>71</v>
      </c>
      <c r="G3922">
        <v>-282.96499999999997</v>
      </c>
      <c r="H3922" s="1">
        <v>-4.8841980000000001E-6</v>
      </c>
      <c r="I3922">
        <v>139.48929999999999</v>
      </c>
      <c r="J3922">
        <v>-244.2099</v>
      </c>
      <c r="K3922">
        <v>1.102473</v>
      </c>
      <c r="L3922">
        <v>141.7611</v>
      </c>
      <c r="M3922">
        <v>-0.9938034</v>
      </c>
      <c r="N3922">
        <v>0</v>
      </c>
      <c r="O3922">
        <v>-0.11105419999999901</v>
      </c>
      <c r="P3922">
        <v>-0.99920140000000002</v>
      </c>
      <c r="Q3922">
        <v>1.734807E-2</v>
      </c>
      <c r="R3922">
        <v>-3.5998139999999998E-2</v>
      </c>
      <c r="S3922">
        <v>-2.9975130000000001</v>
      </c>
      <c r="T3922">
        <v>-8.4413530000000001E-2</v>
      </c>
      <c r="U3922">
        <v>-0.177291899999999</v>
      </c>
      <c r="V3922">
        <v>7.521717E-2</v>
      </c>
      <c r="W3922">
        <v>2.1940680000000001E-2</v>
      </c>
      <c r="X3922">
        <v>0.99692579999999997</v>
      </c>
      <c r="Y3922">
        <v>5.2119550000000001E-2</v>
      </c>
      <c r="Z3922">
        <v>3.8497879999999998E-3</v>
      </c>
      <c r="AA3922">
        <v>0.9986334</v>
      </c>
      <c r="AB3922">
        <v>38</v>
      </c>
      <c r="AC3922">
        <v>-38.755099999999899</v>
      </c>
      <c r="AD3922">
        <v>-1.1024778841980001</v>
      </c>
      <c r="AE3922">
        <v>-2.27180000000001</v>
      </c>
      <c r="AF3922">
        <v>2.0445674345331701</v>
      </c>
      <c r="AG3922">
        <v>-1.1024778841980001</v>
      </c>
      <c r="AH3922">
        <v>38.736424949184602</v>
      </c>
      <c r="AI3922">
        <v>91.627990919326805</v>
      </c>
      <c r="AJ3922">
        <v>86.978645237460796</v>
      </c>
      <c r="AK3922">
        <v>38.806008958965499</v>
      </c>
    </row>
    <row r="3923" spans="1:37" x14ac:dyDescent="0.2">
      <c r="A3923" t="str">
        <f>"20200111155928541"</f>
        <v>20200111155928541</v>
      </c>
      <c r="B3923" t="str">
        <f>"1578729568535883"</f>
        <v>1578729568535883</v>
      </c>
      <c r="C3923" t="s">
        <v>37</v>
      </c>
      <c r="D3923">
        <v>5.5644869999999997</v>
      </c>
      <c r="E3923">
        <v>0.41448599999999902</v>
      </c>
      <c r="F3923" t="s">
        <v>39</v>
      </c>
      <c r="G3923">
        <v>-269.92290000000003</v>
      </c>
      <c r="H3923" s="1">
        <v>-9.8512769999999894E-7</v>
      </c>
      <c r="I3923">
        <v>135.9599</v>
      </c>
      <c r="J3923">
        <v>-250.36750000000001</v>
      </c>
      <c r="K3923">
        <v>1.102474</v>
      </c>
      <c r="L3923">
        <v>141.10679999999999</v>
      </c>
      <c r="M3923">
        <v>-0.9948013</v>
      </c>
      <c r="N3923">
        <v>0</v>
      </c>
      <c r="O3923">
        <v>-0.1014963</v>
      </c>
      <c r="P3923">
        <v>-0.99947269999999899</v>
      </c>
      <c r="Q3923">
        <v>1.523942E-2</v>
      </c>
      <c r="R3923">
        <v>-2.8682160000000002E-2</v>
      </c>
      <c r="S3923">
        <v>-2.9818880000000001</v>
      </c>
      <c r="T3923">
        <v>-0.1648001</v>
      </c>
      <c r="U3923">
        <v>-0.77529910000000002</v>
      </c>
      <c r="V3923">
        <v>7.2955339999999994E-2</v>
      </c>
      <c r="W3923">
        <v>2.3408490000000001E-2</v>
      </c>
      <c r="X3923">
        <v>0.99706049999999902</v>
      </c>
      <c r="Y3923">
        <v>-0.1520309</v>
      </c>
      <c r="Z3923">
        <v>1.3595020000000001E-3</v>
      </c>
      <c r="AA3923">
        <v>0.9883748</v>
      </c>
      <c r="AB3923">
        <v>39</v>
      </c>
      <c r="AC3923">
        <v>-19.555399999999999</v>
      </c>
      <c r="AD3923">
        <v>-1.1024749851277</v>
      </c>
      <c r="AE3923">
        <v>-5.14689999999998</v>
      </c>
      <c r="AF3923">
        <v>-3.1261576689167598</v>
      </c>
      <c r="AG3923">
        <v>-1.1024749851277</v>
      </c>
      <c r="AH3923">
        <v>19.9176123230508</v>
      </c>
      <c r="AI3923">
        <v>93.129949014660696</v>
      </c>
      <c r="AJ3923">
        <v>98.920054393220397</v>
      </c>
      <c r="AK3923">
        <v>20.1915723388522</v>
      </c>
    </row>
    <row r="3924" spans="1:37" x14ac:dyDescent="0.2">
      <c r="A3924" t="str">
        <f>"20200111155928564"</f>
        <v>20200111155928564</v>
      </c>
      <c r="B3924" t="str">
        <f>"1578729568556378"</f>
        <v>1578729568556378</v>
      </c>
      <c r="C3924" t="s">
        <v>37</v>
      </c>
      <c r="D3924">
        <v>5.5718129999999997</v>
      </c>
      <c r="E3924">
        <v>0.41319689999999998</v>
      </c>
      <c r="F3924" t="s">
        <v>39</v>
      </c>
      <c r="G3924">
        <v>-270.82760000000002</v>
      </c>
      <c r="H3924" s="1">
        <v>-4.5983219999999998E-6</v>
      </c>
      <c r="I3924">
        <v>135.7766</v>
      </c>
      <c r="J3924">
        <v>-250.7501</v>
      </c>
      <c r="K3924">
        <v>1.102484</v>
      </c>
      <c r="L3924">
        <v>141.0684</v>
      </c>
      <c r="M3924">
        <v>-0.99487429999999999</v>
      </c>
      <c r="N3924">
        <v>0</v>
      </c>
      <c r="O3924">
        <v>-0.1007647</v>
      </c>
      <c r="P3924">
        <v>-0.99947459999999899</v>
      </c>
      <c r="Q3924">
        <v>1.521896E-2</v>
      </c>
      <c r="R3924">
        <v>-2.8622660000000001E-2</v>
      </c>
      <c r="S3924">
        <v>-2.981735</v>
      </c>
      <c r="T3924">
        <v>-0.16066900000000001</v>
      </c>
      <c r="U3924">
        <v>-0.7767944</v>
      </c>
      <c r="V3924">
        <v>7.2282719999999995E-2</v>
      </c>
      <c r="W3924">
        <v>2.3546729999999998E-2</v>
      </c>
      <c r="X3924">
        <v>0.99710619999999905</v>
      </c>
      <c r="Y3924">
        <v>-0.15323499999999901</v>
      </c>
      <c r="Z3924">
        <v>1.2551889999999899E-3</v>
      </c>
      <c r="AA3924">
        <v>0.98818899999999998</v>
      </c>
      <c r="AB3924">
        <v>39</v>
      </c>
      <c r="AC3924">
        <v>-20.077500000000001</v>
      </c>
      <c r="AD3924">
        <v>-1.1024885983220001</v>
      </c>
      <c r="AE3924">
        <v>-5.2917999999999896</v>
      </c>
      <c r="AF3924">
        <v>-3.2325746044294701</v>
      </c>
      <c r="AG3924">
        <v>-1.1024885983220001</v>
      </c>
      <c r="AH3924">
        <v>20.450889835625901</v>
      </c>
      <c r="AI3924">
        <v>93.048006584590894</v>
      </c>
      <c r="AJ3924">
        <v>98.982157286645801</v>
      </c>
      <c r="AK3924">
        <v>20.7341244028181</v>
      </c>
    </row>
    <row r="3925" spans="1:37" x14ac:dyDescent="0.2">
      <c r="A3925" t="str">
        <f>"20200111155928586"</f>
        <v>20200111155928586</v>
      </c>
      <c r="B3925" t="str">
        <f>"1578729568575898"</f>
        <v>1578729568575898</v>
      </c>
      <c r="C3925" t="s">
        <v>37</v>
      </c>
      <c r="D3925">
        <v>6.1182889999999999</v>
      </c>
      <c r="E3925">
        <v>0.4128367</v>
      </c>
      <c r="F3925" t="s">
        <v>39</v>
      </c>
      <c r="G3925">
        <v>-271.41359999999997</v>
      </c>
      <c r="H3925" s="1">
        <v>-4.3754129999999901E-6</v>
      </c>
      <c r="I3925">
        <v>135.61600000000001</v>
      </c>
      <c r="J3925">
        <v>-251.14400000000001</v>
      </c>
      <c r="K3925">
        <v>1.1025149999999999</v>
      </c>
      <c r="L3925">
        <v>141.0292</v>
      </c>
      <c r="M3925">
        <v>-0.99494959999999899</v>
      </c>
      <c r="N3925">
        <v>0</v>
      </c>
      <c r="O3925">
        <v>-9.9994260000000001E-2</v>
      </c>
      <c r="P3925">
        <v>-0.99948749999999997</v>
      </c>
      <c r="Q3925">
        <v>1.532905E-2</v>
      </c>
      <c r="R3925">
        <v>-2.81052E-2</v>
      </c>
      <c r="S3925">
        <v>-2.9814759999999998</v>
      </c>
      <c r="T3925">
        <v>-0.15907489999999999</v>
      </c>
      <c r="U3925">
        <v>-0.78671259999999998</v>
      </c>
      <c r="V3925">
        <v>7.2028930000000005E-2</v>
      </c>
      <c r="W3925">
        <v>2.3920940000000002E-2</v>
      </c>
      <c r="X3925">
        <v>0.99711569999999905</v>
      </c>
      <c r="Y3925">
        <v>-0.15709110000000001</v>
      </c>
      <c r="Z3925">
        <v>1.1011039999999899E-3</v>
      </c>
      <c r="AA3925">
        <v>0.98758349999999995</v>
      </c>
      <c r="AB3925">
        <v>39</v>
      </c>
      <c r="AC3925">
        <v>-20.269599999999901</v>
      </c>
      <c r="AD3925">
        <v>-1.1025193754129901</v>
      </c>
      <c r="AE3925">
        <v>-5.4131999999999802</v>
      </c>
      <c r="AF3925">
        <v>-3.34989480818136</v>
      </c>
      <c r="AG3925">
        <v>-1.1025193754129901</v>
      </c>
      <c r="AH3925">
        <v>20.652277329465001</v>
      </c>
      <c r="AI3925">
        <v>93.016477221409502</v>
      </c>
      <c r="AJ3925">
        <v>99.213396880411594</v>
      </c>
      <c r="AK3925">
        <v>20.951226768191301</v>
      </c>
    </row>
    <row r="3926" spans="1:37" x14ac:dyDescent="0.2">
      <c r="A3926" t="str">
        <f>"20200111155928609"</f>
        <v>20200111155928609</v>
      </c>
      <c r="B3926" t="str">
        <f>"1578729568606155"</f>
        <v>1578729568606155</v>
      </c>
      <c r="C3926" t="s">
        <v>37</v>
      </c>
      <c r="D3926">
        <v>6.2855210000000001</v>
      </c>
      <c r="E3926">
        <v>0.45763480000000001</v>
      </c>
      <c r="F3926" t="s">
        <v>39</v>
      </c>
      <c r="G3926">
        <v>-271.73009999999999</v>
      </c>
      <c r="H3926" s="1">
        <v>-4.2447350000000001E-6</v>
      </c>
      <c r="I3926">
        <v>135.58709999999999</v>
      </c>
      <c r="J3926">
        <v>-251.53809999999999</v>
      </c>
      <c r="K3926">
        <v>1.102582</v>
      </c>
      <c r="L3926">
        <v>140.99029999999999</v>
      </c>
      <c r="M3926">
        <v>-0.99502380000000001</v>
      </c>
      <c r="N3926">
        <v>0</v>
      </c>
      <c r="O3926">
        <v>-9.9213969999999999E-2</v>
      </c>
      <c r="P3926">
        <v>-0.99951730000000005</v>
      </c>
      <c r="Q3926">
        <v>1.542117E-2</v>
      </c>
      <c r="R3926">
        <v>-2.697132E-2</v>
      </c>
      <c r="S3926">
        <v>-2.9818119999999899</v>
      </c>
      <c r="T3926">
        <v>-0.15969510000000001</v>
      </c>
      <c r="U3926">
        <v>-0.7882538</v>
      </c>
      <c r="V3926">
        <v>7.2380860000000005E-2</v>
      </c>
      <c r="W3926">
        <v>2.443911E-2</v>
      </c>
      <c r="X3926">
        <v>0.99707760000000001</v>
      </c>
      <c r="Y3926">
        <v>-0.15831149999999999</v>
      </c>
      <c r="Z3926">
        <v>1.032439E-3</v>
      </c>
      <c r="AA3926">
        <v>0.98738869999999901</v>
      </c>
      <c r="AB3926">
        <v>39</v>
      </c>
      <c r="AC3926">
        <v>-20.192</v>
      </c>
      <c r="AD3926">
        <v>-1.1025862447349899</v>
      </c>
      <c r="AE3926">
        <v>-5.4031999999999902</v>
      </c>
      <c r="AF3926">
        <v>-3.3637665624307602</v>
      </c>
      <c r="AG3926">
        <v>-1.1025862447349899</v>
      </c>
      <c r="AH3926">
        <v>20.5712232579084</v>
      </c>
      <c r="AI3926">
        <v>93.027894050360999</v>
      </c>
      <c r="AJ3926">
        <v>99.286707062080495</v>
      </c>
      <c r="AK3926">
        <v>20.873568172220001</v>
      </c>
    </row>
    <row r="3927" spans="1:37" x14ac:dyDescent="0.2">
      <c r="A3927" t="str">
        <f>"20200111155928632"</f>
        <v>20200111155928632</v>
      </c>
      <c r="B3927" t="str">
        <f>"1578729568625675"</f>
        <v>1578729568625675</v>
      </c>
      <c r="C3927" t="s">
        <v>37</v>
      </c>
      <c r="D3927">
        <v>5.8185209999999996</v>
      </c>
      <c r="E3927">
        <v>0.54312130000000003</v>
      </c>
      <c r="F3927" t="s">
        <v>39</v>
      </c>
      <c r="G3927">
        <v>-334.66419999999999</v>
      </c>
      <c r="H3927">
        <v>7.9985239999999999E-2</v>
      </c>
      <c r="I3927">
        <v>129.24610000000001</v>
      </c>
      <c r="J3927">
        <v>-251.9443</v>
      </c>
      <c r="K3927">
        <v>1.1026670000000001</v>
      </c>
      <c r="L3927">
        <v>140.95050000000001</v>
      </c>
      <c r="M3927">
        <v>-0.99509969999999903</v>
      </c>
      <c r="N3927">
        <v>0</v>
      </c>
      <c r="O3927">
        <v>-9.8397890000000002E-2</v>
      </c>
      <c r="P3927">
        <v>-0.99957039999999997</v>
      </c>
      <c r="Q3927">
        <v>1.507591E-2</v>
      </c>
      <c r="R3927">
        <v>-2.5140510000000001E-2</v>
      </c>
      <c r="S3927">
        <v>-2.9906009999999998</v>
      </c>
      <c r="T3927">
        <v>-3.6789660000000002E-2</v>
      </c>
      <c r="U3927">
        <v>-0.4225159</v>
      </c>
      <c r="V3927">
        <v>7.3392680000000002E-2</v>
      </c>
      <c r="W3927">
        <v>2.4627880000000001E-2</v>
      </c>
      <c r="X3927">
        <v>0.99699899999999997</v>
      </c>
      <c r="Y3927">
        <v>-4.1782340000000001E-2</v>
      </c>
      <c r="Z3927">
        <v>9.4523920000000002E-4</v>
      </c>
      <c r="AA3927">
        <v>0.99912630000000002</v>
      </c>
      <c r="AB3927">
        <v>39</v>
      </c>
      <c r="AC3927">
        <v>-82.719899999999996</v>
      </c>
      <c r="AD3927">
        <v>-1.02268176</v>
      </c>
      <c r="AE3927">
        <v>-11.7043999999999</v>
      </c>
      <c r="AF3927">
        <v>-3.5072213999859199</v>
      </c>
      <c r="AG3927">
        <v>-1.02268176</v>
      </c>
      <c r="AH3927">
        <v>83.457671591846093</v>
      </c>
      <c r="AI3927">
        <v>90.701442432323503</v>
      </c>
      <c r="AJ3927">
        <v>92.406379336608197</v>
      </c>
      <c r="AK3927">
        <v>83.537592899623306</v>
      </c>
    </row>
    <row r="3928" spans="1:37" x14ac:dyDescent="0.2">
      <c r="A3928" t="str">
        <f>"20200111155928654"</f>
        <v>20200111155928654</v>
      </c>
      <c r="B3928" t="str">
        <f>"1578729568646172"</f>
        <v>1578729568646172</v>
      </c>
      <c r="C3928" t="s">
        <v>37</v>
      </c>
      <c r="D3928">
        <v>5.7216509999999996</v>
      </c>
      <c r="E3928">
        <v>0.53756040000000005</v>
      </c>
      <c r="F3928" t="s">
        <v>39</v>
      </c>
      <c r="G3928">
        <v>-275.3938</v>
      </c>
      <c r="H3928" s="1">
        <v>-2.8539459999999999E-6</v>
      </c>
      <c r="I3928">
        <v>142.982</v>
      </c>
      <c r="J3928">
        <v>-252.34620000000001</v>
      </c>
      <c r="K3928">
        <v>1.102749</v>
      </c>
      <c r="L3928">
        <v>140.91159999999999</v>
      </c>
      <c r="M3928">
        <v>-0.99517630000000001</v>
      </c>
      <c r="N3928">
        <v>0</v>
      </c>
      <c r="O3928">
        <v>-9.7562339999999997E-2</v>
      </c>
      <c r="P3928">
        <v>-0.9996159</v>
      </c>
      <c r="Q3928">
        <v>1.4205219999999999E-2</v>
      </c>
      <c r="R3928">
        <v>-2.3795710000000001E-2</v>
      </c>
      <c r="S3928">
        <v>-3.009979</v>
      </c>
      <c r="T3928">
        <v>-0.141539</v>
      </c>
      <c r="U3928">
        <v>0.26077270000000002</v>
      </c>
      <c r="V3928">
        <v>7.3899129999999993E-2</v>
      </c>
      <c r="W3928">
        <v>2.431374E-2</v>
      </c>
      <c r="X3928">
        <v>0.99696929999999995</v>
      </c>
      <c r="Y3928">
        <v>0.1827964</v>
      </c>
      <c r="Z3928">
        <v>8.8636589999999994E-3</v>
      </c>
      <c r="AA3928">
        <v>0.98311079999999995</v>
      </c>
      <c r="AB3928">
        <v>39</v>
      </c>
      <c r="AC3928">
        <v>-23.0475999999999</v>
      </c>
      <c r="AD3928">
        <v>-1.1027518539459999</v>
      </c>
      <c r="AE3928">
        <v>2.0703999999999998</v>
      </c>
      <c r="AF3928">
        <v>4.2994546115744301</v>
      </c>
      <c r="AG3928">
        <v>-1.1027518539459999</v>
      </c>
      <c r="AH3928">
        <v>22.684118863327399</v>
      </c>
      <c r="AI3928">
        <v>92.7345424589505</v>
      </c>
      <c r="AJ3928">
        <v>79.267700243091696</v>
      </c>
      <c r="AK3928">
        <v>23.1142947159098</v>
      </c>
    </row>
    <row r="3929" spans="1:37" x14ac:dyDescent="0.2">
      <c r="A3929" t="str">
        <f>"20200111155928675"</f>
        <v>20200111155928675</v>
      </c>
      <c r="B3929" t="str">
        <f>"1578729568665690"</f>
        <v>1578729568665690</v>
      </c>
      <c r="C3929" t="s">
        <v>37</v>
      </c>
      <c r="D3929">
        <v>5.6554260000000003</v>
      </c>
      <c r="E3929">
        <v>0.53599989999999997</v>
      </c>
      <c r="F3929" t="s">
        <v>38</v>
      </c>
      <c r="G3929">
        <v>-253.255</v>
      </c>
      <c r="H3929">
        <v>1.0340769999999999</v>
      </c>
      <c r="I3929">
        <v>140.97739999999999</v>
      </c>
      <c r="J3929">
        <v>-252.7029</v>
      </c>
      <c r="K3929">
        <v>1.102805</v>
      </c>
      <c r="L3929">
        <v>140.87729999999999</v>
      </c>
      <c r="M3929">
        <v>-0.99524650000000003</v>
      </c>
      <c r="N3929">
        <v>0</v>
      </c>
      <c r="O3929">
        <v>-9.6789440000000004E-2</v>
      </c>
      <c r="P3929">
        <v>-0.99963559999999996</v>
      </c>
      <c r="Q3929">
        <v>1.342259E-2</v>
      </c>
      <c r="R3929">
        <v>-2.3425970000000001E-2</v>
      </c>
      <c r="S3929">
        <v>-3.0095369999999999</v>
      </c>
      <c r="T3929">
        <v>-0.2274784</v>
      </c>
      <c r="U3929">
        <v>0.21711729999999901</v>
      </c>
      <c r="V3929">
        <v>7.3495909999999998E-2</v>
      </c>
      <c r="W3929">
        <v>2.401199E-2</v>
      </c>
      <c r="X3929">
        <v>0.99700639999999996</v>
      </c>
      <c r="Y3929">
        <v>0.16741199999999901</v>
      </c>
      <c r="Z3929">
        <v>1.3604049999999999E-2</v>
      </c>
      <c r="AA3929">
        <v>0.98579319999999904</v>
      </c>
      <c r="AB3929">
        <v>39</v>
      </c>
      <c r="AC3929">
        <v>-0.55209999999999504</v>
      </c>
      <c r="AD3929">
        <v>-6.87279999999999E-2</v>
      </c>
      <c r="AE3929">
        <v>0.100099999999997</v>
      </c>
      <c r="AF3929">
        <v>0.15080791072854699</v>
      </c>
      <c r="AG3929">
        <v>-6.87279999999999E-2</v>
      </c>
      <c r="AH3929">
        <v>0.53183902509596104</v>
      </c>
      <c r="AI3929">
        <v>97.086958822747704</v>
      </c>
      <c r="AJ3929">
        <v>74.168821038077994</v>
      </c>
      <c r="AK3929">
        <v>0.55706311360323602</v>
      </c>
    </row>
    <row r="3930" spans="1:37" x14ac:dyDescent="0.2">
      <c r="A3930" t="str">
        <f>"20200111155928696"</f>
        <v>20200111155928696</v>
      </c>
      <c r="B3930" t="str">
        <f>"1578729568686186"</f>
        <v>1578729568686186</v>
      </c>
      <c r="C3930" t="s">
        <v>37</v>
      </c>
      <c r="D3930">
        <v>5.6652550000000002</v>
      </c>
      <c r="E3930">
        <v>0.53504269999999998</v>
      </c>
      <c r="F3930" t="s">
        <v>38</v>
      </c>
      <c r="G3930">
        <v>-253.59690000000001</v>
      </c>
      <c r="H3930">
        <v>1.028597</v>
      </c>
      <c r="I3930">
        <v>140.9385</v>
      </c>
      <c r="J3930">
        <v>-253.07650000000001</v>
      </c>
      <c r="K3930">
        <v>1.102838</v>
      </c>
      <c r="L3930">
        <v>140.8417</v>
      </c>
      <c r="M3930">
        <v>-0.99532319999999996</v>
      </c>
      <c r="N3930">
        <v>0</v>
      </c>
      <c r="O3930">
        <v>-9.5943790000000001E-2</v>
      </c>
      <c r="P3930">
        <v>-0.99964509999999995</v>
      </c>
      <c r="Q3930">
        <v>1.2831739999999999E-2</v>
      </c>
      <c r="R3930">
        <v>-2.3349209999999999E-2</v>
      </c>
      <c r="S3930">
        <v>-3.009277</v>
      </c>
      <c r="T3930">
        <v>-0.2498195</v>
      </c>
      <c r="U3930">
        <v>0.2055054</v>
      </c>
      <c r="V3930">
        <v>7.2727819999999999E-2</v>
      </c>
      <c r="W3930">
        <v>2.389281E-2</v>
      </c>
      <c r="X3930">
        <v>0.997065599999999</v>
      </c>
      <c r="Y3930">
        <v>0.16265829999999901</v>
      </c>
      <c r="Z3930">
        <v>1.46721E-2</v>
      </c>
      <c r="AA3930">
        <v>0.98657329999999999</v>
      </c>
      <c r="AB3930">
        <v>39</v>
      </c>
      <c r="AC3930">
        <v>-0.52039999999999498</v>
      </c>
      <c r="AD3930">
        <v>-7.4241000000000001E-2</v>
      </c>
      <c r="AE3930">
        <v>9.6800000000001704E-2</v>
      </c>
      <c r="AF3930">
        <v>0.14346352529273901</v>
      </c>
      <c r="AG3930">
        <v>-7.4241000000000001E-2</v>
      </c>
      <c r="AH3930">
        <v>0.498896895367684</v>
      </c>
      <c r="AI3930">
        <v>98.138948021534404</v>
      </c>
      <c r="AJ3930">
        <v>73.956803590818296</v>
      </c>
      <c r="AK3930">
        <v>0.52439643532153701</v>
      </c>
    </row>
    <row r="3931" spans="1:37" x14ac:dyDescent="0.2">
      <c r="A3931" t="str">
        <f>"20200111155928720"</f>
        <v>20200111155928720</v>
      </c>
      <c r="B3931" t="str">
        <f>"1578729568716443"</f>
        <v>1578729568716443</v>
      </c>
      <c r="C3931" t="s">
        <v>37</v>
      </c>
      <c r="D3931">
        <v>5.6715220000000004</v>
      </c>
      <c r="E3931">
        <v>0.53388669999999905</v>
      </c>
      <c r="F3931" t="s">
        <v>38</v>
      </c>
      <c r="G3931">
        <v>-253.9435</v>
      </c>
      <c r="H3931">
        <v>1.0275339999999999</v>
      </c>
      <c r="I3931">
        <v>140.899</v>
      </c>
      <c r="J3931">
        <v>-253.47890000000001</v>
      </c>
      <c r="K3931">
        <v>1.102846</v>
      </c>
      <c r="L3931">
        <v>140.8038</v>
      </c>
      <c r="M3931">
        <v>-0.99540969999999995</v>
      </c>
      <c r="N3931">
        <v>0</v>
      </c>
      <c r="O3931">
        <v>-9.4984699999999894E-2</v>
      </c>
      <c r="P3931">
        <v>-0.99964109999999995</v>
      </c>
      <c r="Q3931">
        <v>1.2855780000000001E-2</v>
      </c>
      <c r="R3931">
        <v>-2.3510469999999999E-2</v>
      </c>
      <c r="S3931">
        <v>-3.009064</v>
      </c>
      <c r="T3931">
        <v>-0.26144889999999998</v>
      </c>
      <c r="U3931">
        <v>0.19798279999999999</v>
      </c>
      <c r="V3931">
        <v>7.1610179999999996E-2</v>
      </c>
      <c r="W3931">
        <v>2.4381429999999999E-2</v>
      </c>
      <c r="X3931">
        <v>0.99713469999999904</v>
      </c>
      <c r="Y3931">
        <v>0.15918869999999999</v>
      </c>
      <c r="Z3931">
        <v>1.5121529999999999E-2</v>
      </c>
      <c r="AA3931">
        <v>0.98713240000000002</v>
      </c>
      <c r="AB3931">
        <v>39</v>
      </c>
      <c r="AC3931">
        <v>-0.46459999999999002</v>
      </c>
      <c r="AD3931">
        <v>-7.5312000000000004E-2</v>
      </c>
      <c r="AE3931">
        <v>9.5200000000005502E-2</v>
      </c>
      <c r="AF3931">
        <v>0.13548578371254</v>
      </c>
      <c r="AG3931">
        <v>-7.5312000000000004E-2</v>
      </c>
      <c r="AH3931">
        <v>0.44230206870556699</v>
      </c>
      <c r="AI3931">
        <v>99.246957544793702</v>
      </c>
      <c r="AJ3931">
        <v>72.969147962277205</v>
      </c>
      <c r="AK3931">
        <v>0.46867837043480598</v>
      </c>
    </row>
    <row r="3932" spans="1:37" x14ac:dyDescent="0.2">
      <c r="A3932" t="str">
        <f>"20200111155928742"</f>
        <v>20200111155928742</v>
      </c>
      <c r="B3932" t="str">
        <f>"1578729568735962"</f>
        <v>1578729568735962</v>
      </c>
      <c r="C3932" t="s">
        <v>37</v>
      </c>
      <c r="D3932">
        <v>5.6127739999999999</v>
      </c>
      <c r="E3932">
        <v>0.53340410000000005</v>
      </c>
      <c r="F3932" t="s">
        <v>38</v>
      </c>
      <c r="G3932">
        <v>-254.2911</v>
      </c>
      <c r="H3932">
        <v>1.0300279999999999</v>
      </c>
      <c r="I3932">
        <v>140.85470000000001</v>
      </c>
      <c r="J3932">
        <v>-253.87270000000001</v>
      </c>
      <c r="K3932">
        <v>1.1028340000000001</v>
      </c>
      <c r="L3932">
        <v>140.7672</v>
      </c>
      <c r="M3932">
        <v>-0.99549940000000003</v>
      </c>
      <c r="N3932">
        <v>0</v>
      </c>
      <c r="O3932">
        <v>-9.3988260000000004E-2</v>
      </c>
      <c r="P3932">
        <v>-0.99962929999999905</v>
      </c>
      <c r="Q3932">
        <v>1.306121E-2</v>
      </c>
      <c r="R3932">
        <v>-2.389018E-2</v>
      </c>
      <c r="S3932">
        <v>-3.0090029999999999</v>
      </c>
      <c r="T3932">
        <v>-0.26979589999999998</v>
      </c>
      <c r="U3932">
        <v>0.18815609999999999</v>
      </c>
      <c r="V3932">
        <v>7.0237220000000003E-2</v>
      </c>
      <c r="W3932">
        <v>2.4997789999999999E-2</v>
      </c>
      <c r="X3932">
        <v>0.99721709999999997</v>
      </c>
      <c r="Y3932">
        <v>0.15494939999999999</v>
      </c>
      <c r="Z3932">
        <v>1.532566E-2</v>
      </c>
      <c r="AA3932">
        <v>0.98780349999999995</v>
      </c>
      <c r="AB3932">
        <v>39</v>
      </c>
      <c r="AC3932">
        <v>-0.418399999999991</v>
      </c>
      <c r="AD3932">
        <v>-7.2805999999999899E-2</v>
      </c>
      <c r="AE3932">
        <v>8.7500000000005601E-2</v>
      </c>
      <c r="AF3932">
        <v>0.122875465916053</v>
      </c>
      <c r="AG3932">
        <v>-7.2805999999999899E-2</v>
      </c>
      <c r="AH3932">
        <v>0.396811186522945</v>
      </c>
      <c r="AI3932">
        <v>99.941090492003596</v>
      </c>
      <c r="AJ3932">
        <v>72.794481235230506</v>
      </c>
      <c r="AK3932">
        <v>0.42173239324224798</v>
      </c>
    </row>
    <row r="3933" spans="1:37" x14ac:dyDescent="0.2">
      <c r="A3933" t="str">
        <f>"20200111155928765"</f>
        <v>20200111155928765</v>
      </c>
      <c r="B3933" t="str">
        <f>"1578729568756458"</f>
        <v>1578729568756458</v>
      </c>
      <c r="C3933" t="s">
        <v>37</v>
      </c>
      <c r="D3933">
        <v>5.5624549999999999</v>
      </c>
      <c r="E3933">
        <v>0.53270640000000002</v>
      </c>
      <c r="F3933" t="s">
        <v>38</v>
      </c>
      <c r="G3933">
        <v>-254.63929999999999</v>
      </c>
      <c r="H3933">
        <v>1.0337069999999999</v>
      </c>
      <c r="I3933">
        <v>140.81399999999999</v>
      </c>
      <c r="J3933">
        <v>-254.25880000000001</v>
      </c>
      <c r="K3933">
        <v>1.1027990000000001</v>
      </c>
      <c r="L3933">
        <v>140.73169999999999</v>
      </c>
      <c r="M3933">
        <v>-0.99559299999999995</v>
      </c>
      <c r="N3933">
        <v>0</v>
      </c>
      <c r="O3933">
        <v>-9.2942919999999998E-2</v>
      </c>
      <c r="P3933">
        <v>-0.99963389999999996</v>
      </c>
      <c r="Q3933">
        <v>1.34433E-2</v>
      </c>
      <c r="R3933">
        <v>-2.3486380000000001E-2</v>
      </c>
      <c r="S3933">
        <v>-3.009064</v>
      </c>
      <c r="T3933">
        <v>-0.271399</v>
      </c>
      <c r="U3933">
        <v>0.18325810000000001</v>
      </c>
      <c r="V3933">
        <v>6.9598220000000002E-2</v>
      </c>
      <c r="W3933">
        <v>2.573665E-2</v>
      </c>
      <c r="X3933">
        <v>0.99724299999999999</v>
      </c>
      <c r="Y3933">
        <v>0.152312</v>
      </c>
      <c r="Z3933">
        <v>1.5204260000000001E-2</v>
      </c>
      <c r="AA3933">
        <v>0.98821550000000002</v>
      </c>
      <c r="AB3933">
        <v>39</v>
      </c>
      <c r="AC3933">
        <v>-0.38049999999998302</v>
      </c>
      <c r="AD3933">
        <v>-6.9092000000000098E-2</v>
      </c>
      <c r="AE3933">
        <v>8.2300000000003495E-2</v>
      </c>
      <c r="AF3933">
        <v>0.113728958785752</v>
      </c>
      <c r="AG3933">
        <v>-6.9092000000000098E-2</v>
      </c>
      <c r="AH3933">
        <v>0.35986764495745899</v>
      </c>
      <c r="AI3933">
        <v>100.37416938935201</v>
      </c>
      <c r="AJ3933">
        <v>72.461902913685506</v>
      </c>
      <c r="AK3933">
        <v>0.38368307549033198</v>
      </c>
    </row>
    <row r="3934" spans="1:37" x14ac:dyDescent="0.2">
      <c r="A3934" t="str">
        <f>"20200111155928787"</f>
        <v>20200111155928787</v>
      </c>
      <c r="B3934" t="str">
        <f>"1578729568775978"</f>
        <v>1578729568775978</v>
      </c>
      <c r="C3934" t="s">
        <v>37</v>
      </c>
      <c r="D3934">
        <v>5.6167049999999996</v>
      </c>
      <c r="E3934">
        <v>0.53234539999999997</v>
      </c>
      <c r="F3934" t="s">
        <v>38</v>
      </c>
      <c r="G3934">
        <v>-255.32419999999999</v>
      </c>
      <c r="H3934">
        <v>1.0054160000000001</v>
      </c>
      <c r="I3934">
        <v>140.7953</v>
      </c>
      <c r="J3934">
        <v>-254.64109999999999</v>
      </c>
      <c r="K3934">
        <v>1.1027610000000001</v>
      </c>
      <c r="L3934">
        <v>140.69710000000001</v>
      </c>
      <c r="M3934">
        <v>-0.99569279999999905</v>
      </c>
      <c r="N3934">
        <v>0</v>
      </c>
      <c r="O3934">
        <v>-9.1824020000000006E-2</v>
      </c>
      <c r="P3934">
        <v>-0.99965139999999997</v>
      </c>
      <c r="Q3934">
        <v>1.405085E-2</v>
      </c>
      <c r="R3934">
        <v>-2.2364499999999999E-2</v>
      </c>
      <c r="S3934">
        <v>-3.0089869999999999</v>
      </c>
      <c r="T3934">
        <v>-0.27505849999999998</v>
      </c>
      <c r="U3934">
        <v>0.1787262</v>
      </c>
      <c r="V3934">
        <v>6.9602910000000004E-2</v>
      </c>
      <c r="W3934">
        <v>2.665139E-2</v>
      </c>
      <c r="X3934">
        <v>0.99721870000000001</v>
      </c>
      <c r="Y3934">
        <v>0.14970829999999999</v>
      </c>
      <c r="Z3934">
        <v>1.518894E-2</v>
      </c>
      <c r="AA3934">
        <v>0.98861350000000003</v>
      </c>
      <c r="AB3934">
        <v>39</v>
      </c>
      <c r="AC3934">
        <v>-0.68309999999999504</v>
      </c>
      <c r="AD3934">
        <v>-9.7345000000000001E-2</v>
      </c>
      <c r="AE3934">
        <v>9.8199999999991405E-2</v>
      </c>
      <c r="AF3934">
        <v>0.15738382368714901</v>
      </c>
      <c r="AG3934">
        <v>-9.7345000000000001E-2</v>
      </c>
      <c r="AH3934">
        <v>0.65810186293953699</v>
      </c>
      <c r="AI3934">
        <v>98.1864712077452</v>
      </c>
      <c r="AJ3934">
        <v>76.550426440234006</v>
      </c>
      <c r="AK3934">
        <v>0.68362546689534398</v>
      </c>
    </row>
    <row r="3935" spans="1:37" x14ac:dyDescent="0.2">
      <c r="A3935" t="str">
        <f>"20200111155928810"</f>
        <v>20200111155928810</v>
      </c>
      <c r="B3935" t="str">
        <f>"1578729568806234"</f>
        <v>1578729568806234</v>
      </c>
      <c r="C3935" t="s">
        <v>37</v>
      </c>
      <c r="D3935">
        <v>5.6071900000000001</v>
      </c>
      <c r="E3935">
        <v>0.53245180000000003</v>
      </c>
      <c r="F3935" t="s">
        <v>38</v>
      </c>
      <c r="G3935">
        <v>-255.6711</v>
      </c>
      <c r="H3935">
        <v>1.0081209999999901</v>
      </c>
      <c r="I3935">
        <v>140.7586</v>
      </c>
      <c r="J3935">
        <v>-255.02869999999999</v>
      </c>
      <c r="K3935">
        <v>1.1027089999999999</v>
      </c>
      <c r="L3935">
        <v>140.66249999999999</v>
      </c>
      <c r="M3935">
        <v>-0.99579949999999995</v>
      </c>
      <c r="N3935">
        <v>0</v>
      </c>
      <c r="O3935">
        <v>-9.0618080000000004E-2</v>
      </c>
      <c r="P3935">
        <v>-0.99967019999999995</v>
      </c>
      <c r="Q3935">
        <v>1.41850999999999E-2</v>
      </c>
      <c r="R3935">
        <v>-2.141303E-2</v>
      </c>
      <c r="S3935">
        <v>-3.008972</v>
      </c>
      <c r="T3935">
        <v>-0.27650370000000002</v>
      </c>
      <c r="U3935">
        <v>0.17884829999999999</v>
      </c>
      <c r="V3935">
        <v>6.9349770000000005E-2</v>
      </c>
      <c r="W3935">
        <v>2.706132E-2</v>
      </c>
      <c r="X3935">
        <v>0.99722529999999998</v>
      </c>
      <c r="Y3935">
        <v>0.14855090000000001</v>
      </c>
      <c r="Z3935">
        <v>1.5105189999999999E-2</v>
      </c>
      <c r="AA3935">
        <v>0.98878940000000004</v>
      </c>
      <c r="AB3935">
        <v>39</v>
      </c>
      <c r="AC3935">
        <v>-0.64240000000000896</v>
      </c>
      <c r="AD3935">
        <v>-9.4588000000000103E-2</v>
      </c>
      <c r="AE3935">
        <v>9.6100000000006902E-2</v>
      </c>
      <c r="AF3935">
        <v>0.150726369729002</v>
      </c>
      <c r="AG3935">
        <v>-9.4588000000000103E-2</v>
      </c>
      <c r="AH3935">
        <v>0.61794356208081203</v>
      </c>
      <c r="AI3935">
        <v>98.458420577187596</v>
      </c>
      <c r="AJ3935">
        <v>76.292301451280295</v>
      </c>
      <c r="AK3935">
        <v>0.64305487650184701</v>
      </c>
    </row>
    <row r="3936" spans="1:37" x14ac:dyDescent="0.2">
      <c r="A3936" t="str">
        <f>"20200111155928831"</f>
        <v>20200111155928831</v>
      </c>
      <c r="B3936" t="str">
        <f>"1578729568825754"</f>
        <v>1578729568825754</v>
      </c>
      <c r="C3936" t="s">
        <v>37</v>
      </c>
      <c r="D3936">
        <v>5.5815440000000001</v>
      </c>
      <c r="E3936">
        <v>0.53247979999999995</v>
      </c>
      <c r="F3936" t="s">
        <v>38</v>
      </c>
      <c r="G3936">
        <v>-256.01769999999999</v>
      </c>
      <c r="H3936">
        <v>1.0109680000000001</v>
      </c>
      <c r="I3936">
        <v>140.7225</v>
      </c>
      <c r="J3936">
        <v>-255.41909999999999</v>
      </c>
      <c r="K3936">
        <v>1.102665</v>
      </c>
      <c r="L3936">
        <v>140.6283</v>
      </c>
      <c r="M3936">
        <v>-0.99591269999999998</v>
      </c>
      <c r="N3936">
        <v>0</v>
      </c>
      <c r="O3936">
        <v>-8.9327359999999995E-2</v>
      </c>
      <c r="P3936">
        <v>-0.99971549999999998</v>
      </c>
      <c r="Q3936">
        <v>1.3573999999999999E-2</v>
      </c>
      <c r="R3936">
        <v>-1.9619270000000001E-2</v>
      </c>
      <c r="S3936">
        <v>-3.0088499999999998</v>
      </c>
      <c r="T3936">
        <v>-0.27910849999999998</v>
      </c>
      <c r="U3936">
        <v>0.18228150000000001</v>
      </c>
      <c r="V3936">
        <v>6.9850819999999994E-2</v>
      </c>
      <c r="W3936">
        <v>2.668953E-2</v>
      </c>
      <c r="X3936">
        <v>0.99720039999999999</v>
      </c>
      <c r="Y3936">
        <v>0.1483835</v>
      </c>
      <c r="Z3936">
        <v>1.512021E-2</v>
      </c>
      <c r="AA3936">
        <v>0.98881430000000003</v>
      </c>
      <c r="AB3936">
        <v>39</v>
      </c>
      <c r="AC3936">
        <v>-0.59860000000000402</v>
      </c>
      <c r="AD3936">
        <v>-9.1696999999999904E-2</v>
      </c>
      <c r="AE3936">
        <v>9.42000000000007E-2</v>
      </c>
      <c r="AF3936">
        <v>0.144002008665988</v>
      </c>
      <c r="AG3936">
        <v>-9.1696999999999904E-2</v>
      </c>
      <c r="AH3936">
        <v>0.57463276977762201</v>
      </c>
      <c r="AI3936">
        <v>98.798906272841293</v>
      </c>
      <c r="AJ3936">
        <v>75.931496225849997</v>
      </c>
      <c r="AK3936">
        <v>0.59945620224595297</v>
      </c>
    </row>
    <row r="3937" spans="1:37" x14ac:dyDescent="0.2">
      <c r="A3937" t="str">
        <f>"20200111155928855"</f>
        <v>20200111155928855</v>
      </c>
      <c r="B3937" t="str">
        <f>"1578729568846250"</f>
        <v>1578729568846250</v>
      </c>
      <c r="C3937" t="s">
        <v>37</v>
      </c>
      <c r="D3937">
        <v>5.5917300000000001</v>
      </c>
      <c r="E3937">
        <v>0.53239199999999998</v>
      </c>
      <c r="F3937" t="s">
        <v>38</v>
      </c>
      <c r="G3937">
        <v>-256.36399999999998</v>
      </c>
      <c r="H3937">
        <v>1.0139769999999999</v>
      </c>
      <c r="I3937">
        <v>140.68729999999999</v>
      </c>
      <c r="J3937">
        <v>-255.81</v>
      </c>
      <c r="K3937">
        <v>1.102609</v>
      </c>
      <c r="L3937">
        <v>140.59450000000001</v>
      </c>
      <c r="M3937">
        <v>-0.99603209999999998</v>
      </c>
      <c r="N3937">
        <v>0</v>
      </c>
      <c r="O3937">
        <v>-8.7951950000000001E-2</v>
      </c>
      <c r="P3937">
        <v>-0.99976030000000005</v>
      </c>
      <c r="Q3937">
        <v>1.309573E-2</v>
      </c>
      <c r="R3937">
        <v>-1.7548890000000001E-2</v>
      </c>
      <c r="S3937">
        <v>-3.008362</v>
      </c>
      <c r="T3937">
        <v>-0.28236020000000001</v>
      </c>
      <c r="U3937">
        <v>0.18783569999999999</v>
      </c>
      <c r="V3937">
        <v>7.0543320000000007E-2</v>
      </c>
      <c r="W3937">
        <v>2.6418299999999999E-2</v>
      </c>
      <c r="X3937">
        <v>0.99715880000000001</v>
      </c>
      <c r="Y3937">
        <v>0.14882670000000001</v>
      </c>
      <c r="Z3937">
        <v>1.5189640000000001E-2</v>
      </c>
      <c r="AA3937">
        <v>0.98874660000000003</v>
      </c>
      <c r="AB3937">
        <v>39</v>
      </c>
      <c r="AC3937">
        <v>-0.55400000000003002</v>
      </c>
      <c r="AD3937">
        <v>-8.8631999999999794E-2</v>
      </c>
      <c r="AE3937">
        <v>9.2799999999982605E-2</v>
      </c>
      <c r="AF3937">
        <v>0.137740877298554</v>
      </c>
      <c r="AG3937">
        <v>-8.8631999999999794E-2</v>
      </c>
      <c r="AH3937">
        <v>0.53048268516553898</v>
      </c>
      <c r="AI3937">
        <v>99.186092685368493</v>
      </c>
      <c r="AJ3937">
        <v>75.444463092742296</v>
      </c>
      <c r="AK3937">
        <v>0.55519371390841199</v>
      </c>
    </row>
    <row r="3938" spans="1:37" x14ac:dyDescent="0.2">
      <c r="A3938" t="str">
        <f>"20200111155928876"</f>
        <v>20200111155928876</v>
      </c>
      <c r="B3938" t="str">
        <f>"1578729568865770"</f>
        <v>1578729568865770</v>
      </c>
      <c r="C3938" t="s">
        <v>37</v>
      </c>
      <c r="D3938">
        <v>5.6014239999999997</v>
      </c>
      <c r="E3938">
        <v>0.53248319999999905</v>
      </c>
      <c r="F3938" t="s">
        <v>38</v>
      </c>
      <c r="G3938">
        <v>-256.71010000000001</v>
      </c>
      <c r="H3938">
        <v>1.0169809999999999</v>
      </c>
      <c r="I3938">
        <v>140.65270000000001</v>
      </c>
      <c r="J3938">
        <v>-256.18119999999999</v>
      </c>
      <c r="K3938">
        <v>1.102549</v>
      </c>
      <c r="L3938">
        <v>140.56309999999999</v>
      </c>
      <c r="M3938">
        <v>-0.99615119999999902</v>
      </c>
      <c r="N3938">
        <v>0</v>
      </c>
      <c r="O3938">
        <v>-8.6565379999999997E-2</v>
      </c>
      <c r="P3938">
        <v>-0.99980029999999998</v>
      </c>
      <c r="Q3938">
        <v>1.293271E-2</v>
      </c>
      <c r="R3938">
        <v>-1.524678E-2</v>
      </c>
      <c r="S3938">
        <v>-3.007889</v>
      </c>
      <c r="T3938">
        <v>-0.28617399999999998</v>
      </c>
      <c r="U3938">
        <v>0.193161</v>
      </c>
      <c r="V3938">
        <v>7.145638E-2</v>
      </c>
      <c r="W3938">
        <v>2.6422589999999999E-2</v>
      </c>
      <c r="X3938">
        <v>0.99709369999999997</v>
      </c>
      <c r="Y3938">
        <v>0.14918010000000001</v>
      </c>
      <c r="Z3938">
        <v>1.5281070000000001E-2</v>
      </c>
      <c r="AA3938">
        <v>0.98869189999999996</v>
      </c>
      <c r="AB3938">
        <v>39</v>
      </c>
      <c r="AC3938">
        <v>-0.52890000000002102</v>
      </c>
      <c r="AD3938">
        <v>-8.5568000000000005E-2</v>
      </c>
      <c r="AE3938">
        <v>8.9600000000018498E-2</v>
      </c>
      <c r="AF3938">
        <v>0.131701331947985</v>
      </c>
      <c r="AG3938">
        <v>-8.5568000000000005E-2</v>
      </c>
      <c r="AH3938">
        <v>0.50627550266924704</v>
      </c>
      <c r="AI3938">
        <v>99.289646698937901</v>
      </c>
      <c r="AJ3938">
        <v>75.418395354631897</v>
      </c>
      <c r="AK3938">
        <v>0.53007736045210696</v>
      </c>
    </row>
    <row r="3939" spans="1:37" x14ac:dyDescent="0.2">
      <c r="A3939" t="str">
        <f>"20200111155928897"</f>
        <v>20200111155928897</v>
      </c>
      <c r="B3939" t="str">
        <f>"1578729568886267"</f>
        <v>1578729568886267</v>
      </c>
      <c r="C3939" t="s">
        <v>37</v>
      </c>
      <c r="D3939">
        <v>5.598986</v>
      </c>
      <c r="E3939">
        <v>0.53257140000000003</v>
      </c>
      <c r="F3939" t="s">
        <v>38</v>
      </c>
      <c r="G3939">
        <v>-257.05560000000003</v>
      </c>
      <c r="H3939">
        <v>1.0186949999999999</v>
      </c>
      <c r="I3939">
        <v>140.6216</v>
      </c>
      <c r="J3939">
        <v>-256.5582</v>
      </c>
      <c r="K3939">
        <v>1.102479</v>
      </c>
      <c r="L3939">
        <v>140.5317</v>
      </c>
      <c r="M3939">
        <v>-0.99627730000000003</v>
      </c>
      <c r="N3939">
        <v>0</v>
      </c>
      <c r="O3939">
        <v>-8.5075750000000006E-2</v>
      </c>
      <c r="P3939">
        <v>-0.99984930000000005</v>
      </c>
      <c r="Q3939">
        <v>1.175203E-2</v>
      </c>
      <c r="R3939">
        <v>-1.2789770000000001E-2</v>
      </c>
      <c r="S3939">
        <v>-3.00738499999999</v>
      </c>
      <c r="T3939">
        <v>-0.28838720000000001</v>
      </c>
      <c r="U3939">
        <v>0.20066829999999999</v>
      </c>
      <c r="V3939">
        <v>7.2418529999999995E-2</v>
      </c>
      <c r="W3939">
        <v>2.5386769999999999E-2</v>
      </c>
      <c r="X3939">
        <v>0.99705119999999903</v>
      </c>
      <c r="Y3939">
        <v>0.15015580000000001</v>
      </c>
      <c r="Z3939">
        <v>1.5304720000000001E-2</v>
      </c>
      <c r="AA3939">
        <v>0.98854390000000003</v>
      </c>
      <c r="AB3939">
        <v>39</v>
      </c>
      <c r="AC3939">
        <v>-0.49740000000002699</v>
      </c>
      <c r="AD3939">
        <v>-8.3783999999999803E-2</v>
      </c>
      <c r="AE3939">
        <v>8.9899999999999994E-2</v>
      </c>
      <c r="AF3939">
        <v>0.128367771815322</v>
      </c>
      <c r="AG3939">
        <v>-8.3783999999999803E-2</v>
      </c>
      <c r="AH3939">
        <v>0.47489903734868699</v>
      </c>
      <c r="AI3939">
        <v>99.665452131834499</v>
      </c>
      <c r="AJ3939">
        <v>74.874117214169999</v>
      </c>
      <c r="AK3939">
        <v>0.49902619086731298</v>
      </c>
    </row>
    <row r="3940" spans="1:37" x14ac:dyDescent="0.2">
      <c r="A3940" t="str">
        <f>"20200111155928922"</f>
        <v>20200111155928922</v>
      </c>
      <c r="B3940" t="str">
        <f>"1578729568915546"</f>
        <v>1578729568915546</v>
      </c>
      <c r="C3940" t="s">
        <v>37</v>
      </c>
      <c r="D3940">
        <v>5.5864519999999898</v>
      </c>
      <c r="E3940">
        <v>0.53272889999999995</v>
      </c>
      <c r="F3940" t="s">
        <v>38</v>
      </c>
      <c r="G3940">
        <v>-257.4008</v>
      </c>
      <c r="H3940">
        <v>1.020518</v>
      </c>
      <c r="I3940">
        <v>140.59039999999999</v>
      </c>
      <c r="J3940">
        <v>-256.96589999999998</v>
      </c>
      <c r="K3940">
        <v>1.102401</v>
      </c>
      <c r="L3940">
        <v>140.49850000000001</v>
      </c>
      <c r="M3940">
        <v>-0.99641859999999904</v>
      </c>
      <c r="N3940">
        <v>0</v>
      </c>
      <c r="O3940">
        <v>-8.3377370000000006E-2</v>
      </c>
      <c r="P3940">
        <v>-0.99988220000000005</v>
      </c>
      <c r="Q3940">
        <v>1.1072210000000001E-2</v>
      </c>
      <c r="R3940">
        <v>-1.0639600000000001E-2</v>
      </c>
      <c r="S3940">
        <v>-3.0065309999999998</v>
      </c>
      <c r="T3940">
        <v>-0.29245460000000001</v>
      </c>
      <c r="U3940">
        <v>0.20867919999999901</v>
      </c>
      <c r="V3940">
        <v>7.2867210000000002E-2</v>
      </c>
      <c r="W3940">
        <v>2.484287E-2</v>
      </c>
      <c r="X3940">
        <v>0.99703220000000004</v>
      </c>
      <c r="Y3940">
        <v>0.1510841</v>
      </c>
      <c r="Z3940">
        <v>1.540336E-2</v>
      </c>
      <c r="AA3940">
        <v>0.98840090000000003</v>
      </c>
      <c r="AB3940">
        <v>39</v>
      </c>
      <c r="AC3940">
        <v>-0.43490000000002699</v>
      </c>
      <c r="AD3940">
        <v>-8.18829999999999E-2</v>
      </c>
      <c r="AE3940">
        <v>9.1899999999981205E-2</v>
      </c>
      <c r="AF3940">
        <v>0.123648455607088</v>
      </c>
      <c r="AG3940">
        <v>-8.18829999999999E-2</v>
      </c>
      <c r="AH3940">
        <v>0.41174988848208499</v>
      </c>
      <c r="AI3940">
        <v>100.783581230392</v>
      </c>
      <c r="AJ3940">
        <v>73.284992170604596</v>
      </c>
      <c r="AK3940">
        <v>0.43764339013405301</v>
      </c>
    </row>
    <row r="3941" spans="1:37" x14ac:dyDescent="0.2">
      <c r="A3941" t="str">
        <f>"20200111155928944"</f>
        <v>20200111155928944</v>
      </c>
      <c r="B3941" t="str">
        <f>"1578729568936043"</f>
        <v>1578729568936043</v>
      </c>
      <c r="C3941" t="s">
        <v>37</v>
      </c>
      <c r="D3941">
        <v>5.6152689999999996</v>
      </c>
      <c r="E3941">
        <v>0.53284030000000004</v>
      </c>
      <c r="F3941" t="s">
        <v>38</v>
      </c>
      <c r="G3941">
        <v>-257.74680000000001</v>
      </c>
      <c r="H3941">
        <v>1.0258499999999999</v>
      </c>
      <c r="I3941">
        <v>140.5548</v>
      </c>
      <c r="J3941">
        <v>-257.35770000000002</v>
      </c>
      <c r="K3941">
        <v>1.102333</v>
      </c>
      <c r="L3941">
        <v>140.46729999999999</v>
      </c>
      <c r="M3941">
        <v>-0.99655899999999997</v>
      </c>
      <c r="N3941">
        <v>0</v>
      </c>
      <c r="O3941">
        <v>-8.1661629999999999E-2</v>
      </c>
      <c r="P3941">
        <v>-0.99989340000000004</v>
      </c>
      <c r="Q3941">
        <v>1.14552E-2</v>
      </c>
      <c r="R3941">
        <v>-9.0545639999999993E-3</v>
      </c>
      <c r="S3941">
        <v>-3.005951</v>
      </c>
      <c r="T3941">
        <v>-0.29469129999999999</v>
      </c>
      <c r="U3941">
        <v>0.21649169999999901</v>
      </c>
      <c r="V3941">
        <v>7.2737499999999997E-2</v>
      </c>
      <c r="W3941">
        <v>2.533815E-2</v>
      </c>
      <c r="X3941">
        <v>0.99702919999999995</v>
      </c>
      <c r="Y3941">
        <v>0.15193870000000001</v>
      </c>
      <c r="Z3941">
        <v>1.5396719999999999E-2</v>
      </c>
      <c r="AA3941">
        <v>0.98826999999999998</v>
      </c>
      <c r="AB3941">
        <v>39</v>
      </c>
      <c r="AC3941">
        <v>-0.38909999999998401</v>
      </c>
      <c r="AD3941">
        <v>-7.6482999999999995E-2</v>
      </c>
      <c r="AE3941">
        <v>8.7500000000005601E-2</v>
      </c>
      <c r="AF3941">
        <v>0.114764683888931</v>
      </c>
      <c r="AG3941">
        <v>-7.6482999999999995E-2</v>
      </c>
      <c r="AH3941">
        <v>0.36715116800011</v>
      </c>
      <c r="AI3941">
        <v>101.245329672775</v>
      </c>
      <c r="AJ3941">
        <v>72.641718306576706</v>
      </c>
      <c r="AK3941">
        <v>0.392199645743046</v>
      </c>
    </row>
    <row r="3942" spans="1:37" x14ac:dyDescent="0.2">
      <c r="A3942" t="str">
        <f>"20200111155928966"</f>
        <v>20200111155928966</v>
      </c>
      <c r="B3942" t="str">
        <f>"1578729568955563"</f>
        <v>1578729568955563</v>
      </c>
      <c r="C3942" t="s">
        <v>37</v>
      </c>
      <c r="D3942">
        <v>5.5240999999999998</v>
      </c>
      <c r="E3942">
        <v>0.53291769999999905</v>
      </c>
      <c r="F3942" t="s">
        <v>38</v>
      </c>
      <c r="G3942">
        <v>-258.0924</v>
      </c>
      <c r="H3942">
        <v>1.0306739999999901</v>
      </c>
      <c r="I3942">
        <v>140.52199999999999</v>
      </c>
      <c r="J3942">
        <v>-257.71890000000002</v>
      </c>
      <c r="K3942">
        <v>1.102274</v>
      </c>
      <c r="L3942">
        <v>140.4392</v>
      </c>
      <c r="M3942">
        <v>-0.99669180000000002</v>
      </c>
      <c r="N3942">
        <v>0</v>
      </c>
      <c r="O3942">
        <v>-8.0005010000000001E-2</v>
      </c>
      <c r="P3942">
        <v>-0.99988509999999997</v>
      </c>
      <c r="Q3942">
        <v>1.268414E-2</v>
      </c>
      <c r="R3942">
        <v>-8.3125200000000003E-3</v>
      </c>
      <c r="S3942">
        <v>-3.0057070000000001</v>
      </c>
      <c r="T3942">
        <v>-0.29314809999999902</v>
      </c>
      <c r="U3942">
        <v>0.22215270000000001</v>
      </c>
      <c r="V3942">
        <v>7.1828920000000004E-2</v>
      </c>
      <c r="W3942">
        <v>2.6659019999999999E-2</v>
      </c>
      <c r="X3942">
        <v>0.99706070000000002</v>
      </c>
      <c r="Y3942">
        <v>0.15217169999999999</v>
      </c>
      <c r="Z3942">
        <v>1.516732E-2</v>
      </c>
      <c r="AA3942">
        <v>0.9882377</v>
      </c>
      <c r="AB3942">
        <v>39</v>
      </c>
      <c r="AC3942">
        <v>-0.37349999999997802</v>
      </c>
      <c r="AD3942">
        <v>-7.1600000000000094E-2</v>
      </c>
      <c r="AE3942">
        <v>8.2800000000020094E-2</v>
      </c>
      <c r="AF3942">
        <v>0.10861494494957501</v>
      </c>
      <c r="AG3942">
        <v>-7.1600000000000094E-2</v>
      </c>
      <c r="AH3942">
        <v>0.35330209898534198</v>
      </c>
      <c r="AI3942">
        <v>100.963098826546</v>
      </c>
      <c r="AJ3942">
        <v>72.911107934310195</v>
      </c>
      <c r="AK3942">
        <v>0.37649188492429397</v>
      </c>
    </row>
    <row r="3943" spans="1:37" x14ac:dyDescent="0.2">
      <c r="A3943" t="str">
        <f>"20200111155928987"</f>
        <v>20200111155928987</v>
      </c>
      <c r="B3943" t="str">
        <f>"1578729568976059"</f>
        <v>1578729568976059</v>
      </c>
      <c r="C3943" t="s">
        <v>37</v>
      </c>
      <c r="D3943">
        <v>5.5202330000000002</v>
      </c>
      <c r="E3943">
        <v>0.51482229999999995</v>
      </c>
      <c r="F3943" t="s">
        <v>38</v>
      </c>
      <c r="G3943">
        <v>-258.7697</v>
      </c>
      <c r="H3943">
        <v>1.001371</v>
      </c>
      <c r="I3943">
        <v>140.51820000000001</v>
      </c>
      <c r="J3943">
        <v>-258.09910000000002</v>
      </c>
      <c r="K3943">
        <v>1.1022160000000001</v>
      </c>
      <c r="L3943">
        <v>140.41040000000001</v>
      </c>
      <c r="M3943">
        <v>-0.99683429999999995</v>
      </c>
      <c r="N3943">
        <v>0</v>
      </c>
      <c r="O3943">
        <v>-7.8191620000000003E-2</v>
      </c>
      <c r="P3943">
        <v>-0.99989259999999902</v>
      </c>
      <c r="Q3943">
        <v>1.2646930000000001E-2</v>
      </c>
      <c r="R3943">
        <v>-7.4260159999999997E-3</v>
      </c>
      <c r="S3943">
        <v>-3.00589</v>
      </c>
      <c r="T3943">
        <v>-0.28866909999999901</v>
      </c>
      <c r="U3943">
        <v>0.22486880000000001</v>
      </c>
      <c r="V3943">
        <v>7.0903549999999996E-2</v>
      </c>
      <c r="W3943">
        <v>2.670525E-2</v>
      </c>
      <c r="X3943">
        <v>0.99712559999999995</v>
      </c>
      <c r="Y3943">
        <v>0.1513033</v>
      </c>
      <c r="Z3943">
        <v>1.472041E-2</v>
      </c>
      <c r="AA3943">
        <v>0.98837770000000003</v>
      </c>
      <c r="AB3943">
        <v>38</v>
      </c>
      <c r="AC3943">
        <v>-0.67059999999997899</v>
      </c>
      <c r="AD3943">
        <v>-0.100845</v>
      </c>
      <c r="AE3943">
        <v>0.107799999999997</v>
      </c>
      <c r="AF3943">
        <v>0.15646149949246399</v>
      </c>
      <c r="AG3943">
        <v>-0.100845</v>
      </c>
      <c r="AH3943">
        <v>0.64587838964086097</v>
      </c>
      <c r="AI3943">
        <v>98.628643362937297</v>
      </c>
      <c r="AJ3943">
        <v>76.382647588383904</v>
      </c>
      <c r="AK3943">
        <v>0.67216724782862003</v>
      </c>
    </row>
    <row r="3944" spans="1:37" x14ac:dyDescent="0.2">
      <c r="A3944" t="str">
        <f>"20200111155929010"</f>
        <v>20200111155929010</v>
      </c>
      <c r="B3944" t="str">
        <f>"1578729569006315"</f>
        <v>1578729569006315</v>
      </c>
      <c r="C3944" t="s">
        <v>37</v>
      </c>
      <c r="D3944">
        <v>5.6336050000000002</v>
      </c>
      <c r="E3944">
        <v>0.50864500000000001</v>
      </c>
      <c r="F3944" t="s">
        <v>38</v>
      </c>
      <c r="G3944">
        <v>-259.1157</v>
      </c>
      <c r="H3944">
        <v>1.018615</v>
      </c>
      <c r="I3944">
        <v>140.4391</v>
      </c>
      <c r="J3944">
        <v>-258.47919999999999</v>
      </c>
      <c r="K3944">
        <v>1.102163</v>
      </c>
      <c r="L3944">
        <v>140.38239999999999</v>
      </c>
      <c r="M3944">
        <v>-0.99697800000000003</v>
      </c>
      <c r="N3944">
        <v>0</v>
      </c>
      <c r="O3944">
        <v>-7.6323799999999997E-2</v>
      </c>
      <c r="P3944">
        <v>-0.99990489999999999</v>
      </c>
      <c r="Q3944">
        <v>1.2079289999999999E-2</v>
      </c>
      <c r="R3944">
        <v>-6.669426E-3</v>
      </c>
      <c r="S3944">
        <v>-3.004089</v>
      </c>
      <c r="T3944">
        <v>-0.2470627</v>
      </c>
      <c r="U3944">
        <v>8.4579470000000004E-2</v>
      </c>
      <c r="V3944">
        <v>6.9791980000000003E-2</v>
      </c>
      <c r="W3944">
        <v>2.6211419999999999E-2</v>
      </c>
      <c r="X3944">
        <v>0.99721709999999997</v>
      </c>
      <c r="Y3944">
        <v>0.1037556</v>
      </c>
      <c r="Z3944">
        <v>1.052148E-2</v>
      </c>
      <c r="AA3944">
        <v>0.99454719999999996</v>
      </c>
      <c r="AB3944">
        <v>38</v>
      </c>
      <c r="AC3944">
        <v>-0.63650000000001195</v>
      </c>
      <c r="AD3944">
        <v>-8.35479999999999E-2</v>
      </c>
      <c r="AE3944">
        <v>5.6700000000006398E-2</v>
      </c>
      <c r="AF3944">
        <v>0.10335305293613201</v>
      </c>
      <c r="AG3944">
        <v>-8.35479999999999E-2</v>
      </c>
      <c r="AH3944">
        <v>0.61972148844764796</v>
      </c>
      <c r="AI3944">
        <v>97.574683361722407</v>
      </c>
      <c r="AJ3944">
        <v>80.531728412461504</v>
      </c>
      <c r="AK3944">
        <v>0.633811363971165</v>
      </c>
    </row>
    <row r="3945" spans="1:37" x14ac:dyDescent="0.2">
      <c r="A3945" t="str">
        <f>"20200111155929032"</f>
        <v>20200111155929032</v>
      </c>
      <c r="B3945" t="str">
        <f>"1578729569025835"</f>
        <v>1578729569025835</v>
      </c>
      <c r="C3945" t="s">
        <v>37</v>
      </c>
      <c r="D3945">
        <v>5.7707790000000001</v>
      </c>
      <c r="E3945">
        <v>0.50850470000000003</v>
      </c>
      <c r="F3945" t="s">
        <v>38</v>
      </c>
      <c r="G3945">
        <v>-259.46350000000001</v>
      </c>
      <c r="H3945">
        <v>1.0326059999999999</v>
      </c>
      <c r="I3945">
        <v>140.3954</v>
      </c>
      <c r="J3945">
        <v>-258.8691</v>
      </c>
      <c r="K3945">
        <v>1.102115</v>
      </c>
      <c r="L3945">
        <v>140.3544</v>
      </c>
      <c r="M3945">
        <v>-0.997125499999999</v>
      </c>
      <c r="N3945">
        <v>0</v>
      </c>
      <c r="O3945">
        <v>-7.4358149999999998E-2</v>
      </c>
      <c r="P3945">
        <v>-0.99991459999999999</v>
      </c>
      <c r="Q3945">
        <v>1.1792270000000001E-2</v>
      </c>
      <c r="R3945">
        <v>-5.647338E-3</v>
      </c>
      <c r="S3945">
        <v>-3.003174</v>
      </c>
      <c r="T3945">
        <v>-0.21222969999999999</v>
      </c>
      <c r="U3945">
        <v>3.8894650000000003E-2</v>
      </c>
      <c r="V3945">
        <v>6.8847779999999997E-2</v>
      </c>
      <c r="W3945">
        <v>2.5988819999999999E-2</v>
      </c>
      <c r="X3945">
        <v>0.99728859999999997</v>
      </c>
      <c r="Y3945">
        <v>8.687214E-2</v>
      </c>
      <c r="Z3945">
        <v>8.3111669999999995E-3</v>
      </c>
      <c r="AA3945">
        <v>0.99618479999999998</v>
      </c>
      <c r="AB3945">
        <v>38</v>
      </c>
      <c r="AC3945">
        <v>-0.59440000000000703</v>
      </c>
      <c r="AD3945">
        <v>-6.9509000000000001E-2</v>
      </c>
      <c r="AE3945">
        <v>4.0999999999996803E-2</v>
      </c>
      <c r="AF3945">
        <v>8.3947099887502694E-2</v>
      </c>
      <c r="AG3945">
        <v>-6.9509000000000001E-2</v>
      </c>
      <c r="AH3945">
        <v>0.581786898049518</v>
      </c>
      <c r="AI3945">
        <v>96.743929416930499</v>
      </c>
      <c r="AJ3945">
        <v>81.789356031520896</v>
      </c>
      <c r="AK3945">
        <v>0.59190760377157103</v>
      </c>
    </row>
    <row r="3946" spans="1:37" x14ac:dyDescent="0.2">
      <c r="A3946" t="str">
        <f>"20200111155929055"</f>
        <v>20200111155929055</v>
      </c>
      <c r="B3946" t="str">
        <f>"1578729569046330"</f>
        <v>1578729569046330</v>
      </c>
      <c r="C3946" t="s">
        <v>37</v>
      </c>
      <c r="D3946">
        <v>5.5980290000000004</v>
      </c>
      <c r="E3946">
        <v>0.50871560000000005</v>
      </c>
      <c r="F3946" t="s">
        <v>38</v>
      </c>
      <c r="G3946">
        <v>-259.80970000000002</v>
      </c>
      <c r="H3946">
        <v>1.0410790000000001</v>
      </c>
      <c r="I3946">
        <v>140.36760000000001</v>
      </c>
      <c r="J3946">
        <v>-259.25799999999998</v>
      </c>
      <c r="K3946">
        <v>1.102074</v>
      </c>
      <c r="L3946">
        <v>140.32730000000001</v>
      </c>
      <c r="M3946">
        <v>-0.99727239999999995</v>
      </c>
      <c r="N3946">
        <v>0</v>
      </c>
      <c r="O3946">
        <v>-7.2350429999999993E-2</v>
      </c>
      <c r="P3946">
        <v>-0.99991109999999905</v>
      </c>
      <c r="Q3946">
        <v>1.236751E-2</v>
      </c>
      <c r="R3946">
        <v>-5.014452E-3</v>
      </c>
      <c r="S3946">
        <v>-3.002777</v>
      </c>
      <c r="T3946">
        <v>-0.1948809</v>
      </c>
      <c r="U3946">
        <v>4.1839599999999998E-2</v>
      </c>
      <c r="V3946">
        <v>6.7476430000000004E-2</v>
      </c>
      <c r="W3946">
        <v>2.662231E-2</v>
      </c>
      <c r="X3946">
        <v>0.99736559999999896</v>
      </c>
      <c r="Y3946">
        <v>8.5914099999999993E-2</v>
      </c>
      <c r="Z3946">
        <v>7.4732649999999998E-3</v>
      </c>
      <c r="AA3946">
        <v>0.99627449999999995</v>
      </c>
      <c r="AB3946">
        <v>38</v>
      </c>
      <c r="AC3946">
        <v>-0.55170000000003905</v>
      </c>
      <c r="AD3946">
        <v>-6.0994999999999903E-2</v>
      </c>
      <c r="AE3946">
        <v>4.0300000000002001E-2</v>
      </c>
      <c r="AF3946">
        <v>7.91519992385743E-2</v>
      </c>
      <c r="AG3946">
        <v>-6.0994999999999903E-2</v>
      </c>
      <c r="AH3946">
        <v>0.54076306683807795</v>
      </c>
      <c r="AI3946">
        <v>96.368149226345295</v>
      </c>
      <c r="AJ3946">
        <v>81.6726961172062</v>
      </c>
      <c r="AK3946">
        <v>0.54991828798884901</v>
      </c>
    </row>
    <row r="3947" spans="1:37" x14ac:dyDescent="0.2">
      <c r="A3947" t="str">
        <f>"20200111155929089"</f>
        <v>20200111155929089</v>
      </c>
      <c r="B3947" t="str">
        <f>"1578729569086347"</f>
        <v>1578729569086347</v>
      </c>
      <c r="C3947" t="s">
        <v>37</v>
      </c>
      <c r="D3947">
        <v>5.6721279999999998</v>
      </c>
      <c r="E3947">
        <v>0.50804919999999998</v>
      </c>
      <c r="F3947" t="s">
        <v>38</v>
      </c>
      <c r="G3947">
        <v>-260.15260000000001</v>
      </c>
      <c r="H3947">
        <v>1.0427729999999999</v>
      </c>
      <c r="I3947">
        <v>140.34100000000001</v>
      </c>
      <c r="J3947">
        <v>-259.82029999999997</v>
      </c>
      <c r="K3947">
        <v>1.102007</v>
      </c>
      <c r="L3947">
        <v>140.2895</v>
      </c>
      <c r="M3947">
        <v>-0.99748340000000002</v>
      </c>
      <c r="N3947">
        <v>0</v>
      </c>
      <c r="O3947">
        <v>-6.9365399999999994E-2</v>
      </c>
      <c r="P3947">
        <v>-0.99989869999999903</v>
      </c>
      <c r="Q3947">
        <v>1.3810589999999999E-2</v>
      </c>
      <c r="R3947">
        <v>-3.4757909999999898E-3</v>
      </c>
      <c r="S3947">
        <v>-3.0029599999999999</v>
      </c>
      <c r="T3947">
        <v>-0.1990275</v>
      </c>
      <c r="U3947">
        <v>4.5364380000000003E-2</v>
      </c>
      <c r="V3947">
        <v>6.6036510000000007E-2</v>
      </c>
      <c r="W3947">
        <v>2.813189E-2</v>
      </c>
      <c r="X3947">
        <v>0.99742050000000004</v>
      </c>
      <c r="Y3947">
        <v>8.4096859999999996E-2</v>
      </c>
      <c r="Z3947">
        <v>7.3739979999999997E-3</v>
      </c>
      <c r="AA3947">
        <v>0.99643029999999999</v>
      </c>
      <c r="AB3947">
        <v>38</v>
      </c>
      <c r="AC3947">
        <v>-0.33230000000003201</v>
      </c>
      <c r="AD3947">
        <v>-5.9234000000000002E-2</v>
      </c>
      <c r="AE3947">
        <v>5.1500000000004299E-2</v>
      </c>
      <c r="AF3947">
        <v>7.2188562324897704E-2</v>
      </c>
      <c r="AG3947">
        <v>-5.9234000000000002E-2</v>
      </c>
      <c r="AH3947">
        <v>0.31805758261679901</v>
      </c>
      <c r="AI3947">
        <v>100.293717751383</v>
      </c>
      <c r="AJ3947">
        <v>77.212393791629594</v>
      </c>
      <c r="AK3947">
        <v>0.33148224861457898</v>
      </c>
    </row>
    <row r="3948" spans="1:37" x14ac:dyDescent="0.2">
      <c r="A3948" t="str">
        <f>"20200111155929111"</f>
        <v>20200111155929111</v>
      </c>
      <c r="B3948" t="str">
        <f>"1578729569105867"</f>
        <v>1578729569105867</v>
      </c>
      <c r="C3948" t="s">
        <v>37</v>
      </c>
      <c r="D3948">
        <v>5.5307240000000002</v>
      </c>
      <c r="E3948">
        <v>0.50768000000000002</v>
      </c>
      <c r="F3948" t="s">
        <v>38</v>
      </c>
      <c r="G3948">
        <v>-260.83170000000001</v>
      </c>
      <c r="H3948">
        <v>1.0349409999999899</v>
      </c>
      <c r="I3948">
        <v>140.3047</v>
      </c>
      <c r="J3948">
        <v>-260.20760000000001</v>
      </c>
      <c r="K3948">
        <v>1.101963</v>
      </c>
      <c r="L3948">
        <v>140.2646</v>
      </c>
      <c r="M3948">
        <v>-0.99762770000000001</v>
      </c>
      <c r="N3948">
        <v>0</v>
      </c>
      <c r="O3948">
        <v>-6.7247459999999995E-2</v>
      </c>
      <c r="P3948">
        <v>-0.99988279999999996</v>
      </c>
      <c r="Q3948">
        <v>1.512612E-2</v>
      </c>
      <c r="R3948">
        <v>-2.3956070000000001E-3</v>
      </c>
      <c r="S3948">
        <v>-3.003174</v>
      </c>
      <c r="T3948">
        <v>-0.19915569999999999</v>
      </c>
      <c r="U3948">
        <v>4.4601439999999999E-2</v>
      </c>
      <c r="V3948">
        <v>6.5005160000000006E-2</v>
      </c>
      <c r="W3948">
        <v>2.9484590000000001E-2</v>
      </c>
      <c r="X3948">
        <v>0.99744920000000004</v>
      </c>
      <c r="Y3948">
        <v>8.1736409999999995E-2</v>
      </c>
      <c r="Z3948">
        <v>7.1599489999999997E-3</v>
      </c>
      <c r="AA3948">
        <v>0.99662830000000002</v>
      </c>
      <c r="AB3948">
        <v>38</v>
      </c>
      <c r="AC3948">
        <v>-0.62409999999999799</v>
      </c>
      <c r="AD3948">
        <v>-6.7022000000000095E-2</v>
      </c>
      <c r="AE3948">
        <v>4.0099999999995299E-2</v>
      </c>
      <c r="AF3948">
        <v>8.1052000563220705E-2</v>
      </c>
      <c r="AG3948">
        <v>-6.7022000000000095E-2</v>
      </c>
      <c r="AH3948">
        <v>0.61295018718213201</v>
      </c>
      <c r="AI3948">
        <v>96.186688769332306</v>
      </c>
      <c r="AJ3948">
        <v>82.467330970333293</v>
      </c>
      <c r="AK3948">
        <v>0.62190779641833605</v>
      </c>
    </row>
    <row r="3949" spans="1:37" x14ac:dyDescent="0.2">
      <c r="A3949" t="str">
        <f>"20200111155929134"</f>
        <v>20200111155929134</v>
      </c>
      <c r="B3949" t="str">
        <f>"1578729569126363"</f>
        <v>1578729569126363</v>
      </c>
      <c r="C3949" t="s">
        <v>37</v>
      </c>
      <c r="D3949">
        <v>5.6033049999999998</v>
      </c>
      <c r="E3949">
        <v>0.50761489999999998</v>
      </c>
      <c r="F3949" t="s">
        <v>38</v>
      </c>
      <c r="G3949">
        <v>-261.17360000000002</v>
      </c>
      <c r="H3949">
        <v>1.0374350000000001</v>
      </c>
      <c r="I3949">
        <v>140.2792</v>
      </c>
      <c r="J3949">
        <v>-260.6112</v>
      </c>
      <c r="K3949">
        <v>1.1019219999999901</v>
      </c>
      <c r="L3949">
        <v>140.23949999999999</v>
      </c>
      <c r="M3949">
        <v>-0.99777669999999996</v>
      </c>
      <c r="N3949">
        <v>0</v>
      </c>
      <c r="O3949">
        <v>-6.4993819999999994E-2</v>
      </c>
      <c r="P3949">
        <v>-0.99986830000000004</v>
      </c>
      <c r="Q3949">
        <v>1.6217249999999999E-2</v>
      </c>
      <c r="R3949">
        <v>-9.1306269999999999E-4</v>
      </c>
      <c r="S3949">
        <v>-3.003479</v>
      </c>
      <c r="T3949">
        <v>-0.200615299999999</v>
      </c>
      <c r="U3949">
        <v>4.475403E-2</v>
      </c>
      <c r="V3949">
        <v>6.4239290000000004E-2</v>
      </c>
      <c r="W3949">
        <v>3.0607039999999999E-2</v>
      </c>
      <c r="X3949">
        <v>0.99746509999999999</v>
      </c>
      <c r="Y3949">
        <v>7.9539319999999997E-2</v>
      </c>
      <c r="Z3949">
        <v>6.9881269999999898E-3</v>
      </c>
      <c r="AA3949">
        <v>0.9968072</v>
      </c>
      <c r="AB3949">
        <v>38</v>
      </c>
      <c r="AC3949">
        <v>-0.56240000000002499</v>
      </c>
      <c r="AD3949">
        <v>-6.4486999999999697E-2</v>
      </c>
      <c r="AE3949">
        <v>3.9700000000010498E-2</v>
      </c>
      <c r="AF3949">
        <v>7.5188873952565599E-2</v>
      </c>
      <c r="AG3949">
        <v>-6.4486999999999697E-2</v>
      </c>
      <c r="AH3949">
        <v>0.55141613223878105</v>
      </c>
      <c r="AI3949">
        <v>96.609710535761195</v>
      </c>
      <c r="AJ3949">
        <v>82.235265992121001</v>
      </c>
      <c r="AK3949">
        <v>0.56024252857885704</v>
      </c>
    </row>
    <row r="3950" spans="1:37" x14ac:dyDescent="0.2">
      <c r="A3950" t="str">
        <f>"20200111155929155"</f>
        <v>20200111155929155</v>
      </c>
      <c r="B3950" t="str">
        <f>"1578729569145882"</f>
        <v>1578729569145882</v>
      </c>
      <c r="C3950" t="s">
        <v>37</v>
      </c>
      <c r="D3950">
        <v>5.5744199999999999</v>
      </c>
      <c r="E3950">
        <v>0.50714859999999995</v>
      </c>
      <c r="F3950" t="s">
        <v>38</v>
      </c>
      <c r="G3950">
        <v>-261.51609999999999</v>
      </c>
      <c r="H3950">
        <v>1.04182</v>
      </c>
      <c r="I3950">
        <v>140.25450000000001</v>
      </c>
      <c r="J3950">
        <v>-260.96699999999998</v>
      </c>
      <c r="K3950">
        <v>1.1018859999999999</v>
      </c>
      <c r="L3950">
        <v>140.2182</v>
      </c>
      <c r="M3950">
        <v>-0.99790659999999898</v>
      </c>
      <c r="N3950">
        <v>0</v>
      </c>
      <c r="O3950">
        <v>-6.2959440000000005E-2</v>
      </c>
      <c r="P3950">
        <v>-0.99986200000000003</v>
      </c>
      <c r="Q3950">
        <v>1.659797E-2</v>
      </c>
      <c r="R3950">
        <v>8.5953159999999995E-4</v>
      </c>
      <c r="S3950">
        <v>-3.0036619999999998</v>
      </c>
      <c r="T3950">
        <v>-0.19946549999999999</v>
      </c>
      <c r="U3950">
        <v>4.8645019999999997E-2</v>
      </c>
      <c r="V3950">
        <v>6.3979069999999999E-2</v>
      </c>
      <c r="W3950">
        <v>3.1008819999999999E-2</v>
      </c>
      <c r="X3950">
        <v>0.99746939999999995</v>
      </c>
      <c r="Y3950">
        <v>7.8806909999999994E-2</v>
      </c>
      <c r="Z3950">
        <v>6.7886489999999999E-3</v>
      </c>
      <c r="AA3950">
        <v>0.99686679999999905</v>
      </c>
      <c r="AB3950">
        <v>38</v>
      </c>
      <c r="AC3950">
        <v>-0.54910000000000903</v>
      </c>
      <c r="AD3950">
        <v>-6.0066000000000098E-2</v>
      </c>
      <c r="AE3950">
        <v>3.6300000000011302E-2</v>
      </c>
      <c r="AF3950">
        <v>6.9969156207588895E-2</v>
      </c>
      <c r="AG3950">
        <v>-6.0066000000000098E-2</v>
      </c>
      <c r="AH3950">
        <v>0.53929945798182299</v>
      </c>
      <c r="AI3950">
        <v>96.302891003017194</v>
      </c>
      <c r="AJ3950">
        <v>82.607691241667297</v>
      </c>
      <c r="AK3950">
        <v>0.54712659646181505</v>
      </c>
    </row>
    <row r="3951" spans="1:37" x14ac:dyDescent="0.2">
      <c r="A3951" t="str">
        <f>"20200111155929177"</f>
        <v>20200111155929177</v>
      </c>
      <c r="B3951" t="str">
        <f>"1578729569166378"</f>
        <v>1578729569166378</v>
      </c>
      <c r="C3951" t="s">
        <v>37</v>
      </c>
      <c r="D3951">
        <v>5.5454249999999998</v>
      </c>
      <c r="E3951">
        <v>0.50711070000000003</v>
      </c>
      <c r="F3951" t="s">
        <v>38</v>
      </c>
      <c r="G3951">
        <v>-261.8578</v>
      </c>
      <c r="H3951">
        <v>1.043515</v>
      </c>
      <c r="I3951">
        <v>140.23310000000001</v>
      </c>
      <c r="J3951">
        <v>-261.33139999999997</v>
      </c>
      <c r="K3951">
        <v>1.1018509999999999</v>
      </c>
      <c r="L3951">
        <v>140.19730000000001</v>
      </c>
      <c r="M3951">
        <v>-0.9980388</v>
      </c>
      <c r="N3951">
        <v>0</v>
      </c>
      <c r="O3951">
        <v>-6.0825230000000001E-2</v>
      </c>
      <c r="P3951">
        <v>-0.99984300000000004</v>
      </c>
      <c r="Q3951">
        <v>1.7496299999999999E-2</v>
      </c>
      <c r="R3951">
        <v>2.8357999999999999E-3</v>
      </c>
      <c r="S3951">
        <v>-3.0036619999999998</v>
      </c>
      <c r="T3951">
        <v>-0.19685659999999999</v>
      </c>
      <c r="U3951">
        <v>5.0323489999999999E-2</v>
      </c>
      <c r="V3951">
        <v>6.3825060000000003E-2</v>
      </c>
      <c r="W3951">
        <v>3.1923890000000003E-2</v>
      </c>
      <c r="X3951">
        <v>0.99745039999999996</v>
      </c>
      <c r="Y3951">
        <v>7.7247910000000003E-2</v>
      </c>
      <c r="Z3951">
        <v>6.50944099999999E-3</v>
      </c>
      <c r="AA3951">
        <v>0.99699069999999901</v>
      </c>
      <c r="AB3951">
        <v>38</v>
      </c>
      <c r="AC3951">
        <v>-0.52640000000002296</v>
      </c>
      <c r="AD3951">
        <v>-5.8335999999999902E-2</v>
      </c>
      <c r="AE3951">
        <v>3.5799999999994697E-2</v>
      </c>
      <c r="AF3951">
        <v>6.6937317322100703E-2</v>
      </c>
      <c r="AG3951">
        <v>-5.8335999999999902E-2</v>
      </c>
      <c r="AH3951">
        <v>0.51692805991624002</v>
      </c>
      <c r="AI3951">
        <v>96.385792585783705</v>
      </c>
      <c r="AJ3951">
        <v>82.621791951683804</v>
      </c>
      <c r="AK3951">
        <v>0.52449815297582003</v>
      </c>
    </row>
    <row r="3952" spans="1:37" x14ac:dyDescent="0.2">
      <c r="A3952" t="str">
        <f>"20200111155929200"</f>
        <v>20200111155929200</v>
      </c>
      <c r="B3952" t="str">
        <f>"1578729569195659"</f>
        <v>1578729569195659</v>
      </c>
      <c r="C3952" t="s">
        <v>37</v>
      </c>
      <c r="D3952">
        <v>5.5521330000000004</v>
      </c>
      <c r="E3952">
        <v>0.50713189999999997</v>
      </c>
      <c r="F3952" t="s">
        <v>38</v>
      </c>
      <c r="G3952">
        <v>-262.1995</v>
      </c>
      <c r="H3952">
        <v>1.0455000000000001</v>
      </c>
      <c r="I3952">
        <v>140.21369999999999</v>
      </c>
      <c r="J3952">
        <v>-261.72370000000001</v>
      </c>
      <c r="K3952">
        <v>1.101815</v>
      </c>
      <c r="L3952">
        <v>140.1756</v>
      </c>
      <c r="M3952">
        <v>-0.99817929999999999</v>
      </c>
      <c r="N3952">
        <v>0</v>
      </c>
      <c r="O3952">
        <v>-5.846519E-2</v>
      </c>
      <c r="P3952">
        <v>-0.99981059999999999</v>
      </c>
      <c r="Q3952">
        <v>1.8656809999999999E-2</v>
      </c>
      <c r="R3952">
        <v>5.5057830000000002E-3</v>
      </c>
      <c r="S3952">
        <v>-3.0036930000000002</v>
      </c>
      <c r="T3952">
        <v>-0.1949737</v>
      </c>
      <c r="U3952">
        <v>5.5969240000000003E-2</v>
      </c>
      <c r="V3952">
        <v>6.4139920000000003E-2</v>
      </c>
      <c r="W3952">
        <v>3.3094390000000001E-2</v>
      </c>
      <c r="X3952">
        <v>0.99739199999999995</v>
      </c>
      <c r="Y3952">
        <v>7.6775319999999994E-2</v>
      </c>
      <c r="Z3952">
        <v>6.2790040000000004E-3</v>
      </c>
      <c r="AA3952">
        <v>0.99702860000000004</v>
      </c>
      <c r="AB3952">
        <v>38</v>
      </c>
      <c r="AC3952">
        <v>-0.47579999999999201</v>
      </c>
      <c r="AD3952">
        <v>-5.6314999999999803E-2</v>
      </c>
      <c r="AE3952">
        <v>3.8099999999985798E-2</v>
      </c>
      <c r="AF3952">
        <v>6.4951517910915205E-2</v>
      </c>
      <c r="AG3952">
        <v>-5.6314999999999803E-2</v>
      </c>
      <c r="AH3952">
        <v>0.46626795736660298</v>
      </c>
      <c r="AI3952">
        <v>96.821486470027807</v>
      </c>
      <c r="AJ3952">
        <v>82.069682253233097</v>
      </c>
      <c r="AK3952">
        <v>0.47412644618367</v>
      </c>
    </row>
    <row r="3953" spans="1:37" x14ac:dyDescent="0.2">
      <c r="A3953" t="str">
        <f>"20200111155929222"</f>
        <v>20200111155929222</v>
      </c>
      <c r="B3953" t="str">
        <f>"1578729569216156"</f>
        <v>1578729569216156</v>
      </c>
      <c r="C3953" t="s">
        <v>37</v>
      </c>
      <c r="D3953">
        <v>6.4132709999999999</v>
      </c>
      <c r="E3953">
        <v>0.50714139999999996</v>
      </c>
      <c r="F3953" t="s">
        <v>38</v>
      </c>
      <c r="G3953">
        <v>-262.54180000000002</v>
      </c>
      <c r="H3953">
        <v>1.048662</v>
      </c>
      <c r="I3953">
        <v>140.19299999999899</v>
      </c>
      <c r="J3953">
        <v>-262.12209999999999</v>
      </c>
      <c r="K3953">
        <v>1.101772</v>
      </c>
      <c r="L3953">
        <v>140.15459999999999</v>
      </c>
      <c r="M3953">
        <v>-0.99832009999999904</v>
      </c>
      <c r="N3953">
        <v>0</v>
      </c>
      <c r="O3953">
        <v>-5.6005340000000001E-2</v>
      </c>
      <c r="P3953">
        <v>-0.99977879999999997</v>
      </c>
      <c r="Q3953">
        <v>1.9167099999999999E-2</v>
      </c>
      <c r="R3953">
        <v>8.6603740000000002E-3</v>
      </c>
      <c r="S3953">
        <v>-3.003784</v>
      </c>
      <c r="T3953">
        <v>-0.19514200000000001</v>
      </c>
      <c r="U3953">
        <v>6.3720700000000005E-2</v>
      </c>
      <c r="V3953">
        <v>6.4836690000000002E-2</v>
      </c>
      <c r="W3953">
        <v>3.3610040000000001E-2</v>
      </c>
      <c r="X3953">
        <v>0.99732969999999899</v>
      </c>
      <c r="Y3953">
        <v>7.6894299999999999E-2</v>
      </c>
      <c r="Z3953">
        <v>6.1285069999999896E-3</v>
      </c>
      <c r="AA3953">
        <v>0.99702039999999903</v>
      </c>
      <c r="AB3953">
        <v>38</v>
      </c>
      <c r="AC3953">
        <v>-0.41970000000003399</v>
      </c>
      <c r="AD3953">
        <v>-5.31099999999999E-2</v>
      </c>
      <c r="AE3953">
        <v>3.8399999999995701E-2</v>
      </c>
      <c r="AF3953">
        <v>6.0880950547501499E-2</v>
      </c>
      <c r="AG3953">
        <v>-5.31099999999999E-2</v>
      </c>
      <c r="AH3953">
        <v>0.41037349306485899</v>
      </c>
      <c r="AI3953">
        <v>97.295187075555106</v>
      </c>
      <c r="AJ3953">
        <v>81.561435354015998</v>
      </c>
      <c r="AK3953">
        <v>0.41825060197185798</v>
      </c>
    </row>
    <row r="3954" spans="1:37" x14ac:dyDescent="0.2">
      <c r="A3954" t="str">
        <f>"20200111155929245"</f>
        <v>20200111155929245</v>
      </c>
      <c r="B3954" t="str">
        <f>"1578729569235674"</f>
        <v>1578729569235674</v>
      </c>
      <c r="C3954" t="s">
        <v>37</v>
      </c>
      <c r="D3954">
        <v>6.0882969999999998</v>
      </c>
      <c r="E3954">
        <v>0.50735240000000004</v>
      </c>
      <c r="F3954" t="s">
        <v>39</v>
      </c>
      <c r="G3954">
        <v>-279.7287</v>
      </c>
      <c r="H3954" s="1">
        <v>-3.5656789999999998E-7</v>
      </c>
      <c r="I3954">
        <v>140.58529999999999</v>
      </c>
      <c r="J3954">
        <v>-262.4914</v>
      </c>
      <c r="K3954">
        <v>1.1017250000000001</v>
      </c>
      <c r="L3954">
        <v>140.136</v>
      </c>
      <c r="M3954">
        <v>-0.99844829999999996</v>
      </c>
      <c r="N3954">
        <v>0</v>
      </c>
      <c r="O3954">
        <v>-5.3666899999999997E-2</v>
      </c>
      <c r="P3954">
        <v>-0.9997646</v>
      </c>
      <c r="Q3954">
        <v>1.8429029999999999E-2</v>
      </c>
      <c r="R3954">
        <v>1.146047E-2</v>
      </c>
      <c r="S3954">
        <v>-3.00360099999999</v>
      </c>
      <c r="T3954">
        <v>-0.1879575</v>
      </c>
      <c r="U3954">
        <v>7.3486330000000002E-2</v>
      </c>
      <c r="V3954">
        <v>6.5295179999999994E-2</v>
      </c>
      <c r="W3954">
        <v>3.2875639999999998E-2</v>
      </c>
      <c r="X3954">
        <v>0.99732430000000005</v>
      </c>
      <c r="Y3954">
        <v>7.7823210000000004E-2</v>
      </c>
      <c r="Z3954">
        <v>5.7865069999999998E-3</v>
      </c>
      <c r="AA3954">
        <v>0.99695040000000001</v>
      </c>
      <c r="AB3954">
        <v>38</v>
      </c>
      <c r="AC3954">
        <v>-17.237300000000001</v>
      </c>
      <c r="AD3954">
        <v>-1.1017253565678999</v>
      </c>
      <c r="AE3954">
        <v>0.44929999999999298</v>
      </c>
      <c r="AF3954">
        <v>1.3682413153342901</v>
      </c>
      <c r="AG3954">
        <v>-1.1017253565678999</v>
      </c>
      <c r="AH3954">
        <v>17.118454515890299</v>
      </c>
      <c r="AI3954">
        <v>93.670741820940606</v>
      </c>
      <c r="AJ3954">
        <v>85.430186197351603</v>
      </c>
      <c r="AK3954">
        <v>17.2083516953513</v>
      </c>
    </row>
    <row r="3955" spans="1:37" x14ac:dyDescent="0.2">
      <c r="A3955" t="str">
        <f>"20200111155929266"</f>
        <v>20200111155929266</v>
      </c>
      <c r="B3955" t="str">
        <f>"1578729569256170"</f>
        <v>1578729569256170</v>
      </c>
      <c r="C3955" t="s">
        <v>37</v>
      </c>
      <c r="D3955">
        <v>5.634792</v>
      </c>
      <c r="E3955">
        <v>0.5071679</v>
      </c>
      <c r="F3955" t="s">
        <v>38</v>
      </c>
      <c r="G3955">
        <v>-263.55169999999998</v>
      </c>
      <c r="H3955">
        <v>1.0380479999999901</v>
      </c>
      <c r="I3955">
        <v>140.16579999999999</v>
      </c>
      <c r="J3955">
        <v>-262.8526</v>
      </c>
      <c r="K3955">
        <v>1.1016859999999999</v>
      </c>
      <c r="L3955">
        <v>140.11879999999999</v>
      </c>
      <c r="M3955">
        <v>-0.99857099999999899</v>
      </c>
      <c r="N3955">
        <v>0</v>
      </c>
      <c r="O3955">
        <v>-5.1329800000000002E-2</v>
      </c>
      <c r="P3955">
        <v>-0.99974229999999997</v>
      </c>
      <c r="Q3955">
        <v>1.7825210000000001E-2</v>
      </c>
      <c r="R3955">
        <v>1.4055700000000001E-2</v>
      </c>
      <c r="S3955">
        <v>-3.0031129999999999</v>
      </c>
      <c r="T3955">
        <v>-0.1803681</v>
      </c>
      <c r="U3955">
        <v>8.3953860000000005E-2</v>
      </c>
      <c r="V3955">
        <v>6.5550639999999993E-2</v>
      </c>
      <c r="W3955">
        <v>3.2274669999999998E-2</v>
      </c>
      <c r="X3955">
        <v>0.99732710000000002</v>
      </c>
      <c r="Y3955">
        <v>7.8988600000000006E-2</v>
      </c>
      <c r="Z3955">
        <v>5.448835E-3</v>
      </c>
      <c r="AA3955">
        <v>0.99686059999999999</v>
      </c>
      <c r="AB3955">
        <v>38</v>
      </c>
      <c r="AC3955">
        <v>-0.69909999999998695</v>
      </c>
      <c r="AD3955">
        <v>-6.3638000000000305E-2</v>
      </c>
      <c r="AE3955">
        <v>4.6999999999997003E-2</v>
      </c>
      <c r="AF3955">
        <v>8.2149022779824596E-2</v>
      </c>
      <c r="AG3955">
        <v>-6.3638000000000305E-2</v>
      </c>
      <c r="AH3955">
        <v>0.69007310192639804</v>
      </c>
      <c r="AI3955">
        <v>95.232133525903507</v>
      </c>
      <c r="AJ3955">
        <v>83.211233123343902</v>
      </c>
      <c r="AK3955">
        <v>0.69785323886186901</v>
      </c>
    </row>
    <row r="3956" spans="1:37" x14ac:dyDescent="0.2">
      <c r="A3956" t="str">
        <f>"20200111155929289"</f>
        <v>20200111155929289</v>
      </c>
      <c r="B3956" t="str">
        <f>"1578729569285959"</f>
        <v>1578729569285959</v>
      </c>
      <c r="C3956" t="s">
        <v>37</v>
      </c>
      <c r="D3956">
        <v>5.6725959999999898</v>
      </c>
      <c r="E3956">
        <v>0.50714049999999999</v>
      </c>
      <c r="F3956" t="s">
        <v>38</v>
      </c>
      <c r="G3956">
        <v>-263.89049999999997</v>
      </c>
      <c r="H3956">
        <v>1.0390969999999999</v>
      </c>
      <c r="I3956">
        <v>140.15020000000001</v>
      </c>
      <c r="J3956">
        <v>-263.2321</v>
      </c>
      <c r="K3956">
        <v>1.10165</v>
      </c>
      <c r="L3956">
        <v>140.10169999999999</v>
      </c>
      <c r="M3956">
        <v>-0.99869609999999998</v>
      </c>
      <c r="N3956">
        <v>0</v>
      </c>
      <c r="O3956">
        <v>-4.8832790000000001E-2</v>
      </c>
      <c r="P3956">
        <v>-0.99970490000000001</v>
      </c>
      <c r="Q3956">
        <v>1.769244E-2</v>
      </c>
      <c r="R3956">
        <v>1.6654889999999999E-2</v>
      </c>
      <c r="S3956">
        <v>-3.0027159999999999</v>
      </c>
      <c r="T3956">
        <v>-0.1810475</v>
      </c>
      <c r="U3956">
        <v>9.0316770000000005E-2</v>
      </c>
      <c r="V3956">
        <v>6.5652769999999999E-2</v>
      </c>
      <c r="W3956">
        <v>3.2144550000000001E-2</v>
      </c>
      <c r="X3956">
        <v>0.99732459999999901</v>
      </c>
      <c r="Y3956">
        <v>7.8613740000000001E-2</v>
      </c>
      <c r="Z3956">
        <v>5.3083119999999999E-3</v>
      </c>
      <c r="AA3956">
        <v>0.99689099999999997</v>
      </c>
      <c r="AB3956">
        <v>38</v>
      </c>
      <c r="AC3956">
        <v>-0.65839999999997101</v>
      </c>
      <c r="AD3956">
        <v>-6.2552999999999997E-2</v>
      </c>
      <c r="AE3956">
        <v>4.8500000000018403E-2</v>
      </c>
      <c r="AF3956">
        <v>7.9880053424903605E-2</v>
      </c>
      <c r="AG3956">
        <v>-6.2552999999999997E-2</v>
      </c>
      <c r="AH3956">
        <v>0.64941540649639695</v>
      </c>
      <c r="AI3956">
        <v>95.460966633678893</v>
      </c>
      <c r="AJ3956">
        <v>82.987669686865999</v>
      </c>
      <c r="AK3956">
        <v>0.65729298713666995</v>
      </c>
    </row>
    <row r="3957" spans="1:37" x14ac:dyDescent="0.2">
      <c r="A3957" t="str">
        <f>"20200111155929313"</f>
        <v>20200111155929313</v>
      </c>
      <c r="B3957" t="str">
        <f>"1578729569306456"</f>
        <v>1578729569306456</v>
      </c>
      <c r="C3957" t="s">
        <v>37</v>
      </c>
      <c r="D3957">
        <v>5.9578639999999998</v>
      </c>
      <c r="E3957">
        <v>0.50670199999999999</v>
      </c>
      <c r="F3957" t="s">
        <v>38</v>
      </c>
      <c r="G3957">
        <v>-264.22859999999997</v>
      </c>
      <c r="H3957">
        <v>1.039798</v>
      </c>
      <c r="I3957">
        <v>140.1343</v>
      </c>
      <c r="J3957">
        <v>-263.63389999999998</v>
      </c>
      <c r="K3957">
        <v>1.101621</v>
      </c>
      <c r="L3957">
        <v>140.08459999999999</v>
      </c>
      <c r="M3957">
        <v>-0.99882340000000003</v>
      </c>
      <c r="N3957">
        <v>0</v>
      </c>
      <c r="O3957">
        <v>-4.6153689999999997E-2</v>
      </c>
      <c r="P3957">
        <v>-0.99964179999999903</v>
      </c>
      <c r="Q3957">
        <v>1.805963E-2</v>
      </c>
      <c r="R3957">
        <v>1.9758669999999999E-2</v>
      </c>
      <c r="S3957">
        <v>-3.0025629999999999</v>
      </c>
      <c r="T3957">
        <v>-0.18633759999999999</v>
      </c>
      <c r="U3957">
        <v>9.7488399999999906E-2</v>
      </c>
      <c r="V3957">
        <v>6.6078919999999999E-2</v>
      </c>
      <c r="W3957">
        <v>3.2511999999999999E-2</v>
      </c>
      <c r="X3957">
        <v>0.99728459999999997</v>
      </c>
      <c r="Y3957">
        <v>7.831196E-2</v>
      </c>
      <c r="Z3957">
        <v>5.2878889999999996E-3</v>
      </c>
      <c r="AA3957">
        <v>0.99691489999999905</v>
      </c>
      <c r="AB3957">
        <v>38</v>
      </c>
      <c r="AC3957">
        <v>-0.59469999999998802</v>
      </c>
      <c r="AD3957">
        <v>-6.1822999999999899E-2</v>
      </c>
      <c r="AE3957">
        <v>4.9700000000001403E-2</v>
      </c>
      <c r="AF3957">
        <v>7.6279038901719498E-2</v>
      </c>
      <c r="AG3957">
        <v>-6.1822999999999899E-2</v>
      </c>
      <c r="AH3957">
        <v>0.58548854822128604</v>
      </c>
      <c r="AI3957">
        <v>95.977503115157702</v>
      </c>
      <c r="AJ3957">
        <v>82.577159155199794</v>
      </c>
      <c r="AK3957">
        <v>0.59366439610527399</v>
      </c>
    </row>
    <row r="3958" spans="1:37" x14ac:dyDescent="0.2">
      <c r="A3958" t="str">
        <f>"20200111155929333"</f>
        <v>20200111155929333</v>
      </c>
      <c r="B3958" t="str">
        <f>"1578729569325975"</f>
        <v>1578729569325975</v>
      </c>
      <c r="C3958" t="s">
        <v>37</v>
      </c>
      <c r="D3958">
        <v>5.7687879999999998</v>
      </c>
      <c r="E3958">
        <v>0.50655819999999996</v>
      </c>
      <c r="F3958" t="s">
        <v>38</v>
      </c>
      <c r="G3958">
        <v>-264.56819999999999</v>
      </c>
      <c r="H3958">
        <v>1.0429889999999999</v>
      </c>
      <c r="I3958">
        <v>140.11680000000001</v>
      </c>
      <c r="J3958">
        <v>-263.99489999999997</v>
      </c>
      <c r="K3958">
        <v>1.1015979999999901</v>
      </c>
      <c r="L3958">
        <v>140.0702</v>
      </c>
      <c r="M3958">
        <v>-0.99893259999999995</v>
      </c>
      <c r="N3958">
        <v>0</v>
      </c>
      <c r="O3958">
        <v>-4.3725029999999998E-2</v>
      </c>
      <c r="P3958">
        <v>-0.99958380000000002</v>
      </c>
      <c r="Q3958">
        <v>1.8249120000000001E-2</v>
      </c>
      <c r="R3958">
        <v>2.2347240000000001E-2</v>
      </c>
      <c r="S3958">
        <v>-3.0024410000000001</v>
      </c>
      <c r="T3958">
        <v>-0.18839310000000001</v>
      </c>
      <c r="U3958">
        <v>0.10298160000000001</v>
      </c>
      <c r="V3958">
        <v>6.6239839999999994E-2</v>
      </c>
      <c r="W3958">
        <v>3.2702170000000003E-2</v>
      </c>
      <c r="X3958">
        <v>0.99726769999999998</v>
      </c>
      <c r="Y3958">
        <v>7.7711899999999903E-2</v>
      </c>
      <c r="Z3958">
        <v>5.1752329999999996E-3</v>
      </c>
      <c r="AA3958">
        <v>0.99696240000000003</v>
      </c>
      <c r="AB3958">
        <v>38</v>
      </c>
      <c r="AC3958">
        <v>-0.57330000000001702</v>
      </c>
      <c r="AD3958">
        <v>-5.8608999999999897E-2</v>
      </c>
      <c r="AE3958">
        <v>4.6600000000012097E-2</v>
      </c>
      <c r="AF3958">
        <v>7.0889744400120303E-2</v>
      </c>
      <c r="AG3958">
        <v>-5.8608999999999897E-2</v>
      </c>
      <c r="AH3958">
        <v>0.56484917901950205</v>
      </c>
      <c r="AI3958">
        <v>95.878052497302406</v>
      </c>
      <c r="AJ3958">
        <v>82.846661153821302</v>
      </c>
      <c r="AK3958">
        <v>0.57228923262727904</v>
      </c>
    </row>
    <row r="3959" spans="1:37" x14ac:dyDescent="0.2">
      <c r="A3959" t="str">
        <f>"20200111155929378"</f>
        <v>20200111155929378</v>
      </c>
      <c r="B3959" t="str">
        <f>"1578729569365992"</f>
        <v>1578729569365992</v>
      </c>
      <c r="C3959" t="s">
        <v>37</v>
      </c>
      <c r="D3959">
        <v>5.7194519999999898</v>
      </c>
      <c r="E3959">
        <v>0.50579350000000001</v>
      </c>
      <c r="F3959" t="s">
        <v>38</v>
      </c>
      <c r="G3959">
        <v>-264.90660000000003</v>
      </c>
      <c r="H3959">
        <v>1.044279</v>
      </c>
      <c r="I3959">
        <v>140.1035</v>
      </c>
      <c r="J3959">
        <v>-264.73059999999998</v>
      </c>
      <c r="K3959">
        <v>1.10158</v>
      </c>
      <c r="L3959">
        <v>140.0436</v>
      </c>
      <c r="M3959">
        <v>-0.99913839999999998</v>
      </c>
      <c r="N3959">
        <v>0</v>
      </c>
      <c r="O3959">
        <v>-3.87365E-2</v>
      </c>
      <c r="P3959">
        <v>-0.99943389999999999</v>
      </c>
      <c r="Q3959">
        <v>1.973863E-2</v>
      </c>
      <c r="R3959">
        <v>2.7248109999999999E-2</v>
      </c>
      <c r="S3959">
        <v>-3.0022279999999899</v>
      </c>
      <c r="T3959">
        <v>-0.18878049999999999</v>
      </c>
      <c r="U3959">
        <v>0.1092987</v>
      </c>
      <c r="V3959">
        <v>6.6160689999999994E-2</v>
      </c>
      <c r="W3959">
        <v>3.4194780000000001E-2</v>
      </c>
      <c r="X3959">
        <v>0.99722289999999902</v>
      </c>
      <c r="Y3959">
        <v>7.4845519999999999E-2</v>
      </c>
      <c r="Z3959">
        <v>4.7828430000000002E-3</v>
      </c>
      <c r="AA3959">
        <v>0.99718370000000001</v>
      </c>
      <c r="AB3959">
        <v>38</v>
      </c>
      <c r="AC3959">
        <v>-0.17600000000004401</v>
      </c>
      <c r="AD3959">
        <v>-5.7300999999999797E-2</v>
      </c>
      <c r="AE3959">
        <v>5.9899999999998899E-2</v>
      </c>
      <c r="AF3959">
        <v>6.0889245682790097E-2</v>
      </c>
      <c r="AG3959">
        <v>-5.7300999999999797E-2</v>
      </c>
      <c r="AH3959">
        <v>0.15849142502925001</v>
      </c>
      <c r="AI3959">
        <v>108.649077417462</v>
      </c>
      <c r="AJ3959">
        <v>68.984220037916302</v>
      </c>
      <c r="AK3959">
        <v>0.17919385215074099</v>
      </c>
    </row>
    <row r="3960" spans="1:37" x14ac:dyDescent="0.2">
      <c r="A3960" t="str">
        <f>"20200111155929401"</f>
        <v>20200111155929401</v>
      </c>
      <c r="B3960" t="str">
        <f>"1578729569395781"</f>
        <v>1578729569395781</v>
      </c>
      <c r="C3960" t="s">
        <v>37</v>
      </c>
      <c r="D3960">
        <v>5.8742519999999896</v>
      </c>
      <c r="E3960">
        <v>0.50550499999999998</v>
      </c>
      <c r="F3960" t="s">
        <v>38</v>
      </c>
      <c r="G3960">
        <v>-265.58440000000002</v>
      </c>
      <c r="H3960">
        <v>1.0494509999999999</v>
      </c>
      <c r="I3960">
        <v>140.07749999999999</v>
      </c>
      <c r="J3960">
        <v>-265.12880000000001</v>
      </c>
      <c r="K3960">
        <v>1.1015729999999999</v>
      </c>
      <c r="L3960">
        <v>140.0307</v>
      </c>
      <c r="M3960">
        <v>-0.99923969999999995</v>
      </c>
      <c r="N3960">
        <v>0</v>
      </c>
      <c r="O3960">
        <v>-3.602474E-2</v>
      </c>
      <c r="P3960">
        <v>-0.99935019999999997</v>
      </c>
      <c r="Q3960">
        <v>2.037688E-2</v>
      </c>
      <c r="R3960">
        <v>2.973042E-2</v>
      </c>
      <c r="S3960">
        <v>-3.0021360000000001</v>
      </c>
      <c r="T3960">
        <v>-0.18328</v>
      </c>
      <c r="U3960">
        <v>0.1181488</v>
      </c>
      <c r="V3960">
        <v>6.5935720000000003E-2</v>
      </c>
      <c r="W3960">
        <v>3.4835739999999997E-2</v>
      </c>
      <c r="X3960">
        <v>0.99721559999999898</v>
      </c>
      <c r="Y3960">
        <v>7.5093220000000002E-2</v>
      </c>
      <c r="Z3960">
        <v>4.48588799999999E-3</v>
      </c>
      <c r="AA3960">
        <v>0.99716649999999996</v>
      </c>
      <c r="AB3960">
        <v>38</v>
      </c>
      <c r="AC3960">
        <v>-0.455600000000004</v>
      </c>
      <c r="AD3960">
        <v>-5.2122000000000002E-2</v>
      </c>
      <c r="AE3960">
        <v>4.6799999999990398E-2</v>
      </c>
      <c r="AF3960">
        <v>6.2376449628133497E-2</v>
      </c>
      <c r="AG3960">
        <v>-5.2122000000000002E-2</v>
      </c>
      <c r="AH3960">
        <v>0.44781819326788902</v>
      </c>
      <c r="AI3960">
        <v>96.575919938294604</v>
      </c>
      <c r="AJ3960">
        <v>82.070309880457998</v>
      </c>
      <c r="AK3960">
        <v>0.45513586825686098</v>
      </c>
    </row>
    <row r="3961" spans="1:37" x14ac:dyDescent="0.2">
      <c r="A3961" t="str">
        <f>"20200111155929424"</f>
        <v>20200111155929424</v>
      </c>
      <c r="B3961" t="str">
        <f>"1578729569416276"</f>
        <v>1578729569416276</v>
      </c>
      <c r="C3961" t="s">
        <v>37</v>
      </c>
      <c r="D3961">
        <v>5.7049120000000002</v>
      </c>
      <c r="E3961">
        <v>0.47786009999999901</v>
      </c>
      <c r="F3961" t="s">
        <v>71</v>
      </c>
      <c r="G3961">
        <v>-283.25310000000002</v>
      </c>
      <c r="H3961" s="1">
        <v>-5.4351229999999901E-6</v>
      </c>
      <c r="I3961">
        <v>140.77510000000001</v>
      </c>
      <c r="J3961">
        <v>-265.50729999999999</v>
      </c>
      <c r="K3961">
        <v>1.1015740000000001</v>
      </c>
      <c r="L3961">
        <v>140.01949999999999</v>
      </c>
      <c r="M3961">
        <v>-0.99932940000000003</v>
      </c>
      <c r="N3961">
        <v>0</v>
      </c>
      <c r="O3961">
        <v>-3.3445929999999999E-2</v>
      </c>
      <c r="P3961">
        <v>-0.99928719999999904</v>
      </c>
      <c r="Q3961">
        <v>2.0053129999999999E-2</v>
      </c>
      <c r="R3961">
        <v>3.1988799999999998E-2</v>
      </c>
      <c r="S3961">
        <v>-3.0019840000000002</v>
      </c>
      <c r="T3961">
        <v>-0.18245819999999999</v>
      </c>
      <c r="U3961">
        <v>0.123291</v>
      </c>
      <c r="V3961">
        <v>6.5614770000000003E-2</v>
      </c>
      <c r="W3961">
        <v>3.4514549999999998E-2</v>
      </c>
      <c r="X3961">
        <v>0.99724789999999996</v>
      </c>
      <c r="Y3961">
        <v>7.4235339999999997E-2</v>
      </c>
      <c r="Z3961">
        <v>4.2833350000000001E-3</v>
      </c>
      <c r="AA3961">
        <v>0.99723150000000005</v>
      </c>
      <c r="AB3961">
        <v>38</v>
      </c>
      <c r="AC3961">
        <v>-17.745799999999999</v>
      </c>
      <c r="AD3961">
        <v>-1.1015794351229999</v>
      </c>
      <c r="AE3961">
        <v>0.75560000000001504</v>
      </c>
      <c r="AF3961">
        <v>1.34359986667357</v>
      </c>
      <c r="AG3961">
        <v>-1.1015794351229999</v>
      </c>
      <c r="AH3961">
        <v>17.642734055762201</v>
      </c>
      <c r="AI3961">
        <v>93.562514427974804</v>
      </c>
      <c r="AJ3961">
        <v>85.644989546111901</v>
      </c>
      <c r="AK3961">
        <v>17.7280795016257</v>
      </c>
    </row>
    <row r="3962" spans="1:37" x14ac:dyDescent="0.2">
      <c r="A3962" t="str">
        <f>"20200111155929445"</f>
        <v>20200111155929445</v>
      </c>
      <c r="B3962" t="str">
        <f>"1578729569435795"</f>
        <v>1578729569435795</v>
      </c>
      <c r="C3962" t="s">
        <v>37</v>
      </c>
      <c r="D3962">
        <v>5.71366</v>
      </c>
      <c r="E3962">
        <v>0.47444170000000002</v>
      </c>
      <c r="F3962" t="s">
        <v>71</v>
      </c>
      <c r="G3962">
        <v>-282.2183</v>
      </c>
      <c r="H3962" s="1">
        <v>-4.5620590000000003E-6</v>
      </c>
      <c r="I3962">
        <v>139.51300000000001</v>
      </c>
      <c r="J3962">
        <v>-265.86410000000001</v>
      </c>
      <c r="K3962">
        <v>1.1015680000000001</v>
      </c>
      <c r="L3962">
        <v>140.00980000000001</v>
      </c>
      <c r="M3962">
        <v>-0.99940779999999996</v>
      </c>
      <c r="N3962">
        <v>0</v>
      </c>
      <c r="O3962">
        <v>-3.1012930000000001E-2</v>
      </c>
      <c r="P3962">
        <v>-0.99924190000000002</v>
      </c>
      <c r="Q3962">
        <v>1.9548639999999999E-2</v>
      </c>
      <c r="R3962">
        <v>3.3668730000000001E-2</v>
      </c>
      <c r="S3962">
        <v>-3.0090330000000001</v>
      </c>
      <c r="T3962">
        <v>-0.19835320000000001</v>
      </c>
      <c r="U3962">
        <v>-9.1201779999999996E-2</v>
      </c>
      <c r="V3962">
        <v>6.4860660000000001E-2</v>
      </c>
      <c r="W3962">
        <v>3.401655E-2</v>
      </c>
      <c r="X3962">
        <v>0.99731440000000005</v>
      </c>
      <c r="Y3962">
        <v>6.5265769999999998E-4</v>
      </c>
      <c r="Z3962">
        <v>2.0628899999999999E-3</v>
      </c>
      <c r="AA3962">
        <v>0.99999769999999899</v>
      </c>
      <c r="AB3962">
        <v>38</v>
      </c>
      <c r="AC3962">
        <v>-16.354199999999899</v>
      </c>
      <c r="AD3962">
        <v>-1.101572562059</v>
      </c>
      <c r="AE3962">
        <v>-0.49680000000000701</v>
      </c>
      <c r="AF3962">
        <v>1.0638828681857299E-2</v>
      </c>
      <c r="AG3962">
        <v>-1.101572562059</v>
      </c>
      <c r="AH3962">
        <v>16.287910623244802</v>
      </c>
      <c r="AI3962">
        <v>93.869095308785106</v>
      </c>
      <c r="AJ3962">
        <v>89.9625759307104</v>
      </c>
      <c r="AK3962">
        <v>16.325121983157398</v>
      </c>
    </row>
    <row r="3963" spans="1:37" x14ac:dyDescent="0.2">
      <c r="A3963" t="str">
        <f>"20200111155929467"</f>
        <v>20200111155929467</v>
      </c>
      <c r="B3963" t="str">
        <f>"1578729569456292"</f>
        <v>1578729569456292</v>
      </c>
      <c r="C3963" t="s">
        <v>37</v>
      </c>
      <c r="D3963">
        <v>5.7184850000000003</v>
      </c>
      <c r="E3963">
        <v>0.47302309999999997</v>
      </c>
      <c r="F3963" t="s">
        <v>38</v>
      </c>
      <c r="G3963">
        <v>-266.9117</v>
      </c>
      <c r="H3963">
        <v>1.0257350000000001</v>
      </c>
      <c r="I3963">
        <v>139.97030000000001</v>
      </c>
      <c r="J3963">
        <v>-266.22980000000001</v>
      </c>
      <c r="K3963">
        <v>1.1015699999999999</v>
      </c>
      <c r="L3963">
        <v>140.0009</v>
      </c>
      <c r="M3963">
        <v>-0.99948189999999903</v>
      </c>
      <c r="N3963">
        <v>0</v>
      </c>
      <c r="O3963">
        <v>-2.8521899999999999E-2</v>
      </c>
      <c r="P3963">
        <v>-0.99920699999999996</v>
      </c>
      <c r="Q3963">
        <v>1.8912289999999998E-2</v>
      </c>
      <c r="R3963">
        <v>3.503904E-2</v>
      </c>
      <c r="S3963">
        <v>-3.010345</v>
      </c>
      <c r="T3963">
        <v>-0.21786449999999999</v>
      </c>
      <c r="U3963">
        <v>-0.1140442</v>
      </c>
      <c r="V3963">
        <v>6.3738669999999997E-2</v>
      </c>
      <c r="W3963">
        <v>3.3388439999999998E-2</v>
      </c>
      <c r="X3963">
        <v>0.99740790000000001</v>
      </c>
      <c r="Y3963">
        <v>-9.3868589999999991E-3</v>
      </c>
      <c r="Z3963">
        <v>1.7213860000000001E-3</v>
      </c>
      <c r="AA3963">
        <v>0.99995449999999997</v>
      </c>
      <c r="AB3963">
        <v>37</v>
      </c>
      <c r="AC3963">
        <v>-0.68189999999998396</v>
      </c>
      <c r="AD3963">
        <v>-7.5835000000000097E-2</v>
      </c>
      <c r="AE3963">
        <v>-3.0599999999992598E-2</v>
      </c>
      <c r="AF3963">
        <v>-1.1000520587211401E-2</v>
      </c>
      <c r="AG3963">
        <v>-7.5835000000000097E-2</v>
      </c>
      <c r="AH3963">
        <v>0.674173988146203</v>
      </c>
      <c r="AI3963">
        <v>96.417136180733095</v>
      </c>
      <c r="AJ3963">
        <v>90.934814284405505</v>
      </c>
      <c r="AK3963">
        <v>0.678514940860661</v>
      </c>
    </row>
    <row r="3964" spans="1:37" x14ac:dyDescent="0.2">
      <c r="A3964" t="str">
        <f>"20200111155929490"</f>
        <v>20200111155929490</v>
      </c>
      <c r="B3964" t="str">
        <f>"1578729569486547"</f>
        <v>1578729569486547</v>
      </c>
      <c r="C3964" t="s">
        <v>37</v>
      </c>
      <c r="D3964">
        <v>5.8829260000000003</v>
      </c>
      <c r="E3964">
        <v>0.47142269999999997</v>
      </c>
      <c r="F3964" t="s">
        <v>38</v>
      </c>
      <c r="G3964">
        <v>-267.24770000000001</v>
      </c>
      <c r="H3964">
        <v>1.0261119999999999</v>
      </c>
      <c r="I3964">
        <v>139.96</v>
      </c>
      <c r="J3964">
        <v>-266.61750000000001</v>
      </c>
      <c r="K3964">
        <v>1.1015649999999999</v>
      </c>
      <c r="L3964">
        <v>139.9924</v>
      </c>
      <c r="M3964">
        <v>-0.99955400000000005</v>
      </c>
      <c r="N3964">
        <v>0</v>
      </c>
      <c r="O3964">
        <v>-2.588296E-2</v>
      </c>
      <c r="P3964">
        <v>-0.99917860000000003</v>
      </c>
      <c r="Q3964">
        <v>1.8108679999999999E-2</v>
      </c>
      <c r="R3964">
        <v>3.625627E-2</v>
      </c>
      <c r="S3964">
        <v>-3.0108950000000001</v>
      </c>
      <c r="T3964">
        <v>-0.22316810000000001</v>
      </c>
      <c r="U3964">
        <v>-0.1212616</v>
      </c>
      <c r="V3964">
        <v>6.2315040000000002E-2</v>
      </c>
      <c r="W3964">
        <v>3.2594459999999999E-2</v>
      </c>
      <c r="X3964">
        <v>0.99752410000000002</v>
      </c>
      <c r="Y3964">
        <v>-1.439475E-2</v>
      </c>
      <c r="Z3964">
        <v>1.3823279999999999E-3</v>
      </c>
      <c r="AA3964">
        <v>0.99989550000000005</v>
      </c>
      <c r="AB3964">
        <v>37</v>
      </c>
      <c r="AC3964">
        <v>-0.63020000000000198</v>
      </c>
      <c r="AD3964">
        <v>-7.5452999999999701E-2</v>
      </c>
      <c r="AE3964">
        <v>-3.2399999999995502E-2</v>
      </c>
      <c r="AF3964">
        <v>-1.5849291838123801E-2</v>
      </c>
      <c r="AG3964">
        <v>-7.5452999999999701E-2</v>
      </c>
      <c r="AH3964">
        <v>0.62193561102467398</v>
      </c>
      <c r="AI3964">
        <v>96.915074513690399</v>
      </c>
      <c r="AJ3964">
        <v>91.4597990703693</v>
      </c>
      <c r="AK3964">
        <v>0.62669630565482404</v>
      </c>
    </row>
    <row r="3965" spans="1:37" x14ac:dyDescent="0.2">
      <c r="A3965" t="str">
        <f>"20200111155929512"</f>
        <v>20200111155929512</v>
      </c>
      <c r="B3965" t="str">
        <f>"1578729569506068"</f>
        <v>1578729569506068</v>
      </c>
      <c r="C3965" t="s">
        <v>37</v>
      </c>
      <c r="D3965">
        <v>5.7482230000000003</v>
      </c>
      <c r="E3965">
        <v>0.47125139999999999</v>
      </c>
      <c r="F3965" t="s">
        <v>71</v>
      </c>
      <c r="G3965">
        <v>-283.85919999999999</v>
      </c>
      <c r="H3965" s="1">
        <v>-5.1910119999999901E-6</v>
      </c>
      <c r="I3965">
        <v>139.25290000000001</v>
      </c>
      <c r="J3965">
        <v>-267.00279999999998</v>
      </c>
      <c r="K3965">
        <v>1.1015699999999999</v>
      </c>
      <c r="L3965">
        <v>139.98490000000001</v>
      </c>
      <c r="M3965">
        <v>-0.99961819999999901</v>
      </c>
      <c r="N3965">
        <v>0</v>
      </c>
      <c r="O3965">
        <v>-2.326924E-2</v>
      </c>
      <c r="P3965">
        <v>-0.99914400000000003</v>
      </c>
      <c r="Q3965">
        <v>1.7495699999999999E-2</v>
      </c>
      <c r="R3965">
        <v>3.7486029999999997E-2</v>
      </c>
      <c r="S3965">
        <v>-3.01065099999999</v>
      </c>
      <c r="T3965">
        <v>-0.19235050000000001</v>
      </c>
      <c r="U3965">
        <v>-0.12911989999999901</v>
      </c>
      <c r="V3965">
        <v>6.0929619999999997E-2</v>
      </c>
      <c r="W3965">
        <v>3.1992050000000001E-2</v>
      </c>
      <c r="X3965">
        <v>0.99762919999999999</v>
      </c>
      <c r="Y3965">
        <v>-1.959373E-2</v>
      </c>
      <c r="Z3965">
        <v>8.5935899999999997E-4</v>
      </c>
      <c r="AA3965">
        <v>0.99980769999999997</v>
      </c>
      <c r="AB3965">
        <v>37</v>
      </c>
      <c r="AC3965">
        <v>-16.856400000000001</v>
      </c>
      <c r="AD3965">
        <v>-1.101575191012</v>
      </c>
      <c r="AE3965">
        <v>-0.73199999999999898</v>
      </c>
      <c r="AF3965">
        <v>-0.338081468357536</v>
      </c>
      <c r="AG3965">
        <v>-1.101575191012</v>
      </c>
      <c r="AH3965">
        <v>16.797268829867502</v>
      </c>
      <c r="AI3965">
        <v>93.751361856865202</v>
      </c>
      <c r="AJ3965">
        <v>91.153046152862501</v>
      </c>
      <c r="AK3965">
        <v>16.836745740300898</v>
      </c>
    </row>
    <row r="3966" spans="1:37" x14ac:dyDescent="0.2">
      <c r="A3966" t="str">
        <f>"20200111155929535"</f>
        <v>20200111155929535</v>
      </c>
      <c r="B3966" t="str">
        <f>"1578729569525587"</f>
        <v>1578729569525587</v>
      </c>
      <c r="C3966" t="s">
        <v>37</v>
      </c>
      <c r="D3966">
        <v>5.7471920000000001</v>
      </c>
      <c r="E3966">
        <v>0.47062959999999898</v>
      </c>
      <c r="F3966" t="s">
        <v>71</v>
      </c>
      <c r="G3966">
        <v>-283.36680000000001</v>
      </c>
      <c r="H3966" s="1">
        <v>-4.9891089999999998E-6</v>
      </c>
      <c r="I3966">
        <v>139.2962</v>
      </c>
      <c r="J3966">
        <v>-267.36189999999999</v>
      </c>
      <c r="K3966">
        <v>1.101593</v>
      </c>
      <c r="L3966">
        <v>139.97880000000001</v>
      </c>
      <c r="M3966">
        <v>-0.99967159999999999</v>
      </c>
      <c r="N3966">
        <v>0</v>
      </c>
      <c r="O3966">
        <v>-2.084892E-2</v>
      </c>
      <c r="P3966">
        <v>-0.99908850000000005</v>
      </c>
      <c r="Q3966">
        <v>1.8365409999999999E-2</v>
      </c>
      <c r="R3966">
        <v>3.854026E-2</v>
      </c>
      <c r="S3966">
        <v>-3.01086399999999</v>
      </c>
      <c r="T3966">
        <v>-0.20268269999999999</v>
      </c>
      <c r="U3966">
        <v>-0.12670899999999999</v>
      </c>
      <c r="V3966">
        <v>5.957059E-2</v>
      </c>
      <c r="W3966">
        <v>3.2871350000000001E-2</v>
      </c>
      <c r="X3966">
        <v>0.99768279999999998</v>
      </c>
      <c r="Y3966">
        <v>-2.1203969999999999E-2</v>
      </c>
      <c r="Z3966">
        <v>6.8863660000000005E-4</v>
      </c>
      <c r="AA3966">
        <v>0.99977490000000002</v>
      </c>
      <c r="AB3966">
        <v>37</v>
      </c>
      <c r="AC3966">
        <v>-16.004899999999999</v>
      </c>
      <c r="AD3966">
        <v>-1.101597989109</v>
      </c>
      <c r="AE3966">
        <v>-0.68260000000000698</v>
      </c>
      <c r="AF3966">
        <v>-0.34708835620869399</v>
      </c>
      <c r="AG3966">
        <v>-1.101597989109</v>
      </c>
      <c r="AH3966">
        <v>15.940275020721201</v>
      </c>
      <c r="AI3966">
        <v>93.9523682223424</v>
      </c>
      <c r="AJ3966">
        <v>91.247378473813498</v>
      </c>
      <c r="AK3966">
        <v>15.982063577424899</v>
      </c>
    </row>
    <row r="3967" spans="1:37" x14ac:dyDescent="0.2">
      <c r="A3967" t="str">
        <f>"20200111155929556"</f>
        <v>20200111155929556</v>
      </c>
      <c r="B3967" t="str">
        <f>"1578729569546083"</f>
        <v>1578729569546083</v>
      </c>
      <c r="C3967" t="s">
        <v>37</v>
      </c>
      <c r="D3967">
        <v>5.8061590000000001</v>
      </c>
      <c r="E3967">
        <v>0.470450599999999</v>
      </c>
      <c r="F3967" t="s">
        <v>71</v>
      </c>
      <c r="G3967">
        <v>-284.14609999999999</v>
      </c>
      <c r="H3967" s="1">
        <v>-5.3223989999999998E-6</v>
      </c>
      <c r="I3967">
        <v>139.2638</v>
      </c>
      <c r="J3967">
        <v>-267.7321</v>
      </c>
      <c r="K3967">
        <v>1.101615</v>
      </c>
      <c r="L3967">
        <v>139.9735</v>
      </c>
      <c r="M3967">
        <v>-0.99972000000000005</v>
      </c>
      <c r="N3967">
        <v>0</v>
      </c>
      <c r="O3967">
        <v>-1.837695E-2</v>
      </c>
      <c r="P3967">
        <v>-0.99897209999999903</v>
      </c>
      <c r="Q3967">
        <v>1.9006889999999999E-2</v>
      </c>
      <c r="R3967">
        <v>4.1152010000000003E-2</v>
      </c>
      <c r="S3967">
        <v>-3.0112919999999899</v>
      </c>
      <c r="T3967">
        <v>-0.19764019999999999</v>
      </c>
      <c r="U3967">
        <v>-0.12828059999999999</v>
      </c>
      <c r="V3967">
        <v>5.9713960000000003E-2</v>
      </c>
      <c r="W3967">
        <v>3.3512340000000002E-2</v>
      </c>
      <c r="X3967">
        <v>0.99765280000000001</v>
      </c>
      <c r="Y3967">
        <v>-2.4179289999999999E-2</v>
      </c>
      <c r="Z3967">
        <v>4.1199059999999998E-4</v>
      </c>
      <c r="AA3967">
        <v>0.99970759999999903</v>
      </c>
      <c r="AB3967">
        <v>37</v>
      </c>
      <c r="AC3967">
        <v>-16.413999999999898</v>
      </c>
      <c r="AD3967">
        <v>-1.101620322399</v>
      </c>
      <c r="AE3967">
        <v>-0.709699999999997</v>
      </c>
      <c r="AF3967">
        <v>-0.40608161688620498</v>
      </c>
      <c r="AG3967">
        <v>-1.101620322399</v>
      </c>
      <c r="AH3967">
        <v>16.350758516684699</v>
      </c>
      <c r="AI3967">
        <v>93.853251290971201</v>
      </c>
      <c r="AJ3967">
        <v>91.422685119680096</v>
      </c>
      <c r="AK3967">
        <v>16.3928573984292</v>
      </c>
    </row>
    <row r="3968" spans="1:37" x14ac:dyDescent="0.2">
      <c r="A3968" t="str">
        <f>"20200111155929870"</f>
        <v>20200111155929870</v>
      </c>
      <c r="B3968" t="str">
        <f>"1578729569865847"</f>
        <v>1578729569865847</v>
      </c>
      <c r="C3968" t="s">
        <v>37</v>
      </c>
      <c r="D3968">
        <v>7.8683800000000002</v>
      </c>
      <c r="E3968">
        <v>0.58845419999999904</v>
      </c>
      <c r="F3968" t="s">
        <v>71</v>
      </c>
      <c r="G3968">
        <v>-284.34109999999998</v>
      </c>
      <c r="H3968" s="1">
        <v>-5.4225460000000002E-6</v>
      </c>
      <c r="I3968">
        <v>139.2998</v>
      </c>
      <c r="J3968">
        <v>-272.89760000000001</v>
      </c>
      <c r="K3968">
        <v>1.102679</v>
      </c>
      <c r="L3968">
        <v>139.98009999999999</v>
      </c>
      <c r="M3968">
        <v>-0.99984280000000003</v>
      </c>
      <c r="N3968">
        <v>0</v>
      </c>
      <c r="O3968">
        <v>9.7089719999999997E-3</v>
      </c>
      <c r="P3968">
        <v>-0.99747369999999902</v>
      </c>
      <c r="Q3968">
        <v>1.59778E-2</v>
      </c>
      <c r="R3968">
        <v>6.9218230000000006E-2</v>
      </c>
      <c r="S3968">
        <v>-3.0119020000000001</v>
      </c>
      <c r="T3968">
        <v>-0.199769</v>
      </c>
      <c r="U3968">
        <v>-0.122161899999999</v>
      </c>
      <c r="V3968">
        <v>5.9644170000000003E-2</v>
      </c>
      <c r="W3968">
        <v>3.056414E-2</v>
      </c>
      <c r="X3968">
        <v>0.99775170000000002</v>
      </c>
      <c r="Y3968">
        <v>-5.0095349999999997E-2</v>
      </c>
      <c r="Z3968">
        <v>-2.301909E-3</v>
      </c>
      <c r="AA3968">
        <v>0.99874180000000001</v>
      </c>
      <c r="AB3968">
        <v>37</v>
      </c>
      <c r="AC3968">
        <v>-11.443499999999901</v>
      </c>
      <c r="AD3968">
        <v>-1.102684422546</v>
      </c>
      <c r="AE3968">
        <v>-0.68029999999998803</v>
      </c>
      <c r="AF3968">
        <v>-0.78412972751444499</v>
      </c>
      <c r="AG3968">
        <v>-1.102684422546</v>
      </c>
      <c r="AH3968">
        <v>11.3315115337703</v>
      </c>
      <c r="AI3968">
        <v>95.544851509006307</v>
      </c>
      <c r="AJ3968">
        <v>93.958502585575999</v>
      </c>
      <c r="AK3968">
        <v>11.412007974290299</v>
      </c>
    </row>
    <row r="3969" spans="1:37" x14ac:dyDescent="0.2">
      <c r="A3969" t="str">
        <f>"20200111155929893"</f>
        <v>20200111155929893</v>
      </c>
      <c r="B3969" t="str">
        <f>"1578729569886343"</f>
        <v>1578729569886343</v>
      </c>
      <c r="C3969" t="s">
        <v>37</v>
      </c>
      <c r="D3969">
        <v>8.5567399999999996</v>
      </c>
      <c r="E3969">
        <v>0.58859220000000001</v>
      </c>
      <c r="F3969" t="s">
        <v>63</v>
      </c>
      <c r="G3969">
        <v>-363.30950000000001</v>
      </c>
      <c r="H3969">
        <v>1.8158399999999999</v>
      </c>
      <c r="I3969">
        <v>167.9573</v>
      </c>
      <c r="J3969">
        <v>-273.27510000000001</v>
      </c>
      <c r="K3969">
        <v>1.1028020000000001</v>
      </c>
      <c r="L3969">
        <v>139.98509999999999</v>
      </c>
      <c r="M3969">
        <v>-0.99982990000000005</v>
      </c>
      <c r="N3969">
        <v>0</v>
      </c>
      <c r="O3969">
        <v>1.0969609999999999E-2</v>
      </c>
      <c r="P3969">
        <v>-0.99727399999999999</v>
      </c>
      <c r="Q3969">
        <v>1.7601470000000001E-2</v>
      </c>
      <c r="R3969">
        <v>7.1658399999999997E-2</v>
      </c>
      <c r="S3969">
        <v>-2.944</v>
      </c>
      <c r="T3969">
        <v>2.3221490000000001E-2</v>
      </c>
      <c r="U3969">
        <v>0.91099549999999996</v>
      </c>
      <c r="V3969">
        <v>6.0825249999999997E-2</v>
      </c>
      <c r="W3969">
        <v>3.2192220000000001E-2</v>
      </c>
      <c r="X3969">
        <v>0.99762919999999999</v>
      </c>
      <c r="Y3969">
        <v>0.28510580000000002</v>
      </c>
      <c r="Z3969">
        <v>-1.0141830000000001E-3</v>
      </c>
      <c r="AA3969">
        <v>0.95849549999999994</v>
      </c>
      <c r="AB3969">
        <v>37</v>
      </c>
      <c r="AC3969">
        <v>-90.034400000000005</v>
      </c>
      <c r="AD3969">
        <v>0.71303799999999995</v>
      </c>
      <c r="AE3969">
        <v>27.972200000000001</v>
      </c>
      <c r="AF3969">
        <v>26.981222460483401</v>
      </c>
      <c r="AG3969">
        <v>0.71303799999999995</v>
      </c>
      <c r="AH3969">
        <v>90.330692633216302</v>
      </c>
      <c r="AI3969">
        <v>89.566654512941298</v>
      </c>
      <c r="AJ3969">
        <v>73.369438053108297</v>
      </c>
      <c r="AK3969">
        <v>94.276873199359599</v>
      </c>
    </row>
    <row r="3970" spans="1:37" x14ac:dyDescent="0.2">
      <c r="A3970" t="str">
        <f>"20200111155929915"</f>
        <v>20200111155929915</v>
      </c>
      <c r="B3970" t="str">
        <f>"1578729569905863"</f>
        <v>1578729569905863</v>
      </c>
      <c r="C3970" t="s">
        <v>37</v>
      </c>
      <c r="D3970">
        <v>5.9020580000000002</v>
      </c>
      <c r="E3970">
        <v>0.59039830000000004</v>
      </c>
      <c r="F3970" t="s">
        <v>71</v>
      </c>
      <c r="G3970">
        <v>-316.05959999999999</v>
      </c>
      <c r="H3970">
        <v>7.9984609999999998E-2</v>
      </c>
      <c r="I3970">
        <v>153.2971</v>
      </c>
      <c r="J3970">
        <v>-273.63760000000002</v>
      </c>
      <c r="K3970">
        <v>1.1029119999999999</v>
      </c>
      <c r="L3970">
        <v>139.99019999999999</v>
      </c>
      <c r="M3970">
        <v>-0.99981710000000001</v>
      </c>
      <c r="N3970">
        <v>0</v>
      </c>
      <c r="O3970">
        <v>1.2082310000000001E-2</v>
      </c>
      <c r="P3970">
        <v>-0.99712529999999999</v>
      </c>
      <c r="Q3970">
        <v>1.9024909999999999E-2</v>
      </c>
      <c r="R3970">
        <v>7.3342840000000006E-2</v>
      </c>
      <c r="S3970">
        <v>-2.9436650000000002</v>
      </c>
      <c r="T3970">
        <v>-7.0372100000000007E-2</v>
      </c>
      <c r="U3970">
        <v>0.91589359999999997</v>
      </c>
      <c r="V3970">
        <v>6.1397439999999998E-2</v>
      </c>
      <c r="W3970">
        <v>3.3620999999999998E-2</v>
      </c>
      <c r="X3970">
        <v>0.99754699999999996</v>
      </c>
      <c r="Y3970">
        <v>0.28546129999999997</v>
      </c>
      <c r="Z3970">
        <v>3.0508750000000002E-3</v>
      </c>
      <c r="AA3970">
        <v>0.9583853</v>
      </c>
      <c r="AB3970">
        <v>37</v>
      </c>
      <c r="AC3970">
        <v>-42.421999999999898</v>
      </c>
      <c r="AD3970">
        <v>-1.02292739</v>
      </c>
      <c r="AE3970">
        <v>13.306900000000001</v>
      </c>
      <c r="AF3970">
        <v>12.7865477230129</v>
      </c>
      <c r="AG3970">
        <v>-1.02292739</v>
      </c>
      <c r="AH3970">
        <v>42.557170589714303</v>
      </c>
      <c r="AI3970">
        <v>91.3187128408006</v>
      </c>
      <c r="AJ3970">
        <v>73.276800925143206</v>
      </c>
      <c r="AK3970">
        <v>44.4483402583285</v>
      </c>
    </row>
    <row r="3971" spans="1:37" x14ac:dyDescent="0.2">
      <c r="A3971" t="str">
        <f>"20200111155929938"</f>
        <v>20200111155929938</v>
      </c>
      <c r="B3971" t="str">
        <f>"1578729569926359"</f>
        <v>1578729569926359</v>
      </c>
      <c r="C3971" t="s">
        <v>37</v>
      </c>
      <c r="D3971">
        <v>5.9594930000000002</v>
      </c>
      <c r="E3971">
        <v>0.59415660000000003</v>
      </c>
      <c r="F3971" t="s">
        <v>71</v>
      </c>
      <c r="G3971">
        <v>-309.26530000000002</v>
      </c>
      <c r="H3971" s="1">
        <v>-1.282577E-5</v>
      </c>
      <c r="I3971">
        <v>151.30869999999999</v>
      </c>
      <c r="J3971">
        <v>-273.99090000000001</v>
      </c>
      <c r="K3971">
        <v>1.1030229999999901</v>
      </c>
      <c r="L3971">
        <v>139.99549999999999</v>
      </c>
      <c r="M3971">
        <v>-0.99980469999999899</v>
      </c>
      <c r="N3971">
        <v>0</v>
      </c>
      <c r="O3971">
        <v>1.308521E-2</v>
      </c>
      <c r="P3971">
        <v>-0.99698639999999905</v>
      </c>
      <c r="Q3971">
        <v>2.2100580000000002E-2</v>
      </c>
      <c r="R3971">
        <v>7.4362869999999998E-2</v>
      </c>
      <c r="S3971">
        <v>-2.941681</v>
      </c>
      <c r="T3971">
        <v>-9.1065649999999998E-2</v>
      </c>
      <c r="U3971">
        <v>0.93453980000000003</v>
      </c>
      <c r="V3971">
        <v>6.1420519999999999E-2</v>
      </c>
      <c r="W3971">
        <v>3.6702319999999997E-2</v>
      </c>
      <c r="X3971">
        <v>0.99743689999999996</v>
      </c>
      <c r="Y3971">
        <v>0.29015849999999999</v>
      </c>
      <c r="Z3971">
        <v>3.9872140000000002E-3</v>
      </c>
      <c r="AA3971">
        <v>0.95697030000000005</v>
      </c>
      <c r="AB3971">
        <v>36</v>
      </c>
      <c r="AC3971">
        <v>-35.2744</v>
      </c>
      <c r="AD3971">
        <v>-1.1030358257699999</v>
      </c>
      <c r="AE3971">
        <v>11.313199999999901</v>
      </c>
      <c r="AF3971">
        <v>10.840995768557701</v>
      </c>
      <c r="AG3971">
        <v>-1.1030358257699999</v>
      </c>
      <c r="AH3971">
        <v>35.3880552826841</v>
      </c>
      <c r="AI3971">
        <v>91.707059024246405</v>
      </c>
      <c r="AJ3971">
        <v>72.967754300553494</v>
      </c>
      <c r="AK3971">
        <v>37.027804876567103</v>
      </c>
    </row>
    <row r="3972" spans="1:37" x14ac:dyDescent="0.2">
      <c r="A3972" t="str">
        <f>"20200111155929960"</f>
        <v>20200111155929960</v>
      </c>
      <c r="B3972" t="str">
        <f>"1578729569956615"</f>
        <v>1578729569956615</v>
      </c>
      <c r="C3972" t="s">
        <v>37</v>
      </c>
      <c r="D3972">
        <v>6.471063</v>
      </c>
      <c r="E3972">
        <v>0.59574439999999995</v>
      </c>
      <c r="F3972" t="s">
        <v>71</v>
      </c>
      <c r="G3972">
        <v>-315.49990000000003</v>
      </c>
      <c r="H3972">
        <v>7.9984459999999993E-2</v>
      </c>
      <c r="I3972">
        <v>153.6669</v>
      </c>
      <c r="J3972">
        <v>-274.35680000000002</v>
      </c>
      <c r="K3972">
        <v>1.1031389999999901</v>
      </c>
      <c r="L3972">
        <v>140.00129999999999</v>
      </c>
      <c r="M3972">
        <v>-0.999791599999999</v>
      </c>
      <c r="N3972">
        <v>0</v>
      </c>
      <c r="O3972">
        <v>1.4049010000000001E-2</v>
      </c>
      <c r="P3972">
        <v>-0.99680979999999997</v>
      </c>
      <c r="Q3972">
        <v>2.7736050000000002E-2</v>
      </c>
      <c r="R3972">
        <v>7.483861E-2</v>
      </c>
      <c r="S3972">
        <v>-2.9384769999999998</v>
      </c>
      <c r="T3972">
        <v>-7.2422269999999997E-2</v>
      </c>
      <c r="U3972">
        <v>0.96781919999999899</v>
      </c>
      <c r="V3972">
        <v>6.0944779999999997E-2</v>
      </c>
      <c r="W3972">
        <v>4.2344130000000001E-2</v>
      </c>
      <c r="X3972">
        <v>0.99724259999999998</v>
      </c>
      <c r="Y3972">
        <v>0.29937570000000002</v>
      </c>
      <c r="Z3972">
        <v>3.2566320000000002E-3</v>
      </c>
      <c r="AA3972">
        <v>0.95412980000000003</v>
      </c>
      <c r="AB3972">
        <v>36</v>
      </c>
      <c r="AC3972">
        <v>-41.143099999999997</v>
      </c>
      <c r="AD3972">
        <v>-1.0231545399999999</v>
      </c>
      <c r="AE3972">
        <v>13.6656</v>
      </c>
      <c r="AF3972">
        <v>13.078883105874599</v>
      </c>
      <c r="AG3972">
        <v>-1.0231545399999999</v>
      </c>
      <c r="AH3972">
        <v>41.308040078947499</v>
      </c>
      <c r="AI3972">
        <v>91.352706092714399</v>
      </c>
      <c r="AJ3972">
        <v>72.431257781190396</v>
      </c>
      <c r="AK3972">
        <v>43.341183690270697</v>
      </c>
    </row>
    <row r="3973" spans="1:37" x14ac:dyDescent="0.2">
      <c r="A3973" t="str">
        <f>"20200111155929982"</f>
        <v>20200111155929982</v>
      </c>
      <c r="B3973" t="str">
        <f>"1578729569976135"</f>
        <v>1578729569976135</v>
      </c>
      <c r="C3973" t="s">
        <v>37</v>
      </c>
      <c r="D3973">
        <v>5.7885479999999996</v>
      </c>
      <c r="E3973">
        <v>0.59549810000000003</v>
      </c>
      <c r="F3973" t="s">
        <v>65</v>
      </c>
      <c r="G3973">
        <v>-334.22230000000002</v>
      </c>
      <c r="H3973">
        <v>0.21492329999999901</v>
      </c>
      <c r="I3973">
        <v>160.024</v>
      </c>
      <c r="J3973">
        <v>-274.73430000000002</v>
      </c>
      <c r="K3973">
        <v>1.103253</v>
      </c>
      <c r="L3973">
        <v>140.00749999999999</v>
      </c>
      <c r="M3973">
        <v>-0.99977839999999996</v>
      </c>
      <c r="N3973">
        <v>0</v>
      </c>
      <c r="O3973">
        <v>1.4965839999999999E-2</v>
      </c>
      <c r="P3973">
        <v>-0.99663919999999995</v>
      </c>
      <c r="Q3973">
        <v>3.3385150000000002E-2</v>
      </c>
      <c r="R3973">
        <v>7.4805739999999996E-2</v>
      </c>
      <c r="S3973">
        <v>-2.9370419999999999</v>
      </c>
      <c r="T3973">
        <v>-4.3576480000000001E-2</v>
      </c>
      <c r="U3973">
        <v>0.98233029999999999</v>
      </c>
      <c r="V3973">
        <v>6.0005139999999998E-2</v>
      </c>
      <c r="W3973">
        <v>4.799983E-2</v>
      </c>
      <c r="X3973">
        <v>0.99704329999999997</v>
      </c>
      <c r="Y3973">
        <v>0.3029328</v>
      </c>
      <c r="Z3973">
        <v>1.9715779999999999E-3</v>
      </c>
      <c r="AA3973">
        <v>0.95300989999999997</v>
      </c>
      <c r="AB3973">
        <v>36</v>
      </c>
      <c r="AC3973">
        <v>-59.488</v>
      </c>
      <c r="AD3973">
        <v>-0.8883297</v>
      </c>
      <c r="AE3973">
        <v>20.016500000000001</v>
      </c>
      <c r="AF3973">
        <v>19.120042307762699</v>
      </c>
      <c r="AG3973">
        <v>-0.8883297</v>
      </c>
      <c r="AH3973">
        <v>59.768960281903702</v>
      </c>
      <c r="AI3973">
        <v>90.811026809008794</v>
      </c>
      <c r="AJ3973">
        <v>72.2605677105675</v>
      </c>
      <c r="AK3973">
        <v>62.759013382033999</v>
      </c>
    </row>
    <row r="3974" spans="1:37" x14ac:dyDescent="0.2">
      <c r="A3974" t="str">
        <f>"20200111155930004"</f>
        <v>20200111155930004</v>
      </c>
      <c r="B3974" t="str">
        <f>"1578729569995655"</f>
        <v>1578729569995655</v>
      </c>
      <c r="C3974" t="s">
        <v>37</v>
      </c>
      <c r="D3974">
        <v>5.9277730000000002</v>
      </c>
      <c r="E3974">
        <v>0.59500010000000003</v>
      </c>
      <c r="F3974" t="s">
        <v>65</v>
      </c>
      <c r="G3974">
        <v>-336.92970000000003</v>
      </c>
      <c r="H3974">
        <v>0.53472069999999905</v>
      </c>
      <c r="I3974">
        <v>160.76349999999999</v>
      </c>
      <c r="J3974">
        <v>-275.09199999999998</v>
      </c>
      <c r="K3974">
        <v>1.1033729999999999</v>
      </c>
      <c r="L3974">
        <v>140.0137</v>
      </c>
      <c r="M3974">
        <v>-0.9997665</v>
      </c>
      <c r="N3974">
        <v>0</v>
      </c>
      <c r="O3974">
        <v>1.5748499999999999E-2</v>
      </c>
      <c r="P3974">
        <v>-0.99645709999999998</v>
      </c>
      <c r="Q3974">
        <v>3.8511289999999997E-2</v>
      </c>
      <c r="R3974">
        <v>7.4767479999999997E-2</v>
      </c>
      <c r="S3974">
        <v>-2.9374389999999999</v>
      </c>
      <c r="T3974">
        <v>-2.6851299999999901E-2</v>
      </c>
      <c r="U3974">
        <v>0.98028559999999998</v>
      </c>
      <c r="V3974">
        <v>5.9190020000000003E-2</v>
      </c>
      <c r="W3974">
        <v>5.3133079999999999E-2</v>
      </c>
      <c r="X3974">
        <v>0.99683169999999899</v>
      </c>
      <c r="Y3974">
        <v>0.30156859999999902</v>
      </c>
      <c r="Z3974">
        <v>1.2018479999999999E-3</v>
      </c>
      <c r="AA3974">
        <v>0.95344370000000001</v>
      </c>
      <c r="AB3974">
        <v>36</v>
      </c>
      <c r="AC3974">
        <v>-61.837699999999998</v>
      </c>
      <c r="AD3974">
        <v>-0.5686523</v>
      </c>
      <c r="AE3974">
        <v>20.7498</v>
      </c>
      <c r="AF3974">
        <v>19.771765725903499</v>
      </c>
      <c r="AG3974">
        <v>-0.5686523</v>
      </c>
      <c r="AH3974">
        <v>62.1521195476016</v>
      </c>
      <c r="AI3974">
        <v>90.499539058927795</v>
      </c>
      <c r="AJ3974">
        <v>72.353147848371094</v>
      </c>
      <c r="AK3974">
        <v>65.223707726697597</v>
      </c>
    </row>
    <row r="3975" spans="1:37" x14ac:dyDescent="0.2">
      <c r="A3975" t="str">
        <f>"20200111155930026"</f>
        <v>20200111155930026</v>
      </c>
      <c r="B3975" t="str">
        <f>"1578729570016151"</f>
        <v>1578729570016151</v>
      </c>
      <c r="C3975" t="s">
        <v>37</v>
      </c>
      <c r="D3975">
        <v>5.8086379999999904</v>
      </c>
      <c r="E3975">
        <v>0.59443649999999904</v>
      </c>
      <c r="F3975" t="s">
        <v>72</v>
      </c>
      <c r="G3975">
        <v>-340.86070000000001</v>
      </c>
      <c r="H3975">
        <v>0.60996479999999997</v>
      </c>
      <c r="I3975">
        <v>161.8537</v>
      </c>
      <c r="J3975">
        <v>-275.4357</v>
      </c>
      <c r="K3975">
        <v>1.103499</v>
      </c>
      <c r="L3975">
        <v>140.0198</v>
      </c>
      <c r="M3975">
        <v>-0.99975619999999998</v>
      </c>
      <c r="N3975">
        <v>0</v>
      </c>
      <c r="O3975">
        <v>1.6398329999999999E-2</v>
      </c>
      <c r="P3975">
        <v>-0.99625359999999996</v>
      </c>
      <c r="Q3975">
        <v>4.2398539999999998E-2</v>
      </c>
      <c r="R3975">
        <v>7.5375559999999994E-2</v>
      </c>
      <c r="S3975">
        <v>-2.9383240000000002</v>
      </c>
      <c r="T3975">
        <v>-2.204323E-2</v>
      </c>
      <c r="U3975">
        <v>0.97573849999999995</v>
      </c>
      <c r="V3975">
        <v>5.914846E-2</v>
      </c>
      <c r="W3975">
        <v>5.7026739999999999E-2</v>
      </c>
      <c r="X3975">
        <v>0.99661900000000003</v>
      </c>
      <c r="Y3975">
        <v>0.29953730000000001</v>
      </c>
      <c r="Z3975">
        <v>9.7443839999999905E-4</v>
      </c>
      <c r="AA3975">
        <v>0.95408409999999999</v>
      </c>
      <c r="AB3975">
        <v>36</v>
      </c>
      <c r="AC3975">
        <v>-65.424999999999997</v>
      </c>
      <c r="AD3975">
        <v>-0.49353419999999998</v>
      </c>
      <c r="AE3975">
        <v>21.8339</v>
      </c>
      <c r="AF3975">
        <v>20.756922695733699</v>
      </c>
      <c r="AG3975">
        <v>-0.49353419999999998</v>
      </c>
      <c r="AH3975">
        <v>65.770911958193494</v>
      </c>
      <c r="AI3975">
        <v>90.409997581045303</v>
      </c>
      <c r="AJ3975">
        <v>72.484602544598005</v>
      </c>
      <c r="AK3975">
        <v>68.970328951047307</v>
      </c>
    </row>
    <row r="3976" spans="1:37" x14ac:dyDescent="0.2">
      <c r="A3976" t="str">
        <f>"20200111155930050"</f>
        <v>20200111155930050</v>
      </c>
      <c r="B3976" t="str">
        <f>"1578729570046408"</f>
        <v>1578729570046408</v>
      </c>
      <c r="C3976" t="s">
        <v>37</v>
      </c>
      <c r="D3976">
        <v>5.8963299999999998</v>
      </c>
      <c r="E3976">
        <v>0.59334529999999996</v>
      </c>
      <c r="F3976" t="s">
        <v>72</v>
      </c>
      <c r="G3976">
        <v>-340.88490000000002</v>
      </c>
      <c r="H3976">
        <v>0.644177</v>
      </c>
      <c r="I3976">
        <v>161.68090000000001</v>
      </c>
      <c r="J3976">
        <v>-275.8134</v>
      </c>
      <c r="K3976">
        <v>1.1036360000000001</v>
      </c>
      <c r="L3976">
        <v>140.02670000000001</v>
      </c>
      <c r="M3976">
        <v>-0.99974640000000004</v>
      </c>
      <c r="N3976">
        <v>0</v>
      </c>
      <c r="O3976">
        <v>1.6984200000000001E-2</v>
      </c>
      <c r="P3976">
        <v>-0.99602619999999897</v>
      </c>
      <c r="Q3976">
        <v>4.5432029999999998E-2</v>
      </c>
      <c r="R3976">
        <v>7.6601399999999903E-2</v>
      </c>
      <c r="S3976">
        <v>-2.9385680000000001</v>
      </c>
      <c r="T3976">
        <v>-2.0622250000000002E-2</v>
      </c>
      <c r="U3976">
        <v>0.97254940000000001</v>
      </c>
      <c r="V3976">
        <v>5.9782170000000003E-2</v>
      </c>
      <c r="W3976">
        <v>6.0067549999999997E-2</v>
      </c>
      <c r="X3976">
        <v>0.99640249999999997</v>
      </c>
      <c r="Y3976">
        <v>0.29802209999999901</v>
      </c>
      <c r="Z3976">
        <v>9.0252639999999999E-4</v>
      </c>
      <c r="AA3976">
        <v>0.95455859999999904</v>
      </c>
      <c r="AB3976">
        <v>36</v>
      </c>
      <c r="AC3976">
        <v>-65.0715</v>
      </c>
      <c r="AD3976">
        <v>-0.45945900000000001</v>
      </c>
      <c r="AE3976">
        <v>21.654199999999999</v>
      </c>
      <c r="AF3976">
        <v>20.544845493932701</v>
      </c>
      <c r="AG3976">
        <v>-0.45945900000000001</v>
      </c>
      <c r="AH3976">
        <v>65.426994710129193</v>
      </c>
      <c r="AI3976">
        <v>90.383871137074806</v>
      </c>
      <c r="AJ3976">
        <v>72.567098287121496</v>
      </c>
      <c r="AK3976">
        <v>68.578374257061</v>
      </c>
    </row>
    <row r="3977" spans="1:37" x14ac:dyDescent="0.2">
      <c r="A3977" t="str">
        <f>"20200111155930071"</f>
        <v>20200111155930071</v>
      </c>
      <c r="B3977" t="str">
        <f>"1578729570065927"</f>
        <v>1578729570065927</v>
      </c>
      <c r="C3977" t="s">
        <v>37</v>
      </c>
      <c r="D3977">
        <v>5.8197999999999999</v>
      </c>
      <c r="E3977">
        <v>0.59273900000000002</v>
      </c>
      <c r="F3977" t="s">
        <v>65</v>
      </c>
      <c r="G3977">
        <v>-336.62299999999999</v>
      </c>
      <c r="H3977">
        <v>0.39805180000000001</v>
      </c>
      <c r="I3977">
        <v>160.024</v>
      </c>
      <c r="J3977">
        <v>-276.1662</v>
      </c>
      <c r="K3977">
        <v>1.1037619999999999</v>
      </c>
      <c r="L3977">
        <v>140.03319999999999</v>
      </c>
      <c r="M3977">
        <v>-0.99973869999999898</v>
      </c>
      <c r="N3977">
        <v>0</v>
      </c>
      <c r="O3977">
        <v>1.7429630000000002E-2</v>
      </c>
      <c r="P3977">
        <v>-0.99579099999999998</v>
      </c>
      <c r="Q3977">
        <v>4.7354800000000002E-2</v>
      </c>
      <c r="R3977">
        <v>7.8471760000000002E-2</v>
      </c>
      <c r="S3977">
        <v>-2.9391780000000001</v>
      </c>
      <c r="T3977">
        <v>-3.4103750000000002E-2</v>
      </c>
      <c r="U3977">
        <v>0.96655270000000004</v>
      </c>
      <c r="V3977">
        <v>6.1198610000000001E-2</v>
      </c>
      <c r="W3977">
        <v>6.1996559999999999E-2</v>
      </c>
      <c r="X3977">
        <v>0.99619840000000004</v>
      </c>
      <c r="Y3977">
        <v>0.29576979999999897</v>
      </c>
      <c r="Z3977">
        <v>1.47492E-3</v>
      </c>
      <c r="AA3977">
        <v>0.9552581</v>
      </c>
      <c r="AB3977">
        <v>36</v>
      </c>
      <c r="AC3977">
        <v>-60.456800000000001</v>
      </c>
      <c r="AD3977">
        <v>-0.70571019999999995</v>
      </c>
      <c r="AE3977">
        <v>19.9908</v>
      </c>
      <c r="AF3977">
        <v>18.9315823256334</v>
      </c>
      <c r="AG3977">
        <v>-0.70571019999999995</v>
      </c>
      <c r="AH3977">
        <v>60.788617941522901</v>
      </c>
      <c r="AI3977">
        <v>90.635049437082898</v>
      </c>
      <c r="AJ3977">
        <v>72.701687266448204</v>
      </c>
      <c r="AK3977">
        <v>63.672277385680601</v>
      </c>
    </row>
    <row r="3978" spans="1:37" x14ac:dyDescent="0.2">
      <c r="A3978" t="str">
        <f>"20200111155930095"</f>
        <v>20200111155930095</v>
      </c>
      <c r="B3978" t="str">
        <f>"1578729570086423"</f>
        <v>1578729570086423</v>
      </c>
      <c r="C3978" t="s">
        <v>37</v>
      </c>
      <c r="D3978">
        <v>5.8604640000000003</v>
      </c>
      <c r="E3978">
        <v>0.59224089999999996</v>
      </c>
      <c r="F3978" t="s">
        <v>65</v>
      </c>
      <c r="G3978">
        <v>-336.93509999999998</v>
      </c>
      <c r="H3978">
        <v>0.25373119999999999</v>
      </c>
      <c r="I3978">
        <v>160.024</v>
      </c>
      <c r="J3978">
        <v>-276.54599999999999</v>
      </c>
      <c r="K3978">
        <v>1.1038939999999999</v>
      </c>
      <c r="L3978">
        <v>140.0403</v>
      </c>
      <c r="M3978">
        <v>-0.99973259999999897</v>
      </c>
      <c r="N3978">
        <v>0</v>
      </c>
      <c r="O3978">
        <v>1.7788169999999999E-2</v>
      </c>
      <c r="P3978">
        <v>-0.99540910000000005</v>
      </c>
      <c r="Q3978">
        <v>5.0075639999999998E-2</v>
      </c>
      <c r="R3978">
        <v>8.1567180000000003E-2</v>
      </c>
      <c r="S3978">
        <v>-2.9384459999999999</v>
      </c>
      <c r="T3978">
        <v>-4.1102769999999997E-2</v>
      </c>
      <c r="U3978">
        <v>0.96664430000000001</v>
      </c>
      <c r="V3978">
        <v>6.3928460000000006E-2</v>
      </c>
      <c r="W3978">
        <v>6.4720959999999994E-2</v>
      </c>
      <c r="X3978">
        <v>0.99585360000000001</v>
      </c>
      <c r="Y3978">
        <v>0.29551719999999998</v>
      </c>
      <c r="Z3978">
        <v>1.7714009999999999E-3</v>
      </c>
      <c r="AA3978">
        <v>0.95533579999999996</v>
      </c>
      <c r="AB3978">
        <v>36</v>
      </c>
      <c r="AC3978">
        <v>-60.3890999999999</v>
      </c>
      <c r="AD3978">
        <v>-0.8501628</v>
      </c>
      <c r="AE3978">
        <v>19.983699999999999</v>
      </c>
      <c r="AF3978">
        <v>18.902831957947701</v>
      </c>
      <c r="AG3978">
        <v>-0.8501628</v>
      </c>
      <c r="AH3978">
        <v>60.724208040419697</v>
      </c>
      <c r="AI3978">
        <v>90.765866740496605</v>
      </c>
      <c r="AJ3978">
        <v>72.709162851802304</v>
      </c>
      <c r="AK3978">
        <v>63.604003607894803</v>
      </c>
    </row>
    <row r="3979" spans="1:37" x14ac:dyDescent="0.2">
      <c r="A3979" t="str">
        <f>"20200111155930131"</f>
        <v>20200111155930131</v>
      </c>
      <c r="B3979" t="str">
        <f>"1578729570126440"</f>
        <v>1578729570126440</v>
      </c>
      <c r="C3979" t="s">
        <v>37</v>
      </c>
      <c r="D3979">
        <v>5.773536</v>
      </c>
      <c r="E3979">
        <v>0.5921208</v>
      </c>
      <c r="F3979" t="s">
        <v>65</v>
      </c>
      <c r="G3979">
        <v>-336.96339999999998</v>
      </c>
      <c r="H3979">
        <v>0.1165736</v>
      </c>
      <c r="I3979">
        <v>160.024</v>
      </c>
      <c r="J3979">
        <v>-277.12150000000003</v>
      </c>
      <c r="K3979">
        <v>1.1040490000000001</v>
      </c>
      <c r="L3979">
        <v>140.05099999999999</v>
      </c>
      <c r="M3979">
        <v>-0.99972680000000003</v>
      </c>
      <c r="N3979">
        <v>0</v>
      </c>
      <c r="O3979">
        <v>1.8114959999999999E-2</v>
      </c>
      <c r="P3979">
        <v>-0.99486079999999999</v>
      </c>
      <c r="Q3979">
        <v>5.1904119999999998E-2</v>
      </c>
      <c r="R3979">
        <v>8.6936550000000001E-2</v>
      </c>
      <c r="S3979">
        <v>-2.9366460000000001</v>
      </c>
      <c r="T3979">
        <v>-4.7989610000000002E-2</v>
      </c>
      <c r="U3979">
        <v>0.97132870000000004</v>
      </c>
      <c r="V3979">
        <v>6.8957420000000005E-2</v>
      </c>
      <c r="W3979">
        <v>6.6554730000000006E-2</v>
      </c>
      <c r="X3979">
        <v>0.99539709999999904</v>
      </c>
      <c r="Y3979">
        <v>0.2967438</v>
      </c>
      <c r="Z3979">
        <v>2.073437E-3</v>
      </c>
      <c r="AA3979">
        <v>0.95495490000000005</v>
      </c>
      <c r="AB3979">
        <v>36</v>
      </c>
      <c r="AC3979">
        <v>-59.841899999999903</v>
      </c>
      <c r="AD3979">
        <v>-0.9874754</v>
      </c>
      <c r="AE3979">
        <v>19.9729999999999</v>
      </c>
      <c r="AF3979">
        <v>18.880944132007698</v>
      </c>
      <c r="AG3979">
        <v>-0.9874754</v>
      </c>
      <c r="AH3979">
        <v>60.1791838964539</v>
      </c>
      <c r="AI3979">
        <v>90.896973731019202</v>
      </c>
      <c r="AJ3979">
        <v>72.580988940967998</v>
      </c>
      <c r="AK3979">
        <v>63.079309868013198</v>
      </c>
    </row>
    <row r="3980" spans="1:37" x14ac:dyDescent="0.2">
      <c r="A3980" t="str">
        <f>"20200111155930149"</f>
        <v>20200111155930149</v>
      </c>
      <c r="B3980" t="str">
        <f>"1578729570145959"</f>
        <v>1578729570145959</v>
      </c>
      <c r="C3980" t="s">
        <v>37</v>
      </c>
      <c r="D3980">
        <v>5.8194379999999999</v>
      </c>
      <c r="E3980">
        <v>0.5918949</v>
      </c>
      <c r="F3980" t="s">
        <v>65</v>
      </c>
      <c r="G3980">
        <v>-336.5129</v>
      </c>
      <c r="H3980">
        <v>0.18945209999999901</v>
      </c>
      <c r="I3980">
        <v>160.024</v>
      </c>
      <c r="J3980">
        <v>-277.42700000000002</v>
      </c>
      <c r="K3980">
        <v>1.104101</v>
      </c>
      <c r="L3980">
        <v>140.05670000000001</v>
      </c>
      <c r="M3980">
        <v>-0.99972519999999998</v>
      </c>
      <c r="N3980">
        <v>0</v>
      </c>
      <c r="O3980">
        <v>1.8207850000000001E-2</v>
      </c>
      <c r="P3980">
        <v>-0.99466469999999996</v>
      </c>
      <c r="Q3980">
        <v>4.9665510000000003E-2</v>
      </c>
      <c r="R3980">
        <v>9.0419700000000006E-2</v>
      </c>
      <c r="S3980">
        <v>-2.931702</v>
      </c>
      <c r="T3980">
        <v>-4.5146699999999998E-2</v>
      </c>
      <c r="U3980">
        <v>0.98591609999999996</v>
      </c>
      <c r="V3980">
        <v>7.2338100000000002E-2</v>
      </c>
      <c r="W3980">
        <v>6.4319829999999995E-2</v>
      </c>
      <c r="X3980">
        <v>0.99530399999999997</v>
      </c>
      <c r="Y3980">
        <v>0.30141000000000001</v>
      </c>
      <c r="Z3980">
        <v>1.9858239999999902E-3</v>
      </c>
      <c r="AA3980">
        <v>0.95349259999999902</v>
      </c>
      <c r="AB3980">
        <v>36</v>
      </c>
      <c r="AC3980">
        <v>-59.085899999999903</v>
      </c>
      <c r="AD3980">
        <v>-0.91464889999999999</v>
      </c>
      <c r="AE3980">
        <v>19.967299999999899</v>
      </c>
      <c r="AF3980">
        <v>18.883983322128501</v>
      </c>
      <c r="AG3980">
        <v>-0.91464889999999999</v>
      </c>
      <c r="AH3980">
        <v>59.426923160995003</v>
      </c>
      <c r="AI3980">
        <v>90.840375950049804</v>
      </c>
      <c r="AJ3980">
        <v>72.371400958128902</v>
      </c>
      <c r="AK3980">
        <v>62.3618521622274</v>
      </c>
    </row>
    <row r="3981" spans="1:37" x14ac:dyDescent="0.2">
      <c r="A3981" t="str">
        <f>"20200111155930173"</f>
        <v>20200111155930173</v>
      </c>
      <c r="B3981" t="str">
        <f>"1578729570166455"</f>
        <v>1578729570166455</v>
      </c>
      <c r="C3981" t="s">
        <v>37</v>
      </c>
      <c r="D3981">
        <v>5.8449609999999996</v>
      </c>
      <c r="E3981">
        <v>0.59164159999999999</v>
      </c>
      <c r="F3981" t="s">
        <v>41</v>
      </c>
      <c r="G3981">
        <v>-330.09120000000001</v>
      </c>
      <c r="H3981">
        <v>-0.05</v>
      </c>
      <c r="I3981">
        <v>157.92830000000001</v>
      </c>
      <c r="J3981">
        <v>-277.8098</v>
      </c>
      <c r="K3981">
        <v>1.104147</v>
      </c>
      <c r="L3981">
        <v>140.06379999999999</v>
      </c>
      <c r="M3981">
        <v>-0.99972399999999995</v>
      </c>
      <c r="N3981">
        <v>0</v>
      </c>
      <c r="O3981">
        <v>1.8274039999999998E-2</v>
      </c>
      <c r="P3981">
        <v>-0.994789699999999</v>
      </c>
      <c r="Q3981">
        <v>4.4073830000000001E-2</v>
      </c>
      <c r="R3981">
        <v>9.1931070000000004E-2</v>
      </c>
      <c r="S3981">
        <v>-2.92895499999999</v>
      </c>
      <c r="T3981">
        <v>-6.4186099999999996E-2</v>
      </c>
      <c r="U3981">
        <v>0.99394229999999995</v>
      </c>
      <c r="V3981">
        <v>7.3767159999999998E-2</v>
      </c>
      <c r="W3981">
        <v>5.8737610000000003E-2</v>
      </c>
      <c r="X3981">
        <v>0.99554419999999899</v>
      </c>
      <c r="Y3981">
        <v>0.30392959999999902</v>
      </c>
      <c r="Z3981">
        <v>2.8498829999999901E-3</v>
      </c>
      <c r="AA3981">
        <v>0.95269020000000004</v>
      </c>
      <c r="AB3981">
        <v>36</v>
      </c>
      <c r="AC3981">
        <v>-52.281399999999998</v>
      </c>
      <c r="AD3981">
        <v>-1.154147</v>
      </c>
      <c r="AE3981">
        <v>17.8645</v>
      </c>
      <c r="AF3981">
        <v>16.898645422058301</v>
      </c>
      <c r="AG3981">
        <v>-1.154147</v>
      </c>
      <c r="AH3981">
        <v>52.576216689322401</v>
      </c>
      <c r="AI3981">
        <v>91.197245577148095</v>
      </c>
      <c r="AJ3981">
        <v>72.181953415441299</v>
      </c>
      <c r="AK3981">
        <v>55.237259470041103</v>
      </c>
    </row>
    <row r="3982" spans="1:37" x14ac:dyDescent="0.2">
      <c r="A3982" t="str">
        <f>"20200111155930194"</f>
        <v>20200111155930194</v>
      </c>
      <c r="B3982" t="str">
        <f>"1578729570186482"</f>
        <v>1578729570186482</v>
      </c>
      <c r="C3982" t="s">
        <v>37</v>
      </c>
      <c r="D3982">
        <v>5.7973369999999997</v>
      </c>
      <c r="E3982">
        <v>0.59135689999999996</v>
      </c>
      <c r="F3982" t="s">
        <v>71</v>
      </c>
      <c r="G3982">
        <v>-310.73419999999999</v>
      </c>
      <c r="H3982">
        <v>7.9984680000000002E-2</v>
      </c>
      <c r="I3982">
        <v>151.2681</v>
      </c>
      <c r="J3982">
        <v>-278.15030000000002</v>
      </c>
      <c r="K3982">
        <v>1.1041650000000001</v>
      </c>
      <c r="L3982">
        <v>140.0701</v>
      </c>
      <c r="M3982">
        <v>-0.99972359999999905</v>
      </c>
      <c r="N3982">
        <v>0</v>
      </c>
      <c r="O3982">
        <v>1.830499E-2</v>
      </c>
      <c r="P3982">
        <v>-0.99514959999999997</v>
      </c>
      <c r="Q3982">
        <v>3.7351830000000003E-2</v>
      </c>
      <c r="R3982">
        <v>9.1008510000000001E-2</v>
      </c>
      <c r="S3982">
        <v>-2.9276430000000002</v>
      </c>
      <c r="T3982">
        <v>-9.1068510000000005E-2</v>
      </c>
      <c r="U3982">
        <v>0.99629210000000001</v>
      </c>
      <c r="V3982">
        <v>7.2797829999999994E-2</v>
      </c>
      <c r="W3982">
        <v>5.2025490000000001E-2</v>
      </c>
      <c r="X3982">
        <v>0.99598880000000001</v>
      </c>
      <c r="Y3982">
        <v>0.3046529</v>
      </c>
      <c r="Z3982">
        <v>4.0542299999999998E-3</v>
      </c>
      <c r="AA3982">
        <v>0.95245480000000005</v>
      </c>
      <c r="AB3982">
        <v>36</v>
      </c>
      <c r="AC3982">
        <v>-32.5838999999999</v>
      </c>
      <c r="AD3982">
        <v>-1.0241803199999999</v>
      </c>
      <c r="AE3982">
        <v>11.198</v>
      </c>
      <c r="AF3982">
        <v>10.590252765418899</v>
      </c>
      <c r="AG3982">
        <v>-1.0241803199999999</v>
      </c>
      <c r="AH3982">
        <v>32.754498564933897</v>
      </c>
      <c r="AI3982">
        <v>91.704157939731601</v>
      </c>
      <c r="AJ3982">
        <v>72.082834275440703</v>
      </c>
      <c r="AK3982">
        <v>34.439215658948903</v>
      </c>
    </row>
    <row r="3983" spans="1:37" x14ac:dyDescent="0.2">
      <c r="A3983" t="str">
        <f>"20200111155930216"</f>
        <v>20200111155930216</v>
      </c>
      <c r="B3983" t="str">
        <f>"1578729570206004"</f>
        <v>1578729570206004</v>
      </c>
      <c r="C3983" t="s">
        <v>37</v>
      </c>
      <c r="D3983">
        <v>5.8425599999999998</v>
      </c>
      <c r="E3983">
        <v>0.59102369999999904</v>
      </c>
      <c r="F3983" t="s">
        <v>71</v>
      </c>
      <c r="G3983">
        <v>-305.15179999999998</v>
      </c>
      <c r="H3983" s="1">
        <v>-1.1501900000000001E-5</v>
      </c>
      <c r="I3983">
        <v>149.2107</v>
      </c>
      <c r="J3983">
        <v>-278.49900000000002</v>
      </c>
      <c r="K3983">
        <v>1.1041809999999901</v>
      </c>
      <c r="L3983">
        <v>140.07650000000001</v>
      </c>
      <c r="M3983">
        <v>-0.99972349999999999</v>
      </c>
      <c r="N3983">
        <v>0</v>
      </c>
      <c r="O3983">
        <v>1.8321629999999998E-2</v>
      </c>
      <c r="P3983">
        <v>-0.99545819999999996</v>
      </c>
      <c r="Q3983">
        <v>3.208515E-2</v>
      </c>
      <c r="R3983">
        <v>8.9632809999999993E-2</v>
      </c>
      <c r="S3983">
        <v>-2.9284970000000001</v>
      </c>
      <c r="T3983">
        <v>-0.119755399999999</v>
      </c>
      <c r="U3983">
        <v>0.99136349999999995</v>
      </c>
      <c r="V3983">
        <v>7.1393780000000004E-2</v>
      </c>
      <c r="W3983">
        <v>4.6765729999999998E-2</v>
      </c>
      <c r="X3983">
        <v>0.99635130000000005</v>
      </c>
      <c r="Y3983">
        <v>0.3030253</v>
      </c>
      <c r="Z3983">
        <v>5.2973630000000002E-3</v>
      </c>
      <c r="AA3983">
        <v>0.95296780000000003</v>
      </c>
      <c r="AB3983">
        <v>36</v>
      </c>
      <c r="AC3983">
        <v>-26.6527999999999</v>
      </c>
      <c r="AD3983">
        <v>-1.1041925018999901</v>
      </c>
      <c r="AE3983">
        <v>9.1341999999999892</v>
      </c>
      <c r="AF3983">
        <v>8.6310338634625108</v>
      </c>
      <c r="AG3983">
        <v>-1.1041925018999901</v>
      </c>
      <c r="AH3983">
        <v>26.7745725706747</v>
      </c>
      <c r="AI3983">
        <v>92.247781374422004</v>
      </c>
      <c r="AJ3983">
        <v>72.132788291535505</v>
      </c>
      <c r="AK3983">
        <v>28.1530055762403</v>
      </c>
    </row>
    <row r="3984" spans="1:37" x14ac:dyDescent="0.2">
      <c r="A3984" t="str">
        <f>"20200111155930239"</f>
        <v>20200111155930239</v>
      </c>
      <c r="B3984" t="str">
        <f>"1578729570226499"</f>
        <v>1578729570226499</v>
      </c>
      <c r="C3984" t="s">
        <v>37</v>
      </c>
      <c r="D3984">
        <v>5.8187449999999998</v>
      </c>
      <c r="E3984">
        <v>0.59074309999999997</v>
      </c>
      <c r="F3984" t="s">
        <v>71</v>
      </c>
      <c r="G3984">
        <v>-301.02330000000001</v>
      </c>
      <c r="H3984" s="1">
        <v>-1.03572699999999E-5</v>
      </c>
      <c r="I3984">
        <v>147.6472</v>
      </c>
      <c r="J3984">
        <v>-278.85649999999998</v>
      </c>
      <c r="K3984">
        <v>1.104201</v>
      </c>
      <c r="L3984">
        <v>140.0831</v>
      </c>
      <c r="M3984">
        <v>-0.99972320000000003</v>
      </c>
      <c r="N3984">
        <v>0</v>
      </c>
      <c r="O3984">
        <v>1.8332879999999999E-2</v>
      </c>
      <c r="P3984">
        <v>-0.99578820000000001</v>
      </c>
      <c r="Q3984">
        <v>3.094423E-2</v>
      </c>
      <c r="R3984">
        <v>8.6305300000000001E-2</v>
      </c>
      <c r="S3984">
        <v>-2.9296570000000002</v>
      </c>
      <c r="T3984">
        <v>-0.1436183</v>
      </c>
      <c r="U3984">
        <v>0.9846954</v>
      </c>
      <c r="V3984">
        <v>6.8046270000000006E-2</v>
      </c>
      <c r="W3984">
        <v>4.5629690000000001E-2</v>
      </c>
      <c r="X3984">
        <v>0.99663819999999903</v>
      </c>
      <c r="Y3984">
        <v>0.30086059999999998</v>
      </c>
      <c r="Z3984">
        <v>6.2995789999999996E-3</v>
      </c>
      <c r="AA3984">
        <v>0.95364729999999998</v>
      </c>
      <c r="AB3984">
        <v>36</v>
      </c>
      <c r="AC3984">
        <v>-22.166799999999999</v>
      </c>
      <c r="AD3984">
        <v>-1.1042113572700001</v>
      </c>
      <c r="AE3984">
        <v>7.5640999999999901</v>
      </c>
      <c r="AF3984">
        <v>7.1405324334329796</v>
      </c>
      <c r="AG3984">
        <v>-1.1042113572700001</v>
      </c>
      <c r="AH3984">
        <v>22.252302534816501</v>
      </c>
      <c r="AI3984">
        <v>92.705173566173499</v>
      </c>
      <c r="AJ3984">
        <v>72.209104600684299</v>
      </c>
      <c r="AK3984">
        <v>23.395970897901101</v>
      </c>
    </row>
    <row r="3985" spans="1:37" x14ac:dyDescent="0.2">
      <c r="A3985" t="str">
        <f>"20200111155930262"</f>
        <v>20200111155930262</v>
      </c>
      <c r="B3985" t="str">
        <f>"1578729570255780"</f>
        <v>1578729570255780</v>
      </c>
      <c r="C3985" t="s">
        <v>37</v>
      </c>
      <c r="D3985">
        <v>5.7734120000000004</v>
      </c>
      <c r="E3985">
        <v>0.59044560000000001</v>
      </c>
      <c r="F3985" t="s">
        <v>71</v>
      </c>
      <c r="G3985">
        <v>-300.1617</v>
      </c>
      <c r="H3985" s="1">
        <v>-1.007273E-5</v>
      </c>
      <c r="I3985">
        <v>147.14789999999999</v>
      </c>
      <c r="J3985">
        <v>-279.22669999999999</v>
      </c>
      <c r="K3985">
        <v>1.104231</v>
      </c>
      <c r="L3985">
        <v>140.09</v>
      </c>
      <c r="M3985">
        <v>-0.99972299999999903</v>
      </c>
      <c r="N3985">
        <v>0</v>
      </c>
      <c r="O3985">
        <v>1.834506E-2</v>
      </c>
      <c r="P3985">
        <v>-0.99605339999999998</v>
      </c>
      <c r="Q3985">
        <v>3.25492E-2</v>
      </c>
      <c r="R3985">
        <v>8.257304E-2</v>
      </c>
      <c r="S3985">
        <v>-2.9330750000000001</v>
      </c>
      <c r="T3985">
        <v>-0.15201629999999899</v>
      </c>
      <c r="U3985">
        <v>0.97259519999999899</v>
      </c>
      <c r="V3985">
        <v>6.4295640000000001E-2</v>
      </c>
      <c r="W3985">
        <v>4.7237290000000001E-2</v>
      </c>
      <c r="X3985">
        <v>0.99681229999999998</v>
      </c>
      <c r="Y3985">
        <v>0.29693909999999901</v>
      </c>
      <c r="Z3985">
        <v>6.5648340000000003E-3</v>
      </c>
      <c r="AA3985">
        <v>0.95487389999999905</v>
      </c>
      <c r="AB3985">
        <v>36</v>
      </c>
      <c r="AC3985">
        <v>-20.934999999999999</v>
      </c>
      <c r="AD3985">
        <v>-1.1042410727299901</v>
      </c>
      <c r="AE3985">
        <v>7.0578999999999796</v>
      </c>
      <c r="AF3985">
        <v>6.6559883453147703</v>
      </c>
      <c r="AG3985">
        <v>-1.1042410727299901</v>
      </c>
      <c r="AH3985">
        <v>21.008484193172901</v>
      </c>
      <c r="AI3985">
        <v>92.868520280001903</v>
      </c>
      <c r="AJ3985">
        <v>72.420557677142298</v>
      </c>
      <c r="AK3985">
        <v>22.065310722817099</v>
      </c>
    </row>
    <row r="3986" spans="1:37" x14ac:dyDescent="0.2">
      <c r="A3986" t="str">
        <f>"20200111155930285"</f>
        <v>20200111155930285</v>
      </c>
      <c r="B3986" t="str">
        <f>"1578729570275809"</f>
        <v>1578729570275809</v>
      </c>
      <c r="C3986" t="s">
        <v>37</v>
      </c>
      <c r="D3986">
        <v>5.7492289999999997</v>
      </c>
      <c r="E3986">
        <v>0.59033789999999997</v>
      </c>
      <c r="F3986" t="s">
        <v>71</v>
      </c>
      <c r="G3986">
        <v>-300.00020000000001</v>
      </c>
      <c r="H3986" s="1">
        <v>-9.9710509999999994E-6</v>
      </c>
      <c r="I3986">
        <v>146.87090000000001</v>
      </c>
      <c r="J3986">
        <v>-279.59269999999998</v>
      </c>
      <c r="K3986">
        <v>1.1042620000000001</v>
      </c>
      <c r="L3986">
        <v>140.0967</v>
      </c>
      <c r="M3986">
        <v>-0.99972269999999896</v>
      </c>
      <c r="N3986">
        <v>0</v>
      </c>
      <c r="O3986">
        <v>1.836055E-2</v>
      </c>
      <c r="P3986">
        <v>-0.99623269999999997</v>
      </c>
      <c r="Q3986">
        <v>3.562444E-2</v>
      </c>
      <c r="R3986">
        <v>7.9066070000000002E-2</v>
      </c>
      <c r="S3986">
        <v>-2.9375309999999999</v>
      </c>
      <c r="T3986">
        <v>-0.15614829999999999</v>
      </c>
      <c r="U3986">
        <v>0.9588776</v>
      </c>
      <c r="V3986">
        <v>6.076923E-2</v>
      </c>
      <c r="W3986">
        <v>5.0312549999999998E-2</v>
      </c>
      <c r="X3986">
        <v>0.99688299999999996</v>
      </c>
      <c r="Y3986">
        <v>0.29245169999999998</v>
      </c>
      <c r="Z3986">
        <v>6.6211409999999997E-3</v>
      </c>
      <c r="AA3986">
        <v>0.95625729999999998</v>
      </c>
      <c r="AB3986">
        <v>36</v>
      </c>
      <c r="AC3986">
        <v>-20.407499999999999</v>
      </c>
      <c r="AD3986">
        <v>-1.1042719710510001</v>
      </c>
      <c r="AE3986">
        <v>6.7742000000000004</v>
      </c>
      <c r="AF3986">
        <v>6.38149362696333</v>
      </c>
      <c r="AG3986">
        <v>-1.1042719710510001</v>
      </c>
      <c r="AH3986">
        <v>20.474451451804399</v>
      </c>
      <c r="AI3986">
        <v>92.947616830359607</v>
      </c>
      <c r="AJ3986">
        <v>72.688745612000403</v>
      </c>
      <c r="AK3986">
        <v>21.474311158901401</v>
      </c>
    </row>
    <row r="3987" spans="1:37" x14ac:dyDescent="0.2">
      <c r="A3987" t="str">
        <f>"20200111155930328"</f>
        <v>20200111155930328</v>
      </c>
      <c r="B3987" t="str">
        <f>"1578729570326562"</f>
        <v>1578729570326562</v>
      </c>
      <c r="C3987" t="s">
        <v>37</v>
      </c>
      <c r="D3987">
        <v>5.6747529999999999</v>
      </c>
      <c r="E3987">
        <v>0.52930369999999904</v>
      </c>
      <c r="F3987" t="s">
        <v>71</v>
      </c>
      <c r="G3987">
        <v>-300.87119999999999</v>
      </c>
      <c r="H3987" s="1">
        <v>-1.014621E-5</v>
      </c>
      <c r="I3987">
        <v>146.94919999999999</v>
      </c>
      <c r="J3987">
        <v>-280.28590000000003</v>
      </c>
      <c r="K3987">
        <v>1.1042959999999999</v>
      </c>
      <c r="L3987">
        <v>140.1096</v>
      </c>
      <c r="M3987">
        <v>-0.99972220000000001</v>
      </c>
      <c r="N3987">
        <v>0</v>
      </c>
      <c r="O3987">
        <v>1.8398979999999999E-2</v>
      </c>
      <c r="P3987">
        <v>-0.99631579999999997</v>
      </c>
      <c r="Q3987">
        <v>3.8452399999999998E-2</v>
      </c>
      <c r="R3987">
        <v>7.6659149999999995E-2</v>
      </c>
      <c r="S3987">
        <v>-2.9416500000000001</v>
      </c>
      <c r="T3987">
        <v>-0.1526604</v>
      </c>
      <c r="U3987">
        <v>0.94732669999999997</v>
      </c>
      <c r="V3987">
        <v>5.8320829999999997E-2</v>
      </c>
      <c r="W3987">
        <v>5.3136410000000002E-2</v>
      </c>
      <c r="X3987">
        <v>0.99688269999999901</v>
      </c>
      <c r="Y3987">
        <v>0.2886399</v>
      </c>
      <c r="Z3987">
        <v>6.3702689999999996E-3</v>
      </c>
      <c r="AA3987">
        <v>0.9574165</v>
      </c>
      <c r="AB3987">
        <v>36</v>
      </c>
      <c r="AC3987">
        <v>-20.585299999999901</v>
      </c>
      <c r="AD3987">
        <v>-1.1043061462099999</v>
      </c>
      <c r="AE3987">
        <v>6.8395999999999901</v>
      </c>
      <c r="AF3987">
        <v>6.4429540440377604</v>
      </c>
      <c r="AG3987">
        <v>-1.1043061462099999</v>
      </c>
      <c r="AH3987">
        <v>20.6541403204575</v>
      </c>
      <c r="AI3987">
        <v>92.9218888542364</v>
      </c>
      <c r="AJ3987">
        <v>72.674954435438707</v>
      </c>
      <c r="AK3987">
        <v>21.663902262872401</v>
      </c>
    </row>
    <row r="3988" spans="1:37" x14ac:dyDescent="0.2">
      <c r="A3988" t="str">
        <f>"20200111155930351"</f>
        <v>20200111155930351</v>
      </c>
      <c r="B3988" t="str">
        <f>"1578729570346082"</f>
        <v>1578729570346082</v>
      </c>
      <c r="C3988" t="s">
        <v>37</v>
      </c>
      <c r="D3988">
        <v>5.5837560000000002</v>
      </c>
      <c r="E3988">
        <v>0.53049679999999999</v>
      </c>
      <c r="F3988" t="s">
        <v>71</v>
      </c>
      <c r="G3988">
        <v>-315.05860000000001</v>
      </c>
      <c r="H3988" s="1">
        <v>-9.0940919999999997E-6</v>
      </c>
      <c r="I3988">
        <v>145.42939999999999</v>
      </c>
      <c r="J3988">
        <v>-280.65140000000002</v>
      </c>
      <c r="K3988">
        <v>1.1043099999999999</v>
      </c>
      <c r="L3988">
        <v>140.1164</v>
      </c>
      <c r="M3988">
        <v>-0.99972190000000005</v>
      </c>
      <c r="N3988">
        <v>0</v>
      </c>
      <c r="O3988">
        <v>1.8420949999999998E-2</v>
      </c>
      <c r="P3988">
        <v>-0.99629069999999997</v>
      </c>
      <c r="Q3988">
        <v>3.902307E-2</v>
      </c>
      <c r="R3988">
        <v>7.6694100000000001E-2</v>
      </c>
      <c r="S3988">
        <v>-2.9797060000000002</v>
      </c>
      <c r="T3988">
        <v>-9.4629169999999999E-2</v>
      </c>
      <c r="U3988">
        <v>0.45585629999999999</v>
      </c>
      <c r="V3988">
        <v>5.8333410000000002E-2</v>
      </c>
      <c r="W3988">
        <v>5.3703510000000003E-2</v>
      </c>
      <c r="X3988">
        <v>0.99685159999999995</v>
      </c>
      <c r="Y3988">
        <v>0.13293440000000001</v>
      </c>
      <c r="Z3988">
        <v>1.5168129999999899E-3</v>
      </c>
      <c r="AA3988">
        <v>0.99112369999999905</v>
      </c>
      <c r="AB3988">
        <v>36</v>
      </c>
      <c r="AC3988">
        <v>-34.407199999999897</v>
      </c>
      <c r="AD3988">
        <v>-1.104319094092</v>
      </c>
      <c r="AE3988">
        <v>5.3129999999999802</v>
      </c>
      <c r="AF3988">
        <v>4.67351407903094</v>
      </c>
      <c r="AG3988">
        <v>-1.104319094092</v>
      </c>
      <c r="AH3988">
        <v>34.4645655964027</v>
      </c>
      <c r="AI3988">
        <v>91.818619412115197</v>
      </c>
      <c r="AJ3988">
        <v>82.277598532867401</v>
      </c>
      <c r="AK3988">
        <v>34.797521984434802</v>
      </c>
    </row>
    <row r="3989" spans="1:37" x14ac:dyDescent="0.2">
      <c r="A3989" t="str">
        <f>"20200111155930374"</f>
        <v>20200111155930374</v>
      </c>
      <c r="B3989" t="str">
        <f>"1578729570366578"</f>
        <v>1578729570366578</v>
      </c>
      <c r="C3989" t="s">
        <v>37</v>
      </c>
      <c r="D3989">
        <v>5.6028549999999999</v>
      </c>
      <c r="E3989">
        <v>0.53136099999999997</v>
      </c>
      <c r="F3989" t="s">
        <v>71</v>
      </c>
      <c r="G3989">
        <v>-313.63709999999998</v>
      </c>
      <c r="H3989" s="1">
        <v>-9.5920889999999906E-6</v>
      </c>
      <c r="I3989">
        <v>145.26320000000001</v>
      </c>
      <c r="J3989">
        <v>-281.02319999999997</v>
      </c>
      <c r="K3989">
        <v>1.1043209999999899</v>
      </c>
      <c r="L3989">
        <v>140.1233</v>
      </c>
      <c r="M3989">
        <v>-0.99972150000000004</v>
      </c>
      <c r="N3989">
        <v>0</v>
      </c>
      <c r="O3989">
        <v>1.8443250000000001E-2</v>
      </c>
      <c r="P3989">
        <v>-0.99623569999999995</v>
      </c>
      <c r="Q3989">
        <v>3.970489E-2</v>
      </c>
      <c r="R3989">
        <v>7.7056550000000001E-2</v>
      </c>
      <c r="S3989">
        <v>-2.9792480000000001</v>
      </c>
      <c r="T3989">
        <v>-9.9741339999999998E-2</v>
      </c>
      <c r="U3989">
        <v>0.46485900000000002</v>
      </c>
      <c r="V3989">
        <v>5.867402E-2</v>
      </c>
      <c r="W3989">
        <v>5.4381060000000002E-2</v>
      </c>
      <c r="X3989">
        <v>0.99679490000000004</v>
      </c>
      <c r="Y3989">
        <v>0.135851799999999</v>
      </c>
      <c r="Z3989">
        <v>1.6463789999999999E-3</v>
      </c>
      <c r="AA3989">
        <v>0.99072780000000005</v>
      </c>
      <c r="AB3989">
        <v>36</v>
      </c>
      <c r="AC3989">
        <v>-32.613900000000001</v>
      </c>
      <c r="AD3989">
        <v>-1.1043305920890001</v>
      </c>
      <c r="AE3989">
        <v>5.1399000000000097</v>
      </c>
      <c r="AF3989">
        <v>4.5323833832663896</v>
      </c>
      <c r="AG3989">
        <v>-1.1043305920890001</v>
      </c>
      <c r="AH3989">
        <v>32.666612022417603</v>
      </c>
      <c r="AI3989">
        <v>91.917851180642899</v>
      </c>
      <c r="AJ3989">
        <v>82.1008322212477</v>
      </c>
      <c r="AK3989">
        <v>32.998023974363797</v>
      </c>
    </row>
    <row r="3990" spans="1:37" x14ac:dyDescent="0.2">
      <c r="A3990" t="str">
        <f>"20200111155930396"</f>
        <v>20200111155930396</v>
      </c>
      <c r="B3990" t="str">
        <f>"1578729570386607"</f>
        <v>1578729570386607</v>
      </c>
      <c r="C3990" t="s">
        <v>37</v>
      </c>
      <c r="D3990">
        <v>6.3420480000000001</v>
      </c>
      <c r="E3990">
        <v>0.53174250000000001</v>
      </c>
      <c r="F3990" t="s">
        <v>71</v>
      </c>
      <c r="G3990">
        <v>-314.07159999999999</v>
      </c>
      <c r="H3990" s="1">
        <v>-9.4552699999999902E-6</v>
      </c>
      <c r="I3990">
        <v>145.36449999999999</v>
      </c>
      <c r="J3990">
        <v>-281.36419999999998</v>
      </c>
      <c r="K3990">
        <v>1.1043259999999999</v>
      </c>
      <c r="L3990">
        <v>140.12960000000001</v>
      </c>
      <c r="M3990">
        <v>-0.99972119999999998</v>
      </c>
      <c r="N3990">
        <v>0</v>
      </c>
      <c r="O3990">
        <v>1.8463429999999999E-2</v>
      </c>
      <c r="P3990">
        <v>-0.99621990000000005</v>
      </c>
      <c r="Q3990">
        <v>3.9555720000000003E-2</v>
      </c>
      <c r="R3990">
        <v>7.7339119999999997E-2</v>
      </c>
      <c r="S3990">
        <v>-2.9786990000000002</v>
      </c>
      <c r="T3990">
        <v>-9.9535109999999996E-2</v>
      </c>
      <c r="U3990">
        <v>0.47239690000000001</v>
      </c>
      <c r="V3990">
        <v>5.8936410000000002E-2</v>
      </c>
      <c r="W3990">
        <v>5.4228220000000001E-2</v>
      </c>
      <c r="X3990">
        <v>0.99678770000000005</v>
      </c>
      <c r="Y3990">
        <v>0.1383047</v>
      </c>
      <c r="Z3990">
        <v>1.683007E-3</v>
      </c>
      <c r="AA3990">
        <v>0.9903883</v>
      </c>
      <c r="AB3990">
        <v>36</v>
      </c>
      <c r="AC3990">
        <v>-32.7074</v>
      </c>
      <c r="AD3990">
        <v>-1.10433545527</v>
      </c>
      <c r="AE3990">
        <v>5.2348999999999801</v>
      </c>
      <c r="AF3990">
        <v>4.6249104665854199</v>
      </c>
      <c r="AG3990">
        <v>-1.10433545527</v>
      </c>
      <c r="AH3990">
        <v>32.762071715446602</v>
      </c>
      <c r="AI3990">
        <v>91.911641015038498</v>
      </c>
      <c r="AJ3990">
        <v>81.9648434499194</v>
      </c>
      <c r="AK3990">
        <v>33.105327316155098</v>
      </c>
    </row>
    <row r="3991" spans="1:37" x14ac:dyDescent="0.2">
      <c r="A3991" t="str">
        <f>"20200111155930418"</f>
        <v>20200111155930418</v>
      </c>
      <c r="B3991" t="str">
        <f>"1578729570406127"</f>
        <v>1578729570406127</v>
      </c>
      <c r="C3991" t="s">
        <v>37</v>
      </c>
      <c r="D3991">
        <v>5.771363</v>
      </c>
      <c r="E3991">
        <v>0.53145299999999995</v>
      </c>
      <c r="F3991" t="s">
        <v>71</v>
      </c>
      <c r="G3991">
        <v>-309.17579999999998</v>
      </c>
      <c r="H3991" s="1">
        <v>-1.08471E-5</v>
      </c>
      <c r="I3991">
        <v>144.5676</v>
      </c>
      <c r="J3991">
        <v>-281.7192</v>
      </c>
      <c r="K3991">
        <v>1.1043289999999999</v>
      </c>
      <c r="L3991">
        <v>140.1362</v>
      </c>
      <c r="M3991">
        <v>-0.99972090000000002</v>
      </c>
      <c r="N3991">
        <v>0</v>
      </c>
      <c r="O3991">
        <v>1.8484460000000001E-2</v>
      </c>
      <c r="P3991">
        <v>-0.99619259999999998</v>
      </c>
      <c r="Q3991">
        <v>3.89515E-2</v>
      </c>
      <c r="R3991">
        <v>7.7995670000000003E-2</v>
      </c>
      <c r="S3991">
        <v>-2.9792179999999999</v>
      </c>
      <c r="T3991">
        <v>-0.11829819999999901</v>
      </c>
      <c r="U3991">
        <v>0.47540280000000001</v>
      </c>
      <c r="V3991">
        <v>5.9571890000000002E-2</v>
      </c>
      <c r="W3991">
        <v>5.3620660000000001E-2</v>
      </c>
      <c r="X3991">
        <v>0.99678279999999997</v>
      </c>
      <c r="Y3991">
        <v>0.1392043</v>
      </c>
      <c r="Z3991">
        <v>2.0164520000000002E-3</v>
      </c>
      <c r="AA3991">
        <v>0.99026159999999996</v>
      </c>
      <c r="AB3991">
        <v>35</v>
      </c>
      <c r="AC3991">
        <v>-27.456599999999899</v>
      </c>
      <c r="AD3991">
        <v>-1.1043398471000001</v>
      </c>
      <c r="AE3991">
        <v>4.4313999999999902</v>
      </c>
      <c r="AF3991">
        <v>3.9168916724120701</v>
      </c>
      <c r="AG3991">
        <v>-1.1043398471000001</v>
      </c>
      <c r="AH3991">
        <v>27.490485129422801</v>
      </c>
      <c r="AI3991">
        <v>92.277455997357194</v>
      </c>
      <c r="AJ3991">
        <v>81.890978557276796</v>
      </c>
      <c r="AK3991">
        <v>27.790076997416101</v>
      </c>
    </row>
    <row r="3992" spans="1:37" x14ac:dyDescent="0.2">
      <c r="A3992" t="str">
        <f>"20200111155930441"</f>
        <v>20200111155930441</v>
      </c>
      <c r="B3992" t="str">
        <f>"1578729570436383"</f>
        <v>1578729570436383</v>
      </c>
      <c r="C3992" t="s">
        <v>37</v>
      </c>
      <c r="D3992">
        <v>5.6025510000000001</v>
      </c>
      <c r="E3992">
        <v>0.53164140000000004</v>
      </c>
      <c r="F3992" t="s">
        <v>71</v>
      </c>
      <c r="G3992">
        <v>-310.58780000000002</v>
      </c>
      <c r="H3992" s="1">
        <v>-1.0731359999999999E-5</v>
      </c>
      <c r="I3992">
        <v>144.74010000000001</v>
      </c>
      <c r="J3992">
        <v>-282.06790000000001</v>
      </c>
      <c r="K3992">
        <v>1.104328</v>
      </c>
      <c r="L3992">
        <v>140.14269999999999</v>
      </c>
      <c r="M3992">
        <v>-0.99972059999999996</v>
      </c>
      <c r="N3992">
        <v>0</v>
      </c>
      <c r="O3992">
        <v>1.8505199999999999E-2</v>
      </c>
      <c r="P3992">
        <v>-0.99614119999999995</v>
      </c>
      <c r="Q3992">
        <v>3.9026539999999998E-2</v>
      </c>
      <c r="R3992">
        <v>7.8612630000000003E-2</v>
      </c>
      <c r="S3992">
        <v>-2.9786990000000002</v>
      </c>
      <c r="T3992">
        <v>-0.11394749999999999</v>
      </c>
      <c r="U3992">
        <v>0.47503659999999998</v>
      </c>
      <c r="V3992">
        <v>6.0168890000000003E-2</v>
      </c>
      <c r="W3992">
        <v>5.3691129999999997E-2</v>
      </c>
      <c r="X3992">
        <v>0.99674319999999905</v>
      </c>
      <c r="Y3992">
        <v>0.13909859999999999</v>
      </c>
      <c r="Z3992">
        <v>1.939903E-3</v>
      </c>
      <c r="AA3992">
        <v>0.99027659999999995</v>
      </c>
      <c r="AB3992">
        <v>35</v>
      </c>
      <c r="AC3992">
        <v>-28.5199</v>
      </c>
      <c r="AD3992">
        <v>-1.1043387313599999</v>
      </c>
      <c r="AE3992">
        <v>4.5974000000000199</v>
      </c>
      <c r="AF3992">
        <v>4.0628516258176903</v>
      </c>
      <c r="AG3992">
        <v>-1.1043387313599999</v>
      </c>
      <c r="AH3992">
        <v>28.558365285190298</v>
      </c>
      <c r="AI3992">
        <v>92.192444092371403</v>
      </c>
      <c r="AJ3992">
        <v>81.903157421258697</v>
      </c>
      <c r="AK3992">
        <v>28.867049643656902</v>
      </c>
    </row>
    <row r="3993" spans="1:37" x14ac:dyDescent="0.2">
      <c r="A3993" t="str">
        <f>"20200111155930463"</f>
        <v>20200111155930463</v>
      </c>
      <c r="B3993" t="str">
        <f>"1578729570455903"</f>
        <v>1578729570455903</v>
      </c>
      <c r="C3993" t="s">
        <v>37</v>
      </c>
      <c r="D3993">
        <v>5.4874390000000002</v>
      </c>
      <c r="E3993">
        <v>0.53213379999999999</v>
      </c>
      <c r="F3993" t="s">
        <v>71</v>
      </c>
      <c r="G3993">
        <v>-308.49630000000002</v>
      </c>
      <c r="H3993" s="1">
        <v>-1.06937899999999E-5</v>
      </c>
      <c r="I3993">
        <v>144.3802</v>
      </c>
      <c r="J3993">
        <v>-282.42489999999998</v>
      </c>
      <c r="K3993">
        <v>1.1043240000000001</v>
      </c>
      <c r="L3993">
        <v>140.14940000000001</v>
      </c>
      <c r="M3993">
        <v>-0.99972030000000001</v>
      </c>
      <c r="N3993">
        <v>0</v>
      </c>
      <c r="O3993">
        <v>1.8526540000000001E-2</v>
      </c>
      <c r="P3993">
        <v>-0.99609740000000002</v>
      </c>
      <c r="Q3993">
        <v>3.894603E-2</v>
      </c>
      <c r="R3993">
        <v>7.9204919999999998E-2</v>
      </c>
      <c r="S3993">
        <v>-2.9788209999999999</v>
      </c>
      <c r="T3993">
        <v>-0.124473</v>
      </c>
      <c r="U3993">
        <v>0.47761540000000002</v>
      </c>
      <c r="V3993">
        <v>6.0740330000000002E-2</v>
      </c>
      <c r="W3993">
        <v>5.3606380000000002E-2</v>
      </c>
      <c r="X3993">
        <v>0.99671309999999902</v>
      </c>
      <c r="Y3993">
        <v>0.13988979999999901</v>
      </c>
      <c r="Z3993">
        <v>2.1342520000000001E-3</v>
      </c>
      <c r="AA3993">
        <v>0.99016479999999996</v>
      </c>
      <c r="AB3993">
        <v>35</v>
      </c>
      <c r="AC3993">
        <v>-26.071400000000001</v>
      </c>
      <c r="AD3993">
        <v>-1.1043346937899901</v>
      </c>
      <c r="AE3993">
        <v>4.2307999999999799</v>
      </c>
      <c r="AF3993">
        <v>3.7404696936484298</v>
      </c>
      <c r="AG3993">
        <v>-1.1043346937899901</v>
      </c>
      <c r="AH3993">
        <v>26.099688196175201</v>
      </c>
      <c r="AI3993">
        <v>92.398387966310494</v>
      </c>
      <c r="AJ3993">
        <v>81.844205995246796</v>
      </c>
      <c r="AK3993">
        <v>26.389475034236199</v>
      </c>
    </row>
    <row r="3994" spans="1:37" x14ac:dyDescent="0.2">
      <c r="A3994" t="str">
        <f>"20200111155930486"</f>
        <v>20200111155930486</v>
      </c>
      <c r="B3994" t="str">
        <f>"1578729570475931"</f>
        <v>1578729570475931</v>
      </c>
      <c r="C3994" t="s">
        <v>37</v>
      </c>
      <c r="D3994">
        <v>5.5196149999999999</v>
      </c>
      <c r="E3994">
        <v>0.53267140000000002</v>
      </c>
      <c r="F3994" t="s">
        <v>71</v>
      </c>
      <c r="G3994">
        <v>-305.97649999999999</v>
      </c>
      <c r="H3994" s="1">
        <v>-1.020839E-5</v>
      </c>
      <c r="I3994">
        <v>143.965</v>
      </c>
      <c r="J3994">
        <v>-282.77420000000001</v>
      </c>
      <c r="K3994">
        <v>1.1043179999999999</v>
      </c>
      <c r="L3994">
        <v>140.1559</v>
      </c>
      <c r="M3994">
        <v>-0.99971989999999999</v>
      </c>
      <c r="N3994">
        <v>0</v>
      </c>
      <c r="O3994">
        <v>1.8547109999999999E-2</v>
      </c>
      <c r="P3994">
        <v>-0.99610599999999905</v>
      </c>
      <c r="Q3994">
        <v>3.8101990000000002E-2</v>
      </c>
      <c r="R3994">
        <v>7.9506090000000001E-2</v>
      </c>
      <c r="S3994">
        <v>-2.9788509999999899</v>
      </c>
      <c r="T3994">
        <v>-0.13967839999999901</v>
      </c>
      <c r="U3994">
        <v>0.48260500000000001</v>
      </c>
      <c r="V3994">
        <v>6.102059E-2</v>
      </c>
      <c r="W3994">
        <v>5.2758810000000003E-2</v>
      </c>
      <c r="X3994">
        <v>0.99674119999999999</v>
      </c>
      <c r="Y3994">
        <v>0.14145579999999999</v>
      </c>
      <c r="Z3994">
        <v>2.4298670000000001E-3</v>
      </c>
      <c r="AA3994">
        <v>0.98994159999999998</v>
      </c>
      <c r="AB3994">
        <v>35</v>
      </c>
      <c r="AC3994">
        <v>-23.202299999999902</v>
      </c>
      <c r="AD3994">
        <v>-1.1043282083899999</v>
      </c>
      <c r="AE3994">
        <v>3.8090999999999999</v>
      </c>
      <c r="AF3994">
        <v>3.37062728327387</v>
      </c>
      <c r="AG3994">
        <v>-1.1043282083899999</v>
      </c>
      <c r="AH3994">
        <v>23.217747631698899</v>
      </c>
      <c r="AI3994">
        <v>92.694953712776694</v>
      </c>
      <c r="AJ3994">
        <v>81.739815030650405</v>
      </c>
      <c r="AK3994">
        <v>23.4871129380317</v>
      </c>
    </row>
    <row r="3995" spans="1:37" x14ac:dyDescent="0.2">
      <c r="A3995" t="str">
        <f>"20200111155930508"</f>
        <v>20200111155930508</v>
      </c>
      <c r="B3995" t="str">
        <f>"1578729570496427"</f>
        <v>1578729570496427</v>
      </c>
      <c r="C3995" t="s">
        <v>37</v>
      </c>
      <c r="D3995">
        <v>5.529388</v>
      </c>
      <c r="E3995">
        <v>0.53286990000000001</v>
      </c>
      <c r="F3995" t="s">
        <v>71</v>
      </c>
      <c r="G3995">
        <v>-303.9973</v>
      </c>
      <c r="H3995" s="1">
        <v>-9.8235500000000002E-6</v>
      </c>
      <c r="I3995">
        <v>143.6267</v>
      </c>
      <c r="J3995">
        <v>-283.12670000000003</v>
      </c>
      <c r="K3995">
        <v>1.104304</v>
      </c>
      <c r="L3995">
        <v>140.16249999999999</v>
      </c>
      <c r="M3995">
        <v>-0.99971969999999999</v>
      </c>
      <c r="N3995">
        <v>0</v>
      </c>
      <c r="O3995">
        <v>1.8567980000000001E-2</v>
      </c>
      <c r="P3995">
        <v>-0.99612919999999905</v>
      </c>
      <c r="Q3995">
        <v>3.6585729999999997E-2</v>
      </c>
      <c r="R3995">
        <v>7.9925979999999994E-2</v>
      </c>
      <c r="S3995">
        <v>-2.97879</v>
      </c>
      <c r="T3995">
        <v>-0.15499859999999999</v>
      </c>
      <c r="U3995">
        <v>0.48715209999999998</v>
      </c>
      <c r="V3995">
        <v>6.1418840000000002E-2</v>
      </c>
      <c r="W3995">
        <v>5.1239279999999998E-2</v>
      </c>
      <c r="X3995">
        <v>0.99679599999999902</v>
      </c>
      <c r="Y3995">
        <v>0.14287820000000001</v>
      </c>
      <c r="Z3995">
        <v>2.731434E-3</v>
      </c>
      <c r="AA3995">
        <v>0.98973650000000002</v>
      </c>
      <c r="AB3995">
        <v>35</v>
      </c>
      <c r="AC3995">
        <v>-20.8705999999999</v>
      </c>
      <c r="AD3995">
        <v>-1.1043138235500001</v>
      </c>
      <c r="AE3995">
        <v>3.4641999999999999</v>
      </c>
      <c r="AF3995">
        <v>3.0676775806034899</v>
      </c>
      <c r="AG3995">
        <v>-1.1043138235500001</v>
      </c>
      <c r="AH3995">
        <v>20.874455546426201</v>
      </c>
      <c r="AI3995">
        <v>92.9961538378451</v>
      </c>
      <c r="AJ3995">
        <v>81.639743334549493</v>
      </c>
      <c r="AK3995">
        <v>21.1275424297088</v>
      </c>
    </row>
    <row r="3996" spans="1:37" x14ac:dyDescent="0.2">
      <c r="A3996" t="str">
        <f>"20200111155930530"</f>
        <v>20200111155930530</v>
      </c>
      <c r="B3996" t="str">
        <f>"1578729570526684"</f>
        <v>1578729570526684</v>
      </c>
      <c r="C3996" t="s">
        <v>37</v>
      </c>
      <c r="D3996">
        <v>5.5557739999999898</v>
      </c>
      <c r="E3996">
        <v>0.53348430000000002</v>
      </c>
      <c r="F3996" t="s">
        <v>71</v>
      </c>
      <c r="G3996">
        <v>-302.15719999999999</v>
      </c>
      <c r="H3996" s="1">
        <v>-9.4089939999999994E-6</v>
      </c>
      <c r="I3996">
        <v>143.28880000000001</v>
      </c>
      <c r="J3996">
        <v>-283.4726</v>
      </c>
      <c r="K3996">
        <v>1.1042860000000001</v>
      </c>
      <c r="L3996">
        <v>140.16890000000001</v>
      </c>
      <c r="M3996">
        <v>-0.99971919999999903</v>
      </c>
      <c r="N3996">
        <v>0</v>
      </c>
      <c r="O3996">
        <v>1.858839E-2</v>
      </c>
      <c r="P3996">
        <v>-0.9960968</v>
      </c>
      <c r="Q3996">
        <v>3.5017960000000001E-2</v>
      </c>
      <c r="R3996">
        <v>8.1023540000000005E-2</v>
      </c>
      <c r="S3996">
        <v>-2.9787599999999999</v>
      </c>
      <c r="T3996">
        <v>-0.17285349999999999</v>
      </c>
      <c r="U3996">
        <v>0.48934939999999999</v>
      </c>
      <c r="V3996">
        <v>6.2496250000000003E-2</v>
      </c>
      <c r="W3996">
        <v>4.9667250000000003E-2</v>
      </c>
      <c r="X3996">
        <v>0.99680859999999905</v>
      </c>
      <c r="Y3996">
        <v>0.14352970000000001</v>
      </c>
      <c r="Z3996">
        <v>3.0630259999999999E-3</v>
      </c>
      <c r="AA3996">
        <v>0.9896412</v>
      </c>
      <c r="AB3996">
        <v>35</v>
      </c>
      <c r="AC3996">
        <v>-18.6845999999999</v>
      </c>
      <c r="AD3996">
        <v>-1.104295408994</v>
      </c>
      <c r="AE3996">
        <v>3.1198999999999999</v>
      </c>
      <c r="AF3996">
        <v>2.7626185152520599</v>
      </c>
      <c r="AG3996">
        <v>-1.104295408994</v>
      </c>
      <c r="AH3996">
        <v>18.675905108521299</v>
      </c>
      <c r="AI3996">
        <v>93.347583263742706</v>
      </c>
      <c r="AJ3996">
        <v>81.585586519657397</v>
      </c>
      <c r="AK3996">
        <v>18.911397648868601</v>
      </c>
    </row>
    <row r="3997" spans="1:37" x14ac:dyDescent="0.2">
      <c r="A3997" t="str">
        <f>"20200111155930552"</f>
        <v>20200111155930552</v>
      </c>
      <c r="B3997" t="str">
        <f>"1578729570546204"</f>
        <v>1578729570546204</v>
      </c>
      <c r="C3997" t="s">
        <v>37</v>
      </c>
      <c r="D3997">
        <v>5.4860189999999998</v>
      </c>
      <c r="E3997">
        <v>0.53384949999999998</v>
      </c>
      <c r="F3997" t="s">
        <v>71</v>
      </c>
      <c r="G3997">
        <v>-300.962999999999</v>
      </c>
      <c r="H3997" s="1">
        <v>-9.1440499999999993E-6</v>
      </c>
      <c r="I3997">
        <v>143.0873</v>
      </c>
      <c r="J3997">
        <v>-283.82659999999998</v>
      </c>
      <c r="K3997">
        <v>1.1042809999999901</v>
      </c>
      <c r="L3997">
        <v>140.1755</v>
      </c>
      <c r="M3997">
        <v>-0.99971880000000002</v>
      </c>
      <c r="N3997">
        <v>0</v>
      </c>
      <c r="O3997">
        <v>1.8609089999999998E-2</v>
      </c>
      <c r="P3997">
        <v>-0.9960464</v>
      </c>
      <c r="Q3997">
        <v>3.3746779999999997E-2</v>
      </c>
      <c r="R3997">
        <v>8.2175819999999997E-2</v>
      </c>
      <c r="S3997">
        <v>-2.9779360000000001</v>
      </c>
      <c r="T3997">
        <v>-0.18801809999999999</v>
      </c>
      <c r="U3997">
        <v>0.49688719999999997</v>
      </c>
      <c r="V3997">
        <v>6.3628420000000005E-2</v>
      </c>
      <c r="W3997">
        <v>4.8392289999999998E-2</v>
      </c>
      <c r="X3997">
        <v>0.99679969999999996</v>
      </c>
      <c r="Y3997">
        <v>0.14594860000000001</v>
      </c>
      <c r="Z3997">
        <v>3.4059490000000001E-3</v>
      </c>
      <c r="AA3997">
        <v>0.98928629999999995</v>
      </c>
      <c r="AB3997">
        <v>35</v>
      </c>
      <c r="AC3997">
        <v>-17.136399999999899</v>
      </c>
      <c r="AD3997">
        <v>-1.1042901440499999</v>
      </c>
      <c r="AE3997">
        <v>2.9117999999999902</v>
      </c>
      <c r="AF3997">
        <v>2.5819473247982101</v>
      </c>
      <c r="AG3997">
        <v>-1.1042901440499999</v>
      </c>
      <c r="AH3997">
        <v>17.1185310520491</v>
      </c>
      <c r="AI3997">
        <v>93.649781178902202</v>
      </c>
      <c r="AJ3997">
        <v>81.422864257102205</v>
      </c>
      <c r="AK3997">
        <v>17.3473344952546</v>
      </c>
    </row>
    <row r="3998" spans="1:37" x14ac:dyDescent="0.2">
      <c r="A3998" t="str">
        <f>"20200111155930575"</f>
        <v>20200111155930575</v>
      </c>
      <c r="B3998" t="str">
        <f>"1578729570565724"</f>
        <v>1578729570565724</v>
      </c>
      <c r="C3998" t="s">
        <v>37</v>
      </c>
      <c r="D3998">
        <v>5.5126289999999996</v>
      </c>
      <c r="E3998">
        <v>0.53418129999999997</v>
      </c>
      <c r="F3998" t="s">
        <v>71</v>
      </c>
      <c r="G3998">
        <v>-300.51220000000001</v>
      </c>
      <c r="H3998" s="1">
        <v>-9.0389219999999993E-6</v>
      </c>
      <c r="I3998">
        <v>142.99189999999999</v>
      </c>
      <c r="J3998">
        <v>-284.18099999999998</v>
      </c>
      <c r="K3998">
        <v>1.104285</v>
      </c>
      <c r="L3998">
        <v>140.18219999999999</v>
      </c>
      <c r="M3998">
        <v>-0.99971869999999996</v>
      </c>
      <c r="N3998">
        <v>0</v>
      </c>
      <c r="O3998">
        <v>1.8629199999999999E-2</v>
      </c>
      <c r="P3998">
        <v>-0.99595619999999996</v>
      </c>
      <c r="Q3998">
        <v>3.2557700000000002E-2</v>
      </c>
      <c r="R3998">
        <v>8.3735229999999994E-2</v>
      </c>
      <c r="S3998">
        <v>-2.9770810000000001</v>
      </c>
      <c r="T3998">
        <v>-0.19702979999999901</v>
      </c>
      <c r="U3998">
        <v>0.50250240000000002</v>
      </c>
      <c r="V3998">
        <v>6.5169130000000006E-2</v>
      </c>
      <c r="W3998">
        <v>4.7198219999999999E-2</v>
      </c>
      <c r="X3998">
        <v>0.99675740000000002</v>
      </c>
      <c r="Y3998">
        <v>0.14776139999999999</v>
      </c>
      <c r="Z3998">
        <v>3.6274979999999998E-3</v>
      </c>
      <c r="AA3998">
        <v>0.98901640000000002</v>
      </c>
      <c r="AB3998">
        <v>35</v>
      </c>
      <c r="AC3998">
        <v>-16.331199999999999</v>
      </c>
      <c r="AD3998">
        <v>-1.104294038922</v>
      </c>
      <c r="AE3998">
        <v>2.8096999999999901</v>
      </c>
      <c r="AF3998">
        <v>2.4938674674933501</v>
      </c>
      <c r="AG3998">
        <v>-1.104294038922</v>
      </c>
      <c r="AH3998">
        <v>16.3082909164408</v>
      </c>
      <c r="AI3998">
        <v>93.829412308124702</v>
      </c>
      <c r="AJ3998">
        <v>81.305670287175502</v>
      </c>
      <c r="AK3998">
        <v>16.5347873553029</v>
      </c>
    </row>
    <row r="3999" spans="1:37" x14ac:dyDescent="0.2">
      <c r="A3999" t="str">
        <f>"20200111155930597"</f>
        <v>20200111155930597</v>
      </c>
      <c r="B3999" t="str">
        <f>"1578729570585752"</f>
        <v>1578729570585752</v>
      </c>
      <c r="C3999" t="s">
        <v>37</v>
      </c>
      <c r="D3999">
        <v>5.5430299999999999</v>
      </c>
      <c r="E3999">
        <v>0.53418580000000004</v>
      </c>
      <c r="F3999" t="s">
        <v>71</v>
      </c>
      <c r="G3999">
        <v>-300.23419999999999</v>
      </c>
      <c r="H3999" s="1">
        <v>-8.973257E-6</v>
      </c>
      <c r="I3999">
        <v>142.9299</v>
      </c>
      <c r="J3999">
        <v>-284.53269999999998</v>
      </c>
      <c r="K3999">
        <v>1.1042809999999901</v>
      </c>
      <c r="L3999">
        <v>140.18870000000001</v>
      </c>
      <c r="M3999">
        <v>-0.99971829999999995</v>
      </c>
      <c r="N3999">
        <v>0</v>
      </c>
      <c r="O3999">
        <v>1.8649260000000001E-2</v>
      </c>
      <c r="P3999">
        <v>-0.99592139999999996</v>
      </c>
      <c r="Q3999">
        <v>3.1178600000000001E-2</v>
      </c>
      <c r="R3999">
        <v>8.4667149999999997E-2</v>
      </c>
      <c r="S3999">
        <v>-2.9760740000000001</v>
      </c>
      <c r="T3999">
        <v>-0.20472290000000001</v>
      </c>
      <c r="U3999">
        <v>0.50939939999999995</v>
      </c>
      <c r="V3999">
        <v>6.6081260000000003E-2</v>
      </c>
      <c r="W3999">
        <v>4.581499E-2</v>
      </c>
      <c r="X3999">
        <v>0.99676189999999998</v>
      </c>
      <c r="Y3999">
        <v>0.14999670000000001</v>
      </c>
      <c r="Z3999">
        <v>3.8442259999999901E-3</v>
      </c>
      <c r="AA3999">
        <v>0.98867899999999997</v>
      </c>
      <c r="AB3999">
        <v>35</v>
      </c>
      <c r="AC3999">
        <v>-15.701499999999999</v>
      </c>
      <c r="AD3999">
        <v>-1.10428997325699</v>
      </c>
      <c r="AE3999">
        <v>2.7411999999999899</v>
      </c>
      <c r="AF3999">
        <v>2.4361765067490699</v>
      </c>
      <c r="AG3999">
        <v>-1.10428997325699</v>
      </c>
      <c r="AH3999">
        <v>15.674656603245399</v>
      </c>
      <c r="AI3999">
        <v>93.982214200221804</v>
      </c>
      <c r="AJ3999">
        <v>81.165692562501306</v>
      </c>
      <c r="AK3999">
        <v>15.9012349189218</v>
      </c>
    </row>
    <row r="4000" spans="1:37" x14ac:dyDescent="0.2">
      <c r="A4000" t="str">
        <f>"20200111155930620"</f>
        <v>20200111155930620</v>
      </c>
      <c r="B4000" t="str">
        <f>"1578729570616008"</f>
        <v>1578729570616008</v>
      </c>
      <c r="C4000" t="s">
        <v>37</v>
      </c>
      <c r="D4000">
        <v>5.5727139999999897</v>
      </c>
      <c r="E4000">
        <v>0.53442579999999995</v>
      </c>
      <c r="F4000" t="s">
        <v>71</v>
      </c>
      <c r="G4000">
        <v>-300.01609999999999</v>
      </c>
      <c r="H4000" s="1">
        <v>-8.9144640000000006E-6</v>
      </c>
      <c r="I4000">
        <v>142.8537</v>
      </c>
      <c r="J4000">
        <v>-284.87700000000001</v>
      </c>
      <c r="K4000">
        <v>1.104276</v>
      </c>
      <c r="L4000">
        <v>140.1952</v>
      </c>
      <c r="M4000">
        <v>-0.99971810000000005</v>
      </c>
      <c r="N4000">
        <v>0</v>
      </c>
      <c r="O4000">
        <v>1.866901E-2</v>
      </c>
      <c r="P4000">
        <v>-0.99593379999999998</v>
      </c>
      <c r="Q4000">
        <v>2.9364930000000001E-2</v>
      </c>
      <c r="R4000">
        <v>8.5169540000000002E-2</v>
      </c>
      <c r="S4000">
        <v>-2.975403</v>
      </c>
      <c r="T4000">
        <v>-0.21220789999999901</v>
      </c>
      <c r="U4000">
        <v>0.51211549999999995</v>
      </c>
      <c r="V4000">
        <v>6.6563609999999995E-2</v>
      </c>
      <c r="W4000">
        <v>4.3997689999999999E-2</v>
      </c>
      <c r="X4000">
        <v>0.99681169999999997</v>
      </c>
      <c r="Y4000">
        <v>0.15086629999999901</v>
      </c>
      <c r="Z4000">
        <v>4.0143669999999996E-3</v>
      </c>
      <c r="AA4000">
        <v>0.98854599999999904</v>
      </c>
      <c r="AB4000">
        <v>35</v>
      </c>
      <c r="AC4000">
        <v>-15.1390999999999</v>
      </c>
      <c r="AD4000">
        <v>-1.1042849144639999</v>
      </c>
      <c r="AE4000">
        <v>2.6585000000000001</v>
      </c>
      <c r="AF4000">
        <v>2.36317672009474</v>
      </c>
      <c r="AG4000">
        <v>-1.1042849144639999</v>
      </c>
      <c r="AH4000">
        <v>15.1081180073729</v>
      </c>
      <c r="AI4000">
        <v>94.130392230075799</v>
      </c>
      <c r="AJ4000">
        <v>81.109962874637105</v>
      </c>
      <c r="AK4000">
        <v>15.3316430661366</v>
      </c>
    </row>
    <row r="4001" spans="1:37" x14ac:dyDescent="0.2">
      <c r="A4001" t="str">
        <f>"20200111155930644"</f>
        <v>20200111155930644</v>
      </c>
      <c r="B4001" t="str">
        <f>"1578729570636504"</f>
        <v>1578729570636504</v>
      </c>
      <c r="C4001" t="s">
        <v>37</v>
      </c>
      <c r="D4001">
        <v>5.5441529999999997</v>
      </c>
      <c r="E4001">
        <v>0.53460969999999997</v>
      </c>
      <c r="F4001" t="s">
        <v>38</v>
      </c>
      <c r="G4001">
        <v>-285.69740000000002</v>
      </c>
      <c r="H4001">
        <v>1.0435270000000001</v>
      </c>
      <c r="I4001">
        <v>140.33760000000001</v>
      </c>
      <c r="J4001">
        <v>-285.24759999999998</v>
      </c>
      <c r="K4001">
        <v>1.104263</v>
      </c>
      <c r="L4001">
        <v>140.2021</v>
      </c>
      <c r="M4001">
        <v>-0.99971769999999904</v>
      </c>
      <c r="N4001">
        <v>0</v>
      </c>
      <c r="O4001">
        <v>1.8690200000000001E-2</v>
      </c>
      <c r="P4001">
        <v>-0.996027</v>
      </c>
      <c r="Q4001">
        <v>2.812549E-2</v>
      </c>
      <c r="R4001">
        <v>8.4496680000000005E-2</v>
      </c>
      <c r="S4001">
        <v>-2.97464</v>
      </c>
      <c r="T4001">
        <v>-0.22034529999999999</v>
      </c>
      <c r="U4001">
        <v>0.51538090000000003</v>
      </c>
      <c r="V4001">
        <v>6.5867990000000001E-2</v>
      </c>
      <c r="W4001">
        <v>4.2755750000000002E-2</v>
      </c>
      <c r="X4001">
        <v>0.99691189999999996</v>
      </c>
      <c r="Y4001">
        <v>0.1519132</v>
      </c>
      <c r="Z4001">
        <v>4.2054479999999997E-3</v>
      </c>
      <c r="AA4001">
        <v>0.98838490000000001</v>
      </c>
      <c r="AB4001">
        <v>35</v>
      </c>
      <c r="AC4001">
        <v>-0.449800000000038</v>
      </c>
      <c r="AD4001">
        <v>-6.0735999999999901E-2</v>
      </c>
      <c r="AE4001">
        <v>0.135500000000007</v>
      </c>
      <c r="AF4001">
        <v>0.124979430346373</v>
      </c>
      <c r="AG4001">
        <v>-6.0735999999999901E-2</v>
      </c>
      <c r="AH4001">
        <v>0.444818679479485</v>
      </c>
      <c r="AI4001">
        <v>97.488653464955803</v>
      </c>
      <c r="AJ4001">
        <v>74.306382181176602</v>
      </c>
      <c r="AK4001">
        <v>0.46601757190000598</v>
      </c>
    </row>
    <row r="4002" spans="1:37" x14ac:dyDescent="0.2">
      <c r="A4002" t="str">
        <f>"20200111155930664"</f>
        <v>20200111155930664</v>
      </c>
      <c r="B4002" t="str">
        <f>"1578729570656024"</f>
        <v>1578729570656024</v>
      </c>
      <c r="C4002" t="s">
        <v>37</v>
      </c>
      <c r="D4002">
        <v>5.6474539999999998</v>
      </c>
      <c r="E4002">
        <v>0.53441119999999898</v>
      </c>
      <c r="F4002" t="s">
        <v>38</v>
      </c>
      <c r="G4002">
        <v>-286.01190000000003</v>
      </c>
      <c r="H4002">
        <v>1.0462389999999999</v>
      </c>
      <c r="I4002">
        <v>140.33449999999999</v>
      </c>
      <c r="J4002">
        <v>-285.58049999999997</v>
      </c>
      <c r="K4002">
        <v>1.1042590000000001</v>
      </c>
      <c r="L4002">
        <v>140.20830000000001</v>
      </c>
      <c r="M4002">
        <v>-0.99971739999999998</v>
      </c>
      <c r="N4002">
        <v>0</v>
      </c>
      <c r="O4002">
        <v>1.8709590000000002E-2</v>
      </c>
      <c r="P4002">
        <v>-0.99615629999999999</v>
      </c>
      <c r="Q4002">
        <v>2.6513999999999999E-2</v>
      </c>
      <c r="R4002">
        <v>8.3485809999999994E-2</v>
      </c>
      <c r="S4002">
        <v>-2.97464</v>
      </c>
      <c r="T4002">
        <v>-0.2258607</v>
      </c>
      <c r="U4002">
        <v>0.51493840000000002</v>
      </c>
      <c r="V4002">
        <v>6.4835219999999999E-2</v>
      </c>
      <c r="W4002">
        <v>4.1142119999999997E-2</v>
      </c>
      <c r="X4002">
        <v>0.99704749999999998</v>
      </c>
      <c r="Y4002">
        <v>0.1517339</v>
      </c>
      <c r="Z4002">
        <v>4.3022690000000001E-3</v>
      </c>
      <c r="AA4002">
        <v>0.98841199999999996</v>
      </c>
      <c r="AB4002">
        <v>35</v>
      </c>
      <c r="AC4002">
        <v>-0.43140000000005302</v>
      </c>
      <c r="AD4002">
        <v>-5.8020000000000099E-2</v>
      </c>
      <c r="AE4002">
        <v>0.12619999999998299</v>
      </c>
      <c r="AF4002">
        <v>0.116170061927808</v>
      </c>
      <c r="AG4002">
        <v>-5.8020000000000099E-2</v>
      </c>
      <c r="AH4002">
        <v>0.42657811193050099</v>
      </c>
      <c r="AI4002">
        <v>97.476387523299607</v>
      </c>
      <c r="AJ4002">
        <v>74.766064058987098</v>
      </c>
      <c r="AK4002">
        <v>0.44590434990757999</v>
      </c>
    </row>
    <row r="4003" spans="1:37" x14ac:dyDescent="0.2">
      <c r="A4003" t="str">
        <f>"20200111155930687"</f>
        <v>20200111155930687</v>
      </c>
      <c r="B4003" t="str">
        <f>"1578729570676051"</f>
        <v>1578729570676051</v>
      </c>
      <c r="C4003" t="s">
        <v>37</v>
      </c>
      <c r="D4003">
        <v>5.6078019999999897</v>
      </c>
      <c r="E4003">
        <v>0.48829979999999901</v>
      </c>
      <c r="F4003" t="s">
        <v>38</v>
      </c>
      <c r="G4003">
        <v>-286.32350000000002</v>
      </c>
      <c r="H4003">
        <v>1.0474319999999999</v>
      </c>
      <c r="I4003">
        <v>140.33619999999999</v>
      </c>
      <c r="J4003">
        <v>-285.93150000000003</v>
      </c>
      <c r="K4003">
        <v>1.1042529999999999</v>
      </c>
      <c r="L4003">
        <v>140.2149</v>
      </c>
      <c r="M4003">
        <v>-0.99971710000000003</v>
      </c>
      <c r="N4003">
        <v>0</v>
      </c>
      <c r="O4003">
        <v>1.873E-2</v>
      </c>
      <c r="P4003">
        <v>-0.99625350000000001</v>
      </c>
      <c r="Q4003">
        <v>2.5658960000000001E-2</v>
      </c>
      <c r="R4003">
        <v>8.2588499999999995E-2</v>
      </c>
      <c r="S4003">
        <v>-2.9748540000000001</v>
      </c>
      <c r="T4003">
        <v>-0.2276936</v>
      </c>
      <c r="U4003">
        <v>0.51057429999999904</v>
      </c>
      <c r="V4003">
        <v>6.3915699999999895E-2</v>
      </c>
      <c r="W4003">
        <v>4.0285000000000001E-2</v>
      </c>
      <c r="X4003">
        <v>0.99714179999999997</v>
      </c>
      <c r="Y4003">
        <v>0.15029149999999999</v>
      </c>
      <c r="Z4003">
        <v>4.2810410000000002E-3</v>
      </c>
      <c r="AA4003">
        <v>0.98863239999999997</v>
      </c>
      <c r="AB4003">
        <v>35</v>
      </c>
      <c r="AC4003">
        <v>-0.39199999999999502</v>
      </c>
      <c r="AD4003">
        <v>-5.6821000000000198E-2</v>
      </c>
      <c r="AE4003">
        <v>0.12129999999999</v>
      </c>
      <c r="AF4003">
        <v>0.111792163682454</v>
      </c>
      <c r="AG4003">
        <v>-5.6821000000000198E-2</v>
      </c>
      <c r="AH4003">
        <v>0.38678681301881901</v>
      </c>
      <c r="AI4003">
        <v>98.033026745209298</v>
      </c>
      <c r="AJ4003">
        <v>73.879233074074307</v>
      </c>
      <c r="AK4003">
        <v>0.406608106937207</v>
      </c>
    </row>
    <row r="4004" spans="1:37" x14ac:dyDescent="0.2">
      <c r="A4004" t="str">
        <f>"20200111155930709"</f>
        <v>20200111155930709</v>
      </c>
      <c r="B4004" t="str">
        <f>"1578729570696548"</f>
        <v>1578729570696548</v>
      </c>
      <c r="C4004" t="s">
        <v>37</v>
      </c>
      <c r="D4004">
        <v>5.6753169999999997</v>
      </c>
      <c r="E4004">
        <v>0.47905119999999901</v>
      </c>
      <c r="F4004" t="s">
        <v>71</v>
      </c>
      <c r="G4004">
        <v>-311.93419999999998</v>
      </c>
      <c r="H4004" s="1">
        <v>-9.2324630000000006E-6</v>
      </c>
      <c r="I4004">
        <v>141.4726</v>
      </c>
      <c r="J4004">
        <v>-286.26319999999998</v>
      </c>
      <c r="K4004">
        <v>1.1042379999999901</v>
      </c>
      <c r="L4004">
        <v>140.22120000000001</v>
      </c>
      <c r="M4004">
        <v>-0.99971669999999901</v>
      </c>
      <c r="N4004">
        <v>0</v>
      </c>
      <c r="O4004">
        <v>1.874957E-2</v>
      </c>
      <c r="P4004">
        <v>-0.99634429999999996</v>
      </c>
      <c r="Q4004">
        <v>2.398438E-2</v>
      </c>
      <c r="R4004">
        <v>8.1994499999999998E-2</v>
      </c>
      <c r="S4004">
        <v>-3.0025019999999998</v>
      </c>
      <c r="T4004">
        <v>-0.12750819999999999</v>
      </c>
      <c r="U4004">
        <v>0.14521789999999901</v>
      </c>
      <c r="V4004">
        <v>6.3300540000000002E-2</v>
      </c>
      <c r="W4004">
        <v>3.8607839999999997E-2</v>
      </c>
      <c r="X4004">
        <v>0.99724749999999995</v>
      </c>
      <c r="Y4004">
        <v>2.9561250000000001E-2</v>
      </c>
      <c r="Z4004">
        <v>-1.683368E-4</v>
      </c>
      <c r="AA4004">
        <v>0.99956299999999898</v>
      </c>
      <c r="AB4004">
        <v>35</v>
      </c>
      <c r="AC4004">
        <v>-25.6709999999999</v>
      </c>
      <c r="AD4004">
        <v>-1.1042472324629999</v>
      </c>
      <c r="AE4004">
        <v>1.2513999999999801</v>
      </c>
      <c r="AF4004">
        <v>0.76838961863897703</v>
      </c>
      <c r="AG4004">
        <v>-1.1042472324629999</v>
      </c>
      <c r="AH4004">
        <v>25.6426175040333</v>
      </c>
      <c r="AI4004">
        <v>92.4646979575449</v>
      </c>
      <c r="AJ4004">
        <v>88.283626384155696</v>
      </c>
      <c r="AK4004">
        <v>25.677881863864702</v>
      </c>
    </row>
    <row r="4005" spans="1:37" x14ac:dyDescent="0.2">
      <c r="A4005" t="str">
        <f>"20200111155930731"</f>
        <v>20200111155930731</v>
      </c>
      <c r="B4005" t="str">
        <f t="shared" ref="B4005:B4015" si="0">"1578729570726803"</f>
        <v>1578729570726803</v>
      </c>
      <c r="C4005" t="s">
        <v>37</v>
      </c>
      <c r="D4005">
        <v>5.6519019999999998</v>
      </c>
      <c r="E4005">
        <v>0.47608069999999902</v>
      </c>
      <c r="F4005" t="s">
        <v>71</v>
      </c>
      <c r="G4005">
        <v>-305.10079999999999</v>
      </c>
      <c r="H4005" s="1">
        <v>-9.0946979999999906E-6</v>
      </c>
      <c r="I4005">
        <v>140.64410000000001</v>
      </c>
      <c r="J4005">
        <v>-286.61810000000003</v>
      </c>
      <c r="K4005">
        <v>1.104228</v>
      </c>
      <c r="L4005">
        <v>140.2278</v>
      </c>
      <c r="M4005">
        <v>-0.9997163</v>
      </c>
      <c r="N4005">
        <v>0</v>
      </c>
      <c r="O4005">
        <v>1.8770459999999999E-2</v>
      </c>
      <c r="P4005">
        <v>-0.99646480000000004</v>
      </c>
      <c r="Q4005">
        <v>2.2219289999999999E-2</v>
      </c>
      <c r="R4005">
        <v>8.1020330000000002E-2</v>
      </c>
      <c r="S4005">
        <v>-3.009735</v>
      </c>
      <c r="T4005">
        <v>-0.17642769999999999</v>
      </c>
      <c r="U4005">
        <v>6.7565920000000002E-2</v>
      </c>
      <c r="V4005">
        <v>6.230306E-2</v>
      </c>
      <c r="W4005">
        <v>3.6840989999999997E-2</v>
      </c>
      <c r="X4005">
        <v>0.99737710000000002</v>
      </c>
      <c r="Y4005">
        <v>3.697629E-3</v>
      </c>
      <c r="Z4005">
        <v>-9.9096699999999993E-4</v>
      </c>
      <c r="AA4005">
        <v>0.99999269999999996</v>
      </c>
      <c r="AB4005">
        <v>35</v>
      </c>
      <c r="AC4005">
        <v>-18.482699999999902</v>
      </c>
      <c r="AD4005">
        <v>-1.104237094698</v>
      </c>
      <c r="AE4005">
        <v>0.416300000000006</v>
      </c>
      <c r="AF4005">
        <v>6.9014346076605407E-2</v>
      </c>
      <c r="AG4005">
        <v>-1.104237094698</v>
      </c>
      <c r="AH4005">
        <v>18.421537703067902</v>
      </c>
      <c r="AI4005">
        <v>93.430336262233993</v>
      </c>
      <c r="AJ4005">
        <v>89.785348415528205</v>
      </c>
      <c r="AK4005">
        <v>18.4547325606963</v>
      </c>
    </row>
    <row r="4006" spans="1:37" x14ac:dyDescent="0.2">
      <c r="A4006" t="str">
        <f>"20200111155930754"</f>
        <v>20200111155930754</v>
      </c>
      <c r="B4006" t="str">
        <f t="shared" si="0"/>
        <v>1578729570726803</v>
      </c>
      <c r="C4006" t="s">
        <v>37</v>
      </c>
      <c r="D4006">
        <v>5.6519019999999998</v>
      </c>
      <c r="E4006">
        <v>0.47608069999999902</v>
      </c>
      <c r="F4006" t="s">
        <v>71</v>
      </c>
      <c r="G4006">
        <v>-303.21899999999999</v>
      </c>
      <c r="H4006" s="1">
        <v>-8.7660590000000002E-6</v>
      </c>
      <c r="I4006">
        <v>140.4478</v>
      </c>
      <c r="J4006">
        <v>-286.97750000000002</v>
      </c>
      <c r="K4006">
        <v>1.1042179999999999</v>
      </c>
      <c r="L4006">
        <v>140.2346</v>
      </c>
      <c r="M4006">
        <v>-0.9997161</v>
      </c>
      <c r="N4006">
        <v>0</v>
      </c>
      <c r="O4006">
        <v>1.8791519999999999E-2</v>
      </c>
      <c r="P4006">
        <v>-0.99659039999999999</v>
      </c>
      <c r="Q4006">
        <v>2.0775539999999999E-2</v>
      </c>
      <c r="R4006">
        <v>7.985051E-2</v>
      </c>
      <c r="S4006">
        <v>-3.0119020000000001</v>
      </c>
      <c r="T4006">
        <v>-0.20034089999999999</v>
      </c>
      <c r="U4006">
        <v>3.9901730000000003E-2</v>
      </c>
      <c r="V4006">
        <v>6.1110049999999999E-2</v>
      </c>
      <c r="W4006">
        <v>3.5395210000000003E-2</v>
      </c>
      <c r="X4006">
        <v>0.99750329999999998</v>
      </c>
      <c r="Y4006">
        <v>-5.493721E-3</v>
      </c>
      <c r="Z4006">
        <v>-1.4310519999999999E-3</v>
      </c>
      <c r="AA4006">
        <v>0.99998390000000004</v>
      </c>
      <c r="AB4006">
        <v>35</v>
      </c>
      <c r="AC4006">
        <v>-16.241499999999899</v>
      </c>
      <c r="AD4006">
        <v>-1.1042267660589999</v>
      </c>
      <c r="AE4006">
        <v>0.2132</v>
      </c>
      <c r="AF4006">
        <v>-9.16493157923466E-2</v>
      </c>
      <c r="AG4006">
        <v>-1.1042267660589999</v>
      </c>
      <c r="AH4006">
        <v>16.1679171597936</v>
      </c>
      <c r="AI4006">
        <v>93.907023034484197</v>
      </c>
      <c r="AJ4006">
        <v>90.324782882961301</v>
      </c>
      <c r="AK4006">
        <v>16.205840355684</v>
      </c>
    </row>
    <row r="4007" spans="1:37" x14ac:dyDescent="0.2">
      <c r="A4007" t="str">
        <f>"20200111155930776"</f>
        <v>20200111155930776</v>
      </c>
      <c r="B4007" t="str">
        <f t="shared" si="0"/>
        <v>1578729570726803</v>
      </c>
      <c r="C4007" t="s">
        <v>37</v>
      </c>
      <c r="D4007">
        <v>5.6519019999999998</v>
      </c>
      <c r="E4007">
        <v>0.47608069999999902</v>
      </c>
      <c r="F4007" t="s">
        <v>71</v>
      </c>
      <c r="G4007">
        <v>-303.20569999999998</v>
      </c>
      <c r="H4007" s="1">
        <v>-8.7595889999999999E-6</v>
      </c>
      <c r="I4007">
        <v>140.4324</v>
      </c>
      <c r="J4007">
        <v>-287.31580000000002</v>
      </c>
      <c r="K4007">
        <v>1.1042149999999999</v>
      </c>
      <c r="L4007">
        <v>140.24100000000001</v>
      </c>
      <c r="M4007">
        <v>-0.99971569999999899</v>
      </c>
      <c r="N4007">
        <v>0</v>
      </c>
      <c r="O4007">
        <v>1.8811459999999999E-2</v>
      </c>
      <c r="P4007">
        <v>-0.99667649999999997</v>
      </c>
      <c r="Q4007">
        <v>1.9601549999999999E-2</v>
      </c>
      <c r="R4007">
        <v>7.9067650000000003E-2</v>
      </c>
      <c r="S4007">
        <v>-3.0115660000000002</v>
      </c>
      <c r="T4007">
        <v>-0.20491760000000001</v>
      </c>
      <c r="U4007">
        <v>3.6712649999999999E-2</v>
      </c>
      <c r="V4007">
        <v>6.0305619999999997E-2</v>
      </c>
      <c r="W4007">
        <v>3.4218129999999999E-2</v>
      </c>
      <c r="X4007">
        <v>0.99759330000000002</v>
      </c>
      <c r="Y4007">
        <v>-6.5659250000000002E-3</v>
      </c>
      <c r="Z4007">
        <v>-1.501634E-3</v>
      </c>
      <c r="AA4007">
        <v>0.99997729999999996</v>
      </c>
      <c r="AB4007">
        <v>35</v>
      </c>
      <c r="AC4007">
        <v>-15.8898999999999</v>
      </c>
      <c r="AD4007">
        <v>-1.1042237595890001</v>
      </c>
      <c r="AE4007">
        <v>0.191399999999987</v>
      </c>
      <c r="AF4007">
        <v>-0.107061238474882</v>
      </c>
      <c r="AG4007">
        <v>-1.1042237595890001</v>
      </c>
      <c r="AH4007">
        <v>15.8143296662028</v>
      </c>
      <c r="AI4007">
        <v>93.994061141885496</v>
      </c>
      <c r="AJ4007">
        <v>90.387880076728194</v>
      </c>
      <c r="AK4007">
        <v>15.853195104185399</v>
      </c>
    </row>
    <row r="4008" spans="1:37" x14ac:dyDescent="0.2">
      <c r="A4008" t="str">
        <f>"20200111155930798"</f>
        <v>20200111155930798</v>
      </c>
      <c r="B4008" t="str">
        <f t="shared" si="0"/>
        <v>1578729570726803</v>
      </c>
      <c r="C4008" t="s">
        <v>37</v>
      </c>
      <c r="D4008">
        <v>5.6519019999999998</v>
      </c>
      <c r="E4008">
        <v>0.47608069999999902</v>
      </c>
      <c r="F4008" t="s">
        <v>71</v>
      </c>
      <c r="G4008">
        <v>-303.2484</v>
      </c>
      <c r="H4008" s="1">
        <v>-8.763224E-6</v>
      </c>
      <c r="I4008">
        <v>140.42410000000001</v>
      </c>
      <c r="J4008">
        <v>-287.66090000000003</v>
      </c>
      <c r="K4008">
        <v>1.104212</v>
      </c>
      <c r="L4008">
        <v>140.2475</v>
      </c>
      <c r="M4008">
        <v>-0.99971540000000003</v>
      </c>
      <c r="N4008">
        <v>0</v>
      </c>
      <c r="O4008">
        <v>1.8831509999999999E-2</v>
      </c>
      <c r="P4008">
        <v>-0.99675230000000004</v>
      </c>
      <c r="Q4008">
        <v>1.8647219999999999E-2</v>
      </c>
      <c r="R4008">
        <v>7.8340409999999999E-2</v>
      </c>
      <c r="S4008">
        <v>-3.0113219999999998</v>
      </c>
      <c r="T4008">
        <v>-0.20870259999999999</v>
      </c>
      <c r="U4008">
        <v>3.4606930000000001E-2</v>
      </c>
      <c r="V4008">
        <v>5.9557039999999999E-2</v>
      </c>
      <c r="W4008">
        <v>3.3261659999999998E-2</v>
      </c>
      <c r="X4008">
        <v>0.99767059999999996</v>
      </c>
      <c r="Y4008">
        <v>-7.2801899999999998E-3</v>
      </c>
      <c r="Z4008">
        <v>-1.555547E-3</v>
      </c>
      <c r="AA4008">
        <v>0.99997230000000004</v>
      </c>
      <c r="AB4008">
        <v>35</v>
      </c>
      <c r="AC4008">
        <v>-15.587499999999901</v>
      </c>
      <c r="AD4008">
        <v>-1.104220763224</v>
      </c>
      <c r="AE4008">
        <v>0.176600000000007</v>
      </c>
      <c r="AF4008">
        <v>-0.116414838251272</v>
      </c>
      <c r="AG4008">
        <v>-1.104220763224</v>
      </c>
      <c r="AH4008">
        <v>15.510235865737901</v>
      </c>
      <c r="AI4008">
        <v>94.072075496874803</v>
      </c>
      <c r="AJ4008">
        <v>90.430035604425797</v>
      </c>
      <c r="AK4008">
        <v>15.5499283766621</v>
      </c>
    </row>
    <row r="4009" spans="1:37" x14ac:dyDescent="0.2">
      <c r="A4009" t="str">
        <f>"20200111155930820"</f>
        <v>20200111155930820</v>
      </c>
      <c r="B4009" t="str">
        <f t="shared" si="0"/>
        <v>1578729570726803</v>
      </c>
      <c r="C4009" t="s">
        <v>37</v>
      </c>
      <c r="D4009">
        <v>5.6519019999999998</v>
      </c>
      <c r="E4009">
        <v>0.47608069999999902</v>
      </c>
      <c r="F4009" t="s">
        <v>71</v>
      </c>
      <c r="G4009">
        <v>-303.38010000000003</v>
      </c>
      <c r="H4009" s="1">
        <v>-8.7798929999999996E-6</v>
      </c>
      <c r="I4009">
        <v>140.41650000000001</v>
      </c>
      <c r="J4009">
        <v>-287.99310000000003</v>
      </c>
      <c r="K4009">
        <v>1.104204</v>
      </c>
      <c r="L4009">
        <v>140.25370000000001</v>
      </c>
      <c r="M4009">
        <v>-0.99971520000000003</v>
      </c>
      <c r="N4009">
        <v>0</v>
      </c>
      <c r="O4009">
        <v>1.8850909999999999E-2</v>
      </c>
      <c r="P4009">
        <v>-0.99681090000000006</v>
      </c>
      <c r="Q4009">
        <v>1.8295309999999999E-2</v>
      </c>
      <c r="R4009">
        <v>7.7676839999999997E-2</v>
      </c>
      <c r="S4009">
        <v>-3.0112299999999999</v>
      </c>
      <c r="T4009">
        <v>-0.21152950000000001</v>
      </c>
      <c r="U4009">
        <v>3.2379150000000002E-2</v>
      </c>
      <c r="V4009">
        <v>5.8873040000000001E-2</v>
      </c>
      <c r="W4009">
        <v>3.2906619999999998E-2</v>
      </c>
      <c r="X4009">
        <v>0.99772299999999903</v>
      </c>
      <c r="Y4009">
        <v>-8.0353279999999996E-3</v>
      </c>
      <c r="Z4009">
        <v>-1.604472E-3</v>
      </c>
      <c r="AA4009">
        <v>0.99996640000000003</v>
      </c>
      <c r="AB4009">
        <v>35</v>
      </c>
      <c r="AC4009">
        <v>-15.387</v>
      </c>
      <c r="AD4009">
        <v>-1.1042127798929999</v>
      </c>
      <c r="AE4009">
        <v>0.162800000000004</v>
      </c>
      <c r="AF4009">
        <v>-0.12666670568334601</v>
      </c>
      <c r="AG4009">
        <v>-1.1042127798929999</v>
      </c>
      <c r="AH4009">
        <v>15.308506250080899</v>
      </c>
      <c r="AI4009">
        <v>94.125497007644299</v>
      </c>
      <c r="AJ4009">
        <v>90.474069899751498</v>
      </c>
      <c r="AK4009">
        <v>15.3488010582707</v>
      </c>
    </row>
    <row r="4010" spans="1:37" x14ac:dyDescent="0.2">
      <c r="A4010" t="str">
        <f>"20200111155930843"</f>
        <v>20200111155930843</v>
      </c>
      <c r="B4010" t="str">
        <f t="shared" si="0"/>
        <v>1578729570726803</v>
      </c>
      <c r="C4010" t="s">
        <v>37</v>
      </c>
      <c r="D4010">
        <v>5.6519019999999998</v>
      </c>
      <c r="E4010">
        <v>0.47608069999999902</v>
      </c>
      <c r="F4010" t="s">
        <v>71</v>
      </c>
      <c r="G4010">
        <v>-303.62869999999998</v>
      </c>
      <c r="H4010" s="1">
        <v>-8.8141180000000001E-6</v>
      </c>
      <c r="I4010">
        <v>140.41159999999999</v>
      </c>
      <c r="J4010">
        <v>-288.35239999999999</v>
      </c>
      <c r="K4010">
        <v>1.104201</v>
      </c>
      <c r="L4010">
        <v>140.26050000000001</v>
      </c>
      <c r="M4010">
        <v>-0.99971480000000001</v>
      </c>
      <c r="N4010">
        <v>0</v>
      </c>
      <c r="O4010">
        <v>1.8871619999999999E-2</v>
      </c>
      <c r="P4010">
        <v>-0.99685919999999895</v>
      </c>
      <c r="Q4010">
        <v>1.7682030000000001E-2</v>
      </c>
      <c r="R4010">
        <v>7.7196399999999998E-2</v>
      </c>
      <c r="S4010">
        <v>-3.01116899999999</v>
      </c>
      <c r="T4010">
        <v>-0.2126547</v>
      </c>
      <c r="U4010">
        <v>3.0395510000000001E-2</v>
      </c>
      <c r="V4010">
        <v>5.8370989999999998E-2</v>
      </c>
      <c r="W4010">
        <v>3.2289909999999998E-2</v>
      </c>
      <c r="X4010">
        <v>0.99777260000000001</v>
      </c>
      <c r="Y4010">
        <v>-8.7120489999999995E-3</v>
      </c>
      <c r="Z4010">
        <v>-1.6383509999999999E-3</v>
      </c>
      <c r="AA4010">
        <v>0.99996070000000004</v>
      </c>
      <c r="AB4010">
        <v>35</v>
      </c>
      <c r="AC4010">
        <v>-15.2762999999999</v>
      </c>
      <c r="AD4010">
        <v>-1.1042098141179999</v>
      </c>
      <c r="AE4010">
        <v>0.151099999999985</v>
      </c>
      <c r="AF4010">
        <v>-0.13653303746957901</v>
      </c>
      <c r="AG4010">
        <v>-1.1042098141179999</v>
      </c>
      <c r="AH4010">
        <v>15.1970375479517</v>
      </c>
      <c r="AI4010">
        <v>94.155614985328398</v>
      </c>
      <c r="AJ4010">
        <v>90.514742187313701</v>
      </c>
      <c r="AK4010">
        <v>15.2377121254396</v>
      </c>
    </row>
    <row r="4011" spans="1:37" x14ac:dyDescent="0.2">
      <c r="A4011" t="str">
        <f>"20200111155930864"</f>
        <v>20200111155930864</v>
      </c>
      <c r="B4011" t="str">
        <f t="shared" si="0"/>
        <v>1578729570726803</v>
      </c>
      <c r="C4011" t="s">
        <v>37</v>
      </c>
      <c r="D4011">
        <v>5.6519019999999998</v>
      </c>
      <c r="E4011">
        <v>0.47608069999999902</v>
      </c>
      <c r="F4011" t="s">
        <v>71</v>
      </c>
      <c r="G4011">
        <v>-303.85239999999999</v>
      </c>
      <c r="H4011" s="1">
        <v>-8.8457019999999995E-6</v>
      </c>
      <c r="I4011">
        <v>140.40969999999999</v>
      </c>
      <c r="J4011">
        <v>-288.68610000000001</v>
      </c>
      <c r="K4011">
        <v>1.104196</v>
      </c>
      <c r="L4011">
        <v>140.26679999999999</v>
      </c>
      <c r="M4011">
        <v>-0.9997144</v>
      </c>
      <c r="N4011">
        <v>0</v>
      </c>
      <c r="O4011">
        <v>1.8891020000000001E-2</v>
      </c>
      <c r="P4011">
        <v>-0.99692049999999999</v>
      </c>
      <c r="Q4011">
        <v>1.7698439999999999E-2</v>
      </c>
      <c r="R4011">
        <v>7.6395840000000007E-2</v>
      </c>
      <c r="S4011">
        <v>-3.0110169999999998</v>
      </c>
      <c r="T4011">
        <v>-0.21450279999999899</v>
      </c>
      <c r="U4011">
        <v>2.8976439999999999E-2</v>
      </c>
      <c r="V4011">
        <v>5.755002E-2</v>
      </c>
      <c r="W4011">
        <v>3.2303270000000002E-2</v>
      </c>
      <c r="X4011">
        <v>0.99781989999999998</v>
      </c>
      <c r="Y4011">
        <v>-9.1996749999999992E-3</v>
      </c>
      <c r="Z4011">
        <v>-1.6713699999999999E-3</v>
      </c>
      <c r="AA4011">
        <v>0.99995630000000002</v>
      </c>
      <c r="AB4011">
        <v>35</v>
      </c>
      <c r="AC4011">
        <v>-15.1662999999999</v>
      </c>
      <c r="AD4011">
        <v>-1.1042048457019999</v>
      </c>
      <c r="AE4011">
        <v>0.142899999999997</v>
      </c>
      <c r="AF4011">
        <v>-0.142905634946455</v>
      </c>
      <c r="AG4011">
        <v>-1.1042048457019999</v>
      </c>
      <c r="AH4011">
        <v>15.0863305278243</v>
      </c>
      <c r="AI4011">
        <v>94.185964289408901</v>
      </c>
      <c r="AJ4011">
        <v>90.542719440811894</v>
      </c>
      <c r="AK4011">
        <v>15.1273612754021</v>
      </c>
    </row>
    <row r="4012" spans="1:37" x14ac:dyDescent="0.2">
      <c r="A4012" t="str">
        <f>"20200111155930886"</f>
        <v>20200111155930886</v>
      </c>
      <c r="B4012" t="str">
        <f t="shared" si="0"/>
        <v>1578729570726803</v>
      </c>
      <c r="C4012" t="s">
        <v>37</v>
      </c>
      <c r="D4012">
        <v>5.6519019999999998</v>
      </c>
      <c r="E4012">
        <v>0.47608069999999902</v>
      </c>
      <c r="F4012" t="s">
        <v>71</v>
      </c>
      <c r="G4012">
        <v>-304.19389999999999</v>
      </c>
      <c r="H4012" s="1">
        <v>-8.8928900000000002E-6</v>
      </c>
      <c r="I4012">
        <v>140.40350000000001</v>
      </c>
      <c r="J4012">
        <v>-289.02120000000002</v>
      </c>
      <c r="K4012">
        <v>1.104198</v>
      </c>
      <c r="L4012">
        <v>140.2732</v>
      </c>
      <c r="M4012">
        <v>-0.99971409999999905</v>
      </c>
      <c r="N4012">
        <v>0</v>
      </c>
      <c r="O4012">
        <v>1.8910420000000001E-2</v>
      </c>
      <c r="P4012">
        <v>-0.99690239999999997</v>
      </c>
      <c r="Q4012">
        <v>1.8506870000000002E-2</v>
      </c>
      <c r="R4012">
        <v>7.6439869999999993E-2</v>
      </c>
      <c r="S4012">
        <v>-3.011047</v>
      </c>
      <c r="T4012">
        <v>-0.214396</v>
      </c>
      <c r="U4012">
        <v>2.6535030000000001E-2</v>
      </c>
      <c r="V4012">
        <v>5.7575260000000003E-2</v>
      </c>
      <c r="W4012">
        <v>3.3107739999999997E-2</v>
      </c>
      <c r="X4012">
        <v>0.99779209999999996</v>
      </c>
      <c r="Y4012">
        <v>-1.002781E-2</v>
      </c>
      <c r="Z4012">
        <v>-1.701356E-3</v>
      </c>
      <c r="AA4012">
        <v>0.99994830000000001</v>
      </c>
      <c r="AB4012">
        <v>35</v>
      </c>
      <c r="AC4012">
        <v>-15.172699999999899</v>
      </c>
      <c r="AD4012">
        <v>-1.10420689289</v>
      </c>
      <c r="AE4012">
        <v>0.130300000000005</v>
      </c>
      <c r="AF4012">
        <v>-0.15585077996802801</v>
      </c>
      <c r="AG4012">
        <v>-1.10420689289</v>
      </c>
      <c r="AH4012">
        <v>15.0925214557821</v>
      </c>
      <c r="AI4012">
        <v>94.184225805272703</v>
      </c>
      <c r="AJ4012">
        <v>90.591635703422398</v>
      </c>
      <c r="AK4012">
        <v>15.1336633443845</v>
      </c>
    </row>
    <row r="4013" spans="1:37" x14ac:dyDescent="0.2">
      <c r="A4013" t="str">
        <f>"20200111155930908"</f>
        <v>20200111155930908</v>
      </c>
      <c r="B4013" t="str">
        <f t="shared" si="0"/>
        <v>1578729570726803</v>
      </c>
      <c r="C4013" t="s">
        <v>37</v>
      </c>
      <c r="D4013">
        <v>5.6519019999999998</v>
      </c>
      <c r="E4013">
        <v>0.47608069999999902</v>
      </c>
      <c r="F4013" t="s">
        <v>38</v>
      </c>
      <c r="G4013">
        <v>-290.03219999999999</v>
      </c>
      <c r="H4013">
        <v>1.0330779999999999</v>
      </c>
      <c r="I4013">
        <v>140.2824</v>
      </c>
      <c r="J4013">
        <v>-289.36090000000002</v>
      </c>
      <c r="K4013">
        <v>1.104195</v>
      </c>
      <c r="L4013">
        <v>140.27959999999999</v>
      </c>
      <c r="M4013">
        <v>-0.99971390000000004</v>
      </c>
      <c r="N4013">
        <v>0</v>
      </c>
      <c r="O4013">
        <v>1.8929999999999999E-2</v>
      </c>
      <c r="P4013">
        <v>-0.996897699999999</v>
      </c>
      <c r="Q4013">
        <v>1.8742829999999999E-2</v>
      </c>
      <c r="R4013">
        <v>7.6446390000000003E-2</v>
      </c>
      <c r="S4013">
        <v>-3.0112000000000001</v>
      </c>
      <c r="T4013">
        <v>-0.211922899999999</v>
      </c>
      <c r="U4013">
        <v>2.650452E-2</v>
      </c>
      <c r="V4013">
        <v>5.756236E-2</v>
      </c>
      <c r="W4013">
        <v>3.3339819999999999E-2</v>
      </c>
      <c r="X4013">
        <v>0.99778509999999998</v>
      </c>
      <c r="Y4013">
        <v>-1.0059530000000001E-2</v>
      </c>
      <c r="Z4013">
        <v>-1.6841849999999999E-3</v>
      </c>
      <c r="AA4013">
        <v>0.99994799999999995</v>
      </c>
      <c r="AB4013">
        <v>34</v>
      </c>
      <c r="AC4013">
        <v>-0.67129999999997303</v>
      </c>
      <c r="AD4013">
        <v>-7.1116999999999805E-2</v>
      </c>
      <c r="AE4013">
        <v>2.80000000000768E-3</v>
      </c>
      <c r="AF4013">
        <v>-9.7995892950930308E-3</v>
      </c>
      <c r="AG4013">
        <v>-7.1116999999999805E-2</v>
      </c>
      <c r="AH4013">
        <v>0.66378310760094295</v>
      </c>
      <c r="AI4013">
        <v>96.114618829890404</v>
      </c>
      <c r="AJ4013">
        <v>90.845809895882297</v>
      </c>
      <c r="AK4013">
        <v>0.66765385760565898</v>
      </c>
    </row>
    <row r="4014" spans="1:37" x14ac:dyDescent="0.2">
      <c r="A4014" t="str">
        <f>"20200111155930932"</f>
        <v>20200111155930932</v>
      </c>
      <c r="B4014" t="str">
        <f t="shared" si="0"/>
        <v>1578729570726803</v>
      </c>
      <c r="C4014" t="s">
        <v>37</v>
      </c>
      <c r="D4014">
        <v>5.6519019999999998</v>
      </c>
      <c r="E4014">
        <v>0.47608069999999902</v>
      </c>
      <c r="F4014" t="s">
        <v>38</v>
      </c>
      <c r="G4014">
        <v>-290.34179999999998</v>
      </c>
      <c r="H4014">
        <v>1.035444</v>
      </c>
      <c r="I4014">
        <v>140.2884</v>
      </c>
      <c r="J4014">
        <v>-289.72469999999998</v>
      </c>
      <c r="K4014">
        <v>1.1041920000000001</v>
      </c>
      <c r="L4014">
        <v>140.28649999999999</v>
      </c>
      <c r="M4014">
        <v>-0.99971350000000003</v>
      </c>
      <c r="N4014">
        <v>0</v>
      </c>
      <c r="O4014">
        <v>1.895107E-2</v>
      </c>
      <c r="P4014">
        <v>-0.99684879999999998</v>
      </c>
      <c r="Q4014">
        <v>1.8883110000000002E-2</v>
      </c>
      <c r="R4014">
        <v>7.7047619999999997E-2</v>
      </c>
      <c r="S4014">
        <v>-3.0112919999999899</v>
      </c>
      <c r="T4014">
        <v>-0.21107239999999999</v>
      </c>
      <c r="U4014">
        <v>2.6412959999999999E-2</v>
      </c>
      <c r="V4014">
        <v>5.8143399999999998E-2</v>
      </c>
      <c r="W4014">
        <v>3.3475640000000001E-2</v>
      </c>
      <c r="X4014">
        <v>0.99774680000000004</v>
      </c>
      <c r="Y4014">
        <v>-1.011167E-2</v>
      </c>
      <c r="Z4014">
        <v>-1.6806919999999999E-3</v>
      </c>
      <c r="AA4014">
        <v>0.99994749999999999</v>
      </c>
      <c r="AB4014">
        <v>34</v>
      </c>
      <c r="AC4014">
        <v>-0.61709999999999299</v>
      </c>
      <c r="AD4014">
        <v>-6.8748000000000004E-2</v>
      </c>
      <c r="AE4014">
        <v>1.90000000000623E-3</v>
      </c>
      <c r="AF4014">
        <v>-9.6762059234881299E-3</v>
      </c>
      <c r="AG4014">
        <v>-6.8748000000000004E-2</v>
      </c>
      <c r="AH4014">
        <v>0.60946117322290205</v>
      </c>
      <c r="AI4014">
        <v>96.435028269237904</v>
      </c>
      <c r="AJ4014">
        <v>90.909589010460095</v>
      </c>
      <c r="AK4014">
        <v>0.61340267209338895</v>
      </c>
    </row>
    <row r="4015" spans="1:37" x14ac:dyDescent="0.2">
      <c r="A4015" t="str">
        <f>"20200111155930955"</f>
        <v>20200111155930955</v>
      </c>
      <c r="B4015" t="str">
        <f t="shared" si="0"/>
        <v>1578729570726803</v>
      </c>
      <c r="C4015" t="s">
        <v>37</v>
      </c>
      <c r="D4015">
        <v>5.6519019999999998</v>
      </c>
      <c r="E4015">
        <v>0.47608069999999902</v>
      </c>
      <c r="F4015" t="s">
        <v>71</v>
      </c>
      <c r="G4015">
        <v>-305.5181</v>
      </c>
      <c r="H4015" s="1">
        <v>-9.0920640000000004E-6</v>
      </c>
      <c r="I4015">
        <v>140.43379999999999</v>
      </c>
      <c r="J4015">
        <v>-290.07479999999998</v>
      </c>
      <c r="K4015">
        <v>1.1041859999999999</v>
      </c>
      <c r="L4015">
        <v>140.29320000000001</v>
      </c>
      <c r="M4015">
        <v>-0.99971309999999902</v>
      </c>
      <c r="N4015">
        <v>0</v>
      </c>
      <c r="O4015">
        <v>1.89713E-2</v>
      </c>
      <c r="P4015">
        <v>-0.99685000000000001</v>
      </c>
      <c r="Q4015">
        <v>1.897045E-2</v>
      </c>
      <c r="R4015">
        <v>7.7009540000000001E-2</v>
      </c>
      <c r="S4015">
        <v>-3.0112919999999899</v>
      </c>
      <c r="T4015">
        <v>-0.21053620000000001</v>
      </c>
      <c r="U4015">
        <v>2.8076170000000001E-2</v>
      </c>
      <c r="V4015">
        <v>5.808514E-2</v>
      </c>
      <c r="W4015">
        <v>3.3558570000000003E-2</v>
      </c>
      <c r="X4015">
        <v>0.99774739999999995</v>
      </c>
      <c r="Y4015">
        <v>-9.5812669999999992E-3</v>
      </c>
      <c r="Z4015">
        <v>-1.6593210000000001E-3</v>
      </c>
      <c r="AA4015">
        <v>0.99995270000000003</v>
      </c>
      <c r="AB4015">
        <v>34</v>
      </c>
      <c r="AC4015">
        <v>-15.443300000000001</v>
      </c>
      <c r="AD4015">
        <v>-1.104195092064</v>
      </c>
      <c r="AE4015">
        <v>0.14059999999997699</v>
      </c>
      <c r="AF4015">
        <v>-0.151660849576884</v>
      </c>
      <c r="AG4015">
        <v>-1.104195092064</v>
      </c>
      <c r="AH4015">
        <v>15.364646423164301</v>
      </c>
      <c r="AI4015">
        <v>94.110349862566807</v>
      </c>
      <c r="AJ4015">
        <v>90.565534940571794</v>
      </c>
      <c r="AK4015">
        <v>15.40501890695</v>
      </c>
    </row>
    <row r="4016" spans="1:37" x14ac:dyDescent="0.2">
      <c r="A4016" t="str">
        <f>"20200111155930976"</f>
        <v>20200111155930976</v>
      </c>
      <c r="B4016" t="str">
        <f>"1578729570964009"</f>
        <v>1578729570964009</v>
      </c>
      <c r="C4016" t="s">
        <v>37</v>
      </c>
      <c r="D4016">
        <v>5.8680309999999896</v>
      </c>
      <c r="E4016">
        <v>0.46669690000000003</v>
      </c>
      <c r="F4016" t="s">
        <v>71</v>
      </c>
      <c r="G4016">
        <v>-305.8827</v>
      </c>
      <c r="H4016" s="1">
        <v>-9.1464639999999994E-6</v>
      </c>
      <c r="I4016">
        <v>140.44069999999999</v>
      </c>
      <c r="J4016">
        <v>-290.40260000000001</v>
      </c>
      <c r="K4016">
        <v>1.1041809999999901</v>
      </c>
      <c r="L4016">
        <v>140.29949999999999</v>
      </c>
      <c r="M4016">
        <v>-0.99971279999999996</v>
      </c>
      <c r="N4016">
        <v>0</v>
      </c>
      <c r="O4016">
        <v>1.899052E-2</v>
      </c>
      <c r="P4016">
        <v>-0.99687800000000004</v>
      </c>
      <c r="Q4016">
        <v>1.8535889999999999E-2</v>
      </c>
      <c r="R4016">
        <v>7.674976E-2</v>
      </c>
      <c r="S4016">
        <v>-3.0113219999999998</v>
      </c>
      <c r="T4016">
        <v>-0.21034429999999901</v>
      </c>
      <c r="U4016">
        <v>2.8091430000000001E-2</v>
      </c>
      <c r="V4016">
        <v>5.7805499999999899E-2</v>
      </c>
      <c r="W4016">
        <v>3.3121079999999997E-2</v>
      </c>
      <c r="X4016">
        <v>0.99777830000000001</v>
      </c>
      <c r="Y4016">
        <v>-9.5955639999999991E-3</v>
      </c>
      <c r="Z4016">
        <v>-1.659635E-3</v>
      </c>
      <c r="AA4016">
        <v>0.99995259999999997</v>
      </c>
      <c r="AB4016">
        <v>34</v>
      </c>
      <c r="AC4016">
        <v>-15.480099999999901</v>
      </c>
      <c r="AD4016">
        <v>-1.1041901464639901</v>
      </c>
      <c r="AE4016">
        <v>0.14119999999999699</v>
      </c>
      <c r="AF4016">
        <v>-0.15205843388884899</v>
      </c>
      <c r="AG4016">
        <v>-1.1041901464639901</v>
      </c>
      <c r="AH4016">
        <v>15.4016337791256</v>
      </c>
      <c r="AI4016">
        <v>94.100494091969395</v>
      </c>
      <c r="AJ4016">
        <v>90.565655797892305</v>
      </c>
      <c r="AK4016">
        <v>15.4419131170062</v>
      </c>
    </row>
    <row r="4017" spans="1:37" x14ac:dyDescent="0.2">
      <c r="A4017" t="str">
        <f>"20200111155930999"</f>
        <v>20200111155930999</v>
      </c>
      <c r="B4017" t="str">
        <f>"1578729570993798"</f>
        <v>1578729570993798</v>
      </c>
      <c r="C4017" t="s">
        <v>37</v>
      </c>
      <c r="D4017">
        <v>5.8739080000000001</v>
      </c>
      <c r="E4017">
        <v>0.46679579999999998</v>
      </c>
      <c r="F4017" t="s">
        <v>71</v>
      </c>
      <c r="G4017">
        <v>-305.71010000000001</v>
      </c>
      <c r="H4017" s="1">
        <v>-9.0077539999999995E-6</v>
      </c>
      <c r="I4017">
        <v>140.05770000000001</v>
      </c>
      <c r="J4017">
        <v>-290.75779999999997</v>
      </c>
      <c r="K4017">
        <v>1.104179</v>
      </c>
      <c r="L4017">
        <v>140.30619999999999</v>
      </c>
      <c r="M4017">
        <v>-0.9997125</v>
      </c>
      <c r="N4017">
        <v>0</v>
      </c>
      <c r="O4017">
        <v>1.901123E-2</v>
      </c>
      <c r="P4017">
        <v>-0.99691919999999901</v>
      </c>
      <c r="Q4017">
        <v>1.781226E-2</v>
      </c>
      <c r="R4017">
        <v>7.6388029999999996E-2</v>
      </c>
      <c r="S4017">
        <v>-3.0171199999999998</v>
      </c>
      <c r="T4017">
        <v>-0.2176372</v>
      </c>
      <c r="U4017">
        <v>-4.76532E-2</v>
      </c>
      <c r="V4017">
        <v>5.7422300000000003E-2</v>
      </c>
      <c r="W4017">
        <v>3.2393810000000002E-2</v>
      </c>
      <c r="X4017">
        <v>0.9978243</v>
      </c>
      <c r="Y4017">
        <v>-3.466089E-2</v>
      </c>
      <c r="Z4017">
        <v>-2.6180449999999998E-3</v>
      </c>
      <c r="AA4017">
        <v>0.9993957</v>
      </c>
      <c r="AB4017">
        <v>34</v>
      </c>
      <c r="AC4017">
        <v>-14.952299999999999</v>
      </c>
      <c r="AD4017">
        <v>-1.1041880077540001</v>
      </c>
      <c r="AE4017">
        <v>-0.24849999999997799</v>
      </c>
      <c r="AF4017">
        <v>-0.52985829258255202</v>
      </c>
      <c r="AG4017">
        <v>-1.1041880077540001</v>
      </c>
      <c r="AH4017">
        <v>14.8638357404897</v>
      </c>
      <c r="AI4017">
        <v>94.2458340982284</v>
      </c>
      <c r="AJ4017">
        <v>92.041585690744697</v>
      </c>
      <c r="AK4017">
        <v>14.914207786099301</v>
      </c>
    </row>
    <row r="4018" spans="1:37" x14ac:dyDescent="0.2">
      <c r="A4018" t="str">
        <f>"20200111155931021"</f>
        <v>20200111155931021</v>
      </c>
      <c r="B4018" t="str">
        <f>"1578729571014294"</f>
        <v>1578729571014294</v>
      </c>
      <c r="C4018" t="s">
        <v>37</v>
      </c>
      <c r="D4018">
        <v>5.8432469999999999</v>
      </c>
      <c r="E4018">
        <v>0.46684899999999901</v>
      </c>
      <c r="F4018" t="s">
        <v>71</v>
      </c>
      <c r="G4018">
        <v>-306.0831</v>
      </c>
      <c r="H4018" s="1">
        <v>-9.0632910000000005E-6</v>
      </c>
      <c r="I4018">
        <v>140.0643</v>
      </c>
      <c r="J4018">
        <v>-291.08699999999999</v>
      </c>
      <c r="K4018">
        <v>1.1041700000000001</v>
      </c>
      <c r="L4018">
        <v>140.3125</v>
      </c>
      <c r="M4018">
        <v>-0.99971219999999905</v>
      </c>
      <c r="N4018">
        <v>0</v>
      </c>
      <c r="O4018">
        <v>1.90308E-2</v>
      </c>
      <c r="P4018">
        <v>-0.99696130000000005</v>
      </c>
      <c r="Q4018">
        <v>1.7066990000000001E-2</v>
      </c>
      <c r="R4018">
        <v>7.6006749999999998E-2</v>
      </c>
      <c r="S4018">
        <v>-3.0168459999999899</v>
      </c>
      <c r="T4018">
        <v>-0.21736259999999999</v>
      </c>
      <c r="U4018">
        <v>-4.7622680000000001E-2</v>
      </c>
      <c r="V4018">
        <v>5.7020679999999997E-2</v>
      </c>
      <c r="W4018">
        <v>3.1645569999999998E-2</v>
      </c>
      <c r="X4018">
        <v>0.99787130000000002</v>
      </c>
      <c r="Y4018">
        <v>-3.4672040000000001E-2</v>
      </c>
      <c r="Z4018">
        <v>-2.616798E-3</v>
      </c>
      <c r="AA4018">
        <v>0.99939529999999999</v>
      </c>
      <c r="AB4018">
        <v>34</v>
      </c>
      <c r="AC4018">
        <v>-14.9961</v>
      </c>
      <c r="AD4018">
        <v>-1.104179063291</v>
      </c>
      <c r="AE4018">
        <v>-0.24819999999999701</v>
      </c>
      <c r="AF4018">
        <v>-0.53069686446406605</v>
      </c>
      <c r="AG4018">
        <v>-1.104179063291</v>
      </c>
      <c r="AH4018">
        <v>14.907858288281799</v>
      </c>
      <c r="AI4018">
        <v>94.233315087668004</v>
      </c>
      <c r="AJ4018">
        <v>92.038780849971303</v>
      </c>
      <c r="AK4018">
        <v>14.9581111544625</v>
      </c>
    </row>
    <row r="4019" spans="1:37" x14ac:dyDescent="0.2">
      <c r="A4019" t="str">
        <f>"20200111155931044"</f>
        <v>20200111155931044</v>
      </c>
      <c r="B4019" t="str">
        <f>"1578729571033815"</f>
        <v>1578729571033815</v>
      </c>
      <c r="C4019" t="s">
        <v>37</v>
      </c>
      <c r="D4019">
        <v>5.9319160000000002</v>
      </c>
      <c r="E4019">
        <v>0.46673140000000002</v>
      </c>
      <c r="F4019" t="s">
        <v>71</v>
      </c>
      <c r="G4019">
        <v>-306.13099999999997</v>
      </c>
      <c r="H4019" s="1">
        <v>-9.0721019999999996E-6</v>
      </c>
      <c r="I4019">
        <v>140.07079999999999</v>
      </c>
      <c r="J4019">
        <v>-291.43880000000001</v>
      </c>
      <c r="K4019">
        <v>1.104163</v>
      </c>
      <c r="L4019">
        <v>140.3192</v>
      </c>
      <c r="M4019">
        <v>-0.99971180000000004</v>
      </c>
      <c r="N4019">
        <v>0</v>
      </c>
      <c r="O4019">
        <v>1.9051390000000001E-2</v>
      </c>
      <c r="P4019">
        <v>-0.99706049999999902</v>
      </c>
      <c r="Q4019">
        <v>1.560829E-2</v>
      </c>
      <c r="R4019">
        <v>7.5009960000000001E-2</v>
      </c>
      <c r="S4019">
        <v>-3.0166019999999998</v>
      </c>
      <c r="T4019">
        <v>-0.22140860000000001</v>
      </c>
      <c r="U4019">
        <v>-4.8461909999999997E-2</v>
      </c>
      <c r="V4019">
        <v>5.6001410000000001E-2</v>
      </c>
      <c r="W4019">
        <v>3.018475E-2</v>
      </c>
      <c r="X4019">
        <v>0.99797429999999998</v>
      </c>
      <c r="Y4019">
        <v>-3.496577E-2</v>
      </c>
      <c r="Z4019">
        <v>-2.6778609999999902E-3</v>
      </c>
      <c r="AA4019">
        <v>0.99938490000000002</v>
      </c>
      <c r="AB4019">
        <v>34</v>
      </c>
      <c r="AC4019">
        <v>-14.6921999999999</v>
      </c>
      <c r="AD4019">
        <v>-1.1041720721020001</v>
      </c>
      <c r="AE4019">
        <v>-0.24840000000000301</v>
      </c>
      <c r="AF4019">
        <v>-0.52532537966897497</v>
      </c>
      <c r="AG4019">
        <v>-1.1041720721020001</v>
      </c>
      <c r="AH4019">
        <v>14.6023485344277</v>
      </c>
      <c r="AI4019">
        <v>94.321466966232194</v>
      </c>
      <c r="AJ4019">
        <v>92.060350234385396</v>
      </c>
      <c r="AK4019">
        <v>14.6534550683528</v>
      </c>
    </row>
    <row r="4020" spans="1:37" x14ac:dyDescent="0.2">
      <c r="A4020" t="str">
        <f>"20200111155931066"</f>
        <v>20200111155931066</v>
      </c>
      <c r="B4020" t="str">
        <f>"1578729571054309"</f>
        <v>1578729571054309</v>
      </c>
      <c r="C4020" t="s">
        <v>37</v>
      </c>
      <c r="D4020">
        <v>5.9309839999999996</v>
      </c>
      <c r="E4020">
        <v>0.46646559999999998</v>
      </c>
      <c r="F4020" t="s">
        <v>71</v>
      </c>
      <c r="G4020">
        <v>-306.1377</v>
      </c>
      <c r="H4020" s="1">
        <v>-9.0708010000000007E-6</v>
      </c>
      <c r="I4020">
        <v>140.06319999999999</v>
      </c>
      <c r="J4020">
        <v>-291.77229999999997</v>
      </c>
      <c r="K4020">
        <v>1.10416</v>
      </c>
      <c r="L4020">
        <v>140.32560000000001</v>
      </c>
      <c r="M4020">
        <v>-0.99971149999999998</v>
      </c>
      <c r="N4020">
        <v>0</v>
      </c>
      <c r="O4020">
        <v>1.907091E-2</v>
      </c>
      <c r="P4020">
        <v>-0.9971525</v>
      </c>
      <c r="Q4020">
        <v>1.41485999999999E-2</v>
      </c>
      <c r="R4020">
        <v>7.4071650000000003E-2</v>
      </c>
      <c r="S4020">
        <v>-3.0163880000000001</v>
      </c>
      <c r="T4020">
        <v>-0.22658909999999999</v>
      </c>
      <c r="U4020">
        <v>-5.2536010000000001E-2</v>
      </c>
      <c r="V4020">
        <v>5.5041970000000003E-2</v>
      </c>
      <c r="W4020">
        <v>2.872245E-2</v>
      </c>
      <c r="X4020">
        <v>0.99807080000000004</v>
      </c>
      <c r="Y4020">
        <v>-3.6325059999999999E-2</v>
      </c>
      <c r="Z4020">
        <v>-2.7929529999999999E-3</v>
      </c>
      <c r="AA4020">
        <v>0.99933609999999995</v>
      </c>
      <c r="AB4020">
        <v>34</v>
      </c>
      <c r="AC4020">
        <v>-14.365399999999999</v>
      </c>
      <c r="AD4020">
        <v>-1.1041690708009999</v>
      </c>
      <c r="AE4020">
        <v>-0.26240000000001301</v>
      </c>
      <c r="AF4020">
        <v>-0.53319370680663403</v>
      </c>
      <c r="AG4020">
        <v>-1.1041690708009999</v>
      </c>
      <c r="AH4020">
        <v>14.2734834335405</v>
      </c>
      <c r="AI4020">
        <v>94.420410057593898</v>
      </c>
      <c r="AJ4020">
        <v>92.139320160528598</v>
      </c>
      <c r="AK4020">
        <v>14.3260536852773</v>
      </c>
    </row>
    <row r="4021" spans="1:37" x14ac:dyDescent="0.2">
      <c r="A4021" t="str">
        <f>"20200111155931087"</f>
        <v>20200111155931087</v>
      </c>
      <c r="B4021" t="str">
        <f>"1578729571084566"</f>
        <v>1578729571084566</v>
      </c>
      <c r="C4021" t="s">
        <v>37</v>
      </c>
      <c r="D4021">
        <v>5.4373610000000001</v>
      </c>
      <c r="E4021">
        <v>0.39184140000000001</v>
      </c>
      <c r="F4021" t="s">
        <v>71</v>
      </c>
      <c r="G4021">
        <v>-306.19869999999997</v>
      </c>
      <c r="H4021" s="1">
        <v>-9.0755949999999996E-6</v>
      </c>
      <c r="I4021">
        <v>140.04990000000001</v>
      </c>
      <c r="J4021">
        <v>-292.09440000000001</v>
      </c>
      <c r="K4021">
        <v>1.104158</v>
      </c>
      <c r="L4021">
        <v>140.33179999999999</v>
      </c>
      <c r="M4021">
        <v>-0.99971129999999997</v>
      </c>
      <c r="N4021">
        <v>0</v>
      </c>
      <c r="O4021">
        <v>1.908965E-2</v>
      </c>
      <c r="P4021">
        <v>-0.99725189999999997</v>
      </c>
      <c r="Q4021">
        <v>1.2732749999999999E-2</v>
      </c>
      <c r="R4021">
        <v>7.2984590000000002E-2</v>
      </c>
      <c r="S4021">
        <v>-3.0161439999999899</v>
      </c>
      <c r="T4021">
        <v>-0.23085039999999901</v>
      </c>
      <c r="U4021">
        <v>-5.7647709999999998E-2</v>
      </c>
      <c r="V4021">
        <v>5.3934509999999998E-2</v>
      </c>
      <c r="W4021">
        <v>2.7303939999999999E-2</v>
      </c>
      <c r="X4021">
        <v>0.99817109999999998</v>
      </c>
      <c r="Y4021">
        <v>-3.802726E-2</v>
      </c>
      <c r="Z4021">
        <v>-2.9119900000000002E-3</v>
      </c>
      <c r="AA4021">
        <v>0.99927250000000001</v>
      </c>
      <c r="AB4021">
        <v>34</v>
      </c>
      <c r="AC4021">
        <v>-14.104299999999901</v>
      </c>
      <c r="AD4021">
        <v>-1.1041670755949999</v>
      </c>
      <c r="AE4021">
        <v>-0.281899999999978</v>
      </c>
      <c r="AF4021">
        <v>-0.54776768771434803</v>
      </c>
      <c r="AG4021">
        <v>-1.1041670755949999</v>
      </c>
      <c r="AH4021">
        <v>14.0105157711023</v>
      </c>
      <c r="AI4021">
        <v>94.502733808250895</v>
      </c>
      <c r="AJ4021">
        <v>92.238946843520196</v>
      </c>
      <c r="AK4021">
        <v>14.0646289159309</v>
      </c>
    </row>
    <row r="4022" spans="1:37" x14ac:dyDescent="0.2">
      <c r="A4022" t="str">
        <f>"20200111155931109"</f>
        <v>20200111155931109</v>
      </c>
      <c r="B4022" t="str">
        <f>"1578729571104086"</f>
        <v>1578729571104086</v>
      </c>
      <c r="C4022" t="s">
        <v>37</v>
      </c>
      <c r="D4022">
        <v>5.4047970000000003</v>
      </c>
      <c r="E4022">
        <v>0.38344780000000001</v>
      </c>
      <c r="F4022" t="s">
        <v>71</v>
      </c>
      <c r="G4022">
        <v>-306.35300000000001</v>
      </c>
      <c r="H4022" s="1">
        <v>-8.2206769999999995E-6</v>
      </c>
      <c r="I4022">
        <v>137.27760000000001</v>
      </c>
      <c r="J4022">
        <v>-292.43700000000001</v>
      </c>
      <c r="K4022">
        <v>1.104152</v>
      </c>
      <c r="L4022">
        <v>140.3383</v>
      </c>
      <c r="M4022">
        <v>-0.99971089999999996</v>
      </c>
      <c r="N4022">
        <v>0</v>
      </c>
      <c r="O4022">
        <v>1.91097E-2</v>
      </c>
      <c r="P4022">
        <v>-0.99734419999999901</v>
      </c>
      <c r="Q4022">
        <v>1.1727889999999999E-2</v>
      </c>
      <c r="R4022">
        <v>7.1883069999999993E-2</v>
      </c>
      <c r="S4022">
        <v>-3.0592349999999899</v>
      </c>
      <c r="T4022">
        <v>-0.23690259999999999</v>
      </c>
      <c r="U4022">
        <v>-0.65527340000000001</v>
      </c>
      <c r="V4022">
        <v>5.2811120000000003E-2</v>
      </c>
      <c r="W4022">
        <v>2.6296750000000001E-2</v>
      </c>
      <c r="X4022">
        <v>0.99825819999999998</v>
      </c>
      <c r="Y4022">
        <v>-0.2273877</v>
      </c>
      <c r="Z4022">
        <v>-1.015491E-2</v>
      </c>
      <c r="AA4022">
        <v>0.97375140000000004</v>
      </c>
      <c r="AB4022">
        <v>34</v>
      </c>
      <c r="AC4022">
        <v>-13.915999999999899</v>
      </c>
      <c r="AD4022">
        <v>-1.104160220677</v>
      </c>
      <c r="AE4022">
        <v>-3.06069999999999</v>
      </c>
      <c r="AF4022">
        <v>-3.3062455963043398</v>
      </c>
      <c r="AG4022">
        <v>-1.104160220677</v>
      </c>
      <c r="AH4022">
        <v>13.7722594393331</v>
      </c>
      <c r="AI4022">
        <v>94.457638639574498</v>
      </c>
      <c r="AJ4022">
        <v>103.499286617642</v>
      </c>
      <c r="AK4022">
        <v>14.2065322932905</v>
      </c>
    </row>
    <row r="4023" spans="1:37" x14ac:dyDescent="0.2">
      <c r="A4023" t="str">
        <f>"20200111155931132"</f>
        <v>20200111155931132</v>
      </c>
      <c r="B4023" t="str">
        <f>"1578729571124581"</f>
        <v>1578729571124581</v>
      </c>
      <c r="C4023" t="s">
        <v>37</v>
      </c>
      <c r="D4023">
        <v>5.4291159999999996</v>
      </c>
      <c r="E4023">
        <v>0.37942490000000001</v>
      </c>
      <c r="F4023" t="s">
        <v>71</v>
      </c>
      <c r="G4023">
        <v>-305.90370000000001</v>
      </c>
      <c r="H4023" s="1">
        <v>-8.1142129999999999E-6</v>
      </c>
      <c r="I4023">
        <v>137.1465</v>
      </c>
      <c r="J4023">
        <v>-292.78399999999999</v>
      </c>
      <c r="K4023">
        <v>1.104144</v>
      </c>
      <c r="L4023">
        <v>140.345</v>
      </c>
      <c r="M4023">
        <v>-0.99971069999999995</v>
      </c>
      <c r="N4023">
        <v>0</v>
      </c>
      <c r="O4023">
        <v>1.912964E-2</v>
      </c>
      <c r="P4023">
        <v>-0.99743909999999902</v>
      </c>
      <c r="Q4023">
        <v>9.9874919999999902E-3</v>
      </c>
      <c r="R4023">
        <v>7.0823520000000001E-2</v>
      </c>
      <c r="S4023">
        <v>-3.0632929999999998</v>
      </c>
      <c r="T4023">
        <v>-0.25116369999999999</v>
      </c>
      <c r="U4023">
        <v>-0.72604369999999996</v>
      </c>
      <c r="V4023">
        <v>5.1730070000000003E-2</v>
      </c>
      <c r="W4023">
        <v>2.4553999999999999E-2</v>
      </c>
      <c r="X4023">
        <v>0.998359199999999</v>
      </c>
      <c r="Y4023">
        <v>-0.2483477</v>
      </c>
      <c r="Z4023">
        <v>-1.157145E-2</v>
      </c>
      <c r="AA4023">
        <v>0.96860179999999996</v>
      </c>
      <c r="AB4023">
        <v>34</v>
      </c>
      <c r="AC4023">
        <v>-13.1197</v>
      </c>
      <c r="AD4023">
        <v>-1.104152114213</v>
      </c>
      <c r="AE4023">
        <v>-3.1984999999999899</v>
      </c>
      <c r="AF4023">
        <v>-3.4260117165202901</v>
      </c>
      <c r="AG4023">
        <v>-1.104152114213</v>
      </c>
      <c r="AH4023">
        <v>12.969398834541799</v>
      </c>
      <c r="AI4023">
        <v>94.705505474904001</v>
      </c>
      <c r="AJ4023">
        <v>104.79731057082201</v>
      </c>
      <c r="AK4023">
        <v>13.4596439144009</v>
      </c>
    </row>
    <row r="4024" spans="1:37" x14ac:dyDescent="0.2">
      <c r="A4024" t="str">
        <f>"20200111155931154"</f>
        <v>20200111155931154</v>
      </c>
      <c r="B4024" t="str">
        <f>"1578729571144105"</f>
        <v>1578729571144105</v>
      </c>
      <c r="C4024" t="s">
        <v>37</v>
      </c>
      <c r="D4024">
        <v>4.6168769999999997</v>
      </c>
      <c r="E4024">
        <v>0.37315029999999999</v>
      </c>
      <c r="F4024" t="s">
        <v>71</v>
      </c>
      <c r="G4024">
        <v>-305.71159999999998</v>
      </c>
      <c r="H4024" s="1">
        <v>-8.0820479999999995E-6</v>
      </c>
      <c r="I4024">
        <v>137.13220000000001</v>
      </c>
      <c r="J4024">
        <v>-293.13290000000001</v>
      </c>
      <c r="K4024">
        <v>1.104136</v>
      </c>
      <c r="L4024">
        <v>140.35159999999999</v>
      </c>
      <c r="M4024">
        <v>-0.99971030000000005</v>
      </c>
      <c r="N4024">
        <v>0</v>
      </c>
      <c r="O4024">
        <v>1.9150360000000002E-2</v>
      </c>
      <c r="P4024">
        <v>-0.99748780000000004</v>
      </c>
      <c r="Q4024">
        <v>7.8928920000000003E-3</v>
      </c>
      <c r="R4024">
        <v>7.0400840000000006E-2</v>
      </c>
      <c r="S4024">
        <v>-3.0644230000000001</v>
      </c>
      <c r="T4024">
        <v>-0.2617331</v>
      </c>
      <c r="U4024">
        <v>-0.76156619999999997</v>
      </c>
      <c r="V4024">
        <v>5.128564E-2</v>
      </c>
      <c r="W4024">
        <v>2.2456489999999999E-2</v>
      </c>
      <c r="X4024">
        <v>0.99843150000000003</v>
      </c>
      <c r="Y4024">
        <v>-0.25877089999999903</v>
      </c>
      <c r="Z4024">
        <v>-1.2475750000000001E-2</v>
      </c>
      <c r="AA4024">
        <v>0.9658582</v>
      </c>
      <c r="AB4024">
        <v>34</v>
      </c>
      <c r="AC4024">
        <v>-12.5786999999999</v>
      </c>
      <c r="AD4024">
        <v>-1.104144082048</v>
      </c>
      <c r="AE4024">
        <v>-3.2193999999999701</v>
      </c>
      <c r="AF4024">
        <v>-3.4348826095464902</v>
      </c>
      <c r="AG4024">
        <v>-1.104144082048</v>
      </c>
      <c r="AH4024">
        <v>12.424883851691</v>
      </c>
      <c r="AI4024">
        <v>94.895593332614894</v>
      </c>
      <c r="AJ4024">
        <v>105.453560892602</v>
      </c>
      <c r="AK4024">
        <v>12.938133227915699</v>
      </c>
    </row>
    <row r="4025" spans="1:37" x14ac:dyDescent="0.2">
      <c r="A4025" t="str">
        <f>"20200111155931176"</f>
        <v>20200111155931176</v>
      </c>
      <c r="B4025" t="str">
        <f>"1578729571164601"</f>
        <v>1578729571164601</v>
      </c>
      <c r="C4025" t="s">
        <v>37</v>
      </c>
      <c r="D4025">
        <v>4.8186660000000003</v>
      </c>
      <c r="E4025">
        <v>0.3672917</v>
      </c>
      <c r="F4025" t="s">
        <v>71</v>
      </c>
      <c r="G4025">
        <v>-307.34899999999999</v>
      </c>
      <c r="H4025" s="1">
        <v>-8.1489719999999995E-6</v>
      </c>
      <c r="I4025">
        <v>136.5899</v>
      </c>
      <c r="J4025">
        <v>-293.44819999999999</v>
      </c>
      <c r="K4025">
        <v>1.104123</v>
      </c>
      <c r="L4025">
        <v>140.35769999999999</v>
      </c>
      <c r="M4025">
        <v>-0.99970999999999999</v>
      </c>
      <c r="N4025">
        <v>0</v>
      </c>
      <c r="O4025">
        <v>1.9169579999999999E-2</v>
      </c>
      <c r="P4025">
        <v>-0.99754769999999904</v>
      </c>
      <c r="Q4025">
        <v>5.9800499999999998E-3</v>
      </c>
      <c r="R4025">
        <v>6.9736889999999996E-2</v>
      </c>
      <c r="S4025">
        <v>-3.0667419999999899</v>
      </c>
      <c r="T4025">
        <v>-0.23818929999999999</v>
      </c>
      <c r="U4025">
        <v>-0.81149289999999996</v>
      </c>
      <c r="V4025">
        <v>5.0601279999999998E-2</v>
      </c>
      <c r="W4025">
        <v>2.0541E-2</v>
      </c>
      <c r="X4025">
        <v>0.998507699999999</v>
      </c>
      <c r="Y4025">
        <v>-0.27346859999999901</v>
      </c>
      <c r="Z4025">
        <v>-1.1887959999999999E-2</v>
      </c>
      <c r="AA4025">
        <v>0.96180750000000004</v>
      </c>
      <c r="AB4025">
        <v>34</v>
      </c>
      <c r="AC4025">
        <v>-13.9008</v>
      </c>
      <c r="AD4025">
        <v>-1.104131148972</v>
      </c>
      <c r="AE4025">
        <v>-3.76779999999999</v>
      </c>
      <c r="AF4025">
        <v>-4.0100403800359397</v>
      </c>
      <c r="AG4025">
        <v>-1.104131148972</v>
      </c>
      <c r="AH4025">
        <v>13.7452264487258</v>
      </c>
      <c r="AI4025">
        <v>94.4095610742541</v>
      </c>
      <c r="AJ4025">
        <v>106.26410770261801</v>
      </c>
      <c r="AK4025">
        <v>14.360737431288101</v>
      </c>
    </row>
    <row r="4026" spans="1:37" x14ac:dyDescent="0.2">
      <c r="A4026" t="str">
        <f>"20200111155931198"</f>
        <v>20200111155931198</v>
      </c>
      <c r="B4026" t="str">
        <f>"1578729571193878"</f>
        <v>1578729571193878</v>
      </c>
      <c r="C4026" t="s">
        <v>37</v>
      </c>
      <c r="D4026">
        <v>4.6956220000000002</v>
      </c>
      <c r="E4026">
        <v>0.36161359999999998</v>
      </c>
      <c r="F4026" t="s">
        <v>71</v>
      </c>
      <c r="G4026">
        <v>-310.68729999999999</v>
      </c>
      <c r="H4026" s="1">
        <v>-7.9584919999999999E-6</v>
      </c>
      <c r="I4026">
        <v>135.5378</v>
      </c>
      <c r="J4026">
        <v>-293.79109999999997</v>
      </c>
      <c r="K4026">
        <v>1.104117</v>
      </c>
      <c r="L4026">
        <v>140.36429999999999</v>
      </c>
      <c r="M4026">
        <v>-0.99970949999999903</v>
      </c>
      <c r="N4026">
        <v>0</v>
      </c>
      <c r="O4026">
        <v>1.9190829999999999E-2</v>
      </c>
      <c r="P4026">
        <v>-0.997587</v>
      </c>
      <c r="Q4026">
        <v>3.751487E-3</v>
      </c>
      <c r="R4026">
        <v>6.9327589999999994E-2</v>
      </c>
      <c r="S4026">
        <v>-3.0685419999999999</v>
      </c>
      <c r="T4026">
        <v>-0.1965345</v>
      </c>
      <c r="U4026">
        <v>-0.857940699999999</v>
      </c>
      <c r="V4026">
        <v>5.0169930000000001E-2</v>
      </c>
      <c r="W4026">
        <v>1.8309349999999999E-2</v>
      </c>
      <c r="X4026">
        <v>0.99857280000000004</v>
      </c>
      <c r="Y4026">
        <v>-0.28711720000000002</v>
      </c>
      <c r="Z4026">
        <v>-1.0218649999999999E-2</v>
      </c>
      <c r="AA4026">
        <v>0.9578409</v>
      </c>
      <c r="AB4026">
        <v>34</v>
      </c>
      <c r="AC4026">
        <v>-16.8962</v>
      </c>
      <c r="AD4026">
        <v>-1.1041249584920001</v>
      </c>
      <c r="AE4026">
        <v>-4.8264999999999798</v>
      </c>
      <c r="AF4026">
        <v>-5.1296450083593799</v>
      </c>
      <c r="AG4026">
        <v>-1.1041249584920001</v>
      </c>
      <c r="AH4026">
        <v>16.7343837266116</v>
      </c>
      <c r="AI4026">
        <v>93.609564529484004</v>
      </c>
      <c r="AJ4026">
        <v>107.04204352887101</v>
      </c>
      <c r="AK4026">
        <v>17.537729287032398</v>
      </c>
    </row>
    <row r="4027" spans="1:37" x14ac:dyDescent="0.2">
      <c r="A4027" t="str">
        <f>"20200111155931221"</f>
        <v>20200111155931221</v>
      </c>
      <c r="B4027" t="str">
        <f>"1578729571214375"</f>
        <v>1578729571214375</v>
      </c>
      <c r="C4027" t="s">
        <v>37</v>
      </c>
      <c r="D4027">
        <v>5.4599580000000003</v>
      </c>
      <c r="E4027">
        <v>0.35943589999999997</v>
      </c>
      <c r="F4027" t="s">
        <v>71</v>
      </c>
      <c r="G4027">
        <v>-315.35910000000001</v>
      </c>
      <c r="H4027" s="1">
        <v>-5.6384019999999997E-6</v>
      </c>
      <c r="I4027">
        <v>134.02709999999999</v>
      </c>
      <c r="J4027">
        <v>-294.13249999999999</v>
      </c>
      <c r="K4027">
        <v>1.1041110000000001</v>
      </c>
      <c r="L4027">
        <v>140.37090000000001</v>
      </c>
      <c r="M4027">
        <v>-0.99970919999999897</v>
      </c>
      <c r="N4027">
        <v>0</v>
      </c>
      <c r="O4027">
        <v>1.9212380000000001E-2</v>
      </c>
      <c r="P4027">
        <v>-0.99762989999999996</v>
      </c>
      <c r="Q4027">
        <v>1.9550420000000002E-3</v>
      </c>
      <c r="R4027">
        <v>6.8780889999999997E-2</v>
      </c>
      <c r="S4027">
        <v>-3.070557</v>
      </c>
      <c r="T4027">
        <v>-0.15719029999999901</v>
      </c>
      <c r="U4027">
        <v>-0.90220639999999996</v>
      </c>
      <c r="V4027">
        <v>4.9600819999999997E-2</v>
      </c>
      <c r="W4027">
        <v>1.651004E-2</v>
      </c>
      <c r="X4027">
        <v>0.99863269999999904</v>
      </c>
      <c r="Y4027">
        <v>-0.2999058</v>
      </c>
      <c r="Z4027">
        <v>-8.4762910000000004E-3</v>
      </c>
      <c r="AA4027">
        <v>0.95393119999999998</v>
      </c>
      <c r="AB4027">
        <v>34</v>
      </c>
      <c r="AC4027">
        <v>-21.226600000000001</v>
      </c>
      <c r="AD4027">
        <v>-1.104116638402</v>
      </c>
      <c r="AE4027">
        <v>-6.3438000000000097</v>
      </c>
      <c r="AF4027">
        <v>-6.7337604377988196</v>
      </c>
      <c r="AG4027">
        <v>-1.104116638402</v>
      </c>
      <c r="AH4027">
        <v>21.048508807823801</v>
      </c>
      <c r="AI4027">
        <v>92.860198945778507</v>
      </c>
      <c r="AJ4027">
        <v>107.74031979048</v>
      </c>
      <c r="AK4027">
        <v>22.126959262806398</v>
      </c>
    </row>
    <row r="4028" spans="1:37" x14ac:dyDescent="0.2">
      <c r="A4028" t="str">
        <f>"20200111155931433"</f>
        <v>20200111155931433</v>
      </c>
      <c r="B4028" t="str">
        <f>"1578729571424217"</f>
        <v>1578729571424217</v>
      </c>
      <c r="C4028" t="s">
        <v>37</v>
      </c>
      <c r="D4028">
        <v>4.2379619999999996</v>
      </c>
      <c r="E4028">
        <v>0.35706090000000001</v>
      </c>
      <c r="F4028" t="s">
        <v>71</v>
      </c>
      <c r="G4028">
        <v>-316.05279999999999</v>
      </c>
      <c r="H4028" s="1">
        <v>-5.2572939999999999E-6</v>
      </c>
      <c r="I4028">
        <v>133.79740000000001</v>
      </c>
      <c r="J4028">
        <v>-297.31880000000001</v>
      </c>
      <c r="K4028">
        <v>1.1041129999999999</v>
      </c>
      <c r="L4028">
        <v>140.43270000000001</v>
      </c>
      <c r="M4028">
        <v>-0.99970569999999903</v>
      </c>
      <c r="N4028">
        <v>0</v>
      </c>
      <c r="O4028">
        <v>1.9419450000000001E-2</v>
      </c>
      <c r="P4028">
        <v>-0.99760479999999996</v>
      </c>
      <c r="Q4028">
        <v>-1.8931549999999999E-4</v>
      </c>
      <c r="R4028">
        <v>6.9171860000000002E-2</v>
      </c>
      <c r="S4028">
        <v>-3.070862</v>
      </c>
      <c r="T4028">
        <v>-0.15467800000000001</v>
      </c>
      <c r="U4028">
        <v>-0.92089840000000001</v>
      </c>
      <c r="V4028">
        <v>4.9785009999999998E-2</v>
      </c>
      <c r="W4028">
        <v>1.433068E-2</v>
      </c>
      <c r="X4028">
        <v>0.99865720000000002</v>
      </c>
      <c r="Y4028">
        <v>-0.3054153</v>
      </c>
      <c r="Z4028">
        <v>-8.4790509999999996E-3</v>
      </c>
      <c r="AA4028">
        <v>0.95218150000000001</v>
      </c>
      <c r="AB4028">
        <v>34</v>
      </c>
      <c r="AC4028">
        <v>-18.733999999999899</v>
      </c>
      <c r="AD4028">
        <v>-1.10411825729399</v>
      </c>
      <c r="AE4028">
        <v>-6.6353</v>
      </c>
      <c r="AF4028">
        <v>-6.9763594334947401</v>
      </c>
      <c r="AG4028">
        <v>-1.10411825729399</v>
      </c>
      <c r="AH4028">
        <v>18.544364591871101</v>
      </c>
      <c r="AI4028">
        <v>93.189587798854603</v>
      </c>
      <c r="AJ4028">
        <v>110.616217103517</v>
      </c>
      <c r="AK4028">
        <v>19.843944320312001</v>
      </c>
    </row>
    <row r="4029" spans="1:37" x14ac:dyDescent="0.2">
      <c r="A4029" t="str">
        <f>"20200111155931534"</f>
        <v>20200111155931534</v>
      </c>
      <c r="B4029" t="str">
        <f>"1578729571523766"</f>
        <v>1578729571523766</v>
      </c>
      <c r="C4029" t="s">
        <v>37</v>
      </c>
      <c r="D4029">
        <v>5.2281040000000001</v>
      </c>
      <c r="E4029">
        <v>0.36322979999999999</v>
      </c>
      <c r="F4029" t="s">
        <v>39</v>
      </c>
      <c r="G4029">
        <v>-320.71780000000001</v>
      </c>
      <c r="H4029" s="1">
        <v>-5.0871269999999997E-6</v>
      </c>
      <c r="I4029">
        <v>133.28659999999999</v>
      </c>
      <c r="J4029">
        <v>-298.64769999999999</v>
      </c>
      <c r="K4029">
        <v>1.1041449999999999</v>
      </c>
      <c r="L4029">
        <v>140.45869999999999</v>
      </c>
      <c r="M4029">
        <v>-0.99970400000000004</v>
      </c>
      <c r="N4029">
        <v>0</v>
      </c>
      <c r="O4029">
        <v>1.9518999999999901E-2</v>
      </c>
      <c r="P4029">
        <v>-0.99752319999999906</v>
      </c>
      <c r="Q4029">
        <v>4.6329780000000003E-3</v>
      </c>
      <c r="R4029">
        <v>7.0185590000000006E-2</v>
      </c>
      <c r="S4029">
        <v>-3.0722659999999999</v>
      </c>
      <c r="T4029">
        <v>-0.14496979999999901</v>
      </c>
      <c r="U4029">
        <v>-0.93826290000000001</v>
      </c>
      <c r="V4029">
        <v>5.0701410000000002E-2</v>
      </c>
      <c r="W4029">
        <v>1.9136520000000001E-2</v>
      </c>
      <c r="X4029">
        <v>0.99853049999999999</v>
      </c>
      <c r="Y4029">
        <v>-0.31035839999999998</v>
      </c>
      <c r="Z4029">
        <v>-8.0561939999999992E-3</v>
      </c>
      <c r="AA4029">
        <v>0.95058549999999997</v>
      </c>
      <c r="AB4029">
        <v>33</v>
      </c>
      <c r="AC4029">
        <v>-22.0701</v>
      </c>
      <c r="AD4029">
        <v>-1.104150087127</v>
      </c>
      <c r="AE4029">
        <v>-7.1721000000000004</v>
      </c>
      <c r="AF4029">
        <v>-7.5843951139379904</v>
      </c>
      <c r="AG4029">
        <v>-1.104150087127</v>
      </c>
      <c r="AH4029">
        <v>21.876362662123601</v>
      </c>
      <c r="AI4029">
        <v>92.730232575081203</v>
      </c>
      <c r="AJ4029">
        <v>109.121104365712</v>
      </c>
      <c r="AK4029">
        <v>23.1801087138086</v>
      </c>
    </row>
    <row r="4030" spans="1:37" x14ac:dyDescent="0.2">
      <c r="A4030" t="str">
        <f>"20200111155931550"</f>
        <v>20200111155931550</v>
      </c>
      <c r="B4030" t="str">
        <f>"1578729571544262"</f>
        <v>1578729571544262</v>
      </c>
      <c r="C4030" t="s">
        <v>37</v>
      </c>
      <c r="D4030">
        <v>5.1792339999999903</v>
      </c>
      <c r="E4030">
        <v>0.36663889999999999</v>
      </c>
      <c r="F4030" t="s">
        <v>39</v>
      </c>
      <c r="G4030">
        <v>-323.14159999999998</v>
      </c>
      <c r="H4030" s="1">
        <v>-4.0306099999999999E-6</v>
      </c>
      <c r="I4030">
        <v>133.3809</v>
      </c>
      <c r="J4030">
        <v>-299.04090000000002</v>
      </c>
      <c r="K4030">
        <v>1.104149</v>
      </c>
      <c r="L4030">
        <v>140.46639999999999</v>
      </c>
      <c r="M4030">
        <v>-0.99970329999999996</v>
      </c>
      <c r="N4030">
        <v>0</v>
      </c>
      <c r="O4030">
        <v>1.955513E-2</v>
      </c>
      <c r="P4030">
        <v>-0.99760590000000005</v>
      </c>
      <c r="Q4030">
        <v>5.2769849999999997E-3</v>
      </c>
      <c r="R4030">
        <v>6.8953890000000004E-2</v>
      </c>
      <c r="S4030">
        <v>-3.0705259999999899</v>
      </c>
      <c r="T4030">
        <v>-0.13841529999999999</v>
      </c>
      <c r="U4030">
        <v>-0.88725279999999995</v>
      </c>
      <c r="V4030">
        <v>4.9432320000000002E-2</v>
      </c>
      <c r="W4030">
        <v>1.9776309999999998E-2</v>
      </c>
      <c r="X4030">
        <v>0.99858159999999896</v>
      </c>
      <c r="Y4030">
        <v>-0.29604009999999997</v>
      </c>
      <c r="Z4030">
        <v>-7.3997569999999999E-3</v>
      </c>
      <c r="AA4030">
        <v>0.95514679999999996</v>
      </c>
      <c r="AB4030">
        <v>33</v>
      </c>
      <c r="AC4030">
        <v>-24.1006999999999</v>
      </c>
      <c r="AD4030">
        <v>-1.10415303061</v>
      </c>
      <c r="AE4030">
        <v>-7.0854999999999899</v>
      </c>
      <c r="AF4030">
        <v>-7.5409181708862496</v>
      </c>
      <c r="AG4030">
        <v>-1.10415303061</v>
      </c>
      <c r="AH4030">
        <v>23.911322504810901</v>
      </c>
      <c r="AI4030">
        <v>92.521612728783694</v>
      </c>
      <c r="AJ4030">
        <v>107.50372065550501</v>
      </c>
      <c r="AK4030">
        <v>25.096532523519699</v>
      </c>
    </row>
    <row r="4031" spans="1:37" x14ac:dyDescent="0.2">
      <c r="A4031" t="str">
        <f>"20200111155931566"</f>
        <v>20200111155931566</v>
      </c>
      <c r="B4031" t="str">
        <f>"1578729571563782"</f>
        <v>1578729571563782</v>
      </c>
      <c r="C4031" t="s">
        <v>37</v>
      </c>
      <c r="D4031">
        <v>5.183135</v>
      </c>
      <c r="E4031">
        <v>0.369027299999999</v>
      </c>
      <c r="F4031" t="s">
        <v>39</v>
      </c>
      <c r="G4031">
        <v>-322.3775</v>
      </c>
      <c r="H4031" s="1">
        <v>-4.2677519999999902E-6</v>
      </c>
      <c r="I4031">
        <v>133.892</v>
      </c>
      <c r="J4031">
        <v>-299.29320000000001</v>
      </c>
      <c r="K4031">
        <v>1.1041529999999999</v>
      </c>
      <c r="L4031">
        <v>140.47130000000001</v>
      </c>
      <c r="M4031">
        <v>-0.99970300000000001</v>
      </c>
      <c r="N4031">
        <v>0</v>
      </c>
      <c r="O4031">
        <v>1.9579550000000001E-2</v>
      </c>
      <c r="P4031">
        <v>-0.99765179999999998</v>
      </c>
      <c r="Q4031">
        <v>6.7794580000000004E-3</v>
      </c>
      <c r="R4031">
        <v>6.8154480000000003E-2</v>
      </c>
      <c r="S4031">
        <v>-3.067688</v>
      </c>
      <c r="T4031">
        <v>-0.14514569999999999</v>
      </c>
      <c r="U4031">
        <v>-0.86422730000000003</v>
      </c>
      <c r="V4031">
        <v>4.8608129999999999E-2</v>
      </c>
      <c r="W4031">
        <v>2.12766E-2</v>
      </c>
      <c r="X4031">
        <v>0.99859129999999996</v>
      </c>
      <c r="Y4031">
        <v>-0.28963929999999999</v>
      </c>
      <c r="Z4031">
        <v>-7.62658E-3</v>
      </c>
      <c r="AA4031">
        <v>0.95710550000000005</v>
      </c>
      <c r="AB4031">
        <v>33</v>
      </c>
      <c r="AC4031">
        <v>-23.084299999999899</v>
      </c>
      <c r="AD4031">
        <v>-1.104157267752</v>
      </c>
      <c r="AE4031">
        <v>-6.5793000000000097</v>
      </c>
      <c r="AF4031">
        <v>-7.0152222889188796</v>
      </c>
      <c r="AG4031">
        <v>-1.104157267752</v>
      </c>
      <c r="AH4031">
        <v>22.9025793752078</v>
      </c>
      <c r="AI4031">
        <v>92.639296051200702</v>
      </c>
      <c r="AJ4031">
        <v>107.03019747376599</v>
      </c>
      <c r="AK4031">
        <v>23.978337078967101</v>
      </c>
    </row>
    <row r="4032" spans="1:37" x14ac:dyDescent="0.2">
      <c r="A4032" t="str">
        <f>"20200111155931613"</f>
        <v>20200111155931613</v>
      </c>
      <c r="B4032" t="str">
        <f>"1578729571603797"</f>
        <v>1578729571603797</v>
      </c>
      <c r="C4032" t="s">
        <v>37</v>
      </c>
      <c r="D4032">
        <v>7.3008419999999896</v>
      </c>
      <c r="E4032">
        <v>0.3704692</v>
      </c>
      <c r="F4032" t="s">
        <v>39</v>
      </c>
      <c r="G4032">
        <v>-322.19760000000002</v>
      </c>
      <c r="H4032" s="1">
        <v>-4.3014400000000003E-6</v>
      </c>
      <c r="I4032">
        <v>134.13720000000001</v>
      </c>
      <c r="J4032">
        <v>-299.9855</v>
      </c>
      <c r="K4032">
        <v>1.10416</v>
      </c>
      <c r="L4032">
        <v>140.48500000000001</v>
      </c>
      <c r="M4032">
        <v>-0.99970159999999997</v>
      </c>
      <c r="N4032">
        <v>0</v>
      </c>
      <c r="O4032">
        <v>1.9649719999999999E-2</v>
      </c>
      <c r="P4032">
        <v>-0.99775840000000005</v>
      </c>
      <c r="Q4032">
        <v>1.07122E-2</v>
      </c>
      <c r="R4032">
        <v>6.6055580000000003E-2</v>
      </c>
      <c r="S4032">
        <v>-3.065979</v>
      </c>
      <c r="T4032">
        <v>-0.14780299999999999</v>
      </c>
      <c r="U4032">
        <v>-0.84788509999999995</v>
      </c>
      <c r="V4032">
        <v>4.6437829999999999E-2</v>
      </c>
      <c r="W4032">
        <v>2.5202769999999999E-2</v>
      </c>
      <c r="X4032">
        <v>0.99860319999999902</v>
      </c>
      <c r="Y4032">
        <v>-0.28510200000000002</v>
      </c>
      <c r="Z4032">
        <v>-7.6716969999999999E-3</v>
      </c>
      <c r="AA4032">
        <v>0.9584665</v>
      </c>
      <c r="AB4032">
        <v>33</v>
      </c>
      <c r="AC4032">
        <v>-22.2121</v>
      </c>
      <c r="AD4032">
        <v>-1.10416430144</v>
      </c>
      <c r="AE4032">
        <v>-6.3478000000000003</v>
      </c>
      <c r="AF4032">
        <v>-6.7676209599425698</v>
      </c>
      <c r="AG4032">
        <v>-1.10416430144</v>
      </c>
      <c r="AH4032">
        <v>22.032730890249798</v>
      </c>
      <c r="AI4032">
        <v>92.742699733926401</v>
      </c>
      <c r="AJ4032">
        <v>107.07497606048901</v>
      </c>
      <c r="AK4032">
        <v>23.0751186940435</v>
      </c>
    </row>
    <row r="4033" spans="1:37" x14ac:dyDescent="0.2">
      <c r="A4033" t="str">
        <f>"20200111155931767"</f>
        <v>20200111155931767</v>
      </c>
      <c r="B4033" t="str">
        <f>"1578729571763862"</f>
        <v>1578729571763862</v>
      </c>
      <c r="C4033" t="s">
        <v>37</v>
      </c>
      <c r="D4033">
        <v>4.6386289999999999</v>
      </c>
      <c r="E4033">
        <v>0.3704692</v>
      </c>
      <c r="F4033" t="s">
        <v>39</v>
      </c>
      <c r="G4033">
        <v>-324.10559999999998</v>
      </c>
      <c r="H4033" s="1">
        <v>-3.5338819999999899E-6</v>
      </c>
      <c r="I4033">
        <v>133.84989999999999</v>
      </c>
      <c r="J4033">
        <v>-302.25560000000002</v>
      </c>
      <c r="K4033">
        <v>1.1042430000000001</v>
      </c>
      <c r="L4033">
        <v>140.53</v>
      </c>
      <c r="M4033">
        <v>-0.99969730000000001</v>
      </c>
      <c r="N4033">
        <v>0</v>
      </c>
      <c r="O4033">
        <v>1.9880869999999998E-2</v>
      </c>
      <c r="P4033">
        <v>-0.99915109999999996</v>
      </c>
      <c r="Q4033">
        <v>2.7202939999999998E-2</v>
      </c>
      <c r="R4033">
        <v>3.093506E-2</v>
      </c>
      <c r="S4033">
        <v>-3.0640869999999998</v>
      </c>
      <c r="T4033">
        <v>-0.14026739999999999</v>
      </c>
      <c r="U4033">
        <v>-0.84288019999999997</v>
      </c>
      <c r="V4033">
        <v>1.1067540000000001E-2</v>
      </c>
      <c r="W4033">
        <v>4.1681429999999998E-2</v>
      </c>
      <c r="X4033">
        <v>0.9990696</v>
      </c>
      <c r="Y4033">
        <v>-0.28405359999999902</v>
      </c>
      <c r="Z4033">
        <v>-7.2736880000000004E-3</v>
      </c>
      <c r="AA4033">
        <v>0.95878079999999999</v>
      </c>
      <c r="AB4033">
        <v>33</v>
      </c>
      <c r="AC4033">
        <v>-21.849999999999898</v>
      </c>
      <c r="AD4033">
        <v>-1.104246533882</v>
      </c>
      <c r="AE4033">
        <v>-6.6801000000000004</v>
      </c>
      <c r="AF4033">
        <v>-7.0966462141298399</v>
      </c>
      <c r="AG4033">
        <v>-1.104246533882</v>
      </c>
      <c r="AH4033">
        <v>21.6622631660153</v>
      </c>
      <c r="AI4033">
        <v>92.773371429618194</v>
      </c>
      <c r="AJ4033">
        <v>108.139007960877</v>
      </c>
      <c r="AK4033">
        <v>22.821818362475302</v>
      </c>
    </row>
    <row r="4034" spans="1:37" x14ac:dyDescent="0.2">
      <c r="A4034" t="str">
        <f>"20200111155931791"</f>
        <v>20200111155931791</v>
      </c>
      <c r="B4034" t="str">
        <f>"1578729571784358"</f>
        <v>1578729571784358</v>
      </c>
      <c r="C4034" t="s">
        <v>37</v>
      </c>
      <c r="D4034">
        <v>5.1205629999999998</v>
      </c>
      <c r="E4034">
        <v>0.3704692</v>
      </c>
      <c r="F4034" t="s">
        <v>39</v>
      </c>
      <c r="G4034">
        <v>-337.13929999999999</v>
      </c>
      <c r="H4034">
        <v>2.08937999999999E-2</v>
      </c>
      <c r="I4034">
        <v>129.6163</v>
      </c>
      <c r="J4034">
        <v>-302.59530000000001</v>
      </c>
      <c r="K4034">
        <v>1.1042369999999999</v>
      </c>
      <c r="L4034">
        <v>140.5368</v>
      </c>
      <c r="M4034">
        <v>-0.99969680000000005</v>
      </c>
      <c r="N4034">
        <v>0</v>
      </c>
      <c r="O4034">
        <v>1.991528E-2</v>
      </c>
      <c r="P4034">
        <v>-0.99935269999999998</v>
      </c>
      <c r="Q4034">
        <v>2.3731450000000001E-2</v>
      </c>
      <c r="R4034">
        <v>2.704784E-2</v>
      </c>
      <c r="S4034">
        <v>-3.03454599999999</v>
      </c>
      <c r="T4034">
        <v>-9.4240900000000002E-2</v>
      </c>
      <c r="U4034">
        <v>-0.94938659999999997</v>
      </c>
      <c r="V4034">
        <v>7.14256599999999E-3</v>
      </c>
      <c r="W4034">
        <v>3.8208550000000001E-2</v>
      </c>
      <c r="X4034">
        <v>0.99924429999999997</v>
      </c>
      <c r="Y4034">
        <v>-0.31738879999999903</v>
      </c>
      <c r="Z4034">
        <v>-5.4167109999999899E-3</v>
      </c>
      <c r="AA4034">
        <v>0.94827999999999901</v>
      </c>
      <c r="AB4034">
        <v>33</v>
      </c>
      <c r="AC4034">
        <v>-34.543999999999897</v>
      </c>
      <c r="AD4034">
        <v>-1.0833431999999901</v>
      </c>
      <c r="AE4034">
        <v>-10.920500000000001</v>
      </c>
      <c r="AF4034">
        <v>-11.595990534529699</v>
      </c>
      <c r="AG4034">
        <v>-1.0833431999999901</v>
      </c>
      <c r="AH4034">
        <v>34.288979852284903</v>
      </c>
      <c r="AI4034">
        <v>91.7143128610807</v>
      </c>
      <c r="AJ4034">
        <v>108.684723489942</v>
      </c>
      <c r="AK4034">
        <v>36.212908862397299</v>
      </c>
    </row>
    <row r="4035" spans="1:37" x14ac:dyDescent="0.2">
      <c r="A4035" t="str">
        <f>"20200111155931812"</f>
        <v>20200111155931812</v>
      </c>
      <c r="B4035" t="str">
        <f>"1578729571803877"</f>
        <v>1578729571803877</v>
      </c>
      <c r="C4035" t="s">
        <v>37</v>
      </c>
      <c r="D4035">
        <v>5.7296180000000003</v>
      </c>
      <c r="E4035">
        <v>0.46522920000000001</v>
      </c>
      <c r="F4035" t="s">
        <v>39</v>
      </c>
      <c r="G4035">
        <v>-335.07139999999998</v>
      </c>
      <c r="H4035" s="1">
        <v>-4.3735349999999996E-6</v>
      </c>
      <c r="I4035">
        <v>130.233</v>
      </c>
      <c r="J4035">
        <v>-302.92169999999999</v>
      </c>
      <c r="K4035">
        <v>1.104222</v>
      </c>
      <c r="L4035">
        <v>140.54339999999999</v>
      </c>
      <c r="M4035">
        <v>-0.99969619999999904</v>
      </c>
      <c r="N4035">
        <v>0</v>
      </c>
      <c r="O4035">
        <v>1.994839E-2</v>
      </c>
      <c r="P4035">
        <v>-0.99938329999999997</v>
      </c>
      <c r="Q4035">
        <v>2.4509550000000001E-2</v>
      </c>
      <c r="R4035">
        <v>2.5156410000000001E-2</v>
      </c>
      <c r="S4035">
        <v>-3.0304570000000002</v>
      </c>
      <c r="T4035">
        <v>-0.1030407</v>
      </c>
      <c r="U4035">
        <v>-0.96148679999999997</v>
      </c>
      <c r="V4035">
        <v>5.2177990000000004E-3</v>
      </c>
      <c r="W4035">
        <v>3.8983780000000003E-2</v>
      </c>
      <c r="X4035">
        <v>0.99922619999999895</v>
      </c>
      <c r="Y4035">
        <v>-0.32119509999999901</v>
      </c>
      <c r="Z4035">
        <v>-5.9906369999999896E-3</v>
      </c>
      <c r="AA4035">
        <v>0.94699409999999895</v>
      </c>
      <c r="AB4035">
        <v>33</v>
      </c>
      <c r="AC4035">
        <v>-32.149700000000003</v>
      </c>
      <c r="AD4035">
        <v>-1.104226373535</v>
      </c>
      <c r="AE4035">
        <v>-10.3103999999999</v>
      </c>
      <c r="AF4035">
        <v>-10.9380498639552</v>
      </c>
      <c r="AG4035">
        <v>-1.104226373535</v>
      </c>
      <c r="AH4035">
        <v>31.903477848825201</v>
      </c>
      <c r="AI4035">
        <v>91.875232506105107</v>
      </c>
      <c r="AJ4035">
        <v>108.92418577796001</v>
      </c>
      <c r="AK4035">
        <v>33.744512880776099</v>
      </c>
    </row>
    <row r="4036" spans="1:37" x14ac:dyDescent="0.2">
      <c r="A4036" t="str">
        <f>"20200111155931835"</f>
        <v>20200111155931835</v>
      </c>
      <c r="B4036" t="str">
        <f>"1578729571824373"</f>
        <v>1578729571824373</v>
      </c>
      <c r="C4036" t="s">
        <v>37</v>
      </c>
      <c r="D4036">
        <v>5.6110939999999996</v>
      </c>
      <c r="E4036">
        <v>0.47124939999999998</v>
      </c>
      <c r="F4036" t="s">
        <v>71</v>
      </c>
      <c r="G4036">
        <v>-312.99380000000002</v>
      </c>
      <c r="H4036" s="1">
        <v>-8.3908850000000002E-6</v>
      </c>
      <c r="I4036">
        <v>139.79560000000001</v>
      </c>
      <c r="J4036">
        <v>-303.2432</v>
      </c>
      <c r="K4036">
        <v>1.1042289999999999</v>
      </c>
      <c r="L4036">
        <v>140.5498</v>
      </c>
      <c r="M4036">
        <v>-0.99969560000000002</v>
      </c>
      <c r="N4036">
        <v>0</v>
      </c>
      <c r="O4036">
        <v>1.998107E-2</v>
      </c>
      <c r="P4036">
        <v>-0.99939750000000005</v>
      </c>
      <c r="Q4036">
        <v>2.5365769999999999E-2</v>
      </c>
      <c r="R4036">
        <v>2.3696149999999999E-2</v>
      </c>
      <c r="S4036">
        <v>-3.0155639999999999</v>
      </c>
      <c r="T4036">
        <v>-0.33060400000000001</v>
      </c>
      <c r="U4036">
        <v>-0.22389220000000001</v>
      </c>
      <c r="V4036">
        <v>3.724892E-3</v>
      </c>
      <c r="W4036">
        <v>3.9836179999999999E-2</v>
      </c>
      <c r="X4036">
        <v>0.99919930000000001</v>
      </c>
      <c r="Y4036">
        <v>-9.3280109999999999E-2</v>
      </c>
      <c r="Z4036">
        <v>-7.2726319999999898E-3</v>
      </c>
      <c r="AA4036">
        <v>0.99561330000000003</v>
      </c>
      <c r="AB4036">
        <v>33</v>
      </c>
      <c r="AC4036">
        <v>-9.7506000000000199</v>
      </c>
      <c r="AD4036">
        <v>-1.1042373908849901</v>
      </c>
      <c r="AE4036">
        <v>-0.75419999999999698</v>
      </c>
      <c r="AF4036">
        <v>-0.93695214855591202</v>
      </c>
      <c r="AG4036">
        <v>-1.1042373908849901</v>
      </c>
      <c r="AH4036">
        <v>9.6110516370702204</v>
      </c>
      <c r="AI4036">
        <v>96.523458540539593</v>
      </c>
      <c r="AJ4036">
        <v>95.567996633483801</v>
      </c>
      <c r="AK4036">
        <v>9.7195438737906894</v>
      </c>
    </row>
    <row r="4037" spans="1:37" x14ac:dyDescent="0.2">
      <c r="A4037" t="str">
        <f>"20200111155931857"</f>
        <v>20200111155931857</v>
      </c>
      <c r="B4037" t="str">
        <f>"1578729571853654"</f>
        <v>1578729571853654</v>
      </c>
      <c r="C4037" t="s">
        <v>37</v>
      </c>
      <c r="D4037">
        <v>5.8258669999999997</v>
      </c>
      <c r="E4037">
        <v>0.47351660000000001</v>
      </c>
      <c r="F4037" t="s">
        <v>71</v>
      </c>
      <c r="G4037">
        <v>-316.42169999999999</v>
      </c>
      <c r="H4037" s="1">
        <v>-6.9967070000000003E-6</v>
      </c>
      <c r="I4037">
        <v>139.774</v>
      </c>
      <c r="J4037">
        <v>-303.55939999999998</v>
      </c>
      <c r="K4037">
        <v>1.1042430000000001</v>
      </c>
      <c r="L4037">
        <v>140.55619999999999</v>
      </c>
      <c r="M4037">
        <v>-0.99969490000000005</v>
      </c>
      <c r="N4037">
        <v>0</v>
      </c>
      <c r="O4037">
        <v>2.0013159999999999E-2</v>
      </c>
      <c r="P4037">
        <v>-0.99926819999999905</v>
      </c>
      <c r="Q4037">
        <v>3.0309920000000001E-2</v>
      </c>
      <c r="R4037">
        <v>2.3340240000000002E-2</v>
      </c>
      <c r="S4037">
        <v>-3.0124209999999998</v>
      </c>
      <c r="T4037">
        <v>-0.2524132</v>
      </c>
      <c r="U4037">
        <v>-0.17733759999999901</v>
      </c>
      <c r="V4037">
        <v>3.3401429999999998E-3</v>
      </c>
      <c r="W4037">
        <v>4.4774649999999999E-2</v>
      </c>
      <c r="X4037">
        <v>0.99899150000000003</v>
      </c>
      <c r="Y4037">
        <v>-7.8392210000000004E-2</v>
      </c>
      <c r="Z4037">
        <v>-4.9485900000000001E-3</v>
      </c>
      <c r="AA4037">
        <v>0.99691030000000003</v>
      </c>
      <c r="AB4037">
        <v>33</v>
      </c>
      <c r="AC4037">
        <v>-12.862299999999999</v>
      </c>
      <c r="AD4037">
        <v>-1.1042499967070001</v>
      </c>
      <c r="AE4037">
        <v>-0.78219999999998802</v>
      </c>
      <c r="AF4037">
        <v>-1.0319078889700599</v>
      </c>
      <c r="AG4037">
        <v>-1.1042499967070001</v>
      </c>
      <c r="AH4037">
        <v>12.750436473020001</v>
      </c>
      <c r="AI4037">
        <v>94.933692521455001</v>
      </c>
      <c r="AJ4037">
        <v>94.626930807117105</v>
      </c>
      <c r="AK4037">
        <v>12.8396975119768</v>
      </c>
    </row>
    <row r="4038" spans="1:37" x14ac:dyDescent="0.2">
      <c r="A4038" t="str">
        <f>"20200111155931880"</f>
        <v>20200111155931880</v>
      </c>
      <c r="B4038" t="str">
        <f>"1578729571874150"</f>
        <v>1578729571874150</v>
      </c>
      <c r="C4038" t="s">
        <v>37</v>
      </c>
      <c r="D4038">
        <v>5.648091</v>
      </c>
      <c r="E4038">
        <v>0.47568569999999999</v>
      </c>
      <c r="F4038" t="s">
        <v>39</v>
      </c>
      <c r="G4038">
        <v>-320.39049999999997</v>
      </c>
      <c r="H4038" s="1">
        <v>-4.1192320000000003E-6</v>
      </c>
      <c r="I4038">
        <v>139.67089999999999</v>
      </c>
      <c r="J4038">
        <v>-303.89510000000001</v>
      </c>
      <c r="K4038">
        <v>1.10426</v>
      </c>
      <c r="L4038">
        <v>140.56299999999999</v>
      </c>
      <c r="M4038">
        <v>-0.99969439999999998</v>
      </c>
      <c r="N4038">
        <v>0</v>
      </c>
      <c r="O4038">
        <v>2.0047249999999999E-2</v>
      </c>
      <c r="P4038">
        <v>-0.99919799999999903</v>
      </c>
      <c r="Q4038">
        <v>3.2250620000000001E-2</v>
      </c>
      <c r="R4038">
        <v>2.3730879999999999E-2</v>
      </c>
      <c r="S4038">
        <v>-3.0119020000000001</v>
      </c>
      <c r="T4038">
        <v>-0.1976039</v>
      </c>
      <c r="U4038">
        <v>-0.15841669999999999</v>
      </c>
      <c r="V4038">
        <v>3.6979890000000001E-3</v>
      </c>
      <c r="W4038">
        <v>4.6706669999999999E-2</v>
      </c>
      <c r="X4038">
        <v>0.99890179999999995</v>
      </c>
      <c r="Y4038">
        <v>-7.2337310000000002E-2</v>
      </c>
      <c r="Z4038">
        <v>-3.6819420000000001E-3</v>
      </c>
      <c r="AA4038">
        <v>0.99737339999999997</v>
      </c>
      <c r="AB4038">
        <v>33</v>
      </c>
      <c r="AC4038">
        <v>-16.495399999999901</v>
      </c>
      <c r="AD4038">
        <v>-1.104264119232</v>
      </c>
      <c r="AE4038">
        <v>-0.892099999999999</v>
      </c>
      <c r="AF4038">
        <v>-1.2172037352484399</v>
      </c>
      <c r="AG4038">
        <v>-1.104264119232</v>
      </c>
      <c r="AH4038">
        <v>16.4009124618679</v>
      </c>
      <c r="AI4038">
        <v>93.841346095468595</v>
      </c>
      <c r="AJ4038">
        <v>94.244459915702706</v>
      </c>
      <c r="AK4038">
        <v>16.483049285856701</v>
      </c>
    </row>
    <row r="4039" spans="1:37" x14ac:dyDescent="0.2">
      <c r="A4039" t="str">
        <f>"20200111155931903"</f>
        <v>20200111155931903</v>
      </c>
      <c r="B4039" t="str">
        <f>"1578729571894648"</f>
        <v>1578729571894648</v>
      </c>
      <c r="C4039" t="s">
        <v>37</v>
      </c>
      <c r="D4039">
        <v>5.6544699999999999</v>
      </c>
      <c r="E4039">
        <v>0.47731649999999998</v>
      </c>
      <c r="F4039" t="s">
        <v>39</v>
      </c>
      <c r="G4039">
        <v>-322.17349999999999</v>
      </c>
      <c r="H4039" s="1">
        <v>-3.365133E-6</v>
      </c>
      <c r="I4039">
        <v>139.7114</v>
      </c>
      <c r="J4039">
        <v>-304.23110000000003</v>
      </c>
      <c r="K4039">
        <v>1.104258</v>
      </c>
      <c r="L4039">
        <v>140.56970000000001</v>
      </c>
      <c r="M4039">
        <v>-0.99969419999999898</v>
      </c>
      <c r="N4039">
        <v>0</v>
      </c>
      <c r="O4039">
        <v>2.0081330000000001E-2</v>
      </c>
      <c r="P4039">
        <v>-0.99922350000000004</v>
      </c>
      <c r="Q4039">
        <v>3.1554869999999999E-2</v>
      </c>
      <c r="R4039">
        <v>2.3604699999999999E-2</v>
      </c>
      <c r="S4039">
        <v>-3.0116269999999998</v>
      </c>
      <c r="T4039">
        <v>-0.18194399999999999</v>
      </c>
      <c r="U4039">
        <v>-0.1403046</v>
      </c>
      <c r="V4039">
        <v>3.5373399999999999E-3</v>
      </c>
      <c r="W4039">
        <v>4.5987899999999998E-2</v>
      </c>
      <c r="X4039">
        <v>0.99893580000000004</v>
      </c>
      <c r="Y4039">
        <v>-6.6432000000000005E-2</v>
      </c>
      <c r="Z4039">
        <v>-3.2154319999999998E-3</v>
      </c>
      <c r="AA4039">
        <v>0.9977857</v>
      </c>
      <c r="AB4039">
        <v>33</v>
      </c>
      <c r="AC4039">
        <v>-17.9423999999999</v>
      </c>
      <c r="AD4039">
        <v>-1.104261365133</v>
      </c>
      <c r="AE4039">
        <v>-0.85830000000001405</v>
      </c>
      <c r="AF4039">
        <v>-1.2138842579518501</v>
      </c>
      <c r="AG4039">
        <v>-1.104261365133</v>
      </c>
      <c r="AH4039">
        <v>17.8540709833593</v>
      </c>
      <c r="AI4039">
        <v>93.531063091233193</v>
      </c>
      <c r="AJ4039">
        <v>93.889509272047405</v>
      </c>
      <c r="AK4039">
        <v>17.9293267813675</v>
      </c>
    </row>
    <row r="4040" spans="1:37" x14ac:dyDescent="0.2">
      <c r="A4040" t="str">
        <f>"20200111155931923"</f>
        <v>20200111155931923</v>
      </c>
      <c r="B4040" t="str">
        <f>"1578729571914165"</f>
        <v>1578729571914165</v>
      </c>
      <c r="C4040" t="s">
        <v>37</v>
      </c>
      <c r="D4040">
        <v>5.6335850000000001</v>
      </c>
      <c r="E4040">
        <v>0.47845199999999999</v>
      </c>
      <c r="F4040" t="s">
        <v>39</v>
      </c>
      <c r="G4040">
        <v>-322.88690000000003</v>
      </c>
      <c r="H4040" s="1">
        <v>-3.07709999999999E-6</v>
      </c>
      <c r="I4040">
        <v>139.7791</v>
      </c>
      <c r="J4040">
        <v>-304.53910000000002</v>
      </c>
      <c r="K4040">
        <v>1.104228</v>
      </c>
      <c r="L4040">
        <v>140.57599999999999</v>
      </c>
      <c r="M4040">
        <v>-0.99969390000000002</v>
      </c>
      <c r="N4040">
        <v>0</v>
      </c>
      <c r="O4040">
        <v>2.0112769999999999E-2</v>
      </c>
      <c r="P4040">
        <v>-0.99923209999999996</v>
      </c>
      <c r="Q4040">
        <v>3.0877789999999999E-2</v>
      </c>
      <c r="R4040">
        <v>2.4123479999999999E-2</v>
      </c>
      <c r="S4040">
        <v>-3.0109560000000002</v>
      </c>
      <c r="T4040">
        <v>-0.17822279999999999</v>
      </c>
      <c r="U4040">
        <v>-0.12759400000000001</v>
      </c>
      <c r="V4040">
        <v>4.0243019999999996E-3</v>
      </c>
      <c r="W4040">
        <v>4.527482E-2</v>
      </c>
      <c r="X4040">
        <v>0.99896649999999998</v>
      </c>
      <c r="Y4040">
        <v>-6.2282850000000001E-2</v>
      </c>
      <c r="Z4040">
        <v>-3.0299900000000002E-3</v>
      </c>
      <c r="AA4040">
        <v>0.998054</v>
      </c>
      <c r="AB4040">
        <v>33</v>
      </c>
      <c r="AC4040">
        <v>-18.347799999999999</v>
      </c>
      <c r="AD4040">
        <v>-1.1042310770999999</v>
      </c>
      <c r="AE4040">
        <v>-0.79689999999999295</v>
      </c>
      <c r="AF4040">
        <v>-1.1616027198858301</v>
      </c>
      <c r="AG4040">
        <v>-1.1042310770999999</v>
      </c>
      <c r="AH4040">
        <v>18.262037179038501</v>
      </c>
      <c r="AI4040">
        <v>93.453267906286399</v>
      </c>
      <c r="AJ4040">
        <v>93.639538754167305</v>
      </c>
      <c r="AK4040">
        <v>18.332229790155498</v>
      </c>
    </row>
    <row r="4041" spans="1:37" x14ac:dyDescent="0.2">
      <c r="A4041" t="str">
        <f>"20200111155931947"</f>
        <v>20200111155931947</v>
      </c>
      <c r="B4041" t="str">
        <f>"1578729571944421"</f>
        <v>1578729571944421</v>
      </c>
      <c r="C4041" t="s">
        <v>37</v>
      </c>
      <c r="D4041">
        <v>5.6356020000000004</v>
      </c>
      <c r="E4041">
        <v>0.4794928</v>
      </c>
      <c r="F4041" t="s">
        <v>39</v>
      </c>
      <c r="G4041">
        <v>-323.30250000000001</v>
      </c>
      <c r="H4041" s="1">
        <v>-2.91671499999999E-6</v>
      </c>
      <c r="I4041">
        <v>139.84639999999999</v>
      </c>
      <c r="J4041">
        <v>-304.86090000000002</v>
      </c>
      <c r="K4041">
        <v>1.10419</v>
      </c>
      <c r="L4041">
        <v>140.58250000000001</v>
      </c>
      <c r="M4041">
        <v>-0.99969399999999997</v>
      </c>
      <c r="N4041">
        <v>0</v>
      </c>
      <c r="O4041">
        <v>2.0145489999999999E-2</v>
      </c>
      <c r="P4041">
        <v>-0.99933280000000002</v>
      </c>
      <c r="Q4041">
        <v>2.8500549999999999E-2</v>
      </c>
      <c r="R4041">
        <v>2.2835499999999901E-2</v>
      </c>
      <c r="S4041">
        <v>-3.0106809999999999</v>
      </c>
      <c r="T4041">
        <v>-0.17718020000000001</v>
      </c>
      <c r="U4041">
        <v>-0.1170654</v>
      </c>
      <c r="V4041">
        <v>2.701377E-3</v>
      </c>
      <c r="W4041">
        <v>4.2850079999999999E-2</v>
      </c>
      <c r="X4041">
        <v>0.99907789999999996</v>
      </c>
      <c r="Y4041">
        <v>-5.8841999999999998E-2</v>
      </c>
      <c r="Z4041">
        <v>-2.913573E-3</v>
      </c>
      <c r="AA4041">
        <v>0.99826309999999996</v>
      </c>
      <c r="AB4041">
        <v>33</v>
      </c>
      <c r="AC4041">
        <v>-18.441599999999902</v>
      </c>
      <c r="AD4041">
        <v>-1.104192916715</v>
      </c>
      <c r="AE4041">
        <v>-0.73610000000002096</v>
      </c>
      <c r="AF4041">
        <v>-1.1035539567441399</v>
      </c>
      <c r="AG4041">
        <v>-1.104192916715</v>
      </c>
      <c r="AH4041">
        <v>18.357319206053099</v>
      </c>
      <c r="AI4041">
        <v>93.436006257927701</v>
      </c>
      <c r="AJ4041">
        <v>93.440207242609802</v>
      </c>
      <c r="AK4041">
        <v>18.423578419126201</v>
      </c>
    </row>
    <row r="4042" spans="1:37" x14ac:dyDescent="0.2">
      <c r="A4042" t="str">
        <f>"20200111155931968"</f>
        <v>20200111155931968</v>
      </c>
      <c r="B4042" t="str">
        <f>"1578729571963942"</f>
        <v>1578729571963942</v>
      </c>
      <c r="C4042" t="s">
        <v>37</v>
      </c>
      <c r="D4042">
        <v>5.6763329999999996</v>
      </c>
      <c r="E4042">
        <v>0.4800566</v>
      </c>
      <c r="F4042" t="s">
        <v>39</v>
      </c>
      <c r="G4042">
        <v>-323.36959999999999</v>
      </c>
      <c r="H4042" s="1">
        <v>-2.89871699999999E-6</v>
      </c>
      <c r="I4042">
        <v>139.8869</v>
      </c>
      <c r="J4042">
        <v>-305.18209999999999</v>
      </c>
      <c r="K4042">
        <v>1.104142</v>
      </c>
      <c r="L4042">
        <v>140.589</v>
      </c>
      <c r="M4042">
        <v>-0.99969399999999997</v>
      </c>
      <c r="N4042">
        <v>0</v>
      </c>
      <c r="O4042">
        <v>2.0177759999999999E-2</v>
      </c>
      <c r="P4042">
        <v>-0.99947719999999995</v>
      </c>
      <c r="Q4042">
        <v>2.4391690000000001E-2</v>
      </c>
      <c r="R4042">
        <v>2.122626E-2</v>
      </c>
      <c r="S4042">
        <v>-3.009674</v>
      </c>
      <c r="T4042">
        <v>-0.1795514</v>
      </c>
      <c r="U4042">
        <v>-0.11309809999999999</v>
      </c>
      <c r="V4042">
        <v>1.0570600000000001E-3</v>
      </c>
      <c r="W4042">
        <v>3.8690750000000003E-2</v>
      </c>
      <c r="X4042">
        <v>0.99925069999999905</v>
      </c>
      <c r="Y4042">
        <v>-5.7571579999999997E-2</v>
      </c>
      <c r="Z4042">
        <v>-2.9176269999999999E-3</v>
      </c>
      <c r="AA4042">
        <v>0.99833709999999898</v>
      </c>
      <c r="AB4042">
        <v>32</v>
      </c>
      <c r="AC4042">
        <v>-18.1875</v>
      </c>
      <c r="AD4042">
        <v>-1.1041448987169999</v>
      </c>
      <c r="AE4042">
        <v>-0.70210000000000095</v>
      </c>
      <c r="AF4042">
        <v>-1.0650580988228799</v>
      </c>
      <c r="AG4042">
        <v>-1.1041448987169999</v>
      </c>
      <c r="AH4042">
        <v>18.103007315651801</v>
      </c>
      <c r="AI4042">
        <v>93.484270265580605</v>
      </c>
      <c r="AJ4042">
        <v>93.367013621168496</v>
      </c>
      <c r="AK4042">
        <v>18.167893619838601</v>
      </c>
    </row>
    <row r="4043" spans="1:37" x14ac:dyDescent="0.2">
      <c r="A4043" t="str">
        <f>"20200111155931992"</f>
        <v>20200111155931992</v>
      </c>
      <c r="B4043" t="str">
        <f>"1578729571984437"</f>
        <v>1578729571984437</v>
      </c>
      <c r="C4043" t="s">
        <v>37</v>
      </c>
      <c r="D4043">
        <v>5.667478</v>
      </c>
      <c r="E4043">
        <v>0.48049229999999998</v>
      </c>
      <c r="F4043" t="s">
        <v>39</v>
      </c>
      <c r="G4043">
        <v>-322.51440000000002</v>
      </c>
      <c r="H4043" s="1">
        <v>-3.2772550000000002E-6</v>
      </c>
      <c r="I4043">
        <v>139.9307</v>
      </c>
      <c r="J4043">
        <v>-305.52539999999999</v>
      </c>
      <c r="K4043">
        <v>1.1041049999999999</v>
      </c>
      <c r="L4043">
        <v>140.596</v>
      </c>
      <c r="M4043">
        <v>-0.99969419999999898</v>
      </c>
      <c r="N4043">
        <v>0</v>
      </c>
      <c r="O4043">
        <v>2.0212359999999999E-2</v>
      </c>
      <c r="P4043">
        <v>-0.99962949999999995</v>
      </c>
      <c r="Q4043">
        <v>1.9682040000000001E-2</v>
      </c>
      <c r="R4043">
        <v>1.8803779999999999E-2</v>
      </c>
      <c r="S4043">
        <v>-3.0086360000000001</v>
      </c>
      <c r="T4043">
        <v>-0.191664</v>
      </c>
      <c r="U4043">
        <v>-0.11425779999999899</v>
      </c>
      <c r="V4043">
        <v>-1.4033019999999999E-3</v>
      </c>
      <c r="W4043">
        <v>3.3929809999999998E-2</v>
      </c>
      <c r="X4043">
        <v>0.99942319999999996</v>
      </c>
      <c r="Y4043">
        <v>-5.798304E-2</v>
      </c>
      <c r="Z4043">
        <v>-3.1304039999999998E-3</v>
      </c>
      <c r="AA4043">
        <v>0.99831270000000005</v>
      </c>
      <c r="AB4043">
        <v>32</v>
      </c>
      <c r="AC4043">
        <v>-16.989000000000001</v>
      </c>
      <c r="AD4043">
        <v>-1.1041082772549999</v>
      </c>
      <c r="AE4043">
        <v>-0.665300000000002</v>
      </c>
      <c r="AF4043">
        <v>-1.0043511652028101</v>
      </c>
      <c r="AG4043">
        <v>-1.1041082772549999</v>
      </c>
      <c r="AH4043">
        <v>16.900806202974799</v>
      </c>
      <c r="AI4043">
        <v>93.731185568243106</v>
      </c>
      <c r="AJ4043">
        <v>93.400872460881402</v>
      </c>
      <c r="AK4043">
        <v>16.9665855923182</v>
      </c>
    </row>
    <row r="4044" spans="1:37" x14ac:dyDescent="0.2">
      <c r="A4044" t="str">
        <f>"20200111155932014"</f>
        <v>20200111155932014</v>
      </c>
      <c r="B4044" t="str">
        <f>"1578729572003957"</f>
        <v>1578729572003957</v>
      </c>
      <c r="C4044" t="s">
        <v>37</v>
      </c>
      <c r="D4044">
        <v>5.7100790000000003</v>
      </c>
      <c r="E4044">
        <v>0.48074359999999999</v>
      </c>
      <c r="F4044" t="s">
        <v>39</v>
      </c>
      <c r="G4044">
        <v>-321.6121</v>
      </c>
      <c r="H4044" s="1">
        <v>-3.6723559999999998E-6</v>
      </c>
      <c r="I4044">
        <v>139.96090000000001</v>
      </c>
      <c r="J4044">
        <v>-305.84780000000001</v>
      </c>
      <c r="K4044">
        <v>1.104074</v>
      </c>
      <c r="L4044">
        <v>140.6026</v>
      </c>
      <c r="M4044">
        <v>-0.99969419999999898</v>
      </c>
      <c r="N4044">
        <v>0</v>
      </c>
      <c r="O4044">
        <v>2.0244890000000001E-2</v>
      </c>
      <c r="P4044">
        <v>-0.99975219999999898</v>
      </c>
      <c r="Q4044">
        <v>1.4924430000000001E-2</v>
      </c>
      <c r="R4044">
        <v>1.65241E-2</v>
      </c>
      <c r="S4044">
        <v>-3.0074160000000001</v>
      </c>
      <c r="T4044">
        <v>-0.2064145</v>
      </c>
      <c r="U4044">
        <v>-0.1187286</v>
      </c>
      <c r="V4044">
        <v>-3.71804599999999E-3</v>
      </c>
      <c r="W4044">
        <v>2.912617E-2</v>
      </c>
      <c r="X4044">
        <v>0.99956880000000004</v>
      </c>
      <c r="Y4044">
        <v>-5.9483670000000002E-2</v>
      </c>
      <c r="Z4044">
        <v>-3.425694E-3</v>
      </c>
      <c r="AA4044">
        <v>0.99822339999999998</v>
      </c>
      <c r="AB4044">
        <v>32</v>
      </c>
      <c r="AC4044">
        <v>-15.764299999999899</v>
      </c>
      <c r="AD4044">
        <v>-1.104077672356</v>
      </c>
      <c r="AE4044">
        <v>-0.64169999999998595</v>
      </c>
      <c r="AF4044">
        <v>-0.95606530035139803</v>
      </c>
      <c r="AG4044">
        <v>-1.104077672356</v>
      </c>
      <c r="AH4044">
        <v>15.671333365977899</v>
      </c>
      <c r="AI4044">
        <v>94.022492730800806</v>
      </c>
      <c r="AJ4044">
        <v>93.491132306589705</v>
      </c>
      <c r="AK4044">
        <v>15.7392419713512</v>
      </c>
    </row>
    <row r="4045" spans="1:37" x14ac:dyDescent="0.2">
      <c r="A4045" t="str">
        <f>"20200111155932036"</f>
        <v>20200111155932036</v>
      </c>
      <c r="B4045" t="str">
        <f>"1578729572024453"</f>
        <v>1578729572024453</v>
      </c>
      <c r="C4045" t="s">
        <v>37</v>
      </c>
      <c r="D4045">
        <v>5.79481</v>
      </c>
      <c r="E4045">
        <v>0.48072619999999999</v>
      </c>
      <c r="F4045" t="s">
        <v>39</v>
      </c>
      <c r="G4045">
        <v>-320.86779999999999</v>
      </c>
      <c r="H4045" s="1">
        <v>-3.9978439999999996E-6</v>
      </c>
      <c r="I4045">
        <v>139.98410000000001</v>
      </c>
      <c r="J4045">
        <v>-306.15550000000002</v>
      </c>
      <c r="K4045">
        <v>1.1040449999999999</v>
      </c>
      <c r="L4045">
        <v>140.6088</v>
      </c>
      <c r="M4045">
        <v>-0.99969409999999903</v>
      </c>
      <c r="N4045">
        <v>0</v>
      </c>
      <c r="O4045">
        <v>2.027642E-2</v>
      </c>
      <c r="P4045">
        <v>-0.99983759999999999</v>
      </c>
      <c r="Q4045">
        <v>1.018881E-2</v>
      </c>
      <c r="R4045">
        <v>1.4860699999999999E-2</v>
      </c>
      <c r="S4045">
        <v>-3.00607299999999</v>
      </c>
      <c r="T4045">
        <v>-0.22096879999999999</v>
      </c>
      <c r="U4045">
        <v>-0.123764</v>
      </c>
      <c r="V4045">
        <v>-5.4145859999999999E-3</v>
      </c>
      <c r="W4045">
        <v>2.4349019999999999E-2</v>
      </c>
      <c r="X4045">
        <v>0.99968889999999999</v>
      </c>
      <c r="Y4045">
        <v>-6.1169899999999999E-2</v>
      </c>
      <c r="Z4045">
        <v>-3.7323079999999902E-3</v>
      </c>
      <c r="AA4045">
        <v>0.99812040000000002</v>
      </c>
      <c r="AB4045">
        <v>32</v>
      </c>
      <c r="AC4045">
        <v>-14.7122999999999</v>
      </c>
      <c r="AD4045">
        <v>-1.104048997844</v>
      </c>
      <c r="AE4045">
        <v>-0.62469999999999004</v>
      </c>
      <c r="AF4045">
        <v>-0.91775530268646999</v>
      </c>
      <c r="AG4045">
        <v>-1.104048997844</v>
      </c>
      <c r="AH4045">
        <v>14.6144552024686</v>
      </c>
      <c r="AI4045">
        <v>94.311742200130297</v>
      </c>
      <c r="AJ4045">
        <v>93.593329053392097</v>
      </c>
      <c r="AK4045">
        <v>14.6848050668101</v>
      </c>
    </row>
    <row r="4046" spans="1:37" x14ac:dyDescent="0.2">
      <c r="A4046" t="str">
        <f>"20200111155932058"</f>
        <v>20200111155932058</v>
      </c>
      <c r="B4046" t="str">
        <f>"1578729572053734"</f>
        <v>1578729572053734</v>
      </c>
      <c r="C4046" t="s">
        <v>37</v>
      </c>
      <c r="D4046">
        <v>5.7136740000000001</v>
      </c>
      <c r="E4046">
        <v>0.48065219999999997</v>
      </c>
      <c r="F4046" t="s">
        <v>39</v>
      </c>
      <c r="G4046">
        <v>-320.43220000000002</v>
      </c>
      <c r="H4046" s="1">
        <v>-4.1880329999999998E-6</v>
      </c>
      <c r="I4046">
        <v>139.9966</v>
      </c>
      <c r="J4046">
        <v>-306.4744</v>
      </c>
      <c r="K4046">
        <v>1.1040379999999901</v>
      </c>
      <c r="L4046">
        <v>140.61529999999999</v>
      </c>
      <c r="M4046">
        <v>-0.99969409999999903</v>
      </c>
      <c r="N4046">
        <v>0</v>
      </c>
      <c r="O4046">
        <v>2.0308719999999999E-2</v>
      </c>
      <c r="P4046">
        <v>-0.99988049999999995</v>
      </c>
      <c r="Q4046">
        <v>7.0376249999999996E-3</v>
      </c>
      <c r="R4046">
        <v>1.377253E-2</v>
      </c>
      <c r="S4046">
        <v>-3.0047609999999998</v>
      </c>
      <c r="T4046">
        <v>-0.23236579999999901</v>
      </c>
      <c r="U4046">
        <v>-0.12883</v>
      </c>
      <c r="V4046">
        <v>-6.5367069999999897E-3</v>
      </c>
      <c r="W4046">
        <v>2.11579E-2</v>
      </c>
      <c r="X4046">
        <v>0.99975480000000005</v>
      </c>
      <c r="Y4046">
        <v>-6.2871239999999995E-2</v>
      </c>
      <c r="Z4046">
        <v>-3.9939770000000001E-3</v>
      </c>
      <c r="AA4046">
        <v>0.998013699999999</v>
      </c>
      <c r="AB4046">
        <v>32</v>
      </c>
      <c r="AC4046">
        <v>-13.957800000000001</v>
      </c>
      <c r="AD4046">
        <v>-1.10404218803299</v>
      </c>
      <c r="AE4046">
        <v>-0.61869999999998904</v>
      </c>
      <c r="AF4046">
        <v>-0.896467840973587</v>
      </c>
      <c r="AG4046">
        <v>-1.10404218803299</v>
      </c>
      <c r="AH4046">
        <v>13.855834249973</v>
      </c>
      <c r="AI4046">
        <v>94.546275467682605</v>
      </c>
      <c r="AJ4046">
        <v>93.701858137839096</v>
      </c>
      <c r="AK4046">
        <v>13.928629024623399</v>
      </c>
    </row>
    <row r="4047" spans="1:37" x14ac:dyDescent="0.2">
      <c r="A4047" t="str">
        <f>"20200111155932081"</f>
        <v>20200111155932081</v>
      </c>
      <c r="B4047" t="str">
        <f>"1578729572074229"</f>
        <v>1578729572074229</v>
      </c>
      <c r="C4047" t="s">
        <v>37</v>
      </c>
      <c r="D4047">
        <v>5.6984570000000003</v>
      </c>
      <c r="E4047">
        <v>0.48064399999999902</v>
      </c>
      <c r="F4047" t="s">
        <v>39</v>
      </c>
      <c r="G4047">
        <v>-320.09429999999998</v>
      </c>
      <c r="H4047" s="1">
        <v>-4.3141809999999998E-6</v>
      </c>
      <c r="I4047">
        <v>140.01230000000001</v>
      </c>
      <c r="J4047">
        <v>-306.80790000000002</v>
      </c>
      <c r="K4047">
        <v>1.1040289999999999</v>
      </c>
      <c r="L4047">
        <v>140.62219999999999</v>
      </c>
      <c r="M4047">
        <v>-0.99969399999999997</v>
      </c>
      <c r="N4047">
        <v>0</v>
      </c>
      <c r="O4047">
        <v>2.0342550000000001E-2</v>
      </c>
      <c r="P4047">
        <v>-0.99988169999999899</v>
      </c>
      <c r="Q4047">
        <v>6.0759669999999998E-3</v>
      </c>
      <c r="R4047">
        <v>1.4152440000000001E-2</v>
      </c>
      <c r="S4047">
        <v>-3.0039060000000002</v>
      </c>
      <c r="T4047">
        <v>-0.24350069999999999</v>
      </c>
      <c r="U4047">
        <v>-0.1329803</v>
      </c>
      <c r="V4047">
        <v>-6.1907339999999998E-3</v>
      </c>
      <c r="W4047">
        <v>2.0158180000000001E-2</v>
      </c>
      <c r="X4047">
        <v>0.99977759999999904</v>
      </c>
      <c r="Y4047">
        <v>-6.4264290000000002E-2</v>
      </c>
      <c r="Z4047">
        <v>-4.24489799999999E-3</v>
      </c>
      <c r="AA4047">
        <v>0.99792389999999997</v>
      </c>
      <c r="AB4047">
        <v>32</v>
      </c>
      <c r="AC4047">
        <v>-13.286399999999899</v>
      </c>
      <c r="AD4047">
        <v>-1.1040333141809999</v>
      </c>
      <c r="AE4047">
        <v>-0.60989999999998101</v>
      </c>
      <c r="AF4047">
        <v>-0.87405731631272199</v>
      </c>
      <c r="AG4047">
        <v>-1.1040333141809999</v>
      </c>
      <c r="AH4047">
        <v>13.180425393764001</v>
      </c>
      <c r="AI4047">
        <v>94.777649954694397</v>
      </c>
      <c r="AJ4047">
        <v>93.794003280598503</v>
      </c>
      <c r="AK4047">
        <v>13.2554320680843</v>
      </c>
    </row>
    <row r="4048" spans="1:37" x14ac:dyDescent="0.2">
      <c r="A4048" t="str">
        <f>"20200111155932104"</f>
        <v>20200111155932104</v>
      </c>
      <c r="B4048" t="str">
        <f>"1578729572093752"</f>
        <v>1578729572093752</v>
      </c>
      <c r="C4048" t="s">
        <v>37</v>
      </c>
      <c r="D4048">
        <v>5.6424519999999996</v>
      </c>
      <c r="E4048">
        <v>0.48070649999999998</v>
      </c>
      <c r="F4048" t="s">
        <v>39</v>
      </c>
      <c r="G4048">
        <v>-320.27260000000001</v>
      </c>
      <c r="H4048" s="1">
        <v>-4.2565300000000002E-6</v>
      </c>
      <c r="I4048">
        <v>140.02950000000001</v>
      </c>
      <c r="J4048">
        <v>-307.14729999999997</v>
      </c>
      <c r="K4048">
        <v>1.1040270000000001</v>
      </c>
      <c r="L4048">
        <v>140.62909999999999</v>
      </c>
      <c r="M4048">
        <v>-0.99969370000000002</v>
      </c>
      <c r="N4048">
        <v>0</v>
      </c>
      <c r="O4048">
        <v>2.0377010000000001E-2</v>
      </c>
      <c r="P4048">
        <v>-0.99987349999999997</v>
      </c>
      <c r="Q4048">
        <v>4.9694179999999998E-3</v>
      </c>
      <c r="R4048">
        <v>1.5115730000000001E-2</v>
      </c>
      <c r="S4048">
        <v>-3.0037539999999998</v>
      </c>
      <c r="T4048">
        <v>-0.2462925</v>
      </c>
      <c r="U4048">
        <v>-0.1321869</v>
      </c>
      <c r="V4048">
        <v>-5.2621769999999998E-3</v>
      </c>
      <c r="W4048">
        <v>1.9016379999999999E-2</v>
      </c>
      <c r="X4048">
        <v>0.99980530000000001</v>
      </c>
      <c r="Y4048">
        <v>-6.4032069999999996E-2</v>
      </c>
      <c r="Z4048">
        <v>-4.2869650000000002E-3</v>
      </c>
      <c r="AA4048">
        <v>0.99793860000000001</v>
      </c>
      <c r="AB4048">
        <v>32</v>
      </c>
      <c r="AC4048">
        <v>-13.125299999999999</v>
      </c>
      <c r="AD4048">
        <v>-1.1040312565299999</v>
      </c>
      <c r="AE4048">
        <v>-0.59959999999998004</v>
      </c>
      <c r="AF4048">
        <v>-0.86087795766087205</v>
      </c>
      <c r="AG4048">
        <v>-1.1040312565299999</v>
      </c>
      <c r="AH4048">
        <v>13.018437557993799</v>
      </c>
      <c r="AI4048">
        <v>94.836868171445005</v>
      </c>
      <c r="AJ4048">
        <v>93.783323833560701</v>
      </c>
      <c r="AK4048">
        <v>13.093498857248401</v>
      </c>
    </row>
    <row r="4049" spans="1:37" x14ac:dyDescent="0.2">
      <c r="A4049" t="str">
        <f>"20200111155932126"</f>
        <v>20200111155932126</v>
      </c>
      <c r="B4049" t="str">
        <f>"1578729572124006"</f>
        <v>1578729572124006</v>
      </c>
      <c r="C4049" t="s">
        <v>37</v>
      </c>
      <c r="D4049">
        <v>5.6198499999999996</v>
      </c>
      <c r="E4049">
        <v>0.48068339999999998</v>
      </c>
      <c r="F4049" t="s">
        <v>39</v>
      </c>
      <c r="G4049">
        <v>-320.51870000000002</v>
      </c>
      <c r="H4049" s="1">
        <v>-4.1666890000000002E-6</v>
      </c>
      <c r="I4049">
        <v>140.05590000000001</v>
      </c>
      <c r="J4049">
        <v>-307.4554</v>
      </c>
      <c r="K4049">
        <v>1.1040289999999999</v>
      </c>
      <c r="L4049">
        <v>140.6354</v>
      </c>
      <c r="M4049">
        <v>-0.99969349999999901</v>
      </c>
      <c r="N4049">
        <v>0</v>
      </c>
      <c r="O4049">
        <v>2.0408519999999999E-2</v>
      </c>
      <c r="P4049">
        <v>-0.9998572</v>
      </c>
      <c r="Q4049">
        <v>4.5210270000000004E-3</v>
      </c>
      <c r="R4049">
        <v>1.629218E-2</v>
      </c>
      <c r="S4049">
        <v>-3.003571</v>
      </c>
      <c r="T4049">
        <v>-0.2479951</v>
      </c>
      <c r="U4049">
        <v>-0.1287384</v>
      </c>
      <c r="V4049">
        <v>-4.1165949999999998E-3</v>
      </c>
      <c r="W4049">
        <v>1.854486E-2</v>
      </c>
      <c r="X4049">
        <v>0.99981960000000003</v>
      </c>
      <c r="Y4049">
        <v>-6.2922249999999999E-2</v>
      </c>
      <c r="Z4049">
        <v>-4.2737440000000003E-3</v>
      </c>
      <c r="AA4049">
        <v>0.99800929999999999</v>
      </c>
      <c r="AB4049">
        <v>32</v>
      </c>
      <c r="AC4049">
        <v>-13.0633</v>
      </c>
      <c r="AD4049">
        <v>-1.104033166689</v>
      </c>
      <c r="AE4049">
        <v>-0.57949999999999502</v>
      </c>
      <c r="AF4049">
        <v>-0.84001991263779396</v>
      </c>
      <c r="AG4049">
        <v>-1.104033166689</v>
      </c>
      <c r="AH4049">
        <v>12.956389797797501</v>
      </c>
      <c r="AI4049">
        <v>94.860337304521906</v>
      </c>
      <c r="AJ4049">
        <v>93.709546287656394</v>
      </c>
      <c r="AK4049">
        <v>13.0304473936718</v>
      </c>
    </row>
    <row r="4050" spans="1:37" x14ac:dyDescent="0.2">
      <c r="A4050" t="str">
        <f>"20200111155932147"</f>
        <v>20200111155932147</v>
      </c>
      <c r="B4050" t="str">
        <f>"1578729572144502"</f>
        <v>1578729572144502</v>
      </c>
      <c r="C4050" t="s">
        <v>37</v>
      </c>
      <c r="D4050">
        <v>5.6601029999999897</v>
      </c>
      <c r="E4050">
        <v>0.48066149999999902</v>
      </c>
      <c r="F4050" t="s">
        <v>39</v>
      </c>
      <c r="G4050">
        <v>-320.95010000000002</v>
      </c>
      <c r="H4050" s="1">
        <v>-3.9863810000000002E-6</v>
      </c>
      <c r="I4050">
        <v>140.0737</v>
      </c>
      <c r="J4050">
        <v>-307.75819999999999</v>
      </c>
      <c r="K4050">
        <v>1.1040270000000001</v>
      </c>
      <c r="L4050">
        <v>140.64160000000001</v>
      </c>
      <c r="M4050">
        <v>-0.99969300000000005</v>
      </c>
      <c r="N4050">
        <v>0</v>
      </c>
      <c r="O4050">
        <v>2.0439510000000001E-2</v>
      </c>
      <c r="P4050">
        <v>-0.99983699999999998</v>
      </c>
      <c r="Q4050">
        <v>4.7758449999999999E-3</v>
      </c>
      <c r="R4050">
        <v>1.7425710000000001E-2</v>
      </c>
      <c r="S4050">
        <v>-3.003571</v>
      </c>
      <c r="T4050">
        <v>-0.24572939999999999</v>
      </c>
      <c r="U4050">
        <v>-0.125</v>
      </c>
      <c r="V4050">
        <v>-3.01433E-3</v>
      </c>
      <c r="W4050">
        <v>1.8782770000000001E-2</v>
      </c>
      <c r="X4050">
        <v>0.99981900000000001</v>
      </c>
      <c r="Y4050">
        <v>-6.1722199999999998E-2</v>
      </c>
      <c r="Z4050">
        <v>-4.1884779999999998E-3</v>
      </c>
      <c r="AA4050">
        <v>0.99808459999999999</v>
      </c>
      <c r="AB4050">
        <v>32</v>
      </c>
      <c r="AC4050">
        <v>-13.1919</v>
      </c>
      <c r="AD4050">
        <v>-1.1040309863810001</v>
      </c>
      <c r="AE4050">
        <v>-0.56790000000000795</v>
      </c>
      <c r="AF4050">
        <v>-0.83162977261871995</v>
      </c>
      <c r="AG4050">
        <v>-1.1040309863810001</v>
      </c>
      <c r="AH4050">
        <v>13.0860493197683</v>
      </c>
      <c r="AI4050">
        <v>94.812790871396203</v>
      </c>
      <c r="AJ4050">
        <v>93.6363063606845</v>
      </c>
      <c r="AK4050">
        <v>13.158844147454699</v>
      </c>
    </row>
    <row r="4051" spans="1:37" x14ac:dyDescent="0.2">
      <c r="A4051" t="str">
        <f>"20200111155932171"</f>
        <v>20200111155932171</v>
      </c>
      <c r="B4051" t="str">
        <f>"1578729572164022"</f>
        <v>1578729572164022</v>
      </c>
      <c r="C4051" t="s">
        <v>37</v>
      </c>
      <c r="D4051">
        <v>5.484693</v>
      </c>
      <c r="E4051">
        <v>0.48058599999999901</v>
      </c>
      <c r="F4051" t="s">
        <v>39</v>
      </c>
      <c r="G4051">
        <v>-321.3766</v>
      </c>
      <c r="H4051" s="1">
        <v>-3.8078420000000001E-6</v>
      </c>
      <c r="I4051">
        <v>140.09039999999999</v>
      </c>
      <c r="J4051">
        <v>-308.10759999999999</v>
      </c>
      <c r="K4051">
        <v>1.1040350000000001</v>
      </c>
      <c r="L4051">
        <v>140.64879999999999</v>
      </c>
      <c r="M4051">
        <v>-0.99969259999999904</v>
      </c>
      <c r="N4051">
        <v>0</v>
      </c>
      <c r="O4051">
        <v>2.0474829999999999E-2</v>
      </c>
      <c r="P4051">
        <v>-0.99982789999999999</v>
      </c>
      <c r="Q4051">
        <v>5.5813039999999996E-3</v>
      </c>
      <c r="R4051">
        <v>1.7705490000000001E-2</v>
      </c>
      <c r="S4051">
        <v>-3.003784</v>
      </c>
      <c r="T4051">
        <v>-0.2435155</v>
      </c>
      <c r="U4051">
        <v>-0.1215668</v>
      </c>
      <c r="V4051">
        <v>-2.7692379999999998E-3</v>
      </c>
      <c r="W4051">
        <v>1.9574649999999999E-2</v>
      </c>
      <c r="X4051">
        <v>0.99980460000000004</v>
      </c>
      <c r="Y4051">
        <v>-6.0624039999999997E-2</v>
      </c>
      <c r="Z4051">
        <v>-4.1090989999999997E-3</v>
      </c>
      <c r="AA4051">
        <v>0.99815219999999905</v>
      </c>
      <c r="AB4051">
        <v>32</v>
      </c>
      <c r="AC4051">
        <v>-13.269</v>
      </c>
      <c r="AD4051">
        <v>-1.104038807842</v>
      </c>
      <c r="AE4051">
        <v>-0.558400000000006</v>
      </c>
      <c r="AF4051">
        <v>-0.82429352820831503</v>
      </c>
      <c r="AG4051">
        <v>-1.104038807842</v>
      </c>
      <c r="AH4051">
        <v>13.1638120619505</v>
      </c>
      <c r="AI4051">
        <v>94.784805437435196</v>
      </c>
      <c r="AJ4051">
        <v>93.583077350942901</v>
      </c>
      <c r="AK4051">
        <v>13.2357209668465</v>
      </c>
    </row>
    <row r="4052" spans="1:37" x14ac:dyDescent="0.2">
      <c r="A4052" t="str">
        <f>"20200111155932193"</f>
        <v>20200111155932193</v>
      </c>
      <c r="B4052" t="str">
        <f>"1578729572184050"</f>
        <v>1578729572184050</v>
      </c>
      <c r="C4052" t="s">
        <v>37</v>
      </c>
      <c r="D4052">
        <v>5.3237189999999996</v>
      </c>
      <c r="E4052">
        <v>0.48051650000000001</v>
      </c>
      <c r="F4052" t="s">
        <v>39</v>
      </c>
      <c r="G4052">
        <v>-321.95389999999998</v>
      </c>
      <c r="H4052" s="1">
        <v>-3.5602240000000001E-6</v>
      </c>
      <c r="I4052">
        <v>140.09049999999999</v>
      </c>
      <c r="J4052">
        <v>-308.42790000000002</v>
      </c>
      <c r="K4052">
        <v>1.104042</v>
      </c>
      <c r="L4052">
        <v>140.65539999999999</v>
      </c>
      <c r="M4052">
        <v>-0.99969180000000002</v>
      </c>
      <c r="N4052">
        <v>0</v>
      </c>
      <c r="O4052">
        <v>2.050753E-2</v>
      </c>
      <c r="P4052">
        <v>-0.99982669999999996</v>
      </c>
      <c r="Q4052">
        <v>6.1273719999999999E-3</v>
      </c>
      <c r="R4052">
        <v>1.758757E-2</v>
      </c>
      <c r="S4052">
        <v>-3.0039980000000002</v>
      </c>
      <c r="T4052">
        <v>-0.23952660000000001</v>
      </c>
      <c r="U4052">
        <v>-0.121124299999999</v>
      </c>
      <c r="V4052">
        <v>-2.919858E-3</v>
      </c>
      <c r="W4052">
        <v>2.0115270000000001E-2</v>
      </c>
      <c r="X4052">
        <v>0.99979340000000005</v>
      </c>
      <c r="Y4052">
        <v>-6.0515899999999997E-2</v>
      </c>
      <c r="Z4052">
        <v>-4.0400280000000002E-3</v>
      </c>
      <c r="AA4052">
        <v>0.99815909999999997</v>
      </c>
      <c r="AB4052">
        <v>32</v>
      </c>
      <c r="AC4052">
        <v>-13.5259999999999</v>
      </c>
      <c r="AD4052">
        <v>-1.104045560224</v>
      </c>
      <c r="AE4052">
        <v>-0.56489999999999396</v>
      </c>
      <c r="AF4052">
        <v>-0.83662887192206403</v>
      </c>
      <c r="AG4052">
        <v>-1.104045560224</v>
      </c>
      <c r="AH4052">
        <v>13.4222991180217</v>
      </c>
      <c r="AI4052">
        <v>94.693187101858797</v>
      </c>
      <c r="AJ4052">
        <v>93.5667040403752</v>
      </c>
      <c r="AK4052">
        <v>13.4935902591575</v>
      </c>
    </row>
    <row r="4053" spans="1:37" x14ac:dyDescent="0.2">
      <c r="A4053" t="str">
        <f>"20200111155932217"</f>
        <v>20200111155932217</v>
      </c>
      <c r="B4053" t="str">
        <f>"1578729572204546"</f>
        <v>1578729572204546</v>
      </c>
      <c r="C4053" t="s">
        <v>37</v>
      </c>
      <c r="D4053">
        <v>5.0329309999999996</v>
      </c>
      <c r="E4053">
        <v>0.48033049999999999</v>
      </c>
      <c r="F4053" t="s">
        <v>39</v>
      </c>
      <c r="G4053">
        <v>-322.56920000000002</v>
      </c>
      <c r="H4053" s="1">
        <v>-3.2941590000000001E-6</v>
      </c>
      <c r="I4053">
        <v>140.08260000000001</v>
      </c>
      <c r="J4053">
        <v>-308.74979999999999</v>
      </c>
      <c r="K4053">
        <v>1.104053</v>
      </c>
      <c r="L4053">
        <v>140.66200000000001</v>
      </c>
      <c r="M4053">
        <v>-0.9996912</v>
      </c>
      <c r="N4053">
        <v>0</v>
      </c>
      <c r="O4053">
        <v>2.0540030000000001E-2</v>
      </c>
      <c r="P4053">
        <v>-0.9998302</v>
      </c>
      <c r="Q4053">
        <v>7.3444510000000001E-3</v>
      </c>
      <c r="R4053">
        <v>1.690728E-2</v>
      </c>
      <c r="S4053">
        <v>-3.0040589999999998</v>
      </c>
      <c r="T4053">
        <v>-0.2345361</v>
      </c>
      <c r="U4053">
        <v>-0.12167360000000001</v>
      </c>
      <c r="V4053">
        <v>-3.632489E-3</v>
      </c>
      <c r="W4053">
        <v>2.1336669999999999E-2</v>
      </c>
      <c r="X4053">
        <v>0.99976580000000004</v>
      </c>
      <c r="Y4053">
        <v>-6.073957E-2</v>
      </c>
      <c r="Z4053">
        <v>-3.9672659999999997E-3</v>
      </c>
      <c r="AA4053">
        <v>0.99814579999999997</v>
      </c>
      <c r="AB4053">
        <v>32</v>
      </c>
      <c r="AC4053">
        <v>-13.8194</v>
      </c>
      <c r="AD4053">
        <v>-1.104056294159</v>
      </c>
      <c r="AE4053">
        <v>-0.57939999999999203</v>
      </c>
      <c r="AF4053">
        <v>-0.85769162034803403</v>
      </c>
      <c r="AG4053">
        <v>-1.104056294159</v>
      </c>
      <c r="AH4053">
        <v>13.717182955899901</v>
      </c>
      <c r="AI4053">
        <v>94.592720938139294</v>
      </c>
      <c r="AJ4053">
        <v>93.577864195386994</v>
      </c>
      <c r="AK4053">
        <v>13.7882443937551</v>
      </c>
    </row>
    <row r="4054" spans="1:37" x14ac:dyDescent="0.2">
      <c r="A4054" t="str">
        <f>"20200111155932237"</f>
        <v>20200111155932237</v>
      </c>
      <c r="B4054" t="str">
        <f>"1578729572233827"</f>
        <v>1578729572233827</v>
      </c>
      <c r="C4054" t="s">
        <v>37</v>
      </c>
      <c r="D4054">
        <v>5.1336550000000001</v>
      </c>
      <c r="E4054">
        <v>0.48031570000000001</v>
      </c>
      <c r="F4054" t="s">
        <v>39</v>
      </c>
      <c r="G4054">
        <v>-323.029</v>
      </c>
      <c r="H4054" s="1">
        <v>-3.092953E-6</v>
      </c>
      <c r="I4054">
        <v>140.06780000000001</v>
      </c>
      <c r="J4054">
        <v>-309.05439999999999</v>
      </c>
      <c r="K4054">
        <v>1.1040669999999999</v>
      </c>
      <c r="L4054">
        <v>140.66829999999999</v>
      </c>
      <c r="M4054">
        <v>-0.99969039999999998</v>
      </c>
      <c r="N4054">
        <v>0</v>
      </c>
      <c r="O4054">
        <v>2.0570959999999999E-2</v>
      </c>
      <c r="P4054">
        <v>-0.99983949999999999</v>
      </c>
      <c r="Q4054">
        <v>8.3796159999999995E-3</v>
      </c>
      <c r="R4054">
        <v>1.58411E-2</v>
      </c>
      <c r="S4054">
        <v>-3.0043329999999999</v>
      </c>
      <c r="T4054">
        <v>-0.23229259999999999</v>
      </c>
      <c r="U4054">
        <v>-0.1250153</v>
      </c>
      <c r="V4054">
        <v>-4.7298000000000001E-3</v>
      </c>
      <c r="W4054">
        <v>2.2390230000000001E-2</v>
      </c>
      <c r="X4054">
        <v>0.99973809999999996</v>
      </c>
      <c r="Y4054">
        <v>-6.1876359999999998E-2</v>
      </c>
      <c r="Z4054">
        <v>-3.9752390000000002E-3</v>
      </c>
      <c r="AA4054">
        <v>0.99807590000000002</v>
      </c>
      <c r="AB4054">
        <v>32</v>
      </c>
      <c r="AC4054">
        <v>-13.974600000000001</v>
      </c>
      <c r="AD4054">
        <v>-1.1040700929529901</v>
      </c>
      <c r="AE4054">
        <v>-0.60049999999998205</v>
      </c>
      <c r="AF4054">
        <v>-0.88237449851285599</v>
      </c>
      <c r="AG4054">
        <v>-1.1040700929529901</v>
      </c>
      <c r="AH4054">
        <v>13.8728553368967</v>
      </c>
      <c r="AI4054">
        <v>94.541151545292095</v>
      </c>
      <c r="AJ4054">
        <v>93.639360677215606</v>
      </c>
      <c r="AK4054">
        <v>13.944664597050799</v>
      </c>
    </row>
    <row r="4055" spans="1:37" x14ac:dyDescent="0.2">
      <c r="A4055" t="str">
        <f>"20200111155932259"</f>
        <v>20200111155932259</v>
      </c>
      <c r="B4055" t="str">
        <f>"1578729572254322"</f>
        <v>1578729572254322</v>
      </c>
      <c r="C4055" t="s">
        <v>37</v>
      </c>
      <c r="D4055">
        <v>5.0894259999999996</v>
      </c>
      <c r="E4055">
        <v>0.48016569999999997</v>
      </c>
      <c r="F4055" t="s">
        <v>39</v>
      </c>
      <c r="G4055">
        <v>-323.56450000000001</v>
      </c>
      <c r="H4055" s="1">
        <v>-2.8583819999999902E-6</v>
      </c>
      <c r="I4055">
        <v>140.04949999999999</v>
      </c>
      <c r="J4055">
        <v>-309.36349999999999</v>
      </c>
      <c r="K4055">
        <v>1.1040779999999999</v>
      </c>
      <c r="L4055">
        <v>140.6747</v>
      </c>
      <c r="M4055">
        <v>-0.9996893</v>
      </c>
      <c r="N4055">
        <v>0</v>
      </c>
      <c r="O4055">
        <v>2.0602280000000001E-2</v>
      </c>
      <c r="P4055">
        <v>-0.9998553</v>
      </c>
      <c r="Q4055">
        <v>8.8896489999999995E-3</v>
      </c>
      <c r="R4055">
        <v>1.4519870000000001E-2</v>
      </c>
      <c r="S4055">
        <v>-3.0044559999999998</v>
      </c>
      <c r="T4055">
        <v>-0.228610799999999</v>
      </c>
      <c r="U4055">
        <v>-0.12812809999999999</v>
      </c>
      <c r="V4055">
        <v>-6.0821529999999999E-3</v>
      </c>
      <c r="W4055">
        <v>2.2928440000000001E-2</v>
      </c>
      <c r="X4055">
        <v>0.99971860000000001</v>
      </c>
      <c r="Y4055">
        <v>-6.2942709999999999E-2</v>
      </c>
      <c r="Z4055">
        <v>-3.9550480000000001E-3</v>
      </c>
      <c r="AA4055">
        <v>0.99800929999999999</v>
      </c>
      <c r="AB4055">
        <v>32</v>
      </c>
      <c r="AC4055">
        <v>-14.201000000000001</v>
      </c>
      <c r="AD4055">
        <v>-1.1040808583820001</v>
      </c>
      <c r="AE4055">
        <v>-0.62520000000000597</v>
      </c>
      <c r="AF4055">
        <v>-0.91216608767127305</v>
      </c>
      <c r="AG4055">
        <v>-1.1040808583820001</v>
      </c>
      <c r="AH4055">
        <v>14.100039925708799</v>
      </c>
      <c r="AI4055">
        <v>94.468015762285503</v>
      </c>
      <c r="AJ4055">
        <v>93.701446281484905</v>
      </c>
      <c r="AK4055">
        <v>14.1725850648329</v>
      </c>
    </row>
    <row r="4056" spans="1:37" x14ac:dyDescent="0.2">
      <c r="A4056" t="str">
        <f>"20200111155932282"</f>
        <v>20200111155932282</v>
      </c>
      <c r="B4056" t="str">
        <f>"1578729572273845"</f>
        <v>1578729572273845</v>
      </c>
      <c r="C4056" t="s">
        <v>37</v>
      </c>
      <c r="D4056">
        <v>5.0623680000000002</v>
      </c>
      <c r="E4056">
        <v>0.48003899999999999</v>
      </c>
      <c r="F4056" t="s">
        <v>39</v>
      </c>
      <c r="G4056">
        <v>-324.10660000000001</v>
      </c>
      <c r="H4056" s="1">
        <v>-2.6183180000000001E-6</v>
      </c>
      <c r="I4056">
        <v>140.0213</v>
      </c>
      <c r="J4056">
        <v>-309.70030000000003</v>
      </c>
      <c r="K4056">
        <v>1.104093</v>
      </c>
      <c r="L4056">
        <v>140.68170000000001</v>
      </c>
      <c r="M4056">
        <v>-0.99968789999999996</v>
      </c>
      <c r="N4056">
        <v>0</v>
      </c>
      <c r="O4056">
        <v>2.0636720000000001E-2</v>
      </c>
      <c r="P4056">
        <v>-0.99986149999999996</v>
      </c>
      <c r="Q4056">
        <v>8.8950399999999999E-3</v>
      </c>
      <c r="R4056">
        <v>1.4068600000000001E-2</v>
      </c>
      <c r="S4056">
        <v>-3.0043950000000001</v>
      </c>
      <c r="T4056">
        <v>-0.22499439999999901</v>
      </c>
      <c r="U4056">
        <v>-0.1331329</v>
      </c>
      <c r="V4056">
        <v>-6.56790699999999E-3</v>
      </c>
      <c r="W4056">
        <v>2.2969440000000001E-2</v>
      </c>
      <c r="X4056">
        <v>0.99971460000000001</v>
      </c>
      <c r="Y4056">
        <v>-6.4640009999999998E-2</v>
      </c>
      <c r="Z4056">
        <v>-3.9586150000000004E-3</v>
      </c>
      <c r="AA4056">
        <v>0.99790080000000003</v>
      </c>
      <c r="AB4056">
        <v>32</v>
      </c>
      <c r="AC4056">
        <v>-14.4062999999999</v>
      </c>
      <c r="AD4056">
        <v>-1.104095618318</v>
      </c>
      <c r="AE4056">
        <v>-0.66040000000000898</v>
      </c>
      <c r="AF4056">
        <v>-0.95200754535774001</v>
      </c>
      <c r="AG4056">
        <v>-1.104095618318</v>
      </c>
      <c r="AH4056">
        <v>14.3057507424482</v>
      </c>
      <c r="AI4056">
        <v>94.403549186835903</v>
      </c>
      <c r="AJ4056">
        <v>93.8072596914093</v>
      </c>
      <c r="AK4056">
        <v>14.379841786538</v>
      </c>
    </row>
    <row r="4057" spans="1:37" x14ac:dyDescent="0.2">
      <c r="A4057" t="str">
        <f>"20200111155932304"</f>
        <v>20200111155932304</v>
      </c>
      <c r="B4057" t="str">
        <f>"1578729572293873"</f>
        <v>1578729572293873</v>
      </c>
      <c r="C4057" t="s">
        <v>37</v>
      </c>
      <c r="D4057">
        <v>4.9659300000000002</v>
      </c>
      <c r="E4057">
        <v>0.47986019999999902</v>
      </c>
      <c r="F4057" t="s">
        <v>39</v>
      </c>
      <c r="G4057">
        <v>-324.58319999999998</v>
      </c>
      <c r="H4057" s="1">
        <v>-2.4113679999999999E-6</v>
      </c>
      <c r="I4057">
        <v>140.012</v>
      </c>
      <c r="J4057">
        <v>-310.01350000000002</v>
      </c>
      <c r="K4057">
        <v>1.1041019999999999</v>
      </c>
      <c r="L4057">
        <v>140.68819999999999</v>
      </c>
      <c r="M4057">
        <v>-0.99968679999999999</v>
      </c>
      <c r="N4057">
        <v>0</v>
      </c>
      <c r="O4057">
        <v>2.0668490000000001E-2</v>
      </c>
      <c r="P4057">
        <v>-0.99987150000000002</v>
      </c>
      <c r="Q4057">
        <v>8.6366389999999998E-3</v>
      </c>
      <c r="R4057">
        <v>1.350956E-2</v>
      </c>
      <c r="S4057">
        <v>-3.00430299999999</v>
      </c>
      <c r="T4057">
        <v>-0.22287680000000001</v>
      </c>
      <c r="U4057">
        <v>-0.13517760000000001</v>
      </c>
      <c r="V4057">
        <v>-7.1590509999999996E-3</v>
      </c>
      <c r="W4057">
        <v>2.2743469999999998E-2</v>
      </c>
      <c r="X4057">
        <v>0.99971569999999899</v>
      </c>
      <c r="Y4057">
        <v>-6.5353289999999994E-2</v>
      </c>
      <c r="Z4057">
        <v>-3.9502829999999997E-3</v>
      </c>
      <c r="AA4057">
        <v>0.99785440000000003</v>
      </c>
      <c r="AB4057">
        <v>32</v>
      </c>
      <c r="AC4057">
        <v>-14.5696999999999</v>
      </c>
      <c r="AD4057">
        <v>-1.1041044113680001</v>
      </c>
      <c r="AE4057">
        <v>-0.67619999999999403</v>
      </c>
      <c r="AF4057">
        <v>-0.97165126141746205</v>
      </c>
      <c r="AG4057">
        <v>-1.1041044113680001</v>
      </c>
      <c r="AH4057">
        <v>14.469692572</v>
      </c>
      <c r="AI4057">
        <v>94.353710163675302</v>
      </c>
      <c r="AJ4057">
        <v>93.841689331201096</v>
      </c>
      <c r="AK4057">
        <v>14.544248205156901</v>
      </c>
    </row>
    <row r="4058" spans="1:37" x14ac:dyDescent="0.2">
      <c r="A4058" t="str">
        <f>"20200111155932326"</f>
        <v>20200111155932326</v>
      </c>
      <c r="B4058" t="str">
        <f>"1578729572314366"</f>
        <v>1578729572314366</v>
      </c>
      <c r="C4058" t="s">
        <v>37</v>
      </c>
      <c r="D4058">
        <v>4.9171250000000004</v>
      </c>
      <c r="E4058">
        <v>0.47969479999999998</v>
      </c>
      <c r="F4058" t="s">
        <v>39</v>
      </c>
      <c r="G4058">
        <v>-324.96969999999999</v>
      </c>
      <c r="H4058" s="1">
        <v>-2.2424089999999999E-6</v>
      </c>
      <c r="I4058">
        <v>140.0001</v>
      </c>
      <c r="J4058">
        <v>-310.31540000000001</v>
      </c>
      <c r="K4058">
        <v>1.1041049999999999</v>
      </c>
      <c r="L4058">
        <v>140.6944</v>
      </c>
      <c r="M4058">
        <v>-0.99968579999999996</v>
      </c>
      <c r="N4058">
        <v>0</v>
      </c>
      <c r="O4058">
        <v>2.0699510000000001E-2</v>
      </c>
      <c r="P4058">
        <v>-0.99986929999999996</v>
      </c>
      <c r="Q4058">
        <v>8.6968429999999992E-3</v>
      </c>
      <c r="R4058">
        <v>1.363432E-2</v>
      </c>
      <c r="S4058">
        <v>-3.0042110000000002</v>
      </c>
      <c r="T4058">
        <v>-0.22177949999999999</v>
      </c>
      <c r="U4058">
        <v>-0.13819890000000001</v>
      </c>
      <c r="V4058">
        <v>-7.0651289999999999E-3</v>
      </c>
      <c r="W4058">
        <v>2.2833099999999999E-2</v>
      </c>
      <c r="X4058">
        <v>0.99971429999999994</v>
      </c>
      <c r="Y4058">
        <v>-6.638645E-2</v>
      </c>
      <c r="Z4058">
        <v>-3.9712710000000002E-3</v>
      </c>
      <c r="AA4058">
        <v>0.99778609999999901</v>
      </c>
      <c r="AB4058">
        <v>32</v>
      </c>
      <c r="AC4058">
        <v>-14.6542999999999</v>
      </c>
      <c r="AD4058">
        <v>-1.1041072424089999</v>
      </c>
      <c r="AE4058">
        <v>-0.69429999999999803</v>
      </c>
      <c r="AF4058">
        <v>-0.99190029024245097</v>
      </c>
      <c r="AG4058">
        <v>-1.1041072424089999</v>
      </c>
      <c r="AH4058">
        <v>14.5543515067359</v>
      </c>
      <c r="AI4058">
        <v>94.328202757643098</v>
      </c>
      <c r="AJ4058">
        <v>93.898762335727099</v>
      </c>
      <c r="AK4058">
        <v>14.6298348169127</v>
      </c>
    </row>
    <row r="4059" spans="1:37" x14ac:dyDescent="0.2">
      <c r="A4059" t="str">
        <f>"20200111155932348"</f>
        <v>20200111155932348</v>
      </c>
      <c r="B4059" t="str">
        <f>"1578729572343647"</f>
        <v>1578729572343647</v>
      </c>
      <c r="C4059" t="s">
        <v>37</v>
      </c>
      <c r="D4059">
        <v>4.9347430000000001</v>
      </c>
      <c r="E4059">
        <v>0.47961149999999902</v>
      </c>
      <c r="F4059" t="s">
        <v>39</v>
      </c>
      <c r="G4059">
        <v>-325.41390000000001</v>
      </c>
      <c r="H4059" s="1">
        <v>-2.05087899999999E-6</v>
      </c>
      <c r="I4059">
        <v>139.9965</v>
      </c>
      <c r="J4059">
        <v>-310.6404</v>
      </c>
      <c r="K4059">
        <v>1.1041159999999901</v>
      </c>
      <c r="L4059">
        <v>140.7012</v>
      </c>
      <c r="M4059">
        <v>-0.99968469999999998</v>
      </c>
      <c r="N4059">
        <v>0</v>
      </c>
      <c r="O4059">
        <v>2.073214E-2</v>
      </c>
      <c r="P4059">
        <v>-0.99986119999999901</v>
      </c>
      <c r="Q4059">
        <v>9.1412309999999997E-3</v>
      </c>
      <c r="R4059">
        <v>1.3936789999999999E-2</v>
      </c>
      <c r="S4059">
        <v>-3.004181</v>
      </c>
      <c r="T4059">
        <v>-0.21968699999999999</v>
      </c>
      <c r="U4059">
        <v>-0.13885500000000001</v>
      </c>
      <c r="V4059">
        <v>-6.7952409999999996E-3</v>
      </c>
      <c r="W4059">
        <v>2.330695E-2</v>
      </c>
      <c r="X4059">
        <v>0.99970530000000002</v>
      </c>
      <c r="Y4059">
        <v>-6.6640619999999998E-2</v>
      </c>
      <c r="Z4059">
        <v>-3.9455820000000004E-3</v>
      </c>
      <c r="AA4059">
        <v>0.99776919999999902</v>
      </c>
      <c r="AB4059">
        <v>32</v>
      </c>
      <c r="AC4059">
        <v>-14.7735</v>
      </c>
      <c r="AD4059">
        <v>-1.1041180508789901</v>
      </c>
      <c r="AE4059">
        <v>-0.70470000000000199</v>
      </c>
      <c r="AF4059">
        <v>-1.0052633334997401</v>
      </c>
      <c r="AG4059">
        <v>-1.1041180508789901</v>
      </c>
      <c r="AH4059">
        <v>14.673937011679399</v>
      </c>
      <c r="AI4059">
        <v>94.293000931598201</v>
      </c>
      <c r="AJ4059">
        <v>93.919022850439205</v>
      </c>
      <c r="AK4059">
        <v>14.7497138434171</v>
      </c>
    </row>
    <row r="4060" spans="1:37" x14ac:dyDescent="0.2">
      <c r="A4060" t="str">
        <f>"20200111155932371"</f>
        <v>20200111155932371</v>
      </c>
      <c r="B4060" t="str">
        <f>"1578729572364142"</f>
        <v>1578729572364142</v>
      </c>
      <c r="C4060" t="s">
        <v>37</v>
      </c>
      <c r="D4060">
        <v>4.976604</v>
      </c>
      <c r="E4060">
        <v>0.4795412</v>
      </c>
      <c r="F4060" t="s">
        <v>39</v>
      </c>
      <c r="G4060">
        <v>-325.9941</v>
      </c>
      <c r="H4060" s="1">
        <v>-1.8016579999999999E-6</v>
      </c>
      <c r="I4060">
        <v>139.99529999999999</v>
      </c>
      <c r="J4060">
        <v>-310.9742</v>
      </c>
      <c r="K4060">
        <v>1.1041289999999999</v>
      </c>
      <c r="L4060">
        <v>140.7081</v>
      </c>
      <c r="M4060">
        <v>-0.99968359999999901</v>
      </c>
      <c r="N4060">
        <v>0</v>
      </c>
      <c r="O4060">
        <v>2.0766159999999999E-2</v>
      </c>
      <c r="P4060">
        <v>-0.99984599999999901</v>
      </c>
      <c r="Q4060">
        <v>1.031663E-2</v>
      </c>
      <c r="R4060">
        <v>1.418876E-2</v>
      </c>
      <c r="S4060">
        <v>-3.00430299999999</v>
      </c>
      <c r="T4060">
        <v>-0.21604659999999901</v>
      </c>
      <c r="U4060">
        <v>-0.13810729999999999</v>
      </c>
      <c r="V4060">
        <v>-6.5767239999999999E-3</v>
      </c>
      <c r="W4060">
        <v>2.4509659999999999E-2</v>
      </c>
      <c r="X4060">
        <v>0.99967799999999996</v>
      </c>
      <c r="Y4060">
        <v>-6.6433030000000004E-2</v>
      </c>
      <c r="Z4060">
        <v>-3.8752259999999998E-3</v>
      </c>
      <c r="AA4060">
        <v>0.99778339999999999</v>
      </c>
      <c r="AB4060">
        <v>32</v>
      </c>
      <c r="AC4060">
        <v>-15.0199</v>
      </c>
      <c r="AD4060">
        <v>-1.104130801658</v>
      </c>
      <c r="AE4060">
        <v>-0.71280000000001498</v>
      </c>
      <c r="AF4060">
        <v>-1.01908865746549</v>
      </c>
      <c r="AG4060">
        <v>-1.104130801658</v>
      </c>
      <c r="AH4060">
        <v>14.9214043248605</v>
      </c>
      <c r="AI4060">
        <v>94.222170952652405</v>
      </c>
      <c r="AJ4060">
        <v>93.9070683429035</v>
      </c>
      <c r="AK4060">
        <v>14.996864790512401</v>
      </c>
    </row>
    <row r="4061" spans="1:37" x14ac:dyDescent="0.2">
      <c r="A4061" t="str">
        <f>"20200111155932393"</f>
        <v>20200111155932393</v>
      </c>
      <c r="B4061" t="str">
        <f>"1578729572384171"</f>
        <v>1578729572384171</v>
      </c>
      <c r="C4061" t="s">
        <v>37</v>
      </c>
      <c r="D4061">
        <v>4.9193319999999998</v>
      </c>
      <c r="E4061">
        <v>0.4794042</v>
      </c>
      <c r="F4061" t="s">
        <v>39</v>
      </c>
      <c r="G4061">
        <v>-326.700999999999</v>
      </c>
      <c r="H4061" s="1">
        <v>-1.49627E-6</v>
      </c>
      <c r="I4061">
        <v>139.9873</v>
      </c>
      <c r="J4061">
        <v>-311.2792</v>
      </c>
      <c r="K4061">
        <v>1.1041379999999901</v>
      </c>
      <c r="L4061">
        <v>140.71449999999999</v>
      </c>
      <c r="M4061">
        <v>-0.99968269999999904</v>
      </c>
      <c r="N4061">
        <v>0</v>
      </c>
      <c r="O4061">
        <v>2.0797050000000001E-2</v>
      </c>
      <c r="P4061">
        <v>-0.99982789999999999</v>
      </c>
      <c r="Q4061">
        <v>1.1489279999999999E-2</v>
      </c>
      <c r="R4061">
        <v>1.4573910000000001E-2</v>
      </c>
      <c r="S4061">
        <v>-3.0046080000000002</v>
      </c>
      <c r="T4061">
        <v>-0.2109451</v>
      </c>
      <c r="U4061">
        <v>-0.13771059999999999</v>
      </c>
      <c r="V4061">
        <v>-6.2218849999999999E-3</v>
      </c>
      <c r="W4061">
        <v>2.570424E-2</v>
      </c>
      <c r="X4061">
        <v>0.99965020000000004</v>
      </c>
      <c r="Y4061">
        <v>-6.633841E-2</v>
      </c>
      <c r="Z4061">
        <v>-3.7824259999999902E-3</v>
      </c>
      <c r="AA4061">
        <v>0.99778999999999995</v>
      </c>
      <c r="AB4061">
        <v>32</v>
      </c>
      <c r="AC4061">
        <v>-15.4217999999999</v>
      </c>
      <c r="AD4061">
        <v>-1.10413949626999</v>
      </c>
      <c r="AE4061">
        <v>-0.72719999999998197</v>
      </c>
      <c r="AF4061">
        <v>-1.0424711876108499</v>
      </c>
      <c r="AG4061">
        <v>-1.10413949626999</v>
      </c>
      <c r="AH4061">
        <v>15.324957427452</v>
      </c>
      <c r="AI4061">
        <v>94.111482710977597</v>
      </c>
      <c r="AJ4061">
        <v>93.891516555665703</v>
      </c>
      <c r="AK4061">
        <v>15.400006180435099</v>
      </c>
    </row>
    <row r="4062" spans="1:37" x14ac:dyDescent="0.2">
      <c r="A4062" t="str">
        <f>"20200111155932416"</f>
        <v>20200111155932416</v>
      </c>
      <c r="B4062" t="str">
        <f>"1578729572403691"</f>
        <v>1578729572403691</v>
      </c>
      <c r="C4062" t="s">
        <v>37</v>
      </c>
      <c r="D4062">
        <v>4.8561519999999998</v>
      </c>
      <c r="E4062">
        <v>0.479346299999999</v>
      </c>
      <c r="F4062" t="s">
        <v>39</v>
      </c>
      <c r="G4062">
        <v>-327.3372</v>
      </c>
      <c r="H4062" s="1">
        <v>-1.221275E-6</v>
      </c>
      <c r="I4062">
        <v>139.9796</v>
      </c>
      <c r="J4062">
        <v>-311.59710000000001</v>
      </c>
      <c r="K4062">
        <v>1.104149</v>
      </c>
      <c r="L4062">
        <v>140.72110000000001</v>
      </c>
      <c r="M4062">
        <v>-0.99968169999999901</v>
      </c>
      <c r="N4062">
        <v>0</v>
      </c>
      <c r="O4062">
        <v>2.082956E-2</v>
      </c>
      <c r="P4062">
        <v>-0.99979319999999905</v>
      </c>
      <c r="Q4062">
        <v>1.392845E-2</v>
      </c>
      <c r="R4062">
        <v>1.4819809999999999E-2</v>
      </c>
      <c r="S4062">
        <v>-3.0049130000000002</v>
      </c>
      <c r="T4062">
        <v>-0.20661679999999899</v>
      </c>
      <c r="U4062">
        <v>-0.1375122</v>
      </c>
      <c r="V4062">
        <v>-6.007938E-3</v>
      </c>
      <c r="W4062">
        <v>2.816335E-2</v>
      </c>
      <c r="X4062">
        <v>0.99958530000000001</v>
      </c>
      <c r="Y4062">
        <v>-6.6309209999999993E-2</v>
      </c>
      <c r="Z4062">
        <v>-3.705861E-3</v>
      </c>
      <c r="AA4062">
        <v>0.99779219999999902</v>
      </c>
      <c r="AB4062">
        <v>32</v>
      </c>
      <c r="AC4062">
        <v>-15.740099999999901</v>
      </c>
      <c r="AD4062">
        <v>-1.1041502212750001</v>
      </c>
      <c r="AE4062">
        <v>-0.74150000000000205</v>
      </c>
      <c r="AF4062">
        <v>-1.0640074297751101</v>
      </c>
      <c r="AG4062">
        <v>-1.1041502212750001</v>
      </c>
      <c r="AH4062">
        <v>15.6444240580237</v>
      </c>
      <c r="AI4062">
        <v>94.027845852587006</v>
      </c>
      <c r="AJ4062">
        <v>93.890804635079206</v>
      </c>
      <c r="AK4062">
        <v>15.7193913250173</v>
      </c>
    </row>
    <row r="4063" spans="1:37" x14ac:dyDescent="0.2">
      <c r="A4063" t="str">
        <f>"20200111155932437"</f>
        <v>20200111155932437</v>
      </c>
      <c r="B4063" t="str">
        <f>"1578729572433947"</f>
        <v>1578729572433947</v>
      </c>
      <c r="C4063" t="s">
        <v>37</v>
      </c>
      <c r="D4063">
        <v>4.7714910000000001</v>
      </c>
      <c r="E4063">
        <v>0.47920010000000002</v>
      </c>
      <c r="F4063" t="s">
        <v>39</v>
      </c>
      <c r="G4063">
        <v>-328.39839999999998</v>
      </c>
      <c r="H4063" s="1">
        <v>-7.5929780000000004E-7</v>
      </c>
      <c r="I4063">
        <v>139.95419999999999</v>
      </c>
      <c r="J4063">
        <v>-311.90159999999997</v>
      </c>
      <c r="K4063">
        <v>1.1041700000000001</v>
      </c>
      <c r="L4063">
        <v>140.72749999999999</v>
      </c>
      <c r="M4063">
        <v>-0.99968080000000004</v>
      </c>
      <c r="N4063">
        <v>0</v>
      </c>
      <c r="O4063">
        <v>2.0860489999999999E-2</v>
      </c>
      <c r="P4063">
        <v>-0.99974039999999997</v>
      </c>
      <c r="Q4063">
        <v>1.6446570000000001E-2</v>
      </c>
      <c r="R4063">
        <v>1.5776680000000001E-2</v>
      </c>
      <c r="S4063">
        <v>-3.0054020000000001</v>
      </c>
      <c r="T4063">
        <v>-0.19751060000000001</v>
      </c>
      <c r="U4063">
        <v>-0.13717650000000001</v>
      </c>
      <c r="V4063">
        <v>-5.0804919999999998E-3</v>
      </c>
      <c r="W4063">
        <v>3.0697599999999998E-2</v>
      </c>
      <c r="X4063">
        <v>0.99951579999999995</v>
      </c>
      <c r="Y4063">
        <v>-6.6239290000000006E-2</v>
      </c>
      <c r="Z4063">
        <v>-3.5420629999999998E-3</v>
      </c>
      <c r="AA4063">
        <v>0.9977975</v>
      </c>
      <c r="AB4063">
        <v>32</v>
      </c>
      <c r="AC4063">
        <v>-16.4968</v>
      </c>
      <c r="AD4063">
        <v>-1.1041707592978001</v>
      </c>
      <c r="AE4063">
        <v>-0.77330000000000598</v>
      </c>
      <c r="AF4063">
        <v>-1.11232574583082</v>
      </c>
      <c r="AG4063">
        <v>-1.1041707592978001</v>
      </c>
      <c r="AH4063">
        <v>16.403749613108399</v>
      </c>
      <c r="AI4063">
        <v>93.842093462421602</v>
      </c>
      <c r="AJ4063">
        <v>93.879244658408695</v>
      </c>
      <c r="AK4063">
        <v>16.4784545088451</v>
      </c>
    </row>
    <row r="4064" spans="1:37" x14ac:dyDescent="0.2">
      <c r="A4064" t="str">
        <f>"20200111155932472"</f>
        <v>20200111155932472</v>
      </c>
      <c r="B4064" t="str">
        <f>"1578729572464203"</f>
        <v>1578729572464203</v>
      </c>
      <c r="C4064" t="s">
        <v>37</v>
      </c>
      <c r="D4064">
        <v>5.0694039999999996</v>
      </c>
      <c r="E4064">
        <v>0.47907179999999999</v>
      </c>
      <c r="F4064" t="s">
        <v>39</v>
      </c>
      <c r="G4064">
        <v>-329.55610000000001</v>
      </c>
      <c r="H4064" s="1">
        <v>-2.5673E-7</v>
      </c>
      <c r="I4064">
        <v>139.93190000000001</v>
      </c>
      <c r="J4064">
        <v>-312.3886</v>
      </c>
      <c r="K4064">
        <v>1.104195</v>
      </c>
      <c r="L4064">
        <v>140.73769999999999</v>
      </c>
      <c r="M4064">
        <v>-0.99967950000000005</v>
      </c>
      <c r="N4064">
        <v>0</v>
      </c>
      <c r="O4064">
        <v>2.0909850000000001E-2</v>
      </c>
      <c r="P4064">
        <v>-0.99968099999999904</v>
      </c>
      <c r="Q4064">
        <v>1.931722E-2</v>
      </c>
      <c r="R4064">
        <v>1.626623E-2</v>
      </c>
      <c r="S4064">
        <v>-3.0060119999999899</v>
      </c>
      <c r="T4064">
        <v>-0.18800739999999999</v>
      </c>
      <c r="U4064">
        <v>-0.1354523</v>
      </c>
      <c r="V4064">
        <v>-4.6391990000000001E-3</v>
      </c>
      <c r="W4064">
        <v>3.3590019999999998E-2</v>
      </c>
      <c r="X4064">
        <v>0.99942489999999995</v>
      </c>
      <c r="Y4064">
        <v>-6.5726729999999997E-2</v>
      </c>
      <c r="Z4064">
        <v>-3.3584140000000001E-3</v>
      </c>
      <c r="AA4064">
        <v>0.99783199999999905</v>
      </c>
      <c r="AB4064">
        <v>32</v>
      </c>
      <c r="AC4064">
        <v>-17.1675</v>
      </c>
      <c r="AD4064">
        <v>-1.10419525673</v>
      </c>
      <c r="AE4064">
        <v>-0.80579999999997598</v>
      </c>
      <c r="AF4064">
        <v>-1.1598425664410801</v>
      </c>
      <c r="AG4064">
        <v>-1.10419525673</v>
      </c>
      <c r="AH4064">
        <v>17.076406432467099</v>
      </c>
      <c r="AI4064">
        <v>93.691230416500105</v>
      </c>
      <c r="AJ4064">
        <v>93.885605371150504</v>
      </c>
      <c r="AK4064">
        <v>17.1513305195462</v>
      </c>
    </row>
    <row r="4065" spans="1:37" x14ac:dyDescent="0.2">
      <c r="A4065" t="str">
        <f>"20200111155932493"</f>
        <v>20200111155932493</v>
      </c>
      <c r="B4065" t="str">
        <f>"1578729572484230"</f>
        <v>1578729572484230</v>
      </c>
      <c r="C4065" t="s">
        <v>37</v>
      </c>
      <c r="D4065">
        <v>4.8966690000000002</v>
      </c>
      <c r="E4065">
        <v>0.432339999999999</v>
      </c>
      <c r="F4065" t="s">
        <v>39</v>
      </c>
      <c r="G4065">
        <v>-330.9864</v>
      </c>
      <c r="H4065" s="1">
        <v>-4.3182870000000001E-6</v>
      </c>
      <c r="I4065">
        <v>139.9058</v>
      </c>
      <c r="J4065">
        <v>-312.69450000000001</v>
      </c>
      <c r="K4065">
        <v>1.104209</v>
      </c>
      <c r="L4065">
        <v>140.7441</v>
      </c>
      <c r="M4065">
        <v>-0.99967870000000003</v>
      </c>
      <c r="N4065">
        <v>0</v>
      </c>
      <c r="O4065">
        <v>2.094093E-2</v>
      </c>
      <c r="P4065">
        <v>-0.99963060000000004</v>
      </c>
      <c r="Q4065">
        <v>2.1758639999999999E-2</v>
      </c>
      <c r="R4065">
        <v>1.628746E-2</v>
      </c>
      <c r="S4065">
        <v>-3.0066220000000001</v>
      </c>
      <c r="T4065">
        <v>-0.17851110000000001</v>
      </c>
      <c r="U4065">
        <v>-0.134491</v>
      </c>
      <c r="V4065">
        <v>-4.6473799999999996E-3</v>
      </c>
      <c r="W4065">
        <v>3.6042329999999997E-2</v>
      </c>
      <c r="X4065">
        <v>0.99933950000000005</v>
      </c>
      <c r="Y4065">
        <v>-6.5447389999999994E-2</v>
      </c>
      <c r="Z4065">
        <v>-3.1820249999999998E-3</v>
      </c>
      <c r="AA4065">
        <v>0.99785100000000004</v>
      </c>
      <c r="AB4065">
        <v>32</v>
      </c>
      <c r="AC4065">
        <v>-18.291899999999998</v>
      </c>
      <c r="AD4065">
        <v>-1.104213318287</v>
      </c>
      <c r="AE4065">
        <v>-0.83830000000000304</v>
      </c>
      <c r="AF4065">
        <v>-1.2167798510332599</v>
      </c>
      <c r="AG4065">
        <v>-1.104213318287</v>
      </c>
      <c r="AH4065">
        <v>18.204133118651299</v>
      </c>
      <c r="AI4065">
        <v>93.463444219117207</v>
      </c>
      <c r="AJ4065">
        <v>93.824010905628199</v>
      </c>
      <c r="AK4065">
        <v>18.278137291850602</v>
      </c>
    </row>
    <row r="4066" spans="1:37" x14ac:dyDescent="0.2">
      <c r="A4066" t="str">
        <f>"20200111155932515"</f>
        <v>20200111155932515</v>
      </c>
      <c r="B4066" t="str">
        <f>"1578729572503751"</f>
        <v>1578729572503751</v>
      </c>
      <c r="C4066" t="s">
        <v>37</v>
      </c>
      <c r="D4066">
        <v>4.8959019999999898</v>
      </c>
      <c r="E4066">
        <v>0.42542999999999997</v>
      </c>
      <c r="F4066" t="s">
        <v>39</v>
      </c>
      <c r="G4066">
        <v>-331.20350000000002</v>
      </c>
      <c r="H4066" s="1">
        <v>-4.4921379999999902E-6</v>
      </c>
      <c r="I4066">
        <v>137.6234</v>
      </c>
      <c r="J4066">
        <v>-312.99979999999999</v>
      </c>
      <c r="K4066">
        <v>1.1042209999999999</v>
      </c>
      <c r="L4066">
        <v>140.75049999999999</v>
      </c>
      <c r="M4066">
        <v>-0.99967779999999995</v>
      </c>
      <c r="N4066">
        <v>0</v>
      </c>
      <c r="O4066">
        <v>2.0972089999999999E-2</v>
      </c>
      <c r="P4066">
        <v>-0.99958979999999997</v>
      </c>
      <c r="Q4066">
        <v>2.357368E-2</v>
      </c>
      <c r="R4066">
        <v>1.6267899999999998E-2</v>
      </c>
      <c r="S4066">
        <v>-3.013306</v>
      </c>
      <c r="T4066">
        <v>-0.1797686</v>
      </c>
      <c r="U4066">
        <v>-0.50805659999999997</v>
      </c>
      <c r="V4066">
        <v>-4.6970969999999999E-3</v>
      </c>
      <c r="W4066">
        <v>3.7865940000000001E-2</v>
      </c>
      <c r="X4066">
        <v>0.99927180000000004</v>
      </c>
      <c r="Y4066">
        <v>-0.1865445</v>
      </c>
      <c r="Z4066">
        <v>-6.7625749999999998E-3</v>
      </c>
      <c r="AA4066">
        <v>0.98242320000000005</v>
      </c>
      <c r="AB4066">
        <v>32</v>
      </c>
      <c r="AC4066">
        <v>-18.203700000000001</v>
      </c>
      <c r="AD4066">
        <v>-1.1042254921379999</v>
      </c>
      <c r="AE4066">
        <v>-3.12709999999998</v>
      </c>
      <c r="AF4066">
        <v>-3.4957267100586198</v>
      </c>
      <c r="AG4066">
        <v>-1.1042254921379999</v>
      </c>
      <c r="AH4066">
        <v>18.069524808084299</v>
      </c>
      <c r="AI4066">
        <v>93.433481117324206</v>
      </c>
      <c r="AJ4066">
        <v>100.94917033647</v>
      </c>
      <c r="AK4066">
        <v>18.4376556524651</v>
      </c>
    </row>
    <row r="4067" spans="1:37" x14ac:dyDescent="0.2">
      <c r="A4067" t="str">
        <f>"20200111155932538"</f>
        <v>20200111155932538</v>
      </c>
      <c r="B4067" t="str">
        <f>"1578729572534007"</f>
        <v>1578729572534007</v>
      </c>
      <c r="C4067" t="s">
        <v>37</v>
      </c>
      <c r="D4067">
        <v>4.9390839999999896</v>
      </c>
      <c r="E4067">
        <v>0.42195539999999998</v>
      </c>
      <c r="F4067" t="s">
        <v>39</v>
      </c>
      <c r="G4067">
        <v>-332.06979999999999</v>
      </c>
      <c r="H4067" s="1">
        <v>-4.1599510000000001E-6</v>
      </c>
      <c r="I4067">
        <v>137.1875</v>
      </c>
      <c r="J4067">
        <v>-313.3177</v>
      </c>
      <c r="K4067">
        <v>1.104222</v>
      </c>
      <c r="L4067">
        <v>140.75720000000001</v>
      </c>
      <c r="M4067">
        <v>-0.99967700000000004</v>
      </c>
      <c r="N4067">
        <v>0</v>
      </c>
      <c r="O4067">
        <v>2.1004510000000001E-2</v>
      </c>
      <c r="P4067">
        <v>-0.99957510000000005</v>
      </c>
      <c r="Q4067">
        <v>2.464968E-2</v>
      </c>
      <c r="R4067">
        <v>1.557034E-2</v>
      </c>
      <c r="S4067">
        <v>-3.014526</v>
      </c>
      <c r="T4067">
        <v>-0.1745524</v>
      </c>
      <c r="U4067">
        <v>-0.56323239999999997</v>
      </c>
      <c r="V4067">
        <v>-5.4268519999999898E-3</v>
      </c>
      <c r="W4067">
        <v>3.8949959999999999E-2</v>
      </c>
      <c r="X4067">
        <v>0.99922649999999902</v>
      </c>
      <c r="Y4067">
        <v>-0.2039057</v>
      </c>
      <c r="Z4067">
        <v>-7.0535069999999997E-3</v>
      </c>
      <c r="AA4067">
        <v>0.97896510000000003</v>
      </c>
      <c r="AB4067">
        <v>32</v>
      </c>
      <c r="AC4067">
        <v>-18.752099999999899</v>
      </c>
      <c r="AD4067">
        <v>-1.1042261599509999</v>
      </c>
      <c r="AE4067">
        <v>-3.5697000000000099</v>
      </c>
      <c r="AF4067">
        <v>-3.9496149385169699</v>
      </c>
      <c r="AG4067">
        <v>-1.1042261599509999</v>
      </c>
      <c r="AH4067">
        <v>18.610698790874501</v>
      </c>
      <c r="AI4067">
        <v>93.321734208905795</v>
      </c>
      <c r="AJ4067">
        <v>101.981703240112</v>
      </c>
      <c r="AK4067">
        <v>19.057200294364701</v>
      </c>
    </row>
    <row r="4068" spans="1:37" x14ac:dyDescent="0.2">
      <c r="A4068" t="str">
        <f>"20200111155932561"</f>
        <v>20200111155932561</v>
      </c>
      <c r="B4068" t="str">
        <f>"1578729572554503"</f>
        <v>1578729572554503</v>
      </c>
      <c r="C4068" t="s">
        <v>37</v>
      </c>
      <c r="D4068">
        <v>4.9470460000000003</v>
      </c>
      <c r="E4068">
        <v>0.42091729999999999</v>
      </c>
      <c r="F4068" t="s">
        <v>39</v>
      </c>
      <c r="G4068">
        <v>-331.7697</v>
      </c>
      <c r="H4068" s="1">
        <v>-4.3126040000000001E-6</v>
      </c>
      <c r="I4068">
        <v>137.1267</v>
      </c>
      <c r="J4068">
        <v>-313.63940000000002</v>
      </c>
      <c r="K4068">
        <v>1.104223</v>
      </c>
      <c r="L4068">
        <v>140.76400000000001</v>
      </c>
      <c r="M4068">
        <v>-0.99967629999999996</v>
      </c>
      <c r="N4068">
        <v>0</v>
      </c>
      <c r="O4068">
        <v>2.1037360000000001E-2</v>
      </c>
      <c r="P4068">
        <v>-0.99956579999999995</v>
      </c>
      <c r="Q4068">
        <v>2.5642829999999998E-2</v>
      </c>
      <c r="R4068">
        <v>1.451534E-2</v>
      </c>
      <c r="S4068">
        <v>-3.0149840000000001</v>
      </c>
      <c r="T4068">
        <v>-0.18042629999999901</v>
      </c>
      <c r="U4068">
        <v>-0.59321590000000002</v>
      </c>
      <c r="V4068">
        <v>-6.5143689999999999E-3</v>
      </c>
      <c r="W4068">
        <v>3.9949569999999997E-2</v>
      </c>
      <c r="X4068">
        <v>0.99918039999999997</v>
      </c>
      <c r="Y4068">
        <v>-0.21325160000000001</v>
      </c>
      <c r="Z4068">
        <v>-7.5613540000000002E-3</v>
      </c>
      <c r="AA4068">
        <v>0.97696810000000001</v>
      </c>
      <c r="AB4068">
        <v>31</v>
      </c>
      <c r="AC4068">
        <v>-18.130299999999899</v>
      </c>
      <c r="AD4068">
        <v>-1.1042273126039901</v>
      </c>
      <c r="AE4068">
        <v>-3.6373000000000002</v>
      </c>
      <c r="AF4068">
        <v>-4.0036708458794399</v>
      </c>
      <c r="AG4068">
        <v>-1.1042273126039901</v>
      </c>
      <c r="AH4068">
        <v>17.985624687532699</v>
      </c>
      <c r="AI4068">
        <v>93.429528418459</v>
      </c>
      <c r="AJ4068">
        <v>102.549647404985</v>
      </c>
      <c r="AK4068">
        <v>18.458910953813898</v>
      </c>
    </row>
    <row r="4069" spans="1:37" x14ac:dyDescent="0.2">
      <c r="A4069" t="str">
        <f>"20200111155932584"</f>
        <v>20200111155932584</v>
      </c>
      <c r="B4069" t="str">
        <f>"1578729572574022"</f>
        <v>1578729572574022</v>
      </c>
      <c r="C4069" t="s">
        <v>37</v>
      </c>
      <c r="D4069">
        <v>4.9022899999999998</v>
      </c>
      <c r="E4069">
        <v>0.41987289999999999</v>
      </c>
      <c r="F4069" t="s">
        <v>39</v>
      </c>
      <c r="G4069">
        <v>-331.83359999999999</v>
      </c>
      <c r="H4069" s="1">
        <v>-4.2843120000000001E-6</v>
      </c>
      <c r="I4069">
        <v>137.11590000000001</v>
      </c>
      <c r="J4069">
        <v>-313.96030000000002</v>
      </c>
      <c r="K4069">
        <v>1.104225</v>
      </c>
      <c r="L4069">
        <v>140.77080000000001</v>
      </c>
      <c r="M4069">
        <v>-0.99967549999999905</v>
      </c>
      <c r="N4069">
        <v>0</v>
      </c>
      <c r="O4069">
        <v>2.1070160000000001E-2</v>
      </c>
      <c r="P4069">
        <v>-0.99956979999999995</v>
      </c>
      <c r="Q4069">
        <v>2.5991759999999999E-2</v>
      </c>
      <c r="R4069">
        <v>1.3597710000000001E-2</v>
      </c>
      <c r="S4069">
        <v>-3.0147710000000001</v>
      </c>
      <c r="T4069">
        <v>-0.18296999999999999</v>
      </c>
      <c r="U4069">
        <v>-0.60449219999999904</v>
      </c>
      <c r="V4069">
        <v>-7.4642939999999998E-3</v>
      </c>
      <c r="W4069">
        <v>4.0304060000000003E-2</v>
      </c>
      <c r="X4069">
        <v>0.99915959999999904</v>
      </c>
      <c r="Y4069">
        <v>-0.21679329999999999</v>
      </c>
      <c r="Z4069">
        <v>-7.7738479999999999E-3</v>
      </c>
      <c r="AA4069">
        <v>0.97618660000000002</v>
      </c>
      <c r="AB4069">
        <v>31</v>
      </c>
      <c r="AC4069">
        <v>-17.873299999999901</v>
      </c>
      <c r="AD4069">
        <v>-1.1042292843120001</v>
      </c>
      <c r="AE4069">
        <v>-3.6548999999999898</v>
      </c>
      <c r="AF4069">
        <v>-4.0160069491726604</v>
      </c>
      <c r="AG4069">
        <v>-1.1042292843120001</v>
      </c>
      <c r="AH4069">
        <v>17.727366610085301</v>
      </c>
      <c r="AI4069">
        <v>93.476453725483694</v>
      </c>
      <c r="AJ4069">
        <v>102.764491177412</v>
      </c>
      <c r="AK4069">
        <v>18.2100840485842</v>
      </c>
    </row>
    <row r="4070" spans="1:37" x14ac:dyDescent="0.2">
      <c r="A4070" t="str">
        <f>"20200111155932607"</f>
        <v>20200111155932607</v>
      </c>
      <c r="B4070" t="str">
        <f>"1578729572603812"</f>
        <v>1578729572603812</v>
      </c>
      <c r="C4070" t="s">
        <v>37</v>
      </c>
      <c r="D4070">
        <v>4.9546380000000001</v>
      </c>
      <c r="E4070">
        <v>0.41872179999999998</v>
      </c>
      <c r="F4070" t="s">
        <v>39</v>
      </c>
      <c r="G4070">
        <v>-331.9545</v>
      </c>
      <c r="H4070" s="1">
        <v>-4.2304920000000002E-6</v>
      </c>
      <c r="I4070">
        <v>137.09719999999999</v>
      </c>
      <c r="J4070">
        <v>-314.27620000000002</v>
      </c>
      <c r="K4070">
        <v>1.1042289999999999</v>
      </c>
      <c r="L4070">
        <v>140.7775</v>
      </c>
      <c r="M4070">
        <v>-0.99967469999999903</v>
      </c>
      <c r="N4070">
        <v>0</v>
      </c>
      <c r="O4070">
        <v>2.110267E-2</v>
      </c>
      <c r="P4070">
        <v>-0.99957309999999999</v>
      </c>
      <c r="Q4070">
        <v>2.6027970000000001E-2</v>
      </c>
      <c r="R4070">
        <v>1.326868E-2</v>
      </c>
      <c r="S4070">
        <v>-3.014526</v>
      </c>
      <c r="T4070">
        <v>-0.184989299999999</v>
      </c>
      <c r="U4070">
        <v>-0.61543269999999906</v>
      </c>
      <c r="V4070">
        <v>-7.8258949999999994E-3</v>
      </c>
      <c r="W4070">
        <v>4.034455E-2</v>
      </c>
      <c r="X4070">
        <v>0.99915520000000002</v>
      </c>
      <c r="Y4070">
        <v>-0.22022719999999901</v>
      </c>
      <c r="Z4070">
        <v>-7.9634939999999998E-3</v>
      </c>
      <c r="AA4070">
        <v>0.97541610000000001</v>
      </c>
      <c r="AB4070">
        <v>31</v>
      </c>
      <c r="AC4070">
        <v>-17.678299999999901</v>
      </c>
      <c r="AD4070">
        <v>-1.104233230492</v>
      </c>
      <c r="AE4070">
        <v>-3.6803000000000101</v>
      </c>
      <c r="AF4070">
        <v>-4.0374796844785399</v>
      </c>
      <c r="AG4070">
        <v>-1.104233230492</v>
      </c>
      <c r="AH4070">
        <v>17.5311324775193</v>
      </c>
      <c r="AI4070">
        <v>93.512421209438301</v>
      </c>
      <c r="AJ4070">
        <v>102.969274406249</v>
      </c>
      <c r="AK4070">
        <v>18.0239057691232</v>
      </c>
    </row>
    <row r="4071" spans="1:37" x14ac:dyDescent="0.2">
      <c r="A4071" t="str">
        <f>"20200111155932629"</f>
        <v>20200111155932629</v>
      </c>
      <c r="B4071" t="str">
        <f>"1578729572624307"</f>
        <v>1578729572624307</v>
      </c>
      <c r="C4071" t="s">
        <v>37</v>
      </c>
      <c r="D4071">
        <v>4.930231</v>
      </c>
      <c r="E4071">
        <v>0.41811229999999899</v>
      </c>
      <c r="F4071" t="s">
        <v>39</v>
      </c>
      <c r="G4071">
        <v>-331.6669</v>
      </c>
      <c r="H4071" s="1">
        <v>-4.3535059999999996E-6</v>
      </c>
      <c r="I4071">
        <v>137.17019999999999</v>
      </c>
      <c r="J4071">
        <v>-314.58499999999998</v>
      </c>
      <c r="K4071">
        <v>1.104239</v>
      </c>
      <c r="L4071">
        <v>140.78399999999999</v>
      </c>
      <c r="M4071">
        <v>-0.99967399999999995</v>
      </c>
      <c r="N4071">
        <v>0</v>
      </c>
      <c r="O4071">
        <v>2.1134299999999901E-2</v>
      </c>
      <c r="P4071">
        <v>-0.99957589999999996</v>
      </c>
      <c r="Q4071">
        <v>2.5892390000000001E-2</v>
      </c>
      <c r="R4071">
        <v>1.333175E-2</v>
      </c>
      <c r="S4071">
        <v>-3.0145869999999899</v>
      </c>
      <c r="T4071">
        <v>-0.1914138</v>
      </c>
      <c r="U4071">
        <v>-0.62530520000000001</v>
      </c>
      <c r="V4071">
        <v>-7.7944930000000004E-3</v>
      </c>
      <c r="W4071">
        <v>4.0212100000000001E-2</v>
      </c>
      <c r="X4071">
        <v>0.99916079999999996</v>
      </c>
      <c r="Y4071">
        <v>-0.22328129999999999</v>
      </c>
      <c r="Z4071">
        <v>-8.33452199999999E-3</v>
      </c>
      <c r="AA4071">
        <v>0.97471849999999904</v>
      </c>
      <c r="AB4071">
        <v>31</v>
      </c>
      <c r="AC4071">
        <v>-17.081900000000001</v>
      </c>
      <c r="AD4071">
        <v>-1.1042433535059999</v>
      </c>
      <c r="AE4071">
        <v>-3.6137999999999901</v>
      </c>
      <c r="AF4071">
        <v>-3.9582115316094102</v>
      </c>
      <c r="AG4071">
        <v>-1.1042433535059999</v>
      </c>
      <c r="AH4071">
        <v>16.933967838331</v>
      </c>
      <c r="AI4071">
        <v>93.633245109011796</v>
      </c>
      <c r="AJ4071">
        <v>103.156328915557</v>
      </c>
      <c r="AK4071">
        <v>17.425442854124402</v>
      </c>
    </row>
    <row r="4072" spans="1:37" x14ac:dyDescent="0.2">
      <c r="A4072" t="str">
        <f>"20200111155932651"</f>
        <v>20200111155932651</v>
      </c>
      <c r="B4072" t="str">
        <f>"1578729572643829"</f>
        <v>1578729572643829</v>
      </c>
      <c r="C4072" t="s">
        <v>37</v>
      </c>
      <c r="D4072">
        <v>5.0430519999999897</v>
      </c>
      <c r="E4072">
        <v>0.41746260000000002</v>
      </c>
      <c r="F4072" t="s">
        <v>39</v>
      </c>
      <c r="G4072">
        <v>-331.75139999999999</v>
      </c>
      <c r="H4072" s="1">
        <v>-4.3087400000000002E-6</v>
      </c>
      <c r="I4072">
        <v>137.19720000000001</v>
      </c>
      <c r="J4072">
        <v>-314.90320000000003</v>
      </c>
      <c r="K4072">
        <v>1.1042430000000001</v>
      </c>
      <c r="L4072">
        <v>140.79079999999999</v>
      </c>
      <c r="M4072">
        <v>-0.99967340000000005</v>
      </c>
      <c r="N4072">
        <v>0</v>
      </c>
      <c r="O4072">
        <v>2.1166819999999999E-2</v>
      </c>
      <c r="P4072">
        <v>-0.99956109999999898</v>
      </c>
      <c r="Q4072">
        <v>2.589729E-2</v>
      </c>
      <c r="R4072">
        <v>1.440599E-2</v>
      </c>
      <c r="S4072">
        <v>-3.0147089999999999</v>
      </c>
      <c r="T4072">
        <v>-0.19392379999999901</v>
      </c>
      <c r="U4072">
        <v>-0.62989810000000002</v>
      </c>
      <c r="V4072">
        <v>-6.7525179999999999E-3</v>
      </c>
      <c r="W4072">
        <v>4.0219249999999998E-2</v>
      </c>
      <c r="X4072">
        <v>0.99916799999999995</v>
      </c>
      <c r="Y4072">
        <v>-0.224713</v>
      </c>
      <c r="Z4072">
        <v>-8.4895590000000007E-3</v>
      </c>
      <c r="AA4072">
        <v>0.97438799999999903</v>
      </c>
      <c r="AB4072">
        <v>31</v>
      </c>
      <c r="AC4072">
        <v>-16.848199999999899</v>
      </c>
      <c r="AD4072">
        <v>-1.10424730874</v>
      </c>
      <c r="AE4072">
        <v>-3.5935999999999799</v>
      </c>
      <c r="AF4072">
        <v>-3.9332933891781199</v>
      </c>
      <c r="AG4072">
        <v>-1.10424730874</v>
      </c>
      <c r="AH4072">
        <v>16.699737456955798</v>
      </c>
      <c r="AI4072">
        <v>93.682619486123997</v>
      </c>
      <c r="AJ4072">
        <v>103.253339054794</v>
      </c>
      <c r="AK4072">
        <v>17.192189800472299</v>
      </c>
    </row>
    <row r="4073" spans="1:37" x14ac:dyDescent="0.2">
      <c r="A4073" t="str">
        <f>"20200111155932673"</f>
        <v>20200111155932673</v>
      </c>
      <c r="B4073" t="str">
        <f>"1578729572664323"</f>
        <v>1578729572664323</v>
      </c>
      <c r="C4073" t="s">
        <v>37</v>
      </c>
      <c r="D4073">
        <v>4.9955030000000002</v>
      </c>
      <c r="E4073">
        <v>0.41713479999999997</v>
      </c>
      <c r="F4073" t="s">
        <v>39</v>
      </c>
      <c r="G4073">
        <v>-331.84359999999998</v>
      </c>
      <c r="H4073" s="1">
        <v>-4.2576359999999998E-6</v>
      </c>
      <c r="I4073">
        <v>137.2396</v>
      </c>
      <c r="J4073">
        <v>-315.21109999999999</v>
      </c>
      <c r="K4073">
        <v>1.1042459999999901</v>
      </c>
      <c r="L4073">
        <v>140.79730000000001</v>
      </c>
      <c r="M4073">
        <v>-0.99967260000000002</v>
      </c>
      <c r="N4073">
        <v>0</v>
      </c>
      <c r="O4073">
        <v>2.1198519999999998E-2</v>
      </c>
      <c r="P4073">
        <v>-0.999552199999999</v>
      </c>
      <c r="Q4073">
        <v>2.5821429999999999E-2</v>
      </c>
      <c r="R4073">
        <v>1.51136E-2</v>
      </c>
      <c r="S4073">
        <v>-3.0155639999999999</v>
      </c>
      <c r="T4073">
        <v>-0.19656750000000001</v>
      </c>
      <c r="U4073">
        <v>-0.63214110000000001</v>
      </c>
      <c r="V4073">
        <v>-6.076466E-3</v>
      </c>
      <c r="W4073">
        <v>4.0144920000000001E-2</v>
      </c>
      <c r="X4073">
        <v>0.99917540000000005</v>
      </c>
      <c r="Y4073">
        <v>-0.2253685</v>
      </c>
      <c r="Z4073">
        <v>-8.6251890000000001E-3</v>
      </c>
      <c r="AA4073">
        <v>0.97423539999999997</v>
      </c>
      <c r="AB4073">
        <v>31</v>
      </c>
      <c r="AC4073">
        <v>-16.632499999999901</v>
      </c>
      <c r="AD4073">
        <v>-1.1042502576359901</v>
      </c>
      <c r="AE4073">
        <v>-3.5577000000000099</v>
      </c>
      <c r="AF4073">
        <v>-3.89311175166225</v>
      </c>
      <c r="AG4073">
        <v>-1.1042502576359901</v>
      </c>
      <c r="AH4073">
        <v>16.483857607959202</v>
      </c>
      <c r="AI4073">
        <v>93.730185583728201</v>
      </c>
      <c r="AJ4073">
        <v>103.28845446693499</v>
      </c>
      <c r="AK4073">
        <v>16.973309912385801</v>
      </c>
    </row>
    <row r="4074" spans="1:37" x14ac:dyDescent="0.2">
      <c r="A4074" t="str">
        <f>"20200111155932695"</f>
        <v>20200111155932695</v>
      </c>
      <c r="B4074" t="str">
        <f>"1578729572683843"</f>
        <v>1578729572683843</v>
      </c>
      <c r="C4074" t="s">
        <v>37</v>
      </c>
      <c r="D4074">
        <v>4.9914879999999897</v>
      </c>
      <c r="E4074">
        <v>0.41668820000000001</v>
      </c>
      <c r="F4074" t="s">
        <v>39</v>
      </c>
      <c r="G4074">
        <v>-331.892</v>
      </c>
      <c r="H4074" s="1">
        <v>-4.2243119999999998E-6</v>
      </c>
      <c r="I4074">
        <v>137.29839999999999</v>
      </c>
      <c r="J4074">
        <v>-315.51249999999999</v>
      </c>
      <c r="K4074">
        <v>1.1042540000000001</v>
      </c>
      <c r="L4074">
        <v>140.8038</v>
      </c>
      <c r="M4074">
        <v>-0.99967189999999995</v>
      </c>
      <c r="N4074">
        <v>0</v>
      </c>
      <c r="O4074">
        <v>2.1229319999999999E-2</v>
      </c>
      <c r="P4074">
        <v>-0.99954100000000001</v>
      </c>
      <c r="Q4074">
        <v>2.6205799999999901E-2</v>
      </c>
      <c r="R4074">
        <v>1.520839E-2</v>
      </c>
      <c r="S4074">
        <v>-3.0160520000000002</v>
      </c>
      <c r="T4074">
        <v>-0.19965769999999999</v>
      </c>
      <c r="U4074">
        <v>-0.63262940000000001</v>
      </c>
      <c r="V4074">
        <v>-6.0120529999999998E-3</v>
      </c>
      <c r="W4074">
        <v>4.0529900000000001E-2</v>
      </c>
      <c r="X4074">
        <v>0.99916019999999905</v>
      </c>
      <c r="Y4074">
        <v>-0.22550189999999901</v>
      </c>
      <c r="Z4074">
        <v>-8.7653519999999902E-3</v>
      </c>
      <c r="AA4074">
        <v>0.97420329999999999</v>
      </c>
      <c r="AB4074">
        <v>31</v>
      </c>
      <c r="AC4074">
        <v>-16.3795</v>
      </c>
      <c r="AD4074">
        <v>-1.104258224312</v>
      </c>
      <c r="AE4074">
        <v>-3.5053999999999998</v>
      </c>
      <c r="AF4074">
        <v>-3.8357011936833798</v>
      </c>
      <c r="AG4074">
        <v>-1.104258224312</v>
      </c>
      <c r="AH4074">
        <v>16.2308434804497</v>
      </c>
      <c r="AI4074">
        <v>93.788070591620098</v>
      </c>
      <c r="AJ4074">
        <v>103.296296907374</v>
      </c>
      <c r="AK4074">
        <v>16.714432983503901</v>
      </c>
    </row>
    <row r="4075" spans="1:37" x14ac:dyDescent="0.2">
      <c r="A4075" t="str">
        <f>"20200111155932717"</f>
        <v>20200111155932717</v>
      </c>
      <c r="B4075" t="str">
        <f>"1578729572714101"</f>
        <v>1578729572714101</v>
      </c>
      <c r="C4075" t="s">
        <v>37</v>
      </c>
      <c r="D4075">
        <v>5.0198410000000004</v>
      </c>
      <c r="E4075">
        <v>0.41599449999999999</v>
      </c>
      <c r="F4075" t="s">
        <v>39</v>
      </c>
      <c r="G4075">
        <v>-332.11439999999999</v>
      </c>
      <c r="H4075" s="1">
        <v>-4.1182720000000001E-6</v>
      </c>
      <c r="I4075">
        <v>137.30369999999999</v>
      </c>
      <c r="J4075">
        <v>-315.81599999999997</v>
      </c>
      <c r="K4075">
        <v>1.1042529999999999</v>
      </c>
      <c r="L4075">
        <v>140.81020000000001</v>
      </c>
      <c r="M4075">
        <v>-0.99967129999999904</v>
      </c>
      <c r="N4075">
        <v>0</v>
      </c>
      <c r="O4075">
        <v>2.126055E-2</v>
      </c>
      <c r="P4075">
        <v>-0.99952350000000001</v>
      </c>
      <c r="Q4075">
        <v>2.6639889999999999E-2</v>
      </c>
      <c r="R4075">
        <v>1.55883999999999E-2</v>
      </c>
      <c r="S4075">
        <v>-3.0162960000000001</v>
      </c>
      <c r="T4075">
        <v>-0.20062539999999901</v>
      </c>
      <c r="U4075">
        <v>-0.63589479999999998</v>
      </c>
      <c r="V4075">
        <v>-5.6636769999999998E-3</v>
      </c>
      <c r="W4075">
        <v>4.0963939999999997E-2</v>
      </c>
      <c r="X4075">
        <v>0.99914459999999905</v>
      </c>
      <c r="Y4075">
        <v>-0.22651940000000001</v>
      </c>
      <c r="Z4075">
        <v>-8.8415730000000001E-3</v>
      </c>
      <c r="AA4075">
        <v>0.97396649999999996</v>
      </c>
      <c r="AB4075">
        <v>31</v>
      </c>
      <c r="AC4075">
        <v>-16.298400000000001</v>
      </c>
      <c r="AD4075">
        <v>-1.104257118272</v>
      </c>
      <c r="AE4075">
        <v>-3.5065000000000102</v>
      </c>
      <c r="AF4075">
        <v>-3.83542851206751</v>
      </c>
      <c r="AG4075">
        <v>-1.104257118272</v>
      </c>
      <c r="AH4075">
        <v>16.149305294457299</v>
      </c>
      <c r="AI4075">
        <v>93.806135231531798</v>
      </c>
      <c r="AJ4075">
        <v>103.360112669364</v>
      </c>
      <c r="AK4075">
        <v>16.635202347672902</v>
      </c>
    </row>
    <row r="4076" spans="1:37" x14ac:dyDescent="0.2">
      <c r="A4076" t="str">
        <f>"20200111155932739"</f>
        <v>20200111155932739</v>
      </c>
      <c r="B4076" t="str">
        <f>"1578729572734595"</f>
        <v>1578729572734595</v>
      </c>
      <c r="C4076" t="s">
        <v>37</v>
      </c>
      <c r="D4076">
        <v>5.0357320000000003</v>
      </c>
      <c r="E4076">
        <v>0.4157304</v>
      </c>
      <c r="F4076" t="s">
        <v>39</v>
      </c>
      <c r="G4076">
        <v>-332.35820000000001</v>
      </c>
      <c r="H4076" s="1">
        <v>-4.0041060000000001E-6</v>
      </c>
      <c r="I4076">
        <v>137.29759999999999</v>
      </c>
      <c r="J4076">
        <v>-316.13299999999998</v>
      </c>
      <c r="K4076">
        <v>1.1042529999999999</v>
      </c>
      <c r="L4076">
        <v>140.81700000000001</v>
      </c>
      <c r="M4076">
        <v>-0.99967059999999996</v>
      </c>
      <c r="N4076">
        <v>0</v>
      </c>
      <c r="O4076">
        <v>2.1293039999999999E-2</v>
      </c>
      <c r="P4076">
        <v>-0.99952819999999998</v>
      </c>
      <c r="Q4076">
        <v>2.6717169999999998E-2</v>
      </c>
      <c r="R4076">
        <v>1.516196E-2</v>
      </c>
      <c r="S4076">
        <v>-3.016785</v>
      </c>
      <c r="T4076">
        <v>-0.2013828</v>
      </c>
      <c r="U4076">
        <v>-0.64059449999999996</v>
      </c>
      <c r="V4076">
        <v>-6.1224590000000002E-3</v>
      </c>
      <c r="W4076">
        <v>4.1041109999999999E-2</v>
      </c>
      <c r="X4076">
        <v>0.99913869999999905</v>
      </c>
      <c r="Y4076">
        <v>-0.22796449999999999</v>
      </c>
      <c r="Z4076">
        <v>-8.9218700000000001E-3</v>
      </c>
      <c r="AA4076">
        <v>0.97362859999999996</v>
      </c>
      <c r="AB4076">
        <v>31</v>
      </c>
      <c r="AC4076">
        <v>-16.225200000000001</v>
      </c>
      <c r="AD4076">
        <v>-1.104257004106</v>
      </c>
      <c r="AE4076">
        <v>-3.5194000000000099</v>
      </c>
      <c r="AF4076">
        <v>-3.8471024999825598</v>
      </c>
      <c r="AG4076">
        <v>-1.104257004106</v>
      </c>
      <c r="AH4076">
        <v>16.075460011937999</v>
      </c>
      <c r="AI4076">
        <v>93.822004777785494</v>
      </c>
      <c r="AJ4076">
        <v>103.45863021462</v>
      </c>
      <c r="AK4076">
        <v>16.566230584291301</v>
      </c>
    </row>
    <row r="4077" spans="1:37" x14ac:dyDescent="0.2">
      <c r="A4077" t="str">
        <f>"20200111155932762"</f>
        <v>20200111155932762</v>
      </c>
      <c r="B4077" t="str">
        <f>"1578729572754118"</f>
        <v>1578729572754118</v>
      </c>
      <c r="C4077" t="s">
        <v>37</v>
      </c>
      <c r="D4077">
        <v>4.6950159999999999</v>
      </c>
      <c r="E4077">
        <v>0.41554039999999998</v>
      </c>
      <c r="F4077" t="s">
        <v>39</v>
      </c>
      <c r="G4077">
        <v>-332.6114</v>
      </c>
      <c r="H4077" s="1">
        <v>-3.8843530000000002E-6</v>
      </c>
      <c r="I4077">
        <v>137.29810000000001</v>
      </c>
      <c r="J4077">
        <v>-316.450999999999</v>
      </c>
      <c r="K4077">
        <v>1.1042559999999999</v>
      </c>
      <c r="L4077">
        <v>140.82380000000001</v>
      </c>
      <c r="M4077">
        <v>-0.9996699</v>
      </c>
      <c r="N4077">
        <v>0</v>
      </c>
      <c r="O4077">
        <v>2.1325879999999998E-2</v>
      </c>
      <c r="P4077">
        <v>-0.99952949999999996</v>
      </c>
      <c r="Q4077">
        <v>2.6826119999999998E-2</v>
      </c>
      <c r="R4077">
        <v>1.4868019999999999E-2</v>
      </c>
      <c r="S4077">
        <v>-3.0165709999999999</v>
      </c>
      <c r="T4077">
        <v>-0.20214860000000001</v>
      </c>
      <c r="U4077">
        <v>-0.64418030000000004</v>
      </c>
      <c r="V4077">
        <v>-6.4487809999999998E-3</v>
      </c>
      <c r="W4077">
        <v>4.1149270000000002E-2</v>
      </c>
      <c r="X4077">
        <v>0.99913220000000003</v>
      </c>
      <c r="Y4077">
        <v>-0.22911100000000001</v>
      </c>
      <c r="Z4077">
        <v>-8.9953719999999997E-3</v>
      </c>
      <c r="AA4077">
        <v>0.97335879999999997</v>
      </c>
      <c r="AB4077">
        <v>31</v>
      </c>
      <c r="AC4077">
        <v>-16.160399999999999</v>
      </c>
      <c r="AD4077">
        <v>-1.1042598843529901</v>
      </c>
      <c r="AE4077">
        <v>-3.5257000000000001</v>
      </c>
      <c r="AF4077">
        <v>-3.8523979605153098</v>
      </c>
      <c r="AG4077">
        <v>-1.1042598843529901</v>
      </c>
      <c r="AH4077">
        <v>16.010170110606499</v>
      </c>
      <c r="AI4077">
        <v>93.836420283400798</v>
      </c>
      <c r="AJ4077">
        <v>103.529421515596</v>
      </c>
      <c r="AK4077">
        <v>16.504117877333901</v>
      </c>
    </row>
    <row r="4078" spans="1:37" x14ac:dyDescent="0.2">
      <c r="A4078" t="str">
        <f>"20200111155932784"</f>
        <v>20200111155932784</v>
      </c>
      <c r="B4078" t="str">
        <f>"1578729572774611"</f>
        <v>1578729572774611</v>
      </c>
      <c r="C4078" t="s">
        <v>37</v>
      </c>
      <c r="D4078">
        <v>5.0722199999999997</v>
      </c>
      <c r="E4078">
        <v>0.41574079999999902</v>
      </c>
      <c r="F4078" t="s">
        <v>39</v>
      </c>
      <c r="G4078">
        <v>-332.91120000000001</v>
      </c>
      <c r="H4078" s="1">
        <v>-3.7432009999999998E-6</v>
      </c>
      <c r="I4078">
        <v>137.29480000000001</v>
      </c>
      <c r="J4078">
        <v>-316.74869999999999</v>
      </c>
      <c r="K4078">
        <v>1.1042639999999999</v>
      </c>
      <c r="L4078">
        <v>140.83019999999999</v>
      </c>
      <c r="M4078">
        <v>-0.99966929999999998</v>
      </c>
      <c r="N4078">
        <v>0</v>
      </c>
      <c r="O4078">
        <v>2.1356400000000001E-2</v>
      </c>
      <c r="P4078">
        <v>-0.99952450000000004</v>
      </c>
      <c r="Q4078">
        <v>2.7226920000000002E-2</v>
      </c>
      <c r="R4078">
        <v>1.4475709999999999E-2</v>
      </c>
      <c r="S4078">
        <v>-3.0164179999999998</v>
      </c>
      <c r="T4078">
        <v>-0.20236089999999901</v>
      </c>
      <c r="U4078">
        <v>-0.64671330000000005</v>
      </c>
      <c r="V4078">
        <v>-6.8717309999999998E-3</v>
      </c>
      <c r="W4078">
        <v>4.1548990000000001E-2</v>
      </c>
      <c r="X4078">
        <v>0.99911280000000002</v>
      </c>
      <c r="Y4078">
        <v>-0.229929299999999</v>
      </c>
      <c r="Z4078">
        <v>-9.0336050000000001E-3</v>
      </c>
      <c r="AA4078">
        <v>0.97316539999999996</v>
      </c>
      <c r="AB4078">
        <v>31</v>
      </c>
      <c r="AC4078">
        <v>-16.162500000000001</v>
      </c>
      <c r="AD4078">
        <v>-1.104267743201</v>
      </c>
      <c r="AE4078">
        <v>-3.5353999999999801</v>
      </c>
      <c r="AF4078">
        <v>-3.8625944378575801</v>
      </c>
      <c r="AG4078">
        <v>-1.104267743201</v>
      </c>
      <c r="AH4078">
        <v>16.011970825135599</v>
      </c>
      <c r="AI4078">
        <v>93.835486362777104</v>
      </c>
      <c r="AJ4078">
        <v>103.56244059478</v>
      </c>
      <c r="AK4078">
        <v>16.508248021671999</v>
      </c>
    </row>
    <row r="4079" spans="1:37" x14ac:dyDescent="0.2">
      <c r="A4079" t="str">
        <f>"20200111155932806"</f>
        <v>20200111155932806</v>
      </c>
      <c r="B4079" t="str">
        <f>"1578729572804620"</f>
        <v>1578729572804620</v>
      </c>
      <c r="C4079" t="s">
        <v>37</v>
      </c>
      <c r="D4079">
        <v>5.0501230000000001</v>
      </c>
      <c r="E4079">
        <v>0.41685859999999902</v>
      </c>
      <c r="F4079" t="s">
        <v>39</v>
      </c>
      <c r="G4079">
        <v>-333.31720000000001</v>
      </c>
      <c r="H4079" s="1">
        <v>-3.5538189999999899E-6</v>
      </c>
      <c r="I4079">
        <v>137.28049999999999</v>
      </c>
      <c r="J4079">
        <v>-317.0591</v>
      </c>
      <c r="K4079">
        <v>1.1042670000000001</v>
      </c>
      <c r="L4079">
        <v>140.83680000000001</v>
      </c>
      <c r="M4079">
        <v>-0.99966869999999997</v>
      </c>
      <c r="N4079">
        <v>0</v>
      </c>
      <c r="O4079">
        <v>2.1387940000000001E-2</v>
      </c>
      <c r="P4079">
        <v>-0.99951730000000005</v>
      </c>
      <c r="Q4079">
        <v>2.761332E-2</v>
      </c>
      <c r="R4079">
        <v>1.42422E-2</v>
      </c>
      <c r="S4079">
        <v>-3.0162659999999999</v>
      </c>
      <c r="T4079">
        <v>-0.20103070000000001</v>
      </c>
      <c r="U4079">
        <v>-0.6462097</v>
      </c>
      <c r="V4079">
        <v>-7.1365019999999899E-3</v>
      </c>
      <c r="W4079">
        <v>4.1933459999999999E-2</v>
      </c>
      <c r="X4079">
        <v>0.99909490000000001</v>
      </c>
      <c r="Y4079">
        <v>-0.229821999999999</v>
      </c>
      <c r="Z4079">
        <v>-8.9734940000000003E-3</v>
      </c>
      <c r="AA4079">
        <v>0.97319129999999998</v>
      </c>
      <c r="AB4079">
        <v>31</v>
      </c>
      <c r="AC4079">
        <v>-16.258099999999999</v>
      </c>
      <c r="AD4079">
        <v>-1.1042705538190001</v>
      </c>
      <c r="AE4079">
        <v>-3.5563000000000198</v>
      </c>
      <c r="AF4079">
        <v>-3.8861399742547902</v>
      </c>
      <c r="AG4079">
        <v>-1.1042705538190001</v>
      </c>
      <c r="AH4079">
        <v>16.107395394210101</v>
      </c>
      <c r="AI4079">
        <v>93.812812494143301</v>
      </c>
      <c r="AJ4079">
        <v>103.564209092621</v>
      </c>
      <c r="AK4079">
        <v>16.606314574310399</v>
      </c>
    </row>
    <row r="4080" spans="1:37" x14ac:dyDescent="0.2">
      <c r="A4080" t="str">
        <f>"20200111155932829"</f>
        <v>20200111155932829</v>
      </c>
      <c r="B4080" t="str">
        <f>"1578729572824141"</f>
        <v>1578729572824141</v>
      </c>
      <c r="C4080" t="s">
        <v>37</v>
      </c>
      <c r="D4080">
        <v>4.9030589999999998</v>
      </c>
      <c r="E4080">
        <v>0.41690189999999999</v>
      </c>
      <c r="F4080" t="s">
        <v>39</v>
      </c>
      <c r="G4080">
        <v>-333.44869999999997</v>
      </c>
      <c r="H4080" s="1">
        <v>-3.475654E-6</v>
      </c>
      <c r="I4080">
        <v>137.3706</v>
      </c>
      <c r="J4080">
        <v>-317.36930000000001</v>
      </c>
      <c r="K4080">
        <v>1.1042730000000001</v>
      </c>
      <c r="L4080">
        <v>140.84350000000001</v>
      </c>
      <c r="M4080">
        <v>-0.99966790000000005</v>
      </c>
      <c r="N4080">
        <v>0</v>
      </c>
      <c r="O4080">
        <v>2.141966E-2</v>
      </c>
      <c r="P4080">
        <v>-0.99953139999999996</v>
      </c>
      <c r="Q4080">
        <v>2.69725E-2</v>
      </c>
      <c r="R4080">
        <v>1.4481559999999999E-2</v>
      </c>
      <c r="S4080">
        <v>-3.0161439999999899</v>
      </c>
      <c r="T4080">
        <v>-0.20321589999999901</v>
      </c>
      <c r="U4080">
        <v>-0.63787839999999996</v>
      </c>
      <c r="V4080">
        <v>-6.9294530000000003E-3</v>
      </c>
      <c r="W4080">
        <v>4.1291719999999997E-2</v>
      </c>
      <c r="X4080">
        <v>0.99912309999999904</v>
      </c>
      <c r="Y4080">
        <v>-0.22728190000000001</v>
      </c>
      <c r="Z4080">
        <v>-8.9913159999999992E-3</v>
      </c>
      <c r="AA4080">
        <v>0.97378750000000003</v>
      </c>
      <c r="AB4080">
        <v>31</v>
      </c>
      <c r="AC4080">
        <v>-16.0793999999999</v>
      </c>
      <c r="AD4080">
        <v>-1.104276475654</v>
      </c>
      <c r="AE4080">
        <v>-3.4729000000000001</v>
      </c>
      <c r="AF4080">
        <v>-3.7994325238352098</v>
      </c>
      <c r="AG4080">
        <v>-1.104276475654</v>
      </c>
      <c r="AH4080">
        <v>15.929531845228601</v>
      </c>
      <c r="AI4080">
        <v>93.857675758227202</v>
      </c>
      <c r="AJ4080">
        <v>103.41525672050901</v>
      </c>
      <c r="AK4080">
        <v>16.413564477163799</v>
      </c>
    </row>
    <row r="4081" spans="1:37" x14ac:dyDescent="0.2">
      <c r="A4081" t="str">
        <f>"20200111155932851"</f>
        <v>20200111155932851</v>
      </c>
      <c r="B4081" t="str">
        <f>"1578729572844636"</f>
        <v>1578729572844636</v>
      </c>
      <c r="C4081" t="s">
        <v>37</v>
      </c>
      <c r="D4081">
        <v>4.7178300000000002</v>
      </c>
      <c r="E4081">
        <v>0.41661989999999999</v>
      </c>
      <c r="F4081" t="s">
        <v>39</v>
      </c>
      <c r="G4081">
        <v>-333.85050000000001</v>
      </c>
      <c r="H4081" s="1">
        <v>-3.2864479999999899E-6</v>
      </c>
      <c r="I4081">
        <v>137.3665</v>
      </c>
      <c r="J4081">
        <v>-317.68279999999999</v>
      </c>
      <c r="K4081">
        <v>1.1042749999999999</v>
      </c>
      <c r="L4081">
        <v>140.8502</v>
      </c>
      <c r="M4081">
        <v>-0.99966730000000004</v>
      </c>
      <c r="N4081">
        <v>0</v>
      </c>
      <c r="O4081">
        <v>2.1451680000000001E-2</v>
      </c>
      <c r="P4081">
        <v>-0.99960020000000005</v>
      </c>
      <c r="Q4081">
        <v>2.4235420000000001E-2</v>
      </c>
      <c r="R4081">
        <v>1.4575909999999999E-2</v>
      </c>
      <c r="S4081">
        <v>-3.0160520000000002</v>
      </c>
      <c r="T4081">
        <v>-0.20208139999999999</v>
      </c>
      <c r="U4081">
        <v>-0.63627619999999996</v>
      </c>
      <c r="V4081">
        <v>-6.8682689999999998E-3</v>
      </c>
      <c r="W4081">
        <v>3.8553999999999998E-2</v>
      </c>
      <c r="X4081">
        <v>0.99923289999999998</v>
      </c>
      <c r="Y4081">
        <v>-0.22683059999999999</v>
      </c>
      <c r="Z4081">
        <v>-8.9291590000000007E-3</v>
      </c>
      <c r="AA4081">
        <v>0.97389329999999996</v>
      </c>
      <c r="AB4081">
        <v>31</v>
      </c>
      <c r="AC4081">
        <v>-16.1677</v>
      </c>
      <c r="AD4081">
        <v>-1.1042782864480001</v>
      </c>
      <c r="AE4081">
        <v>-3.48369999999999</v>
      </c>
      <c r="AF4081">
        <v>-3.8127603758010098</v>
      </c>
      <c r="AG4081">
        <v>-1.1042782864480001</v>
      </c>
      <c r="AH4081">
        <v>16.017830655163799</v>
      </c>
      <c r="AI4081">
        <v>93.836896520695504</v>
      </c>
      <c r="AJ4081">
        <v>103.389082721452</v>
      </c>
      <c r="AK4081">
        <v>16.5023474425521</v>
      </c>
    </row>
    <row r="4082" spans="1:37" x14ac:dyDescent="0.2">
      <c r="A4082" t="str">
        <f>"20200111155932874"</f>
        <v>20200111155932874</v>
      </c>
      <c r="B4082" t="str">
        <f>"1578729572864156"</f>
        <v>1578729572864156</v>
      </c>
      <c r="C4082" t="s">
        <v>37</v>
      </c>
      <c r="D4082">
        <v>4.9703379999999999</v>
      </c>
      <c r="E4082">
        <v>0.41666199999999998</v>
      </c>
      <c r="F4082" t="s">
        <v>39</v>
      </c>
      <c r="G4082">
        <v>-333.75130000000001</v>
      </c>
      <c r="H4082" s="1">
        <v>-3.318376E-6</v>
      </c>
      <c r="I4082">
        <v>137.45079999999999</v>
      </c>
      <c r="J4082">
        <v>-317.99810000000002</v>
      </c>
      <c r="K4082">
        <v>1.104277</v>
      </c>
      <c r="L4082">
        <v>140.857</v>
      </c>
      <c r="M4082">
        <v>-0.99966659999999996</v>
      </c>
      <c r="N4082">
        <v>0</v>
      </c>
      <c r="O4082">
        <v>2.1484050000000001E-2</v>
      </c>
      <c r="P4082">
        <v>-0.99965649999999995</v>
      </c>
      <c r="Q4082">
        <v>2.1494949999999999E-2</v>
      </c>
      <c r="R4082">
        <v>1.4997409999999999E-2</v>
      </c>
      <c r="S4082">
        <v>-3.015533</v>
      </c>
      <c r="T4082">
        <v>-0.2072368</v>
      </c>
      <c r="U4082">
        <v>-0.63795469999999999</v>
      </c>
      <c r="V4082">
        <v>-6.4810809999999996E-3</v>
      </c>
      <c r="W4082">
        <v>3.5812650000000001E-2</v>
      </c>
      <c r="X4082">
        <v>0.99933749999999999</v>
      </c>
      <c r="Y4082">
        <v>-0.2273859</v>
      </c>
      <c r="Z4082">
        <v>-9.1785149999999999E-3</v>
      </c>
      <c r="AA4082">
        <v>0.97376149999999995</v>
      </c>
      <c r="AB4082">
        <v>31</v>
      </c>
      <c r="AC4082">
        <v>-15.7531999999999</v>
      </c>
      <c r="AD4082">
        <v>-1.1042803183759999</v>
      </c>
      <c r="AE4082">
        <v>-3.4062000000000099</v>
      </c>
      <c r="AF4082">
        <v>-3.7263978262591602</v>
      </c>
      <c r="AG4082">
        <v>-1.1042803183759999</v>
      </c>
      <c r="AH4082">
        <v>15.603129956691401</v>
      </c>
      <c r="AI4082">
        <v>93.937863147854799</v>
      </c>
      <c r="AJ4082">
        <v>103.43199198489999</v>
      </c>
      <c r="AK4082">
        <v>16.079898638564298</v>
      </c>
    </row>
    <row r="4083" spans="1:37" x14ac:dyDescent="0.2">
      <c r="A4083" t="str">
        <f>"20200111155932895"</f>
        <v>20200111155932895</v>
      </c>
      <c r="B4083" t="str">
        <f>"1578729572884652"</f>
        <v>1578729572884652</v>
      </c>
      <c r="C4083" t="s">
        <v>37</v>
      </c>
      <c r="D4083">
        <v>4.6807660000000002</v>
      </c>
      <c r="E4083">
        <v>0.4162207</v>
      </c>
      <c r="F4083" t="s">
        <v>39</v>
      </c>
      <c r="G4083">
        <v>-333.46519999999998</v>
      </c>
      <c r="H4083" s="1">
        <v>-3.4284399999999999E-6</v>
      </c>
      <c r="I4083">
        <v>137.59280000000001</v>
      </c>
      <c r="J4083">
        <v>-318.2903</v>
      </c>
      <c r="K4083">
        <v>1.1042879999999999</v>
      </c>
      <c r="L4083">
        <v>140.86330000000001</v>
      </c>
      <c r="M4083">
        <v>-0.99966619999999995</v>
      </c>
      <c r="N4083">
        <v>0</v>
      </c>
      <c r="O4083">
        <v>2.1513930000000001E-2</v>
      </c>
      <c r="P4083">
        <v>-0.999650499999999</v>
      </c>
      <c r="Q4083">
        <v>2.1734860000000002E-2</v>
      </c>
      <c r="R4083">
        <v>1.5047710000000001E-2</v>
      </c>
      <c r="S4083">
        <v>-3.0151979999999998</v>
      </c>
      <c r="T4083">
        <v>-0.2152714</v>
      </c>
      <c r="U4083">
        <v>-0.63633729999999999</v>
      </c>
      <c r="V4083">
        <v>-6.4610129999999998E-3</v>
      </c>
      <c r="W4083">
        <v>3.6050440000000003E-2</v>
      </c>
      <c r="X4083">
        <v>0.99932909999999997</v>
      </c>
      <c r="Y4083">
        <v>-0.226893399999999</v>
      </c>
      <c r="Z4083">
        <v>-9.5198019999999904E-3</v>
      </c>
      <c r="AA4083">
        <v>0.97387309999999905</v>
      </c>
      <c r="AB4083">
        <v>31</v>
      </c>
      <c r="AC4083">
        <v>-15.1748999999999</v>
      </c>
      <c r="AD4083">
        <v>-1.1042914284399901</v>
      </c>
      <c r="AE4083">
        <v>-3.27049999999999</v>
      </c>
      <c r="AF4083">
        <v>-3.5781406725340501</v>
      </c>
      <c r="AG4083">
        <v>-1.1042914284399901</v>
      </c>
      <c r="AH4083">
        <v>15.024983851669001</v>
      </c>
      <c r="AI4083">
        <v>94.089547847856593</v>
      </c>
      <c r="AJ4083">
        <v>103.395253265883</v>
      </c>
      <c r="AK4083">
        <v>15.484595247350899</v>
      </c>
    </row>
    <row r="4084" spans="1:37" x14ac:dyDescent="0.2">
      <c r="A4084" t="str">
        <f>"20200111155932918"</f>
        <v>20200111155932918</v>
      </c>
      <c r="B4084" t="str">
        <f>"1578729572913933"</f>
        <v>1578729572913933</v>
      </c>
      <c r="C4084" t="s">
        <v>37</v>
      </c>
      <c r="D4084">
        <v>4.555021</v>
      </c>
      <c r="E4084">
        <v>0.41537829999999898</v>
      </c>
      <c r="F4084" t="s">
        <v>39</v>
      </c>
      <c r="G4084">
        <v>-334.05349999999999</v>
      </c>
      <c r="H4084" s="1">
        <v>-3.1631729999999999E-6</v>
      </c>
      <c r="I4084">
        <v>137.5205</v>
      </c>
      <c r="J4084">
        <v>-318.5958</v>
      </c>
      <c r="K4084">
        <v>1.104303</v>
      </c>
      <c r="L4084">
        <v>140.8699</v>
      </c>
      <c r="M4084">
        <v>-0.99966529999999998</v>
      </c>
      <c r="N4084">
        <v>0</v>
      </c>
      <c r="O4084">
        <v>2.154559E-2</v>
      </c>
      <c r="P4084">
        <v>-0.99960149999999903</v>
      </c>
      <c r="Q4084">
        <v>2.3810729999999999E-2</v>
      </c>
      <c r="R4084">
        <v>1.5170990000000001E-2</v>
      </c>
      <c r="S4084">
        <v>-3.0152890000000001</v>
      </c>
      <c r="T4084">
        <v>-0.21123510000000001</v>
      </c>
      <c r="U4084">
        <v>-0.63943479999999997</v>
      </c>
      <c r="V4084">
        <v>-6.3676019999999896E-3</v>
      </c>
      <c r="W4084">
        <v>3.8122780000000002E-2</v>
      </c>
      <c r="X4084">
        <v>0.99925280000000005</v>
      </c>
      <c r="Y4084">
        <v>-0.22789589999999901</v>
      </c>
      <c r="Z4084">
        <v>-9.3773650000000004E-3</v>
      </c>
      <c r="AA4084">
        <v>0.97364030000000001</v>
      </c>
      <c r="AB4084">
        <v>31</v>
      </c>
      <c r="AC4084">
        <v>-15.4576999999999</v>
      </c>
      <c r="AD4084">
        <v>-1.104306163173</v>
      </c>
      <c r="AE4084">
        <v>-3.3494000000000002</v>
      </c>
      <c r="AF4084">
        <v>-3.66384101174138</v>
      </c>
      <c r="AG4084">
        <v>-1.104306163173</v>
      </c>
      <c r="AH4084">
        <v>15.307317657199</v>
      </c>
      <c r="AI4084">
        <v>94.013331023550293</v>
      </c>
      <c r="AJ4084">
        <v>103.460636401614</v>
      </c>
      <c r="AK4084">
        <v>15.7783775122709</v>
      </c>
    </row>
    <row r="4085" spans="1:37" x14ac:dyDescent="0.2">
      <c r="A4085" t="str">
        <f>"20200111155932940"</f>
        <v>20200111155932940</v>
      </c>
      <c r="B4085" t="str">
        <f>"1578729572934429"</f>
        <v>1578729572934429</v>
      </c>
      <c r="C4085" t="s">
        <v>37</v>
      </c>
      <c r="D4085">
        <v>4.562608</v>
      </c>
      <c r="E4085">
        <v>0.41492319999999999</v>
      </c>
      <c r="F4085" t="s">
        <v>39</v>
      </c>
      <c r="G4085">
        <v>-335.2808</v>
      </c>
      <c r="H4085" s="1">
        <v>-2.622058E-6</v>
      </c>
      <c r="I4085">
        <v>137.3005</v>
      </c>
      <c r="J4085">
        <v>-318.90719999999999</v>
      </c>
      <c r="K4085">
        <v>1.104314</v>
      </c>
      <c r="L4085">
        <v>140.8767</v>
      </c>
      <c r="M4085">
        <v>-0.99966480000000002</v>
      </c>
      <c r="N4085">
        <v>0</v>
      </c>
      <c r="O4085">
        <v>2.1577499999999999E-2</v>
      </c>
      <c r="P4085">
        <v>-0.99950599999999901</v>
      </c>
      <c r="Q4085">
        <v>2.7367249999999999E-2</v>
      </c>
      <c r="R4085">
        <v>1.5460379999999999E-2</v>
      </c>
      <c r="S4085">
        <v>-3.015717</v>
      </c>
      <c r="T4085">
        <v>-0.19959679999999999</v>
      </c>
      <c r="U4085">
        <v>-0.64515690000000003</v>
      </c>
      <c r="V4085">
        <v>-6.1075290000000004E-3</v>
      </c>
      <c r="W4085">
        <v>4.1674759999999998E-2</v>
      </c>
      <c r="X4085">
        <v>0.99911249999999996</v>
      </c>
      <c r="Y4085">
        <v>-0.22972509999999999</v>
      </c>
      <c r="Z4085">
        <v>-8.920763E-3</v>
      </c>
      <c r="AA4085">
        <v>0.97321469999999899</v>
      </c>
      <c r="AB4085">
        <v>31</v>
      </c>
      <c r="AC4085">
        <v>-16.3736</v>
      </c>
      <c r="AD4085">
        <v>-1.1043166220580001</v>
      </c>
      <c r="AE4085">
        <v>-3.5762</v>
      </c>
      <c r="AF4085">
        <v>-3.9117211967839101</v>
      </c>
      <c r="AG4085">
        <v>-1.1043166220580001</v>
      </c>
      <c r="AH4085">
        <v>16.222181824324</v>
      </c>
      <c r="AI4085">
        <v>93.786181724278293</v>
      </c>
      <c r="AJ4085">
        <v>103.55715757947701</v>
      </c>
      <c r="AK4085">
        <v>16.723643773548599</v>
      </c>
    </row>
    <row r="4086" spans="1:37" x14ac:dyDescent="0.2">
      <c r="A4086" t="str">
        <f>"20200111155932963"</f>
        <v>20200111155932963</v>
      </c>
      <c r="B4086" t="str">
        <f>"1578729572953951"</f>
        <v>1578729572953951</v>
      </c>
      <c r="C4086" t="s">
        <v>37</v>
      </c>
      <c r="D4086">
        <v>4.7793460000000003</v>
      </c>
      <c r="E4086">
        <v>0.41476779999999902</v>
      </c>
      <c r="F4086" t="s">
        <v>39</v>
      </c>
      <c r="G4086">
        <v>-336.8954</v>
      </c>
      <c r="H4086" s="1">
        <v>-1.9093679999999998E-6</v>
      </c>
      <c r="I4086">
        <v>137.01560000000001</v>
      </c>
      <c r="J4086">
        <v>-319.22399999999999</v>
      </c>
      <c r="K4086">
        <v>1.104317</v>
      </c>
      <c r="L4086">
        <v>140.8836</v>
      </c>
      <c r="M4086">
        <v>-0.99966409999999895</v>
      </c>
      <c r="N4086">
        <v>0</v>
      </c>
      <c r="O4086">
        <v>2.161018E-2</v>
      </c>
      <c r="P4086">
        <v>-0.99945149999999905</v>
      </c>
      <c r="Q4086">
        <v>2.9206960000000001E-2</v>
      </c>
      <c r="R4086">
        <v>1.561328E-2</v>
      </c>
      <c r="S4086">
        <v>-3.0165709999999999</v>
      </c>
      <c r="T4086">
        <v>-0.18519089999999999</v>
      </c>
      <c r="U4086">
        <v>-0.6474915</v>
      </c>
      <c r="V4086">
        <v>-5.9865269999999898E-3</v>
      </c>
      <c r="W4086">
        <v>4.3511309999999997E-2</v>
      </c>
      <c r="X4086">
        <v>0.99903500000000001</v>
      </c>
      <c r="Y4086">
        <v>-0.23049259999999999</v>
      </c>
      <c r="Z4086">
        <v>-8.3004350000000001E-3</v>
      </c>
      <c r="AA4086">
        <v>0.97303869999999903</v>
      </c>
      <c r="AB4086">
        <v>31</v>
      </c>
      <c r="AC4086">
        <v>-17.671399999999998</v>
      </c>
      <c r="AD4086">
        <v>-1.1043189093679999</v>
      </c>
      <c r="AE4086">
        <v>-3.8679999999999901</v>
      </c>
      <c r="AF4086">
        <v>-4.2332417895354402</v>
      </c>
      <c r="AG4086">
        <v>-1.1043189093679999</v>
      </c>
      <c r="AH4086">
        <v>17.5183901166955</v>
      </c>
      <c r="AI4086">
        <v>93.506363301898304</v>
      </c>
      <c r="AJ4086">
        <v>103.584850462547</v>
      </c>
      <c r="AK4086">
        <v>18.056407410750101</v>
      </c>
    </row>
    <row r="4087" spans="1:37" x14ac:dyDescent="0.2">
      <c r="A4087" t="str">
        <f>"20200111155932985"</f>
        <v>20200111155932985</v>
      </c>
      <c r="B4087" t="str">
        <f>"1578729572974444"</f>
        <v>1578729572974444</v>
      </c>
      <c r="C4087" t="s">
        <v>37</v>
      </c>
      <c r="D4087">
        <v>5.1388199999999999</v>
      </c>
      <c r="E4087">
        <v>0.51265649999999996</v>
      </c>
      <c r="F4087" t="s">
        <v>39</v>
      </c>
      <c r="G4087">
        <v>-337.85750000000002</v>
      </c>
      <c r="H4087" s="1">
        <v>-1.5348449999999899E-6</v>
      </c>
      <c r="I4087">
        <v>136.88069999999999</v>
      </c>
      <c r="J4087">
        <v>-319.51530000000002</v>
      </c>
      <c r="K4087">
        <v>1.104328</v>
      </c>
      <c r="L4087">
        <v>140.88990000000001</v>
      </c>
      <c r="M4087">
        <v>-0.99966339999999998</v>
      </c>
      <c r="N4087">
        <v>0</v>
      </c>
      <c r="O4087">
        <v>2.1640050000000001E-2</v>
      </c>
      <c r="P4087">
        <v>-0.99937229999999999</v>
      </c>
      <c r="Q4087">
        <v>3.1252050000000003E-2</v>
      </c>
      <c r="R4087">
        <v>1.6682209999999999E-2</v>
      </c>
      <c r="S4087">
        <v>-3.0169980000000001</v>
      </c>
      <c r="T4087">
        <v>-0.17880309999999999</v>
      </c>
      <c r="U4087">
        <v>-0.648117099999999</v>
      </c>
      <c r="V4087">
        <v>-4.9456659999999996E-3</v>
      </c>
      <c r="W4087">
        <v>4.5552530000000001E-2</v>
      </c>
      <c r="X4087">
        <v>0.99894969999999905</v>
      </c>
      <c r="Y4087">
        <v>-0.230716799999999</v>
      </c>
      <c r="Z4087">
        <v>-8.0216550000000008E-3</v>
      </c>
      <c r="AA4087">
        <v>0.97298790000000002</v>
      </c>
      <c r="AB4087">
        <v>31</v>
      </c>
      <c r="AC4087">
        <v>-18.342199999999899</v>
      </c>
      <c r="AD4087">
        <v>-1.104329534845</v>
      </c>
      <c r="AE4087">
        <v>-4.0092000000000203</v>
      </c>
      <c r="AF4087">
        <v>-4.3900399512501203</v>
      </c>
      <c r="AG4087">
        <v>-1.104329534845</v>
      </c>
      <c r="AH4087">
        <v>18.188211746374002</v>
      </c>
      <c r="AI4087">
        <v>93.3777846686625</v>
      </c>
      <c r="AJ4087">
        <v>103.56978528930701</v>
      </c>
      <c r="AK4087">
        <v>18.743079816989599</v>
      </c>
    </row>
    <row r="4088" spans="1:37" x14ac:dyDescent="0.2">
      <c r="A4088" t="str">
        <f>"20200111155933007"</f>
        <v>20200111155933007</v>
      </c>
      <c r="B4088" t="str">
        <f>"1578729573004701"</f>
        <v>1578729573004701</v>
      </c>
      <c r="C4088" t="s">
        <v>37</v>
      </c>
      <c r="D4088">
        <v>4.9619260000000001</v>
      </c>
      <c r="E4088">
        <v>0.53528679999999995</v>
      </c>
      <c r="F4088" t="s">
        <v>58</v>
      </c>
      <c r="G4088">
        <v>-511.0598</v>
      </c>
      <c r="H4088">
        <v>3.4272149999999999</v>
      </c>
      <c r="I4088">
        <v>150.34649999999999</v>
      </c>
      <c r="J4088">
        <v>-319.8177</v>
      </c>
      <c r="K4088">
        <v>1.1043399999999901</v>
      </c>
      <c r="L4088">
        <v>140.8965</v>
      </c>
      <c r="M4088">
        <v>-0.99966279999999996</v>
      </c>
      <c r="N4088">
        <v>0</v>
      </c>
      <c r="O4088">
        <v>2.1671240000000001E-2</v>
      </c>
      <c r="P4088">
        <v>-0.99931489999999901</v>
      </c>
      <c r="Q4088">
        <v>3.2413360000000002E-2</v>
      </c>
      <c r="R4088">
        <v>1.787383E-2</v>
      </c>
      <c r="S4088">
        <v>-2.998291</v>
      </c>
      <c r="T4088">
        <v>3.6361339999999999E-2</v>
      </c>
      <c r="U4088">
        <v>0.1480255</v>
      </c>
      <c r="V4088">
        <v>-3.7841519999999998E-3</v>
      </c>
      <c r="W4088">
        <v>4.6710479999999999E-2</v>
      </c>
      <c r="X4088">
        <v>0.99890129999999999</v>
      </c>
      <c r="Y4088">
        <v>2.7650790000000001E-2</v>
      </c>
      <c r="Z4088" s="1">
        <v>9.5064389999999997E-5</v>
      </c>
      <c r="AA4088">
        <v>0.9996176</v>
      </c>
      <c r="AB4088">
        <v>31</v>
      </c>
      <c r="AC4088">
        <v>-191.24209999999999</v>
      </c>
      <c r="AD4088">
        <v>2.3228749999999998</v>
      </c>
      <c r="AE4088">
        <v>9.4499999999999797</v>
      </c>
      <c r="AF4088">
        <v>5.30212231867689</v>
      </c>
      <c r="AG4088">
        <v>2.3228749999999998</v>
      </c>
      <c r="AH4088">
        <v>191.373827094094</v>
      </c>
      <c r="AI4088">
        <v>89.304850840478593</v>
      </c>
      <c r="AJ4088">
        <v>88.4129933425248</v>
      </c>
      <c r="AK4088">
        <v>191.46135366174499</v>
      </c>
    </row>
    <row r="4089" spans="1:37" x14ac:dyDescent="0.2">
      <c r="A4089" t="str">
        <f>"20200111155933031"</f>
        <v>20200111155933031</v>
      </c>
      <c r="B4089" t="str">
        <f>"1578729573024221"</f>
        <v>1578729573024221</v>
      </c>
      <c r="C4089" t="s">
        <v>37</v>
      </c>
      <c r="D4089">
        <v>4.9725999999999999</v>
      </c>
      <c r="E4089">
        <v>0.53485109999999902</v>
      </c>
      <c r="F4089" t="s">
        <v>38</v>
      </c>
      <c r="G4089">
        <v>-320.80560000000003</v>
      </c>
      <c r="H4089">
        <v>1.052389</v>
      </c>
      <c r="I4089">
        <v>141.0025</v>
      </c>
      <c r="J4089">
        <v>-320.13569999999999</v>
      </c>
      <c r="K4089">
        <v>1.104349</v>
      </c>
      <c r="L4089">
        <v>140.9034</v>
      </c>
      <c r="M4089">
        <v>-0.999662099999999</v>
      </c>
      <c r="N4089">
        <v>0</v>
      </c>
      <c r="O4089">
        <v>2.1704109999999999E-2</v>
      </c>
      <c r="P4089">
        <v>-0.99928399999999995</v>
      </c>
      <c r="Q4089">
        <v>3.2810440000000003E-2</v>
      </c>
      <c r="R4089">
        <v>1.8850950000000002E-2</v>
      </c>
      <c r="S4089">
        <v>-3.0014340000000002</v>
      </c>
      <c r="T4089">
        <v>-0.15789510000000001</v>
      </c>
      <c r="U4089">
        <v>0.32165529999999998</v>
      </c>
      <c r="V4089">
        <v>-2.8395690000000001E-3</v>
      </c>
      <c r="W4089">
        <v>4.7103909999999999E-2</v>
      </c>
      <c r="X4089">
        <v>0.99888589999999999</v>
      </c>
      <c r="Y4089">
        <v>8.4862899999999894E-2</v>
      </c>
      <c r="Z4089">
        <v>1.086816E-3</v>
      </c>
      <c r="AA4089">
        <v>0.9963921</v>
      </c>
      <c r="AB4089">
        <v>31</v>
      </c>
      <c r="AC4089">
        <v>-0.66990000000004102</v>
      </c>
      <c r="AD4089">
        <v>-5.1959999999999999E-2</v>
      </c>
      <c r="AE4089">
        <v>9.9099999999992805E-2</v>
      </c>
      <c r="AF4089">
        <v>8.4040805927630705E-2</v>
      </c>
      <c r="AG4089">
        <v>-5.1959999999999999E-2</v>
      </c>
      <c r="AH4089">
        <v>0.66796077172000301</v>
      </c>
      <c r="AI4089">
        <v>94.413368557822906</v>
      </c>
      <c r="AJ4089">
        <v>82.828899030521697</v>
      </c>
      <c r="AK4089">
        <v>0.67522906573824903</v>
      </c>
    </row>
    <row r="4090" spans="1:37" x14ac:dyDescent="0.2">
      <c r="A4090" t="str">
        <f>"20200111155933054"</f>
        <v>20200111155933054</v>
      </c>
      <c r="B4090" t="str">
        <f>"1578729573044719"</f>
        <v>1578729573044719</v>
      </c>
      <c r="C4090" t="s">
        <v>37</v>
      </c>
      <c r="D4090">
        <v>4.8806370000000001</v>
      </c>
      <c r="E4090">
        <v>0.53438260000000004</v>
      </c>
      <c r="F4090" t="s">
        <v>38</v>
      </c>
      <c r="G4090">
        <v>-321.07240000000002</v>
      </c>
      <c r="H4090">
        <v>1.0526260000000001</v>
      </c>
      <c r="I4090">
        <v>141.0035</v>
      </c>
      <c r="J4090">
        <v>-320.46109999999999</v>
      </c>
      <c r="K4090">
        <v>1.104358</v>
      </c>
      <c r="L4090">
        <v>140.91050000000001</v>
      </c>
      <c r="M4090">
        <v>-0.99966149999999998</v>
      </c>
      <c r="N4090">
        <v>0</v>
      </c>
      <c r="O4090">
        <v>2.1737449999999998E-2</v>
      </c>
      <c r="P4090">
        <v>-0.99924369999999996</v>
      </c>
      <c r="Q4090">
        <v>3.355056E-2</v>
      </c>
      <c r="R4090">
        <v>1.966182E-2</v>
      </c>
      <c r="S4090">
        <v>-3.0015559999999999</v>
      </c>
      <c r="T4090">
        <v>-0.16577449999999999</v>
      </c>
      <c r="U4090">
        <v>0.32066349999999999</v>
      </c>
      <c r="V4090">
        <v>-2.0612120000000002E-3</v>
      </c>
      <c r="W4090">
        <v>4.7840750000000001E-2</v>
      </c>
      <c r="X4090">
        <v>0.99885279999999999</v>
      </c>
      <c r="Y4090">
        <v>8.4491650000000001E-2</v>
      </c>
      <c r="Z4090">
        <v>1.128895E-3</v>
      </c>
      <c r="AA4090">
        <v>0.99642350000000002</v>
      </c>
      <c r="AB4090">
        <v>31</v>
      </c>
      <c r="AC4090">
        <v>-0.61130000000002804</v>
      </c>
      <c r="AD4090">
        <v>-5.1731999999999799E-2</v>
      </c>
      <c r="AE4090">
        <v>9.29999999999893E-2</v>
      </c>
      <c r="AF4090">
        <v>7.9134649603457202E-2</v>
      </c>
      <c r="AG4090">
        <v>-5.1731999999999799E-2</v>
      </c>
      <c r="AH4090">
        <v>0.60891516203865403</v>
      </c>
      <c r="AI4090">
        <v>94.815748790484903</v>
      </c>
      <c r="AJ4090">
        <v>82.595338373923596</v>
      </c>
      <c r="AK4090">
        <v>0.61621113845209097</v>
      </c>
    </row>
    <row r="4091" spans="1:37" x14ac:dyDescent="0.2">
      <c r="A4091" t="str">
        <f>"20200111155933074"</f>
        <v>20200111155933074</v>
      </c>
      <c r="B4091" t="str">
        <f>"1578729573064239"</f>
        <v>1578729573064239</v>
      </c>
      <c r="C4091" t="s">
        <v>37</v>
      </c>
      <c r="D4091">
        <v>4.9196530000000003</v>
      </c>
      <c r="E4091">
        <v>0.53493519999999894</v>
      </c>
      <c r="F4091" t="s">
        <v>38</v>
      </c>
      <c r="G4091">
        <v>-321.34730000000002</v>
      </c>
      <c r="H4091">
        <v>1.053159</v>
      </c>
      <c r="I4091">
        <v>141.00489999999999</v>
      </c>
      <c r="J4091">
        <v>-320.745</v>
      </c>
      <c r="K4091">
        <v>1.1043639999999999</v>
      </c>
      <c r="L4091">
        <v>140.91669999999999</v>
      </c>
      <c r="M4091">
        <v>-0.99966089999999996</v>
      </c>
      <c r="N4091">
        <v>0</v>
      </c>
      <c r="O4091">
        <v>2.1766489999999999E-2</v>
      </c>
      <c r="P4091">
        <v>-0.99918229999999997</v>
      </c>
      <c r="Q4091">
        <v>3.4805450000000002E-2</v>
      </c>
      <c r="R4091">
        <v>2.0584169999999999E-2</v>
      </c>
      <c r="S4091">
        <v>-3.001862</v>
      </c>
      <c r="T4091">
        <v>-0.17344089999999901</v>
      </c>
      <c r="U4091">
        <v>0.31893919999999998</v>
      </c>
      <c r="V4091">
        <v>-1.166668E-3</v>
      </c>
      <c r="W4091">
        <v>4.9092410000000003E-2</v>
      </c>
      <c r="X4091">
        <v>0.9987935</v>
      </c>
      <c r="Y4091">
        <v>8.3878209999999995E-2</v>
      </c>
      <c r="Z4091">
        <v>1.161605E-3</v>
      </c>
      <c r="AA4091">
        <v>0.99647529999999995</v>
      </c>
      <c r="AB4091">
        <v>31</v>
      </c>
      <c r="AC4091">
        <v>-0.60230000000001305</v>
      </c>
      <c r="AD4091">
        <v>-5.1204999999999903E-2</v>
      </c>
      <c r="AE4091">
        <v>8.82000000000005E-2</v>
      </c>
      <c r="AF4091">
        <v>7.4540359857671407E-2</v>
      </c>
      <c r="AG4091">
        <v>-5.1204999999999903E-2</v>
      </c>
      <c r="AH4091">
        <v>0.59983289218277502</v>
      </c>
      <c r="AI4091">
        <v>94.842184604038394</v>
      </c>
      <c r="AJ4091">
        <v>82.916251969707105</v>
      </c>
      <c r="AK4091">
        <v>0.60661166805219302</v>
      </c>
    </row>
    <row r="4092" spans="1:37" x14ac:dyDescent="0.2">
      <c r="A4092" t="str">
        <f>"20200111155933096"</f>
        <v>20200111155933096</v>
      </c>
      <c r="B4092" t="str">
        <f>"1578729573084733"</f>
        <v>1578729573084733</v>
      </c>
      <c r="C4092" t="s">
        <v>37</v>
      </c>
      <c r="D4092">
        <v>4.886164</v>
      </c>
      <c r="E4092">
        <v>0.53572730000000002</v>
      </c>
      <c r="F4092" t="s">
        <v>39</v>
      </c>
      <c r="G4092">
        <v>-340.40660000000003</v>
      </c>
      <c r="H4092" s="1">
        <v>-4.7471760000000002E-6</v>
      </c>
      <c r="I4092">
        <v>143.05260000000001</v>
      </c>
      <c r="J4092">
        <v>-321.0376</v>
      </c>
      <c r="K4092">
        <v>1.104373</v>
      </c>
      <c r="L4092">
        <v>140.92310000000001</v>
      </c>
      <c r="M4092">
        <v>-0.99966029999999995</v>
      </c>
      <c r="N4092">
        <v>0</v>
      </c>
      <c r="O4092">
        <v>2.1796670000000001E-2</v>
      </c>
      <c r="P4092">
        <v>-0.99910810000000005</v>
      </c>
      <c r="Q4092">
        <v>3.6408169999999997E-2</v>
      </c>
      <c r="R4092">
        <v>2.1396789999999999E-2</v>
      </c>
      <c r="S4092">
        <v>-3.0015869999999998</v>
      </c>
      <c r="T4092">
        <v>-0.16859589999999999</v>
      </c>
      <c r="U4092">
        <v>0.32608029999999999</v>
      </c>
      <c r="V4092">
        <v>-3.8270969999999998E-4</v>
      </c>
      <c r="W4092">
        <v>5.0690680000000002E-2</v>
      </c>
      <c r="X4092">
        <v>0.99871430000000005</v>
      </c>
      <c r="Y4092">
        <v>8.6203230000000006E-2</v>
      </c>
      <c r="Z4092">
        <v>1.192542E-3</v>
      </c>
      <c r="AA4092">
        <v>0.99627690000000002</v>
      </c>
      <c r="AB4092">
        <v>31</v>
      </c>
      <c r="AC4092">
        <v>-19.369</v>
      </c>
      <c r="AD4092">
        <v>-1.1043777471759999</v>
      </c>
      <c r="AE4092">
        <v>2.1295000000000002</v>
      </c>
      <c r="AF4092">
        <v>1.7013062306822699</v>
      </c>
      <c r="AG4092">
        <v>-1.1043777471759999</v>
      </c>
      <c r="AH4092">
        <v>19.348666390530401</v>
      </c>
      <c r="AI4092">
        <v>93.254239239780802</v>
      </c>
      <c r="AJ4092">
        <v>84.974970988832297</v>
      </c>
      <c r="AK4092">
        <v>19.454690544726098</v>
      </c>
    </row>
    <row r="4093" spans="1:37" x14ac:dyDescent="0.2">
      <c r="A4093" t="str">
        <f>"20200111155933119"</f>
        <v>20200111155933119</v>
      </c>
      <c r="B4093" t="str">
        <f>"1578729573114013"</f>
        <v>1578729573114013</v>
      </c>
      <c r="C4093" t="s">
        <v>37</v>
      </c>
      <c r="D4093">
        <v>4.9529649999999998</v>
      </c>
      <c r="E4093">
        <v>0.53576519999999905</v>
      </c>
      <c r="F4093" t="s">
        <v>39</v>
      </c>
      <c r="G4093">
        <v>-340.94839999999999</v>
      </c>
      <c r="H4093" s="1">
        <v>-4.5790429999999998E-6</v>
      </c>
      <c r="I4093">
        <v>143.14400000000001</v>
      </c>
      <c r="J4093">
        <v>-321.35180000000003</v>
      </c>
      <c r="K4093">
        <v>1.104384</v>
      </c>
      <c r="L4093">
        <v>140.93</v>
      </c>
      <c r="M4093">
        <v>-0.99965949999999903</v>
      </c>
      <c r="N4093">
        <v>0</v>
      </c>
      <c r="O4093">
        <v>2.1829060000000001E-2</v>
      </c>
      <c r="P4093">
        <v>-0.99903180000000003</v>
      </c>
      <c r="Q4093">
        <v>3.8216899999999998E-2</v>
      </c>
      <c r="R4093">
        <v>2.1791419999999999E-2</v>
      </c>
      <c r="S4093">
        <v>-3.0015559999999999</v>
      </c>
      <c r="T4093">
        <v>-0.16648589999999999</v>
      </c>
      <c r="U4093">
        <v>0.3348083</v>
      </c>
      <c r="V4093" s="1">
        <v>-1.8525519999999999E-5</v>
      </c>
      <c r="W4093">
        <v>5.2495010000000002E-2</v>
      </c>
      <c r="X4093">
        <v>0.99862119999999999</v>
      </c>
      <c r="Y4093">
        <v>8.9032280000000005E-2</v>
      </c>
      <c r="Z4093">
        <v>1.2538439999999901E-3</v>
      </c>
      <c r="AA4093">
        <v>0.99602789999999997</v>
      </c>
      <c r="AB4093">
        <v>30</v>
      </c>
      <c r="AC4093">
        <v>-19.596599999999899</v>
      </c>
      <c r="AD4093">
        <v>-1.1043885790429999</v>
      </c>
      <c r="AE4093">
        <v>2.2139999999999902</v>
      </c>
      <c r="AF4093">
        <v>1.78007098126436</v>
      </c>
      <c r="AG4093">
        <v>-1.1043885790429999</v>
      </c>
      <c r="AH4093">
        <v>19.578864968206599</v>
      </c>
      <c r="AI4093">
        <v>93.2152388498493</v>
      </c>
      <c r="AJ4093">
        <v>84.805065589398794</v>
      </c>
      <c r="AK4093">
        <v>19.690614014680399</v>
      </c>
    </row>
    <row r="4094" spans="1:37" x14ac:dyDescent="0.2">
      <c r="A4094" t="str">
        <f>"20200111155933141"</f>
        <v>20200111155933141</v>
      </c>
      <c r="B4094" t="str">
        <f>"1578729573134508"</f>
        <v>1578729573134508</v>
      </c>
      <c r="C4094" t="s">
        <v>37</v>
      </c>
      <c r="D4094">
        <v>4.9136239999999898</v>
      </c>
      <c r="E4094">
        <v>0.53582159999999901</v>
      </c>
      <c r="F4094" t="s">
        <v>39</v>
      </c>
      <c r="G4094">
        <v>-341.15839999999997</v>
      </c>
      <c r="H4094" s="1">
        <v>-4.5079809999999902E-6</v>
      </c>
      <c r="I4094">
        <v>143.1464</v>
      </c>
      <c r="J4094">
        <v>-321.65089999999998</v>
      </c>
      <c r="K4094">
        <v>1.104385</v>
      </c>
      <c r="L4094">
        <v>140.9366</v>
      </c>
      <c r="M4094">
        <v>-0.99965910000000002</v>
      </c>
      <c r="N4094">
        <v>0</v>
      </c>
      <c r="O4094">
        <v>2.1859770000000001E-2</v>
      </c>
      <c r="P4094">
        <v>-0.99895540000000005</v>
      </c>
      <c r="Q4094">
        <v>3.9887499999999999E-2</v>
      </c>
      <c r="R4094">
        <v>2.2305289999999998E-2</v>
      </c>
      <c r="S4094">
        <v>-3.002014</v>
      </c>
      <c r="T4094">
        <v>-0.1673887</v>
      </c>
      <c r="U4094">
        <v>0.3359375</v>
      </c>
      <c r="V4094">
        <v>4.6644619999999999E-4</v>
      </c>
      <c r="W4094">
        <v>5.4162040000000002E-2</v>
      </c>
      <c r="X4094">
        <v>0.99853210000000003</v>
      </c>
      <c r="Y4094">
        <v>8.9353459999999996E-2</v>
      </c>
      <c r="Z4094">
        <v>1.2676319999999899E-3</v>
      </c>
      <c r="AA4094">
        <v>0.99599919999999997</v>
      </c>
      <c r="AB4094">
        <v>30</v>
      </c>
      <c r="AC4094">
        <v>-19.5075</v>
      </c>
      <c r="AD4094">
        <v>-1.104389507981</v>
      </c>
      <c r="AE4094">
        <v>2.2098</v>
      </c>
      <c r="AF4094">
        <v>1.7771750693194299</v>
      </c>
      <c r="AG4094">
        <v>-1.104389507981</v>
      </c>
      <c r="AH4094">
        <v>19.489474056282202</v>
      </c>
      <c r="AI4094">
        <v>93.2298793788663</v>
      </c>
      <c r="AJ4094">
        <v>84.789812811977697</v>
      </c>
      <c r="AK4094">
        <v>19.601470006171599</v>
      </c>
    </row>
    <row r="4095" spans="1:37" x14ac:dyDescent="0.2">
      <c r="A4095" t="str">
        <f>"20200111155933164"</f>
        <v>20200111155933164</v>
      </c>
      <c r="B4095" t="str">
        <f>"1578729573154031"</f>
        <v>1578729573154031</v>
      </c>
      <c r="C4095" t="s">
        <v>37</v>
      </c>
      <c r="D4095">
        <v>4.8549220000000002</v>
      </c>
      <c r="E4095">
        <v>0.53657469999999996</v>
      </c>
      <c r="F4095" t="s">
        <v>39</v>
      </c>
      <c r="G4095">
        <v>-341.9348</v>
      </c>
      <c r="H4095" s="1">
        <v>-4.2567119999999997E-6</v>
      </c>
      <c r="I4095">
        <v>143.2193</v>
      </c>
      <c r="J4095">
        <v>-321.959</v>
      </c>
      <c r="K4095">
        <v>1.1043969999999901</v>
      </c>
      <c r="L4095">
        <v>140.9434</v>
      </c>
      <c r="M4095">
        <v>-0.99965839999999995</v>
      </c>
      <c r="N4095">
        <v>0</v>
      </c>
      <c r="O4095">
        <v>2.1891620000000001E-2</v>
      </c>
      <c r="P4095">
        <v>-0.99886600000000003</v>
      </c>
      <c r="Q4095">
        <v>4.1671119999999999E-2</v>
      </c>
      <c r="R4095">
        <v>2.3036029999999999E-2</v>
      </c>
      <c r="S4095">
        <v>-3.0021059999999999</v>
      </c>
      <c r="T4095">
        <v>-0.163455399999999</v>
      </c>
      <c r="U4095">
        <v>0.337860099999999</v>
      </c>
      <c r="V4095">
        <v>1.1673549999999999E-3</v>
      </c>
      <c r="W4095">
        <v>5.5940799999999999E-2</v>
      </c>
      <c r="X4095">
        <v>0.99843340000000003</v>
      </c>
      <c r="Y4095">
        <v>8.9952249999999997E-2</v>
      </c>
      <c r="Z4095">
        <v>1.252321E-3</v>
      </c>
      <c r="AA4095">
        <v>0.99594530000000003</v>
      </c>
      <c r="AB4095">
        <v>30</v>
      </c>
      <c r="AC4095">
        <v>-19.9757999999999</v>
      </c>
      <c r="AD4095">
        <v>-1.1044012567119901</v>
      </c>
      <c r="AE4095">
        <v>2.2759</v>
      </c>
      <c r="AF4095">
        <v>1.8324778060221201</v>
      </c>
      <c r="AG4095">
        <v>-1.1044012567119901</v>
      </c>
      <c r="AH4095">
        <v>19.960609316600301</v>
      </c>
      <c r="AI4095">
        <v>93.1536563860098</v>
      </c>
      <c r="AJ4095">
        <v>84.754681046634303</v>
      </c>
      <c r="AK4095">
        <v>20.0749495973301</v>
      </c>
    </row>
    <row r="4096" spans="1:37" x14ac:dyDescent="0.2">
      <c r="A4096" t="str">
        <f>"20200111155933186"</f>
        <v>20200111155933186</v>
      </c>
      <c r="B4096" t="str">
        <f>"1578729573174524"</f>
        <v>1578729573174524</v>
      </c>
      <c r="C4096" t="s">
        <v>37</v>
      </c>
      <c r="D4096">
        <v>4.8997190000000002</v>
      </c>
      <c r="E4096">
        <v>0.53712519999999997</v>
      </c>
      <c r="F4096" t="s">
        <v>39</v>
      </c>
      <c r="G4096">
        <v>-343.63529999999997</v>
      </c>
      <c r="H4096" s="1">
        <v>-3.7178789999999899E-6</v>
      </c>
      <c r="I4096">
        <v>143.44399999999999</v>
      </c>
      <c r="J4096">
        <v>-322.25360000000001</v>
      </c>
      <c r="K4096">
        <v>1.104406</v>
      </c>
      <c r="L4096">
        <v>140.94980000000001</v>
      </c>
      <c r="M4096">
        <v>-0.99965769999999998</v>
      </c>
      <c r="N4096">
        <v>0</v>
      </c>
      <c r="O4096">
        <v>2.192216E-2</v>
      </c>
      <c r="P4096">
        <v>-0.99877830000000001</v>
      </c>
      <c r="Q4096">
        <v>4.3478370000000002E-2</v>
      </c>
      <c r="R4096">
        <v>2.3487190000000002E-2</v>
      </c>
      <c r="S4096">
        <v>-3.0018009999999999</v>
      </c>
      <c r="T4096">
        <v>-0.15294059999999901</v>
      </c>
      <c r="U4096">
        <v>0.3463135</v>
      </c>
      <c r="V4096">
        <v>1.589832E-3</v>
      </c>
      <c r="W4096">
        <v>5.7743660000000002E-2</v>
      </c>
      <c r="X4096">
        <v>0.99833019999999995</v>
      </c>
      <c r="Y4096">
        <v>9.2710360000000006E-2</v>
      </c>
      <c r="Z4096">
        <v>1.240246E-3</v>
      </c>
      <c r="AA4096">
        <v>0.99569240000000003</v>
      </c>
      <c r="AB4096">
        <v>30</v>
      </c>
      <c r="AC4096">
        <v>-21.381699999999899</v>
      </c>
      <c r="AD4096">
        <v>-1.104409717879</v>
      </c>
      <c r="AE4096">
        <v>2.49419999999997</v>
      </c>
      <c r="AF4096">
        <v>2.0195040466627598</v>
      </c>
      <c r="AG4096">
        <v>-1.104409717879</v>
      </c>
      <c r="AH4096">
        <v>21.374982759304501</v>
      </c>
      <c r="AI4096">
        <v>92.944657036426193</v>
      </c>
      <c r="AJ4096">
        <v>84.6027277548814</v>
      </c>
      <c r="AK4096">
        <v>21.4985582163083</v>
      </c>
    </row>
    <row r="4097" spans="1:37" x14ac:dyDescent="0.2">
      <c r="A4097" t="str">
        <f>"20200111155933208"</f>
        <v>20200111155933208</v>
      </c>
      <c r="B4097" t="str">
        <f>"1578729573204782"</f>
        <v>1578729573204782</v>
      </c>
      <c r="C4097" t="s">
        <v>37</v>
      </c>
      <c r="D4097">
        <v>4.8989830000000003</v>
      </c>
      <c r="E4097">
        <v>0.53751190000000004</v>
      </c>
      <c r="F4097" t="s">
        <v>39</v>
      </c>
      <c r="G4097">
        <v>-345.44850000000002</v>
      </c>
      <c r="H4097" s="1">
        <v>-3.0140510000000002E-6</v>
      </c>
      <c r="I4097">
        <v>143.6721</v>
      </c>
      <c r="J4097">
        <v>-322.5573</v>
      </c>
      <c r="K4097">
        <v>1.104422</v>
      </c>
      <c r="L4097">
        <v>140.95650000000001</v>
      </c>
      <c r="M4097">
        <v>-0.99965720000000002</v>
      </c>
      <c r="N4097">
        <v>0</v>
      </c>
      <c r="O4097">
        <v>2.1953529999999999E-2</v>
      </c>
      <c r="P4097">
        <v>-0.99870720000000002</v>
      </c>
      <c r="Q4097">
        <v>4.4763650000000002E-2</v>
      </c>
      <c r="R4097">
        <v>2.409679E-2</v>
      </c>
      <c r="S4097">
        <v>-3.0016479999999999</v>
      </c>
      <c r="T4097">
        <v>-0.1429223</v>
      </c>
      <c r="U4097">
        <v>0.35229490000000002</v>
      </c>
      <c r="V4097">
        <v>2.1697629999999999E-3</v>
      </c>
      <c r="W4097">
        <v>5.902512E-2</v>
      </c>
      <c r="X4097">
        <v>0.99825409999999903</v>
      </c>
      <c r="Y4097">
        <v>9.4651689999999997E-2</v>
      </c>
      <c r="Z4097">
        <v>1.2035769999999999E-3</v>
      </c>
      <c r="AA4097">
        <v>0.99550969999999905</v>
      </c>
      <c r="AB4097">
        <v>30</v>
      </c>
      <c r="AC4097">
        <v>-22.891200000000001</v>
      </c>
      <c r="AD4097">
        <v>-1.1044250140509999</v>
      </c>
      <c r="AE4097">
        <v>2.71559999999999</v>
      </c>
      <c r="AF4097">
        <v>2.2072849013378</v>
      </c>
      <c r="AG4097">
        <v>-1.1044250140509999</v>
      </c>
      <c r="AH4097">
        <v>22.892756036109699</v>
      </c>
      <c r="AI4097">
        <v>92.749273237865097</v>
      </c>
      <c r="AJ4097">
        <v>84.492651920160498</v>
      </c>
      <c r="AK4097">
        <v>23.025423778427399</v>
      </c>
    </row>
    <row r="4098" spans="1:37" x14ac:dyDescent="0.2">
      <c r="A4098" t="str">
        <f>"20200111155933232"</f>
        <v>20200111155933232</v>
      </c>
      <c r="B4098" t="str">
        <f>"1578729573224300"</f>
        <v>1578729573224300</v>
      </c>
      <c r="C4098" t="s">
        <v>37</v>
      </c>
      <c r="D4098">
        <v>4.8919559999999898</v>
      </c>
      <c r="E4098">
        <v>0.53751689999999996</v>
      </c>
      <c r="F4098" t="s">
        <v>39</v>
      </c>
      <c r="G4098">
        <v>-346.95729999999998</v>
      </c>
      <c r="H4098" s="1">
        <v>-2.41705E-6</v>
      </c>
      <c r="I4098">
        <v>143.86109999999999</v>
      </c>
      <c r="J4098">
        <v>-322.86579999999998</v>
      </c>
      <c r="K4098">
        <v>1.104425</v>
      </c>
      <c r="L4098">
        <v>140.9633</v>
      </c>
      <c r="M4098">
        <v>-0.9996564</v>
      </c>
      <c r="N4098">
        <v>0</v>
      </c>
      <c r="O4098">
        <v>2.19852E-2</v>
      </c>
      <c r="P4098">
        <v>-0.99862569999999995</v>
      </c>
      <c r="Q4098">
        <v>4.6273309999999998E-2</v>
      </c>
      <c r="R4098">
        <v>2.4609160000000001E-2</v>
      </c>
      <c r="S4098">
        <v>-3.0013429999999999</v>
      </c>
      <c r="T4098">
        <v>-0.13585079999999999</v>
      </c>
      <c r="U4098">
        <v>0.3572845</v>
      </c>
      <c r="V4098">
        <v>2.6521940000000001E-3</v>
      </c>
      <c r="W4098">
        <v>6.0530180000000003E-2</v>
      </c>
      <c r="X4098">
        <v>0.99816289999999996</v>
      </c>
      <c r="Y4098">
        <v>9.6270170000000002E-2</v>
      </c>
      <c r="Z4098">
        <v>1.1791519999999999E-3</v>
      </c>
      <c r="AA4098">
        <v>0.99535450000000003</v>
      </c>
      <c r="AB4098">
        <v>30</v>
      </c>
      <c r="AC4098">
        <v>-24.0915</v>
      </c>
      <c r="AD4098">
        <v>-1.1044274170499999</v>
      </c>
      <c r="AE4098">
        <v>2.8977999999999802</v>
      </c>
      <c r="AF4098">
        <v>2.36249486838783</v>
      </c>
      <c r="AG4098">
        <v>-1.1044274170499999</v>
      </c>
      <c r="AH4098">
        <v>24.099466279757301</v>
      </c>
      <c r="AI4098">
        <v>92.611407694973195</v>
      </c>
      <c r="AJ4098">
        <v>84.401126695822597</v>
      </c>
      <c r="AK4098">
        <v>24.2401612389821</v>
      </c>
    </row>
    <row r="4099" spans="1:37" x14ac:dyDescent="0.2">
      <c r="A4099" t="str">
        <f>"20200111155933254"</f>
        <v>20200111155933254</v>
      </c>
      <c r="B4099" t="str">
        <f>"1578729573244799"</f>
        <v>1578729573244799</v>
      </c>
      <c r="C4099" t="s">
        <v>37</v>
      </c>
      <c r="D4099">
        <v>4.9238019999999896</v>
      </c>
      <c r="E4099">
        <v>0.53739740000000003</v>
      </c>
      <c r="F4099" t="s">
        <v>39</v>
      </c>
      <c r="G4099">
        <v>-348.09309999999999</v>
      </c>
      <c r="H4099" s="1">
        <v>-1.961602E-6</v>
      </c>
      <c r="I4099">
        <v>143.98060000000001</v>
      </c>
      <c r="J4099">
        <v>-323.1721</v>
      </c>
      <c r="K4099">
        <v>1.1044320000000001</v>
      </c>
      <c r="L4099">
        <v>140.9701</v>
      </c>
      <c r="M4099">
        <v>-0.99965579999999998</v>
      </c>
      <c r="N4099">
        <v>0</v>
      </c>
      <c r="O4099">
        <v>2.2016930000000001E-2</v>
      </c>
      <c r="P4099">
        <v>-0.99855319999999903</v>
      </c>
      <c r="Q4099">
        <v>4.7585379999999997E-2</v>
      </c>
      <c r="R4099">
        <v>2.5053189999999999E-2</v>
      </c>
      <c r="S4099">
        <v>-3.001312</v>
      </c>
      <c r="T4099">
        <v>-0.13139500000000001</v>
      </c>
      <c r="U4099">
        <v>0.35897829999999997</v>
      </c>
      <c r="V4099">
        <v>3.0662469999999998E-3</v>
      </c>
      <c r="W4099">
        <v>6.1838070000000002E-2</v>
      </c>
      <c r="X4099">
        <v>0.99808149999999995</v>
      </c>
      <c r="Y4099">
        <v>9.6797939999999999E-2</v>
      </c>
      <c r="Z4099">
        <v>1.150613E-3</v>
      </c>
      <c r="AA4099">
        <v>0.99530339999999995</v>
      </c>
      <c r="AB4099">
        <v>30</v>
      </c>
      <c r="AC4099">
        <v>-24.9209999999999</v>
      </c>
      <c r="AD4099">
        <v>-1.104433961602</v>
      </c>
      <c r="AE4099">
        <v>3.0105</v>
      </c>
      <c r="AF4099">
        <v>2.4562755240569598</v>
      </c>
      <c r="AG4099">
        <v>-1.104433961602</v>
      </c>
      <c r="AH4099">
        <v>24.9329817403679</v>
      </c>
      <c r="AI4099">
        <v>92.524118740028499</v>
      </c>
      <c r="AJ4099">
        <v>84.373654568035107</v>
      </c>
      <c r="AK4099">
        <v>25.078011131091401</v>
      </c>
    </row>
    <row r="4100" spans="1:37" x14ac:dyDescent="0.2">
      <c r="A4100" t="str">
        <f>"20200111155933275"</f>
        <v>20200111155933275</v>
      </c>
      <c r="B4100" t="str">
        <f>"1578729573264316"</f>
        <v>1578729573264316</v>
      </c>
      <c r="C4100" t="s">
        <v>37</v>
      </c>
      <c r="D4100">
        <v>4.9919539999999998</v>
      </c>
      <c r="E4100">
        <v>0.53749040000000003</v>
      </c>
      <c r="F4100" t="s">
        <v>39</v>
      </c>
      <c r="G4100">
        <v>-348.86489999999998</v>
      </c>
      <c r="H4100" s="1">
        <v>-1.6477929999999999E-6</v>
      </c>
      <c r="I4100">
        <v>144.04560000000001</v>
      </c>
      <c r="J4100">
        <v>-323.45699999999999</v>
      </c>
      <c r="K4100">
        <v>1.104433</v>
      </c>
      <c r="L4100">
        <v>140.97640000000001</v>
      </c>
      <c r="M4100">
        <v>-0.99965509999999902</v>
      </c>
      <c r="N4100">
        <v>0</v>
      </c>
      <c r="O4100">
        <v>2.204627E-2</v>
      </c>
      <c r="P4100">
        <v>-0.99846759999999901</v>
      </c>
      <c r="Q4100">
        <v>4.9125420000000003E-2</v>
      </c>
      <c r="R4100">
        <v>2.548154E-2</v>
      </c>
      <c r="S4100">
        <v>-3.0015259999999899</v>
      </c>
      <c r="T4100">
        <v>-0.12902429999999901</v>
      </c>
      <c r="U4100">
        <v>0.35929870000000003</v>
      </c>
      <c r="V4100">
        <v>3.4670439999999999E-3</v>
      </c>
      <c r="W4100">
        <v>6.3373810000000003E-2</v>
      </c>
      <c r="X4100">
        <v>0.99798379999999998</v>
      </c>
      <c r="Y4100">
        <v>9.6867629999999996E-2</v>
      </c>
      <c r="Z4100">
        <v>1.1300220000000001E-3</v>
      </c>
      <c r="AA4100">
        <v>0.99529669999999903</v>
      </c>
      <c r="AB4100">
        <v>30</v>
      </c>
      <c r="AC4100">
        <v>-25.407899999999898</v>
      </c>
      <c r="AD4100">
        <v>-1.104434647793</v>
      </c>
      <c r="AE4100">
        <v>3.0691999999999902</v>
      </c>
      <c r="AF4100">
        <v>2.5035849740263201</v>
      </c>
      <c r="AG4100">
        <v>-1.104434647793</v>
      </c>
      <c r="AH4100">
        <v>25.4220510473044</v>
      </c>
      <c r="AI4100">
        <v>92.475630562948098</v>
      </c>
      <c r="AJ4100">
        <v>84.375599349439895</v>
      </c>
      <c r="AK4100">
        <v>25.568895030195701</v>
      </c>
    </row>
    <row r="4101" spans="1:37" x14ac:dyDescent="0.2">
      <c r="A4101" t="str">
        <f>"20200111155933297"</f>
        <v>20200111155933297</v>
      </c>
      <c r="B4101" t="str">
        <f>"1578729573294104"</f>
        <v>1578729573294104</v>
      </c>
      <c r="C4101" t="s">
        <v>37</v>
      </c>
      <c r="D4101">
        <v>4.9062409999999996</v>
      </c>
      <c r="E4101">
        <v>0.53723940000000003</v>
      </c>
      <c r="F4101" t="s">
        <v>39</v>
      </c>
      <c r="G4101">
        <v>-350.10199999999998</v>
      </c>
      <c r="H4101" s="1">
        <v>-5.051713E-6</v>
      </c>
      <c r="I4101">
        <v>144.185</v>
      </c>
      <c r="J4101">
        <v>-323.75420000000003</v>
      </c>
      <c r="K4101">
        <v>1.104441</v>
      </c>
      <c r="L4101">
        <v>140.983</v>
      </c>
      <c r="M4101">
        <v>-0.99965459999999995</v>
      </c>
      <c r="N4101">
        <v>0</v>
      </c>
      <c r="O4101">
        <v>2.207663E-2</v>
      </c>
      <c r="P4101">
        <v>-0.99834279999999997</v>
      </c>
      <c r="Q4101">
        <v>5.1118150000000001E-2</v>
      </c>
      <c r="R4101">
        <v>2.6430829999999999E-2</v>
      </c>
      <c r="S4101">
        <v>-3.0015259999999899</v>
      </c>
      <c r="T4101">
        <v>-0.1244135</v>
      </c>
      <c r="U4101">
        <v>0.3614502</v>
      </c>
      <c r="V4101">
        <v>4.3887689999999998E-3</v>
      </c>
      <c r="W4101">
        <v>6.5361909999999995E-2</v>
      </c>
      <c r="X4101">
        <v>0.99785199999999996</v>
      </c>
      <c r="Y4101">
        <v>9.7544909999999999E-2</v>
      </c>
      <c r="Z4101">
        <v>1.1023579999999999E-3</v>
      </c>
      <c r="AA4101">
        <v>0.99523050000000002</v>
      </c>
      <c r="AB4101">
        <v>30</v>
      </c>
      <c r="AC4101">
        <v>-26.3477999999999</v>
      </c>
      <c r="AD4101">
        <v>-1.1044460517129999</v>
      </c>
      <c r="AE4101">
        <v>3.2019999999999902</v>
      </c>
      <c r="AF4101">
        <v>2.61496176952526</v>
      </c>
      <c r="AG4101">
        <v>-1.1044460517129999</v>
      </c>
      <c r="AH4101">
        <v>26.366419238021699</v>
      </c>
      <c r="AI4101">
        <v>92.386927167603005</v>
      </c>
      <c r="AJ4101">
        <v>84.336056442289802</v>
      </c>
      <c r="AK4101">
        <v>26.518783712160399</v>
      </c>
    </row>
    <row r="4102" spans="1:37" x14ac:dyDescent="0.2">
      <c r="A4102" t="str">
        <f>"20200111155933320"</f>
        <v>20200111155933320</v>
      </c>
      <c r="B4102" t="str">
        <f>"1578729573314600"</f>
        <v>1578729573314600</v>
      </c>
      <c r="C4102" t="s">
        <v>37</v>
      </c>
      <c r="D4102">
        <v>4.9191649999999996</v>
      </c>
      <c r="E4102">
        <v>0.53724090000000002</v>
      </c>
      <c r="F4102" t="s">
        <v>39</v>
      </c>
      <c r="G4102">
        <v>-351.04759999999999</v>
      </c>
      <c r="H4102" s="1">
        <v>-4.7464739999999999E-6</v>
      </c>
      <c r="I4102">
        <v>144.2783</v>
      </c>
      <c r="J4102">
        <v>-324.06220000000002</v>
      </c>
      <c r="K4102">
        <v>1.1044499999999999</v>
      </c>
      <c r="L4102">
        <v>140.9898</v>
      </c>
      <c r="M4102">
        <v>-0.99965389999999998</v>
      </c>
      <c r="N4102">
        <v>0</v>
      </c>
      <c r="O4102">
        <v>2.2108300000000001E-2</v>
      </c>
      <c r="P4102">
        <v>-0.998206699999999</v>
      </c>
      <c r="Q4102">
        <v>5.3471350000000001E-2</v>
      </c>
      <c r="R4102">
        <v>2.692133E-2</v>
      </c>
      <c r="S4102">
        <v>-3.001617</v>
      </c>
      <c r="T4102">
        <v>-0.1214626</v>
      </c>
      <c r="U4102">
        <v>0.3624115</v>
      </c>
      <c r="V4102">
        <v>4.850905E-3</v>
      </c>
      <c r="W4102">
        <v>6.7709889999999995E-2</v>
      </c>
      <c r="X4102">
        <v>0.99769319999999895</v>
      </c>
      <c r="Y4102">
        <v>9.7826720000000006E-2</v>
      </c>
      <c r="Z4102">
        <v>1.0805839999999899E-3</v>
      </c>
      <c r="AA4102">
        <v>0.9952029</v>
      </c>
      <c r="AB4102">
        <v>30</v>
      </c>
      <c r="AC4102">
        <v>-26.985399999999899</v>
      </c>
      <c r="AD4102">
        <v>-1.104454746474</v>
      </c>
      <c r="AE4102">
        <v>3.2884999999999902</v>
      </c>
      <c r="AF4102">
        <v>2.6865996504301402</v>
      </c>
      <c r="AG4102">
        <v>-1.104454746474</v>
      </c>
      <c r="AH4102">
        <v>27.006936407428</v>
      </c>
      <c r="AI4102">
        <v>92.3303296927904</v>
      </c>
      <c r="AJ4102">
        <v>84.319013037871002</v>
      </c>
      <c r="AK4102">
        <v>27.1626996464556</v>
      </c>
    </row>
    <row r="4103" spans="1:37" x14ac:dyDescent="0.2">
      <c r="A4103" t="str">
        <f>"20200111155933342"</f>
        <v>20200111155933342</v>
      </c>
      <c r="B4103" t="str">
        <f>"1578729573334123"</f>
        <v>1578729573334123</v>
      </c>
      <c r="C4103" t="s">
        <v>37</v>
      </c>
      <c r="D4103">
        <v>4.9508799999999997</v>
      </c>
      <c r="E4103">
        <v>0.53744130000000001</v>
      </c>
      <c r="F4103" t="s">
        <v>39</v>
      </c>
      <c r="G4103">
        <v>-352.62180000000001</v>
      </c>
      <c r="H4103" s="1">
        <v>-4.2417359999999997E-6</v>
      </c>
      <c r="I4103">
        <v>144.4528</v>
      </c>
      <c r="J4103">
        <v>-324.36799999999999</v>
      </c>
      <c r="K4103">
        <v>1.104457</v>
      </c>
      <c r="L4103">
        <v>140.9966</v>
      </c>
      <c r="M4103">
        <v>-0.99965329999999997</v>
      </c>
      <c r="N4103">
        <v>0</v>
      </c>
      <c r="O4103">
        <v>2.2139849999999999E-2</v>
      </c>
      <c r="P4103">
        <v>-0.99808680000000005</v>
      </c>
      <c r="Q4103">
        <v>5.5433650000000001E-2</v>
      </c>
      <c r="R4103">
        <v>2.7391800000000001E-2</v>
      </c>
      <c r="S4103">
        <v>-3.0018310000000001</v>
      </c>
      <c r="T4103">
        <v>-0.1160866</v>
      </c>
      <c r="U4103">
        <v>0.3639984</v>
      </c>
      <c r="V4103">
        <v>5.2924299999999999E-3</v>
      </c>
      <c r="W4103">
        <v>6.9666950000000005E-2</v>
      </c>
      <c r="X4103">
        <v>0.99755629999999995</v>
      </c>
      <c r="Y4103">
        <v>9.8310339999999996E-2</v>
      </c>
      <c r="Z4103">
        <v>1.040788E-3</v>
      </c>
      <c r="AA4103">
        <v>0.99515529999999996</v>
      </c>
      <c r="AB4103">
        <v>30</v>
      </c>
      <c r="AC4103">
        <v>-28.253799999999998</v>
      </c>
      <c r="AD4103">
        <v>-1.104461241736</v>
      </c>
      <c r="AE4103">
        <v>3.4561999999999902</v>
      </c>
      <c r="AF4103">
        <v>2.8255002810977099</v>
      </c>
      <c r="AG4103">
        <v>-1.104461241736</v>
      </c>
      <c r="AH4103">
        <v>28.2808223062545</v>
      </c>
      <c r="AI4103">
        <v>92.225388560061603</v>
      </c>
      <c r="AJ4103">
        <v>84.294586041230303</v>
      </c>
      <c r="AK4103">
        <v>28.4430693982017</v>
      </c>
    </row>
    <row r="4104" spans="1:37" x14ac:dyDescent="0.2">
      <c r="A4104" t="str">
        <f>"20200111155933359"</f>
        <v>20200111155933359</v>
      </c>
      <c r="B4104" t="str">
        <f>"1578729573354616"</f>
        <v>1578729573354616</v>
      </c>
      <c r="C4104" t="s">
        <v>37</v>
      </c>
      <c r="D4104">
        <v>4.9054019999999996</v>
      </c>
      <c r="E4104">
        <v>0.53770549999999995</v>
      </c>
      <c r="F4104" t="s">
        <v>39</v>
      </c>
      <c r="G4104">
        <v>-353.78859999999997</v>
      </c>
      <c r="H4104" s="1">
        <v>-3.8696220000000004E-6</v>
      </c>
      <c r="I4104">
        <v>144.59350000000001</v>
      </c>
      <c r="J4104">
        <v>-324.58659999999998</v>
      </c>
      <c r="K4104">
        <v>1.1044609999999999</v>
      </c>
      <c r="L4104">
        <v>141.00149999999999</v>
      </c>
      <c r="M4104">
        <v>-0.99965289999999996</v>
      </c>
      <c r="N4104">
        <v>0</v>
      </c>
      <c r="O4104">
        <v>2.2161199999999999E-2</v>
      </c>
      <c r="P4104">
        <v>-0.99803549999999996</v>
      </c>
      <c r="Q4104">
        <v>5.6420240000000003E-2</v>
      </c>
      <c r="R4104">
        <v>2.724273E-2</v>
      </c>
      <c r="S4104">
        <v>-3.0019230000000001</v>
      </c>
      <c r="T4104">
        <v>-0.1126933</v>
      </c>
      <c r="U4104">
        <v>0.3670197</v>
      </c>
      <c r="V4104">
        <v>5.123173E-3</v>
      </c>
      <c r="W4104">
        <v>7.0650149999999995E-2</v>
      </c>
      <c r="X4104">
        <v>0.99748799999999904</v>
      </c>
      <c r="Y4104">
        <v>9.9274959999999995E-2</v>
      </c>
      <c r="Z4104">
        <v>1.027533E-3</v>
      </c>
      <c r="AA4104">
        <v>0.99505949999999999</v>
      </c>
      <c r="AB4104">
        <v>30</v>
      </c>
      <c r="AC4104">
        <v>-29.201999999999899</v>
      </c>
      <c r="AD4104">
        <v>-1.1044648696220001</v>
      </c>
      <c r="AE4104">
        <v>3.5920000000000099</v>
      </c>
      <c r="AF4104">
        <v>2.9397580613732202</v>
      </c>
      <c r="AG4104">
        <v>-1.1044648696220001</v>
      </c>
      <c r="AH4104">
        <v>29.233243959426002</v>
      </c>
      <c r="AI4104">
        <v>92.152822168202206</v>
      </c>
      <c r="AJ4104">
        <v>84.257518334512895</v>
      </c>
      <c r="AK4104">
        <v>29.401438272624599</v>
      </c>
    </row>
    <row r="4105" spans="1:37" x14ac:dyDescent="0.2">
      <c r="A4105" t="str">
        <f>"20200111155933375"</f>
        <v>20200111155933375</v>
      </c>
      <c r="B4105" t="str">
        <f>"1578729573364376"</f>
        <v>1578729573364376</v>
      </c>
      <c r="C4105" t="s">
        <v>37</v>
      </c>
      <c r="D4105">
        <v>4.8717230000000002</v>
      </c>
      <c r="E4105">
        <v>0.53800609999999904</v>
      </c>
      <c r="F4105" t="s">
        <v>39</v>
      </c>
      <c r="G4105">
        <v>-354.09789999999998</v>
      </c>
      <c r="H4105" s="1">
        <v>-3.7696409999999999E-6</v>
      </c>
      <c r="I4105">
        <v>144.6233</v>
      </c>
      <c r="J4105">
        <v>-324.7998</v>
      </c>
      <c r="K4105">
        <v>1.104476</v>
      </c>
      <c r="L4105">
        <v>141.00620000000001</v>
      </c>
      <c r="M4105">
        <v>-0.9996524</v>
      </c>
      <c r="N4105">
        <v>0</v>
      </c>
      <c r="O4105">
        <v>2.2178880000000002E-2</v>
      </c>
      <c r="P4105">
        <v>-0.99796049999999903</v>
      </c>
      <c r="Q4105">
        <v>5.7652910000000002E-2</v>
      </c>
      <c r="R4105">
        <v>2.7411049999999999E-2</v>
      </c>
      <c r="S4105">
        <v>-3.002167</v>
      </c>
      <c r="T4105">
        <v>-0.1123567</v>
      </c>
      <c r="U4105">
        <v>0.368454</v>
      </c>
      <c r="V4105">
        <v>5.2754009999999999E-3</v>
      </c>
      <c r="W4105">
        <v>7.1879639999999995E-2</v>
      </c>
      <c r="X4105">
        <v>0.99739940000000005</v>
      </c>
      <c r="Y4105">
        <v>9.9715999999999999E-2</v>
      </c>
      <c r="Z4105">
        <v>1.031915E-3</v>
      </c>
      <c r="AA4105">
        <v>0.99501539999999999</v>
      </c>
      <c r="AB4105">
        <v>30</v>
      </c>
      <c r="AC4105">
        <v>-29.298099999999899</v>
      </c>
      <c r="AD4105">
        <v>-1.104479769641</v>
      </c>
      <c r="AE4105">
        <v>3.61709999999999</v>
      </c>
      <c r="AF4105">
        <v>2.9621985174501799</v>
      </c>
      <c r="AG4105">
        <v>-1.104479769641</v>
      </c>
      <c r="AH4105">
        <v>29.330066792516799</v>
      </c>
      <c r="AI4105">
        <v>92.145658329735198</v>
      </c>
      <c r="AJ4105">
        <v>84.232951303158899</v>
      </c>
      <c r="AK4105">
        <v>29.4999544689788</v>
      </c>
    </row>
    <row r="4106" spans="1:37" x14ac:dyDescent="0.2">
      <c r="A4106" t="str">
        <f>"20200111155933466"</f>
        <v>20200111155933466</v>
      </c>
      <c r="B4106" t="str">
        <f>"1578729573454675"</f>
        <v>1578729573454675</v>
      </c>
      <c r="C4106" t="s">
        <v>37</v>
      </c>
      <c r="D4106">
        <v>4.8559330000000003</v>
      </c>
      <c r="E4106">
        <v>0.53911759999999997</v>
      </c>
      <c r="F4106" t="s">
        <v>39</v>
      </c>
      <c r="G4106">
        <v>-355.17509999999999</v>
      </c>
      <c r="H4106" s="1">
        <v>-3.4213179999999998E-6</v>
      </c>
      <c r="I4106">
        <v>144.762</v>
      </c>
      <c r="J4106">
        <v>-326.00490000000002</v>
      </c>
      <c r="K4106">
        <v>1.104503</v>
      </c>
      <c r="L4106">
        <v>141.03309999999999</v>
      </c>
      <c r="M4106">
        <v>-0.99965179999999998</v>
      </c>
      <c r="N4106">
        <v>0</v>
      </c>
      <c r="O4106">
        <v>2.2213569999999998E-2</v>
      </c>
      <c r="P4106">
        <v>-0.99807129999999999</v>
      </c>
      <c r="Q4106">
        <v>5.6306660000000001E-2</v>
      </c>
      <c r="R4106">
        <v>2.6139389999999998E-2</v>
      </c>
      <c r="S4106">
        <v>-3.0021969999999998</v>
      </c>
      <c r="T4106">
        <v>-0.10916339999999999</v>
      </c>
      <c r="U4106">
        <v>0.37121579999999998</v>
      </c>
      <c r="V4106">
        <v>3.9627400000000002E-3</v>
      </c>
      <c r="W4106">
        <v>7.0522189999999998E-2</v>
      </c>
      <c r="X4106">
        <v>0.99750229999999995</v>
      </c>
      <c r="Y4106">
        <v>0.10058439999999901</v>
      </c>
      <c r="Z4106">
        <v>1.0170089999999999E-3</v>
      </c>
      <c r="AA4106">
        <v>0.99492800000000003</v>
      </c>
      <c r="AB4106">
        <v>30</v>
      </c>
      <c r="AC4106">
        <v>-29.170199999999902</v>
      </c>
      <c r="AD4106">
        <v>-1.104506421318</v>
      </c>
      <c r="AE4106">
        <v>3.7288999999999999</v>
      </c>
      <c r="AF4106">
        <v>3.0756011090261399</v>
      </c>
      <c r="AG4106">
        <v>-1.104506421318</v>
      </c>
      <c r="AH4106">
        <v>29.204643897740802</v>
      </c>
      <c r="AI4106">
        <v>92.153968047616104</v>
      </c>
      <c r="AJ4106">
        <v>83.988223074729703</v>
      </c>
      <c r="AK4106">
        <v>29.3869100418949</v>
      </c>
    </row>
    <row r="4107" spans="1:37" x14ac:dyDescent="0.2">
      <c r="A4107" t="str">
        <f>"20200111155933499"</f>
        <v>20200111155933499</v>
      </c>
      <c r="B4107" t="str">
        <f>"1578729573494224"</f>
        <v>1578729573494224</v>
      </c>
      <c r="C4107" t="s">
        <v>37</v>
      </c>
      <c r="D4107">
        <v>4.8607250000000004</v>
      </c>
      <c r="E4107">
        <v>0.53993279999999999</v>
      </c>
      <c r="F4107" t="s">
        <v>39</v>
      </c>
      <c r="G4107">
        <v>-354.97629999999998</v>
      </c>
      <c r="H4107" s="1">
        <v>-3.4777039999999999E-6</v>
      </c>
      <c r="I4107">
        <v>144.66249999999999</v>
      </c>
      <c r="J4107">
        <v>-326.4468</v>
      </c>
      <c r="K4107">
        <v>1.1044989999999999</v>
      </c>
      <c r="L4107">
        <v>141.0428</v>
      </c>
      <c r="M4107">
        <v>-0.99965300000000001</v>
      </c>
      <c r="N4107">
        <v>0</v>
      </c>
      <c r="O4107">
        <v>2.2165939999999999E-2</v>
      </c>
      <c r="P4107">
        <v>-0.99827699999999997</v>
      </c>
      <c r="Q4107">
        <v>5.1986289999999998E-2</v>
      </c>
      <c r="R4107">
        <v>2.721285E-2</v>
      </c>
      <c r="S4107">
        <v>-3.0024109999999999</v>
      </c>
      <c r="T4107">
        <v>-0.114464</v>
      </c>
      <c r="U4107">
        <v>0.37614439999999999</v>
      </c>
      <c r="V4107">
        <v>5.075637E-3</v>
      </c>
      <c r="W4107">
        <v>6.6200759999999997E-2</v>
      </c>
      <c r="X4107">
        <v>0.99779340000000005</v>
      </c>
      <c r="Y4107">
        <v>0.1022251</v>
      </c>
      <c r="Z4107">
        <v>1.0991269999999899E-3</v>
      </c>
      <c r="AA4107">
        <v>0.99476069999999905</v>
      </c>
      <c r="AB4107">
        <v>30</v>
      </c>
      <c r="AC4107">
        <v>-28.529499999999899</v>
      </c>
      <c r="AD4107">
        <v>-1.104502477704</v>
      </c>
      <c r="AE4107">
        <v>3.6196999999999901</v>
      </c>
      <c r="AF4107">
        <v>2.98196466211939</v>
      </c>
      <c r="AG4107">
        <v>-1.104502477704</v>
      </c>
      <c r="AH4107">
        <v>28.560602609903899</v>
      </c>
      <c r="AI4107">
        <v>92.202691095252206</v>
      </c>
      <c r="AJ4107">
        <v>84.039439945314598</v>
      </c>
      <c r="AK4107">
        <v>28.737085106360901</v>
      </c>
    </row>
    <row r="4108" spans="1:37" x14ac:dyDescent="0.2">
      <c r="A4108" t="str">
        <f>"20200111155933521"</f>
        <v>20200111155933521</v>
      </c>
      <c r="B4108" t="str">
        <f>"1578729573514722"</f>
        <v>1578729573514722</v>
      </c>
      <c r="C4108" t="s">
        <v>37</v>
      </c>
      <c r="D4108">
        <v>4.87087</v>
      </c>
      <c r="E4108">
        <v>0.54030310000000004</v>
      </c>
      <c r="F4108" t="s">
        <v>39</v>
      </c>
      <c r="G4108">
        <v>-352.13159999999999</v>
      </c>
      <c r="H4108" s="1">
        <v>-4.3891559999999999E-6</v>
      </c>
      <c r="I4108">
        <v>144.3434</v>
      </c>
      <c r="J4108">
        <v>-326.7509</v>
      </c>
      <c r="K4108">
        <v>1.1045100000000001</v>
      </c>
      <c r="L4108">
        <v>141.04949999999999</v>
      </c>
      <c r="M4108">
        <v>-0.99965419999999905</v>
      </c>
      <c r="N4108">
        <v>0</v>
      </c>
      <c r="O4108">
        <v>2.2105070000000001E-2</v>
      </c>
      <c r="P4108">
        <v>-0.99837589999999998</v>
      </c>
      <c r="Q4108">
        <v>4.9647080000000003E-2</v>
      </c>
      <c r="R4108">
        <v>2.7943909999999999E-2</v>
      </c>
      <c r="S4108">
        <v>-3.0013730000000001</v>
      </c>
      <c r="T4108">
        <v>-0.12906589999999901</v>
      </c>
      <c r="U4108">
        <v>0.38569639999999999</v>
      </c>
      <c r="V4108">
        <v>5.8621749999999999E-3</v>
      </c>
      <c r="W4108">
        <v>6.3860630000000002E-2</v>
      </c>
      <c r="X4108">
        <v>0.99794159999999899</v>
      </c>
      <c r="Y4108">
        <v>0.1054247</v>
      </c>
      <c r="Z4108">
        <v>1.310491E-3</v>
      </c>
      <c r="AA4108">
        <v>0.99442640000000004</v>
      </c>
      <c r="AB4108">
        <v>30</v>
      </c>
      <c r="AC4108">
        <v>-25.380699999999901</v>
      </c>
      <c r="AD4108">
        <v>-1.1045143891560001</v>
      </c>
      <c r="AE4108">
        <v>3.2938999999999998</v>
      </c>
      <c r="AF4108">
        <v>2.72691720746657</v>
      </c>
      <c r="AG4108">
        <v>-1.1045143891560001</v>
      </c>
      <c r="AH4108">
        <v>25.400010384620199</v>
      </c>
      <c r="AI4108">
        <v>92.475718167646207</v>
      </c>
      <c r="AJ4108">
        <v>83.872258782998301</v>
      </c>
      <c r="AK4108">
        <v>25.569836859687701</v>
      </c>
    </row>
    <row r="4109" spans="1:37" x14ac:dyDescent="0.2">
      <c r="A4109" t="str">
        <f>"20200111155933544"</f>
        <v>20200111155933544</v>
      </c>
      <c r="B4109" t="str">
        <f>"1578729573534239"</f>
        <v>1578729573534239</v>
      </c>
      <c r="C4109" t="s">
        <v>37</v>
      </c>
      <c r="D4109">
        <v>4.8627750000000001</v>
      </c>
      <c r="E4109">
        <v>0.5405489</v>
      </c>
      <c r="F4109" t="s">
        <v>39</v>
      </c>
      <c r="G4109">
        <v>-350.98439999999999</v>
      </c>
      <c r="H4109" s="1">
        <v>-4.7551219999999998E-6</v>
      </c>
      <c r="I4109">
        <v>144.20580000000001</v>
      </c>
      <c r="J4109">
        <v>-327.04410000000001</v>
      </c>
      <c r="K4109">
        <v>1.1045259999999999</v>
      </c>
      <c r="L4109">
        <v>141.05590000000001</v>
      </c>
      <c r="M4109">
        <v>-0.99965649999999995</v>
      </c>
      <c r="N4109">
        <v>0</v>
      </c>
      <c r="O4109">
        <v>2.200916E-2</v>
      </c>
      <c r="P4109">
        <v>-0.99841229999999903</v>
      </c>
      <c r="Q4109">
        <v>4.892167E-2</v>
      </c>
      <c r="R4109">
        <v>2.793116E-2</v>
      </c>
      <c r="S4109">
        <v>-3.0007320000000002</v>
      </c>
      <c r="T4109">
        <v>-0.13676740000000001</v>
      </c>
      <c r="U4109">
        <v>0.39083859999999998</v>
      </c>
      <c r="V4109">
        <v>5.9406340000000002E-3</v>
      </c>
      <c r="W4109">
        <v>6.3133030000000007E-2</v>
      </c>
      <c r="X4109">
        <v>0.99798739999999997</v>
      </c>
      <c r="Y4109">
        <v>0.1072116</v>
      </c>
      <c r="Z4109">
        <v>1.4336360000000001E-3</v>
      </c>
      <c r="AA4109">
        <v>0.99423519999999899</v>
      </c>
      <c r="AB4109">
        <v>30</v>
      </c>
      <c r="AC4109">
        <v>-23.940299999999901</v>
      </c>
      <c r="AD4109">
        <v>-1.1045307551220001</v>
      </c>
      <c r="AE4109">
        <v>3.1499000000000001</v>
      </c>
      <c r="AF4109">
        <v>2.6167024371185499</v>
      </c>
      <c r="AG4109">
        <v>-1.1045307551220001</v>
      </c>
      <c r="AH4109">
        <v>23.953712923872502</v>
      </c>
      <c r="AI4109">
        <v>92.624507089332994</v>
      </c>
      <c r="AJ4109">
        <v>83.765732004317798</v>
      </c>
      <c r="AK4109">
        <v>24.121514933202899</v>
      </c>
    </row>
    <row r="4110" spans="1:37" x14ac:dyDescent="0.2">
      <c r="A4110" t="str">
        <f>"20200111155933566"</f>
        <v>20200111155933566</v>
      </c>
      <c r="B4110" t="str">
        <f>"1578729573554738"</f>
        <v>1578729573554738</v>
      </c>
      <c r="C4110" t="s">
        <v>37</v>
      </c>
      <c r="D4110">
        <v>4.900506</v>
      </c>
      <c r="E4110">
        <v>0.54085260000000002</v>
      </c>
      <c r="F4110" t="s">
        <v>39</v>
      </c>
      <c r="G4110">
        <v>-350.97230000000002</v>
      </c>
      <c r="H4110" s="1">
        <v>-4.75645E-6</v>
      </c>
      <c r="I4110">
        <v>144.19</v>
      </c>
      <c r="J4110">
        <v>-327.32830000000001</v>
      </c>
      <c r="K4110">
        <v>1.1045609999999999</v>
      </c>
      <c r="L4110">
        <v>141.06200000000001</v>
      </c>
      <c r="M4110">
        <v>-0.99965959999999998</v>
      </c>
      <c r="N4110">
        <v>0</v>
      </c>
      <c r="O4110">
        <v>2.187122E-2</v>
      </c>
      <c r="P4110">
        <v>-0.99845740000000005</v>
      </c>
      <c r="Q4110">
        <v>4.8029990000000002E-2</v>
      </c>
      <c r="R4110">
        <v>2.7866120000000001E-2</v>
      </c>
      <c r="S4110">
        <v>-3.0005489999999999</v>
      </c>
      <c r="T4110">
        <v>-0.13850599999999999</v>
      </c>
      <c r="U4110">
        <v>0.393020599999999</v>
      </c>
      <c r="V4110">
        <v>6.0076449999999998E-3</v>
      </c>
      <c r="W4110">
        <v>6.2239750000000003E-2</v>
      </c>
      <c r="X4110">
        <v>0.99804309999999996</v>
      </c>
      <c r="Y4110">
        <v>0.1080641</v>
      </c>
      <c r="Z4110">
        <v>1.4777779999999999E-3</v>
      </c>
      <c r="AA4110">
        <v>0.99414279999999999</v>
      </c>
      <c r="AB4110">
        <v>30</v>
      </c>
      <c r="AC4110">
        <v>-23.643999999999998</v>
      </c>
      <c r="AD4110">
        <v>-1.10456575645</v>
      </c>
      <c r="AE4110">
        <v>3.1279999999999801</v>
      </c>
      <c r="AF4110">
        <v>2.6044898143240101</v>
      </c>
      <c r="AG4110">
        <v>-1.10456575645</v>
      </c>
      <c r="AH4110">
        <v>23.656023548547498</v>
      </c>
      <c r="AI4110">
        <v>92.657324292543805</v>
      </c>
      <c r="AJ4110">
        <v>83.717132333634197</v>
      </c>
      <c r="AK4110">
        <v>23.824585680189099</v>
      </c>
    </row>
    <row r="4111" spans="1:37" x14ac:dyDescent="0.2">
      <c r="A4111" t="str">
        <f>"20200111155933588"</f>
        <v>20200111155933588</v>
      </c>
      <c r="B4111" t="str">
        <f>"1578729573584337"</f>
        <v>1578729573584337</v>
      </c>
      <c r="C4111" t="s">
        <v>37</v>
      </c>
      <c r="D4111">
        <v>4.9303150000000002</v>
      </c>
      <c r="E4111">
        <v>0.5412091</v>
      </c>
      <c r="F4111" t="s">
        <v>39</v>
      </c>
      <c r="G4111">
        <v>-350.69209999999998</v>
      </c>
      <c r="H4111" s="1">
        <v>-4.8426300000000004E-6</v>
      </c>
      <c r="I4111">
        <v>144.13839999999999</v>
      </c>
      <c r="J4111">
        <v>-327.62079999999997</v>
      </c>
      <c r="K4111">
        <v>1.104595</v>
      </c>
      <c r="L4111">
        <v>141.06829999999999</v>
      </c>
      <c r="M4111">
        <v>-0.99966379999999999</v>
      </c>
      <c r="N4111">
        <v>0</v>
      </c>
      <c r="O4111">
        <v>2.167902E-2</v>
      </c>
      <c r="P4111">
        <v>-0.99853549999999902</v>
      </c>
      <c r="Q4111">
        <v>4.645175E-2</v>
      </c>
      <c r="R4111">
        <v>2.7733509999999999E-2</v>
      </c>
      <c r="S4111">
        <v>-3.0004270000000002</v>
      </c>
      <c r="T4111">
        <v>-0.1418507</v>
      </c>
      <c r="U4111">
        <v>0.395080599999999</v>
      </c>
      <c r="V4111">
        <v>6.05989599999999E-3</v>
      </c>
      <c r="W4111">
        <v>6.0660600000000002E-2</v>
      </c>
      <c r="X4111">
        <v>0.99813999999999903</v>
      </c>
      <c r="Y4111">
        <v>0.1089258</v>
      </c>
      <c r="Z4111">
        <v>1.5427259999999999E-3</v>
      </c>
      <c r="AA4111">
        <v>0.99404869999999901</v>
      </c>
      <c r="AB4111">
        <v>30</v>
      </c>
      <c r="AC4111">
        <v>-23.071300000000001</v>
      </c>
      <c r="AD4111">
        <v>-1.1045998426299899</v>
      </c>
      <c r="AE4111">
        <v>3.0700999999999898</v>
      </c>
      <c r="AF4111">
        <v>2.5633908063894499</v>
      </c>
      <c r="AG4111">
        <v>-1.1045998426299899</v>
      </c>
      <c r="AH4111">
        <v>23.080454147218099</v>
      </c>
      <c r="AI4111">
        <v>92.723290093899905</v>
      </c>
      <c r="AJ4111">
        <v>83.662515699377195</v>
      </c>
      <c r="AK4111">
        <v>23.248623117949599</v>
      </c>
    </row>
    <row r="4112" spans="1:37" x14ac:dyDescent="0.2">
      <c r="A4112" t="str">
        <f>"20200111155933611"</f>
        <v>20200111155933611</v>
      </c>
      <c r="B4112" t="str">
        <f>"1578729573604834"</f>
        <v>1578729573604834</v>
      </c>
      <c r="C4112" t="s">
        <v>37</v>
      </c>
      <c r="D4112">
        <v>4.8856820000000001</v>
      </c>
      <c r="E4112">
        <v>0.54137679999999999</v>
      </c>
      <c r="F4112" t="s">
        <v>39</v>
      </c>
      <c r="G4112">
        <v>-350.13560000000001</v>
      </c>
      <c r="H4112" s="1">
        <v>-5.016372E-6</v>
      </c>
      <c r="I4112">
        <v>144.05009999999999</v>
      </c>
      <c r="J4112">
        <v>-327.92860000000002</v>
      </c>
      <c r="K4112">
        <v>1.1046279999999999</v>
      </c>
      <c r="L4112">
        <v>141.07470000000001</v>
      </c>
      <c r="M4112">
        <v>-0.99966919999999904</v>
      </c>
      <c r="N4112">
        <v>0</v>
      </c>
      <c r="O4112">
        <v>2.1434089999999999E-2</v>
      </c>
      <c r="P4112">
        <v>-0.99861880000000003</v>
      </c>
      <c r="Q4112">
        <v>4.4746349999999997E-2</v>
      </c>
      <c r="R4112">
        <v>2.754297E-2</v>
      </c>
      <c r="S4112">
        <v>-3.0002140000000002</v>
      </c>
      <c r="T4112">
        <v>-0.14719399999999999</v>
      </c>
      <c r="U4112">
        <v>0.39735409999999999</v>
      </c>
      <c r="V4112">
        <v>6.107726E-3</v>
      </c>
      <c r="W4112">
        <v>5.8953239999999997E-2</v>
      </c>
      <c r="X4112">
        <v>0.99824210000000002</v>
      </c>
      <c r="Y4112">
        <v>0.1099101</v>
      </c>
      <c r="Z4112">
        <v>1.63678E-3</v>
      </c>
      <c r="AA4112">
        <v>0.99394020000000005</v>
      </c>
      <c r="AB4112">
        <v>30</v>
      </c>
      <c r="AC4112">
        <v>-22.206999999999901</v>
      </c>
      <c r="AD4112">
        <v>-1.104633016372</v>
      </c>
      <c r="AE4112">
        <v>2.9753999999999698</v>
      </c>
      <c r="AF4112">
        <v>2.4926225839145002</v>
      </c>
      <c r="AG4112">
        <v>-1.104633016372</v>
      </c>
      <c r="AH4112">
        <v>22.211688988844699</v>
      </c>
      <c r="AI4112">
        <v>92.829360345108896</v>
      </c>
      <c r="AJ4112">
        <v>83.596987688316204</v>
      </c>
      <c r="AK4112">
        <v>22.3783938025915</v>
      </c>
    </row>
    <row r="4113" spans="1:37" x14ac:dyDescent="0.2">
      <c r="A4113" t="str">
        <f>"20200111155933634"</f>
        <v>20200111155933634</v>
      </c>
      <c r="B4113" t="str">
        <f>"1578729573624354"</f>
        <v>1578729573624354</v>
      </c>
      <c r="C4113" t="s">
        <v>37</v>
      </c>
      <c r="D4113">
        <v>4.9459720000000003</v>
      </c>
      <c r="E4113">
        <v>0.54134009999999999</v>
      </c>
      <c r="F4113" t="s">
        <v>39</v>
      </c>
      <c r="G4113">
        <v>-349.68520000000001</v>
      </c>
      <c r="H4113" s="1">
        <v>-1.2737260000000001E-6</v>
      </c>
      <c r="I4113">
        <v>143.9623</v>
      </c>
      <c r="J4113">
        <v>-328.22890000000001</v>
      </c>
      <c r="K4113">
        <v>1.104652</v>
      </c>
      <c r="L4113">
        <v>141.08080000000001</v>
      </c>
      <c r="M4113">
        <v>-0.99967519999999999</v>
      </c>
      <c r="N4113">
        <v>0</v>
      </c>
      <c r="O4113">
        <v>2.1157410000000001E-2</v>
      </c>
      <c r="P4113">
        <v>-0.99868119999999905</v>
      </c>
      <c r="Q4113">
        <v>4.3843279999999998E-2</v>
      </c>
      <c r="R4113">
        <v>2.6718280000000001E-2</v>
      </c>
      <c r="S4113">
        <v>-2.9999689999999899</v>
      </c>
      <c r="T4113">
        <v>-0.15231539999999999</v>
      </c>
      <c r="U4113">
        <v>0.39817809999999998</v>
      </c>
      <c r="V4113">
        <v>5.5546060000000001E-3</v>
      </c>
      <c r="W4113">
        <v>5.8047380000000003E-2</v>
      </c>
      <c r="X4113">
        <v>0.99829829999999997</v>
      </c>
      <c r="Y4113">
        <v>0.1104555</v>
      </c>
      <c r="Z4113">
        <v>1.721509E-3</v>
      </c>
      <c r="AA4113">
        <v>0.99387959999999997</v>
      </c>
      <c r="AB4113">
        <v>30</v>
      </c>
      <c r="AC4113">
        <v>-21.456299999999999</v>
      </c>
      <c r="AD4113">
        <v>-1.104653273726</v>
      </c>
      <c r="AE4113">
        <v>2.88149999999998</v>
      </c>
      <c r="AF4113">
        <v>2.4205470942459</v>
      </c>
      <c r="AG4113">
        <v>-1.104653273726</v>
      </c>
      <c r="AH4113">
        <v>21.4566023480876</v>
      </c>
      <c r="AI4113">
        <v>92.928620851735502</v>
      </c>
      <c r="AJ4113">
        <v>83.5636009116986</v>
      </c>
      <c r="AK4113">
        <v>21.620941039061499</v>
      </c>
    </row>
    <row r="4114" spans="1:37" x14ac:dyDescent="0.2">
      <c r="A4114" t="str">
        <f>"20200111155933655"</f>
        <v>20200111155933655</v>
      </c>
      <c r="B4114" t="str">
        <f>"1578729573643874"</f>
        <v>1578729573643874</v>
      </c>
      <c r="C4114" t="s">
        <v>37</v>
      </c>
      <c r="D4114">
        <v>4.9105780000000001</v>
      </c>
      <c r="E4114">
        <v>0.54134119999999997</v>
      </c>
      <c r="F4114" t="s">
        <v>39</v>
      </c>
      <c r="G4114">
        <v>-349.70139999999998</v>
      </c>
      <c r="H4114" s="1">
        <v>-1.2535280000000001E-6</v>
      </c>
      <c r="I4114">
        <v>143.91239999999999</v>
      </c>
      <c r="J4114">
        <v>-328.51900000000001</v>
      </c>
      <c r="K4114">
        <v>1.1046670000000001</v>
      </c>
      <c r="L4114">
        <v>141.08670000000001</v>
      </c>
      <c r="M4114">
        <v>-0.9996815</v>
      </c>
      <c r="N4114">
        <v>0</v>
      </c>
      <c r="O4114">
        <v>2.0859610000000001E-2</v>
      </c>
      <c r="P4114">
        <v>-0.99870340000000002</v>
      </c>
      <c r="Q4114">
        <v>4.393391E-2</v>
      </c>
      <c r="R4114">
        <v>2.571843E-2</v>
      </c>
      <c r="S4114">
        <v>-3.0001829999999998</v>
      </c>
      <c r="T4114">
        <v>-0.15434500000000001</v>
      </c>
      <c r="U4114">
        <v>0.39564509999999897</v>
      </c>
      <c r="V4114">
        <v>4.8490419999999996E-3</v>
      </c>
      <c r="W4114">
        <v>5.8122109999999998E-2</v>
      </c>
      <c r="X4114">
        <v>0.99829769999999896</v>
      </c>
      <c r="Y4114">
        <v>0.109915</v>
      </c>
      <c r="Z4114">
        <v>1.7457869999999999E-3</v>
      </c>
      <c r="AA4114">
        <v>0.99393949999999998</v>
      </c>
      <c r="AB4114">
        <v>30</v>
      </c>
      <c r="AC4114">
        <v>-21.182399999999902</v>
      </c>
      <c r="AD4114">
        <v>-1.1046682535279999</v>
      </c>
      <c r="AE4114">
        <v>2.8256999999999799</v>
      </c>
      <c r="AF4114">
        <v>2.3768327180082101</v>
      </c>
      <c r="AG4114">
        <v>-1.1046682535279999</v>
      </c>
      <c r="AH4114">
        <v>21.180143532978601</v>
      </c>
      <c r="AI4114">
        <v>92.967014291648994</v>
      </c>
      <c r="AJ4114">
        <v>83.597064062025595</v>
      </c>
      <c r="AK4114">
        <v>21.341698756128199</v>
      </c>
    </row>
    <row r="4115" spans="1:37" x14ac:dyDescent="0.2">
      <c r="A4115" t="str">
        <f>"20200111155933678"</f>
        <v>20200111155933678</v>
      </c>
      <c r="B4115" t="str">
        <f>"1578729573674131"</f>
        <v>1578729573674131</v>
      </c>
      <c r="C4115" t="s">
        <v>37</v>
      </c>
      <c r="D4115">
        <v>4.9731170000000002</v>
      </c>
      <c r="E4115">
        <v>0.54109350000000001</v>
      </c>
      <c r="F4115" t="s">
        <v>39</v>
      </c>
      <c r="G4115">
        <v>-350.16989999999998</v>
      </c>
      <c r="H4115" s="1">
        <v>-4.9817079999999901E-6</v>
      </c>
      <c r="I4115">
        <v>143.9205</v>
      </c>
      <c r="J4115">
        <v>-328.80450000000002</v>
      </c>
      <c r="K4115">
        <v>1.1046739999999999</v>
      </c>
      <c r="L4115">
        <v>141.09229999999999</v>
      </c>
      <c r="M4115">
        <v>-0.99968889999999999</v>
      </c>
      <c r="N4115">
        <v>0</v>
      </c>
      <c r="O4115">
        <v>2.0544070000000001E-2</v>
      </c>
      <c r="P4115">
        <v>-0.9987087</v>
      </c>
      <c r="Q4115">
        <v>4.4758220000000001E-2</v>
      </c>
      <c r="R4115">
        <v>2.4043849999999999E-2</v>
      </c>
      <c r="S4115">
        <v>-3.0005189999999899</v>
      </c>
      <c r="T4115">
        <v>-0.1530926</v>
      </c>
      <c r="U4115">
        <v>0.39274599999999998</v>
      </c>
      <c r="V4115">
        <v>3.4872029999999999E-3</v>
      </c>
      <c r="W4115">
        <v>5.8888030000000001E-2</v>
      </c>
      <c r="X4115">
        <v>0.99825849999999905</v>
      </c>
      <c r="Y4115">
        <v>0.10927249999999999</v>
      </c>
      <c r="Z4115">
        <v>1.731252E-3</v>
      </c>
      <c r="AA4115">
        <v>0.99401030000000001</v>
      </c>
      <c r="AB4115">
        <v>29</v>
      </c>
      <c r="AC4115">
        <v>-21.365399999999902</v>
      </c>
      <c r="AD4115">
        <v>-1.1046789817079901</v>
      </c>
      <c r="AE4115">
        <v>2.8281999999999998</v>
      </c>
      <c r="AF4115">
        <v>2.3823676587662099</v>
      </c>
      <c r="AG4115">
        <v>-1.1046789817079901</v>
      </c>
      <c r="AH4115">
        <v>21.362872236111301</v>
      </c>
      <c r="AI4115">
        <v>92.941936407919997</v>
      </c>
      <c r="AJ4115">
        <v>83.636719980981596</v>
      </c>
      <c r="AK4115">
        <v>21.523668402263102</v>
      </c>
    </row>
    <row r="4116" spans="1:37" x14ac:dyDescent="0.2">
      <c r="A4116" t="str">
        <f>"20200111155933702"</f>
        <v>20200111155933702</v>
      </c>
      <c r="B4116" t="str">
        <f>"1578729573694157"</f>
        <v>1578729573694157</v>
      </c>
      <c r="C4116" t="s">
        <v>37</v>
      </c>
      <c r="D4116">
        <v>4.9232629999999897</v>
      </c>
      <c r="E4116">
        <v>0.540987</v>
      </c>
      <c r="F4116" t="s">
        <v>39</v>
      </c>
      <c r="G4116">
        <v>-350.82010000000002</v>
      </c>
      <c r="H4116" s="1">
        <v>-4.7607739999999999E-6</v>
      </c>
      <c r="I4116">
        <v>143.92250000000001</v>
      </c>
      <c r="J4116">
        <v>-329.13</v>
      </c>
      <c r="K4116">
        <v>1.104662</v>
      </c>
      <c r="L4116">
        <v>141.0986</v>
      </c>
      <c r="M4116">
        <v>-0.99969850000000005</v>
      </c>
      <c r="N4116">
        <v>0</v>
      </c>
      <c r="O4116">
        <v>2.0173070000000001E-2</v>
      </c>
      <c r="P4116">
        <v>-0.998695</v>
      </c>
      <c r="Q4116">
        <v>4.5848140000000003E-2</v>
      </c>
      <c r="R4116">
        <v>2.2507119999999999E-2</v>
      </c>
      <c r="S4116">
        <v>-3.0013730000000001</v>
      </c>
      <c r="T4116">
        <v>-0.15060009999999999</v>
      </c>
      <c r="U4116">
        <v>0.385849</v>
      </c>
      <c r="V4116">
        <v>2.3184799999999999E-3</v>
      </c>
      <c r="W4116">
        <v>5.9834310000000002E-2</v>
      </c>
      <c r="X4116">
        <v>0.99820560000000003</v>
      </c>
      <c r="Y4116">
        <v>0.107364</v>
      </c>
      <c r="Z4116">
        <v>1.6737259999999999E-3</v>
      </c>
      <c r="AA4116">
        <v>0.9942183</v>
      </c>
      <c r="AB4116">
        <v>29</v>
      </c>
      <c r="AC4116">
        <v>-21.690100000000001</v>
      </c>
      <c r="AD4116">
        <v>-1.1046667607739999</v>
      </c>
      <c r="AE4116">
        <v>2.8239000000000001</v>
      </c>
      <c r="AF4116">
        <v>2.3796569323207</v>
      </c>
      <c r="AG4116">
        <v>-1.1046667607739999</v>
      </c>
      <c r="AH4116">
        <v>21.687342172231599</v>
      </c>
      <c r="AI4116">
        <v>92.898532011320398</v>
      </c>
      <c r="AJ4116">
        <v>83.738235190483906</v>
      </c>
      <c r="AK4116">
        <v>21.8454541326875</v>
      </c>
    </row>
    <row r="4117" spans="1:37" x14ac:dyDescent="0.2">
      <c r="A4117" t="str">
        <f>"20200111155933722"</f>
        <v>20200111155933722</v>
      </c>
      <c r="B4117" t="str">
        <f>"1578729573714656"</f>
        <v>1578729573714656</v>
      </c>
      <c r="C4117" t="s">
        <v>37</v>
      </c>
      <c r="D4117">
        <v>4.9064550000000002</v>
      </c>
      <c r="E4117">
        <v>0.54096420000000001</v>
      </c>
      <c r="F4117" t="s">
        <v>39</v>
      </c>
      <c r="G4117">
        <v>-351.60109999999997</v>
      </c>
      <c r="H4117" s="1">
        <v>-4.4992659999999998E-6</v>
      </c>
      <c r="I4117">
        <v>143.94649999999999</v>
      </c>
      <c r="J4117">
        <v>-329.40320000000003</v>
      </c>
      <c r="K4117">
        <v>1.1046309999999999</v>
      </c>
      <c r="L4117">
        <v>141.1037</v>
      </c>
      <c r="M4117">
        <v>-0.99970729999999997</v>
      </c>
      <c r="N4117">
        <v>0</v>
      </c>
      <c r="O4117">
        <v>1.9860079999999999E-2</v>
      </c>
      <c r="P4117">
        <v>-0.99868259999999898</v>
      </c>
      <c r="Q4117">
        <v>4.6465989999999999E-2</v>
      </c>
      <c r="R4117">
        <v>2.1777330000000001E-2</v>
      </c>
      <c r="S4117">
        <v>-3.0021360000000001</v>
      </c>
      <c r="T4117">
        <v>-0.14758360000000001</v>
      </c>
      <c r="U4117">
        <v>0.38049319999999998</v>
      </c>
      <c r="V4117">
        <v>1.9004169999999999E-3</v>
      </c>
      <c r="W4117">
        <v>6.0264599999999897E-2</v>
      </c>
      <c r="X4117">
        <v>0.99818059999999997</v>
      </c>
      <c r="Y4117">
        <v>0.1059036</v>
      </c>
      <c r="Z4117">
        <v>1.6195859999999999E-3</v>
      </c>
      <c r="AA4117">
        <v>0.99437509999999996</v>
      </c>
      <c r="AB4117">
        <v>29</v>
      </c>
      <c r="AC4117">
        <v>-22.197899999999901</v>
      </c>
      <c r="AD4117">
        <v>-1.1046354992659999</v>
      </c>
      <c r="AE4117">
        <v>2.84279999999998</v>
      </c>
      <c r="AF4117">
        <v>2.3955086270380299</v>
      </c>
      <c r="AG4117">
        <v>-1.1046354992659999</v>
      </c>
      <c r="AH4117">
        <v>22.195906502114301</v>
      </c>
      <c r="AI4117">
        <v>92.832696113366296</v>
      </c>
      <c r="AJ4117">
        <v>83.840155889418895</v>
      </c>
      <c r="AK4117">
        <v>22.352112799891099</v>
      </c>
    </row>
    <row r="4118" spans="1:37" x14ac:dyDescent="0.2">
      <c r="A4118" t="str">
        <f>"20200111155933766"</f>
        <v>20200111155933766</v>
      </c>
      <c r="B4118" t="str">
        <f>"1578729573764430"</f>
        <v>1578729573764430</v>
      </c>
      <c r="C4118" t="s">
        <v>37</v>
      </c>
      <c r="D4118">
        <v>4.9266990000000002</v>
      </c>
      <c r="E4118">
        <v>0.54103959999999995</v>
      </c>
      <c r="F4118" t="s">
        <v>39</v>
      </c>
      <c r="G4118">
        <v>-352.10019999999997</v>
      </c>
      <c r="H4118" s="1">
        <v>-4.3318580000000001E-6</v>
      </c>
      <c r="I4118">
        <v>143.96010000000001</v>
      </c>
      <c r="J4118">
        <v>-329.97309999999999</v>
      </c>
      <c r="K4118">
        <v>1.104519</v>
      </c>
      <c r="L4118">
        <v>141.11420000000001</v>
      </c>
      <c r="M4118">
        <v>-0.99972809999999901</v>
      </c>
      <c r="N4118">
        <v>0</v>
      </c>
      <c r="O4118">
        <v>1.9194409999999999E-2</v>
      </c>
      <c r="P4118">
        <v>-0.99862669999999998</v>
      </c>
      <c r="Q4118">
        <v>4.7979180000000003E-2</v>
      </c>
      <c r="R4118">
        <v>2.1046490000000001E-2</v>
      </c>
      <c r="S4118">
        <v>-3.002472</v>
      </c>
      <c r="T4118">
        <v>-0.14612720000000001</v>
      </c>
      <c r="U4118">
        <v>0.3778687</v>
      </c>
      <c r="V4118">
        <v>1.8361009999999999E-3</v>
      </c>
      <c r="W4118">
        <v>6.1205559999999999E-2</v>
      </c>
      <c r="X4118">
        <v>0.99812350000000005</v>
      </c>
      <c r="Y4118">
        <v>0.1056979</v>
      </c>
      <c r="Z4118">
        <v>1.6307839999999999E-3</v>
      </c>
      <c r="AA4118">
        <v>0.99439690000000003</v>
      </c>
      <c r="AB4118">
        <v>29</v>
      </c>
      <c r="AC4118">
        <v>-22.127099999999899</v>
      </c>
      <c r="AD4118">
        <v>-1.1045233318579999</v>
      </c>
      <c r="AE4118">
        <v>2.8458999999999999</v>
      </c>
      <c r="AF4118">
        <v>2.4147028734816298</v>
      </c>
      <c r="AG4118">
        <v>-1.1045233318579999</v>
      </c>
      <c r="AH4118">
        <v>22.123424453672001</v>
      </c>
      <c r="AI4118">
        <v>92.841301834634194</v>
      </c>
      <c r="AJ4118">
        <v>83.771001468000605</v>
      </c>
      <c r="AK4118">
        <v>22.282205261489501</v>
      </c>
    </row>
    <row r="4119" spans="1:37" x14ac:dyDescent="0.2">
      <c r="A4119" t="str">
        <f>"20200111155933789"</f>
        <v>20200111155933789</v>
      </c>
      <c r="B4119" t="str">
        <f>"1578729573784455"</f>
        <v>1578729573784455</v>
      </c>
      <c r="C4119" t="s">
        <v>37</v>
      </c>
      <c r="D4119">
        <v>4.9692769999999999</v>
      </c>
      <c r="E4119">
        <v>0.54107150000000004</v>
      </c>
      <c r="F4119" t="s">
        <v>39</v>
      </c>
      <c r="G4119">
        <v>-353.35730000000001</v>
      </c>
      <c r="H4119" s="1">
        <v>-3.9182809999999999E-6</v>
      </c>
      <c r="I4119">
        <v>144.04040000000001</v>
      </c>
      <c r="J4119">
        <v>-330.27699999999999</v>
      </c>
      <c r="K4119">
        <v>1.1044510000000001</v>
      </c>
      <c r="L4119">
        <v>141.11969999999999</v>
      </c>
      <c r="M4119">
        <v>-0.99973989999999902</v>
      </c>
      <c r="N4119">
        <v>0</v>
      </c>
      <c r="O4119">
        <v>1.8837699999999999E-2</v>
      </c>
      <c r="P4119">
        <v>-0.99856780000000001</v>
      </c>
      <c r="Q4119">
        <v>4.9353149999999998E-2</v>
      </c>
      <c r="R4119">
        <v>2.0653230000000002E-2</v>
      </c>
      <c r="S4119">
        <v>-3.0030209999999999</v>
      </c>
      <c r="T4119">
        <v>-0.141844</v>
      </c>
      <c r="U4119">
        <v>0.3757935</v>
      </c>
      <c r="V4119">
        <v>1.8004519999999999E-3</v>
      </c>
      <c r="W4119">
        <v>6.219359E-2</v>
      </c>
      <c r="X4119">
        <v>0.99806249999999996</v>
      </c>
      <c r="Y4119">
        <v>0.1053596</v>
      </c>
      <c r="Z4119">
        <v>1.591629E-3</v>
      </c>
      <c r="AA4119">
        <v>0.99443289999999995</v>
      </c>
      <c r="AB4119">
        <v>30</v>
      </c>
      <c r="AC4119">
        <v>-23.080300000000001</v>
      </c>
      <c r="AD4119">
        <v>-1.104454918281</v>
      </c>
      <c r="AE4119">
        <v>2.9207000000000098</v>
      </c>
      <c r="AF4119">
        <v>2.4797770517128499</v>
      </c>
      <c r="AG4119">
        <v>-1.104454918281</v>
      </c>
      <c r="AH4119">
        <v>23.079211944220599</v>
      </c>
      <c r="AI4119">
        <v>92.724141650270298</v>
      </c>
      <c r="AJ4119">
        <v>83.867305558492703</v>
      </c>
      <c r="AK4119">
        <v>23.238311876273801</v>
      </c>
    </row>
    <row r="4120" spans="1:37" x14ac:dyDescent="0.2">
      <c r="A4120" t="str">
        <f>"20200111155933811"</f>
        <v>20200111155933811</v>
      </c>
      <c r="B4120" t="str">
        <f>"1578729573803974"</f>
        <v>1578729573803974</v>
      </c>
      <c r="C4120" t="s">
        <v>37</v>
      </c>
      <c r="D4120">
        <v>4.9555369999999996</v>
      </c>
      <c r="E4120">
        <v>0.54110709999999995</v>
      </c>
      <c r="F4120" t="s">
        <v>39</v>
      </c>
      <c r="G4120">
        <v>-354.32619999999997</v>
      </c>
      <c r="H4120" s="1">
        <v>-3.602897E-6</v>
      </c>
      <c r="I4120">
        <v>144.12129999999999</v>
      </c>
      <c r="J4120">
        <v>-330.57850000000002</v>
      </c>
      <c r="K4120">
        <v>1.104393</v>
      </c>
      <c r="L4120">
        <v>141.125</v>
      </c>
      <c r="M4120">
        <v>-0.99975139999999996</v>
      </c>
      <c r="N4120">
        <v>0</v>
      </c>
      <c r="O4120">
        <v>1.8488190000000002E-2</v>
      </c>
      <c r="P4120">
        <v>-0.99855659999999902</v>
      </c>
      <c r="Q4120">
        <v>4.9738919999999999E-2</v>
      </c>
      <c r="R4120">
        <v>2.0270710000000001E-2</v>
      </c>
      <c r="S4120">
        <v>-3.003387</v>
      </c>
      <c r="T4120">
        <v>-0.13792979999999999</v>
      </c>
      <c r="U4120">
        <v>0.37486269999999999</v>
      </c>
      <c r="V4120">
        <v>1.7677189999999901E-3</v>
      </c>
      <c r="W4120">
        <v>6.2185009999999999E-2</v>
      </c>
      <c r="X4120">
        <v>0.99806309999999998</v>
      </c>
      <c r="Y4120">
        <v>0.10539369999999899</v>
      </c>
      <c r="Z4120">
        <v>1.5643510000000001E-3</v>
      </c>
      <c r="AA4120">
        <v>0.99442929999999996</v>
      </c>
      <c r="AB4120">
        <v>30</v>
      </c>
      <c r="AC4120">
        <v>-23.747699999999899</v>
      </c>
      <c r="AD4120">
        <v>-1.104396602897</v>
      </c>
      <c r="AE4120">
        <v>2.99629999999999</v>
      </c>
      <c r="AF4120">
        <v>2.5512703921541302</v>
      </c>
      <c r="AG4120">
        <v>-1.104396602897</v>
      </c>
      <c r="AH4120">
        <v>23.748483578372099</v>
      </c>
      <c r="AI4120">
        <v>92.647346979476396</v>
      </c>
      <c r="AJ4120">
        <v>83.868301215870503</v>
      </c>
      <c r="AK4120">
        <v>23.910649191157098</v>
      </c>
    </row>
    <row r="4121" spans="1:37" x14ac:dyDescent="0.2">
      <c r="A4121" t="str">
        <f>"20200111155933834"</f>
        <v>20200111155933834</v>
      </c>
      <c r="B4121" t="str">
        <f>"1578729573824470"</f>
        <v>1578729573824470</v>
      </c>
      <c r="C4121" t="s">
        <v>37</v>
      </c>
      <c r="D4121">
        <v>4.9581689999999998</v>
      </c>
      <c r="E4121">
        <v>0.54111940000000003</v>
      </c>
      <c r="F4121" t="s">
        <v>39</v>
      </c>
      <c r="G4121">
        <v>-354.8098</v>
      </c>
      <c r="H4121" s="1">
        <v>-3.4133649999999999E-6</v>
      </c>
      <c r="I4121">
        <v>144.1431</v>
      </c>
      <c r="J4121">
        <v>-330.8768</v>
      </c>
      <c r="K4121">
        <v>1.104341</v>
      </c>
      <c r="L4121">
        <v>141.1302</v>
      </c>
      <c r="M4121">
        <v>-0.99976259999999995</v>
      </c>
      <c r="N4121">
        <v>0</v>
      </c>
      <c r="O4121">
        <v>1.814789E-2</v>
      </c>
      <c r="P4121">
        <v>-0.99856290000000003</v>
      </c>
      <c r="Q4121">
        <v>5.0266940000000003E-2</v>
      </c>
      <c r="R4121">
        <v>1.858829E-2</v>
      </c>
      <c r="S4121">
        <v>-3.003571</v>
      </c>
      <c r="T4121">
        <v>-0.13689460000000001</v>
      </c>
      <c r="U4121">
        <v>0.37411499999999998</v>
      </c>
      <c r="V4121">
        <v>4.2526849999999998E-4</v>
      </c>
      <c r="W4121">
        <v>6.2314950000000001E-2</v>
      </c>
      <c r="X4121">
        <v>0.99805650000000001</v>
      </c>
      <c r="Y4121">
        <v>0.10548199999999899</v>
      </c>
      <c r="Z4121">
        <v>1.56999299999999E-3</v>
      </c>
      <c r="AA4121">
        <v>0.99441999999999997</v>
      </c>
      <c r="AB4121">
        <v>30</v>
      </c>
      <c r="AC4121">
        <v>-23.933</v>
      </c>
      <c r="AD4121">
        <v>-1.104344413365</v>
      </c>
      <c r="AE4121">
        <v>3.0129000000000001</v>
      </c>
      <c r="AF4121">
        <v>2.5726465112399501</v>
      </c>
      <c r="AG4121">
        <v>-1.104344413365</v>
      </c>
      <c r="AH4121">
        <v>23.933575566595401</v>
      </c>
      <c r="AI4121">
        <v>92.626760992010006</v>
      </c>
      <c r="AJ4121">
        <v>83.864770420071906</v>
      </c>
      <c r="AK4121">
        <v>24.096765883766601</v>
      </c>
    </row>
    <row r="4122" spans="1:37" x14ac:dyDescent="0.2">
      <c r="A4122" t="str">
        <f>"20200111155933855"</f>
        <v>20200111155933855</v>
      </c>
      <c r="B4122" t="str">
        <f>"1578729573843990"</f>
        <v>1578729573843990</v>
      </c>
      <c r="C4122" t="s">
        <v>37</v>
      </c>
      <c r="D4122">
        <v>4.9651559999999897</v>
      </c>
      <c r="E4122">
        <v>0.54111940000000003</v>
      </c>
      <c r="F4122" t="s">
        <v>39</v>
      </c>
      <c r="G4122">
        <v>-355.41039999999998</v>
      </c>
      <c r="H4122" s="1">
        <v>-3.1567089999999998E-6</v>
      </c>
      <c r="I4122">
        <v>144.14689999999999</v>
      </c>
      <c r="J4122">
        <v>-331.15789999999998</v>
      </c>
      <c r="K4122">
        <v>1.1042909999999999</v>
      </c>
      <c r="L4122">
        <v>141.13499999999999</v>
      </c>
      <c r="M4122">
        <v>-0.99977299999999902</v>
      </c>
      <c r="N4122">
        <v>0</v>
      </c>
      <c r="O4122">
        <v>1.7829890000000001E-2</v>
      </c>
      <c r="P4122">
        <v>-0.99857129999999905</v>
      </c>
      <c r="Q4122">
        <v>5.0636639999999997E-2</v>
      </c>
      <c r="R4122">
        <v>1.7078639999999999E-2</v>
      </c>
      <c r="S4122">
        <v>-3.0042419999999899</v>
      </c>
      <c r="T4122">
        <v>-0.13523170000000001</v>
      </c>
      <c r="U4122">
        <v>0.3694153</v>
      </c>
      <c r="V4122">
        <v>-7.6651759999999997E-4</v>
      </c>
      <c r="W4122">
        <v>6.2295910000000003E-2</v>
      </c>
      <c r="X4122">
        <v>0.99805739999999998</v>
      </c>
      <c r="Y4122">
        <v>0.104242</v>
      </c>
      <c r="Z4122">
        <v>1.5371989999999999E-3</v>
      </c>
      <c r="AA4122">
        <v>0.99455079999999996</v>
      </c>
      <c r="AB4122">
        <v>30</v>
      </c>
      <c r="AC4122">
        <v>-24.252500000000001</v>
      </c>
      <c r="AD4122">
        <v>-1.1042941567090001</v>
      </c>
      <c r="AE4122">
        <v>3.01189999999999</v>
      </c>
      <c r="AF4122">
        <v>2.5737173518654801</v>
      </c>
      <c r="AG4122">
        <v>-1.1042941567090001</v>
      </c>
      <c r="AH4122">
        <v>24.252830660599098</v>
      </c>
      <c r="AI4122">
        <v>92.592487725718598</v>
      </c>
      <c r="AJ4122">
        <v>83.942426694563494</v>
      </c>
      <c r="AK4122">
        <v>24.4139976579734</v>
      </c>
    </row>
    <row r="4123" spans="1:37" x14ac:dyDescent="0.2">
      <c r="A4123" t="str">
        <f>"20200111155933878"</f>
        <v>20200111155933878</v>
      </c>
      <c r="B4123" t="str">
        <f>"1578729573874247"</f>
        <v>1578729573874247</v>
      </c>
      <c r="C4123" t="s">
        <v>37</v>
      </c>
      <c r="D4123">
        <v>8.0541350000000005</v>
      </c>
      <c r="E4123">
        <v>0.49885200000000002</v>
      </c>
      <c r="F4123" t="s">
        <v>39</v>
      </c>
      <c r="G4123">
        <v>-355.96050000000002</v>
      </c>
      <c r="H4123" s="1">
        <v>-2.921311E-6</v>
      </c>
      <c r="I4123">
        <v>144.1491</v>
      </c>
      <c r="J4123">
        <v>-331.45850000000002</v>
      </c>
      <c r="K4123">
        <v>1.1042379999999901</v>
      </c>
      <c r="L4123">
        <v>141.13999999999999</v>
      </c>
      <c r="M4123">
        <v>-0.99978389999999995</v>
      </c>
      <c r="N4123">
        <v>0</v>
      </c>
      <c r="O4123">
        <v>1.7492489999999999E-2</v>
      </c>
      <c r="P4123">
        <v>-0.99856250000000002</v>
      </c>
      <c r="Q4123">
        <v>5.1280649999999997E-2</v>
      </c>
      <c r="R4123">
        <v>1.56134999999999E-2</v>
      </c>
      <c r="S4123">
        <v>-3.0048219999999999</v>
      </c>
      <c r="T4123">
        <v>-0.13378480000000001</v>
      </c>
      <c r="U4123">
        <v>0.36517329999999998</v>
      </c>
      <c r="V4123">
        <v>-1.894401E-3</v>
      </c>
      <c r="W4123">
        <v>6.2505779999999997E-2</v>
      </c>
      <c r="X4123">
        <v>0.99804280000000001</v>
      </c>
      <c r="Y4123">
        <v>0.1031736</v>
      </c>
      <c r="Z4123">
        <v>1.5118739999999901E-3</v>
      </c>
      <c r="AA4123">
        <v>0.99466219999999905</v>
      </c>
      <c r="AB4123">
        <v>30</v>
      </c>
      <c r="AC4123">
        <v>-24.501999999999999</v>
      </c>
      <c r="AD4123">
        <v>-1.1042409213109901</v>
      </c>
      <c r="AE4123">
        <v>3.0091000000000099</v>
      </c>
      <c r="AF4123">
        <v>2.5748594918805998</v>
      </c>
      <c r="AG4123">
        <v>-1.1042409213109901</v>
      </c>
      <c r="AH4123">
        <v>24.501865015741298</v>
      </c>
      <c r="AI4123">
        <v>92.5663260292921</v>
      </c>
      <c r="AJ4123">
        <v>84.000902700890606</v>
      </c>
      <c r="AK4123">
        <v>24.661521418291201</v>
      </c>
    </row>
    <row r="4124" spans="1:37" x14ac:dyDescent="0.2">
      <c r="A4124" t="str">
        <f>"20200111155933901"</f>
        <v>20200111155933901</v>
      </c>
      <c r="B4124" t="str">
        <f>"1578729573894276"</f>
        <v>1578729573894276</v>
      </c>
      <c r="C4124" t="s">
        <v>37</v>
      </c>
      <c r="D4124">
        <v>4.7350940000000001</v>
      </c>
      <c r="E4124">
        <v>0.41844009999999998</v>
      </c>
      <c r="F4124" t="s">
        <v>43</v>
      </c>
      <c r="G4124">
        <v>0</v>
      </c>
      <c r="H4124">
        <v>0</v>
      </c>
      <c r="I4124">
        <v>0</v>
      </c>
      <c r="J4124">
        <v>-331.76519999999999</v>
      </c>
      <c r="K4124">
        <v>1.104174</v>
      </c>
      <c r="L4124">
        <v>141.14500000000001</v>
      </c>
      <c r="M4124">
        <v>-0.99979470000000004</v>
      </c>
      <c r="N4124">
        <v>0</v>
      </c>
      <c r="O4124">
        <v>1.7152319999999999E-2</v>
      </c>
      <c r="P4124">
        <v>-0.99853780000000003</v>
      </c>
      <c r="Q4124">
        <v>5.2068719999999999E-2</v>
      </c>
      <c r="R4124">
        <v>1.4534139999999999E-2</v>
      </c>
      <c r="S4124">
        <v>-2.9951479999999999</v>
      </c>
      <c r="T4124">
        <v>0.1664214</v>
      </c>
      <c r="U4124">
        <v>3.8330080000000002E-2</v>
      </c>
      <c r="V4124">
        <v>-2.633425E-3</v>
      </c>
      <c r="W4124">
        <v>6.283416E-2</v>
      </c>
      <c r="X4124">
        <v>0.99802049999999998</v>
      </c>
      <c r="Y4124">
        <v>-4.324329E-3</v>
      </c>
      <c r="Z4124">
        <v>1.072307E-3</v>
      </c>
      <c r="AA4124">
        <v>0.99998999999999905</v>
      </c>
      <c r="AB4124">
        <v>30</v>
      </c>
      <c r="AC4124">
        <v>-2.9951479999999999</v>
      </c>
      <c r="AD4124">
        <v>0.1664214</v>
      </c>
      <c r="AE4124">
        <v>3.8330080000000002E-2</v>
      </c>
      <c r="AF4124">
        <v>-1.3012119475408699E-2</v>
      </c>
      <c r="AG4124">
        <v>0.1664214</v>
      </c>
      <c r="AH4124">
        <v>2.9861471302432099</v>
      </c>
      <c r="AI4124">
        <v>86.810170595608497</v>
      </c>
      <c r="AJ4124">
        <v>90.249664459683103</v>
      </c>
      <c r="AK4124">
        <v>2.9908092685911898</v>
      </c>
    </row>
    <row r="4125" spans="1:37" x14ac:dyDescent="0.2">
      <c r="A4125" t="str">
        <f>"20200111155933924"</f>
        <v>20200111155933924</v>
      </c>
      <c r="B4125" t="str">
        <f>"1578729573914775"</f>
        <v>1578729573914775</v>
      </c>
      <c r="C4125" t="s">
        <v>37</v>
      </c>
      <c r="D4125">
        <v>4.3880119999999998</v>
      </c>
      <c r="E4125">
        <v>0.40350929999999902</v>
      </c>
      <c r="F4125" t="s">
        <v>61</v>
      </c>
      <c r="G4125">
        <v>-439.84660000000002</v>
      </c>
      <c r="H4125">
        <v>6.539587</v>
      </c>
      <c r="I4125">
        <v>119.2784</v>
      </c>
      <c r="J4125">
        <v>-332.07560000000001</v>
      </c>
      <c r="K4125">
        <v>1.1041110000000001</v>
      </c>
      <c r="L4125">
        <v>141.15</v>
      </c>
      <c r="M4125">
        <v>-0.99980559999999996</v>
      </c>
      <c r="N4125">
        <v>0</v>
      </c>
      <c r="O4125">
        <v>1.6814470000000001E-2</v>
      </c>
      <c r="P4125">
        <v>-0.99851350000000005</v>
      </c>
      <c r="Q4125">
        <v>5.27018E-2</v>
      </c>
      <c r="R4125">
        <v>1.3913299999999899E-2</v>
      </c>
      <c r="S4125">
        <v>-3.0053709999999998</v>
      </c>
      <c r="T4125">
        <v>0.15114069999999999</v>
      </c>
      <c r="U4125">
        <v>-0.60803219999999902</v>
      </c>
      <c r="V4125">
        <v>-2.9160779999999999E-3</v>
      </c>
      <c r="W4125">
        <v>6.2983590000000006E-2</v>
      </c>
      <c r="X4125">
        <v>0.99801030000000002</v>
      </c>
      <c r="Y4125">
        <v>-0.21446999999999999</v>
      </c>
      <c r="Z4125">
        <v>6.1724919999999999E-3</v>
      </c>
      <c r="AA4125">
        <v>0.97671109999999906</v>
      </c>
      <c r="AB4125">
        <v>30</v>
      </c>
      <c r="AC4125">
        <v>-107.771</v>
      </c>
      <c r="AD4125">
        <v>5.4354760000000004</v>
      </c>
      <c r="AE4125">
        <v>-21.871600000000001</v>
      </c>
      <c r="AF4125">
        <v>-23.623002389683101</v>
      </c>
      <c r="AG4125">
        <v>5.4354760000000004</v>
      </c>
      <c r="AH4125">
        <v>107.12626253275199</v>
      </c>
      <c r="AI4125">
        <v>87.163396096484703</v>
      </c>
      <c r="AJ4125">
        <v>102.43558843926699</v>
      </c>
      <c r="AK4125">
        <v>109.834542678912</v>
      </c>
    </row>
    <row r="4126" spans="1:37" x14ac:dyDescent="0.2">
      <c r="A4126" t="str">
        <f>"20200111155933945"</f>
        <v>20200111155933945</v>
      </c>
      <c r="B4126" t="str">
        <f>"1578729573934292"</f>
        <v>1578729573934292</v>
      </c>
      <c r="C4126" t="s">
        <v>37</v>
      </c>
      <c r="D4126">
        <v>4.4348359999999998</v>
      </c>
      <c r="E4126">
        <v>0.39904400000000001</v>
      </c>
      <c r="F4126" t="s">
        <v>61</v>
      </c>
      <c r="G4126">
        <v>-440.75</v>
      </c>
      <c r="H4126">
        <v>2.8882829999999999</v>
      </c>
      <c r="I4126">
        <v>114.6499</v>
      </c>
      <c r="J4126">
        <v>-332.35480000000001</v>
      </c>
      <c r="K4126">
        <v>1.1040459999999901</v>
      </c>
      <c r="L4126">
        <v>141.15440000000001</v>
      </c>
      <c r="M4126">
        <v>-0.99981520000000002</v>
      </c>
      <c r="N4126">
        <v>0</v>
      </c>
      <c r="O4126">
        <v>1.6518769999999999E-2</v>
      </c>
      <c r="P4126">
        <v>-0.99849719999999997</v>
      </c>
      <c r="Q4126">
        <v>5.3105529999999998E-2</v>
      </c>
      <c r="R4126">
        <v>1.3535409999999999E-2</v>
      </c>
      <c r="S4126">
        <v>-3.012054</v>
      </c>
      <c r="T4126">
        <v>4.9451349999999998E-2</v>
      </c>
      <c r="U4126">
        <v>-0.73448179999999996</v>
      </c>
      <c r="V4126">
        <v>-2.9974649999999999E-3</v>
      </c>
      <c r="W4126">
        <v>6.2929799999999994E-2</v>
      </c>
      <c r="X4126">
        <v>0.99801340000000005</v>
      </c>
      <c r="Y4126">
        <v>-0.25288850000000002</v>
      </c>
      <c r="Z4126">
        <v>2.3132370000000001E-3</v>
      </c>
      <c r="AA4126">
        <v>0.96749269999999998</v>
      </c>
      <c r="AB4126">
        <v>30</v>
      </c>
      <c r="AC4126">
        <v>-108.3952</v>
      </c>
      <c r="AD4126">
        <v>1.7842370000000001</v>
      </c>
      <c r="AE4126">
        <v>-26.5045</v>
      </c>
      <c r="AF4126">
        <v>-28.2842940081986</v>
      </c>
      <c r="AG4126">
        <v>1.7842370000000001</v>
      </c>
      <c r="AH4126">
        <v>107.91497603794301</v>
      </c>
      <c r="AI4126">
        <v>89.0837173306209</v>
      </c>
      <c r="AJ4126">
        <v>104.686750995396</v>
      </c>
      <c r="AK4126">
        <v>111.574310853727</v>
      </c>
    </row>
    <row r="4127" spans="1:37" x14ac:dyDescent="0.2">
      <c r="A4127" t="str">
        <f>"20200111155933967"</f>
        <v>20200111155933967</v>
      </c>
      <c r="B4127" t="str">
        <f>"1578729573964548"</f>
        <v>1578729573964548</v>
      </c>
      <c r="C4127" t="s">
        <v>37</v>
      </c>
      <c r="D4127">
        <v>4.4669099999999897</v>
      </c>
      <c r="E4127">
        <v>0.3968334</v>
      </c>
      <c r="F4127" t="s">
        <v>61</v>
      </c>
      <c r="G4127">
        <v>-440.75</v>
      </c>
      <c r="H4127">
        <v>1.561696</v>
      </c>
      <c r="I4127">
        <v>113.3532</v>
      </c>
      <c r="J4127">
        <v>-332.65629999999999</v>
      </c>
      <c r="K4127">
        <v>1.1039729999999901</v>
      </c>
      <c r="L4127">
        <v>141.1591</v>
      </c>
      <c r="M4127">
        <v>-0.99982519999999997</v>
      </c>
      <c r="N4127">
        <v>0</v>
      </c>
      <c r="O4127">
        <v>1.6210639999999998E-2</v>
      </c>
      <c r="P4127">
        <v>-0.99849829999999995</v>
      </c>
      <c r="Q4127">
        <v>5.3111770000000003E-2</v>
      </c>
      <c r="R4127">
        <v>1.3441730000000001E-2</v>
      </c>
      <c r="S4127">
        <v>-3.0142820000000001</v>
      </c>
      <c r="T4127">
        <v>1.2727260000000001E-2</v>
      </c>
      <c r="U4127">
        <v>-0.77310179999999995</v>
      </c>
      <c r="V4127">
        <v>-2.781974E-3</v>
      </c>
      <c r="W4127">
        <v>6.2429640000000002E-2</v>
      </c>
      <c r="X4127">
        <v>0.99804550000000003</v>
      </c>
      <c r="Y4127">
        <v>-0.26410650000000002</v>
      </c>
      <c r="Z4127">
        <v>6.1608019999999895E-4</v>
      </c>
      <c r="AA4127">
        <v>0.9644933</v>
      </c>
      <c r="AB4127">
        <v>30</v>
      </c>
      <c r="AC4127">
        <v>-108.0937</v>
      </c>
      <c r="AD4127">
        <v>0.45772299999999999</v>
      </c>
      <c r="AE4127">
        <v>-27.805899999999902</v>
      </c>
      <c r="AF4127">
        <v>-29.554093010702498</v>
      </c>
      <c r="AG4127">
        <v>0.45772299999999999</v>
      </c>
      <c r="AH4127">
        <v>107.626914062867</v>
      </c>
      <c r="AI4127">
        <v>89.765027924671102</v>
      </c>
      <c r="AJ4127">
        <v>105.354814583783</v>
      </c>
      <c r="AK4127">
        <v>111.61185669419601</v>
      </c>
    </row>
    <row r="4128" spans="1:37" x14ac:dyDescent="0.2">
      <c r="A4128" t="str">
        <f>"20200111155933991"</f>
        <v>20200111155933991</v>
      </c>
      <c r="B4128" t="str">
        <f>"1578729573984575"</f>
        <v>1578729573984575</v>
      </c>
      <c r="C4128" t="s">
        <v>37</v>
      </c>
      <c r="D4128">
        <v>5.0134309999999997</v>
      </c>
      <c r="E4128">
        <v>0.39758300000000002</v>
      </c>
      <c r="F4128" t="s">
        <v>61</v>
      </c>
      <c r="G4128">
        <v>-440.75</v>
      </c>
      <c r="H4128">
        <v>0.55135459999999903</v>
      </c>
      <c r="I4128">
        <v>112.7604</v>
      </c>
      <c r="J4128">
        <v>-332.9787</v>
      </c>
      <c r="K4128">
        <v>1.103896</v>
      </c>
      <c r="L4128">
        <v>141.16399999999999</v>
      </c>
      <c r="M4128">
        <v>-0.99983509999999998</v>
      </c>
      <c r="N4128">
        <v>0</v>
      </c>
      <c r="O4128">
        <v>1.5894660000000001E-2</v>
      </c>
      <c r="P4128">
        <v>-0.99853559999999997</v>
      </c>
      <c r="Q4128">
        <v>5.2317870000000002E-2</v>
      </c>
      <c r="R4128">
        <v>1.377198E-2</v>
      </c>
      <c r="S4128">
        <v>-3.0159609999999999</v>
      </c>
      <c r="T4128">
        <v>-1.5418050000000001E-2</v>
      </c>
      <c r="U4128">
        <v>-0.79235840000000002</v>
      </c>
      <c r="V4128">
        <v>-2.1349189999999999E-3</v>
      </c>
      <c r="W4128">
        <v>6.1097989999999998E-2</v>
      </c>
      <c r="X4128">
        <v>0.9981295</v>
      </c>
      <c r="Y4128">
        <v>-0.26943669999999997</v>
      </c>
      <c r="Z4128">
        <v>-7.5714740000000003E-4</v>
      </c>
      <c r="AA4128">
        <v>0.96301780000000003</v>
      </c>
      <c r="AB4128">
        <v>30</v>
      </c>
      <c r="AC4128">
        <v>-107.7713</v>
      </c>
      <c r="AD4128">
        <v>-0.55254139999999996</v>
      </c>
      <c r="AE4128">
        <v>-28.403599999999901</v>
      </c>
      <c r="AF4128">
        <v>-30.112325668317499</v>
      </c>
      <c r="AG4128">
        <v>-0.55254139999999996</v>
      </c>
      <c r="AH4128">
        <v>107.303564050821</v>
      </c>
      <c r="AI4128">
        <v>90.284059285837202</v>
      </c>
      <c r="AJ4128">
        <v>105.675577723155</v>
      </c>
      <c r="AK4128">
        <v>111.45004404289</v>
      </c>
    </row>
    <row r="4129" spans="1:37" x14ac:dyDescent="0.2">
      <c r="A4129" t="str">
        <f>"20200111155934012"</f>
        <v>20200111155934012</v>
      </c>
      <c r="B4129" t="str">
        <f>"1578729574004099"</f>
        <v>1578729574004099</v>
      </c>
      <c r="C4129" t="s">
        <v>37</v>
      </c>
      <c r="D4129">
        <v>5.0129029999999997</v>
      </c>
      <c r="E4129">
        <v>0.40009450000000002</v>
      </c>
      <c r="F4129" t="s">
        <v>39</v>
      </c>
      <c r="G4129">
        <v>-428.07339999999999</v>
      </c>
      <c r="H4129" s="1">
        <v>-4.6296490000000004E-6</v>
      </c>
      <c r="I4129">
        <v>116.383</v>
      </c>
      <c r="J4129">
        <v>-333.27949999999998</v>
      </c>
      <c r="K4129">
        <v>1.1038250000000001</v>
      </c>
      <c r="L4129">
        <v>141.16849999999999</v>
      </c>
      <c r="M4129">
        <v>-0.9998435</v>
      </c>
      <c r="N4129">
        <v>0</v>
      </c>
      <c r="O4129">
        <v>1.5611099999999999E-2</v>
      </c>
      <c r="P4129">
        <v>-0.9985984</v>
      </c>
      <c r="Q4129">
        <v>5.1014289999999997E-2</v>
      </c>
      <c r="R4129">
        <v>1.410922E-2</v>
      </c>
      <c r="S4129">
        <v>-3.0171199999999998</v>
      </c>
      <c r="T4129">
        <v>-3.5024050000000001E-2</v>
      </c>
      <c r="U4129">
        <v>-0.78623959999999904</v>
      </c>
      <c r="V4129">
        <v>-1.513021E-3</v>
      </c>
      <c r="W4129">
        <v>5.9313100000000001E-2</v>
      </c>
      <c r="X4129">
        <v>0.99823830000000002</v>
      </c>
      <c r="Y4129">
        <v>-0.26722959999999901</v>
      </c>
      <c r="Z4129">
        <v>-1.703864E-3</v>
      </c>
      <c r="AA4129">
        <v>0.96363140000000003</v>
      </c>
      <c r="AB4129">
        <v>30</v>
      </c>
      <c r="AC4129">
        <v>-94.793899999999994</v>
      </c>
      <c r="AD4129">
        <v>-1.103829629649</v>
      </c>
      <c r="AE4129">
        <v>-24.785499999999999</v>
      </c>
      <c r="AF4129">
        <v>-26.259034974909699</v>
      </c>
      <c r="AG4129">
        <v>-1.103829629649</v>
      </c>
      <c r="AH4129">
        <v>94.383426266435393</v>
      </c>
      <c r="AI4129">
        <v>90.645537056197895</v>
      </c>
      <c r="AJ4129">
        <v>105.54744941475801</v>
      </c>
      <c r="AK4129">
        <v>97.974417637751102</v>
      </c>
    </row>
    <row r="4130" spans="1:37" x14ac:dyDescent="0.2">
      <c r="A4130" t="str">
        <f>"20200111155934035"</f>
        <v>20200111155934035</v>
      </c>
      <c r="B4130" t="str">
        <f>"1578729574024591"</f>
        <v>1578729574024591</v>
      </c>
      <c r="C4130" t="s">
        <v>37</v>
      </c>
      <c r="D4130">
        <v>5.023771</v>
      </c>
      <c r="E4130">
        <v>0.40193269999999998</v>
      </c>
      <c r="F4130" t="s">
        <v>39</v>
      </c>
      <c r="G4130">
        <v>-389.22570000000002</v>
      </c>
      <c r="H4130">
        <v>7.9985689999999998E-2</v>
      </c>
      <c r="I4130">
        <v>126.9663</v>
      </c>
      <c r="J4130">
        <v>-333.58629999999999</v>
      </c>
      <c r="K4130">
        <v>1.1037600000000001</v>
      </c>
      <c r="L4130">
        <v>141.173</v>
      </c>
      <c r="M4130">
        <v>-0.99985170000000001</v>
      </c>
      <c r="N4130">
        <v>0</v>
      </c>
      <c r="O4130">
        <v>1.533375E-2</v>
      </c>
      <c r="P4130">
        <v>-0.9986739</v>
      </c>
      <c r="Q4130">
        <v>4.9543339999999998E-2</v>
      </c>
      <c r="R4130">
        <v>1.400448E-2</v>
      </c>
      <c r="S4130">
        <v>-3.0178829999999999</v>
      </c>
      <c r="T4130">
        <v>-5.5228590000000001E-2</v>
      </c>
      <c r="U4130">
        <v>-0.76609799999999995</v>
      </c>
      <c r="V4130">
        <v>-1.340387E-3</v>
      </c>
      <c r="W4130">
        <v>5.7368059999999998E-2</v>
      </c>
      <c r="X4130">
        <v>0.99835219999999902</v>
      </c>
      <c r="Y4130">
        <v>-0.26083909999999999</v>
      </c>
      <c r="Z4130">
        <v>-2.6256320000000001E-3</v>
      </c>
      <c r="AA4130">
        <v>0.96537870000000003</v>
      </c>
      <c r="AB4130">
        <v>31</v>
      </c>
      <c r="AC4130">
        <v>-55.639400000000002</v>
      </c>
      <c r="AD4130">
        <v>-1.0237743100000001</v>
      </c>
      <c r="AE4130">
        <v>-14.2066999999999</v>
      </c>
      <c r="AF4130">
        <v>-15.0534318549832</v>
      </c>
      <c r="AG4130">
        <v>-1.0237743100000001</v>
      </c>
      <c r="AH4130">
        <v>55.397401725608397</v>
      </c>
      <c r="AI4130">
        <v>91.021695829528497</v>
      </c>
      <c r="AJ4130">
        <v>105.20220652672199</v>
      </c>
      <c r="AK4130">
        <v>57.415381583673899</v>
      </c>
    </row>
    <row r="4131" spans="1:37" x14ac:dyDescent="0.2">
      <c r="A4131" t="str">
        <f>"20200111155934056"</f>
        <v>20200111155934056</v>
      </c>
      <c r="B4131" t="str">
        <f>"1578729574044111"</f>
        <v>1578729574044111</v>
      </c>
      <c r="C4131" t="s">
        <v>37</v>
      </c>
      <c r="D4131">
        <v>5.1314349999999997</v>
      </c>
      <c r="E4131">
        <v>0.40480919999999998</v>
      </c>
      <c r="F4131" t="s">
        <v>39</v>
      </c>
      <c r="G4131">
        <v>-379.79770000000002</v>
      </c>
      <c r="H4131" s="1">
        <v>-2.7044529999999999E-6</v>
      </c>
      <c r="I4131">
        <v>129.6583</v>
      </c>
      <c r="J4131">
        <v>-333.88130000000001</v>
      </c>
      <c r="K4131">
        <v>1.1036969999999999</v>
      </c>
      <c r="L4131">
        <v>141.1773</v>
      </c>
      <c r="M4131">
        <v>-0.99985919999999895</v>
      </c>
      <c r="N4131">
        <v>0</v>
      </c>
      <c r="O4131">
        <v>1.507881E-2</v>
      </c>
      <c r="P4131">
        <v>-0.99871919999999903</v>
      </c>
      <c r="Q4131">
        <v>4.862706E-2</v>
      </c>
      <c r="R4131">
        <v>1.3986520000000001E-2</v>
      </c>
      <c r="S4131">
        <v>-3.018097</v>
      </c>
      <c r="T4131">
        <v>-7.2087529999999997E-2</v>
      </c>
      <c r="U4131">
        <v>-0.75202939999999996</v>
      </c>
      <c r="V4131">
        <v>-1.102923E-3</v>
      </c>
      <c r="W4131">
        <v>5.6008879999999997E-2</v>
      </c>
      <c r="X4131">
        <v>0.99842969999999898</v>
      </c>
      <c r="Y4131">
        <v>-0.25631199999999998</v>
      </c>
      <c r="Z4131">
        <v>-3.3693669999999998E-3</v>
      </c>
      <c r="AA4131">
        <v>0.96658820000000001</v>
      </c>
      <c r="AB4131">
        <v>31</v>
      </c>
      <c r="AC4131">
        <v>-45.916400000000003</v>
      </c>
      <c r="AD4131">
        <v>-1.1036997044529999</v>
      </c>
      <c r="AE4131">
        <v>-11.519</v>
      </c>
      <c r="AF4131">
        <v>-12.2034402690843</v>
      </c>
      <c r="AG4131">
        <v>-1.1036997044529999</v>
      </c>
      <c r="AH4131">
        <v>45.712633642321698</v>
      </c>
      <c r="AI4131">
        <v>91.336317251543704</v>
      </c>
      <c r="AJ4131">
        <v>104.94710183482501</v>
      </c>
      <c r="AK4131">
        <v>47.3263877974629</v>
      </c>
    </row>
    <row r="4132" spans="1:37" x14ac:dyDescent="0.2">
      <c r="A4132" t="str">
        <f>"20200111155934079"</f>
        <v>20200111155934079</v>
      </c>
      <c r="B4132" t="str">
        <f>"1578729574074368"</f>
        <v>1578729574074368</v>
      </c>
      <c r="C4132" t="s">
        <v>37</v>
      </c>
      <c r="D4132">
        <v>4.5967269999999996</v>
      </c>
      <c r="E4132">
        <v>0.404678599999999</v>
      </c>
      <c r="F4132" t="s">
        <v>39</v>
      </c>
      <c r="G4132">
        <v>-368.04829999999998</v>
      </c>
      <c r="H4132" s="1">
        <v>-2.434186E-6</v>
      </c>
      <c r="I4132">
        <v>132.91149999999999</v>
      </c>
      <c r="J4132">
        <v>-334.19659999999999</v>
      </c>
      <c r="K4132">
        <v>1.1036349999999999</v>
      </c>
      <c r="L4132">
        <v>141.18180000000001</v>
      </c>
      <c r="M4132">
        <v>-0.99986629999999999</v>
      </c>
      <c r="N4132">
        <v>0</v>
      </c>
      <c r="O4132">
        <v>1.4819479999999999E-2</v>
      </c>
      <c r="P4132">
        <v>-0.99874680000000005</v>
      </c>
      <c r="Q4132">
        <v>4.8101730000000002E-2</v>
      </c>
      <c r="R4132">
        <v>1.3842810000000001E-2</v>
      </c>
      <c r="S4132">
        <v>-3.0188290000000002</v>
      </c>
      <c r="T4132">
        <v>-9.7517850000000003E-2</v>
      </c>
      <c r="U4132">
        <v>-0.73031619999999997</v>
      </c>
      <c r="V4132">
        <v>-9.8681159999999997E-4</v>
      </c>
      <c r="W4132">
        <v>5.5021920000000002E-2</v>
      </c>
      <c r="X4132">
        <v>0.9984847</v>
      </c>
      <c r="Y4132">
        <v>-0.24938560000000001</v>
      </c>
      <c r="Z4132">
        <v>-4.4417119999999996E-3</v>
      </c>
      <c r="AA4132">
        <v>0.96839409999999904</v>
      </c>
      <c r="AB4132">
        <v>31</v>
      </c>
      <c r="AC4132">
        <v>-33.851699999999902</v>
      </c>
      <c r="AD4132">
        <v>-1.103637434186</v>
      </c>
      <c r="AE4132">
        <v>-8.2703000000000095</v>
      </c>
      <c r="AF4132">
        <v>-8.7622794959312404</v>
      </c>
      <c r="AG4132">
        <v>-1.103637434186</v>
      </c>
      <c r="AH4132">
        <v>33.691624212376801</v>
      </c>
      <c r="AI4132">
        <v>91.815806967779295</v>
      </c>
      <c r="AJ4132">
        <v>104.578130236037</v>
      </c>
      <c r="AK4132">
        <v>34.829888021912602</v>
      </c>
    </row>
    <row r="4133" spans="1:37" x14ac:dyDescent="0.2">
      <c r="A4133" t="str">
        <f>"20200111155934103"</f>
        <v>20200111155934103</v>
      </c>
      <c r="B4133" t="str">
        <f>"1578729574094396"</f>
        <v>1578729574094396</v>
      </c>
      <c r="C4133" t="s">
        <v>37</v>
      </c>
      <c r="D4133">
        <v>4.5883940000000001</v>
      </c>
      <c r="E4133">
        <v>0.40352850000000001</v>
      </c>
      <c r="F4133" t="s">
        <v>39</v>
      </c>
      <c r="G4133">
        <v>-365.22160000000002</v>
      </c>
      <c r="H4133" s="1">
        <v>-3.1977420000000002E-6</v>
      </c>
      <c r="I4133">
        <v>133.65719999999999</v>
      </c>
      <c r="J4133">
        <v>-334.52370000000002</v>
      </c>
      <c r="K4133">
        <v>1.103575</v>
      </c>
      <c r="L4133">
        <v>141.18639999999999</v>
      </c>
      <c r="M4133">
        <v>-0.99987320000000002</v>
      </c>
      <c r="N4133">
        <v>0</v>
      </c>
      <c r="O4133">
        <v>1.456388E-2</v>
      </c>
      <c r="P4133">
        <v>-0.99874789999999902</v>
      </c>
      <c r="Q4133">
        <v>4.8321709999999997E-2</v>
      </c>
      <c r="R4133">
        <v>1.296802E-2</v>
      </c>
      <c r="S4133">
        <v>-3.0190730000000001</v>
      </c>
      <c r="T4133">
        <v>-0.1073962</v>
      </c>
      <c r="U4133">
        <v>-0.73222349999999903</v>
      </c>
      <c r="V4133">
        <v>-1.6043539999999999E-3</v>
      </c>
      <c r="W4133">
        <v>5.4774820000000002E-2</v>
      </c>
      <c r="X4133">
        <v>0.99849739999999998</v>
      </c>
      <c r="Y4133">
        <v>-0.24967029999999901</v>
      </c>
      <c r="Z4133">
        <v>-4.88667099999999E-3</v>
      </c>
      <c r="AA4133">
        <v>0.96831859999999903</v>
      </c>
      <c r="AB4133">
        <v>31</v>
      </c>
      <c r="AC4133">
        <v>-30.697900000000001</v>
      </c>
      <c r="AD4133">
        <v>-1.1035781977420001</v>
      </c>
      <c r="AE4133">
        <v>-7.5292000000000003</v>
      </c>
      <c r="AF4133">
        <v>-7.9657806026860998</v>
      </c>
      <c r="AG4133">
        <v>-1.1035781977420001</v>
      </c>
      <c r="AH4133">
        <v>30.5477484194247</v>
      </c>
      <c r="AI4133">
        <v>92.002093889346398</v>
      </c>
      <c r="AJ4133">
        <v>104.61525914344899</v>
      </c>
      <c r="AK4133">
        <v>31.5885498075668</v>
      </c>
    </row>
    <row r="4134" spans="1:37" x14ac:dyDescent="0.2">
      <c r="A4134" t="str">
        <f>"20200111155934125"</f>
        <v>20200111155934125</v>
      </c>
      <c r="B4134" t="str">
        <f>"1578729574113916"</f>
        <v>1578729574113916</v>
      </c>
      <c r="C4134" t="s">
        <v>37</v>
      </c>
      <c r="D4134">
        <v>4.5755999999999997</v>
      </c>
      <c r="E4134">
        <v>0.40225569999999999</v>
      </c>
      <c r="F4134" t="s">
        <v>39</v>
      </c>
      <c r="G4134">
        <v>-365.64870000000002</v>
      </c>
      <c r="H4134" s="1">
        <v>-3.0897529999999998E-6</v>
      </c>
      <c r="I4134">
        <v>133.51669999999999</v>
      </c>
      <c r="J4134">
        <v>-334.8415</v>
      </c>
      <c r="K4134">
        <v>1.1035159999999999</v>
      </c>
      <c r="L4134">
        <v>141.1908</v>
      </c>
      <c r="M4134">
        <v>-0.99987929999999903</v>
      </c>
      <c r="N4134">
        <v>0</v>
      </c>
      <c r="O4134">
        <v>1.432745E-2</v>
      </c>
      <c r="P4134">
        <v>-0.99870999999999999</v>
      </c>
      <c r="Q4134">
        <v>4.9366189999999997E-2</v>
      </c>
      <c r="R4134">
        <v>1.1898199999999999E-2</v>
      </c>
      <c r="S4134">
        <v>-3.0186459999999999</v>
      </c>
      <c r="T4134">
        <v>-0.107030399999999</v>
      </c>
      <c r="U4134">
        <v>-0.74383540000000004</v>
      </c>
      <c r="V4134">
        <v>-2.4370070000000001E-3</v>
      </c>
      <c r="W4134">
        <v>5.5374720000000002E-2</v>
      </c>
      <c r="X4134">
        <v>0.99846270000000004</v>
      </c>
      <c r="Y4134">
        <v>-0.25298539999999903</v>
      </c>
      <c r="Z4134">
        <v>-4.9181390000000002E-3</v>
      </c>
      <c r="AA4134">
        <v>0.96745759999999903</v>
      </c>
      <c r="AB4134">
        <v>31</v>
      </c>
      <c r="AC4134">
        <v>-30.807200000000002</v>
      </c>
      <c r="AD4134">
        <v>-1.1035190897529901</v>
      </c>
      <c r="AE4134">
        <v>-7.6741000000000099</v>
      </c>
      <c r="AF4134">
        <v>-8.1049171587897302</v>
      </c>
      <c r="AG4134">
        <v>-1.1035190897529901</v>
      </c>
      <c r="AH4134">
        <v>30.657048100146699</v>
      </c>
      <c r="AI4134">
        <v>91.993088846191895</v>
      </c>
      <c r="AJ4134">
        <v>104.808692002024</v>
      </c>
      <c r="AK4134">
        <v>31.729513622919001</v>
      </c>
    </row>
    <row r="4135" spans="1:37" x14ac:dyDescent="0.2">
      <c r="A4135" t="str">
        <f>"20200111155934147"</f>
        <v>20200111155934147</v>
      </c>
      <c r="B4135" t="str">
        <f>"1578729574144171"</f>
        <v>1578729574144171</v>
      </c>
      <c r="C4135" t="s">
        <v>37</v>
      </c>
      <c r="D4135">
        <v>4.5163379999999904</v>
      </c>
      <c r="E4135">
        <v>0.40053049999999901</v>
      </c>
      <c r="F4135" t="s">
        <v>39</v>
      </c>
      <c r="G4135">
        <v>-367.25869999999998</v>
      </c>
      <c r="H4135" s="1">
        <v>-2.6641960000000001E-6</v>
      </c>
      <c r="I4135">
        <v>133.05699999999999</v>
      </c>
      <c r="J4135">
        <v>-335.14299999999997</v>
      </c>
      <c r="K4135">
        <v>1.103464</v>
      </c>
      <c r="L4135">
        <v>141.19489999999999</v>
      </c>
      <c r="M4135">
        <v>-0.99988459999999901</v>
      </c>
      <c r="N4135">
        <v>0</v>
      </c>
      <c r="O4135">
        <v>1.411543E-2</v>
      </c>
      <c r="P4135">
        <v>-0.99875059999999904</v>
      </c>
      <c r="Q4135">
        <v>4.8700640000000003E-2</v>
      </c>
      <c r="R4135">
        <v>1.119643E-2</v>
      </c>
      <c r="S4135">
        <v>-3.0179749999999999</v>
      </c>
      <c r="T4135">
        <v>-0.10273549999999999</v>
      </c>
      <c r="U4135">
        <v>-0.75723269999999998</v>
      </c>
      <c r="V4135">
        <v>-2.9256629999999998E-3</v>
      </c>
      <c r="W4135">
        <v>5.429631E-2</v>
      </c>
      <c r="X4135">
        <v>0.99852059999999998</v>
      </c>
      <c r="Y4135">
        <v>-0.25688329999999998</v>
      </c>
      <c r="Z4135">
        <v>-4.7776329999999999E-3</v>
      </c>
      <c r="AA4135">
        <v>0.96643060000000003</v>
      </c>
      <c r="AB4135">
        <v>31</v>
      </c>
      <c r="AC4135">
        <v>-32.115699999999897</v>
      </c>
      <c r="AD4135">
        <v>-1.103466664196</v>
      </c>
      <c r="AE4135">
        <v>-8.1378999999999699</v>
      </c>
      <c r="AF4135">
        <v>-8.5809043052390201</v>
      </c>
      <c r="AG4135">
        <v>-1.103466664196</v>
      </c>
      <c r="AH4135">
        <v>31.962172221487801</v>
      </c>
      <c r="AI4135">
        <v>91.909729293805597</v>
      </c>
      <c r="AJ4135">
        <v>105.027870865952</v>
      </c>
      <c r="AK4135">
        <v>33.112384548544803</v>
      </c>
    </row>
    <row r="4136" spans="1:37" x14ac:dyDescent="0.2">
      <c r="A4136" t="str">
        <f>"20200111155934169"</f>
        <v>20200111155934169</v>
      </c>
      <c r="B4136" t="str">
        <f>"1578729574164670"</f>
        <v>1578729574164670</v>
      </c>
      <c r="C4136" t="s">
        <v>37</v>
      </c>
      <c r="D4136">
        <v>4.472899</v>
      </c>
      <c r="E4136">
        <v>0.39961829999999998</v>
      </c>
      <c r="F4136" t="s">
        <v>39</v>
      </c>
      <c r="G4136">
        <v>-367.31130000000002</v>
      </c>
      <c r="H4136" s="1">
        <v>-2.6742090000000002E-6</v>
      </c>
      <c r="I4136">
        <v>132.952</v>
      </c>
      <c r="J4136">
        <v>-335.47070000000002</v>
      </c>
      <c r="K4136">
        <v>1.1034010000000001</v>
      </c>
      <c r="L4136">
        <v>141.19929999999999</v>
      </c>
      <c r="M4136">
        <v>-0.9998901</v>
      </c>
      <c r="N4136">
        <v>0</v>
      </c>
      <c r="O4136">
        <v>1.389459E-2</v>
      </c>
      <c r="P4136">
        <v>-0.99880059999999904</v>
      </c>
      <c r="Q4136">
        <v>4.7802129999999998E-2</v>
      </c>
      <c r="R4136">
        <v>1.060432E-2</v>
      </c>
      <c r="S4136">
        <v>-3.0174560000000001</v>
      </c>
      <c r="T4136">
        <v>-0.10350760000000001</v>
      </c>
      <c r="U4136">
        <v>-0.77319340000000003</v>
      </c>
      <c r="V4136">
        <v>-3.2968059999999898E-3</v>
      </c>
      <c r="W4136">
        <v>5.297023E-2</v>
      </c>
      <c r="X4136">
        <v>0.998590599999999</v>
      </c>
      <c r="Y4136">
        <v>-0.26150449999999997</v>
      </c>
      <c r="Z4136">
        <v>-4.8817679999999999E-3</v>
      </c>
      <c r="AA4136">
        <v>0.96518989999999905</v>
      </c>
      <c r="AB4136">
        <v>32</v>
      </c>
      <c r="AC4136">
        <v>-31.840599999999899</v>
      </c>
      <c r="AD4136">
        <v>-1.1034036742090001</v>
      </c>
      <c r="AE4136">
        <v>-8.2472999999999903</v>
      </c>
      <c r="AF4136">
        <v>-8.6791543451267597</v>
      </c>
      <c r="AG4136">
        <v>-1.1034036742090001</v>
      </c>
      <c r="AH4136">
        <v>31.687271111804499</v>
      </c>
      <c r="AI4136">
        <v>91.923536623878206</v>
      </c>
      <c r="AJ4136">
        <v>105.317658757494</v>
      </c>
      <c r="AK4136">
        <v>32.872912410186501</v>
      </c>
    </row>
    <row r="4137" spans="1:37" x14ac:dyDescent="0.2">
      <c r="A4137" t="str">
        <f>"20200111155934191"</f>
        <v>20200111155934191</v>
      </c>
      <c r="B4137" t="str">
        <f>"1578729574184622"</f>
        <v>1578729574184622</v>
      </c>
      <c r="C4137" t="s">
        <v>37</v>
      </c>
      <c r="D4137">
        <v>4.4345039999999996</v>
      </c>
      <c r="E4137">
        <v>0.39873550000000002</v>
      </c>
      <c r="F4137" t="s">
        <v>39</v>
      </c>
      <c r="G4137">
        <v>-367.39859999999999</v>
      </c>
      <c r="H4137" s="1">
        <v>-2.652539E-6</v>
      </c>
      <c r="I4137">
        <v>132.92189999999999</v>
      </c>
      <c r="J4137">
        <v>-335.78370000000001</v>
      </c>
      <c r="K4137">
        <v>1.1033469999999901</v>
      </c>
      <c r="L4137">
        <v>141.20349999999999</v>
      </c>
      <c r="M4137">
        <v>-0.99989490000000003</v>
      </c>
      <c r="N4137">
        <v>0</v>
      </c>
      <c r="O4137">
        <v>1.369225E-2</v>
      </c>
      <c r="P4137">
        <v>-0.99883089999999997</v>
      </c>
      <c r="Q4137">
        <v>4.7209420000000002E-2</v>
      </c>
      <c r="R4137">
        <v>1.04133E-2</v>
      </c>
      <c r="S4137">
        <v>-3.016937</v>
      </c>
      <c r="T4137">
        <v>-0.1042632</v>
      </c>
      <c r="U4137">
        <v>-0.78215029999999997</v>
      </c>
      <c r="V4137">
        <v>-3.284595E-3</v>
      </c>
      <c r="W4137">
        <v>5.198883E-2</v>
      </c>
      <c r="X4137">
        <v>0.99864229999999998</v>
      </c>
      <c r="Y4137">
        <v>-0.26403169999999998</v>
      </c>
      <c r="Z4137">
        <v>-4.9524749999999996E-3</v>
      </c>
      <c r="AA4137">
        <v>0.96450130000000001</v>
      </c>
      <c r="AB4137">
        <v>32</v>
      </c>
      <c r="AC4137">
        <v>-31.614899999999899</v>
      </c>
      <c r="AD4137">
        <v>-1.1033496525390001</v>
      </c>
      <c r="AE4137">
        <v>-8.2815999999999903</v>
      </c>
      <c r="AF4137">
        <v>-8.7037872944808399</v>
      </c>
      <c r="AG4137">
        <v>-1.1033496525390001</v>
      </c>
      <c r="AH4137">
        <v>31.4626807932767</v>
      </c>
      <c r="AI4137">
        <v>91.935806499581702</v>
      </c>
      <c r="AJ4137">
        <v>105.46349073758699</v>
      </c>
      <c r="AK4137">
        <v>32.663030729296203</v>
      </c>
    </row>
    <row r="4138" spans="1:37" x14ac:dyDescent="0.2">
      <c r="A4138" t="str">
        <f>"20200111155934213"</f>
        <v>20200111155934213</v>
      </c>
      <c r="B4138" t="str">
        <f>"1578729574204145"</f>
        <v>1578729574204145</v>
      </c>
      <c r="C4138" t="s">
        <v>37</v>
      </c>
      <c r="D4138">
        <v>4.9584950000000001</v>
      </c>
      <c r="E4138">
        <v>0.39855590000000002</v>
      </c>
      <c r="F4138" t="s">
        <v>39</v>
      </c>
      <c r="G4138">
        <v>-367.64920000000001</v>
      </c>
      <c r="H4138" s="1">
        <v>-2.5832839999999999E-6</v>
      </c>
      <c r="I4138">
        <v>132.86160000000001</v>
      </c>
      <c r="J4138">
        <v>-336.10669999999999</v>
      </c>
      <c r="K4138">
        <v>1.1032930000000001</v>
      </c>
      <c r="L4138">
        <v>141.20769999999999</v>
      </c>
      <c r="M4138">
        <v>-0.99989919999999999</v>
      </c>
      <c r="N4138">
        <v>0</v>
      </c>
      <c r="O4138">
        <v>1.349148E-2</v>
      </c>
      <c r="P4138">
        <v>-0.99881939999999902</v>
      </c>
      <c r="Q4138">
        <v>4.749184E-2</v>
      </c>
      <c r="R4138">
        <v>1.0220770000000001E-2</v>
      </c>
      <c r="S4138">
        <v>-3.0166930000000001</v>
      </c>
      <c r="T4138">
        <v>-0.1044539</v>
      </c>
      <c r="U4138">
        <v>-0.78971859999999905</v>
      </c>
      <c r="V4138">
        <v>-3.2760390000000001E-3</v>
      </c>
      <c r="W4138">
        <v>5.1890249999999999E-2</v>
      </c>
      <c r="X4138">
        <v>0.99864739999999996</v>
      </c>
      <c r="Y4138">
        <v>-0.26612089999999999</v>
      </c>
      <c r="Z4138">
        <v>-4.9890969999999996E-3</v>
      </c>
      <c r="AA4138">
        <v>0.96392670000000003</v>
      </c>
      <c r="AB4138">
        <v>32</v>
      </c>
      <c r="AC4138">
        <v>-31.5425</v>
      </c>
      <c r="AD4138">
        <v>-1.1032955832839999</v>
      </c>
      <c r="AE4138">
        <v>-8.3460999999999697</v>
      </c>
      <c r="AF4138">
        <v>-8.7608822463974505</v>
      </c>
      <c r="AG4138">
        <v>-1.1032955832839999</v>
      </c>
      <c r="AH4138">
        <v>31.391133789220198</v>
      </c>
      <c r="AI4138">
        <v>91.938895788236707</v>
      </c>
      <c r="AJ4138">
        <v>105.59376909684801</v>
      </c>
      <c r="AK4138">
        <v>32.609409676534398</v>
      </c>
    </row>
    <row r="4139" spans="1:37" x14ac:dyDescent="0.2">
      <c r="A4139" t="str">
        <f>"20200111155934235"</f>
        <v>20200111155934235</v>
      </c>
      <c r="B4139" t="str">
        <f>"1578729574224638"</f>
        <v>1578729574224638</v>
      </c>
      <c r="C4139" t="s">
        <v>37</v>
      </c>
      <c r="D4139">
        <v>4.9448449999999999</v>
      </c>
      <c r="E4139">
        <v>0.39935029999999999</v>
      </c>
      <c r="F4139" t="s">
        <v>39</v>
      </c>
      <c r="G4139">
        <v>-368.2912</v>
      </c>
      <c r="H4139" s="1">
        <v>-2.3912020000000001E-6</v>
      </c>
      <c r="I4139">
        <v>132.76240000000001</v>
      </c>
      <c r="J4139">
        <v>-336.42160000000001</v>
      </c>
      <c r="K4139">
        <v>1.10324</v>
      </c>
      <c r="L4139">
        <v>141.21180000000001</v>
      </c>
      <c r="M4139">
        <v>-0.99990330000000005</v>
      </c>
      <c r="N4139">
        <v>0</v>
      </c>
      <c r="O4139">
        <v>1.330279E-2</v>
      </c>
      <c r="P4139">
        <v>-0.99883099999999903</v>
      </c>
      <c r="Q4139">
        <v>4.7222960000000001E-2</v>
      </c>
      <c r="R4139">
        <v>1.031782E-2</v>
      </c>
      <c r="S4139">
        <v>-3.0165709999999999</v>
      </c>
      <c r="T4139">
        <v>-0.10340919999999899</v>
      </c>
      <c r="U4139">
        <v>-0.79154969999999902</v>
      </c>
      <c r="V4139">
        <v>-2.9894679999999999E-3</v>
      </c>
      <c r="W4139">
        <v>5.1268330000000001E-2</v>
      </c>
      <c r="X4139">
        <v>0.99868040000000002</v>
      </c>
      <c r="Y4139">
        <v>-0.26649899999999999</v>
      </c>
      <c r="Z4139">
        <v>-4.9390500000000004E-3</v>
      </c>
      <c r="AA4139">
        <v>0.96382250000000003</v>
      </c>
      <c r="AB4139">
        <v>32</v>
      </c>
      <c r="AC4139">
        <v>-31.869599999999899</v>
      </c>
      <c r="AD4139">
        <v>-1.103242391202</v>
      </c>
      <c r="AE4139">
        <v>-8.44939999999999</v>
      </c>
      <c r="AF4139">
        <v>-8.8626871998253591</v>
      </c>
      <c r="AG4139">
        <v>-1.103242391202</v>
      </c>
      <c r="AH4139">
        <v>31.718864021963501</v>
      </c>
      <c r="AI4139">
        <v>91.918623160042401</v>
      </c>
      <c r="AJ4139">
        <v>105.61109481212399</v>
      </c>
      <c r="AK4139">
        <v>32.9522488309903</v>
      </c>
    </row>
    <row r="4140" spans="1:37" x14ac:dyDescent="0.2">
      <c r="A4140" t="str">
        <f>"20200111155934258"</f>
        <v>20200111155934258</v>
      </c>
      <c r="B4140" t="str">
        <f>"1578729574253919"</f>
        <v>1578729574253919</v>
      </c>
      <c r="C4140" t="s">
        <v>37</v>
      </c>
      <c r="D4140">
        <v>4.8993510000000002</v>
      </c>
      <c r="E4140">
        <v>0.40033020000000002</v>
      </c>
      <c r="F4140" t="s">
        <v>39</v>
      </c>
      <c r="G4140">
        <v>-367.87950000000001</v>
      </c>
      <c r="H4140" s="1">
        <v>-2.4619009999999999E-6</v>
      </c>
      <c r="I4140">
        <v>133.02330000000001</v>
      </c>
      <c r="J4140">
        <v>-336.75150000000002</v>
      </c>
      <c r="K4140">
        <v>1.103192</v>
      </c>
      <c r="L4140">
        <v>141.21600000000001</v>
      </c>
      <c r="M4140">
        <v>-0.9999072</v>
      </c>
      <c r="N4140">
        <v>0</v>
      </c>
      <c r="O4140">
        <v>1.3111630000000001E-2</v>
      </c>
      <c r="P4140">
        <v>-0.9988283</v>
      </c>
      <c r="Q4140">
        <v>4.7293740000000001E-2</v>
      </c>
      <c r="R4140">
        <v>1.027261E-2</v>
      </c>
      <c r="S4140">
        <v>-3.0166019999999998</v>
      </c>
      <c r="T4140">
        <v>-0.105794</v>
      </c>
      <c r="U4140">
        <v>-0.78521730000000001</v>
      </c>
      <c r="V4140">
        <v>-2.8433120000000002E-3</v>
      </c>
      <c r="W4140">
        <v>5.0993549999999999E-2</v>
      </c>
      <c r="X4140">
        <v>0.998695</v>
      </c>
      <c r="Y4140">
        <v>-0.26441189999999998</v>
      </c>
      <c r="Z4140">
        <v>-5.0115689999999996E-3</v>
      </c>
      <c r="AA4140">
        <v>0.96439680000000005</v>
      </c>
      <c r="AB4140">
        <v>32</v>
      </c>
      <c r="AC4140">
        <v>-31.127999999999901</v>
      </c>
      <c r="AD4140">
        <v>-1.1031944619009999</v>
      </c>
      <c r="AE4140">
        <v>-8.1927000000000003</v>
      </c>
      <c r="AF4140">
        <v>-8.5900469217044293</v>
      </c>
      <c r="AG4140">
        <v>-1.1031944619009999</v>
      </c>
      <c r="AH4140">
        <v>30.981510893735901</v>
      </c>
      <c r="AI4140">
        <v>91.965255745381896</v>
      </c>
      <c r="AJ4140">
        <v>105.49676036744</v>
      </c>
      <c r="AK4140">
        <v>32.169239366148098</v>
      </c>
    </row>
    <row r="4141" spans="1:37" x14ac:dyDescent="0.2">
      <c r="A4141" t="str">
        <f>"20200111155934280"</f>
        <v>20200111155934280</v>
      </c>
      <c r="B4141" t="str">
        <f>"1578729574274414"</f>
        <v>1578729574274414</v>
      </c>
      <c r="C4141" t="s">
        <v>37</v>
      </c>
      <c r="D4141">
        <v>4.857926</v>
      </c>
      <c r="E4141">
        <v>0.40097749999999999</v>
      </c>
      <c r="F4141" t="s">
        <v>39</v>
      </c>
      <c r="G4141">
        <v>-367.50389999999999</v>
      </c>
      <c r="H4141" s="1">
        <v>-2.5193440000000001E-6</v>
      </c>
      <c r="I4141">
        <v>133.2877</v>
      </c>
      <c r="J4141">
        <v>-337.07530000000003</v>
      </c>
      <c r="K4141">
        <v>1.1031500000000001</v>
      </c>
      <c r="L4141">
        <v>141.2201</v>
      </c>
      <c r="M4141">
        <v>-0.99991070000000004</v>
      </c>
      <c r="N4141">
        <v>0</v>
      </c>
      <c r="O4141">
        <v>1.292886E-2</v>
      </c>
      <c r="P4141">
        <v>-0.99885369999999996</v>
      </c>
      <c r="Q4141">
        <v>4.6739530000000001E-2</v>
      </c>
      <c r="R4141">
        <v>1.034324E-2</v>
      </c>
      <c r="S4141">
        <v>-3.0166629999999999</v>
      </c>
      <c r="T4141">
        <v>-0.1082183</v>
      </c>
      <c r="U4141">
        <v>-0.77772519999999901</v>
      </c>
      <c r="V4141">
        <v>-2.5896029999999998E-3</v>
      </c>
      <c r="W4141">
        <v>5.0126339999999998E-2</v>
      </c>
      <c r="X4141">
        <v>0.9987395</v>
      </c>
      <c r="Y4141">
        <v>-0.26197959999999998</v>
      </c>
      <c r="Z4141">
        <v>-5.07844099999999E-3</v>
      </c>
      <c r="AA4141">
        <v>0.96506009999999998</v>
      </c>
      <c r="AB4141">
        <v>33</v>
      </c>
      <c r="AC4141">
        <v>-30.4285999999999</v>
      </c>
      <c r="AD4141">
        <v>-1.1031525193439999</v>
      </c>
      <c r="AE4141">
        <v>-7.9324000000000003</v>
      </c>
      <c r="AF4141">
        <v>-8.3149131762972495</v>
      </c>
      <c r="AG4141">
        <v>-1.1031525193439999</v>
      </c>
      <c r="AH4141">
        <v>30.2862259345216</v>
      </c>
      <c r="AI4141">
        <v>92.011660272592295</v>
      </c>
      <c r="AJ4141">
        <v>105.351978812344</v>
      </c>
      <c r="AK4141">
        <v>31.426266211040499</v>
      </c>
    </row>
    <row r="4142" spans="1:37" x14ac:dyDescent="0.2">
      <c r="A4142" t="str">
        <f>"20200111155934304"</f>
        <v>20200111155934304</v>
      </c>
      <c r="B4142" t="str">
        <f>"1578729574294442"</f>
        <v>1578729574294442</v>
      </c>
      <c r="C4142" t="s">
        <v>37</v>
      </c>
      <c r="D4142">
        <v>4.8139019999999997</v>
      </c>
      <c r="E4142">
        <v>0.40150180000000002</v>
      </c>
      <c r="F4142" t="s">
        <v>39</v>
      </c>
      <c r="G4142">
        <v>-367.12729999999999</v>
      </c>
      <c r="H4142" s="1">
        <v>-2.5842429999999999E-6</v>
      </c>
      <c r="I4142">
        <v>133.52549999999999</v>
      </c>
      <c r="J4142">
        <v>-337.42469999999997</v>
      </c>
      <c r="K4142">
        <v>1.1031040000000001</v>
      </c>
      <c r="L4142">
        <v>141.22450000000001</v>
      </c>
      <c r="M4142">
        <v>-0.99991430000000003</v>
      </c>
      <c r="N4142">
        <v>0</v>
      </c>
      <c r="O4142">
        <v>1.2735659999999999E-2</v>
      </c>
      <c r="P4142">
        <v>-0.9988494</v>
      </c>
      <c r="Q4142">
        <v>4.6822269999999999E-2</v>
      </c>
      <c r="R4142">
        <v>1.038962E-2</v>
      </c>
      <c r="S4142">
        <v>-3.016632</v>
      </c>
      <c r="T4142">
        <v>-0.11073479999999999</v>
      </c>
      <c r="U4142">
        <v>-0.77238459999999998</v>
      </c>
      <c r="V4142">
        <v>-2.3496070000000001E-3</v>
      </c>
      <c r="W4142">
        <v>4.9899649999999997E-2</v>
      </c>
      <c r="X4142">
        <v>0.99875149999999902</v>
      </c>
      <c r="Y4142">
        <v>-0.26018560000000002</v>
      </c>
      <c r="Z4142">
        <v>-5.1582599999999996E-3</v>
      </c>
      <c r="AA4142">
        <v>0.96554490000000004</v>
      </c>
      <c r="AB4142">
        <v>33</v>
      </c>
      <c r="AC4142">
        <v>-29.7026</v>
      </c>
      <c r="AD4142">
        <v>-1.1031065842429999</v>
      </c>
      <c r="AE4142">
        <v>-7.6990000000000096</v>
      </c>
      <c r="AF4142">
        <v>-8.0662345304533591</v>
      </c>
      <c r="AG4142">
        <v>-1.1031065842429999</v>
      </c>
      <c r="AH4142">
        <v>29.5639295411627</v>
      </c>
      <c r="AI4142">
        <v>92.061574380941295</v>
      </c>
      <c r="AJ4142">
        <v>105.261151815533</v>
      </c>
      <c r="AK4142">
        <v>30.6644242331617</v>
      </c>
    </row>
    <row r="4143" spans="1:37" x14ac:dyDescent="0.2">
      <c r="A4143" t="str">
        <f>"20200111155934325"</f>
        <v>20200111155934325</v>
      </c>
      <c r="B4143" t="str">
        <f>"1578729574313963"</f>
        <v>1578729574313963</v>
      </c>
      <c r="C4143" t="s">
        <v>37</v>
      </c>
      <c r="D4143">
        <v>4.6683120000000002</v>
      </c>
      <c r="E4143">
        <v>0.40170009999999901</v>
      </c>
      <c r="F4143" t="s">
        <v>39</v>
      </c>
      <c r="G4143">
        <v>-367.5421</v>
      </c>
      <c r="H4143" s="1">
        <v>-2.435255E-6</v>
      </c>
      <c r="I4143">
        <v>133.5549</v>
      </c>
      <c r="J4143">
        <v>-337.7396</v>
      </c>
      <c r="K4143">
        <v>1.1030799999999901</v>
      </c>
      <c r="L4143">
        <v>141.22829999999999</v>
      </c>
      <c r="M4143">
        <v>-0.99991719999999895</v>
      </c>
      <c r="N4143">
        <v>0</v>
      </c>
      <c r="O4143">
        <v>1.256401E-2</v>
      </c>
      <c r="P4143">
        <v>-0.99882660000000001</v>
      </c>
      <c r="Q4143">
        <v>4.7245349999999998E-2</v>
      </c>
      <c r="R4143">
        <v>1.0668779999999999E-2</v>
      </c>
      <c r="S4143">
        <v>-3.0166629999999999</v>
      </c>
      <c r="T4143">
        <v>-0.11049109999999999</v>
      </c>
      <c r="U4143">
        <v>-0.76820369999999905</v>
      </c>
      <c r="V4143">
        <v>-1.899066E-3</v>
      </c>
      <c r="W4143">
        <v>5.0073010000000001E-2</v>
      </c>
      <c r="X4143">
        <v>0.99874379999999996</v>
      </c>
      <c r="Y4143">
        <v>-0.25876260000000001</v>
      </c>
      <c r="Z4143">
        <v>-5.1158970000000003E-3</v>
      </c>
      <c r="AA4143">
        <v>0.96592739999999999</v>
      </c>
      <c r="AB4143">
        <v>33</v>
      </c>
      <c r="AC4143">
        <v>-29.802499999999998</v>
      </c>
      <c r="AD4143">
        <v>-1.1030824352549999</v>
      </c>
      <c r="AE4143">
        <v>-7.6733999999999796</v>
      </c>
      <c r="AF4143">
        <v>-8.0369089084513892</v>
      </c>
      <c r="AG4143">
        <v>-1.1030824352549999</v>
      </c>
      <c r="AH4143">
        <v>29.665624369769699</v>
      </c>
      <c r="AI4143">
        <v>92.055468372461206</v>
      </c>
      <c r="AJ4143">
        <v>105.158510628336</v>
      </c>
      <c r="AK4143">
        <v>30.754803932231301</v>
      </c>
    </row>
    <row r="4144" spans="1:37" x14ac:dyDescent="0.2">
      <c r="A4144" t="str">
        <f>"20200111155934347"</f>
        <v>20200111155934347</v>
      </c>
      <c r="B4144" t="str">
        <f>"1578729574344220"</f>
        <v>1578729574344220</v>
      </c>
      <c r="C4144" t="s">
        <v>37</v>
      </c>
      <c r="D4144">
        <v>4.7750260000000004</v>
      </c>
      <c r="E4144">
        <v>0.40229929999999903</v>
      </c>
      <c r="F4144" t="s">
        <v>39</v>
      </c>
      <c r="G4144">
        <v>-368.1302</v>
      </c>
      <c r="H4144" s="1">
        <v>-2.2462179999999998E-6</v>
      </c>
      <c r="I4144">
        <v>133.51320000000001</v>
      </c>
      <c r="J4144">
        <v>-338.06639999999999</v>
      </c>
      <c r="K4144">
        <v>1.103056</v>
      </c>
      <c r="L4144">
        <v>141.23230000000001</v>
      </c>
      <c r="M4144">
        <v>-0.99992000000000003</v>
      </c>
      <c r="N4144">
        <v>0</v>
      </c>
      <c r="O4144">
        <v>1.2387810000000001E-2</v>
      </c>
      <c r="P4144">
        <v>-0.99877340000000003</v>
      </c>
      <c r="Q4144">
        <v>4.8272990000000002E-2</v>
      </c>
      <c r="R4144">
        <v>1.103386E-2</v>
      </c>
      <c r="S4144">
        <v>-3.0168459999999899</v>
      </c>
      <c r="T4144">
        <v>-0.1095018</v>
      </c>
      <c r="U4144">
        <v>-0.76586909999999997</v>
      </c>
      <c r="V4144">
        <v>-1.357528E-3</v>
      </c>
      <c r="W4144">
        <v>5.0873069999999999E-2</v>
      </c>
      <c r="X4144">
        <v>0.99870419999999904</v>
      </c>
      <c r="Y4144">
        <v>-0.2578799</v>
      </c>
      <c r="Z4144">
        <v>-5.0482349999999999E-3</v>
      </c>
      <c r="AA4144">
        <v>0.96616380000000002</v>
      </c>
      <c r="AB4144">
        <v>33</v>
      </c>
      <c r="AC4144">
        <v>-30.063800000000001</v>
      </c>
      <c r="AD4144">
        <v>-1.1030582462180001</v>
      </c>
      <c r="AE4144">
        <v>-7.7190999999999903</v>
      </c>
      <c r="AF4144">
        <v>-8.0807280784315605</v>
      </c>
      <c r="AG4144">
        <v>-1.1030582462180001</v>
      </c>
      <c r="AH4144">
        <v>29.928072711631302</v>
      </c>
      <c r="AI4144">
        <v>92.037881712498006</v>
      </c>
      <c r="AJ4144">
        <v>105.10984000494901</v>
      </c>
      <c r="AK4144">
        <v>31.019420368614099</v>
      </c>
    </row>
    <row r="4145" spans="1:37" x14ac:dyDescent="0.2">
      <c r="A4145" t="str">
        <f>"20200111155934369"</f>
        <v>20200111155934369</v>
      </c>
      <c r="B4145" t="str">
        <f>"1578729574364716"</f>
        <v>1578729574364716</v>
      </c>
      <c r="C4145" t="s">
        <v>37</v>
      </c>
      <c r="D4145">
        <v>4.815194</v>
      </c>
      <c r="E4145">
        <v>0.40265309999999999</v>
      </c>
      <c r="F4145" t="s">
        <v>39</v>
      </c>
      <c r="G4145">
        <v>-369.45499999999998</v>
      </c>
      <c r="H4145" s="1">
        <v>-1.845294E-6</v>
      </c>
      <c r="I4145">
        <v>133.32560000000001</v>
      </c>
      <c r="J4145">
        <v>-338.40469999999999</v>
      </c>
      <c r="K4145">
        <v>1.1030309999999901</v>
      </c>
      <c r="L4145">
        <v>141.2363</v>
      </c>
      <c r="M4145">
        <v>-0.9999228</v>
      </c>
      <c r="N4145">
        <v>0</v>
      </c>
      <c r="O4145">
        <v>1.220685E-2</v>
      </c>
      <c r="P4145">
        <v>-0.99874110000000005</v>
      </c>
      <c r="Q4145">
        <v>4.891214E-2</v>
      </c>
      <c r="R4145">
        <v>1.113313E-2</v>
      </c>
      <c r="S4145">
        <v>-3.0172119999999998</v>
      </c>
      <c r="T4145">
        <v>-0.1060309</v>
      </c>
      <c r="U4145">
        <v>-0.76002499999999995</v>
      </c>
      <c r="V4145">
        <v>-1.0770109999999999E-3</v>
      </c>
      <c r="W4145">
        <v>5.1305480000000001E-2</v>
      </c>
      <c r="X4145">
        <v>0.99868239999999997</v>
      </c>
      <c r="Y4145">
        <v>-0.25592919999999902</v>
      </c>
      <c r="Z4145">
        <v>-4.8488749999999999E-3</v>
      </c>
      <c r="AA4145">
        <v>0.96668339999999997</v>
      </c>
      <c r="AB4145">
        <v>33</v>
      </c>
      <c r="AC4145">
        <v>-31.0503</v>
      </c>
      <c r="AD4145">
        <v>-1.1030328452939999</v>
      </c>
      <c r="AE4145">
        <v>-7.9106999999999896</v>
      </c>
      <c r="AF4145">
        <v>-8.2793266372270296</v>
      </c>
      <c r="AG4145">
        <v>-1.1030328452939999</v>
      </c>
      <c r="AH4145">
        <v>30.9147862797826</v>
      </c>
      <c r="AI4145">
        <v>91.973929842951307</v>
      </c>
      <c r="AJ4145">
        <v>104.99262407130399</v>
      </c>
      <c r="AK4145">
        <v>32.023240650320297</v>
      </c>
    </row>
    <row r="4146" spans="1:37" x14ac:dyDescent="0.2">
      <c r="A4146" t="str">
        <f>"20200111155934392"</f>
        <v>20200111155934392</v>
      </c>
      <c r="B4146" t="str">
        <f>"1578729574384514"</f>
        <v>1578729574384514</v>
      </c>
      <c r="C4146" t="s">
        <v>37</v>
      </c>
      <c r="D4146">
        <v>4.7668499999999998</v>
      </c>
      <c r="E4146">
        <v>0.4030318</v>
      </c>
      <c r="F4146" t="s">
        <v>39</v>
      </c>
      <c r="G4146">
        <v>-370.40550000000002</v>
      </c>
      <c r="H4146" s="1">
        <v>-5.2349039999999997E-6</v>
      </c>
      <c r="I4146">
        <v>133.20869999999999</v>
      </c>
      <c r="J4146">
        <v>-338.74990000000003</v>
      </c>
      <c r="K4146">
        <v>1.10301</v>
      </c>
      <c r="L4146">
        <v>141.24039999999999</v>
      </c>
      <c r="M4146">
        <v>-0.99992539999999996</v>
      </c>
      <c r="N4146">
        <v>0</v>
      </c>
      <c r="O4146">
        <v>1.2022740000000001E-2</v>
      </c>
      <c r="P4146">
        <v>-0.99870680000000001</v>
      </c>
      <c r="Q4146">
        <v>4.9580949999999999E-2</v>
      </c>
      <c r="R4146">
        <v>1.126157E-2</v>
      </c>
      <c r="S4146">
        <v>-3.0172729999999999</v>
      </c>
      <c r="T4146">
        <v>-0.1040025</v>
      </c>
      <c r="U4146">
        <v>-0.75689700000000004</v>
      </c>
      <c r="V4146">
        <v>-7.6507429999999905E-4</v>
      </c>
      <c r="W4146">
        <v>5.1792629999999999E-2</v>
      </c>
      <c r="X4146">
        <v>0.99865759999999903</v>
      </c>
      <c r="Y4146">
        <v>-0.2548105</v>
      </c>
      <c r="Z4146">
        <v>-4.7314330000000002E-3</v>
      </c>
      <c r="AA4146">
        <v>0.96697939999999905</v>
      </c>
      <c r="AB4146">
        <v>34</v>
      </c>
      <c r="AC4146">
        <v>-31.6556</v>
      </c>
      <c r="AD4146">
        <v>-1.1030152349040001</v>
      </c>
      <c r="AE4146">
        <v>-8.0317000000000007</v>
      </c>
      <c r="AF4146">
        <v>-8.4021232188797992</v>
      </c>
      <c r="AG4146">
        <v>-1.1030152349040001</v>
      </c>
      <c r="AH4146">
        <v>31.520793352312499</v>
      </c>
      <c r="AI4146">
        <v>91.936582707948801</v>
      </c>
      <c r="AJ4146">
        <v>104.925610316614</v>
      </c>
      <c r="AK4146">
        <v>32.640047958801397</v>
      </c>
    </row>
    <row r="4147" spans="1:37" x14ac:dyDescent="0.2">
      <c r="A4147" t="str">
        <f>"20200111155934408"</f>
        <v>20200111155934408</v>
      </c>
      <c r="B4147" t="str">
        <f>"1578729574404035"</f>
        <v>1578729574404035</v>
      </c>
      <c r="C4147" t="s">
        <v>37</v>
      </c>
      <c r="D4147">
        <v>4.5465419999999996</v>
      </c>
      <c r="E4147">
        <v>0.40315269999999997</v>
      </c>
      <c r="F4147" t="s">
        <v>39</v>
      </c>
      <c r="G4147">
        <v>-371.33030000000002</v>
      </c>
      <c r="H4147" s="1">
        <v>-4.8564249999999998E-6</v>
      </c>
      <c r="I4147">
        <v>133.10570000000001</v>
      </c>
      <c r="J4147">
        <v>-339.00049999999999</v>
      </c>
      <c r="K4147">
        <v>1.1029959999999901</v>
      </c>
      <c r="L4147">
        <v>141.2433</v>
      </c>
      <c r="M4147">
        <v>-0.99992719999999902</v>
      </c>
      <c r="N4147">
        <v>0</v>
      </c>
      <c r="O4147">
        <v>1.1889490000000001E-2</v>
      </c>
      <c r="P4147">
        <v>-0.99869660000000005</v>
      </c>
      <c r="Q4147">
        <v>4.9765650000000002E-2</v>
      </c>
      <c r="R4147">
        <v>1.1324209999999999E-2</v>
      </c>
      <c r="S4147">
        <v>-3.017487</v>
      </c>
      <c r="T4147">
        <v>-0.1021575</v>
      </c>
      <c r="U4147">
        <v>-0.75340269999999898</v>
      </c>
      <c r="V4147">
        <v>-5.6935510000000005E-4</v>
      </c>
      <c r="W4147">
        <v>5.1861199999999899E-2</v>
      </c>
      <c r="X4147">
        <v>0.99865409999999899</v>
      </c>
      <c r="Y4147">
        <v>-0.25361739999999999</v>
      </c>
      <c r="Z4147">
        <v>-4.6235369999999996E-3</v>
      </c>
      <c r="AA4147">
        <v>0.96729359999999998</v>
      </c>
      <c r="AB4147">
        <v>34</v>
      </c>
      <c r="AC4147">
        <v>-32.329799999999999</v>
      </c>
      <c r="AD4147">
        <v>-1.10300085642499</v>
      </c>
      <c r="AE4147">
        <v>-8.1375999999999902</v>
      </c>
      <c r="AF4147">
        <v>-8.5120928737449795</v>
      </c>
      <c r="AG4147">
        <v>-1.10300085642499</v>
      </c>
      <c r="AH4147">
        <v>32.1955205629707</v>
      </c>
      <c r="AI4147">
        <v>91.897022797793497</v>
      </c>
      <c r="AJ4147">
        <v>104.809430634405</v>
      </c>
      <c r="AK4147">
        <v>33.320022213396001</v>
      </c>
    </row>
    <row r="4148" spans="1:37" x14ac:dyDescent="0.2">
      <c r="A4148" t="str">
        <f>"20200111155934426"</f>
        <v>20200111155934426</v>
      </c>
      <c r="B4148" t="str">
        <f>"1578729574413795"</f>
        <v>1578729574413795</v>
      </c>
      <c r="C4148" t="s">
        <v>37</v>
      </c>
      <c r="D4148">
        <v>4.1180510000000004</v>
      </c>
      <c r="E4148">
        <v>0.40276999999999902</v>
      </c>
      <c r="F4148" t="s">
        <v>39</v>
      </c>
      <c r="G4148">
        <v>-371.67680000000001</v>
      </c>
      <c r="H4148" s="1">
        <v>-4.7092770000000004E-6</v>
      </c>
      <c r="I4148">
        <v>133.09739999999999</v>
      </c>
      <c r="J4148">
        <v>-339.26589999999999</v>
      </c>
      <c r="K4148">
        <v>1.102986</v>
      </c>
      <c r="L4148">
        <v>141.24639999999999</v>
      </c>
      <c r="M4148">
        <v>-0.99992899999999996</v>
      </c>
      <c r="N4148">
        <v>0</v>
      </c>
      <c r="O4148">
        <v>1.1748710000000001E-2</v>
      </c>
      <c r="P4148">
        <v>-0.99869259999999904</v>
      </c>
      <c r="Q4148">
        <v>4.985726E-2</v>
      </c>
      <c r="R4148">
        <v>1.128143E-2</v>
      </c>
      <c r="S4148">
        <v>-3.0175480000000001</v>
      </c>
      <c r="T4148">
        <v>-0.101858899999999</v>
      </c>
      <c r="U4148">
        <v>-0.75224299999999999</v>
      </c>
      <c r="V4148">
        <v>-4.712594E-4</v>
      </c>
      <c r="W4148">
        <v>5.1844059999999997E-2</v>
      </c>
      <c r="X4148">
        <v>0.99865509999999902</v>
      </c>
      <c r="Y4148">
        <v>-0.25312779999999901</v>
      </c>
      <c r="Z4148">
        <v>-4.5973300000000002E-3</v>
      </c>
      <c r="AA4148">
        <v>0.96742189999999995</v>
      </c>
      <c r="AB4148">
        <v>34</v>
      </c>
      <c r="AC4148">
        <v>-32.410899999999998</v>
      </c>
      <c r="AD4148">
        <v>-1.1029907092769999</v>
      </c>
      <c r="AE4148">
        <v>-8.1489999999999991</v>
      </c>
      <c r="AF4148">
        <v>-8.5199439698189998</v>
      </c>
      <c r="AG4148">
        <v>-1.1029907092769999</v>
      </c>
      <c r="AH4148">
        <v>32.277763048371298</v>
      </c>
      <c r="AI4148">
        <v>91.892376357050196</v>
      </c>
      <c r="AJ4148">
        <v>104.786378491672</v>
      </c>
      <c r="AK4148">
        <v>33.401497289199597</v>
      </c>
    </row>
    <row r="4149" spans="1:37" x14ac:dyDescent="0.2">
      <c r="A4149" t="str">
        <f>"20200111155934447"</f>
        <v>20200111155934447</v>
      </c>
      <c r="B4149" t="str">
        <f>"1578729574444050"</f>
        <v>1578729574444050</v>
      </c>
      <c r="C4149" t="s">
        <v>37</v>
      </c>
      <c r="D4149">
        <v>4.894908</v>
      </c>
      <c r="E4149">
        <v>0.40432779999999902</v>
      </c>
      <c r="F4149" t="s">
        <v>39</v>
      </c>
      <c r="G4149">
        <v>-372.25990000000002</v>
      </c>
      <c r="H4149" s="1">
        <v>-4.4784059999999999E-6</v>
      </c>
      <c r="I4149">
        <v>132.98849999999999</v>
      </c>
      <c r="J4149">
        <v>-339.60050000000001</v>
      </c>
      <c r="K4149">
        <v>1.1029690000000001</v>
      </c>
      <c r="L4149">
        <v>141.25020000000001</v>
      </c>
      <c r="M4149">
        <v>-0.99993129999999997</v>
      </c>
      <c r="N4149">
        <v>0</v>
      </c>
      <c r="O4149">
        <v>1.157098E-2</v>
      </c>
      <c r="P4149">
        <v>-0.99868690000000004</v>
      </c>
      <c r="Q4149">
        <v>5.007064E-2</v>
      </c>
      <c r="R4149">
        <v>1.0842930000000001E-2</v>
      </c>
      <c r="S4149">
        <v>-3.017487</v>
      </c>
      <c r="T4149">
        <v>-0.1008747</v>
      </c>
      <c r="U4149">
        <v>-0.75521850000000001</v>
      </c>
      <c r="V4149">
        <v>-7.3268729999999998E-4</v>
      </c>
      <c r="W4149">
        <v>5.1941199999999903E-2</v>
      </c>
      <c r="X4149">
        <v>0.99864989999999998</v>
      </c>
      <c r="Y4149">
        <v>-0.25386069999999999</v>
      </c>
      <c r="Z4149">
        <v>-4.5586960000000001E-3</v>
      </c>
      <c r="AA4149">
        <v>0.96722999999999903</v>
      </c>
      <c r="AB4149">
        <v>34</v>
      </c>
      <c r="AC4149">
        <v>-32.659399999999998</v>
      </c>
      <c r="AD4149">
        <v>-1.1029734784059999</v>
      </c>
      <c r="AE4149">
        <v>-8.26170000000001</v>
      </c>
      <c r="AF4149">
        <v>-8.6297981028167392</v>
      </c>
      <c r="AG4149">
        <v>-1.1029734784059999</v>
      </c>
      <c r="AH4149">
        <v>32.526750308562498</v>
      </c>
      <c r="AI4149">
        <v>91.877242028323906</v>
      </c>
      <c r="AJ4149">
        <v>104.859029323109</v>
      </c>
      <c r="AK4149">
        <v>33.670156688453602</v>
      </c>
    </row>
    <row r="4150" spans="1:37" x14ac:dyDescent="0.2">
      <c r="A4150" t="str">
        <f>"20200111155934471"</f>
        <v>20200111155934471</v>
      </c>
      <c r="B4150" t="str">
        <f>"1578729574464546"</f>
        <v>1578729574464546</v>
      </c>
      <c r="C4150" t="s">
        <v>37</v>
      </c>
      <c r="D4150">
        <v>4.918247</v>
      </c>
      <c r="E4150">
        <v>0.4659317</v>
      </c>
      <c r="F4150" t="s">
        <v>39</v>
      </c>
      <c r="G4150">
        <v>-375.03579999999999</v>
      </c>
      <c r="H4150" s="1">
        <v>-3.5655119999999999E-6</v>
      </c>
      <c r="I4150">
        <v>132.51249999999999</v>
      </c>
      <c r="J4150">
        <v>-339.95460000000003</v>
      </c>
      <c r="K4150">
        <v>1.1029530000000001</v>
      </c>
      <c r="L4150">
        <v>141.25409999999999</v>
      </c>
      <c r="M4150">
        <v>-0.99993369999999904</v>
      </c>
      <c r="N4150">
        <v>0</v>
      </c>
      <c r="O4150">
        <v>1.1383519999999999E-2</v>
      </c>
      <c r="P4150">
        <v>-0.99869379999999996</v>
      </c>
      <c r="Q4150">
        <v>5.0053029999999998E-2</v>
      </c>
      <c r="R4150">
        <v>1.0285229999999999E-2</v>
      </c>
      <c r="S4150">
        <v>-3.0166930000000001</v>
      </c>
      <c r="T4150">
        <v>-9.3898770000000006E-2</v>
      </c>
      <c r="U4150">
        <v>-0.74385069999999998</v>
      </c>
      <c r="V4150">
        <v>-1.1031719999999999E-3</v>
      </c>
      <c r="W4150">
        <v>5.1822149999999997E-2</v>
      </c>
      <c r="X4150">
        <v>0.99865569999999904</v>
      </c>
      <c r="Y4150">
        <v>-0.25032489999999902</v>
      </c>
      <c r="Z4150">
        <v>-4.1866179999999996E-3</v>
      </c>
      <c r="AA4150">
        <v>0.96815280000000004</v>
      </c>
      <c r="AB4150">
        <v>34</v>
      </c>
      <c r="AC4150">
        <v>-35.081199999999903</v>
      </c>
      <c r="AD4150">
        <v>-1.1029565655119999</v>
      </c>
      <c r="AE4150">
        <v>-8.7416</v>
      </c>
      <c r="AF4150">
        <v>-9.1318827651663792</v>
      </c>
      <c r="AG4150">
        <v>-1.1029565655119999</v>
      </c>
      <c r="AH4150">
        <v>34.946891809995201</v>
      </c>
      <c r="AI4150">
        <v>91.7490196544545</v>
      </c>
      <c r="AJ4150">
        <v>104.644361193983</v>
      </c>
      <c r="AK4150">
        <v>36.137142155982097</v>
      </c>
    </row>
    <row r="4151" spans="1:37" x14ac:dyDescent="0.2">
      <c r="A4151" t="str">
        <f>"20200111155934492"</f>
        <v>20200111155934492</v>
      </c>
      <c r="B4151" t="str">
        <f>"1578729574484449"</f>
        <v>1578729574484449</v>
      </c>
      <c r="C4151" t="s">
        <v>37</v>
      </c>
      <c r="D4151">
        <v>4.8476559999999997</v>
      </c>
      <c r="E4151">
        <v>0.46536430000000001</v>
      </c>
      <c r="F4151" t="s">
        <v>39</v>
      </c>
      <c r="G4151">
        <v>-377.233</v>
      </c>
      <c r="H4151" s="1">
        <v>-1.435381E-6</v>
      </c>
      <c r="I4151">
        <v>138.1165</v>
      </c>
      <c r="J4151">
        <v>-340.29860000000002</v>
      </c>
      <c r="K4151">
        <v>1.10294</v>
      </c>
      <c r="L4151">
        <v>141.2578</v>
      </c>
      <c r="M4151">
        <v>-0.99993589999999999</v>
      </c>
      <c r="N4151">
        <v>0</v>
      </c>
      <c r="O4151">
        <v>1.1201920000000001E-2</v>
      </c>
      <c r="P4151">
        <v>-0.99869079999999999</v>
      </c>
      <c r="Q4151">
        <v>5.0275779999999999E-2</v>
      </c>
      <c r="R4151">
        <v>9.4473219999999993E-3</v>
      </c>
      <c r="S4151">
        <v>-3.0109859999999999</v>
      </c>
      <c r="T4151">
        <v>-8.9085940000000002E-2</v>
      </c>
      <c r="U4151">
        <v>-0.25341799999999998</v>
      </c>
      <c r="V4151">
        <v>-1.7598339999999901E-3</v>
      </c>
      <c r="W4151">
        <v>5.1964070000000001E-2</v>
      </c>
      <c r="X4151">
        <v>0.99864739999999996</v>
      </c>
      <c r="Y4151">
        <v>-9.4978980000000005E-2</v>
      </c>
      <c r="Z4151">
        <v>-1.73309299999999E-3</v>
      </c>
      <c r="AA4151">
        <v>0.99547779999999997</v>
      </c>
      <c r="AB4151">
        <v>35</v>
      </c>
      <c r="AC4151">
        <v>-36.934399999999897</v>
      </c>
      <c r="AD4151">
        <v>-1.1029414353810001</v>
      </c>
      <c r="AE4151">
        <v>-3.1413000000000002</v>
      </c>
      <c r="AF4151">
        <v>-3.5516951827222498</v>
      </c>
      <c r="AG4151">
        <v>-1.1029414353810001</v>
      </c>
      <c r="AH4151">
        <v>36.8642563733857</v>
      </c>
      <c r="AI4151">
        <v>91.705826716892005</v>
      </c>
      <c r="AJ4151">
        <v>95.503189274626493</v>
      </c>
      <c r="AK4151">
        <v>37.051375365073298</v>
      </c>
    </row>
    <row r="4152" spans="1:37" x14ac:dyDescent="0.2">
      <c r="A4152" t="str">
        <f>"20200111155934525"</f>
        <v>20200111155934525</v>
      </c>
      <c r="B4152" t="str">
        <f>"1578729574513732"</f>
        <v>1578729574513732</v>
      </c>
      <c r="C4152" t="s">
        <v>37</v>
      </c>
      <c r="D4152">
        <v>5.2088679999999998</v>
      </c>
      <c r="E4152">
        <v>0.46583439999999998</v>
      </c>
      <c r="F4152" t="s">
        <v>39</v>
      </c>
      <c r="G4152">
        <v>-382.00119999999998</v>
      </c>
      <c r="H4152" s="1">
        <v>-3.761727E-6</v>
      </c>
      <c r="I4152">
        <v>137.65459999999999</v>
      </c>
      <c r="J4152">
        <v>-340.80950000000001</v>
      </c>
      <c r="K4152">
        <v>1.102911</v>
      </c>
      <c r="L4152">
        <v>141.26339999999999</v>
      </c>
      <c r="M4152">
        <v>-0.99993909999999997</v>
      </c>
      <c r="N4152">
        <v>0</v>
      </c>
      <c r="O4152">
        <v>1.093206E-2</v>
      </c>
      <c r="P4152">
        <v>-0.99869419999999898</v>
      </c>
      <c r="Q4152">
        <v>5.0281430000000002E-2</v>
      </c>
      <c r="R4152">
        <v>9.0357430000000006E-3</v>
      </c>
      <c r="S4152">
        <v>-3.0104060000000001</v>
      </c>
      <c r="T4152">
        <v>-7.9618809999999998E-2</v>
      </c>
      <c r="U4152">
        <v>-0.26010129999999998</v>
      </c>
      <c r="V4152">
        <v>-1.9022239999999899E-3</v>
      </c>
      <c r="W4152">
        <v>5.1876909999999998E-2</v>
      </c>
      <c r="X4152">
        <v>0.99865170000000003</v>
      </c>
      <c r="Y4152">
        <v>-9.6928940000000005E-2</v>
      </c>
      <c r="Z4152">
        <v>-1.5677479999999899E-3</v>
      </c>
      <c r="AA4152">
        <v>0.99529000000000001</v>
      </c>
      <c r="AB4152">
        <v>35</v>
      </c>
      <c r="AC4152">
        <v>-41.191699999999898</v>
      </c>
      <c r="AD4152">
        <v>-1.1029147617270001</v>
      </c>
      <c r="AE4152">
        <v>-3.6088</v>
      </c>
      <c r="AF4152">
        <v>-4.0560093562348296</v>
      </c>
      <c r="AG4152">
        <v>-1.1029147617270001</v>
      </c>
      <c r="AH4152">
        <v>41.120531687864599</v>
      </c>
      <c r="AI4152">
        <v>91.528974629126196</v>
      </c>
      <c r="AJ4152">
        <v>95.633266601783802</v>
      </c>
      <c r="AK4152">
        <v>41.334800824029301</v>
      </c>
    </row>
    <row r="4153" spans="1:37" x14ac:dyDescent="0.2">
      <c r="A4153" t="str">
        <f>"20200111155934547"</f>
        <v>20200111155934547</v>
      </c>
      <c r="B4153" t="str">
        <f>"1578729574543986"</f>
        <v>1578729574543986</v>
      </c>
      <c r="C4153" t="s">
        <v>37</v>
      </c>
      <c r="D4153">
        <v>5.019933</v>
      </c>
      <c r="E4153">
        <v>0.46479039999999999</v>
      </c>
      <c r="F4153" t="s">
        <v>39</v>
      </c>
      <c r="G4153">
        <v>-387.96910000000003</v>
      </c>
      <c r="H4153" s="1">
        <v>-1.310806E-6</v>
      </c>
      <c r="I4153">
        <v>137.23490000000001</v>
      </c>
      <c r="J4153">
        <v>-341.16180000000003</v>
      </c>
      <c r="K4153">
        <v>1.1029009999999999</v>
      </c>
      <c r="L4153">
        <v>141.267</v>
      </c>
      <c r="M4153">
        <v>-0.99994110000000003</v>
      </c>
      <c r="N4153">
        <v>0</v>
      </c>
      <c r="O4153">
        <v>1.074667E-2</v>
      </c>
      <c r="P4153">
        <v>-0.9987144</v>
      </c>
      <c r="Q4153">
        <v>4.9966139999999999E-2</v>
      </c>
      <c r="R4153">
        <v>8.5475989999999995E-3</v>
      </c>
      <c r="S4153">
        <v>-3.0097659999999999</v>
      </c>
      <c r="T4153">
        <v>-7.0389030000000005E-2</v>
      </c>
      <c r="U4153">
        <v>-0.25709529999999903</v>
      </c>
      <c r="V4153">
        <v>-2.2055999999999998E-3</v>
      </c>
      <c r="W4153">
        <v>5.1516430000000002E-2</v>
      </c>
      <c r="X4153">
        <v>0.99866969999999999</v>
      </c>
      <c r="Y4153">
        <v>-9.5784279999999999E-2</v>
      </c>
      <c r="Z4153">
        <v>-1.368726E-3</v>
      </c>
      <c r="AA4153">
        <v>0.99540119999999899</v>
      </c>
      <c r="AB4153">
        <v>35</v>
      </c>
      <c r="AC4153">
        <v>-46.807299999999998</v>
      </c>
      <c r="AD4153">
        <v>-1.1029023108060001</v>
      </c>
      <c r="AE4153">
        <v>-4.0320999999999803</v>
      </c>
      <c r="AF4153">
        <v>-4.5323925095572797</v>
      </c>
      <c r="AG4153">
        <v>-1.1029023108060001</v>
      </c>
      <c r="AH4153">
        <v>46.735509031548801</v>
      </c>
      <c r="AI4153">
        <v>91.345550851991803</v>
      </c>
      <c r="AJ4153">
        <v>95.539201516260505</v>
      </c>
      <c r="AK4153">
        <v>46.9677206153955</v>
      </c>
    </row>
    <row r="4154" spans="1:37" x14ac:dyDescent="0.2">
      <c r="A4154" t="str">
        <f>"20200111155934571"</f>
        <v>20200111155934571</v>
      </c>
      <c r="B4154" t="str">
        <f>"1578729574564481"</f>
        <v>1578729574564481</v>
      </c>
      <c r="C4154" t="s">
        <v>37</v>
      </c>
      <c r="D4154">
        <v>4.8946930000000002</v>
      </c>
      <c r="E4154">
        <v>0.46415010000000001</v>
      </c>
      <c r="F4154" t="s">
        <v>39</v>
      </c>
      <c r="G4154">
        <v>-383.62650000000002</v>
      </c>
      <c r="H4154" s="1">
        <v>-3.092452E-6</v>
      </c>
      <c r="I4154">
        <v>137.49680000000001</v>
      </c>
      <c r="J4154">
        <v>-341.52330000000001</v>
      </c>
      <c r="K4154">
        <v>1.1028879999999901</v>
      </c>
      <c r="L4154">
        <v>141.27080000000001</v>
      </c>
      <c r="M4154">
        <v>-0.99994329999999998</v>
      </c>
      <c r="N4154">
        <v>0</v>
      </c>
      <c r="O4154">
        <v>1.0556029999999999E-2</v>
      </c>
      <c r="P4154">
        <v>-0.99873040000000002</v>
      </c>
      <c r="Q4154">
        <v>4.9702530000000002E-2</v>
      </c>
      <c r="R4154">
        <v>8.222643E-3</v>
      </c>
      <c r="S4154">
        <v>-3.0101009999999899</v>
      </c>
      <c r="T4154">
        <v>-7.8179120000000005E-2</v>
      </c>
      <c r="U4154">
        <v>-0.26724239999999999</v>
      </c>
      <c r="V4154">
        <v>-2.339926E-3</v>
      </c>
      <c r="W4154">
        <v>5.1218800000000002E-2</v>
      </c>
      <c r="X4154">
        <v>0.99868469999999998</v>
      </c>
      <c r="Y4154">
        <v>-9.8907149999999999E-2</v>
      </c>
      <c r="Z4154">
        <v>-1.5552929999999999E-3</v>
      </c>
      <c r="AA4154">
        <v>0.99509539999999996</v>
      </c>
      <c r="AB4154">
        <v>35</v>
      </c>
      <c r="AC4154">
        <v>-42.103200000000001</v>
      </c>
      <c r="AD4154">
        <v>-1.1028910924519999</v>
      </c>
      <c r="AE4154">
        <v>-3.774</v>
      </c>
      <c r="AF4154">
        <v>-4.2153633823076504</v>
      </c>
      <c r="AG4154">
        <v>-1.1028910924519999</v>
      </c>
      <c r="AH4154">
        <v>42.032403952037001</v>
      </c>
      <c r="AI4154">
        <v>91.495544288629503</v>
      </c>
      <c r="AJ4154">
        <v>95.726954303801705</v>
      </c>
      <c r="AK4154">
        <v>42.2576459258431</v>
      </c>
    </row>
    <row r="4155" spans="1:37" x14ac:dyDescent="0.2">
      <c r="A4155" t="str">
        <f>"20200111155934592"</f>
        <v>20200111155934592</v>
      </c>
      <c r="B4155" t="str">
        <f>"1578729574584001"</f>
        <v>1578729574584001</v>
      </c>
      <c r="C4155" t="s">
        <v>37</v>
      </c>
      <c r="D4155">
        <v>5.0311750000000002</v>
      </c>
      <c r="E4155">
        <v>0.46284039999999999</v>
      </c>
      <c r="F4155" t="s">
        <v>39</v>
      </c>
      <c r="G4155">
        <v>-375.90519999999998</v>
      </c>
      <c r="H4155" s="1">
        <v>-2.0009869999999998E-6</v>
      </c>
      <c r="I4155">
        <v>138.13919999999999</v>
      </c>
      <c r="J4155">
        <v>-341.88229999999999</v>
      </c>
      <c r="K4155">
        <v>1.1028770000000001</v>
      </c>
      <c r="L4155">
        <v>141.27440000000001</v>
      </c>
      <c r="M4155">
        <v>-0.99994519999999998</v>
      </c>
      <c r="N4155">
        <v>0</v>
      </c>
      <c r="O4155">
        <v>1.036787E-2</v>
      </c>
      <c r="P4155">
        <v>-0.99876100000000001</v>
      </c>
      <c r="Q4155">
        <v>4.9085330000000003E-2</v>
      </c>
      <c r="R4155">
        <v>8.2277500000000007E-3</v>
      </c>
      <c r="S4155">
        <v>-3.0108950000000001</v>
      </c>
      <c r="T4155">
        <v>-9.6582409999999994E-2</v>
      </c>
      <c r="U4155">
        <v>-0.274231</v>
      </c>
      <c r="V4155">
        <v>-2.1471300000000001E-3</v>
      </c>
      <c r="W4155">
        <v>5.0585430000000001E-2</v>
      </c>
      <c r="X4155">
        <v>0.99871739999999998</v>
      </c>
      <c r="Y4155">
        <v>-0.1009676</v>
      </c>
      <c r="Z4155">
        <v>-1.947484E-3</v>
      </c>
      <c r="AA4155">
        <v>0.99488779999999999</v>
      </c>
      <c r="AB4155">
        <v>35</v>
      </c>
      <c r="AC4155">
        <v>-34.0228999999999</v>
      </c>
      <c r="AD4155">
        <v>-1.102879000987</v>
      </c>
      <c r="AE4155">
        <v>-3.1352000000000202</v>
      </c>
      <c r="AF4155">
        <v>-3.4841466090703599</v>
      </c>
      <c r="AG4155">
        <v>-1.102879000987</v>
      </c>
      <c r="AH4155">
        <v>33.953188929016903</v>
      </c>
      <c r="AI4155">
        <v>91.850734945855393</v>
      </c>
      <c r="AJ4155">
        <v>95.858966430025404</v>
      </c>
      <c r="AK4155">
        <v>34.149299526254197</v>
      </c>
    </row>
    <row r="4156" spans="1:37" x14ac:dyDescent="0.2">
      <c r="A4156" t="str">
        <f>"20200111155934616"</f>
        <v>20200111155934616</v>
      </c>
      <c r="B4156" t="str">
        <f>"1578729574604498"</f>
        <v>1578729574604498</v>
      </c>
      <c r="C4156" t="s">
        <v>37</v>
      </c>
      <c r="D4156">
        <v>4.9744839999999897</v>
      </c>
      <c r="E4156">
        <v>0.46251690000000001</v>
      </c>
      <c r="F4156" t="s">
        <v>39</v>
      </c>
      <c r="G4156">
        <v>-373.52359999999999</v>
      </c>
      <c r="H4156" s="1">
        <v>-2.9972919999999999E-6</v>
      </c>
      <c r="I4156">
        <v>138.28229999999999</v>
      </c>
      <c r="J4156">
        <v>-342.24560000000002</v>
      </c>
      <c r="K4156">
        <v>1.102868</v>
      </c>
      <c r="L4156">
        <v>141.27799999999999</v>
      </c>
      <c r="M4156">
        <v>-0.99994709999999998</v>
      </c>
      <c r="N4156">
        <v>0</v>
      </c>
      <c r="O4156">
        <v>1.017969E-2</v>
      </c>
      <c r="P4156">
        <v>-0.99875859999999905</v>
      </c>
      <c r="Q4156">
        <v>4.9131910000000001E-2</v>
      </c>
      <c r="R4156">
        <v>8.2141860000000001E-3</v>
      </c>
      <c r="S4156">
        <v>-3.0112299999999999</v>
      </c>
      <c r="T4156">
        <v>-0.10495879999999901</v>
      </c>
      <c r="U4156">
        <v>-0.28474429999999901</v>
      </c>
      <c r="V4156">
        <v>-1.9728269999999999E-3</v>
      </c>
      <c r="W4156">
        <v>5.0632580000000003E-2</v>
      </c>
      <c r="X4156">
        <v>0.99871540000000003</v>
      </c>
      <c r="Y4156">
        <v>-0.10420160000000001</v>
      </c>
      <c r="Z4156">
        <v>-2.1653889999999898E-3</v>
      </c>
      <c r="AA4156">
        <v>0.99455389999999999</v>
      </c>
      <c r="AB4156">
        <v>36</v>
      </c>
      <c r="AC4156">
        <v>-31.277999999999899</v>
      </c>
      <c r="AD4156">
        <v>-1.1028709972920001</v>
      </c>
      <c r="AE4156">
        <v>-2.9956999999999998</v>
      </c>
      <c r="AF4156">
        <v>-3.3098677578411499</v>
      </c>
      <c r="AG4156">
        <v>-1.1028709972920001</v>
      </c>
      <c r="AH4156">
        <v>31.207436888558401</v>
      </c>
      <c r="AI4156">
        <v>92.012711609892193</v>
      </c>
      <c r="AJ4156">
        <v>96.054170267082299</v>
      </c>
      <c r="AK4156">
        <v>31.401841763890602</v>
      </c>
    </row>
    <row r="4157" spans="1:37" x14ac:dyDescent="0.2">
      <c r="A4157" t="str">
        <f>"20200111155934639"</f>
        <v>20200111155934639</v>
      </c>
      <c r="B4157" t="str">
        <f>"1578729574634754"</f>
        <v>1578729574634754</v>
      </c>
      <c r="C4157" t="s">
        <v>37</v>
      </c>
      <c r="D4157">
        <v>5.0678710000000002</v>
      </c>
      <c r="E4157">
        <v>0.46153829999999901</v>
      </c>
      <c r="F4157" t="s">
        <v>39</v>
      </c>
      <c r="G4157">
        <v>-372.608</v>
      </c>
      <c r="H4157" s="1">
        <v>-3.373102E-6</v>
      </c>
      <c r="I4157">
        <v>138.37790000000001</v>
      </c>
      <c r="J4157">
        <v>-342.61419999999998</v>
      </c>
      <c r="K4157">
        <v>1.102857</v>
      </c>
      <c r="L4157">
        <v>141.2816</v>
      </c>
      <c r="M4157">
        <v>-0.99994889999999903</v>
      </c>
      <c r="N4157">
        <v>0</v>
      </c>
      <c r="O4157">
        <v>9.9916869999999904E-3</v>
      </c>
      <c r="P4157">
        <v>-0.99877150000000003</v>
      </c>
      <c r="Q4157">
        <v>4.8945299999999997E-2</v>
      </c>
      <c r="R4157">
        <v>7.7320929999999998E-3</v>
      </c>
      <c r="S4157">
        <v>-3.0114139999999998</v>
      </c>
      <c r="T4157">
        <v>-0.1093856</v>
      </c>
      <c r="U4157">
        <v>-0.2876282</v>
      </c>
      <c r="V4157">
        <v>-2.2671530000000001E-3</v>
      </c>
      <c r="W4157">
        <v>5.046113E-2</v>
      </c>
      <c r="X4157">
        <v>0.99872340000000004</v>
      </c>
      <c r="Y4157">
        <v>-0.1049465</v>
      </c>
      <c r="Z4157">
        <v>-2.2631019999999999E-3</v>
      </c>
      <c r="AA4157">
        <v>0.99447529999999995</v>
      </c>
      <c r="AB4157">
        <v>36</v>
      </c>
      <c r="AC4157">
        <v>-29.9938</v>
      </c>
      <c r="AD4157">
        <v>-1.1028603731019999</v>
      </c>
      <c r="AE4157">
        <v>-2.9036999999999802</v>
      </c>
      <c r="AF4157">
        <v>-3.1989592196799501</v>
      </c>
      <c r="AG4157">
        <v>-1.1028603731019999</v>
      </c>
      <c r="AH4157">
        <v>29.9232092003414</v>
      </c>
      <c r="AI4157">
        <v>92.0988095103001</v>
      </c>
      <c r="AJ4157">
        <v>96.102064786126704</v>
      </c>
      <c r="AK4157">
        <v>30.113918541749602</v>
      </c>
    </row>
    <row r="4158" spans="1:37" x14ac:dyDescent="0.2">
      <c r="A4158" t="str">
        <f>"20200111155934661"</f>
        <v>20200111155934661</v>
      </c>
      <c r="B4158" t="str">
        <f>"1578729574654273"</f>
        <v>1578729574654273</v>
      </c>
      <c r="C4158" t="s">
        <v>37</v>
      </c>
      <c r="D4158">
        <v>5.0318069999999997</v>
      </c>
      <c r="E4158">
        <v>0.46115070000000002</v>
      </c>
      <c r="F4158" t="s">
        <v>39</v>
      </c>
      <c r="G4158">
        <v>-370.9504</v>
      </c>
      <c r="H4158" s="1">
        <v>-4.0650659999999997E-6</v>
      </c>
      <c r="I4158">
        <v>138.48580000000001</v>
      </c>
      <c r="J4158">
        <v>-342.97370000000001</v>
      </c>
      <c r="K4158">
        <v>1.1028500000000001</v>
      </c>
      <c r="L4158">
        <v>141.285</v>
      </c>
      <c r="M4158">
        <v>-0.99995080000000003</v>
      </c>
      <c r="N4158">
        <v>0</v>
      </c>
      <c r="O4158">
        <v>9.8123080000000005E-3</v>
      </c>
      <c r="P4158">
        <v>-0.99878789999999995</v>
      </c>
      <c r="Q4158">
        <v>4.8675009999999998E-2</v>
      </c>
      <c r="R4158">
        <v>7.3480369999999904E-3</v>
      </c>
      <c r="S4158">
        <v>-3.011749</v>
      </c>
      <c r="T4158">
        <v>-0.117218899999999</v>
      </c>
      <c r="U4158">
        <v>-0.29714970000000002</v>
      </c>
      <c r="V4158">
        <v>-2.471961E-3</v>
      </c>
      <c r="W4158">
        <v>5.0222540000000003E-2</v>
      </c>
      <c r="X4158">
        <v>0.99873500000000004</v>
      </c>
      <c r="Y4158">
        <v>-0.1078587</v>
      </c>
      <c r="Z4158">
        <v>-2.4739620000000001E-3</v>
      </c>
      <c r="AA4158">
        <v>0.99416319999999903</v>
      </c>
      <c r="AB4158">
        <v>36</v>
      </c>
      <c r="AC4158">
        <v>-27.976699999999902</v>
      </c>
      <c r="AD4158">
        <v>-1.1028540650659999</v>
      </c>
      <c r="AE4158">
        <v>-2.7991999999999799</v>
      </c>
      <c r="AF4158">
        <v>-3.0688598753085601</v>
      </c>
      <c r="AG4158">
        <v>-1.1028540650659999</v>
      </c>
      <c r="AH4158">
        <v>27.9049528032055</v>
      </c>
      <c r="AI4158">
        <v>92.249704966514798</v>
      </c>
      <c r="AJ4158">
        <v>96.275908961949199</v>
      </c>
      <c r="AK4158">
        <v>28.094849687660499</v>
      </c>
    </row>
    <row r="4159" spans="1:37" x14ac:dyDescent="0.2">
      <c r="A4159" t="str">
        <f>"20200111155934683"</f>
        <v>20200111155934683</v>
      </c>
      <c r="B4159" t="str">
        <f>"1578729574673794"</f>
        <v>1578729574673794</v>
      </c>
      <c r="C4159" t="s">
        <v>37</v>
      </c>
      <c r="D4159">
        <v>5.0879029999999998</v>
      </c>
      <c r="E4159">
        <v>0.46118959999999998</v>
      </c>
      <c r="F4159" t="s">
        <v>39</v>
      </c>
      <c r="G4159">
        <v>-370.07389999999998</v>
      </c>
      <c r="H4159" s="1">
        <v>-4.4259089999999999E-6</v>
      </c>
      <c r="I4159">
        <v>138.57130000000001</v>
      </c>
      <c r="J4159">
        <v>-343.34</v>
      </c>
      <c r="K4159">
        <v>1.1028480000000001</v>
      </c>
      <c r="L4159">
        <v>141.2885</v>
      </c>
      <c r="M4159">
        <v>-0.99995239999999996</v>
      </c>
      <c r="N4159">
        <v>0</v>
      </c>
      <c r="O4159">
        <v>9.6369609999999994E-3</v>
      </c>
      <c r="P4159">
        <v>-0.99882019999999905</v>
      </c>
      <c r="Q4159">
        <v>4.810474E-2</v>
      </c>
      <c r="R4159">
        <v>6.6761149999999998E-3</v>
      </c>
      <c r="S4159">
        <v>-3.011841</v>
      </c>
      <c r="T4159">
        <v>-0.1225682</v>
      </c>
      <c r="U4159">
        <v>-0.30159000000000002</v>
      </c>
      <c r="V4159">
        <v>-2.968273E-3</v>
      </c>
      <c r="W4159">
        <v>4.9708679999999998E-2</v>
      </c>
      <c r="X4159">
        <v>0.99875930000000002</v>
      </c>
      <c r="Y4159">
        <v>-0.109123499999999</v>
      </c>
      <c r="Z4159">
        <v>-2.605053E-3</v>
      </c>
      <c r="AA4159">
        <v>0.99402479999999904</v>
      </c>
      <c r="AB4159">
        <v>36</v>
      </c>
      <c r="AC4159">
        <v>-26.733899999999998</v>
      </c>
      <c r="AD4159">
        <v>-1.102852425909</v>
      </c>
      <c r="AE4159">
        <v>-2.7171999999999898</v>
      </c>
      <c r="AF4159">
        <v>-2.9697054844271</v>
      </c>
      <c r="AG4159">
        <v>-1.102852425909</v>
      </c>
      <c r="AH4159">
        <v>26.661564091581202</v>
      </c>
      <c r="AI4159">
        <v>92.354140751058694</v>
      </c>
      <c r="AJ4159">
        <v>96.355707798301395</v>
      </c>
      <c r="AK4159">
        <v>26.849104900295298</v>
      </c>
    </row>
    <row r="4160" spans="1:37" x14ac:dyDescent="0.2">
      <c r="A4160" t="str">
        <f>"20200111155934705"</f>
        <v>20200111155934705</v>
      </c>
      <c r="B4160" t="str">
        <f>"1578729574694603"</f>
        <v>1578729574694603</v>
      </c>
      <c r="C4160" t="s">
        <v>37</v>
      </c>
      <c r="D4160">
        <v>5.2888169999999999</v>
      </c>
      <c r="E4160">
        <v>0.4606172</v>
      </c>
      <c r="F4160" t="s">
        <v>39</v>
      </c>
      <c r="G4160">
        <v>-369.78300000000002</v>
      </c>
      <c r="H4160" s="1">
        <v>-3.2341520000000003E-7</v>
      </c>
      <c r="I4160">
        <v>138.6259</v>
      </c>
      <c r="J4160">
        <v>-343.6977</v>
      </c>
      <c r="K4160">
        <v>1.1028549999999999</v>
      </c>
      <c r="L4160">
        <v>141.29179999999999</v>
      </c>
      <c r="M4160">
        <v>-0.99995389999999995</v>
      </c>
      <c r="N4160">
        <v>0</v>
      </c>
      <c r="O4160">
        <v>9.474639E-3</v>
      </c>
      <c r="P4160">
        <v>-0.99878419999999901</v>
      </c>
      <c r="Q4160">
        <v>4.8904019999999999E-2</v>
      </c>
      <c r="R4160">
        <v>6.2316119999999897E-3</v>
      </c>
      <c r="S4160">
        <v>-3.0116269999999998</v>
      </c>
      <c r="T4160">
        <v>-0.1256053</v>
      </c>
      <c r="U4160">
        <v>-0.3032379</v>
      </c>
      <c r="V4160">
        <v>-3.2500659999999998E-3</v>
      </c>
      <c r="W4160">
        <v>5.0595429999999997E-2</v>
      </c>
      <c r="X4160">
        <v>0.99871399999999999</v>
      </c>
      <c r="Y4160">
        <v>-0.10950260000000001</v>
      </c>
      <c r="Z4160">
        <v>-2.6707940000000002E-3</v>
      </c>
      <c r="AA4160">
        <v>0.9939829</v>
      </c>
      <c r="AB4160">
        <v>36</v>
      </c>
      <c r="AC4160">
        <v>-26.0853</v>
      </c>
      <c r="AD4160">
        <v>-1.1028553234151901</v>
      </c>
      <c r="AE4160">
        <v>-2.6658999999999899</v>
      </c>
      <c r="AF4160">
        <v>-2.9077855084361102</v>
      </c>
      <c r="AG4160">
        <v>-1.1028553234151901</v>
      </c>
      <c r="AH4160">
        <v>26.012853406377101</v>
      </c>
      <c r="AI4160">
        <v>92.412680759006193</v>
      </c>
      <c r="AJ4160">
        <v>96.378195669365198</v>
      </c>
      <c r="AK4160">
        <v>26.1980924643211</v>
      </c>
    </row>
    <row r="4161" spans="1:37" x14ac:dyDescent="0.2">
      <c r="A4161" t="str">
        <f>"20200111155934727"</f>
        <v>20200111155934727</v>
      </c>
      <c r="B4161" t="str">
        <f>"1578729574723882"</f>
        <v>1578729574723882</v>
      </c>
      <c r="C4161" t="s">
        <v>37</v>
      </c>
      <c r="D4161">
        <v>6.8566039999999902</v>
      </c>
      <c r="E4161">
        <v>0.46039289999999999</v>
      </c>
      <c r="F4161" t="s">
        <v>39</v>
      </c>
      <c r="G4161">
        <v>-370.5487</v>
      </c>
      <c r="H4161" s="1">
        <v>-4.2291260000000002E-6</v>
      </c>
      <c r="I4161">
        <v>138.5324</v>
      </c>
      <c r="J4161">
        <v>-344.06279999999998</v>
      </c>
      <c r="K4161">
        <v>1.1028719999999901</v>
      </c>
      <c r="L4161">
        <v>141.29509999999999</v>
      </c>
      <c r="M4161">
        <v>-0.99995489999999998</v>
      </c>
      <c r="N4161">
        <v>0</v>
      </c>
      <c r="O4161">
        <v>9.3192919999999999E-3</v>
      </c>
      <c r="P4161">
        <v>-0.99877009999999899</v>
      </c>
      <c r="Q4161">
        <v>4.9166139999999997E-2</v>
      </c>
      <c r="R4161">
        <v>6.4313679999999998E-3</v>
      </c>
      <c r="S4161">
        <v>-3.0116580000000002</v>
      </c>
      <c r="T4161">
        <v>-0.12369869999999999</v>
      </c>
      <c r="U4161">
        <v>-0.30949399999999999</v>
      </c>
      <c r="V4161">
        <v>-2.894743E-3</v>
      </c>
      <c r="W4161">
        <v>5.0996409999999999E-2</v>
      </c>
      <c r="X4161">
        <v>0.99869470000000005</v>
      </c>
      <c r="Y4161">
        <v>-0.1113923</v>
      </c>
      <c r="Z4161">
        <v>-2.6623129999999999E-3</v>
      </c>
      <c r="AA4161">
        <v>0.99377289999999996</v>
      </c>
      <c r="AB4161">
        <v>37</v>
      </c>
      <c r="AC4161">
        <v>-26.485900000000001</v>
      </c>
      <c r="AD4161">
        <v>-1.1028762291259999</v>
      </c>
      <c r="AE4161">
        <v>-2.7626999999999899</v>
      </c>
      <c r="AF4161">
        <v>-3.0042572610106602</v>
      </c>
      <c r="AG4161">
        <v>-1.1028762291259999</v>
      </c>
      <c r="AH4161">
        <v>26.413697603509402</v>
      </c>
      <c r="AI4161">
        <v>92.375637268869994</v>
      </c>
      <c r="AJ4161">
        <v>96.488857249480802</v>
      </c>
      <c r="AK4161">
        <v>26.6068660077947</v>
      </c>
    </row>
    <row r="4162" spans="1:37" x14ac:dyDescent="0.2">
      <c r="A4162" t="str">
        <f>"20200111155934750"</f>
        <v>20200111155934750</v>
      </c>
      <c r="B4162" t="str">
        <f>"1578729574744378"</f>
        <v>1578729574744378</v>
      </c>
      <c r="C4162" t="s">
        <v>37</v>
      </c>
      <c r="D4162">
        <v>5.2795329999999998</v>
      </c>
      <c r="E4162">
        <v>0.53563609999999995</v>
      </c>
      <c r="F4162" t="s">
        <v>39</v>
      </c>
      <c r="G4162">
        <v>-370.75189999999998</v>
      </c>
      <c r="H4162" s="1">
        <v>-4.140778E-6</v>
      </c>
      <c r="I4162">
        <v>138.53909999999999</v>
      </c>
      <c r="J4162">
        <v>-344.43279999999999</v>
      </c>
      <c r="K4162">
        <v>1.1028929999999999</v>
      </c>
      <c r="L4162">
        <v>141.29849999999999</v>
      </c>
      <c r="M4162">
        <v>-0.99995590000000001</v>
      </c>
      <c r="N4162">
        <v>0</v>
      </c>
      <c r="O4162">
        <v>9.1719160000000004E-3</v>
      </c>
      <c r="P4162">
        <v>-0.99879769999999901</v>
      </c>
      <c r="Q4162">
        <v>4.8531690000000002E-2</v>
      </c>
      <c r="R4162">
        <v>6.9364530000000004E-3</v>
      </c>
      <c r="S4162">
        <v>-3.0117799999999999</v>
      </c>
      <c r="T4162">
        <v>-0.12445630000000001</v>
      </c>
      <c r="U4162">
        <v>-0.31100459999999902</v>
      </c>
      <c r="V4162">
        <v>-2.241902E-3</v>
      </c>
      <c r="W4162">
        <v>5.0560670000000002E-2</v>
      </c>
      <c r="X4162">
        <v>0.99871849999999995</v>
      </c>
      <c r="Y4162">
        <v>-0.1117335</v>
      </c>
      <c r="Z4162">
        <v>-2.6793859999999902E-3</v>
      </c>
      <c r="AA4162">
        <v>0.99373459999999902</v>
      </c>
      <c r="AB4162">
        <v>37</v>
      </c>
      <c r="AC4162">
        <v>-26.319099999999899</v>
      </c>
      <c r="AD4162">
        <v>-1.1028971407779999</v>
      </c>
      <c r="AE4162">
        <v>-2.7593999999999901</v>
      </c>
      <c r="AF4162">
        <v>-2.9954780878271898</v>
      </c>
      <c r="AG4162">
        <v>-1.1028971407779999</v>
      </c>
      <c r="AH4162">
        <v>26.247094765358799</v>
      </c>
      <c r="AI4162">
        <v>92.390640343749396</v>
      </c>
      <c r="AJ4162">
        <v>96.510773250504997</v>
      </c>
      <c r="AK4162">
        <v>26.440485144934801</v>
      </c>
    </row>
    <row r="4163" spans="1:37" x14ac:dyDescent="0.2">
      <c r="A4163" t="str">
        <f>"20200111155934772"</f>
        <v>20200111155934772</v>
      </c>
      <c r="B4163" t="str">
        <f>"1578729574763900"</f>
        <v>1578729574763900</v>
      </c>
      <c r="C4163" t="s">
        <v>37</v>
      </c>
      <c r="D4163">
        <v>5.3963580000000002</v>
      </c>
      <c r="E4163">
        <v>0.53921129999999995</v>
      </c>
      <c r="F4163" t="s">
        <v>58</v>
      </c>
      <c r="G4163">
        <v>-511.92649999999998</v>
      </c>
      <c r="H4163">
        <v>4.0560269999999896</v>
      </c>
      <c r="I4163">
        <v>158.09280000000001</v>
      </c>
      <c r="J4163">
        <v>-344.81020000000001</v>
      </c>
      <c r="K4163">
        <v>1.1029229999999901</v>
      </c>
      <c r="L4163">
        <v>141.30179999999999</v>
      </c>
      <c r="M4163">
        <v>-0.99995669999999903</v>
      </c>
      <c r="N4163">
        <v>0</v>
      </c>
      <c r="O4163">
        <v>9.0296430000000004E-3</v>
      </c>
      <c r="P4163">
        <v>-0.99885369999999996</v>
      </c>
      <c r="Q4163">
        <v>4.7306140000000003E-2</v>
      </c>
      <c r="R4163">
        <v>7.3261949999999998E-3</v>
      </c>
      <c r="S4163">
        <v>-2.998993</v>
      </c>
      <c r="T4163">
        <v>5.2876949999999999E-2</v>
      </c>
      <c r="U4163">
        <v>0.300705</v>
      </c>
      <c r="V4163">
        <v>-1.710041E-3</v>
      </c>
      <c r="W4163">
        <v>4.9582000000000001E-2</v>
      </c>
      <c r="X4163">
        <v>0.99876860000000001</v>
      </c>
      <c r="Y4163">
        <v>9.0767130000000001E-2</v>
      </c>
      <c r="Z4163">
        <v>-6.393436E-4</v>
      </c>
      <c r="AA4163">
        <v>0.99587199999999998</v>
      </c>
      <c r="AB4163">
        <v>37</v>
      </c>
      <c r="AC4163">
        <v>-167.116299999999</v>
      </c>
      <c r="AD4163">
        <v>2.9531040000000002</v>
      </c>
      <c r="AE4163">
        <v>16.791</v>
      </c>
      <c r="AF4163">
        <v>15.276588480984699</v>
      </c>
      <c r="AG4163">
        <v>2.9531040000000002</v>
      </c>
      <c r="AH4163">
        <v>167.209412681164</v>
      </c>
      <c r="AI4163">
        <v>88.992393711401206</v>
      </c>
      <c r="AJ4163">
        <v>84.779834348361604</v>
      </c>
      <c r="AK4163">
        <v>167.931779803681</v>
      </c>
    </row>
    <row r="4164" spans="1:37" x14ac:dyDescent="0.2">
      <c r="A4164" t="str">
        <f>"20200111155934794"</f>
        <v>20200111155934794</v>
      </c>
      <c r="B4164" t="str">
        <f>"1578729574783925"</f>
        <v>1578729574783925</v>
      </c>
      <c r="C4164" t="s">
        <v>37</v>
      </c>
      <c r="D4164">
        <v>5.2818519999999998</v>
      </c>
      <c r="E4164">
        <v>0.5397573</v>
      </c>
      <c r="F4164" t="s">
        <v>71</v>
      </c>
      <c r="G4164">
        <v>-414.45620000000002</v>
      </c>
      <c r="H4164" s="1">
        <v>-1.357382E-5</v>
      </c>
      <c r="I4164">
        <v>148.85480000000001</v>
      </c>
      <c r="J4164">
        <v>-345.17680000000001</v>
      </c>
      <c r="K4164">
        <v>1.1029629999999999</v>
      </c>
      <c r="L4164">
        <v>141.30500000000001</v>
      </c>
      <c r="M4164">
        <v>-0.99995730000000005</v>
      </c>
      <c r="N4164">
        <v>0</v>
      </c>
      <c r="O4164">
        <v>8.8978219999999997E-3</v>
      </c>
      <c r="P4164">
        <v>-0.99892179999999997</v>
      </c>
      <c r="Q4164">
        <v>4.5767769999999999E-2</v>
      </c>
      <c r="R4164">
        <v>7.8110690000000003E-3</v>
      </c>
      <c r="S4164">
        <v>-3.0032649999999999</v>
      </c>
      <c r="T4164">
        <v>-4.7560690000000003E-2</v>
      </c>
      <c r="U4164">
        <v>0.32569890000000001</v>
      </c>
      <c r="V4164">
        <v>-1.0928870000000001E-3</v>
      </c>
      <c r="W4164">
        <v>4.8337520000000002E-2</v>
      </c>
      <c r="X4164">
        <v>0.99883040000000001</v>
      </c>
      <c r="Y4164">
        <v>9.8954669999999995E-2</v>
      </c>
      <c r="Z4164">
        <v>6.4073009999999998E-4</v>
      </c>
      <c r="AA4164">
        <v>0.99509169999999902</v>
      </c>
      <c r="AB4164">
        <v>37</v>
      </c>
      <c r="AC4164">
        <v>-69.279399999999995</v>
      </c>
      <c r="AD4164">
        <v>-1.1029765738199999</v>
      </c>
      <c r="AE4164">
        <v>7.5498000000000003</v>
      </c>
      <c r="AF4164">
        <v>6.9313271848937399</v>
      </c>
      <c r="AG4164">
        <v>-1.1029765738199999</v>
      </c>
      <c r="AH4164">
        <v>69.326468589756104</v>
      </c>
      <c r="AI4164">
        <v>90.906971618899107</v>
      </c>
      <c r="AJ4164">
        <v>84.290486728049402</v>
      </c>
      <c r="AK4164">
        <v>69.680837401633397</v>
      </c>
    </row>
    <row r="4165" spans="1:37" x14ac:dyDescent="0.2">
      <c r="A4165" t="str">
        <f>"20200111155934816"</f>
        <v>20200111155934816</v>
      </c>
      <c r="B4165" t="str">
        <f>"1578729574804421"</f>
        <v>1578729574804421</v>
      </c>
      <c r="C4165" t="s">
        <v>37</v>
      </c>
      <c r="D4165">
        <v>5.2449430000000001</v>
      </c>
      <c r="E4165">
        <v>0.54065509999999894</v>
      </c>
      <c r="F4165" t="s">
        <v>39</v>
      </c>
      <c r="G4165">
        <v>-376.85210000000001</v>
      </c>
      <c r="H4165" s="1">
        <v>-2.704457E-6</v>
      </c>
      <c r="I4165">
        <v>144.7714</v>
      </c>
      <c r="J4165">
        <v>-345.54059999999998</v>
      </c>
      <c r="K4165">
        <v>1.1030089999999999</v>
      </c>
      <c r="L4165">
        <v>141.3081</v>
      </c>
      <c r="M4165">
        <v>-0.99995710000000004</v>
      </c>
      <c r="N4165">
        <v>0</v>
      </c>
      <c r="O4165">
        <v>8.7713830000000007E-3</v>
      </c>
      <c r="P4165">
        <v>-0.99899780000000005</v>
      </c>
      <c r="Q4165">
        <v>4.3996489999999999E-2</v>
      </c>
      <c r="R4165">
        <v>8.2228809999999996E-3</v>
      </c>
      <c r="S4165">
        <v>-3.005493</v>
      </c>
      <c r="T4165">
        <v>-0.10465480000000001</v>
      </c>
      <c r="U4165">
        <v>0.3289185</v>
      </c>
      <c r="V4165">
        <v>-5.5520470000000003E-4</v>
      </c>
      <c r="W4165">
        <v>4.6932920000000003E-2</v>
      </c>
      <c r="X4165">
        <v>0.99889789999999901</v>
      </c>
      <c r="Y4165">
        <v>0.100011399999999</v>
      </c>
      <c r="Z4165">
        <v>1.431161E-3</v>
      </c>
      <c r="AA4165">
        <v>0.99498529999999996</v>
      </c>
      <c r="AB4165">
        <v>37</v>
      </c>
      <c r="AC4165">
        <v>-31.311499999999999</v>
      </c>
      <c r="AD4165">
        <v>-1.10301170445699</v>
      </c>
      <c r="AE4165">
        <v>3.4632999999999998</v>
      </c>
      <c r="AF4165">
        <v>3.1846162232116502</v>
      </c>
      <c r="AG4165">
        <v>-1.10301170445699</v>
      </c>
      <c r="AH4165">
        <v>31.302298578463098</v>
      </c>
      <c r="AI4165">
        <v>92.007764062851294</v>
      </c>
      <c r="AJ4165">
        <v>84.190860650898799</v>
      </c>
      <c r="AK4165">
        <v>31.483206818946499</v>
      </c>
    </row>
    <row r="4166" spans="1:37" x14ac:dyDescent="0.2">
      <c r="A4166" t="str">
        <f>"20200111155934839"</f>
        <v>20200111155934839</v>
      </c>
      <c r="B4166" t="str">
        <f>"1578729574834679"</f>
        <v>1578729574834679</v>
      </c>
      <c r="C4166" t="s">
        <v>37</v>
      </c>
      <c r="D4166">
        <v>5.2257059999999997</v>
      </c>
      <c r="E4166">
        <v>0.5414833</v>
      </c>
      <c r="F4166" t="s">
        <v>39</v>
      </c>
      <c r="G4166">
        <v>-369.99090000000001</v>
      </c>
      <c r="H4166" s="1">
        <v>-5.063971E-6</v>
      </c>
      <c r="I4166">
        <v>144.04079999999999</v>
      </c>
      <c r="J4166">
        <v>-345.91809999999998</v>
      </c>
      <c r="K4166">
        <v>1.1030869999999999</v>
      </c>
      <c r="L4166">
        <v>141.31129999999999</v>
      </c>
      <c r="M4166">
        <v>-0.99995679999999998</v>
      </c>
      <c r="N4166">
        <v>0</v>
      </c>
      <c r="O4166">
        <v>8.6429950000000005E-3</v>
      </c>
      <c r="P4166">
        <v>-0.9990329</v>
      </c>
      <c r="Q4166">
        <v>4.3245039999999998E-2</v>
      </c>
      <c r="R4166">
        <v>7.9434229999999998E-3</v>
      </c>
      <c r="S4166">
        <v>-3.0062259999999998</v>
      </c>
      <c r="T4166">
        <v>-0.13561870000000001</v>
      </c>
      <c r="U4166">
        <v>0.33599849999999998</v>
      </c>
      <c r="V4166">
        <v>-7.0620470000000001E-4</v>
      </c>
      <c r="W4166">
        <v>4.6661420000000002E-2</v>
      </c>
      <c r="X4166">
        <v>0.99891049999999904</v>
      </c>
      <c r="Y4166">
        <v>0.1023881</v>
      </c>
      <c r="Z4166">
        <v>1.9127160000000001E-3</v>
      </c>
      <c r="AA4166">
        <v>0.99474269999999998</v>
      </c>
      <c r="AB4166">
        <v>37</v>
      </c>
      <c r="AC4166">
        <v>-24.072800000000001</v>
      </c>
      <c r="AD4166">
        <v>-1.103092063971</v>
      </c>
      <c r="AE4166">
        <v>2.7294999999999998</v>
      </c>
      <c r="AF4166">
        <v>2.5161195468005402</v>
      </c>
      <c r="AG4166">
        <v>-1.103092063971</v>
      </c>
      <c r="AH4166">
        <v>24.045642748895901</v>
      </c>
      <c r="AI4166">
        <v>92.612355084312995</v>
      </c>
      <c r="AJ4166">
        <v>84.026348281191105</v>
      </c>
      <c r="AK4166">
        <v>24.2020785240218</v>
      </c>
    </row>
    <row r="4167" spans="1:37" x14ac:dyDescent="0.2">
      <c r="A4167" t="str">
        <f>"20200111155934862"</f>
        <v>20200111155934862</v>
      </c>
      <c r="B4167" t="str">
        <f>"1578729574854215"</f>
        <v>1578729574854215</v>
      </c>
      <c r="C4167" t="s">
        <v>37</v>
      </c>
      <c r="D4167">
        <v>5.212402</v>
      </c>
      <c r="E4167">
        <v>0.54173509999999903</v>
      </c>
      <c r="F4167" t="s">
        <v>39</v>
      </c>
      <c r="G4167">
        <v>-367.88249999999999</v>
      </c>
      <c r="H4167" s="1">
        <v>-2.0045219999999998E-6</v>
      </c>
      <c r="I4167">
        <v>143.8023</v>
      </c>
      <c r="J4167">
        <v>-346.30270000000002</v>
      </c>
      <c r="K4167">
        <v>1.1031949999999999</v>
      </c>
      <c r="L4167">
        <v>141.31450000000001</v>
      </c>
      <c r="M4167">
        <v>-0.99995560000000006</v>
      </c>
      <c r="N4167">
        <v>0</v>
      </c>
      <c r="O4167">
        <v>8.5143270000000004E-3</v>
      </c>
      <c r="P4167">
        <v>-0.99902489999999999</v>
      </c>
      <c r="Q4167">
        <v>4.3489550000000002E-2</v>
      </c>
      <c r="R4167">
        <v>7.590655E-3</v>
      </c>
      <c r="S4167">
        <v>-3.0066830000000002</v>
      </c>
      <c r="T4167">
        <v>-0.1510011</v>
      </c>
      <c r="U4167">
        <v>0.34100340000000001</v>
      </c>
      <c r="V4167">
        <v>-9.3051240000000001E-4</v>
      </c>
      <c r="W4167">
        <v>4.7516389999999999E-2</v>
      </c>
      <c r="X4167">
        <v>0.99887000000000004</v>
      </c>
      <c r="Y4167">
        <v>0.10410949999999999</v>
      </c>
      <c r="Z4167">
        <v>2.1783839999999998E-3</v>
      </c>
      <c r="AA4167">
        <v>0.99456350000000004</v>
      </c>
      <c r="AB4167">
        <v>37</v>
      </c>
      <c r="AC4167">
        <v>-21.579799999999899</v>
      </c>
      <c r="AD4167">
        <v>-1.1031970045220001</v>
      </c>
      <c r="AE4167">
        <v>2.4877999999999898</v>
      </c>
      <c r="AF4167">
        <v>2.29804383936197</v>
      </c>
      <c r="AG4167">
        <v>-1.1031970045220001</v>
      </c>
      <c r="AH4167">
        <v>21.544632943809301</v>
      </c>
      <c r="AI4167">
        <v>92.9147756452615</v>
      </c>
      <c r="AJ4167">
        <v>83.911604217385303</v>
      </c>
      <c r="AK4167">
        <v>21.694913178021402</v>
      </c>
    </row>
    <row r="4168" spans="1:37" x14ac:dyDescent="0.2">
      <c r="A4168" t="str">
        <f>"20200111155934884"</f>
        <v>20200111155934884</v>
      </c>
      <c r="B4168" t="str">
        <f>"1578729574874693"</f>
        <v>1578729574874693</v>
      </c>
      <c r="C4168" t="s">
        <v>37</v>
      </c>
      <c r="D4168">
        <v>5.2727079999999997</v>
      </c>
      <c r="E4168">
        <v>0.54166719999999902</v>
      </c>
      <c r="F4168" t="s">
        <v>39</v>
      </c>
      <c r="G4168">
        <v>-367.60980000000001</v>
      </c>
      <c r="H4168" s="1">
        <v>-2.10393499999999E-6</v>
      </c>
      <c r="I4168">
        <v>143.7362</v>
      </c>
      <c r="J4168">
        <v>-346.67910000000001</v>
      </c>
      <c r="K4168">
        <v>1.103315</v>
      </c>
      <c r="L4168">
        <v>141.3176</v>
      </c>
      <c r="M4168">
        <v>-0.99995369999999995</v>
      </c>
      <c r="N4168">
        <v>0</v>
      </c>
      <c r="O4168">
        <v>8.3875800000000004E-3</v>
      </c>
      <c r="P4168">
        <v>-0.99902400000000002</v>
      </c>
      <c r="Q4168">
        <v>4.3597370000000003E-2</v>
      </c>
      <c r="R4168">
        <v>7.0972369999999898E-3</v>
      </c>
      <c r="S4168">
        <v>-3.00707999999999</v>
      </c>
      <c r="T4168">
        <v>-0.1556951</v>
      </c>
      <c r="U4168">
        <v>0.34178159999999902</v>
      </c>
      <c r="V4168">
        <v>-1.2972109999999999E-3</v>
      </c>
      <c r="W4168">
        <v>4.8340849999999998E-2</v>
      </c>
      <c r="X4168">
        <v>0.99883009999999905</v>
      </c>
      <c r="Y4168">
        <v>0.1044668</v>
      </c>
      <c r="Z4168">
        <v>2.2614359999999999E-3</v>
      </c>
      <c r="AA4168">
        <v>0.99452580000000002</v>
      </c>
      <c r="AB4168">
        <v>37</v>
      </c>
      <c r="AC4168">
        <v>-20.930700000000002</v>
      </c>
      <c r="AD4168">
        <v>-1.103317103935</v>
      </c>
      <c r="AE4168">
        <v>2.4185999999999899</v>
      </c>
      <c r="AF4168">
        <v>2.2368216083574999</v>
      </c>
      <c r="AG4168">
        <v>-1.103317103935</v>
      </c>
      <c r="AH4168">
        <v>20.8929609556569</v>
      </c>
      <c r="AI4168">
        <v>93.005727038154902</v>
      </c>
      <c r="AJ4168">
        <v>83.889132458328206</v>
      </c>
      <c r="AK4168">
        <v>21.041304546868201</v>
      </c>
    </row>
    <row r="4169" spans="1:37" x14ac:dyDescent="0.2">
      <c r="A4169" t="str">
        <f>"20200111155934906"</f>
        <v>20200111155934906</v>
      </c>
      <c r="B4169" t="str">
        <f>"1578729574894720"</f>
        <v>1578729574894720</v>
      </c>
      <c r="C4169" t="s">
        <v>37</v>
      </c>
      <c r="D4169">
        <v>5.2266409999999999</v>
      </c>
      <c r="E4169">
        <v>0.5417305</v>
      </c>
      <c r="F4169" t="s">
        <v>39</v>
      </c>
      <c r="G4169">
        <v>-367.2296</v>
      </c>
      <c r="H4169" s="1">
        <v>-2.2404190000000001E-6</v>
      </c>
      <c r="I4169">
        <v>143.6362</v>
      </c>
      <c r="J4169">
        <v>-347.03969999999998</v>
      </c>
      <c r="K4169">
        <v>1.1034440000000001</v>
      </c>
      <c r="L4169">
        <v>141.32050000000001</v>
      </c>
      <c r="M4169">
        <v>-0.99995040000000002</v>
      </c>
      <c r="N4169">
        <v>0</v>
      </c>
      <c r="O4169">
        <v>8.2735729999999993E-3</v>
      </c>
      <c r="P4169">
        <v>-0.99903929999999996</v>
      </c>
      <c r="Q4169">
        <v>4.321444E-2</v>
      </c>
      <c r="R4169">
        <v>7.3060249999999998E-3</v>
      </c>
      <c r="S4169">
        <v>-3.007568</v>
      </c>
      <c r="T4169">
        <v>-0.16147120000000001</v>
      </c>
      <c r="U4169">
        <v>0.33934019999999998</v>
      </c>
      <c r="V4169">
        <v>-9.7475039999999995E-4</v>
      </c>
      <c r="W4169">
        <v>4.8749500000000001E-2</v>
      </c>
      <c r="X4169">
        <v>0.99881059999999999</v>
      </c>
      <c r="Y4169">
        <v>0.10375619999999899</v>
      </c>
      <c r="Z4169">
        <v>2.332036E-3</v>
      </c>
      <c r="AA4169">
        <v>0.99460000000000004</v>
      </c>
      <c r="AB4169">
        <v>37</v>
      </c>
      <c r="AC4169">
        <v>-20.189900000000002</v>
      </c>
      <c r="AD4169">
        <v>-1.103446240419</v>
      </c>
      <c r="AE4169">
        <v>2.3156999999999899</v>
      </c>
      <c r="AF4169">
        <v>2.1422597331528501</v>
      </c>
      <c r="AG4169">
        <v>-1.103446240419</v>
      </c>
      <c r="AH4169">
        <v>20.148965023131598</v>
      </c>
      <c r="AI4169">
        <v>93.117104793114393</v>
      </c>
      <c r="AJ4169">
        <v>83.931050432090402</v>
      </c>
      <c r="AK4169">
        <v>20.2925518817413</v>
      </c>
    </row>
    <row r="4170" spans="1:37" x14ac:dyDescent="0.2">
      <c r="A4170" t="str">
        <f>"20200111155934928"</f>
        <v>20200111155934928</v>
      </c>
      <c r="B4170" t="str">
        <f>"1578729574924000"</f>
        <v>1578729574924000</v>
      </c>
      <c r="C4170" t="s">
        <v>37</v>
      </c>
      <c r="D4170">
        <v>5.3206179999999996</v>
      </c>
      <c r="E4170">
        <v>0.5418075</v>
      </c>
      <c r="F4170" t="s">
        <v>38</v>
      </c>
      <c r="G4170">
        <v>-348.08629999999999</v>
      </c>
      <c r="H4170">
        <v>1.0457620000000001</v>
      </c>
      <c r="I4170">
        <v>141.4391</v>
      </c>
      <c r="J4170">
        <v>-347.41230000000002</v>
      </c>
      <c r="K4170">
        <v>1.10358</v>
      </c>
      <c r="L4170">
        <v>141.3235</v>
      </c>
      <c r="M4170">
        <v>-0.99994609999999995</v>
      </c>
      <c r="N4170">
        <v>0</v>
      </c>
      <c r="O4170">
        <v>8.1553930000000004E-3</v>
      </c>
      <c r="P4170">
        <v>-0.99904329999999997</v>
      </c>
      <c r="Q4170">
        <v>4.3066060000000003E-2</v>
      </c>
      <c r="R4170">
        <v>7.6235749999999996E-3</v>
      </c>
      <c r="S4170">
        <v>-3.0075379999999998</v>
      </c>
      <c r="T4170">
        <v>-0.16580710000000001</v>
      </c>
      <c r="U4170">
        <v>0.34016420000000003</v>
      </c>
      <c r="V4170">
        <v>-5.3941969999999999E-4</v>
      </c>
      <c r="W4170">
        <v>4.9500080000000002E-2</v>
      </c>
      <c r="X4170">
        <v>0.99877399999999905</v>
      </c>
      <c r="Y4170">
        <v>0.1041358</v>
      </c>
      <c r="Z4170">
        <v>2.4114570000000001E-3</v>
      </c>
      <c r="AA4170">
        <v>0.99456019999999901</v>
      </c>
      <c r="AB4170">
        <v>37</v>
      </c>
      <c r="AC4170">
        <v>-0.67399999999997795</v>
      </c>
      <c r="AD4170">
        <v>-5.7817999999999897E-2</v>
      </c>
      <c r="AE4170">
        <v>0.11559999999999999</v>
      </c>
      <c r="AF4170">
        <v>0.10931784820891401</v>
      </c>
      <c r="AG4170">
        <v>-5.7817999999999897E-2</v>
      </c>
      <c r="AH4170">
        <v>0.67012994202690401</v>
      </c>
      <c r="AI4170">
        <v>94.8671783839483</v>
      </c>
      <c r="AJ4170">
        <v>80.734986987490998</v>
      </c>
      <c r="AK4170">
        <v>0.68144512050641903</v>
      </c>
    </row>
    <row r="4171" spans="1:37" x14ac:dyDescent="0.2">
      <c r="A4171" t="str">
        <f>"20200111155934951"</f>
        <v>20200111155934951</v>
      </c>
      <c r="B4171" t="str">
        <f>"1578729574944496"</f>
        <v>1578729574944496</v>
      </c>
      <c r="C4171" t="s">
        <v>37</v>
      </c>
      <c r="D4171">
        <v>5.2219870000000004</v>
      </c>
      <c r="E4171">
        <v>0.54189709999999902</v>
      </c>
      <c r="F4171" t="s">
        <v>38</v>
      </c>
      <c r="G4171">
        <v>-348.4203</v>
      </c>
      <c r="H4171">
        <v>1.04617</v>
      </c>
      <c r="I4171">
        <v>141.43809999999999</v>
      </c>
      <c r="J4171">
        <v>-347.80040000000002</v>
      </c>
      <c r="K4171">
        <v>1.1037139999999901</v>
      </c>
      <c r="L4171">
        <v>141.32650000000001</v>
      </c>
      <c r="M4171">
        <v>-0.99994069999999902</v>
      </c>
      <c r="N4171">
        <v>0</v>
      </c>
      <c r="O4171">
        <v>8.0284420000000002E-3</v>
      </c>
      <c r="P4171">
        <v>-0.99905429999999995</v>
      </c>
      <c r="Q4171">
        <v>4.2845729999999999E-2</v>
      </c>
      <c r="R4171">
        <v>7.4272039999999998E-3</v>
      </c>
      <c r="S4171">
        <v>-3.00766</v>
      </c>
      <c r="T4171">
        <v>-0.17133860000000001</v>
      </c>
      <c r="U4171">
        <v>0.3413544</v>
      </c>
      <c r="V4171">
        <v>-6.0893049999999999E-4</v>
      </c>
      <c r="W4171">
        <v>5.0221590000000003E-2</v>
      </c>
      <c r="X4171">
        <v>0.99873789999999996</v>
      </c>
      <c r="Y4171">
        <v>0.1046353</v>
      </c>
      <c r="Z4171">
        <v>2.5129950000000001E-3</v>
      </c>
      <c r="AA4171">
        <v>0.99450749999999999</v>
      </c>
      <c r="AB4171">
        <v>37</v>
      </c>
      <c r="AC4171">
        <v>-0.61989999999997203</v>
      </c>
      <c r="AD4171">
        <v>-5.7543999999999797E-2</v>
      </c>
      <c r="AE4171">
        <v>0.11159999999998101</v>
      </c>
      <c r="AF4171">
        <v>0.10573690405163599</v>
      </c>
      <c r="AG4171">
        <v>-5.7543999999999797E-2</v>
      </c>
      <c r="AH4171">
        <v>0.61563759929365303</v>
      </c>
      <c r="AI4171">
        <v>95.263330031182093</v>
      </c>
      <c r="AJ4171">
        <v>80.254428041770794</v>
      </c>
      <c r="AK4171">
        <v>0.62729678659983401</v>
      </c>
    </row>
    <row r="4172" spans="1:37" x14ac:dyDescent="0.2">
      <c r="A4172" t="str">
        <f>"20200111155934973"</f>
        <v>20200111155934973</v>
      </c>
      <c r="B4172" t="str">
        <f>"1578729574964019"</f>
        <v>1578729574964019</v>
      </c>
      <c r="C4172" t="s">
        <v>37</v>
      </c>
      <c r="D4172">
        <v>5.2418430000000003</v>
      </c>
      <c r="E4172">
        <v>0.5420528</v>
      </c>
      <c r="F4172" t="s">
        <v>38</v>
      </c>
      <c r="G4172">
        <v>-348.75510000000003</v>
      </c>
      <c r="H4172">
        <v>1.0480719999999999</v>
      </c>
      <c r="I4172">
        <v>141.4349</v>
      </c>
      <c r="J4172">
        <v>-348.17360000000002</v>
      </c>
      <c r="K4172">
        <v>1.103815</v>
      </c>
      <c r="L4172">
        <v>141.32939999999999</v>
      </c>
      <c r="M4172">
        <v>-0.99993489999999996</v>
      </c>
      <c r="N4172">
        <v>0</v>
      </c>
      <c r="O4172">
        <v>7.9030779999999991E-3</v>
      </c>
      <c r="P4172">
        <v>-0.99908560000000002</v>
      </c>
      <c r="Q4172">
        <v>4.2071450000000003E-2</v>
      </c>
      <c r="R4172">
        <v>7.6418669999999897E-3</v>
      </c>
      <c r="S4172">
        <v>-3.0078130000000001</v>
      </c>
      <c r="T4172">
        <v>-0.17532220000000001</v>
      </c>
      <c r="U4172">
        <v>0.34126279999999998</v>
      </c>
      <c r="V4172">
        <v>-2.6889740000000001E-4</v>
      </c>
      <c r="W4172">
        <v>5.0307310000000001E-2</v>
      </c>
      <c r="X4172">
        <v>0.9987338</v>
      </c>
      <c r="Y4172">
        <v>0.1047168</v>
      </c>
      <c r="Z4172">
        <v>2.5808390000000001E-3</v>
      </c>
      <c r="AA4172">
        <v>0.99449869999999996</v>
      </c>
      <c r="AB4172">
        <v>37</v>
      </c>
      <c r="AC4172">
        <v>-0.58150000000000501</v>
      </c>
      <c r="AD4172">
        <v>-5.5743000000000098E-2</v>
      </c>
      <c r="AE4172">
        <v>0.10550000000000601</v>
      </c>
      <c r="AF4172">
        <v>0.100011166120795</v>
      </c>
      <c r="AG4172">
        <v>-5.5743000000000098E-2</v>
      </c>
      <c r="AH4172">
        <v>0.57718078701886899</v>
      </c>
      <c r="AI4172">
        <v>95.435901400571794</v>
      </c>
      <c r="AJ4172">
        <v>80.169664908297506</v>
      </c>
      <c r="AK4172">
        <v>0.58842771544308003</v>
      </c>
    </row>
    <row r="4173" spans="1:37" x14ac:dyDescent="0.2">
      <c r="A4173" t="str">
        <f>"20200111155934994"</f>
        <v>20200111155934994</v>
      </c>
      <c r="B4173" t="str">
        <f>"1578729574984044"</f>
        <v>1578729574984044</v>
      </c>
      <c r="C4173" t="s">
        <v>37</v>
      </c>
      <c r="D4173">
        <v>5.2455540000000003</v>
      </c>
      <c r="E4173">
        <v>0.54214689999999999</v>
      </c>
      <c r="F4173" t="s">
        <v>38</v>
      </c>
      <c r="G4173">
        <v>-349.08890000000002</v>
      </c>
      <c r="H4173">
        <v>1.048808</v>
      </c>
      <c r="I4173">
        <v>141.43389999999999</v>
      </c>
      <c r="J4173">
        <v>-348.52710000000002</v>
      </c>
      <c r="K4173">
        <v>1.1038859999999999</v>
      </c>
      <c r="L4173">
        <v>141.3321</v>
      </c>
      <c r="M4173">
        <v>-0.99992919999999996</v>
      </c>
      <c r="N4173">
        <v>0</v>
      </c>
      <c r="O4173">
        <v>7.7841519999999999E-3</v>
      </c>
      <c r="P4173">
        <v>-0.99909720000000002</v>
      </c>
      <c r="Q4173">
        <v>4.1800980000000001E-2</v>
      </c>
      <c r="R4173">
        <v>7.5752129999999999E-3</v>
      </c>
      <c r="S4173">
        <v>-3.0077509999999998</v>
      </c>
      <c r="T4173">
        <v>-0.18077739999999901</v>
      </c>
      <c r="U4173">
        <v>0.3431091</v>
      </c>
      <c r="V4173">
        <v>-2.1650639999999999E-4</v>
      </c>
      <c r="W4173">
        <v>5.0789729999999998E-2</v>
      </c>
      <c r="X4173">
        <v>0.99870930000000002</v>
      </c>
      <c r="Y4173">
        <v>0.105428199999999</v>
      </c>
      <c r="Z4173">
        <v>2.689369E-3</v>
      </c>
      <c r="AA4173">
        <v>0.99442330000000001</v>
      </c>
      <c r="AB4173">
        <v>37</v>
      </c>
      <c r="AC4173">
        <v>-0.56180000000000496</v>
      </c>
      <c r="AD4173">
        <v>-5.5078000000000099E-2</v>
      </c>
      <c r="AE4173">
        <v>0.101799999999997</v>
      </c>
      <c r="AF4173">
        <v>9.6525339028587898E-2</v>
      </c>
      <c r="AG4173">
        <v>-5.5078000000000099E-2</v>
      </c>
      <c r="AH4173">
        <v>0.557388391932779</v>
      </c>
      <c r="AI4173">
        <v>95.561087734040697</v>
      </c>
      <c r="AJ4173">
        <v>80.175282989419301</v>
      </c>
      <c r="AK4173">
        <v>0.568359522327191</v>
      </c>
    </row>
    <row r="4174" spans="1:37" x14ac:dyDescent="0.2">
      <c r="A4174" t="str">
        <f>"20200111155935017"</f>
        <v>20200111155935017</v>
      </c>
      <c r="B4174" t="str">
        <f>"1578729575014300"</f>
        <v>1578729575014300</v>
      </c>
      <c r="C4174" t="s">
        <v>37</v>
      </c>
      <c r="D4174">
        <v>5.2556940000000001</v>
      </c>
      <c r="E4174">
        <v>0.54230540000000005</v>
      </c>
      <c r="F4174" t="s">
        <v>38</v>
      </c>
      <c r="G4174">
        <v>-349.42189999999999</v>
      </c>
      <c r="H4174">
        <v>1.049166</v>
      </c>
      <c r="I4174">
        <v>141.4342</v>
      </c>
      <c r="J4174">
        <v>-348.89460000000003</v>
      </c>
      <c r="K4174">
        <v>1.1039429999999999</v>
      </c>
      <c r="L4174">
        <v>141.3348</v>
      </c>
      <c r="M4174">
        <v>-0.99992359999999902</v>
      </c>
      <c r="N4174">
        <v>0</v>
      </c>
      <c r="O4174">
        <v>7.6618550000000004E-3</v>
      </c>
      <c r="P4174">
        <v>-0.9991449</v>
      </c>
      <c r="Q4174">
        <v>4.0688229999999999E-2</v>
      </c>
      <c r="R4174">
        <v>7.3820669999999904E-3</v>
      </c>
      <c r="S4174">
        <v>-3.0077820000000002</v>
      </c>
      <c r="T4174">
        <v>-0.18389079999999999</v>
      </c>
      <c r="U4174">
        <v>0.34364319999999998</v>
      </c>
      <c r="V4174">
        <v>-2.8794539999999998E-4</v>
      </c>
      <c r="W4174">
        <v>5.039018E-2</v>
      </c>
      <c r="X4174">
        <v>0.9987296</v>
      </c>
      <c r="Y4174">
        <v>0.1057162</v>
      </c>
      <c r="Z4174">
        <v>2.7517509999999898E-3</v>
      </c>
      <c r="AA4174">
        <v>0.99439249999999901</v>
      </c>
      <c r="AB4174">
        <v>37</v>
      </c>
      <c r="AC4174">
        <v>-0.52729999999996802</v>
      </c>
      <c r="AD4174">
        <v>-5.4776999999999999E-2</v>
      </c>
      <c r="AE4174">
        <v>9.9400000000002806E-2</v>
      </c>
      <c r="AF4174">
        <v>9.4373316290907505E-2</v>
      </c>
      <c r="AG4174">
        <v>-5.4776999999999999E-2</v>
      </c>
      <c r="AH4174">
        <v>0.52260004568834295</v>
      </c>
      <c r="AI4174">
        <v>95.889114002793505</v>
      </c>
      <c r="AJ4174">
        <v>79.763607309763799</v>
      </c>
      <c r="AK4174">
        <v>0.53387044337573397</v>
      </c>
    </row>
    <row r="4175" spans="1:37" x14ac:dyDescent="0.2">
      <c r="A4175" t="str">
        <f>"20200111155935040"</f>
        <v>20200111155935040</v>
      </c>
      <c r="B4175" t="str">
        <f>"1578729575033820"</f>
        <v>1578729575033820</v>
      </c>
      <c r="C4175" t="s">
        <v>37</v>
      </c>
      <c r="D4175">
        <v>5.2376809999999896</v>
      </c>
      <c r="E4175">
        <v>0.5423365</v>
      </c>
      <c r="F4175" t="s">
        <v>38</v>
      </c>
      <c r="G4175">
        <v>-349.75490000000002</v>
      </c>
      <c r="H4175">
        <v>1.049893</v>
      </c>
      <c r="I4175">
        <v>141.43350000000001</v>
      </c>
      <c r="J4175">
        <v>-349.27289999999999</v>
      </c>
      <c r="K4175">
        <v>1.103982</v>
      </c>
      <c r="L4175">
        <v>141.33760000000001</v>
      </c>
      <c r="M4175">
        <v>-0.99991790000000003</v>
      </c>
      <c r="N4175">
        <v>0</v>
      </c>
      <c r="O4175">
        <v>7.5383259999999997E-3</v>
      </c>
      <c r="P4175">
        <v>-0.99919419999999903</v>
      </c>
      <c r="Q4175">
        <v>3.9465979999999998E-2</v>
      </c>
      <c r="R4175">
        <v>7.330853E-3</v>
      </c>
      <c r="S4175">
        <v>-3.0077210000000001</v>
      </c>
      <c r="T4175">
        <v>-0.18903539999999999</v>
      </c>
      <c r="U4175">
        <v>0.34414670000000003</v>
      </c>
      <c r="V4175">
        <v>-2.1556430000000001E-4</v>
      </c>
      <c r="W4175">
        <v>4.9828699999999997E-2</v>
      </c>
      <c r="X4175">
        <v>0.99875780000000003</v>
      </c>
      <c r="Y4175">
        <v>0.10599459999999999</v>
      </c>
      <c r="Z4175">
        <v>2.8450559999999999E-3</v>
      </c>
      <c r="AA4175">
        <v>0.99436270000000004</v>
      </c>
      <c r="AB4175">
        <v>37</v>
      </c>
      <c r="AC4175">
        <v>-0.48200000000002702</v>
      </c>
      <c r="AD4175">
        <v>-5.4088999999999998E-2</v>
      </c>
      <c r="AE4175">
        <v>9.5900000000000304E-2</v>
      </c>
      <c r="AF4175">
        <v>9.1159363695120094E-2</v>
      </c>
      <c r="AG4175">
        <v>-5.4088999999999998E-2</v>
      </c>
      <c r="AH4175">
        <v>0.47693203500106801</v>
      </c>
      <c r="AI4175">
        <v>96.356187659234493</v>
      </c>
      <c r="AJ4175">
        <v>79.179169931211305</v>
      </c>
      <c r="AK4175">
        <v>0.48856915121665101</v>
      </c>
    </row>
    <row r="4176" spans="1:37" x14ac:dyDescent="0.2">
      <c r="A4176" t="str">
        <f>"20200111155935085"</f>
        <v>20200111155935085</v>
      </c>
      <c r="B4176" t="str">
        <f>"1578729575074812"</f>
        <v>1578729575074812</v>
      </c>
      <c r="C4176" t="s">
        <v>37</v>
      </c>
      <c r="D4176">
        <v>5.2941669999999998</v>
      </c>
      <c r="E4176">
        <v>0.60810430000000004</v>
      </c>
      <c r="F4176" t="s">
        <v>38</v>
      </c>
      <c r="G4176">
        <v>-350.08789999999999</v>
      </c>
      <c r="H4176">
        <v>1.0513079999999999</v>
      </c>
      <c r="I4176">
        <v>141.43090000000001</v>
      </c>
      <c r="J4176">
        <v>-350.01729999999998</v>
      </c>
      <c r="K4176">
        <v>1.1040350000000001</v>
      </c>
      <c r="L4176">
        <v>141.34289999999999</v>
      </c>
      <c r="M4176">
        <v>-0.99990769999999995</v>
      </c>
      <c r="N4176">
        <v>0</v>
      </c>
      <c r="O4176">
        <v>7.2966910000000001E-3</v>
      </c>
      <c r="P4176">
        <v>-0.9992723</v>
      </c>
      <c r="Q4176">
        <v>3.7459550000000001E-2</v>
      </c>
      <c r="R4176">
        <v>7.189801E-3</v>
      </c>
      <c r="S4176">
        <v>-3.0075379999999998</v>
      </c>
      <c r="T4176">
        <v>-0.1944427</v>
      </c>
      <c r="U4176">
        <v>0.34411619999999998</v>
      </c>
      <c r="V4176">
        <v>-1.1555799999999999E-4</v>
      </c>
      <c r="W4176">
        <v>4.8915229999999997E-2</v>
      </c>
      <c r="X4176">
        <v>0.99880290000000005</v>
      </c>
      <c r="Y4176">
        <v>0.10621949999999999</v>
      </c>
      <c r="Z4176">
        <v>2.9492390000000002E-3</v>
      </c>
      <c r="AA4176">
        <v>0.99433830000000001</v>
      </c>
      <c r="AB4176">
        <v>37</v>
      </c>
      <c r="AC4176">
        <v>-7.0600000000013097E-2</v>
      </c>
      <c r="AD4176">
        <v>-5.27270000000001E-2</v>
      </c>
      <c r="AE4176">
        <v>8.8000000000022199E-2</v>
      </c>
      <c r="AF4176">
        <v>7.17998973271676E-2</v>
      </c>
      <c r="AG4176">
        <v>-5.27270000000001E-2</v>
      </c>
      <c r="AH4176">
        <v>5.8469356951344198E-2</v>
      </c>
      <c r="AI4176">
        <v>119.65869645776399</v>
      </c>
      <c r="AJ4176">
        <v>39.157222066692597</v>
      </c>
      <c r="AK4176">
        <v>0.10655527902218399</v>
      </c>
    </row>
    <row r="4177" spans="1:37" x14ac:dyDescent="0.2">
      <c r="A4177" t="str">
        <f>"20200111155935107"</f>
        <v>20200111155935107</v>
      </c>
      <c r="B4177" t="str">
        <f>"1578729575104092"</f>
        <v>1578729575104092</v>
      </c>
      <c r="C4177" t="s">
        <v>37</v>
      </c>
      <c r="D4177">
        <v>5.1766350000000001</v>
      </c>
      <c r="E4177">
        <v>0.50746999999999998</v>
      </c>
      <c r="F4177" t="s">
        <v>73</v>
      </c>
      <c r="G4177">
        <v>-441.2131</v>
      </c>
      <c r="H4177">
        <v>3.5013679999999998</v>
      </c>
      <c r="I4177">
        <v>168.25129999999999</v>
      </c>
      <c r="J4177">
        <v>-350.38</v>
      </c>
      <c r="K4177">
        <v>1.1040490000000001</v>
      </c>
      <c r="L4177">
        <v>141.34549999999999</v>
      </c>
      <c r="M4177">
        <v>-0.9999034</v>
      </c>
      <c r="N4177">
        <v>0</v>
      </c>
      <c r="O4177">
        <v>7.177381E-3</v>
      </c>
      <c r="P4177">
        <v>-0.99929429999999997</v>
      </c>
      <c r="Q4177">
        <v>3.6895560000000001E-2</v>
      </c>
      <c r="R4177">
        <v>7.026628E-3</v>
      </c>
      <c r="S4177">
        <v>-2.9928889999999999</v>
      </c>
      <c r="T4177">
        <v>7.8677540000000004E-2</v>
      </c>
      <c r="U4177">
        <v>0.88308719999999996</v>
      </c>
      <c r="V4177">
        <v>-1.5985199999999999E-4</v>
      </c>
      <c r="W4177">
        <v>4.8786639999999999E-2</v>
      </c>
      <c r="X4177">
        <v>0.99880919999999895</v>
      </c>
      <c r="Y4177">
        <v>0.2760225</v>
      </c>
      <c r="Z4177">
        <v>-3.3671029999999898E-3</v>
      </c>
      <c r="AA4177">
        <v>0.96114529999999998</v>
      </c>
      <c r="AB4177">
        <v>37</v>
      </c>
      <c r="AC4177">
        <v>-90.833100000000002</v>
      </c>
      <c r="AD4177">
        <v>2.3973189999999902</v>
      </c>
      <c r="AE4177">
        <v>26.905799999999999</v>
      </c>
      <c r="AF4177">
        <v>26.236315702454299</v>
      </c>
      <c r="AG4177">
        <v>2.3973189999999902</v>
      </c>
      <c r="AH4177">
        <v>90.965634293806104</v>
      </c>
      <c r="AI4177">
        <v>88.549469843315705</v>
      </c>
      <c r="AJ4177">
        <v>73.911376491144495</v>
      </c>
      <c r="AK4177">
        <v>94.703949350072406</v>
      </c>
    </row>
    <row r="4178" spans="1:37" x14ac:dyDescent="0.2">
      <c r="A4178" t="str">
        <f>"20200111155935129"</f>
        <v>20200111155935129</v>
      </c>
      <c r="B4178" t="str">
        <f>"1578729575124589"</f>
        <v>1578729575124589</v>
      </c>
      <c r="C4178" t="s">
        <v>37</v>
      </c>
      <c r="D4178">
        <v>5.1638970000000004</v>
      </c>
      <c r="E4178">
        <v>0.50816329999999998</v>
      </c>
      <c r="F4178" t="s">
        <v>38</v>
      </c>
      <c r="G4178">
        <v>-351.3963</v>
      </c>
      <c r="H4178">
        <v>1.0248949999999999</v>
      </c>
      <c r="I4178">
        <v>141.36670000000001</v>
      </c>
      <c r="J4178">
        <v>-350.75170000000003</v>
      </c>
      <c r="K4178">
        <v>1.104061</v>
      </c>
      <c r="L4178">
        <v>141.34799999999899</v>
      </c>
      <c r="M4178">
        <v>-0.999899599999999</v>
      </c>
      <c r="N4178">
        <v>0</v>
      </c>
      <c r="O4178">
        <v>7.0550379999999996E-3</v>
      </c>
      <c r="P4178">
        <v>-0.99930269999999999</v>
      </c>
      <c r="Q4178">
        <v>3.6747090000000003E-2</v>
      </c>
      <c r="R4178">
        <v>6.6472819999999896E-3</v>
      </c>
      <c r="S4178">
        <v>-3.010284</v>
      </c>
      <c r="T4178">
        <v>-0.23443659999999999</v>
      </c>
      <c r="U4178">
        <v>6.2805180000000002E-2</v>
      </c>
      <c r="V4178">
        <v>-4.1655609999999998E-4</v>
      </c>
      <c r="W4178">
        <v>4.9029540000000003E-2</v>
      </c>
      <c r="X4178">
        <v>0.99879719999999905</v>
      </c>
      <c r="Y4178">
        <v>1.3784080000000001E-2</v>
      </c>
      <c r="Z4178" s="1">
        <v>-1.2701439999999999E-5</v>
      </c>
      <c r="AA4178">
        <v>0.99990499999999904</v>
      </c>
      <c r="AB4178">
        <v>37</v>
      </c>
      <c r="AC4178">
        <v>-0.64459999999996798</v>
      </c>
      <c r="AD4178">
        <v>-7.9165999999999806E-2</v>
      </c>
      <c r="AE4178">
        <v>1.8700000000023899E-2</v>
      </c>
      <c r="AF4178">
        <v>1.3941407798671099E-2</v>
      </c>
      <c r="AG4178">
        <v>-7.9165999999999806E-2</v>
      </c>
      <c r="AH4178">
        <v>0.635143875131014</v>
      </c>
      <c r="AI4178">
        <v>97.103160942872904</v>
      </c>
      <c r="AJ4178">
        <v>88.742559583214799</v>
      </c>
      <c r="AK4178">
        <v>0.64021040332366497</v>
      </c>
    </row>
    <row r="4179" spans="1:37" x14ac:dyDescent="0.2">
      <c r="A4179" t="str">
        <f>"20200111155935151"</f>
        <v>20200111155935151</v>
      </c>
      <c r="B4179" t="str">
        <f>"1578729575144108"</f>
        <v>1578729575144108</v>
      </c>
      <c r="C4179" t="s">
        <v>37</v>
      </c>
      <c r="D4179">
        <v>5.1865180000000004</v>
      </c>
      <c r="E4179">
        <v>0.50909499999999996</v>
      </c>
      <c r="F4179" t="s">
        <v>38</v>
      </c>
      <c r="G4179">
        <v>-351.7287</v>
      </c>
      <c r="H4179">
        <v>1.0304199999999999</v>
      </c>
      <c r="I4179">
        <v>141.37010000000001</v>
      </c>
      <c r="J4179">
        <v>-351.12150000000003</v>
      </c>
      <c r="K4179">
        <v>1.1040729999999901</v>
      </c>
      <c r="L4179">
        <v>141.35050000000001</v>
      </c>
      <c r="M4179">
        <v>-0.99989619999999901</v>
      </c>
      <c r="N4179">
        <v>0</v>
      </c>
      <c r="O4179">
        <v>6.9332500000000002E-3</v>
      </c>
      <c r="P4179">
        <v>-0.99932219999999905</v>
      </c>
      <c r="Q4179">
        <v>3.6302090000000002E-2</v>
      </c>
      <c r="R4179">
        <v>6.1245689999999998E-3</v>
      </c>
      <c r="S4179">
        <v>-3.0100099999999999</v>
      </c>
      <c r="T4179">
        <v>-0.22691430000000001</v>
      </c>
      <c r="U4179">
        <v>6.7581180000000005E-2</v>
      </c>
      <c r="V4179">
        <v>-8.1757429999999897E-4</v>
      </c>
      <c r="W4179">
        <v>4.8924290000000002E-2</v>
      </c>
      <c r="X4179">
        <v>0.99880219999999897</v>
      </c>
      <c r="Y4179">
        <v>1.5489630000000001E-2</v>
      </c>
      <c r="Z4179" s="1">
        <v>6.1058500000000005E-5</v>
      </c>
      <c r="AA4179">
        <v>0.99987999999999899</v>
      </c>
      <c r="AB4179">
        <v>37</v>
      </c>
      <c r="AC4179">
        <v>-0.60719999999997698</v>
      </c>
      <c r="AD4179">
        <v>-7.3652999999999705E-2</v>
      </c>
      <c r="AE4179">
        <v>1.9599999999996901E-2</v>
      </c>
      <c r="AF4179">
        <v>1.51664042976871E-2</v>
      </c>
      <c r="AG4179">
        <v>-7.3652999999999705E-2</v>
      </c>
      <c r="AH4179">
        <v>0.59852406092173005</v>
      </c>
      <c r="AI4179">
        <v>97.013188520384105</v>
      </c>
      <c r="AJ4179">
        <v>88.548454278591294</v>
      </c>
      <c r="AK4179">
        <v>0.60322950502322104</v>
      </c>
    </row>
    <row r="4180" spans="1:37" x14ac:dyDescent="0.2">
      <c r="A4180" t="str">
        <f>"20200111155935174"</f>
        <v>20200111155935174</v>
      </c>
      <c r="B4180" t="str">
        <f>"1578729575164604"</f>
        <v>1578729575164604</v>
      </c>
      <c r="C4180" t="s">
        <v>37</v>
      </c>
      <c r="D4180">
        <v>5.1342569999999998</v>
      </c>
      <c r="E4180">
        <v>0.50924399999999903</v>
      </c>
      <c r="F4180" t="s">
        <v>38</v>
      </c>
      <c r="G4180">
        <v>-352.06259999999997</v>
      </c>
      <c r="H4180">
        <v>1.038502</v>
      </c>
      <c r="I4180">
        <v>141.37389999999999</v>
      </c>
      <c r="J4180">
        <v>-351.48469999999998</v>
      </c>
      <c r="K4180">
        <v>1.104087</v>
      </c>
      <c r="L4180">
        <v>141.35290000000001</v>
      </c>
      <c r="M4180">
        <v>-0.99989340000000004</v>
      </c>
      <c r="N4180">
        <v>0</v>
      </c>
      <c r="O4180">
        <v>6.813398E-3</v>
      </c>
      <c r="P4180">
        <v>-0.99935669999999899</v>
      </c>
      <c r="Q4180">
        <v>3.5409959999999997E-2</v>
      </c>
      <c r="R4180">
        <v>5.6987050000000001E-3</v>
      </c>
      <c r="S4180">
        <v>-3.0091860000000001</v>
      </c>
      <c r="T4180">
        <v>-0.20968909999999999</v>
      </c>
      <c r="U4180">
        <v>7.4523930000000002E-2</v>
      </c>
      <c r="V4180">
        <v>-1.123846E-3</v>
      </c>
      <c r="W4180">
        <v>4.8323230000000002E-2</v>
      </c>
      <c r="X4180">
        <v>0.99883109999999997</v>
      </c>
      <c r="Y4180">
        <v>1.7918529999999998E-2</v>
      </c>
      <c r="Z4180">
        <v>1.492997E-4</v>
      </c>
      <c r="AA4180">
        <v>0.99983940000000004</v>
      </c>
      <c r="AB4180">
        <v>37</v>
      </c>
      <c r="AC4180">
        <v>-0.57789999999999897</v>
      </c>
      <c r="AD4180">
        <v>-6.5585000000000004E-2</v>
      </c>
      <c r="AE4180">
        <v>2.0999999999986502E-2</v>
      </c>
      <c r="AF4180">
        <v>1.6845049388431701E-2</v>
      </c>
      <c r="AG4180">
        <v>-6.5585000000000004E-2</v>
      </c>
      <c r="AH4180">
        <v>0.57068910122543703</v>
      </c>
      <c r="AI4180">
        <v>96.552982891009506</v>
      </c>
      <c r="AJ4180">
        <v>88.309289449195703</v>
      </c>
      <c r="AK4180">
        <v>0.57469226388685302</v>
      </c>
    </row>
    <row r="4181" spans="1:37" x14ac:dyDescent="0.2">
      <c r="A4181" t="str">
        <f>"20200111155935195"</f>
        <v>20200111155935195</v>
      </c>
      <c r="B4181" t="str">
        <f>"1578729575184124"</f>
        <v>1578729575184124</v>
      </c>
      <c r="C4181" t="s">
        <v>37</v>
      </c>
      <c r="D4181">
        <v>5.3678540000000003</v>
      </c>
      <c r="E4181">
        <v>0.50875340000000002</v>
      </c>
      <c r="F4181" t="s">
        <v>38</v>
      </c>
      <c r="G4181">
        <v>-352.39299999999997</v>
      </c>
      <c r="H4181">
        <v>1.040154</v>
      </c>
      <c r="I4181">
        <v>141.37569999999999</v>
      </c>
      <c r="J4181">
        <v>-351.8458</v>
      </c>
      <c r="K4181">
        <v>1.1040989999999999</v>
      </c>
      <c r="L4181">
        <v>141.3552</v>
      </c>
      <c r="M4181">
        <v>-0.99989079999999997</v>
      </c>
      <c r="N4181">
        <v>0</v>
      </c>
      <c r="O4181">
        <v>6.6946009999999997E-3</v>
      </c>
      <c r="P4181">
        <v>-0.99938259999999901</v>
      </c>
      <c r="Q4181">
        <v>3.4743330000000003E-2</v>
      </c>
      <c r="R4181">
        <v>5.2533459999999999E-3</v>
      </c>
      <c r="S4181">
        <v>-3.0090029999999999</v>
      </c>
      <c r="T4181">
        <v>-0.211902799999999</v>
      </c>
      <c r="U4181">
        <v>7.4462890000000004E-2</v>
      </c>
      <c r="V4181">
        <v>-1.4501270000000001E-3</v>
      </c>
      <c r="W4181">
        <v>4.790838E-2</v>
      </c>
      <c r="X4181">
        <v>0.99885069999999998</v>
      </c>
      <c r="Y4181">
        <v>1.8017419999999999E-2</v>
      </c>
      <c r="Z4181">
        <v>1.6271149999999999E-4</v>
      </c>
      <c r="AA4181">
        <v>0.99983759999999999</v>
      </c>
      <c r="AB4181">
        <v>37</v>
      </c>
      <c r="AC4181">
        <v>-0.54720000000003199</v>
      </c>
      <c r="AD4181">
        <v>-6.3944999999999905E-2</v>
      </c>
      <c r="AE4181">
        <v>2.0499999999998401E-2</v>
      </c>
      <c r="AF4181">
        <v>1.6609437626869901E-2</v>
      </c>
      <c r="AG4181">
        <v>-6.3944999999999905E-2</v>
      </c>
      <c r="AH4181">
        <v>0.53996164759236298</v>
      </c>
      <c r="AI4181">
        <v>96.7506379665476</v>
      </c>
      <c r="AJ4181">
        <v>88.238114319300706</v>
      </c>
      <c r="AK4181">
        <v>0.54398843490826099</v>
      </c>
    </row>
    <row r="4182" spans="1:37" x14ac:dyDescent="0.2">
      <c r="A4182" t="str">
        <f>"20200111155935218"</f>
        <v>20200111155935218</v>
      </c>
      <c r="B4182" t="str">
        <f>"1578729575214380"</f>
        <v>1578729575214380</v>
      </c>
      <c r="C4182" t="s">
        <v>37</v>
      </c>
      <c r="D4182">
        <v>5.1477029999999999</v>
      </c>
      <c r="E4182">
        <v>0.50866650000000002</v>
      </c>
      <c r="F4182" t="s">
        <v>38</v>
      </c>
      <c r="G4182">
        <v>-352.7235</v>
      </c>
      <c r="H4182">
        <v>1.0420069999999999</v>
      </c>
      <c r="I4182">
        <v>141.37540000000001</v>
      </c>
      <c r="J4182">
        <v>-352.20870000000002</v>
      </c>
      <c r="K4182">
        <v>1.1041099999999999</v>
      </c>
      <c r="L4182">
        <v>141.35749999999999</v>
      </c>
      <c r="M4182">
        <v>-0.99988880000000002</v>
      </c>
      <c r="N4182">
        <v>0</v>
      </c>
      <c r="O4182">
        <v>6.5755140000000002E-3</v>
      </c>
      <c r="P4182">
        <v>-0.99939199999999995</v>
      </c>
      <c r="Q4182">
        <v>3.4546590000000002E-2</v>
      </c>
      <c r="R4182">
        <v>4.7303090000000002E-3</v>
      </c>
      <c r="S4182">
        <v>-3.0088810000000001</v>
      </c>
      <c r="T4182">
        <v>-0.2128295</v>
      </c>
      <c r="U4182">
        <v>6.9290160000000003E-2</v>
      </c>
      <c r="V4182">
        <v>-1.8540179999999901E-3</v>
      </c>
      <c r="W4182">
        <v>4.7931250000000002E-2</v>
      </c>
      <c r="X4182">
        <v>0.99884889999999904</v>
      </c>
      <c r="Y4182">
        <v>1.6423E-2</v>
      </c>
      <c r="Z4182">
        <v>1.1552950000000001E-4</v>
      </c>
      <c r="AA4182">
        <v>0.99986509999999995</v>
      </c>
      <c r="AB4182">
        <v>37</v>
      </c>
      <c r="AC4182">
        <v>-0.51479999999997905</v>
      </c>
      <c r="AD4182">
        <v>-6.21030000000002E-2</v>
      </c>
      <c r="AE4182">
        <v>1.7900000000025701E-2</v>
      </c>
      <c r="AF4182">
        <v>1.4306289198135499E-2</v>
      </c>
      <c r="AG4182">
        <v>-6.21030000000002E-2</v>
      </c>
      <c r="AH4182">
        <v>0.50752949858958596</v>
      </c>
      <c r="AI4182">
        <v>96.973479928288299</v>
      </c>
      <c r="AJ4182">
        <v>88.385368737623807</v>
      </c>
      <c r="AK4182">
        <v>0.51151504812489901</v>
      </c>
    </row>
    <row r="4183" spans="1:37" x14ac:dyDescent="0.2">
      <c r="A4183" t="str">
        <f>"20200111155935241"</f>
        <v>20200111155935241</v>
      </c>
      <c r="B4183" t="str">
        <f>"1578729575234879"</f>
        <v>1578729575234879</v>
      </c>
      <c r="C4183" t="s">
        <v>37</v>
      </c>
      <c r="D4183">
        <v>5.1811959999999999</v>
      </c>
      <c r="E4183">
        <v>0.50854029999999995</v>
      </c>
      <c r="F4183" t="s">
        <v>38</v>
      </c>
      <c r="G4183">
        <v>-353.05430000000001</v>
      </c>
      <c r="H4183">
        <v>1.044805</v>
      </c>
      <c r="I4183">
        <v>141.3766</v>
      </c>
      <c r="J4183">
        <v>-352.5958</v>
      </c>
      <c r="K4183">
        <v>1.1041209999999999</v>
      </c>
      <c r="L4183">
        <v>141.35990000000001</v>
      </c>
      <c r="M4183">
        <v>-0.99988690000000002</v>
      </c>
      <c r="N4183">
        <v>0</v>
      </c>
      <c r="O4183">
        <v>6.4482990000000002E-3</v>
      </c>
      <c r="P4183">
        <v>-0.99939549999999999</v>
      </c>
      <c r="Q4183">
        <v>3.4494660000000003E-2</v>
      </c>
      <c r="R4183">
        <v>4.3574159999999898E-3</v>
      </c>
      <c r="S4183">
        <v>-3.0087890000000002</v>
      </c>
      <c r="T4183">
        <v>-0.21109259999999999</v>
      </c>
      <c r="U4183">
        <v>6.7337040000000001E-2</v>
      </c>
      <c r="V4183">
        <v>-2.0997670000000002E-3</v>
      </c>
      <c r="W4183">
        <v>4.8081749999999999E-2</v>
      </c>
      <c r="X4183">
        <v>0.99884119999999998</v>
      </c>
      <c r="Y4183">
        <v>1.5903540000000001E-2</v>
      </c>
      <c r="Z4183">
        <v>1.053074E-4</v>
      </c>
      <c r="AA4183">
        <v>0.99987349999999997</v>
      </c>
      <c r="AB4183">
        <v>37</v>
      </c>
      <c r="AC4183">
        <v>-0.45850000000001501</v>
      </c>
      <c r="AD4183">
        <v>-5.9315999999999897E-2</v>
      </c>
      <c r="AE4183">
        <v>1.66999999999859E-2</v>
      </c>
      <c r="AF4183">
        <v>1.35169084872819E-2</v>
      </c>
      <c r="AG4183">
        <v>-5.9315999999999897E-2</v>
      </c>
      <c r="AH4183">
        <v>0.45105900821225198</v>
      </c>
      <c r="AI4183">
        <v>97.488305132326303</v>
      </c>
      <c r="AJ4183">
        <v>88.283528117944698</v>
      </c>
      <c r="AK4183">
        <v>0.45514319017257998</v>
      </c>
    </row>
    <row r="4184" spans="1:37" x14ac:dyDescent="0.2">
      <c r="A4184" t="str">
        <f>"20200111155935264"</f>
        <v>20200111155935264</v>
      </c>
      <c r="B4184" t="str">
        <f>"1578729575254396"</f>
        <v>1578729575254396</v>
      </c>
      <c r="C4184" t="s">
        <v>37</v>
      </c>
      <c r="D4184">
        <v>5.1655959999999999</v>
      </c>
      <c r="E4184">
        <v>0.50861959999999995</v>
      </c>
      <c r="F4184" t="s">
        <v>39</v>
      </c>
      <c r="G4184">
        <v>-368.3571</v>
      </c>
      <c r="H4184" s="1">
        <v>-1.2421989999999999E-6</v>
      </c>
      <c r="I4184">
        <v>141.70240000000001</v>
      </c>
      <c r="J4184">
        <v>-352.96039999999999</v>
      </c>
      <c r="K4184">
        <v>1.1041399999999999</v>
      </c>
      <c r="L4184">
        <v>141.3621</v>
      </c>
      <c r="M4184">
        <v>-0.99988529999999998</v>
      </c>
      <c r="N4184">
        <v>0</v>
      </c>
      <c r="O4184">
        <v>6.3283089999999998E-3</v>
      </c>
      <c r="P4184">
        <v>-0.99937419999999999</v>
      </c>
      <c r="Q4184">
        <v>3.5158219999999997E-2</v>
      </c>
      <c r="R4184">
        <v>3.9604059999999996E-3</v>
      </c>
      <c r="S4184">
        <v>-3.0088200000000001</v>
      </c>
      <c r="T4184">
        <v>-0.21077660000000001</v>
      </c>
      <c r="U4184">
        <v>6.5399170000000006E-2</v>
      </c>
      <c r="V4184">
        <v>-2.3768700000000001E-3</v>
      </c>
      <c r="W4184">
        <v>4.8908569999999998E-2</v>
      </c>
      <c r="X4184">
        <v>0.99880049999999898</v>
      </c>
      <c r="Y4184">
        <v>1.5380670000000001E-2</v>
      </c>
      <c r="Z4184" s="1">
        <v>9.5253780000000005E-5</v>
      </c>
      <c r="AA4184">
        <v>0.99988169999999899</v>
      </c>
      <c r="AB4184">
        <v>37</v>
      </c>
      <c r="AC4184">
        <v>-15.396699999999999</v>
      </c>
      <c r="AD4184">
        <v>-1.104141242199</v>
      </c>
      <c r="AE4184">
        <v>0.34030000000001298</v>
      </c>
      <c r="AF4184">
        <v>0.24160697048770399</v>
      </c>
      <c r="AG4184">
        <v>-1.104141242199</v>
      </c>
      <c r="AH4184">
        <v>15.319798204480101</v>
      </c>
      <c r="AI4184">
        <v>94.121830332680503</v>
      </c>
      <c r="AJ4184">
        <v>89.096469025973207</v>
      </c>
      <c r="AK4184">
        <v>15.3614360929213</v>
      </c>
    </row>
    <row r="4185" spans="1:37" x14ac:dyDescent="0.2">
      <c r="A4185" t="str">
        <f>"20200111155935286"</f>
        <v>20200111155935286</v>
      </c>
      <c r="B4185" t="str">
        <f>"1578729575274895"</f>
        <v>1578729575274895</v>
      </c>
      <c r="C4185" t="s">
        <v>37</v>
      </c>
      <c r="D4185">
        <v>5.1434980000000001</v>
      </c>
      <c r="E4185">
        <v>0.50844979999999995</v>
      </c>
      <c r="F4185" t="s">
        <v>39</v>
      </c>
      <c r="G4185">
        <v>-368.90690000000001</v>
      </c>
      <c r="H4185" s="1">
        <v>-1.0072849999999899E-6</v>
      </c>
      <c r="I4185">
        <v>141.70599999999999</v>
      </c>
      <c r="J4185">
        <v>-353.32510000000002</v>
      </c>
      <c r="K4185">
        <v>1.1041570000000001</v>
      </c>
      <c r="L4185">
        <v>141.36429999999999</v>
      </c>
      <c r="M4185">
        <v>-0.999884199999999</v>
      </c>
      <c r="N4185">
        <v>0</v>
      </c>
      <c r="O4185">
        <v>6.2080549999999996E-3</v>
      </c>
      <c r="P4185">
        <v>-0.99937659999999995</v>
      </c>
      <c r="Q4185">
        <v>3.5185189999999998E-2</v>
      </c>
      <c r="R4185">
        <v>2.9617419999999998E-3</v>
      </c>
      <c r="S4185">
        <v>-3.0089419999999998</v>
      </c>
      <c r="T4185">
        <v>-0.20834139999999901</v>
      </c>
      <c r="U4185">
        <v>6.4895629999999996E-2</v>
      </c>
      <c r="V4185">
        <v>-3.2560269999999999E-3</v>
      </c>
      <c r="W4185">
        <v>4.9075750000000001E-2</v>
      </c>
      <c r="X4185">
        <v>0.998789699999999</v>
      </c>
      <c r="Y4185">
        <v>1.533312E-2</v>
      </c>
      <c r="Z4185">
        <v>1.008233E-4</v>
      </c>
      <c r="AA4185">
        <v>0.99988250000000001</v>
      </c>
      <c r="AB4185">
        <v>37</v>
      </c>
      <c r="AC4185">
        <v>-15.5817999999999</v>
      </c>
      <c r="AD4185">
        <v>-1.1041580072849999</v>
      </c>
      <c r="AE4185">
        <v>0.34170000000003098</v>
      </c>
      <c r="AF4185">
        <v>0.243728129533268</v>
      </c>
      <c r="AG4185">
        <v>-1.1041580072849999</v>
      </c>
      <c r="AH4185">
        <v>15.5057973627998</v>
      </c>
      <c r="AI4185">
        <v>94.072619431752301</v>
      </c>
      <c r="AJ4185">
        <v>89.099469512653698</v>
      </c>
      <c r="AK4185">
        <v>15.546971414471299</v>
      </c>
    </row>
    <row r="4186" spans="1:37" x14ac:dyDescent="0.2">
      <c r="A4186" t="str">
        <f>"20200111155935308"</f>
        <v>20200111155935308</v>
      </c>
      <c r="B4186" t="str">
        <f>"1578729575304174"</f>
        <v>1578729575304174</v>
      </c>
      <c r="C4186" t="s">
        <v>37</v>
      </c>
      <c r="D4186">
        <v>4.178083</v>
      </c>
      <c r="E4186">
        <v>0.45331499999999902</v>
      </c>
      <c r="F4186" t="s">
        <v>38</v>
      </c>
      <c r="G4186">
        <v>-354.35390000000001</v>
      </c>
      <c r="H4186">
        <v>1.034206</v>
      </c>
      <c r="I4186">
        <v>141.38550000000001</v>
      </c>
      <c r="J4186">
        <v>-353.68220000000002</v>
      </c>
      <c r="K4186">
        <v>1.104179</v>
      </c>
      <c r="L4186">
        <v>141.3664</v>
      </c>
      <c r="M4186">
        <v>-0.99988339999999998</v>
      </c>
      <c r="N4186">
        <v>0</v>
      </c>
      <c r="O4186">
        <v>6.0905739999999996E-3</v>
      </c>
      <c r="P4186">
        <v>-0.9993573</v>
      </c>
      <c r="Q4186">
        <v>3.5777280000000002E-2</v>
      </c>
      <c r="R4186">
        <v>2.3662729999999999E-3</v>
      </c>
      <c r="S4186">
        <v>-3.0088810000000001</v>
      </c>
      <c r="T4186">
        <v>-0.2046279</v>
      </c>
      <c r="U4186">
        <v>6.1019900000000002E-2</v>
      </c>
      <c r="V4186">
        <v>-3.7340609999999999E-3</v>
      </c>
      <c r="W4186">
        <v>4.9785349999999999E-2</v>
      </c>
      <c r="X4186">
        <v>0.998753</v>
      </c>
      <c r="Y4186">
        <v>1.416682E-2</v>
      </c>
      <c r="Z4186" s="1">
        <v>6.7403769999999896E-5</v>
      </c>
      <c r="AA4186">
        <v>0.999899599999999</v>
      </c>
      <c r="AB4186">
        <v>37</v>
      </c>
      <c r="AC4186">
        <v>-0.67169999999998697</v>
      </c>
      <c r="AD4186">
        <v>-6.9972999999999994E-2</v>
      </c>
      <c r="AE4186">
        <v>1.91000000000087E-2</v>
      </c>
      <c r="AF4186">
        <v>1.48472139646963E-2</v>
      </c>
      <c r="AG4186">
        <v>-6.9972999999999994E-2</v>
      </c>
      <c r="AH4186">
        <v>0.66459748693720599</v>
      </c>
      <c r="AI4186">
        <v>96.008828191450604</v>
      </c>
      <c r="AJ4186">
        <v>88.7202160158038</v>
      </c>
      <c r="AK4186">
        <v>0.66843584593793504</v>
      </c>
    </row>
    <row r="4187" spans="1:37" x14ac:dyDescent="0.2">
      <c r="A4187" t="str">
        <f>"20200111155935330"</f>
        <v>20200111155935330</v>
      </c>
      <c r="B4187" t="str">
        <f>"1578729575324668"</f>
        <v>1578729575324668</v>
      </c>
      <c r="C4187" t="s">
        <v>37</v>
      </c>
      <c r="D4187">
        <v>5.0153189999999999</v>
      </c>
      <c r="E4187">
        <v>0.39775549999999998</v>
      </c>
      <c r="F4187" t="s">
        <v>39</v>
      </c>
      <c r="G4187">
        <v>-388.10469999999998</v>
      </c>
      <c r="H4187" s="1">
        <v>-1.3101970000000001E-6</v>
      </c>
      <c r="I4187">
        <v>137.06370000000001</v>
      </c>
      <c r="J4187">
        <v>-354.0455</v>
      </c>
      <c r="K4187">
        <v>1.104195</v>
      </c>
      <c r="L4187">
        <v>141.36850000000001</v>
      </c>
      <c r="M4187">
        <v>-0.99988250000000001</v>
      </c>
      <c r="N4187">
        <v>0</v>
      </c>
      <c r="O4187">
        <v>5.9709899999999998E-3</v>
      </c>
      <c r="P4187">
        <v>-0.99935309999999899</v>
      </c>
      <c r="Q4187">
        <v>3.5895110000000001E-2</v>
      </c>
      <c r="R4187">
        <v>2.2386820000000001E-3</v>
      </c>
      <c r="S4187">
        <v>-3.0063169999999899</v>
      </c>
      <c r="T4187">
        <v>-9.6434590000000001E-2</v>
      </c>
      <c r="U4187">
        <v>-0.37577820000000001</v>
      </c>
      <c r="V4187">
        <v>-3.7421159999999898E-3</v>
      </c>
      <c r="W4187">
        <v>5.0006809999999999E-2</v>
      </c>
      <c r="X4187">
        <v>0.99874189999999996</v>
      </c>
      <c r="Y4187">
        <v>-0.12988549999999999</v>
      </c>
      <c r="Z4187">
        <v>-2.2653650000000001E-3</v>
      </c>
      <c r="AA4187">
        <v>0.99152640000000003</v>
      </c>
      <c r="AB4187">
        <v>37</v>
      </c>
      <c r="AC4187">
        <v>-34.059199999999898</v>
      </c>
      <c r="AD4187">
        <v>-1.104196310197</v>
      </c>
      <c r="AE4187">
        <v>-4.3048000000000002</v>
      </c>
      <c r="AF4187">
        <v>-4.5034517290056604</v>
      </c>
      <c r="AG4187">
        <v>-1.104196310197</v>
      </c>
      <c r="AH4187">
        <v>33.997714776714197</v>
      </c>
      <c r="AI4187">
        <v>91.844132199297405</v>
      </c>
      <c r="AJ4187">
        <v>97.545662993760899</v>
      </c>
      <c r="AK4187">
        <v>34.312460375288502</v>
      </c>
    </row>
    <row r="4188" spans="1:37" x14ac:dyDescent="0.2">
      <c r="A4188" t="str">
        <f>"20200111155935353"</f>
        <v>20200111155935353</v>
      </c>
      <c r="B4188" t="str">
        <f>"1578729575344188"</f>
        <v>1578729575344188</v>
      </c>
      <c r="C4188" t="s">
        <v>37</v>
      </c>
      <c r="D4188">
        <v>4.9983709999999997</v>
      </c>
      <c r="E4188">
        <v>0.40021000000000001</v>
      </c>
      <c r="F4188" t="s">
        <v>39</v>
      </c>
      <c r="G4188">
        <v>-375.71519999999998</v>
      </c>
      <c r="H4188" s="1">
        <v>-2.56070299999999E-6</v>
      </c>
      <c r="I4188">
        <v>135.44319999999999</v>
      </c>
      <c r="J4188">
        <v>-354.41989999999998</v>
      </c>
      <c r="K4188">
        <v>1.1042099999999999</v>
      </c>
      <c r="L4188">
        <v>141.3706</v>
      </c>
      <c r="M4188">
        <v>-0.99988189999999999</v>
      </c>
      <c r="N4188">
        <v>0</v>
      </c>
      <c r="O4188">
        <v>5.8476129999999998E-3</v>
      </c>
      <c r="P4188">
        <v>-0.99938269999999996</v>
      </c>
      <c r="Q4188">
        <v>3.5066659999999999E-2</v>
      </c>
      <c r="R4188">
        <v>2.1829499999999999E-3</v>
      </c>
      <c r="S4188">
        <v>-3.0093079999999999</v>
      </c>
      <c r="T4188">
        <v>-0.15334210000000001</v>
      </c>
      <c r="U4188">
        <v>-0.82284550000000001</v>
      </c>
      <c r="V4188">
        <v>-3.6741479999999999E-3</v>
      </c>
      <c r="W4188">
        <v>4.9270059999999997E-2</v>
      </c>
      <c r="X4188">
        <v>0.99877879999999997</v>
      </c>
      <c r="Y4188">
        <v>-0.26905600000000002</v>
      </c>
      <c r="Z4188">
        <v>-7.0198219999999898E-3</v>
      </c>
      <c r="AA4188">
        <v>0.96309889999999998</v>
      </c>
      <c r="AB4188">
        <v>36</v>
      </c>
      <c r="AC4188">
        <v>-21.295300000000001</v>
      </c>
      <c r="AD4188">
        <v>-1.104212560703</v>
      </c>
      <c r="AE4188">
        <v>-5.9273999999999996</v>
      </c>
      <c r="AF4188">
        <v>-6.0367740509519701</v>
      </c>
      <c r="AG4188">
        <v>-1.104212560703</v>
      </c>
      <c r="AH4188">
        <v>21.2073515199295</v>
      </c>
      <c r="AI4188">
        <v>92.8668679542196</v>
      </c>
      <c r="AJ4188">
        <v>105.88925670045801</v>
      </c>
      <c r="AK4188">
        <v>22.077447425173901</v>
      </c>
    </row>
    <row r="4189" spans="1:37" x14ac:dyDescent="0.2">
      <c r="A4189" t="str">
        <f>"20200111155935376"</f>
        <v>20200111155935376</v>
      </c>
      <c r="B4189" t="str">
        <f>"1578729575364684"</f>
        <v>1578729575364684</v>
      </c>
      <c r="C4189" t="s">
        <v>37</v>
      </c>
      <c r="D4189">
        <v>4.9923260000000003</v>
      </c>
      <c r="E4189">
        <v>0.40168320000000002</v>
      </c>
      <c r="F4189" t="s">
        <v>39</v>
      </c>
      <c r="G4189">
        <v>-373.73050000000001</v>
      </c>
      <c r="H4189" s="1">
        <v>-3.2759470000000001E-6</v>
      </c>
      <c r="I4189">
        <v>136.21100000000001</v>
      </c>
      <c r="J4189">
        <v>-354.78269999999998</v>
      </c>
      <c r="K4189">
        <v>1.104222</v>
      </c>
      <c r="L4189">
        <v>141.37260000000001</v>
      </c>
      <c r="M4189">
        <v>-0.99988149999999998</v>
      </c>
      <c r="N4189">
        <v>0</v>
      </c>
      <c r="O4189">
        <v>5.7280990000000004E-3</v>
      </c>
      <c r="P4189">
        <v>-0.99938760000000004</v>
      </c>
      <c r="Q4189">
        <v>3.4943479999999999E-2</v>
      </c>
      <c r="R4189">
        <v>1.8224210000000001E-3</v>
      </c>
      <c r="S4189">
        <v>-3.0096129999999999</v>
      </c>
      <c r="T4189">
        <v>-0.17209549999999901</v>
      </c>
      <c r="U4189">
        <v>-0.80413819999999903</v>
      </c>
      <c r="V4189">
        <v>-3.915618E-3</v>
      </c>
      <c r="W4189">
        <v>4.9222429999999998E-2</v>
      </c>
      <c r="X4189">
        <v>0.99878020000000001</v>
      </c>
      <c r="Y4189">
        <v>-0.2632545</v>
      </c>
      <c r="Z4189">
        <v>-7.7129679999999997E-3</v>
      </c>
      <c r="AA4189">
        <v>0.96469559999999999</v>
      </c>
      <c r="AB4189">
        <v>36</v>
      </c>
      <c r="AC4189">
        <v>-18.947800000000001</v>
      </c>
      <c r="AD4189">
        <v>-1.1042252759469999</v>
      </c>
      <c r="AE4189">
        <v>-5.1615999999999902</v>
      </c>
      <c r="AF4189">
        <v>-5.2534518518835096</v>
      </c>
      <c r="AG4189">
        <v>-1.1042252759469999</v>
      </c>
      <c r="AH4189">
        <v>18.858297181061399</v>
      </c>
      <c r="AI4189">
        <v>93.228406933537201</v>
      </c>
      <c r="AJ4189">
        <v>105.56651255086</v>
      </c>
      <c r="AK4189">
        <v>19.607484346272599</v>
      </c>
    </row>
    <row r="4190" spans="1:37" x14ac:dyDescent="0.2">
      <c r="A4190" t="str">
        <f>"20200111155935396"</f>
        <v>20200111155935396</v>
      </c>
      <c r="B4190" t="str">
        <f>"1578729575394940"</f>
        <v>1578729575394940</v>
      </c>
      <c r="C4190" t="s">
        <v>37</v>
      </c>
      <c r="D4190">
        <v>5.0099330000000002</v>
      </c>
      <c r="E4190">
        <v>0.40240920000000002</v>
      </c>
      <c r="F4190" t="s">
        <v>39</v>
      </c>
      <c r="G4190">
        <v>-372.98430000000002</v>
      </c>
      <c r="H4190" s="1">
        <v>-3.5317940000000001E-6</v>
      </c>
      <c r="I4190">
        <v>136.57329999999999</v>
      </c>
      <c r="J4190">
        <v>-355.12580000000003</v>
      </c>
      <c r="K4190">
        <v>1.104231</v>
      </c>
      <c r="L4190">
        <v>141.37440000000001</v>
      </c>
      <c r="M4190">
        <v>-0.99988120000000003</v>
      </c>
      <c r="N4190">
        <v>0</v>
      </c>
      <c r="O4190">
        <v>5.6150019999999896E-3</v>
      </c>
      <c r="P4190">
        <v>-0.99940339999999905</v>
      </c>
      <c r="Q4190">
        <v>3.450553E-2</v>
      </c>
      <c r="R4190">
        <v>1.5629299999999999E-3</v>
      </c>
      <c r="S4190">
        <v>-3.0097049999999999</v>
      </c>
      <c r="T4190">
        <v>-0.18258820000000001</v>
      </c>
      <c r="U4190">
        <v>-0.79357909999999998</v>
      </c>
      <c r="V4190">
        <v>-4.0619050000000002E-3</v>
      </c>
      <c r="W4190">
        <v>4.8846180000000003E-2</v>
      </c>
      <c r="X4190">
        <v>0.99879810000000002</v>
      </c>
      <c r="Y4190">
        <v>-0.25992889999999902</v>
      </c>
      <c r="Z4190">
        <v>-8.0799630000000008E-3</v>
      </c>
      <c r="AA4190">
        <v>0.96559399999999995</v>
      </c>
      <c r="AB4190">
        <v>36</v>
      </c>
      <c r="AC4190">
        <v>-17.8584999999999</v>
      </c>
      <c r="AD4190">
        <v>-1.1042345317939899</v>
      </c>
      <c r="AE4190">
        <v>-4.8011000000000097</v>
      </c>
      <c r="AF4190">
        <v>-4.8838963781027003</v>
      </c>
      <c r="AG4190">
        <v>-1.1042345317939899</v>
      </c>
      <c r="AH4190">
        <v>17.767905134678401</v>
      </c>
      <c r="AI4190">
        <v>93.429355197413201</v>
      </c>
      <c r="AJ4190">
        <v>105.369423074423</v>
      </c>
      <c r="AK4190">
        <v>18.459962909176799</v>
      </c>
    </row>
    <row r="4191" spans="1:37" x14ac:dyDescent="0.2">
      <c r="A4191" t="str">
        <f>"20200111155935419"</f>
        <v>20200111155935419</v>
      </c>
      <c r="B4191" t="str">
        <f>"1578729575414460"</f>
        <v>1578729575414460</v>
      </c>
      <c r="C4191" t="s">
        <v>37</v>
      </c>
      <c r="D4191">
        <v>5.0217689999999999</v>
      </c>
      <c r="E4191">
        <v>0.40275059999999901</v>
      </c>
      <c r="F4191" t="s">
        <v>39</v>
      </c>
      <c r="G4191">
        <v>-372.47629999999998</v>
      </c>
      <c r="H4191" s="1">
        <v>-3.704619E-6</v>
      </c>
      <c r="I4191">
        <v>136.82759999999999</v>
      </c>
      <c r="J4191">
        <v>-355.49369999999999</v>
      </c>
      <c r="K4191">
        <v>1.1042419999999999</v>
      </c>
      <c r="L4191">
        <v>141.37639999999999</v>
      </c>
      <c r="M4191">
        <v>-0.99988109999999997</v>
      </c>
      <c r="N4191">
        <v>0</v>
      </c>
      <c r="O4191">
        <v>5.4934179999999999E-3</v>
      </c>
      <c r="P4191">
        <v>-0.99940149999999905</v>
      </c>
      <c r="Q4191">
        <v>3.4581229999999998E-2</v>
      </c>
      <c r="R4191">
        <v>9.4730469999999996E-4</v>
      </c>
      <c r="S4191">
        <v>-3.00964399999999</v>
      </c>
      <c r="T4191">
        <v>-0.19154260000000001</v>
      </c>
      <c r="U4191">
        <v>-0.78869630000000002</v>
      </c>
      <c r="V4191">
        <v>-4.5552839999999997E-3</v>
      </c>
      <c r="W4191">
        <v>4.8979059999999998E-2</v>
      </c>
      <c r="X4191">
        <v>0.99878940000000005</v>
      </c>
      <c r="Y4191">
        <v>-0.25830779999999998</v>
      </c>
      <c r="Z4191">
        <v>-8.419068E-3</v>
      </c>
      <c r="AA4191">
        <v>0.96602600000000005</v>
      </c>
      <c r="AB4191">
        <v>36</v>
      </c>
      <c r="AC4191">
        <v>-16.982599999999898</v>
      </c>
      <c r="AD4191">
        <v>-1.104245704619</v>
      </c>
      <c r="AE4191">
        <v>-4.5488</v>
      </c>
      <c r="AF4191">
        <v>-4.6237933196840899</v>
      </c>
      <c r="AG4191">
        <v>-1.104245704619</v>
      </c>
      <c r="AH4191">
        <v>16.8907210463552</v>
      </c>
      <c r="AI4191">
        <v>93.608061306894399</v>
      </c>
      <c r="AJ4191">
        <v>105.309514534523</v>
      </c>
      <c r="AK4191">
        <v>17.546945053345102</v>
      </c>
    </row>
    <row r="4192" spans="1:37" x14ac:dyDescent="0.2">
      <c r="A4192" t="str">
        <f>"20200111155935442"</f>
        <v>20200111155935442</v>
      </c>
      <c r="B4192" t="str">
        <f>"1578729575434973"</f>
        <v>1578729575434973</v>
      </c>
      <c r="C4192" t="s">
        <v>37</v>
      </c>
      <c r="D4192">
        <v>4.8188599999999999</v>
      </c>
      <c r="E4192">
        <v>0.40239559999999902</v>
      </c>
      <c r="F4192" t="s">
        <v>39</v>
      </c>
      <c r="G4192">
        <v>-372.69189999999998</v>
      </c>
      <c r="H4192" s="1">
        <v>-3.6039679999999899E-6</v>
      </c>
      <c r="I4192">
        <v>136.87360000000001</v>
      </c>
      <c r="J4192">
        <v>-355.86500000000001</v>
      </c>
      <c r="K4192">
        <v>1.10426</v>
      </c>
      <c r="L4192">
        <v>141.3783</v>
      </c>
      <c r="M4192">
        <v>-0.99988099999999902</v>
      </c>
      <c r="N4192">
        <v>0</v>
      </c>
      <c r="O4192">
        <v>5.3709959999999899E-3</v>
      </c>
      <c r="P4192">
        <v>-0.99939849999999997</v>
      </c>
      <c r="Q4192">
        <v>3.4680809999999999E-2</v>
      </c>
      <c r="R4192">
        <v>-1.812381E-4</v>
      </c>
      <c r="S4192">
        <v>-3.0092469999999998</v>
      </c>
      <c r="T4192">
        <v>-0.1932159</v>
      </c>
      <c r="U4192">
        <v>-0.78787229999999997</v>
      </c>
      <c r="V4192">
        <v>-5.5620540000000003E-3</v>
      </c>
      <c r="W4192">
        <v>4.9127179999999999E-2</v>
      </c>
      <c r="X4192">
        <v>0.99877700000000003</v>
      </c>
      <c r="Y4192">
        <v>-0.25796520000000001</v>
      </c>
      <c r="Z4192">
        <v>-8.4753139999999994E-3</v>
      </c>
      <c r="AA4192">
        <v>0.966117</v>
      </c>
      <c r="AB4192">
        <v>36</v>
      </c>
      <c r="AC4192">
        <v>-16.826899999999899</v>
      </c>
      <c r="AD4192">
        <v>-1.1042636039680001</v>
      </c>
      <c r="AE4192">
        <v>-4.5046999999999802</v>
      </c>
      <c r="AF4192">
        <v>-4.5766299306324001</v>
      </c>
      <c r="AG4192">
        <v>-1.1042636039680001</v>
      </c>
      <c r="AH4192">
        <v>16.735207512536</v>
      </c>
      <c r="AI4192">
        <v>93.641812305759998</v>
      </c>
      <c r="AJ4192">
        <v>105.294888218572</v>
      </c>
      <c r="AK4192">
        <v>17.384824132462501</v>
      </c>
    </row>
    <row r="4193" spans="1:37" x14ac:dyDescent="0.2">
      <c r="A4193" t="str">
        <f>"20200111155935465"</f>
        <v>20200111155935465</v>
      </c>
      <c r="B4193" t="str">
        <f>"1578729575454476"</f>
        <v>1578729575454476</v>
      </c>
      <c r="C4193" t="s">
        <v>37</v>
      </c>
      <c r="D4193">
        <v>5.0652160000000004</v>
      </c>
      <c r="E4193">
        <v>0.40192659999999902</v>
      </c>
      <c r="F4193" t="s">
        <v>39</v>
      </c>
      <c r="G4193">
        <v>-372.87779999999998</v>
      </c>
      <c r="H4193" s="1">
        <v>-3.5217539999999999E-6</v>
      </c>
      <c r="I4193">
        <v>136.88749999999999</v>
      </c>
      <c r="J4193">
        <v>-356.22550000000001</v>
      </c>
      <c r="K4193">
        <v>1.104271</v>
      </c>
      <c r="L4193">
        <v>141.3801</v>
      </c>
      <c r="M4193">
        <v>-0.99988109999999997</v>
      </c>
      <c r="N4193">
        <v>0</v>
      </c>
      <c r="O4193">
        <v>5.2516790000000004E-3</v>
      </c>
      <c r="P4193">
        <v>-0.9993805</v>
      </c>
      <c r="Q4193">
        <v>3.5179710000000003E-2</v>
      </c>
      <c r="R4193">
        <v>-1.171329E-3</v>
      </c>
      <c r="S4193">
        <v>-3.0084230000000001</v>
      </c>
      <c r="T4193">
        <v>-0.19527049999999899</v>
      </c>
      <c r="U4193">
        <v>-0.79411319999999996</v>
      </c>
      <c r="V4193">
        <v>-6.4324719999999998E-3</v>
      </c>
      <c r="W4193">
        <v>4.9666290000000002E-2</v>
      </c>
      <c r="X4193">
        <v>0.99874509999999905</v>
      </c>
      <c r="Y4193">
        <v>-0.25977470000000003</v>
      </c>
      <c r="Z4193">
        <v>-8.6153749999999998E-3</v>
      </c>
      <c r="AA4193">
        <v>0.96563080000000001</v>
      </c>
      <c r="AB4193">
        <v>36</v>
      </c>
      <c r="AC4193">
        <v>-16.652299999999901</v>
      </c>
      <c r="AD4193">
        <v>-1.104274521754</v>
      </c>
      <c r="AE4193">
        <v>-4.4926000000000004</v>
      </c>
      <c r="AF4193">
        <v>-4.5613023497006804</v>
      </c>
      <c r="AG4193">
        <v>-1.104274521754</v>
      </c>
      <c r="AH4193">
        <v>16.560589986062698</v>
      </c>
      <c r="AI4193">
        <v>93.678309882092506</v>
      </c>
      <c r="AJ4193">
        <v>105.39921498539201</v>
      </c>
      <c r="AK4193">
        <v>17.2127290698267</v>
      </c>
    </row>
    <row r="4194" spans="1:37" x14ac:dyDescent="0.2">
      <c r="A4194" t="str">
        <f>"20200111155935487"</f>
        <v>20200111155935487</v>
      </c>
      <c r="B4194" t="str">
        <f>"1578729575484732"</f>
        <v>1578729575484732</v>
      </c>
      <c r="C4194" t="s">
        <v>37</v>
      </c>
      <c r="D4194">
        <v>4.7839169999999998</v>
      </c>
      <c r="E4194">
        <v>0.40114569999999999</v>
      </c>
      <c r="F4194" t="s">
        <v>39</v>
      </c>
      <c r="G4194">
        <v>-373.2133</v>
      </c>
      <c r="H4194" s="1">
        <v>-3.3830289999999998E-6</v>
      </c>
      <c r="I4194">
        <v>136.85820000000001</v>
      </c>
      <c r="J4194">
        <v>-356.58019999999999</v>
      </c>
      <c r="K4194">
        <v>1.1042809999999901</v>
      </c>
      <c r="L4194">
        <v>141.3818</v>
      </c>
      <c r="M4194">
        <v>-0.99988120000000003</v>
      </c>
      <c r="N4194">
        <v>0</v>
      </c>
      <c r="O4194">
        <v>5.1349120000000002E-3</v>
      </c>
      <c r="P4194">
        <v>-0.99936909999999901</v>
      </c>
      <c r="Q4194">
        <v>3.5461970000000002E-2</v>
      </c>
      <c r="R4194">
        <v>-1.9742329999999902E-3</v>
      </c>
      <c r="S4194">
        <v>-3.0077820000000002</v>
      </c>
      <c r="T4194">
        <v>-0.19551879999999999</v>
      </c>
      <c r="U4194">
        <v>-0.80061340000000003</v>
      </c>
      <c r="V4194">
        <v>-7.1190949999999998E-3</v>
      </c>
      <c r="W4194">
        <v>4.9981089999999999E-2</v>
      </c>
      <c r="X4194">
        <v>0.99872479999999997</v>
      </c>
      <c r="Y4194">
        <v>-0.26165739999999998</v>
      </c>
      <c r="Z4194">
        <v>-8.678369E-3</v>
      </c>
      <c r="AA4194">
        <v>0.96512180000000003</v>
      </c>
      <c r="AB4194">
        <v>36</v>
      </c>
      <c r="AC4194">
        <v>-16.633099999999999</v>
      </c>
      <c r="AD4194">
        <v>-1.1042843830289999</v>
      </c>
      <c r="AE4194">
        <v>-4.5235999999999796</v>
      </c>
      <c r="AF4194">
        <v>-4.59012022942456</v>
      </c>
      <c r="AG4194">
        <v>-1.1042843830289999</v>
      </c>
      <c r="AH4194">
        <v>16.541759686794101</v>
      </c>
      <c r="AI4194">
        <v>93.680580014605496</v>
      </c>
      <c r="AJ4194">
        <v>105.508633152481</v>
      </c>
      <c r="AK4194">
        <v>17.202280699221902</v>
      </c>
    </row>
    <row r="4195" spans="1:37" x14ac:dyDescent="0.2">
      <c r="A4195" t="str">
        <f>"20200111155935509"</f>
        <v>20200111155935509</v>
      </c>
      <c r="B4195" t="str">
        <f>"1578729575504252"</f>
        <v>1578729575504252</v>
      </c>
      <c r="C4195" t="s">
        <v>37</v>
      </c>
      <c r="D4195">
        <v>4.8192059999999897</v>
      </c>
      <c r="E4195">
        <v>0.40068049999999999</v>
      </c>
      <c r="F4195" t="s">
        <v>39</v>
      </c>
      <c r="G4195">
        <v>-373.60860000000002</v>
      </c>
      <c r="H4195" s="1">
        <v>-3.223908E-6</v>
      </c>
      <c r="I4195">
        <v>136.79920000000001</v>
      </c>
      <c r="J4195">
        <v>-356.9427</v>
      </c>
      <c r="K4195">
        <v>1.104298</v>
      </c>
      <c r="L4195">
        <v>141.3835</v>
      </c>
      <c r="M4195">
        <v>-0.99988140000000003</v>
      </c>
      <c r="N4195">
        <v>0</v>
      </c>
      <c r="O4195">
        <v>5.0153259999999996E-3</v>
      </c>
      <c r="P4195">
        <v>-0.99935409999999902</v>
      </c>
      <c r="Q4195">
        <v>3.5814579999999999E-2</v>
      </c>
      <c r="R4195">
        <v>-3.0023809999999902E-3</v>
      </c>
      <c r="S4195">
        <v>-3.0072019999999999</v>
      </c>
      <c r="T4195">
        <v>-0.19501660000000001</v>
      </c>
      <c r="U4195">
        <v>-0.80928040000000001</v>
      </c>
      <c r="V4195">
        <v>-8.0275829999999996E-3</v>
      </c>
      <c r="W4195">
        <v>5.0362079999999997E-2</v>
      </c>
      <c r="X4195">
        <v>0.9986988</v>
      </c>
      <c r="Y4195">
        <v>-0.2641812</v>
      </c>
      <c r="Z4195">
        <v>-8.7272789999999992E-3</v>
      </c>
      <c r="AA4195">
        <v>0.964433599999999</v>
      </c>
      <c r="AB4195">
        <v>36</v>
      </c>
      <c r="AC4195">
        <v>-16.665900000000001</v>
      </c>
      <c r="AD4195">
        <v>-1.1043012239079999</v>
      </c>
      <c r="AE4195">
        <v>-4.5842999999999803</v>
      </c>
      <c r="AF4195">
        <v>-4.6488608650174204</v>
      </c>
      <c r="AG4195">
        <v>-1.1043012239079999</v>
      </c>
      <c r="AH4195">
        <v>16.5750418214365</v>
      </c>
      <c r="AI4195">
        <v>93.670434816615696</v>
      </c>
      <c r="AJ4195">
        <v>105.66740338499901</v>
      </c>
      <c r="AK4195">
        <v>17.250026084553799</v>
      </c>
    </row>
    <row r="4196" spans="1:37" x14ac:dyDescent="0.2">
      <c r="A4196" t="str">
        <f>"20200111155935532"</f>
        <v>20200111155935532</v>
      </c>
      <c r="B4196" t="str">
        <f>"1578729575524751"</f>
        <v>1578729575524751</v>
      </c>
      <c r="C4196" t="s">
        <v>37</v>
      </c>
      <c r="D4196">
        <v>5.258432</v>
      </c>
      <c r="E4196">
        <v>0.40131809999999901</v>
      </c>
      <c r="F4196" t="s">
        <v>39</v>
      </c>
      <c r="G4196">
        <v>-373.9547</v>
      </c>
      <c r="H4196" s="1">
        <v>-3.0814179999999999E-6</v>
      </c>
      <c r="I4196">
        <v>136.7653</v>
      </c>
      <c r="J4196">
        <v>-357.31189999999998</v>
      </c>
      <c r="K4196">
        <v>1.104309</v>
      </c>
      <c r="L4196">
        <v>141.3853</v>
      </c>
      <c r="M4196">
        <v>-0.99988159999999904</v>
      </c>
      <c r="N4196">
        <v>0</v>
      </c>
      <c r="O4196">
        <v>4.8948790000000004E-3</v>
      </c>
      <c r="P4196">
        <v>-0.99932639999999995</v>
      </c>
      <c r="Q4196">
        <v>3.6465879999999999E-2</v>
      </c>
      <c r="R4196">
        <v>-4.131699E-3</v>
      </c>
      <c r="S4196">
        <v>-3.0064700000000002</v>
      </c>
      <c r="T4196">
        <v>-0.19515929999999901</v>
      </c>
      <c r="U4196">
        <v>-0.81614690000000001</v>
      </c>
      <c r="V4196">
        <v>-9.0363730000000003E-3</v>
      </c>
      <c r="W4196">
        <v>5.1037369999999999E-2</v>
      </c>
      <c r="X4196">
        <v>0.99865590000000004</v>
      </c>
      <c r="Y4196">
        <v>-0.26617179999999901</v>
      </c>
      <c r="Z4196">
        <v>-8.788878E-3</v>
      </c>
      <c r="AA4196">
        <v>0.96388549999999995</v>
      </c>
      <c r="AB4196">
        <v>36</v>
      </c>
      <c r="AC4196">
        <v>-16.642800000000001</v>
      </c>
      <c r="AD4196">
        <v>-1.1043120814180001</v>
      </c>
      <c r="AE4196">
        <v>-4.62</v>
      </c>
      <c r="AF4196">
        <v>-4.6822775375746799</v>
      </c>
      <c r="AG4196">
        <v>-1.1043120814180001</v>
      </c>
      <c r="AH4196">
        <v>16.552321069158801</v>
      </c>
      <c r="AI4196">
        <v>93.673196606675205</v>
      </c>
      <c r="AJ4196">
        <v>105.79500922848</v>
      </c>
      <c r="AK4196">
        <v>17.2372434248798</v>
      </c>
    </row>
    <row r="4197" spans="1:37" x14ac:dyDescent="0.2">
      <c r="A4197" t="str">
        <f>"20200111155935564"</f>
        <v>20200111155935564</v>
      </c>
      <c r="B4197" t="str">
        <f>"1578729575555004"</f>
        <v>1578729575555004</v>
      </c>
      <c r="C4197" t="s">
        <v>37</v>
      </c>
      <c r="D4197">
        <v>5.2041440000000003</v>
      </c>
      <c r="E4197">
        <v>0.40167159999999902</v>
      </c>
      <c r="F4197" t="s">
        <v>39</v>
      </c>
      <c r="G4197">
        <v>-374.58440000000002</v>
      </c>
      <c r="H4197" s="1">
        <v>-2.8218199999999999E-6</v>
      </c>
      <c r="I4197">
        <v>136.70580000000001</v>
      </c>
      <c r="J4197">
        <v>-357.83699999999999</v>
      </c>
      <c r="K4197">
        <v>1.1043270000000001</v>
      </c>
      <c r="L4197">
        <v>141.38759999999999</v>
      </c>
      <c r="M4197">
        <v>-0.99988199999999905</v>
      </c>
      <c r="N4197">
        <v>0</v>
      </c>
      <c r="O4197">
        <v>4.7292669999999997E-3</v>
      </c>
      <c r="P4197">
        <v>-0.99931170000000002</v>
      </c>
      <c r="Q4197">
        <v>3.6816790000000002E-2</v>
      </c>
      <c r="R4197">
        <v>-4.5635570000000002E-3</v>
      </c>
      <c r="S4197">
        <v>-3.005646</v>
      </c>
      <c r="T4197">
        <v>-0.19216529999999901</v>
      </c>
      <c r="U4197">
        <v>-0.81426999999999905</v>
      </c>
      <c r="V4197">
        <v>-9.3023840000000003E-3</v>
      </c>
      <c r="W4197">
        <v>5.1416910000000003E-2</v>
      </c>
      <c r="X4197">
        <v>0.99863389999999996</v>
      </c>
      <c r="Y4197">
        <v>-0.26553559999999998</v>
      </c>
      <c r="Z4197">
        <v>-8.6269309999999991E-3</v>
      </c>
      <c r="AA4197">
        <v>0.96406250000000004</v>
      </c>
      <c r="AB4197">
        <v>36</v>
      </c>
      <c r="AC4197">
        <v>-16.747399999999999</v>
      </c>
      <c r="AD4197">
        <v>-1.1043298218199999</v>
      </c>
      <c r="AE4197">
        <v>-4.6817999999999804</v>
      </c>
      <c r="AF4197">
        <v>-4.7418354055814103</v>
      </c>
      <c r="AG4197">
        <v>-1.1043298218199999</v>
      </c>
      <c r="AH4197">
        <v>16.657888294669299</v>
      </c>
      <c r="AI4197">
        <v>93.648336002162694</v>
      </c>
      <c r="AJ4197">
        <v>105.889536130862</v>
      </c>
      <c r="AK4197">
        <v>17.3548203622702</v>
      </c>
    </row>
    <row r="4198" spans="1:37" x14ac:dyDescent="0.2">
      <c r="A4198" t="str">
        <f>"20200111155935587"</f>
        <v>20200111155935587</v>
      </c>
      <c r="B4198" t="str">
        <f>"1578729575584284"</f>
        <v>1578729575584284</v>
      </c>
      <c r="C4198" t="s">
        <v>37</v>
      </c>
      <c r="D4198">
        <v>5.2214330000000002</v>
      </c>
      <c r="E4198">
        <v>0.40196700000000002</v>
      </c>
      <c r="F4198" t="s">
        <v>39</v>
      </c>
      <c r="G4198">
        <v>-374.93310000000002</v>
      </c>
      <c r="H4198" s="1">
        <v>-2.6614519999999998E-6</v>
      </c>
      <c r="I4198">
        <v>136.76669999999999</v>
      </c>
      <c r="J4198">
        <v>-358.1927</v>
      </c>
      <c r="K4198">
        <v>1.1043350000000001</v>
      </c>
      <c r="L4198">
        <v>141.38919999999999</v>
      </c>
      <c r="M4198">
        <v>-0.9998823</v>
      </c>
      <c r="N4198">
        <v>0</v>
      </c>
      <c r="O4198">
        <v>4.6269779999999899E-3</v>
      </c>
      <c r="P4198">
        <v>-0.99930540000000001</v>
      </c>
      <c r="Q4198">
        <v>3.6930770000000002E-2</v>
      </c>
      <c r="R4198">
        <v>-5.0253210000000001E-3</v>
      </c>
      <c r="S4198">
        <v>-3.0055239999999999</v>
      </c>
      <c r="T4198">
        <v>-0.19414389999999901</v>
      </c>
      <c r="U4198">
        <v>-0.81236269999999999</v>
      </c>
      <c r="V4198">
        <v>-9.6613629999999992E-3</v>
      </c>
      <c r="W4198">
        <v>5.1545960000000002E-2</v>
      </c>
      <c r="X4198">
        <v>0.99862390000000001</v>
      </c>
      <c r="Y4198">
        <v>-0.26486749999999998</v>
      </c>
      <c r="Z4198">
        <v>-8.688968E-3</v>
      </c>
      <c r="AA4198">
        <v>0.96424569999999998</v>
      </c>
      <c r="AB4198">
        <v>36</v>
      </c>
      <c r="AC4198">
        <v>-16.740400000000001</v>
      </c>
      <c r="AD4198">
        <v>-1.104337661452</v>
      </c>
      <c r="AE4198">
        <v>-4.6224999999999996</v>
      </c>
      <c r="AF4198">
        <v>-4.6809885618079603</v>
      </c>
      <c r="AG4198">
        <v>-1.104337661452</v>
      </c>
      <c r="AH4198">
        <v>16.651499505477901</v>
      </c>
      <c r="AI4198">
        <v>93.653139061366502</v>
      </c>
      <c r="AJ4198">
        <v>105.701476906783</v>
      </c>
      <c r="AK4198">
        <v>17.332156570006202</v>
      </c>
    </row>
    <row r="4199" spans="1:37" x14ac:dyDescent="0.2">
      <c r="A4199" t="str">
        <f>"20200111155935610"</f>
        <v>20200111155935610</v>
      </c>
      <c r="B4199" t="str">
        <f>"1578729575604781"</f>
        <v>1578729575604781</v>
      </c>
      <c r="C4199" t="s">
        <v>37</v>
      </c>
      <c r="D4199">
        <v>5.1004440000000004</v>
      </c>
      <c r="E4199">
        <v>0.40215899999999999</v>
      </c>
      <c r="F4199" t="s">
        <v>39</v>
      </c>
      <c r="G4199">
        <v>-375.1576</v>
      </c>
      <c r="H4199" s="1">
        <v>-2.5573909999999998E-6</v>
      </c>
      <c r="I4199">
        <v>136.81049999999999</v>
      </c>
      <c r="J4199">
        <v>-358.56479999999999</v>
      </c>
      <c r="K4199">
        <v>1.104328</v>
      </c>
      <c r="L4199">
        <v>141.39080000000001</v>
      </c>
      <c r="M4199">
        <v>-0.99988259999999995</v>
      </c>
      <c r="N4199">
        <v>0</v>
      </c>
      <c r="O4199">
        <v>4.5378010000000002E-3</v>
      </c>
      <c r="P4199">
        <v>-0.9992877</v>
      </c>
      <c r="Q4199">
        <v>3.7347499999999999E-2</v>
      </c>
      <c r="R4199">
        <v>-5.4370069999999998E-3</v>
      </c>
      <c r="S4199">
        <v>-3.00528</v>
      </c>
      <c r="T4199">
        <v>-0.19563139999999901</v>
      </c>
      <c r="U4199">
        <v>-0.81109619999999905</v>
      </c>
      <c r="V4199">
        <v>-9.9820869999999902E-3</v>
      </c>
      <c r="W4199">
        <v>5.1975970000000003E-2</v>
      </c>
      <c r="X4199">
        <v>0.99859849999999994</v>
      </c>
      <c r="Y4199">
        <v>-0.26441529999999902</v>
      </c>
      <c r="Z4199">
        <v>-8.7364239999999996E-3</v>
      </c>
      <c r="AA4199">
        <v>0.96436939999999904</v>
      </c>
      <c r="AB4199">
        <v>36</v>
      </c>
      <c r="AC4199">
        <v>-16.5928</v>
      </c>
      <c r="AD4199">
        <v>-1.1043305573909901</v>
      </c>
      <c r="AE4199">
        <v>-4.5803000000000198</v>
      </c>
      <c r="AF4199">
        <v>-4.6364723995991701</v>
      </c>
      <c r="AG4199">
        <v>-1.1043305573909901</v>
      </c>
      <c r="AH4199">
        <v>16.503913720082899</v>
      </c>
      <c r="AI4199">
        <v>93.685869478142195</v>
      </c>
      <c r="AJ4199">
        <v>105.691735583213</v>
      </c>
      <c r="AK4199">
        <v>17.178346555247199</v>
      </c>
    </row>
    <row r="4200" spans="1:37" x14ac:dyDescent="0.2">
      <c r="A4200" t="str">
        <f>"20200111155935633"</f>
        <v>20200111155935633</v>
      </c>
      <c r="B4200" t="str">
        <f>"1578729575624300"</f>
        <v>1578729575624300</v>
      </c>
      <c r="C4200" t="s">
        <v>37</v>
      </c>
      <c r="D4200">
        <v>4.5563949999999904</v>
      </c>
      <c r="E4200">
        <v>0.40147690000000003</v>
      </c>
      <c r="F4200" t="s">
        <v>39</v>
      </c>
      <c r="G4200">
        <v>-375.459</v>
      </c>
      <c r="H4200" s="1">
        <v>-2.42375999999999E-6</v>
      </c>
      <c r="I4200">
        <v>136.8349</v>
      </c>
      <c r="J4200">
        <v>-358.92829999999998</v>
      </c>
      <c r="K4200">
        <v>1.1043229999999999</v>
      </c>
      <c r="L4200">
        <v>141.39240000000001</v>
      </c>
      <c r="M4200">
        <v>-0.99988269999999901</v>
      </c>
      <c r="N4200">
        <v>0</v>
      </c>
      <c r="O4200">
        <v>4.4673539999999998E-3</v>
      </c>
      <c r="P4200">
        <v>-0.99929400000000002</v>
      </c>
      <c r="Q4200">
        <v>3.6997620000000002E-2</v>
      </c>
      <c r="R4200">
        <v>-6.5654479999999998E-3</v>
      </c>
      <c r="S4200">
        <v>-3.0050659999999998</v>
      </c>
      <c r="T4200">
        <v>-0.196434</v>
      </c>
      <c r="U4200">
        <v>-0.81037899999999996</v>
      </c>
      <c r="V4200">
        <v>-1.103842E-2</v>
      </c>
      <c r="W4200">
        <v>5.1636910000000001E-2</v>
      </c>
      <c r="X4200">
        <v>0.99860490000000002</v>
      </c>
      <c r="Y4200">
        <v>-0.2641463</v>
      </c>
      <c r="Z4200">
        <v>-8.7599099999999992E-3</v>
      </c>
      <c r="AA4200">
        <v>0.96444279999999905</v>
      </c>
      <c r="AB4200">
        <v>36</v>
      </c>
      <c r="AC4200">
        <v>-16.5307</v>
      </c>
      <c r="AD4200">
        <v>-1.10432542376</v>
      </c>
      <c r="AE4200">
        <v>-4.5575000000000001</v>
      </c>
      <c r="AF4200">
        <v>-4.6121815108483597</v>
      </c>
      <c r="AG4200">
        <v>-1.10432542376</v>
      </c>
      <c r="AH4200">
        <v>16.441978349849901</v>
      </c>
      <c r="AI4200">
        <v>93.700100560409197</v>
      </c>
      <c r="AJ4200">
        <v>105.66947556254701</v>
      </c>
      <c r="AK4200">
        <v>17.112288128345298</v>
      </c>
    </row>
    <row r="4201" spans="1:37" x14ac:dyDescent="0.2">
      <c r="A4201" t="str">
        <f>"20200111155935655"</f>
        <v>20200111155935655</v>
      </c>
      <c r="B4201" t="str">
        <f>"1578729575644796"</f>
        <v>1578729575644796</v>
      </c>
      <c r="C4201" t="s">
        <v>37</v>
      </c>
      <c r="D4201">
        <v>4.5841989999999999</v>
      </c>
      <c r="E4201">
        <v>0.4001112</v>
      </c>
      <c r="F4201" t="s">
        <v>39</v>
      </c>
      <c r="G4201">
        <v>-375.7688</v>
      </c>
      <c r="H4201" s="1">
        <v>-2.2968589999999999E-6</v>
      </c>
      <c r="I4201">
        <v>136.80090000000001</v>
      </c>
      <c r="J4201">
        <v>-359.279</v>
      </c>
      <c r="K4201">
        <v>1.104314</v>
      </c>
      <c r="L4201">
        <v>141.3939</v>
      </c>
      <c r="M4201">
        <v>-0.99988279999999996</v>
      </c>
      <c r="N4201">
        <v>0</v>
      </c>
      <c r="O4201">
        <v>4.4174569999999996E-3</v>
      </c>
      <c r="P4201">
        <v>-0.99929460000000003</v>
      </c>
      <c r="Q4201">
        <v>3.6713129999999997E-2</v>
      </c>
      <c r="R4201">
        <v>-7.9294199999999995E-3</v>
      </c>
      <c r="S4201">
        <v>-3.0040279999999999</v>
      </c>
      <c r="T4201">
        <v>-0.19699049999999901</v>
      </c>
      <c r="U4201">
        <v>-0.81901550000000001</v>
      </c>
      <c r="V4201">
        <v>-1.2350440000000001E-2</v>
      </c>
      <c r="W4201">
        <v>5.1361199999999899E-2</v>
      </c>
      <c r="X4201">
        <v>0.99860380000000004</v>
      </c>
      <c r="Y4201">
        <v>-0.26675569999999998</v>
      </c>
      <c r="Z4201">
        <v>-8.8650880000000001E-3</v>
      </c>
      <c r="AA4201">
        <v>0.96372340000000001</v>
      </c>
      <c r="AB4201">
        <v>36</v>
      </c>
      <c r="AC4201">
        <v>-16.489799999999999</v>
      </c>
      <c r="AD4201">
        <v>-1.1043162968589999</v>
      </c>
      <c r="AE4201">
        <v>-4.5929999999999804</v>
      </c>
      <c r="AF4201">
        <v>-4.6464672247604701</v>
      </c>
      <c r="AG4201">
        <v>-1.1043162968589999</v>
      </c>
      <c r="AH4201">
        <v>16.401085614277001</v>
      </c>
      <c r="AI4201">
        <v>93.706575731517404</v>
      </c>
      <c r="AJ4201">
        <v>105.817554286697</v>
      </c>
      <c r="AK4201">
        <v>17.0822943857412</v>
      </c>
    </row>
    <row r="4202" spans="1:37" x14ac:dyDescent="0.2">
      <c r="A4202" t="str">
        <f>"20200111155935676"</f>
        <v>20200111155935676</v>
      </c>
      <c r="B4202" t="str">
        <f>"1578729575664316"</f>
        <v>1578729575664316</v>
      </c>
      <c r="C4202" t="s">
        <v>37</v>
      </c>
      <c r="D4202">
        <v>4.5402969999999998</v>
      </c>
      <c r="E4202">
        <v>0.3989103</v>
      </c>
      <c r="F4202" t="s">
        <v>39</v>
      </c>
      <c r="G4202">
        <v>-375.99090000000001</v>
      </c>
      <c r="H4202" s="1">
        <v>-2.2102660000000002E-6</v>
      </c>
      <c r="I4202">
        <v>136.75200000000001</v>
      </c>
      <c r="J4202">
        <v>-359.62349999999998</v>
      </c>
      <c r="K4202">
        <v>1.104311</v>
      </c>
      <c r="L4202">
        <v>141.3954</v>
      </c>
      <c r="M4202">
        <v>-0.99988290000000002</v>
      </c>
      <c r="N4202">
        <v>0</v>
      </c>
      <c r="O4202">
        <v>4.3847259999999898E-3</v>
      </c>
      <c r="P4202">
        <v>-0.99928639999999902</v>
      </c>
      <c r="Q4202">
        <v>3.6658099999999999E-2</v>
      </c>
      <c r="R4202">
        <v>-9.1409669999999998E-3</v>
      </c>
      <c r="S4202">
        <v>-3.002777</v>
      </c>
      <c r="T4202">
        <v>-0.19842299999999999</v>
      </c>
      <c r="U4202">
        <v>-0.83404539999999905</v>
      </c>
      <c r="V4202">
        <v>-1.352708E-2</v>
      </c>
      <c r="W4202">
        <v>5.1313089999999999E-2</v>
      </c>
      <c r="X4202">
        <v>0.99859100000000001</v>
      </c>
      <c r="Y4202">
        <v>-0.27129049999999999</v>
      </c>
      <c r="Z4202">
        <v>-9.0719730000000005E-3</v>
      </c>
      <c r="AA4202">
        <v>0.962454699999999</v>
      </c>
      <c r="AB4202">
        <v>36</v>
      </c>
      <c r="AC4202">
        <v>-16.3674</v>
      </c>
      <c r="AD4202">
        <v>-1.104313210266</v>
      </c>
      <c r="AE4202">
        <v>-4.6433999999999802</v>
      </c>
      <c r="AF4202">
        <v>-4.6953474460234101</v>
      </c>
      <c r="AG4202">
        <v>-1.104313210266</v>
      </c>
      <c r="AH4202">
        <v>16.278297549420301</v>
      </c>
      <c r="AI4202">
        <v>93.729390661426294</v>
      </c>
      <c r="AJ4202">
        <v>106.089791784962</v>
      </c>
      <c r="AK4202">
        <v>16.9778905171612</v>
      </c>
    </row>
    <row r="4203" spans="1:37" x14ac:dyDescent="0.2">
      <c r="A4203" t="str">
        <f>"20200111155935699"</f>
        <v>20200111155935699</v>
      </c>
      <c r="B4203" t="str">
        <f>"1578729575694572"</f>
        <v>1578729575694572</v>
      </c>
      <c r="C4203" t="s">
        <v>37</v>
      </c>
      <c r="D4203">
        <v>4.5418979999999998</v>
      </c>
      <c r="E4203">
        <v>0.39759290000000003</v>
      </c>
      <c r="F4203" t="s">
        <v>39</v>
      </c>
      <c r="G4203">
        <v>-376.47899999999998</v>
      </c>
      <c r="H4203" s="1">
        <v>-2.0211969999999999E-6</v>
      </c>
      <c r="I4203">
        <v>136.63740000000001</v>
      </c>
      <c r="J4203">
        <v>-359.99059999999997</v>
      </c>
      <c r="K4203">
        <v>1.104298</v>
      </c>
      <c r="L4203">
        <v>141.39699999999999</v>
      </c>
      <c r="M4203">
        <v>-0.99988279999999996</v>
      </c>
      <c r="N4203">
        <v>0</v>
      </c>
      <c r="O4203">
        <v>4.3645480000000002E-3</v>
      </c>
      <c r="P4203">
        <v>-0.99926229999999905</v>
      </c>
      <c r="Q4203">
        <v>3.6925329999999999E-2</v>
      </c>
      <c r="R4203">
        <v>-1.0562129999999999E-2</v>
      </c>
      <c r="S4203">
        <v>-3.0015869999999998</v>
      </c>
      <c r="T4203">
        <v>-0.19665339999999901</v>
      </c>
      <c r="U4203">
        <v>-0.84727479999999999</v>
      </c>
      <c r="V4203">
        <v>-1.492631E-2</v>
      </c>
      <c r="W4203">
        <v>5.158596E-2</v>
      </c>
      <c r="X4203">
        <v>0.99855699999999903</v>
      </c>
      <c r="Y4203">
        <v>-0.27530290000000002</v>
      </c>
      <c r="Z4203">
        <v>-9.1169230000000007E-3</v>
      </c>
      <c r="AA4203">
        <v>0.96131429999999995</v>
      </c>
      <c r="AB4203">
        <v>36</v>
      </c>
      <c r="AC4203">
        <v>-16.488399999999999</v>
      </c>
      <c r="AD4203">
        <v>-1.104300021197</v>
      </c>
      <c r="AE4203">
        <v>-4.7595999999999998</v>
      </c>
      <c r="AF4203">
        <v>-4.8116041467291302</v>
      </c>
      <c r="AG4203">
        <v>-1.104300021197</v>
      </c>
      <c r="AH4203">
        <v>16.399564015816399</v>
      </c>
      <c r="AI4203">
        <v>93.696942547434801</v>
      </c>
      <c r="AJ4203">
        <v>106.35159871277099</v>
      </c>
      <c r="AK4203">
        <v>17.126491552869101</v>
      </c>
    </row>
    <row r="4204" spans="1:37" x14ac:dyDescent="0.2">
      <c r="A4204" t="str">
        <f>"20200111155935721"</f>
        <v>20200111155935721</v>
      </c>
      <c r="B4204" t="str">
        <f>"1578729575714095"</f>
        <v>1578729575714095</v>
      </c>
      <c r="C4204" t="s">
        <v>37</v>
      </c>
      <c r="D4204">
        <v>4.4893339999999897</v>
      </c>
      <c r="E4204">
        <v>0.39682629999999902</v>
      </c>
      <c r="F4204" t="s">
        <v>39</v>
      </c>
      <c r="G4204">
        <v>-377.06299999999999</v>
      </c>
      <c r="H4204" s="1">
        <v>-1.8161259999999999E-6</v>
      </c>
      <c r="I4204">
        <v>136.49459999999999</v>
      </c>
      <c r="J4204">
        <v>-360.35660000000001</v>
      </c>
      <c r="K4204">
        <v>1.104293</v>
      </c>
      <c r="L4204">
        <v>141.39850000000001</v>
      </c>
      <c r="M4204">
        <v>-0.99988279999999996</v>
      </c>
      <c r="N4204">
        <v>0</v>
      </c>
      <c r="O4204">
        <v>4.356965E-3</v>
      </c>
      <c r="P4204">
        <v>-0.99924369999999996</v>
      </c>
      <c r="Q4204">
        <v>3.6989370000000001E-2</v>
      </c>
      <c r="R4204">
        <v>-1.2005170000000001E-2</v>
      </c>
      <c r="S4204">
        <v>-3.0002749999999998</v>
      </c>
      <c r="T4204">
        <v>-0.19406870000000001</v>
      </c>
      <c r="U4204">
        <v>-0.86152649999999997</v>
      </c>
      <c r="V4204">
        <v>-1.636087E-2</v>
      </c>
      <c r="W4204">
        <v>5.1654539999999999E-2</v>
      </c>
      <c r="X4204">
        <v>0.99853099999999995</v>
      </c>
      <c r="Y4204">
        <v>-0.27963300000000002</v>
      </c>
      <c r="Z4204">
        <v>-9.1320540000000006E-3</v>
      </c>
      <c r="AA4204">
        <v>0.96006349999999996</v>
      </c>
      <c r="AB4204">
        <v>36</v>
      </c>
      <c r="AC4204">
        <v>-16.706399999999999</v>
      </c>
      <c r="AD4204">
        <v>-1.104294816126</v>
      </c>
      <c r="AE4204">
        <v>-4.9039000000000197</v>
      </c>
      <c r="AF4204">
        <v>-4.95671149198715</v>
      </c>
      <c r="AG4204">
        <v>-1.104294816126</v>
      </c>
      <c r="AH4204">
        <v>16.618024886064099</v>
      </c>
      <c r="AI4204">
        <v>93.6436354644555</v>
      </c>
      <c r="AJ4204">
        <v>106.608432119569</v>
      </c>
      <c r="AK4204">
        <v>17.376628181829901</v>
      </c>
    </row>
    <row r="4205" spans="1:37" x14ac:dyDescent="0.2">
      <c r="A4205" t="str">
        <f>"20200111155935744"</f>
        <v>20200111155935744</v>
      </c>
      <c r="B4205" t="str">
        <f>"1578729575734588"</f>
        <v>1578729575734588</v>
      </c>
      <c r="C4205" t="s">
        <v>37</v>
      </c>
      <c r="D4205">
        <v>4.4969409999999996</v>
      </c>
      <c r="E4205">
        <v>0.39618359999999903</v>
      </c>
      <c r="F4205" t="s">
        <v>39</v>
      </c>
      <c r="G4205">
        <v>-377.51429999999999</v>
      </c>
      <c r="H4205" s="1">
        <v>-1.6847999999999999E-6</v>
      </c>
      <c r="I4205">
        <v>136.4109</v>
      </c>
      <c r="J4205">
        <v>-360.70650000000001</v>
      </c>
      <c r="K4205">
        <v>1.104284</v>
      </c>
      <c r="L4205">
        <v>141.40010000000001</v>
      </c>
      <c r="M4205">
        <v>-0.99988279999999996</v>
      </c>
      <c r="N4205">
        <v>0</v>
      </c>
      <c r="O4205">
        <v>4.3620020000000002E-3</v>
      </c>
      <c r="P4205">
        <v>-0.99922310000000003</v>
      </c>
      <c r="Q4205">
        <v>3.7172690000000001E-2</v>
      </c>
      <c r="R4205">
        <v>-1.3097559999999999E-2</v>
      </c>
      <c r="S4205">
        <v>-2.998901</v>
      </c>
      <c r="T4205">
        <v>-0.1930132</v>
      </c>
      <c r="U4205">
        <v>-0.87174989999999997</v>
      </c>
      <c r="V4205">
        <v>-1.7456760000000002E-2</v>
      </c>
      <c r="W4205">
        <v>5.1841209999999999E-2</v>
      </c>
      <c r="X4205">
        <v>0.99850269999999997</v>
      </c>
      <c r="Y4205">
        <v>-0.28277370000000002</v>
      </c>
      <c r="Z4205">
        <v>-9.1815119999999993E-3</v>
      </c>
      <c r="AA4205">
        <v>0.95914270000000001</v>
      </c>
      <c r="AB4205">
        <v>36</v>
      </c>
      <c r="AC4205">
        <v>-16.807799999999901</v>
      </c>
      <c r="AD4205">
        <v>-1.1042856848</v>
      </c>
      <c r="AE4205">
        <v>-4.9892000000000101</v>
      </c>
      <c r="AF4205">
        <v>-5.0424723626079002</v>
      </c>
      <c r="AG4205">
        <v>-1.1042856848</v>
      </c>
      <c r="AH4205">
        <v>16.719547620138599</v>
      </c>
      <c r="AI4205">
        <v>93.618243608286207</v>
      </c>
      <c r="AJ4205">
        <v>106.78286123778101</v>
      </c>
      <c r="AK4205">
        <v>17.4982641145744</v>
      </c>
    </row>
    <row r="4206" spans="1:37" x14ac:dyDescent="0.2">
      <c r="A4206" t="str">
        <f>"20200111155935765"</f>
        <v>20200111155935765</v>
      </c>
      <c r="B4206" t="str">
        <f>"1578729575754108"</f>
        <v>1578729575754108</v>
      </c>
      <c r="C4206" t="s">
        <v>37</v>
      </c>
      <c r="D4206">
        <v>4.4845920000000001</v>
      </c>
      <c r="E4206">
        <v>0.39552090000000001</v>
      </c>
      <c r="F4206" t="s">
        <v>39</v>
      </c>
      <c r="G4206">
        <v>-378.02910000000003</v>
      </c>
      <c r="H4206" s="1">
        <v>-1.5350919999999999E-6</v>
      </c>
      <c r="I4206">
        <v>136.3151</v>
      </c>
      <c r="J4206">
        <v>-361.04410000000001</v>
      </c>
      <c r="K4206">
        <v>1.104279</v>
      </c>
      <c r="L4206">
        <v>141.4016</v>
      </c>
      <c r="M4206">
        <v>-0.99988259999999995</v>
      </c>
      <c r="N4206">
        <v>0</v>
      </c>
      <c r="O4206">
        <v>4.3768189999999997E-3</v>
      </c>
      <c r="P4206">
        <v>-0.99923379999999995</v>
      </c>
      <c r="Q4206">
        <v>3.6745809999999997E-2</v>
      </c>
      <c r="R4206">
        <v>-1.3477390000000001E-2</v>
      </c>
      <c r="S4206">
        <v>-2.997925</v>
      </c>
      <c r="T4206">
        <v>-0.191111999999999</v>
      </c>
      <c r="U4206">
        <v>-0.88000489999999998</v>
      </c>
      <c r="V4206">
        <v>-1.784995E-2</v>
      </c>
      <c r="W4206">
        <v>5.141739E-2</v>
      </c>
      <c r="X4206">
        <v>0.99851769999999995</v>
      </c>
      <c r="Y4206">
        <v>-0.28531020000000001</v>
      </c>
      <c r="Z4206">
        <v>-9.1706819999999994E-3</v>
      </c>
      <c r="AA4206">
        <v>0.9583914</v>
      </c>
      <c r="AB4206">
        <v>36</v>
      </c>
      <c r="AC4206">
        <v>-16.984999999999999</v>
      </c>
      <c r="AD4206">
        <v>-1.104280535092</v>
      </c>
      <c r="AE4206">
        <v>-5.0865</v>
      </c>
      <c r="AF4206">
        <v>-5.1408578000565699</v>
      </c>
      <c r="AG4206">
        <v>-1.104280535092</v>
      </c>
      <c r="AH4206">
        <v>16.897027404858999</v>
      </c>
      <c r="AI4206">
        <v>93.577692231178105</v>
      </c>
      <c r="AJ4206">
        <v>106.922188200902</v>
      </c>
      <c r="AK4206">
        <v>17.696253545345201</v>
      </c>
    </row>
    <row r="4207" spans="1:37" x14ac:dyDescent="0.2">
      <c r="A4207" t="str">
        <f>"20200111155935788"</f>
        <v>20200111155935788</v>
      </c>
      <c r="B4207" t="str">
        <f>"1578729575784364"</f>
        <v>1578729575784364</v>
      </c>
      <c r="C4207" t="s">
        <v>37</v>
      </c>
      <c r="D4207">
        <v>4.4278740000000001</v>
      </c>
      <c r="E4207">
        <v>0.39469910000000002</v>
      </c>
      <c r="F4207" t="s">
        <v>39</v>
      </c>
      <c r="G4207">
        <v>-378.32479999999998</v>
      </c>
      <c r="H4207" s="1">
        <v>-1.4410079999999899E-6</v>
      </c>
      <c r="I4207">
        <v>136.29060000000001</v>
      </c>
      <c r="J4207">
        <v>-361.4092</v>
      </c>
      <c r="K4207">
        <v>1.1042670000000001</v>
      </c>
      <c r="L4207">
        <v>141.4032</v>
      </c>
      <c r="M4207">
        <v>-0.99988250000000001</v>
      </c>
      <c r="N4207">
        <v>0</v>
      </c>
      <c r="O4207">
        <v>4.3998709999999996E-3</v>
      </c>
      <c r="P4207">
        <v>-0.99923300000000004</v>
      </c>
      <c r="Q4207">
        <v>3.6723829999999999E-2</v>
      </c>
      <c r="R4207">
        <v>-1.360567E-2</v>
      </c>
      <c r="S4207">
        <v>-2.9973450000000001</v>
      </c>
      <c r="T4207">
        <v>-0.19153870000000001</v>
      </c>
      <c r="U4207">
        <v>-0.88648989999999905</v>
      </c>
      <c r="V4207">
        <v>-1.7999950000000001E-2</v>
      </c>
      <c r="W4207">
        <v>5.1397379999999999E-2</v>
      </c>
      <c r="X4207">
        <v>0.99851610000000002</v>
      </c>
      <c r="Y4207">
        <v>-0.28728369999999998</v>
      </c>
      <c r="Z4207">
        <v>-9.2531929999999998E-3</v>
      </c>
      <c r="AA4207">
        <v>0.95780089999999996</v>
      </c>
      <c r="AB4207">
        <v>36</v>
      </c>
      <c r="AC4207">
        <v>-16.915599999999898</v>
      </c>
      <c r="AD4207">
        <v>-1.1042684410079999</v>
      </c>
      <c r="AE4207">
        <v>-5.11259999999998</v>
      </c>
      <c r="AF4207">
        <v>-5.1668090886251399</v>
      </c>
      <c r="AG4207">
        <v>-1.1042684410079999</v>
      </c>
      <c r="AH4207">
        <v>16.827230294763201</v>
      </c>
      <c r="AI4207">
        <v>93.589646459914206</v>
      </c>
      <c r="AJ4207">
        <v>107.069129192017</v>
      </c>
      <c r="AK4207">
        <v>17.637205117055899</v>
      </c>
    </row>
    <row r="4208" spans="1:37" x14ac:dyDescent="0.2">
      <c r="A4208" t="str">
        <f>"20200111155935811"</f>
        <v>20200111155935811</v>
      </c>
      <c r="B4208" t="str">
        <f>"1578729575804860"</f>
        <v>1578729575804860</v>
      </c>
      <c r="C4208" t="s">
        <v>37</v>
      </c>
      <c r="D4208">
        <v>4.4367939999999999</v>
      </c>
      <c r="E4208">
        <v>0.39414650000000001</v>
      </c>
      <c r="F4208" t="s">
        <v>39</v>
      </c>
      <c r="G4208">
        <v>-378.93329999999997</v>
      </c>
      <c r="H4208" s="1">
        <v>-1.2634559999999999E-6</v>
      </c>
      <c r="I4208">
        <v>136.17959999999999</v>
      </c>
      <c r="J4208">
        <v>-361.76909999999998</v>
      </c>
      <c r="K4208">
        <v>1.1042590000000001</v>
      </c>
      <c r="L4208">
        <v>141.40479999999999</v>
      </c>
      <c r="M4208">
        <v>-0.9998823</v>
      </c>
      <c r="N4208">
        <v>0</v>
      </c>
      <c r="O4208">
        <v>4.4270719999999998E-3</v>
      </c>
      <c r="P4208">
        <v>-0.99922929999999999</v>
      </c>
      <c r="Q4208">
        <v>3.6754990000000001E-2</v>
      </c>
      <c r="R4208">
        <v>-1.377958E-2</v>
      </c>
      <c r="S4208">
        <v>-2.9970699999999999</v>
      </c>
      <c r="T4208">
        <v>-0.18885859999999999</v>
      </c>
      <c r="U4208">
        <v>-0.89335629999999999</v>
      </c>
      <c r="V4208">
        <v>-1.819989E-2</v>
      </c>
      <c r="W4208">
        <v>5.142977E-2</v>
      </c>
      <c r="X4208">
        <v>0.99851080000000003</v>
      </c>
      <c r="Y4208">
        <v>-0.28936119999999999</v>
      </c>
      <c r="Z4208">
        <v>-9.1875410000000005E-3</v>
      </c>
      <c r="AA4208">
        <v>0.95717589999999997</v>
      </c>
      <c r="AB4208">
        <v>36</v>
      </c>
      <c r="AC4208">
        <v>-17.164199999999902</v>
      </c>
      <c r="AD4208">
        <v>-1.1042602634559999</v>
      </c>
      <c r="AE4208">
        <v>-5.2252000000000001</v>
      </c>
      <c r="AF4208">
        <v>-5.2811394027398304</v>
      </c>
      <c r="AG4208">
        <v>-1.1042602634559999</v>
      </c>
      <c r="AH4208">
        <v>17.076212963467899</v>
      </c>
      <c r="AI4208">
        <v>93.535212626613998</v>
      </c>
      <c r="AJ4208">
        <v>107.18520521331</v>
      </c>
      <c r="AK4208">
        <v>17.908290630161499</v>
      </c>
    </row>
    <row r="4209" spans="1:37" x14ac:dyDescent="0.2">
      <c r="A4209" t="str">
        <f>"20200111155935833"</f>
        <v>20200111155935833</v>
      </c>
      <c r="B4209" t="str">
        <f>"1578729575824380"</f>
        <v>1578729575824380</v>
      </c>
      <c r="C4209" t="s">
        <v>37</v>
      </c>
      <c r="D4209">
        <v>4.3884189999999998</v>
      </c>
      <c r="E4209">
        <v>0.3935304</v>
      </c>
      <c r="F4209" t="s">
        <v>39</v>
      </c>
      <c r="G4209">
        <v>-379.31130000000002</v>
      </c>
      <c r="H4209" s="1">
        <v>-1.143234E-6</v>
      </c>
      <c r="I4209">
        <v>136.14789999999999</v>
      </c>
      <c r="J4209">
        <v>-362.12279999999998</v>
      </c>
      <c r="K4209">
        <v>1.1042559999999999</v>
      </c>
      <c r="L4209">
        <v>141.40639999999999</v>
      </c>
      <c r="M4209">
        <v>-0.9998823</v>
      </c>
      <c r="N4209">
        <v>0</v>
      </c>
      <c r="O4209">
        <v>4.456448E-3</v>
      </c>
      <c r="P4209">
        <v>-0.99922160000000004</v>
      </c>
      <c r="Q4209">
        <v>3.7087719999999998E-2</v>
      </c>
      <c r="R4209">
        <v>-1.3449590000000001E-2</v>
      </c>
      <c r="S4209">
        <v>-2.996826</v>
      </c>
      <c r="T4209">
        <v>-0.18864629999999999</v>
      </c>
      <c r="U4209">
        <v>-0.89804079999999997</v>
      </c>
      <c r="V4209">
        <v>-1.7898669999999998E-2</v>
      </c>
      <c r="W4209">
        <v>5.1762639999999999E-2</v>
      </c>
      <c r="X4209">
        <v>0.99849900000000003</v>
      </c>
      <c r="Y4209">
        <v>-0.290782599999999</v>
      </c>
      <c r="Z4209">
        <v>-9.2214849999999998E-3</v>
      </c>
      <c r="AA4209">
        <v>0.9567447</v>
      </c>
      <c r="AB4209">
        <v>35</v>
      </c>
      <c r="AC4209">
        <v>-17.188500000000001</v>
      </c>
      <c r="AD4209">
        <v>-1.10425714323399</v>
      </c>
      <c r="AE4209">
        <v>-5.25849999999999</v>
      </c>
      <c r="AF4209">
        <v>-5.3149965877081602</v>
      </c>
      <c r="AG4209">
        <v>-1.10425714323399</v>
      </c>
      <c r="AH4209">
        <v>17.100354821430201</v>
      </c>
      <c r="AI4209">
        <v>93.528687590005703</v>
      </c>
      <c r="AJ4209">
        <v>107.265875004295</v>
      </c>
      <c r="AK4209">
        <v>17.941312872377701</v>
      </c>
    </row>
    <row r="4210" spans="1:37" x14ac:dyDescent="0.2">
      <c r="A4210" t="str">
        <f>"20200111155935854"</f>
        <v>20200111155935854</v>
      </c>
      <c r="B4210" t="str">
        <f>"1578729575844880"</f>
        <v>1578729575844880</v>
      </c>
      <c r="C4210" t="s">
        <v>37</v>
      </c>
      <c r="D4210">
        <v>4.3457650000000001</v>
      </c>
      <c r="E4210">
        <v>0.3929685</v>
      </c>
      <c r="F4210" t="s">
        <v>39</v>
      </c>
      <c r="G4210">
        <v>-379.83350000000002</v>
      </c>
      <c r="H4210" s="1">
        <v>-9.8424950000000003E-7</v>
      </c>
      <c r="I4210">
        <v>136.07759999999999</v>
      </c>
      <c r="J4210">
        <v>-362.46550000000002</v>
      </c>
      <c r="K4210">
        <v>1.1042559999999999</v>
      </c>
      <c r="L4210">
        <v>141.40790000000001</v>
      </c>
      <c r="M4210">
        <v>-0.99988220000000005</v>
      </c>
      <c r="N4210">
        <v>0</v>
      </c>
      <c r="O4210">
        <v>4.4876359999999997E-3</v>
      </c>
      <c r="P4210">
        <v>-0.99918799999999997</v>
      </c>
      <c r="Q4210">
        <v>3.7865540000000003E-2</v>
      </c>
      <c r="R4210">
        <v>-1.377723E-2</v>
      </c>
      <c r="S4210">
        <v>-2.9971619999999999</v>
      </c>
      <c r="T4210">
        <v>-0.1868726</v>
      </c>
      <c r="U4210">
        <v>-0.90176389999999995</v>
      </c>
      <c r="V4210">
        <v>-1.8256919999999999E-2</v>
      </c>
      <c r="W4210">
        <v>5.253977E-2</v>
      </c>
      <c r="X4210">
        <v>0.99845189999999995</v>
      </c>
      <c r="Y4210">
        <v>-0.29188140000000001</v>
      </c>
      <c r="Z4210">
        <v>-9.1677530000000007E-3</v>
      </c>
      <c r="AA4210">
        <v>0.9564106</v>
      </c>
      <c r="AB4210">
        <v>35</v>
      </c>
      <c r="AC4210">
        <v>-17.367999999999899</v>
      </c>
      <c r="AD4210">
        <v>-1.10425698424949</v>
      </c>
      <c r="AE4210">
        <v>-5.3303000000000198</v>
      </c>
      <c r="AF4210">
        <v>-5.3882892894146002</v>
      </c>
      <c r="AG4210">
        <v>-1.10425698424949</v>
      </c>
      <c r="AH4210">
        <v>17.280061984319001</v>
      </c>
      <c r="AI4210">
        <v>93.491083640021102</v>
      </c>
      <c r="AJ4210">
        <v>107.31858446064901</v>
      </c>
      <c r="AK4210">
        <v>18.1343206968331</v>
      </c>
    </row>
    <row r="4211" spans="1:37" x14ac:dyDescent="0.2">
      <c r="A4211" t="str">
        <f>"20200111155935877"</f>
        <v>20200111155935877</v>
      </c>
      <c r="B4211" t="str">
        <f>"1578729575874156"</f>
        <v>1578729575874156</v>
      </c>
      <c r="C4211" t="s">
        <v>37</v>
      </c>
      <c r="D4211">
        <v>4.263503</v>
      </c>
      <c r="E4211">
        <v>0.39194229999999902</v>
      </c>
      <c r="F4211" t="s">
        <v>39</v>
      </c>
      <c r="G4211">
        <v>-380.4837</v>
      </c>
      <c r="H4211" s="1">
        <v>-4.7141159999999999E-6</v>
      </c>
      <c r="I4211">
        <v>135.9555</v>
      </c>
      <c r="J4211">
        <v>-362.81610000000001</v>
      </c>
      <c r="K4211">
        <v>1.1042609999999999</v>
      </c>
      <c r="L4211">
        <v>141.40950000000001</v>
      </c>
      <c r="M4211">
        <v>-0.99988189999999999</v>
      </c>
      <c r="N4211">
        <v>0</v>
      </c>
      <c r="O4211">
        <v>4.5211879999999998E-3</v>
      </c>
      <c r="P4211">
        <v>-0.99911749999999899</v>
      </c>
      <c r="Q4211">
        <v>3.9500090000000002E-2</v>
      </c>
      <c r="R4211">
        <v>-1.4283250000000001E-2</v>
      </c>
      <c r="S4211">
        <v>-2.9968870000000001</v>
      </c>
      <c r="T4211">
        <v>-0.18366779999999999</v>
      </c>
      <c r="U4211">
        <v>-0.906875599999999</v>
      </c>
      <c r="V4211">
        <v>-1.8795650000000001E-2</v>
      </c>
      <c r="W4211">
        <v>5.4172039999999998E-2</v>
      </c>
      <c r="X4211">
        <v>0.99835469999999904</v>
      </c>
      <c r="Y4211">
        <v>-0.29344779999999998</v>
      </c>
      <c r="Z4211">
        <v>-9.0583499999999997E-3</v>
      </c>
      <c r="AA4211">
        <v>0.95593220000000001</v>
      </c>
      <c r="AB4211">
        <v>35</v>
      </c>
      <c r="AC4211">
        <v>-17.667599999999901</v>
      </c>
      <c r="AD4211">
        <v>-1.1042657141159999</v>
      </c>
      <c r="AE4211">
        <v>-5.4539999999999997</v>
      </c>
      <c r="AF4211">
        <v>-5.51416430871254</v>
      </c>
      <c r="AG4211">
        <v>-1.1042657141159999</v>
      </c>
      <c r="AH4211">
        <v>17.580056256408898</v>
      </c>
      <c r="AI4211">
        <v>93.429887725253096</v>
      </c>
      <c r="AJ4211">
        <v>107.41456610373901</v>
      </c>
      <c r="AK4211">
        <v>18.4576214277288</v>
      </c>
    </row>
    <row r="4212" spans="1:37" x14ac:dyDescent="0.2">
      <c r="A4212" t="str">
        <f>"20200111155935900"</f>
        <v>20200111155935900</v>
      </c>
      <c r="B4212" t="str">
        <f>"1578729575894652"</f>
        <v>1578729575894652</v>
      </c>
      <c r="C4212" t="s">
        <v>37</v>
      </c>
      <c r="D4212">
        <v>4.3439800000000002</v>
      </c>
      <c r="E4212">
        <v>0.391316</v>
      </c>
      <c r="F4212" t="s">
        <v>39</v>
      </c>
      <c r="G4212">
        <v>-381.5326</v>
      </c>
      <c r="H4212" s="1">
        <v>-4.3118669999999999E-6</v>
      </c>
      <c r="I4212">
        <v>135.68639999999999</v>
      </c>
      <c r="J4212">
        <v>-363.178</v>
      </c>
      <c r="K4212">
        <v>1.1042609999999999</v>
      </c>
      <c r="L4212">
        <v>141.41120000000001</v>
      </c>
      <c r="M4212">
        <v>-0.99988189999999999</v>
      </c>
      <c r="N4212">
        <v>0</v>
      </c>
      <c r="O4212">
        <v>4.5562199999999997E-3</v>
      </c>
      <c r="P4212">
        <v>-0.99909359999999903</v>
      </c>
      <c r="Q4212">
        <v>4.0053699999999998E-2</v>
      </c>
      <c r="R4212">
        <v>-1.4431899999999999E-2</v>
      </c>
      <c r="S4212">
        <v>-2.996613</v>
      </c>
      <c r="T4212">
        <v>-0.17679979999999901</v>
      </c>
      <c r="U4212">
        <v>-0.9162903</v>
      </c>
      <c r="V4212">
        <v>-1.897836E-2</v>
      </c>
      <c r="W4212">
        <v>5.4723870000000001E-2</v>
      </c>
      <c r="X4212">
        <v>0.99832119999999902</v>
      </c>
      <c r="Y4212">
        <v>-0.29628670000000001</v>
      </c>
      <c r="Z4212">
        <v>-8.8008879999999998E-3</v>
      </c>
      <c r="AA4212">
        <v>0.95505849999999903</v>
      </c>
      <c r="AB4212">
        <v>35</v>
      </c>
      <c r="AC4212">
        <v>-18.354599999999898</v>
      </c>
      <c r="AD4212">
        <v>-1.1042653118670001</v>
      </c>
      <c r="AE4212">
        <v>-5.7248000000000099</v>
      </c>
      <c r="AF4212">
        <v>-5.7892802441551598</v>
      </c>
      <c r="AG4212">
        <v>-1.1042653118670001</v>
      </c>
      <c r="AH4212">
        <v>18.268062870881302</v>
      </c>
      <c r="AI4212">
        <v>93.297936776567099</v>
      </c>
      <c r="AJ4212">
        <v>107.583782257542</v>
      </c>
      <c r="AK4212">
        <v>19.1952413029592</v>
      </c>
    </row>
    <row r="4213" spans="1:37" x14ac:dyDescent="0.2">
      <c r="A4213" t="str">
        <f>"20200111155935922"</f>
        <v>20200111155935922</v>
      </c>
      <c r="B4213" t="str">
        <f>"1578729575914175"</f>
        <v>1578729575914175</v>
      </c>
      <c r="C4213" t="s">
        <v>37</v>
      </c>
      <c r="D4213">
        <v>4.3857999999999997</v>
      </c>
      <c r="E4213">
        <v>0.39084370000000002</v>
      </c>
      <c r="F4213" t="s">
        <v>39</v>
      </c>
      <c r="G4213">
        <v>-382.24250000000001</v>
      </c>
      <c r="H4213" s="1">
        <v>-4.0322019999999998E-6</v>
      </c>
      <c r="I4213">
        <v>135.5462</v>
      </c>
      <c r="J4213">
        <v>-363.53930000000003</v>
      </c>
      <c r="K4213">
        <v>1.104258</v>
      </c>
      <c r="L4213">
        <v>141.41290000000001</v>
      </c>
      <c r="M4213">
        <v>-0.99988169999999899</v>
      </c>
      <c r="N4213">
        <v>0</v>
      </c>
      <c r="O4213">
        <v>4.5910680000000002E-3</v>
      </c>
      <c r="P4213">
        <v>-0.99916779999999905</v>
      </c>
      <c r="Q4213">
        <v>3.8305159999999998E-2</v>
      </c>
      <c r="R4213">
        <v>-1.4025940000000001E-2</v>
      </c>
      <c r="S4213">
        <v>-2.9963380000000002</v>
      </c>
      <c r="T4213">
        <v>-0.17355609999999999</v>
      </c>
      <c r="U4213">
        <v>-0.92178340000000003</v>
      </c>
      <c r="V4213">
        <v>-1.8607849999999999E-2</v>
      </c>
      <c r="W4213">
        <v>5.2975469999999997E-2</v>
      </c>
      <c r="X4213">
        <v>0.99842240000000004</v>
      </c>
      <c r="Y4213">
        <v>-0.29795939999999999</v>
      </c>
      <c r="Z4213">
        <v>-8.687452E-3</v>
      </c>
      <c r="AA4213">
        <v>0.95453909999999997</v>
      </c>
      <c r="AB4213">
        <v>35</v>
      </c>
      <c r="AC4213">
        <v>-18.703199999999899</v>
      </c>
      <c r="AD4213">
        <v>-1.104262032202</v>
      </c>
      <c r="AE4213">
        <v>-5.8666999999999998</v>
      </c>
      <c r="AF4213">
        <v>-5.9336837951185704</v>
      </c>
      <c r="AG4213">
        <v>-1.104262032202</v>
      </c>
      <c r="AH4213">
        <v>18.616982227118601</v>
      </c>
      <c r="AI4213">
        <v>93.234556492440703</v>
      </c>
      <c r="AJ4213">
        <v>107.678341947755</v>
      </c>
      <c r="AK4213">
        <v>19.570897405614001</v>
      </c>
    </row>
    <row r="4214" spans="1:37" x14ac:dyDescent="0.2">
      <c r="A4214" t="str">
        <f>"20200111155935945"</f>
        <v>20200111155935945</v>
      </c>
      <c r="B4214" t="str">
        <f>"1578729575934669"</f>
        <v>1578729575934669</v>
      </c>
      <c r="C4214" t="s">
        <v>37</v>
      </c>
      <c r="D4214">
        <v>4.4403489999999897</v>
      </c>
      <c r="E4214">
        <v>0.39041720000000002</v>
      </c>
      <c r="F4214" t="s">
        <v>39</v>
      </c>
      <c r="G4214">
        <v>-382.3304</v>
      </c>
      <c r="H4214" s="1">
        <v>-3.9825490000000003E-6</v>
      </c>
      <c r="I4214">
        <v>135.61349999999999</v>
      </c>
      <c r="J4214">
        <v>-363.88170000000002</v>
      </c>
      <c r="K4214">
        <v>1.10426</v>
      </c>
      <c r="L4214">
        <v>141.4145</v>
      </c>
      <c r="M4214">
        <v>-0.99988159999999904</v>
      </c>
      <c r="N4214">
        <v>0</v>
      </c>
      <c r="O4214">
        <v>4.6223829999999999E-3</v>
      </c>
      <c r="P4214">
        <v>-0.99926979999999999</v>
      </c>
      <c r="Q4214">
        <v>3.5874919999999998E-2</v>
      </c>
      <c r="R4214">
        <v>-1.31526E-2</v>
      </c>
      <c r="S4214">
        <v>-2.9962770000000001</v>
      </c>
      <c r="T4214">
        <v>-0.17607719999999999</v>
      </c>
      <c r="U4214">
        <v>-0.92471309999999995</v>
      </c>
      <c r="V4214">
        <v>-1.7766469999999999E-2</v>
      </c>
      <c r="W4214">
        <v>5.054496E-2</v>
      </c>
      <c r="X4214">
        <v>0.9985638</v>
      </c>
      <c r="Y4214">
        <v>-0.29883209999999999</v>
      </c>
      <c r="Z4214">
        <v>-8.8392230000000002E-3</v>
      </c>
      <c r="AA4214">
        <v>0.95426480000000002</v>
      </c>
      <c r="AB4214">
        <v>35</v>
      </c>
      <c r="AC4214">
        <v>-18.448699999999899</v>
      </c>
      <c r="AD4214">
        <v>-1.1042639825489999</v>
      </c>
      <c r="AE4214">
        <v>-5.8010000000000099</v>
      </c>
      <c r="AF4214">
        <v>-5.8670952466550599</v>
      </c>
      <c r="AG4214">
        <v>-1.1042639825489999</v>
      </c>
      <c r="AH4214">
        <v>18.361819180371299</v>
      </c>
      <c r="AI4214">
        <v>93.278652888332999</v>
      </c>
      <c r="AJ4214">
        <v>107.720079745951</v>
      </c>
      <c r="AK4214">
        <v>19.307993401416201</v>
      </c>
    </row>
    <row r="4215" spans="1:37" x14ac:dyDescent="0.2">
      <c r="A4215" t="str">
        <f>"20200111155935967"</f>
        <v>20200111155935967</v>
      </c>
      <c r="B4215" t="str">
        <f>"1578729575963948"</f>
        <v>1578729575963948</v>
      </c>
      <c r="C4215" t="s">
        <v>37</v>
      </c>
      <c r="D4215">
        <v>4.4417619999999998</v>
      </c>
      <c r="E4215">
        <v>0.38963359999999903</v>
      </c>
      <c r="F4215" t="s">
        <v>39</v>
      </c>
      <c r="G4215">
        <v>-382.12369999999999</v>
      </c>
      <c r="H4215" s="1">
        <v>-4.0420350000000003E-6</v>
      </c>
      <c r="I4215">
        <v>135.7782</v>
      </c>
      <c r="J4215">
        <v>-364.23059999999998</v>
      </c>
      <c r="K4215">
        <v>1.10426</v>
      </c>
      <c r="L4215">
        <v>141.4161</v>
      </c>
      <c r="M4215">
        <v>-0.99988149999999998</v>
      </c>
      <c r="N4215">
        <v>0</v>
      </c>
      <c r="O4215">
        <v>4.6465489999999998E-3</v>
      </c>
      <c r="P4215">
        <v>-0.99936309999999995</v>
      </c>
      <c r="Q4215">
        <v>3.3710699999999899E-2</v>
      </c>
      <c r="R4215">
        <v>-1.1721870000000001E-2</v>
      </c>
      <c r="S4215">
        <v>-2.9964900000000001</v>
      </c>
      <c r="T4215">
        <v>-0.18139069999999999</v>
      </c>
      <c r="U4215">
        <v>-0.92582699999999996</v>
      </c>
      <c r="V4215">
        <v>-1.6360699999999999E-2</v>
      </c>
      <c r="W4215">
        <v>4.8379909999999998E-2</v>
      </c>
      <c r="X4215">
        <v>0.998695</v>
      </c>
      <c r="Y4215">
        <v>-0.29913020000000001</v>
      </c>
      <c r="Z4215">
        <v>-9.1146439999999999E-3</v>
      </c>
      <c r="AA4215">
        <v>0.95416880000000004</v>
      </c>
      <c r="AB4215">
        <v>35</v>
      </c>
      <c r="AC4215">
        <v>-17.8931</v>
      </c>
      <c r="AD4215">
        <v>-1.1042640420350001</v>
      </c>
      <c r="AE4215">
        <v>-5.6379000000000001</v>
      </c>
      <c r="AF4215">
        <v>-5.7012361474450097</v>
      </c>
      <c r="AG4215">
        <v>-1.1042640420350001</v>
      </c>
      <c r="AH4215">
        <v>17.805018071746598</v>
      </c>
      <c r="AI4215">
        <v>93.380286757430099</v>
      </c>
      <c r="AJ4215">
        <v>107.75526820041</v>
      </c>
      <c r="AK4215">
        <v>18.728111523020399</v>
      </c>
    </row>
    <row r="4216" spans="1:37" x14ac:dyDescent="0.2">
      <c r="A4216" t="str">
        <f>"20200111155935989"</f>
        <v>20200111155935989</v>
      </c>
      <c r="B4216" t="str">
        <f>"1578729575984445"</f>
        <v>1578729575984445</v>
      </c>
      <c r="C4216" t="s">
        <v>37</v>
      </c>
      <c r="D4216">
        <v>5.3372869999999999</v>
      </c>
      <c r="E4216">
        <v>0.39015490000000003</v>
      </c>
      <c r="F4216" t="s">
        <v>39</v>
      </c>
      <c r="G4216">
        <v>-382.05029999999999</v>
      </c>
      <c r="H4216" s="1">
        <v>-4.0520520000000001E-6</v>
      </c>
      <c r="I4216">
        <v>135.89920000000001</v>
      </c>
      <c r="J4216">
        <v>-364.57990000000001</v>
      </c>
      <c r="K4216">
        <v>1.1042620000000001</v>
      </c>
      <c r="L4216">
        <v>141.4178</v>
      </c>
      <c r="M4216">
        <v>-0.99988140000000003</v>
      </c>
      <c r="N4216">
        <v>0</v>
      </c>
      <c r="O4216">
        <v>4.6638209999999899E-3</v>
      </c>
      <c r="P4216">
        <v>-0.99942569999999997</v>
      </c>
      <c r="Q4216">
        <v>3.2153399999999999E-2</v>
      </c>
      <c r="R4216">
        <v>-1.06993E-2</v>
      </c>
      <c r="S4216">
        <v>-2.99725299999999</v>
      </c>
      <c r="T4216">
        <v>-0.18573689999999901</v>
      </c>
      <c r="U4216">
        <v>-0.92793269999999906</v>
      </c>
      <c r="V4216">
        <v>-1.535655E-2</v>
      </c>
      <c r="W4216">
        <v>4.6820979999999998E-2</v>
      </c>
      <c r="X4216">
        <v>0.99878529999999999</v>
      </c>
      <c r="Y4216">
        <v>-0.29966470000000001</v>
      </c>
      <c r="Z4216">
        <v>-9.3466550000000006E-3</v>
      </c>
      <c r="AA4216">
        <v>0.95399880000000004</v>
      </c>
      <c r="AB4216">
        <v>35</v>
      </c>
      <c r="AC4216">
        <v>-17.470399999999898</v>
      </c>
      <c r="AD4216">
        <v>-1.104266052052</v>
      </c>
      <c r="AE4216">
        <v>-5.5185999999999904</v>
      </c>
      <c r="AF4216">
        <v>-5.5797577173980297</v>
      </c>
      <c r="AG4216">
        <v>-1.104266052052</v>
      </c>
      <c r="AH4216">
        <v>17.381327457437799</v>
      </c>
      <c r="AI4216">
        <v>93.461673821067393</v>
      </c>
      <c r="AJ4216">
        <v>107.797680952082</v>
      </c>
      <c r="AK4216">
        <v>18.2883472156797</v>
      </c>
    </row>
    <row r="4217" spans="1:37" x14ac:dyDescent="0.2">
      <c r="A4217" t="str">
        <f>"20200111155936011"</f>
        <v>20200111155936011</v>
      </c>
      <c r="B4217" t="str">
        <f>"1578729576004940"</f>
        <v>1578729576004940</v>
      </c>
      <c r="C4217" t="s">
        <v>37</v>
      </c>
      <c r="D4217">
        <v>5.1382570000000003</v>
      </c>
      <c r="E4217">
        <v>0.45667049999999998</v>
      </c>
      <c r="F4217" t="s">
        <v>39</v>
      </c>
      <c r="G4217">
        <v>-382.2466</v>
      </c>
      <c r="H4217" s="1">
        <v>-3.9511649999999996E-6</v>
      </c>
      <c r="I4217">
        <v>135.9932</v>
      </c>
      <c r="J4217">
        <v>-364.93270000000001</v>
      </c>
      <c r="K4217">
        <v>1.104257</v>
      </c>
      <c r="L4217">
        <v>141.4194</v>
      </c>
      <c r="M4217">
        <v>-0.99988140000000003</v>
      </c>
      <c r="N4217">
        <v>0</v>
      </c>
      <c r="O4217">
        <v>4.6744559999999996E-3</v>
      </c>
      <c r="P4217">
        <v>-0.99944169999999999</v>
      </c>
      <c r="Q4217">
        <v>3.182053E-2</v>
      </c>
      <c r="R4217">
        <v>-1.0203459999999999E-2</v>
      </c>
      <c r="S4217">
        <v>-2.9978639999999999</v>
      </c>
      <c r="T4217">
        <v>-0.187384</v>
      </c>
      <c r="U4217">
        <v>-0.92048649999999999</v>
      </c>
      <c r="V4217">
        <v>-1.487195E-2</v>
      </c>
      <c r="W4217">
        <v>4.6485659999999998E-2</v>
      </c>
      <c r="X4217">
        <v>0.99880829999999998</v>
      </c>
      <c r="Y4217">
        <v>-0.29744949999999998</v>
      </c>
      <c r="Z4217">
        <v>-9.3639599999999993E-3</v>
      </c>
      <c r="AA4217">
        <v>0.95469159999999997</v>
      </c>
      <c r="AB4217">
        <v>35</v>
      </c>
      <c r="AC4217">
        <v>-17.313899999999901</v>
      </c>
      <c r="AD4217">
        <v>-1.1042609511649999</v>
      </c>
      <c r="AE4217">
        <v>-5.4261999999999899</v>
      </c>
      <c r="AF4217">
        <v>-5.4867598463458602</v>
      </c>
      <c r="AG4217">
        <v>-1.1042609511649999</v>
      </c>
      <c r="AH4217">
        <v>17.224544830167002</v>
      </c>
      <c r="AI4217">
        <v>93.495594170646299</v>
      </c>
      <c r="AJ4217">
        <v>107.668919004868</v>
      </c>
      <c r="AK4217">
        <v>18.1110151693983</v>
      </c>
    </row>
    <row r="4218" spans="1:37" x14ac:dyDescent="0.2">
      <c r="A4218" t="str">
        <f>"20200111155936034"</f>
        <v>20200111155936034</v>
      </c>
      <c r="B4218" t="str">
        <f>"1578729576024460"</f>
        <v>1578729576024460</v>
      </c>
      <c r="C4218" t="s">
        <v>37</v>
      </c>
      <c r="D4218">
        <v>5.1429159999999996</v>
      </c>
      <c r="E4218">
        <v>0.45611750000000001</v>
      </c>
      <c r="F4218" t="s">
        <v>39</v>
      </c>
      <c r="G4218">
        <v>-383.0068</v>
      </c>
      <c r="H4218" s="1">
        <v>-3.0763229999999899E-6</v>
      </c>
      <c r="I4218">
        <v>139.0866</v>
      </c>
      <c r="J4218">
        <v>-365.27949999999998</v>
      </c>
      <c r="K4218">
        <v>1.104266</v>
      </c>
      <c r="L4218">
        <v>141.42099999999999</v>
      </c>
      <c r="M4218">
        <v>-0.99988159999999904</v>
      </c>
      <c r="N4218">
        <v>0</v>
      </c>
      <c r="O4218">
        <v>4.6691119999999996E-3</v>
      </c>
      <c r="P4218">
        <v>-0.99944900000000003</v>
      </c>
      <c r="Q4218">
        <v>3.158739E-2</v>
      </c>
      <c r="R4218">
        <v>-1.022903E-2</v>
      </c>
      <c r="S4218">
        <v>-3.003571</v>
      </c>
      <c r="T4218">
        <v>-0.18350820000000001</v>
      </c>
      <c r="U4218">
        <v>-0.38766479999999998</v>
      </c>
      <c r="V4218">
        <v>-1.489354E-2</v>
      </c>
      <c r="W4218">
        <v>4.6249400000000003E-2</v>
      </c>
      <c r="X4218">
        <v>0.99881889999999995</v>
      </c>
      <c r="Y4218">
        <v>-0.13238459999999999</v>
      </c>
      <c r="Z4218">
        <v>-4.3075980000000002E-3</v>
      </c>
      <c r="AA4218">
        <v>0.99118909999999905</v>
      </c>
      <c r="AB4218">
        <v>35</v>
      </c>
      <c r="AC4218">
        <v>-17.7273</v>
      </c>
      <c r="AD4218">
        <v>-1.1042690763230001</v>
      </c>
      <c r="AE4218">
        <v>-2.33439999999998</v>
      </c>
      <c r="AF4218">
        <v>-2.4079698285919702</v>
      </c>
      <c r="AG4218">
        <v>-1.1042690763230001</v>
      </c>
      <c r="AH4218">
        <v>17.648890390102</v>
      </c>
      <c r="AI4218">
        <v>93.547477206903096</v>
      </c>
      <c r="AJ4218">
        <v>97.769318708603507</v>
      </c>
      <c r="AK4218">
        <v>17.8465980200756</v>
      </c>
    </row>
    <row r="4219" spans="1:37" x14ac:dyDescent="0.2">
      <c r="A4219" t="str">
        <f>"20200111155936055"</f>
        <v>20200111155936055</v>
      </c>
      <c r="B4219" t="str">
        <f>"1578729576043980"</f>
        <v>1578729576043980</v>
      </c>
      <c r="C4219" t="s">
        <v>37</v>
      </c>
      <c r="D4219">
        <v>5.0984150000000001</v>
      </c>
      <c r="E4219">
        <v>0.45543739999999999</v>
      </c>
      <c r="F4219" t="s">
        <v>39</v>
      </c>
      <c r="G4219">
        <v>-382.34100000000001</v>
      </c>
      <c r="H4219" s="1">
        <v>-3.3433619999999998E-6</v>
      </c>
      <c r="I4219">
        <v>139.19139999999999</v>
      </c>
      <c r="J4219">
        <v>-365.62569999999999</v>
      </c>
      <c r="K4219">
        <v>1.104284</v>
      </c>
      <c r="L4219">
        <v>141.42259999999999</v>
      </c>
      <c r="M4219">
        <v>-0.99988169999999899</v>
      </c>
      <c r="N4219">
        <v>0</v>
      </c>
      <c r="O4219">
        <v>4.62667299999999E-3</v>
      </c>
      <c r="P4219">
        <v>-0.99945280000000003</v>
      </c>
      <c r="Q4219">
        <v>3.1282770000000001E-2</v>
      </c>
      <c r="R4219">
        <v>-1.075367E-2</v>
      </c>
      <c r="S4219">
        <v>-3.003784</v>
      </c>
      <c r="T4219">
        <v>-0.19441510000000001</v>
      </c>
      <c r="U4219">
        <v>-0.3925323</v>
      </c>
      <c r="V4219">
        <v>-1.5378599999999999E-2</v>
      </c>
      <c r="W4219">
        <v>4.594169E-2</v>
      </c>
      <c r="X4219">
        <v>0.99882569999999904</v>
      </c>
      <c r="Y4219">
        <v>-0.13387939999999901</v>
      </c>
      <c r="Z4219">
        <v>-4.6077029999999899E-3</v>
      </c>
      <c r="AA4219">
        <v>0.9909869</v>
      </c>
      <c r="AB4219">
        <v>35</v>
      </c>
      <c r="AC4219">
        <v>-16.715299999999999</v>
      </c>
      <c r="AD4219">
        <v>-1.104287343362</v>
      </c>
      <c r="AE4219">
        <v>-2.2311999999999999</v>
      </c>
      <c r="AF4219">
        <v>-2.2986637408436401</v>
      </c>
      <c r="AG4219">
        <v>-1.104287343362</v>
      </c>
      <c r="AH4219">
        <v>16.633470764158801</v>
      </c>
      <c r="AI4219">
        <v>93.7626079310119</v>
      </c>
      <c r="AJ4219">
        <v>97.868158737979201</v>
      </c>
      <c r="AK4219">
        <v>16.827823840066301</v>
      </c>
    </row>
    <row r="4220" spans="1:37" x14ac:dyDescent="0.2">
      <c r="A4220" t="str">
        <f>"20200111155936078"</f>
        <v>20200111155936078</v>
      </c>
      <c r="B4220" t="str">
        <f>"1578729576074236"</f>
        <v>1578729576074236</v>
      </c>
      <c r="C4220" t="s">
        <v>37</v>
      </c>
      <c r="D4220">
        <v>5.136781</v>
      </c>
      <c r="E4220">
        <v>0.45591480000000001</v>
      </c>
      <c r="F4220" t="s">
        <v>39</v>
      </c>
      <c r="G4220">
        <v>-382.29289999999997</v>
      </c>
      <c r="H4220" s="1">
        <v>-3.3616909999999999E-6</v>
      </c>
      <c r="I4220">
        <v>139.20439999999999</v>
      </c>
      <c r="J4220">
        <v>-365.97059999999999</v>
      </c>
      <c r="K4220">
        <v>1.1043240000000001</v>
      </c>
      <c r="L4220">
        <v>141.42410000000001</v>
      </c>
      <c r="M4220">
        <v>-0.9998823</v>
      </c>
      <c r="N4220">
        <v>0</v>
      </c>
      <c r="O4220">
        <v>4.524251E-3</v>
      </c>
      <c r="P4220">
        <v>-0.99947730000000001</v>
      </c>
      <c r="Q4220">
        <v>2.993177E-2</v>
      </c>
      <c r="R4220">
        <v>-1.2228950000000001E-2</v>
      </c>
      <c r="S4220">
        <v>-3.003571</v>
      </c>
      <c r="T4220">
        <v>-0.19900299999999899</v>
      </c>
      <c r="U4220">
        <v>-0.39973449999999999</v>
      </c>
      <c r="V4220">
        <v>-1.6755579999999999E-2</v>
      </c>
      <c r="W4220">
        <v>4.4586479999999998E-2</v>
      </c>
      <c r="X4220">
        <v>0.998865</v>
      </c>
      <c r="Y4220">
        <v>-0.13610410000000001</v>
      </c>
      <c r="Z4220">
        <v>-4.782349E-3</v>
      </c>
      <c r="AA4220">
        <v>0.99068299999999998</v>
      </c>
      <c r="AB4220">
        <v>35</v>
      </c>
      <c r="AC4220">
        <v>-16.322299999999899</v>
      </c>
      <c r="AD4220">
        <v>-1.1043273616910001</v>
      </c>
      <c r="AE4220">
        <v>-2.2197000000000102</v>
      </c>
      <c r="AF4220">
        <v>-2.28326940314036</v>
      </c>
      <c r="AG4220">
        <v>-1.1043273616910001</v>
      </c>
      <c r="AH4220">
        <v>16.2391038477042</v>
      </c>
      <c r="AI4220">
        <v>93.852585090139399</v>
      </c>
      <c r="AJ4220">
        <v>98.0035020792117</v>
      </c>
      <c r="AK4220">
        <v>16.435977362652199</v>
      </c>
    </row>
    <row r="4221" spans="1:37" x14ac:dyDescent="0.2">
      <c r="A4221" t="str">
        <f>"20200111155936101"</f>
        <v>20200111155936101</v>
      </c>
      <c r="B4221" t="str">
        <f>"1578729576094735"</f>
        <v>1578729576094735</v>
      </c>
      <c r="C4221" t="s">
        <v>37</v>
      </c>
      <c r="D4221">
        <v>5.196809</v>
      </c>
      <c r="E4221">
        <v>0.455103799999999</v>
      </c>
      <c r="F4221" t="s">
        <v>39</v>
      </c>
      <c r="G4221">
        <v>-382.93369999999999</v>
      </c>
      <c r="H4221" s="1">
        <v>-3.0939309999999999E-6</v>
      </c>
      <c r="I4221">
        <v>139.16409999999999</v>
      </c>
      <c r="J4221">
        <v>-366.3304</v>
      </c>
      <c r="K4221">
        <v>1.1043909999999999</v>
      </c>
      <c r="L4221">
        <v>141.4256</v>
      </c>
      <c r="M4221">
        <v>-0.99988310000000002</v>
      </c>
      <c r="N4221">
        <v>0</v>
      </c>
      <c r="O4221">
        <v>4.3344519999999999E-3</v>
      </c>
      <c r="P4221">
        <v>-0.99947379999999997</v>
      </c>
      <c r="Q4221">
        <v>2.956232E-2</v>
      </c>
      <c r="R4221">
        <v>-1.3356059999999999E-2</v>
      </c>
      <c r="S4221">
        <v>-3.0025019999999998</v>
      </c>
      <c r="T4221">
        <v>-0.19546910000000001</v>
      </c>
      <c r="U4221">
        <v>-0.40000920000000001</v>
      </c>
      <c r="V4221">
        <v>-1.7699889999999999E-2</v>
      </c>
      <c r="W4221">
        <v>4.4211099999999899E-2</v>
      </c>
      <c r="X4221">
        <v>0.99886540000000001</v>
      </c>
      <c r="Y4221">
        <v>-0.13606209999999999</v>
      </c>
      <c r="Z4221">
        <v>-4.6855769999999998E-3</v>
      </c>
      <c r="AA4221">
        <v>0.99068919999999905</v>
      </c>
      <c r="AB4221">
        <v>35</v>
      </c>
      <c r="AC4221">
        <v>-16.603299999999901</v>
      </c>
      <c r="AD4221">
        <v>-1.104394093931</v>
      </c>
      <c r="AE4221">
        <v>-2.2615000000000101</v>
      </c>
      <c r="AF4221">
        <v>-2.3233603427102101</v>
      </c>
      <c r="AG4221">
        <v>-1.104394093931</v>
      </c>
      <c r="AH4221">
        <v>16.521573172964601</v>
      </c>
      <c r="AI4221">
        <v>93.787127117799002</v>
      </c>
      <c r="AJ4221">
        <v>98.004776858880405</v>
      </c>
      <c r="AK4221">
        <v>16.7206480049791</v>
      </c>
    </row>
    <row r="4222" spans="1:37" x14ac:dyDescent="0.2">
      <c r="A4222" t="str">
        <f>"20200111155936124"</f>
        <v>20200111155936124</v>
      </c>
      <c r="B4222" t="str">
        <f>"1578729576114252"</f>
        <v>1578729576114252</v>
      </c>
      <c r="C4222" t="s">
        <v>37</v>
      </c>
      <c r="D4222">
        <v>5.1843279999999998</v>
      </c>
      <c r="E4222">
        <v>0.45464929999999898</v>
      </c>
      <c r="F4222" t="s">
        <v>39</v>
      </c>
      <c r="G4222">
        <v>-382.90170000000001</v>
      </c>
      <c r="H4222" s="1">
        <v>-3.1079139999999999E-6</v>
      </c>
      <c r="I4222">
        <v>139.1626</v>
      </c>
      <c r="J4222">
        <v>-366.6823</v>
      </c>
      <c r="K4222">
        <v>1.104474</v>
      </c>
      <c r="L4222">
        <v>141.42679999999999</v>
      </c>
      <c r="M4222">
        <v>-0.99988429999999995</v>
      </c>
      <c r="N4222">
        <v>0</v>
      </c>
      <c r="O4222">
        <v>4.0502380000000003E-3</v>
      </c>
      <c r="P4222">
        <v>-0.99944040000000001</v>
      </c>
      <c r="Q4222">
        <v>2.992239E-2</v>
      </c>
      <c r="R4222">
        <v>-1.496457E-2</v>
      </c>
      <c r="S4222">
        <v>-3.002014</v>
      </c>
      <c r="T4222">
        <v>-0.20006989999999999</v>
      </c>
      <c r="U4222">
        <v>-0.40994259999999899</v>
      </c>
      <c r="V4222">
        <v>-1.9032250000000001E-2</v>
      </c>
      <c r="W4222">
        <v>4.4563619999999998E-2</v>
      </c>
      <c r="X4222">
        <v>0.99882530000000003</v>
      </c>
      <c r="Y4222">
        <v>-0.13900090000000001</v>
      </c>
      <c r="Z4222">
        <v>-4.8738770000000004E-3</v>
      </c>
      <c r="AA4222">
        <v>0.9902803</v>
      </c>
      <c r="AB4222">
        <v>35</v>
      </c>
      <c r="AC4222">
        <v>-16.2194</v>
      </c>
      <c r="AD4222">
        <v>-1.1044771079139999</v>
      </c>
      <c r="AE4222">
        <v>-2.2641999999999798</v>
      </c>
      <c r="AF4222">
        <v>-2.3193315907085998</v>
      </c>
      <c r="AG4222">
        <v>-1.1044771079139999</v>
      </c>
      <c r="AH4222">
        <v>16.136698693394099</v>
      </c>
      <c r="AI4222">
        <v>93.875799650595894</v>
      </c>
      <c r="AJ4222">
        <v>98.179120687412805</v>
      </c>
      <c r="AK4222">
        <v>16.339896371487502</v>
      </c>
    </row>
    <row r="4223" spans="1:37" x14ac:dyDescent="0.2">
      <c r="A4223" t="str">
        <f>"20200111155936145"</f>
        <v>20200111155936145</v>
      </c>
      <c r="B4223" t="str">
        <f>"1578729576134748"</f>
        <v>1578729576134748</v>
      </c>
      <c r="C4223" t="s">
        <v>37</v>
      </c>
      <c r="D4223">
        <v>5.2032989999999897</v>
      </c>
      <c r="E4223">
        <v>0.45447890000000002</v>
      </c>
      <c r="F4223" t="s">
        <v>39</v>
      </c>
      <c r="G4223">
        <v>-383.16609999999997</v>
      </c>
      <c r="H4223" s="1">
        <v>-3.000412E-6</v>
      </c>
      <c r="I4223">
        <v>139.1293</v>
      </c>
      <c r="J4223">
        <v>-367.01870000000002</v>
      </c>
      <c r="K4223">
        <v>1.1045670000000001</v>
      </c>
      <c r="L4223">
        <v>141.42779999999999</v>
      </c>
      <c r="M4223">
        <v>-0.99988589999999999</v>
      </c>
      <c r="N4223">
        <v>0</v>
      </c>
      <c r="O4223">
        <v>3.6757119999999998E-3</v>
      </c>
      <c r="P4223">
        <v>-0.99940709999999999</v>
      </c>
      <c r="Q4223">
        <v>3.0346919999999999E-2</v>
      </c>
      <c r="R4223">
        <v>-1.6264799999999999E-2</v>
      </c>
      <c r="S4223">
        <v>-3.0014340000000002</v>
      </c>
      <c r="T4223">
        <v>-0.20110899999999901</v>
      </c>
      <c r="U4223">
        <v>-0.41833500000000001</v>
      </c>
      <c r="V4223">
        <v>-1.9967749999999999E-2</v>
      </c>
      <c r="W4223">
        <v>4.4980430000000002E-2</v>
      </c>
      <c r="X4223">
        <v>0.99878829999999996</v>
      </c>
      <c r="Y4223">
        <v>-0.14136489999999999</v>
      </c>
      <c r="Z4223">
        <v>-4.9529179999999997E-3</v>
      </c>
      <c r="AA4223">
        <v>0.98994519999999997</v>
      </c>
      <c r="AB4223">
        <v>35</v>
      </c>
      <c r="AC4223">
        <v>-16.147399999999902</v>
      </c>
      <c r="AD4223">
        <v>-1.104570000412</v>
      </c>
      <c r="AE4223">
        <v>-2.29849999999999</v>
      </c>
      <c r="AF4223">
        <v>-2.3470794471462799</v>
      </c>
      <c r="AG4223">
        <v>-1.104570000412</v>
      </c>
      <c r="AH4223">
        <v>16.0651605157923</v>
      </c>
      <c r="AI4223">
        <v>93.892028176030905</v>
      </c>
      <c r="AJ4223">
        <v>98.311963662007997</v>
      </c>
      <c r="AK4223">
        <v>16.2732369003588</v>
      </c>
    </row>
    <row r="4224" spans="1:37" x14ac:dyDescent="0.2">
      <c r="A4224" t="str">
        <f>"20200111155936168"</f>
        <v>20200111155936168</v>
      </c>
      <c r="B4224" t="str">
        <f>"1578729576164029"</f>
        <v>1578729576164029</v>
      </c>
      <c r="C4224" t="s">
        <v>37</v>
      </c>
      <c r="D4224">
        <v>5.2957650000000003</v>
      </c>
      <c r="E4224">
        <v>0.45421</v>
      </c>
      <c r="F4224" t="s">
        <v>39</v>
      </c>
      <c r="G4224">
        <v>-383.68209999999999</v>
      </c>
      <c r="H4224" s="1">
        <v>-2.788404E-6</v>
      </c>
      <c r="I4224">
        <v>139.07650000000001</v>
      </c>
      <c r="J4224">
        <v>-367.36810000000003</v>
      </c>
      <c r="K4224">
        <v>1.104657</v>
      </c>
      <c r="L4224">
        <v>141.42859999999999</v>
      </c>
      <c r="M4224">
        <v>-0.99988759999999999</v>
      </c>
      <c r="N4224">
        <v>0</v>
      </c>
      <c r="O4224">
        <v>3.171199E-3</v>
      </c>
      <c r="P4224">
        <v>-0.9993803</v>
      </c>
      <c r="Q4224">
        <v>3.0580019999999999E-2</v>
      </c>
      <c r="R4224">
        <v>-1.743654E-2</v>
      </c>
      <c r="S4224">
        <v>-3.0009160000000001</v>
      </c>
      <c r="T4224">
        <v>-0.19892319999999999</v>
      </c>
      <c r="U4224">
        <v>-0.42343140000000001</v>
      </c>
      <c r="V4224">
        <v>-2.0645259999999999E-2</v>
      </c>
      <c r="W4224">
        <v>4.5205750000000003E-2</v>
      </c>
      <c r="X4224">
        <v>0.99876430000000005</v>
      </c>
      <c r="Y4224">
        <v>-0.142542899999999</v>
      </c>
      <c r="Z4224">
        <v>-4.9050300000000003E-3</v>
      </c>
      <c r="AA4224">
        <v>0.98977649999999995</v>
      </c>
      <c r="AB4224">
        <v>35</v>
      </c>
      <c r="AC4224">
        <v>-16.313999999999901</v>
      </c>
      <c r="AD4224">
        <v>-1.1046597884039999</v>
      </c>
      <c r="AE4224">
        <v>-2.3520999999999699</v>
      </c>
      <c r="AF4224">
        <v>-2.3930799088215098</v>
      </c>
      <c r="AG4224">
        <v>-1.1046597884039999</v>
      </c>
      <c r="AH4224">
        <v>16.233543589677701</v>
      </c>
      <c r="AI4224">
        <v>93.851365010603402</v>
      </c>
      <c r="AJ4224">
        <v>98.385902244454698</v>
      </c>
      <c r="AK4224">
        <v>16.446125445711701</v>
      </c>
    </row>
    <row r="4225" spans="1:37" x14ac:dyDescent="0.2">
      <c r="A4225" t="str">
        <f>"20200111155936189"</f>
        <v>20200111155936189</v>
      </c>
      <c r="B4225" t="str">
        <f>"1578729576184524"</f>
        <v>1578729576184524</v>
      </c>
      <c r="C4225" t="s">
        <v>37</v>
      </c>
      <c r="D4225">
        <v>5.2825369999999996</v>
      </c>
      <c r="E4225">
        <v>0.45416679999999998</v>
      </c>
      <c r="F4225" t="s">
        <v>39</v>
      </c>
      <c r="G4225">
        <v>-383.78070000000002</v>
      </c>
      <c r="H4225" s="1">
        <v>-2.74511399999999E-6</v>
      </c>
      <c r="I4225">
        <v>139.08199999999999</v>
      </c>
      <c r="J4225">
        <v>-367.71510000000001</v>
      </c>
      <c r="K4225">
        <v>1.1047450000000001</v>
      </c>
      <c r="L4225">
        <v>141.42910000000001</v>
      </c>
      <c r="M4225">
        <v>-0.99988929999999998</v>
      </c>
      <c r="N4225">
        <v>0</v>
      </c>
      <c r="O4225">
        <v>2.5809169999999998E-3</v>
      </c>
      <c r="P4225">
        <v>-0.99937520000000002</v>
      </c>
      <c r="Q4225">
        <v>3.0378220000000001E-2</v>
      </c>
      <c r="R4225">
        <v>-1.80646E-2</v>
      </c>
      <c r="S4225">
        <v>-3.0005489999999999</v>
      </c>
      <c r="T4225">
        <v>-0.20195439999999901</v>
      </c>
      <c r="U4225">
        <v>-0.42898559999999902</v>
      </c>
      <c r="V4225">
        <v>-2.0691649999999999E-2</v>
      </c>
      <c r="W4225">
        <v>4.4997099999999998E-2</v>
      </c>
      <c r="X4225">
        <v>0.99877280000000002</v>
      </c>
      <c r="Y4225">
        <v>-0.1437601</v>
      </c>
      <c r="Z4225">
        <v>-4.9807819999999996E-3</v>
      </c>
      <c r="AA4225">
        <v>0.98960000000000004</v>
      </c>
      <c r="AB4225">
        <v>35</v>
      </c>
      <c r="AC4225">
        <v>-16.0656</v>
      </c>
      <c r="AD4225">
        <v>-1.104747745114</v>
      </c>
      <c r="AE4225">
        <v>-2.34710000000001</v>
      </c>
      <c r="AF4225">
        <v>-2.3775530638623001</v>
      </c>
      <c r="AG4225">
        <v>-1.104747745114</v>
      </c>
      <c r="AH4225">
        <v>15.9854788946233</v>
      </c>
      <c r="AI4225">
        <v>93.910513754423405</v>
      </c>
      <c r="AJ4225">
        <v>98.459702921675103</v>
      </c>
      <c r="AK4225">
        <v>16.199035824463799</v>
      </c>
    </row>
    <row r="4226" spans="1:37" x14ac:dyDescent="0.2">
      <c r="A4226" t="str">
        <f>"20200111155936213"</f>
        <v>20200111155936213</v>
      </c>
      <c r="B4226" t="str">
        <f>"1578729576204551"</f>
        <v>1578729576204551</v>
      </c>
      <c r="C4226" t="s">
        <v>37</v>
      </c>
      <c r="D4226">
        <v>5.249269</v>
      </c>
      <c r="E4226">
        <v>0.45414120000000002</v>
      </c>
      <c r="F4226" t="s">
        <v>39</v>
      </c>
      <c r="G4226">
        <v>-383.95499999999998</v>
      </c>
      <c r="H4226" s="1">
        <v>-2.668063E-6</v>
      </c>
      <c r="I4226">
        <v>139.0949</v>
      </c>
      <c r="J4226">
        <v>-368.06880000000001</v>
      </c>
      <c r="K4226">
        <v>1.1048149999999901</v>
      </c>
      <c r="L4226">
        <v>141.42930000000001</v>
      </c>
      <c r="M4226">
        <v>-0.99989099999999997</v>
      </c>
      <c r="N4226">
        <v>0</v>
      </c>
      <c r="O4226">
        <v>1.90017299999999E-3</v>
      </c>
      <c r="P4226">
        <v>-0.99934069999999997</v>
      </c>
      <c r="Q4226">
        <v>3.1254120000000003E-2</v>
      </c>
      <c r="R4226">
        <v>-1.8482269999999999E-2</v>
      </c>
      <c r="S4226">
        <v>-3.0002749999999998</v>
      </c>
      <c r="T4226">
        <v>-0.2040997</v>
      </c>
      <c r="U4226">
        <v>-0.43121340000000002</v>
      </c>
      <c r="V4226">
        <v>-2.0437480000000001E-2</v>
      </c>
      <c r="W4226">
        <v>4.5865959999999997E-2</v>
      </c>
      <c r="X4226">
        <v>0.99873849999999997</v>
      </c>
      <c r="Y4226">
        <v>-0.14381359999999899</v>
      </c>
      <c r="Z4226">
        <v>-4.9895449999999997E-3</v>
      </c>
      <c r="AA4226">
        <v>0.98959219999999903</v>
      </c>
      <c r="AB4226">
        <v>35</v>
      </c>
      <c r="AC4226">
        <v>-15.886199999999899</v>
      </c>
      <c r="AD4226">
        <v>-1.104817668063</v>
      </c>
      <c r="AE4226">
        <v>-2.3344000000000098</v>
      </c>
      <c r="AF4226">
        <v>-2.3534434484743998</v>
      </c>
      <c r="AG4226">
        <v>-1.104817668063</v>
      </c>
      <c r="AH4226">
        <v>15.806899172699101</v>
      </c>
      <c r="AI4226">
        <v>93.954714218253997</v>
      </c>
      <c r="AJ4226">
        <v>98.468394359467496</v>
      </c>
      <c r="AK4226">
        <v>16.019281494521099</v>
      </c>
    </row>
    <row r="4227" spans="1:37" x14ac:dyDescent="0.2">
      <c r="A4227" t="str">
        <f>"20200111155936234"</f>
        <v>20200111155936234</v>
      </c>
      <c r="B4227" t="str">
        <f>"1578729576224071"</f>
        <v>1578729576224071</v>
      </c>
      <c r="C4227" t="s">
        <v>37</v>
      </c>
      <c r="D4227">
        <v>5.2824369999999998</v>
      </c>
      <c r="E4227">
        <v>0.45391309999999901</v>
      </c>
      <c r="F4227" t="s">
        <v>39</v>
      </c>
      <c r="G4227">
        <v>-384.35939999999999</v>
      </c>
      <c r="H4227" s="1">
        <v>-2.4973459999999998E-6</v>
      </c>
      <c r="I4227">
        <v>139.07929999999999</v>
      </c>
      <c r="J4227">
        <v>-368.40339999999998</v>
      </c>
      <c r="K4227">
        <v>1.104878</v>
      </c>
      <c r="L4227">
        <v>141.42920000000001</v>
      </c>
      <c r="M4227">
        <v>-0.99989219999999901</v>
      </c>
      <c r="N4227">
        <v>0</v>
      </c>
      <c r="O4227">
        <v>1.198478E-3</v>
      </c>
      <c r="P4227">
        <v>-0.99932469999999995</v>
      </c>
      <c r="Q4227">
        <v>3.1284760000000002E-2</v>
      </c>
      <c r="R4227">
        <v>-1.9274119999999999E-2</v>
      </c>
      <c r="S4227">
        <v>-3.0003660000000001</v>
      </c>
      <c r="T4227">
        <v>-0.20348429999999901</v>
      </c>
      <c r="U4227">
        <v>-0.43280029999999903</v>
      </c>
      <c r="V4227">
        <v>-2.0533650000000001E-2</v>
      </c>
      <c r="W4227">
        <v>4.58912E-2</v>
      </c>
      <c r="X4227">
        <v>0.99873539999999905</v>
      </c>
      <c r="Y4227">
        <v>-0.1436317</v>
      </c>
      <c r="Z4227">
        <v>-4.9207690000000002E-3</v>
      </c>
      <c r="AA4227">
        <v>0.98961900000000003</v>
      </c>
      <c r="AB4227">
        <v>35</v>
      </c>
      <c r="AC4227">
        <v>-15.956</v>
      </c>
      <c r="AD4227">
        <v>-1.104880497346</v>
      </c>
      <c r="AE4227">
        <v>-2.3499000000000101</v>
      </c>
      <c r="AF4227">
        <v>-2.3579570499165401</v>
      </c>
      <c r="AG4227">
        <v>-1.104880497346</v>
      </c>
      <c r="AH4227">
        <v>15.8786511838663</v>
      </c>
      <c r="AI4227">
        <v>93.937345108761903</v>
      </c>
      <c r="AJ4227">
        <v>98.446614713350002</v>
      </c>
      <c r="AK4227">
        <v>16.090751560494699</v>
      </c>
    </row>
    <row r="4228" spans="1:37" x14ac:dyDescent="0.2">
      <c r="A4228" t="str">
        <f>"20200111155936257"</f>
        <v>20200111155936257</v>
      </c>
      <c r="B4228" t="str">
        <f>"1578729576254327"</f>
        <v>1578729576254327</v>
      </c>
      <c r="C4228" t="s">
        <v>37</v>
      </c>
      <c r="D4228">
        <v>5.3543729999999998</v>
      </c>
      <c r="E4228">
        <v>0.45390000000000003</v>
      </c>
      <c r="F4228" t="s">
        <v>39</v>
      </c>
      <c r="G4228">
        <v>-384.4074</v>
      </c>
      <c r="H4228" s="1">
        <v>-2.4733359999999998E-6</v>
      </c>
      <c r="I4228">
        <v>139.0986</v>
      </c>
      <c r="J4228">
        <v>-368.74529999999999</v>
      </c>
      <c r="K4228">
        <v>1.10493</v>
      </c>
      <c r="L4228">
        <v>141.4289</v>
      </c>
      <c r="M4228">
        <v>-0.99989280000000003</v>
      </c>
      <c r="N4228">
        <v>0</v>
      </c>
      <c r="O4228">
        <v>4.4117839999999902E-4</v>
      </c>
      <c r="P4228">
        <v>-0.99932319999999997</v>
      </c>
      <c r="Q4228">
        <v>3.0788659999999999E-2</v>
      </c>
      <c r="R4228">
        <v>-2.0133700000000001E-2</v>
      </c>
      <c r="S4228">
        <v>-3.0000610000000001</v>
      </c>
      <c r="T4228">
        <v>-0.20711849999999901</v>
      </c>
      <c r="U4228">
        <v>-0.4368744</v>
      </c>
      <c r="V4228">
        <v>-2.06407999999999E-2</v>
      </c>
      <c r="W4228">
        <v>4.538913E-2</v>
      </c>
      <c r="X4228">
        <v>0.99875609999999904</v>
      </c>
      <c r="Y4228">
        <v>-0.14420139999999901</v>
      </c>
      <c r="Z4228">
        <v>-4.9760530000000002E-3</v>
      </c>
      <c r="AA4228">
        <v>0.98953590000000002</v>
      </c>
      <c r="AB4228">
        <v>35</v>
      </c>
      <c r="AC4228">
        <v>-15.662100000000001</v>
      </c>
      <c r="AD4228">
        <v>-1.104932473336</v>
      </c>
      <c r="AE4228">
        <v>-2.33029999999999</v>
      </c>
      <c r="AF4228">
        <v>-2.3258849728809001</v>
      </c>
      <c r="AG4228">
        <v>-1.104932473336</v>
      </c>
      <c r="AH4228">
        <v>15.585182104248901</v>
      </c>
      <c r="AI4228">
        <v>94.011003685217204</v>
      </c>
      <c r="AJ4228">
        <v>98.488003080213502</v>
      </c>
      <c r="AK4228">
        <v>15.796471691498301</v>
      </c>
    </row>
    <row r="4229" spans="1:37" x14ac:dyDescent="0.2">
      <c r="A4229" t="str">
        <f>"20200111155936279"</f>
        <v>20200111155936279</v>
      </c>
      <c r="B4229" t="str">
        <f>"1578729576274823"</f>
        <v>1578729576274823</v>
      </c>
      <c r="C4229" t="s">
        <v>37</v>
      </c>
      <c r="D4229">
        <v>5.3487830000000001</v>
      </c>
      <c r="E4229">
        <v>0.45389459999999998</v>
      </c>
      <c r="F4229" t="s">
        <v>39</v>
      </c>
      <c r="G4229">
        <v>-384.47379999999998</v>
      </c>
      <c r="H4229" s="1">
        <v>-2.440202E-6</v>
      </c>
      <c r="I4229">
        <v>139.12469999999999</v>
      </c>
      <c r="J4229">
        <v>-369.0967</v>
      </c>
      <c r="K4229">
        <v>1.1049709999999999</v>
      </c>
      <c r="L4229">
        <v>141.42830000000001</v>
      </c>
      <c r="M4229">
        <v>-0.99989280000000003</v>
      </c>
      <c r="N4229">
        <v>0</v>
      </c>
      <c r="O4229">
        <v>-3.61117099999999E-4</v>
      </c>
      <c r="P4229">
        <v>-0.99932369999999904</v>
      </c>
      <c r="Q4229">
        <v>3.0333209999999999E-2</v>
      </c>
      <c r="R4229">
        <v>-2.0787779999999999E-2</v>
      </c>
      <c r="S4229">
        <v>-2.9996640000000001</v>
      </c>
      <c r="T4229">
        <v>-0.21072849999999901</v>
      </c>
      <c r="U4229">
        <v>-0.439422599999999</v>
      </c>
      <c r="V4229">
        <v>-2.0496449999999999E-2</v>
      </c>
      <c r="W4229">
        <v>4.4928990000000002E-2</v>
      </c>
      <c r="X4229">
        <v>0.99877990000000005</v>
      </c>
      <c r="Y4229">
        <v>-0.14423920000000001</v>
      </c>
      <c r="Z4229">
        <v>-5.0082449999999997E-3</v>
      </c>
      <c r="AA4229">
        <v>0.98953019999999903</v>
      </c>
      <c r="AB4229">
        <v>35</v>
      </c>
      <c r="AC4229">
        <v>-15.377099999999899</v>
      </c>
      <c r="AD4229">
        <v>-1.1049734402019999</v>
      </c>
      <c r="AE4229">
        <v>-2.3036000000000101</v>
      </c>
      <c r="AF4229">
        <v>-2.2864988461803901</v>
      </c>
      <c r="AG4229">
        <v>-1.1049734402019999</v>
      </c>
      <c r="AH4229">
        <v>15.300658243876001</v>
      </c>
      <c r="AI4229">
        <v>94.085371584494993</v>
      </c>
      <c r="AJ4229">
        <v>98.499267979417795</v>
      </c>
      <c r="AK4229">
        <v>15.5099705342411</v>
      </c>
    </row>
    <row r="4230" spans="1:37" x14ac:dyDescent="0.2">
      <c r="A4230" t="str">
        <f>"20200111155936302"</f>
        <v>20200111155936302</v>
      </c>
      <c r="B4230" t="str">
        <f>"1578729576294854"</f>
        <v>1578729576294854</v>
      </c>
      <c r="C4230" t="s">
        <v>37</v>
      </c>
      <c r="D4230">
        <v>5.3618239999999897</v>
      </c>
      <c r="E4230">
        <v>0.45382739999999999</v>
      </c>
      <c r="F4230" t="s">
        <v>39</v>
      </c>
      <c r="G4230">
        <v>-384.63279999999997</v>
      </c>
      <c r="H4230" s="1">
        <v>-2.3688390000000001E-6</v>
      </c>
      <c r="I4230">
        <v>139.14269999999999</v>
      </c>
      <c r="J4230">
        <v>-369.45080000000002</v>
      </c>
      <c r="K4230">
        <v>1.105</v>
      </c>
      <c r="L4230">
        <v>141.4273</v>
      </c>
      <c r="M4230">
        <v>-0.99989219999999901</v>
      </c>
      <c r="N4230">
        <v>0</v>
      </c>
      <c r="O4230">
        <v>-1.1820730000000001E-3</v>
      </c>
      <c r="P4230">
        <v>-0.99934419999999902</v>
      </c>
      <c r="Q4230">
        <v>2.9487470000000002E-2</v>
      </c>
      <c r="R4230">
        <v>-2.102045E-2</v>
      </c>
      <c r="S4230">
        <v>-2.9993590000000001</v>
      </c>
      <c r="T4230">
        <v>-0.2133246</v>
      </c>
      <c r="U4230">
        <v>-0.44123839999999998</v>
      </c>
      <c r="V4230">
        <v>-1.9909969999999999E-2</v>
      </c>
      <c r="W4230">
        <v>4.4080099999999997E-2</v>
      </c>
      <c r="X4230">
        <v>0.99882959999999998</v>
      </c>
      <c r="Y4230">
        <v>-0.1440215</v>
      </c>
      <c r="Z4230">
        <v>-5.00438599999999E-3</v>
      </c>
      <c r="AA4230">
        <v>0.98956189999999999</v>
      </c>
      <c r="AB4230">
        <v>35</v>
      </c>
      <c r="AC4230">
        <v>-15.181999999999899</v>
      </c>
      <c r="AD4230">
        <v>-1.105002368839</v>
      </c>
      <c r="AE4230">
        <v>-2.28460000000001</v>
      </c>
      <c r="AF4230">
        <v>-2.2549691321744501</v>
      </c>
      <c r="AG4230">
        <v>-1.105002368839</v>
      </c>
      <c r="AH4230">
        <v>15.1064363801226</v>
      </c>
      <c r="AI4230">
        <v>94.137923368619695</v>
      </c>
      <c r="AJ4230">
        <v>98.489972092318297</v>
      </c>
      <c r="AK4230">
        <v>15.313730313966399</v>
      </c>
    </row>
    <row r="4231" spans="1:37" x14ac:dyDescent="0.2">
      <c r="A4231" t="str">
        <f>"20200111155936324"</f>
        <v>20200111155936324</v>
      </c>
      <c r="B4231" t="str">
        <f>"1578729576314371"</f>
        <v>1578729576314371</v>
      </c>
      <c r="C4231" t="s">
        <v>37</v>
      </c>
      <c r="D4231">
        <v>5.3833609999999998</v>
      </c>
      <c r="E4231">
        <v>0.45363710000000002</v>
      </c>
      <c r="F4231" t="s">
        <v>39</v>
      </c>
      <c r="G4231">
        <v>-384.67680000000001</v>
      </c>
      <c r="H4231" s="1">
        <v>-2.3433690000000001E-6</v>
      </c>
      <c r="I4231">
        <v>139.17959999999999</v>
      </c>
      <c r="J4231">
        <v>-369.78300000000002</v>
      </c>
      <c r="K4231">
        <v>1.1050260000000001</v>
      </c>
      <c r="L4231">
        <v>141.42619999999999</v>
      </c>
      <c r="M4231">
        <v>-0.99989119999999998</v>
      </c>
      <c r="N4231">
        <v>0</v>
      </c>
      <c r="O4231">
        <v>-1.9574429999999901E-3</v>
      </c>
      <c r="P4231">
        <v>-0.99937399999999998</v>
      </c>
      <c r="Q4231">
        <v>2.8638170000000001E-2</v>
      </c>
      <c r="R4231">
        <v>-2.0783280000000001E-2</v>
      </c>
      <c r="S4231">
        <v>-2.9990839999999999</v>
      </c>
      <c r="T4231">
        <v>-0.2176536</v>
      </c>
      <c r="U4231">
        <v>-0.44271850000000001</v>
      </c>
      <c r="V4231">
        <v>-1.8898100000000001E-2</v>
      </c>
      <c r="W4231">
        <v>4.3229289999999997E-2</v>
      </c>
      <c r="X4231">
        <v>0.99888639999999995</v>
      </c>
      <c r="Y4231">
        <v>-0.14373349999999999</v>
      </c>
      <c r="Z4231">
        <v>-5.039679E-3</v>
      </c>
      <c r="AA4231">
        <v>0.98960360000000003</v>
      </c>
      <c r="AB4231">
        <v>35</v>
      </c>
      <c r="AC4231">
        <v>-14.893800000000001</v>
      </c>
      <c r="AD4231">
        <v>-1.105028343369</v>
      </c>
      <c r="AE4231">
        <v>-2.2465999999999999</v>
      </c>
      <c r="AF4231">
        <v>-2.2055678655384399</v>
      </c>
      <c r="AG4231">
        <v>-1.105028343369</v>
      </c>
      <c r="AH4231">
        <v>14.8184129113623</v>
      </c>
      <c r="AI4231">
        <v>94.218427882271797</v>
      </c>
      <c r="AJ4231">
        <v>98.465736158881597</v>
      </c>
      <c r="AK4231">
        <v>15.022349298987001</v>
      </c>
    </row>
    <row r="4232" spans="1:37" x14ac:dyDescent="0.2">
      <c r="A4232" t="str">
        <f>"20200111155936346"</f>
        <v>20200111155936346</v>
      </c>
      <c r="B4232" t="str">
        <f>"1578729576334867"</f>
        <v>1578729576334867</v>
      </c>
      <c r="C4232" t="s">
        <v>37</v>
      </c>
      <c r="D4232">
        <v>5.3838489999999997</v>
      </c>
      <c r="E4232">
        <v>0.45348690000000003</v>
      </c>
      <c r="F4232" t="s">
        <v>39</v>
      </c>
      <c r="G4232">
        <v>-384.83010000000002</v>
      </c>
      <c r="H4232" s="1">
        <v>-2.2741820000000001E-6</v>
      </c>
      <c r="I4232">
        <v>139.19899999999899</v>
      </c>
      <c r="J4232">
        <v>-370.12299999999999</v>
      </c>
      <c r="K4232">
        <v>1.1050439999999999</v>
      </c>
      <c r="L4232">
        <v>141.4247</v>
      </c>
      <c r="M4232">
        <v>-0.99988929999999998</v>
      </c>
      <c r="N4232">
        <v>0</v>
      </c>
      <c r="O4232">
        <v>-2.7515459999999901E-3</v>
      </c>
      <c r="P4232">
        <v>-0.99940709999999999</v>
      </c>
      <c r="Q4232">
        <v>2.7828700000000001E-2</v>
      </c>
      <c r="R4232">
        <v>-2.028514E-2</v>
      </c>
      <c r="S4232">
        <v>-2.9989619999999899</v>
      </c>
      <c r="T4232">
        <v>-0.22023879999999901</v>
      </c>
      <c r="U4232">
        <v>-0.4438782</v>
      </c>
      <c r="V4232">
        <v>-1.7606E-2</v>
      </c>
      <c r="W4232">
        <v>4.2418919999999999E-2</v>
      </c>
      <c r="X4232">
        <v>0.99894479999999997</v>
      </c>
      <c r="Y4232">
        <v>-0.14332239999999999</v>
      </c>
      <c r="Z4232">
        <v>-5.0265229999999998E-3</v>
      </c>
      <c r="AA4232">
        <v>0.98966330000000002</v>
      </c>
      <c r="AB4232">
        <v>34</v>
      </c>
      <c r="AC4232">
        <v>-14.707099999999899</v>
      </c>
      <c r="AD4232">
        <v>-1.105046274182</v>
      </c>
      <c r="AE4232">
        <v>-2.22570000000001</v>
      </c>
      <c r="AF4232">
        <v>-2.17322561211249</v>
      </c>
      <c r="AG4232">
        <v>-1.105046274182</v>
      </c>
      <c r="AH4232">
        <v>14.6324105263352</v>
      </c>
      <c r="AI4232">
        <v>94.272120023236695</v>
      </c>
      <c r="AJ4232">
        <v>98.447892495996797</v>
      </c>
      <c r="AK4232">
        <v>14.8341320824789</v>
      </c>
    </row>
    <row r="4233" spans="1:37" x14ac:dyDescent="0.2">
      <c r="A4233" t="str">
        <f>"20200111155936369"</f>
        <v>20200111155936369</v>
      </c>
      <c r="B4233" t="str">
        <f>"1578729576364148"</f>
        <v>1578729576364148</v>
      </c>
      <c r="C4233" t="s">
        <v>37</v>
      </c>
      <c r="D4233">
        <v>5.416048</v>
      </c>
      <c r="E4233">
        <v>0.45318799999999998</v>
      </c>
      <c r="F4233" t="s">
        <v>39</v>
      </c>
      <c r="G4233">
        <v>-384.95150000000001</v>
      </c>
      <c r="H4233" s="1">
        <v>-2.2166640000000002E-6</v>
      </c>
      <c r="I4233">
        <v>139.2296</v>
      </c>
      <c r="J4233">
        <v>-370.46910000000003</v>
      </c>
      <c r="K4233">
        <v>1.105054</v>
      </c>
      <c r="L4233">
        <v>141.423</v>
      </c>
      <c r="M4233">
        <v>-0.99988690000000002</v>
      </c>
      <c r="N4233">
        <v>0</v>
      </c>
      <c r="O4233">
        <v>-3.5586929999999999E-3</v>
      </c>
      <c r="P4233">
        <v>-0.99942830000000005</v>
      </c>
      <c r="Q4233">
        <v>2.7508390000000001E-2</v>
      </c>
      <c r="R4233">
        <v>-1.9666570000000001E-2</v>
      </c>
      <c r="S4233">
        <v>-2.9989619999999899</v>
      </c>
      <c r="T4233">
        <v>-0.22348789999999999</v>
      </c>
      <c r="U4233">
        <v>-0.44393919999999998</v>
      </c>
      <c r="V4233">
        <v>-1.618054E-2</v>
      </c>
      <c r="W4233">
        <v>4.2097349999999999E-2</v>
      </c>
      <c r="X4233">
        <v>0.9989825</v>
      </c>
      <c r="Y4233">
        <v>-0.14253650000000001</v>
      </c>
      <c r="Z4233">
        <v>-5.0116429999999997E-3</v>
      </c>
      <c r="AA4233">
        <v>0.98977680000000001</v>
      </c>
      <c r="AB4233">
        <v>34</v>
      </c>
      <c r="AC4233">
        <v>-14.482399999999901</v>
      </c>
      <c r="AD4233">
        <v>-1.1050562166639999</v>
      </c>
      <c r="AE4233">
        <v>-2.1933999999999898</v>
      </c>
      <c r="AF4233">
        <v>-2.1297205600078701</v>
      </c>
      <c r="AG4233">
        <v>-1.1050562166639999</v>
      </c>
      <c r="AH4233">
        <v>14.408108797679899</v>
      </c>
      <c r="AI4233">
        <v>94.338857436279</v>
      </c>
      <c r="AJ4233">
        <v>98.4082354348255</v>
      </c>
      <c r="AK4233">
        <v>14.6065210790074</v>
      </c>
    </row>
    <row r="4234" spans="1:37" x14ac:dyDescent="0.2">
      <c r="A4234" t="str">
        <f>"20200111155936391"</f>
        <v>20200111155936391</v>
      </c>
      <c r="B4234" t="str">
        <f>"1578729576384647"</f>
        <v>1578729576384647</v>
      </c>
      <c r="C4234" t="s">
        <v>37</v>
      </c>
      <c r="D4234">
        <v>5.4381180000000002</v>
      </c>
      <c r="E4234">
        <v>0.45309099999999902</v>
      </c>
      <c r="F4234" t="s">
        <v>39</v>
      </c>
      <c r="G4234">
        <v>-385.08479999999997</v>
      </c>
      <c r="H4234" s="1">
        <v>-2.1548889999999998E-6</v>
      </c>
      <c r="I4234">
        <v>139.25559999999999</v>
      </c>
      <c r="J4234">
        <v>-370.8143</v>
      </c>
      <c r="K4234">
        <v>1.1050629999999999</v>
      </c>
      <c r="L4234">
        <v>141.42089999999999</v>
      </c>
      <c r="M4234">
        <v>-0.99988359999999998</v>
      </c>
      <c r="N4234">
        <v>0</v>
      </c>
      <c r="O4234">
        <v>-4.3619710000000001E-3</v>
      </c>
      <c r="P4234">
        <v>-0.99946950000000001</v>
      </c>
      <c r="Q4234">
        <v>2.661709E-2</v>
      </c>
      <c r="R4234">
        <v>-1.8769569999999999E-2</v>
      </c>
      <c r="S4234">
        <v>-2.9991759999999998</v>
      </c>
      <c r="T4234">
        <v>-0.22676170000000001</v>
      </c>
      <c r="U4234">
        <v>-0.44473269999999998</v>
      </c>
      <c r="V4234">
        <v>-1.448E-2</v>
      </c>
      <c r="W4234">
        <v>4.1206430000000002E-2</v>
      </c>
      <c r="X4234">
        <v>0.99904570000000004</v>
      </c>
      <c r="Y4234">
        <v>-0.1419802</v>
      </c>
      <c r="Z4234">
        <v>-5.00319299999999E-3</v>
      </c>
      <c r="AA4234">
        <v>0.98985679999999998</v>
      </c>
      <c r="AB4234">
        <v>34</v>
      </c>
      <c r="AC4234">
        <v>-14.270499999999901</v>
      </c>
      <c r="AD4234">
        <v>-1.10506515488899</v>
      </c>
      <c r="AE4234">
        <v>-2.1652999999999998</v>
      </c>
      <c r="AF4234">
        <v>-2.0907700924467401</v>
      </c>
      <c r="AG4234">
        <v>-1.10506515488899</v>
      </c>
      <c r="AH4234">
        <v>14.196596210796599</v>
      </c>
      <c r="AI4234">
        <v>94.403627306080807</v>
      </c>
      <c r="AJ4234">
        <v>98.377876768849404</v>
      </c>
      <c r="AK4234">
        <v>14.392214303171899</v>
      </c>
    </row>
    <row r="4235" spans="1:37" x14ac:dyDescent="0.2">
      <c r="A4235" t="str">
        <f>"20200111155936414"</f>
        <v>20200111155936414</v>
      </c>
      <c r="B4235" t="str">
        <f>"1578729576404670"</f>
        <v>1578729576404670</v>
      </c>
      <c r="C4235" t="s">
        <v>37</v>
      </c>
      <c r="D4235">
        <v>5.4392500000000004</v>
      </c>
      <c r="E4235">
        <v>0.45287669999999902</v>
      </c>
      <c r="F4235" t="s">
        <v>39</v>
      </c>
      <c r="G4235">
        <v>-385.195999999999</v>
      </c>
      <c r="H4235" s="1">
        <v>-2.0997430000000001E-6</v>
      </c>
      <c r="I4235">
        <v>139.29759999999999</v>
      </c>
      <c r="J4235">
        <v>-371.16180000000003</v>
      </c>
      <c r="K4235">
        <v>1.1050739999999999</v>
      </c>
      <c r="L4235">
        <v>141.41849999999999</v>
      </c>
      <c r="M4235">
        <v>-0.99987990000000004</v>
      </c>
      <c r="N4235">
        <v>0</v>
      </c>
      <c r="O4235">
        <v>-5.168906E-3</v>
      </c>
      <c r="P4235">
        <v>-0.99950530000000004</v>
      </c>
      <c r="Q4235">
        <v>2.5705510000000001E-2</v>
      </c>
      <c r="R4235">
        <v>-1.811803E-2</v>
      </c>
      <c r="S4235">
        <v>-2.9994200000000002</v>
      </c>
      <c r="T4235">
        <v>-0.2304727</v>
      </c>
      <c r="U4235">
        <v>-0.44281009999999998</v>
      </c>
      <c r="V4235">
        <v>-1.302036E-2</v>
      </c>
      <c r="W4235">
        <v>4.0294530000000002E-2</v>
      </c>
      <c r="X4235">
        <v>0.99910299999999996</v>
      </c>
      <c r="Y4235">
        <v>-0.14054249999999999</v>
      </c>
      <c r="Z4235">
        <v>-4.9682299999999997E-3</v>
      </c>
      <c r="AA4235">
        <v>0.990062199999999</v>
      </c>
      <c r="AB4235">
        <v>34</v>
      </c>
      <c r="AC4235">
        <v>-14.034199999999901</v>
      </c>
      <c r="AD4235">
        <v>-1.10507609974299</v>
      </c>
      <c r="AE4235">
        <v>-2.1208999999999998</v>
      </c>
      <c r="AF4235">
        <v>-2.0359807362143001</v>
      </c>
      <c r="AG4235">
        <v>-1.10507609974299</v>
      </c>
      <c r="AH4235">
        <v>13.9603514384501</v>
      </c>
      <c r="AI4235">
        <v>94.478808142589102</v>
      </c>
      <c r="AJ4235">
        <v>98.297531374354804</v>
      </c>
      <c r="AK4235">
        <v>14.151248108541299</v>
      </c>
    </row>
    <row r="4236" spans="1:37" x14ac:dyDescent="0.2">
      <c r="A4236" t="str">
        <f>"20200111155936435"</f>
        <v>20200111155936435</v>
      </c>
      <c r="B4236" t="str">
        <f>"1578729576424191"</f>
        <v>1578729576424191</v>
      </c>
      <c r="C4236" t="s">
        <v>37</v>
      </c>
      <c r="D4236">
        <v>4.6002109999999998</v>
      </c>
      <c r="E4236">
        <v>0.45260029999999901</v>
      </c>
      <c r="F4236" t="s">
        <v>39</v>
      </c>
      <c r="G4236">
        <v>-385.34429999999998</v>
      </c>
      <c r="H4236" s="1">
        <v>-2.0308530000000001E-6</v>
      </c>
      <c r="I4236">
        <v>139.3271</v>
      </c>
      <c r="J4236">
        <v>-371.49</v>
      </c>
      <c r="K4236">
        <v>1.105083</v>
      </c>
      <c r="L4236">
        <v>141.416</v>
      </c>
      <c r="M4236">
        <v>-0.99987569999999903</v>
      </c>
      <c r="N4236">
        <v>0</v>
      </c>
      <c r="O4236">
        <v>-5.9296790000000002E-3</v>
      </c>
      <c r="P4236">
        <v>-0.99952160000000001</v>
      </c>
      <c r="Q4236">
        <v>2.4850790000000001E-2</v>
      </c>
      <c r="R4236">
        <v>-1.8425810000000001E-2</v>
      </c>
      <c r="S4236">
        <v>-2.99951199999999</v>
      </c>
      <c r="T4236">
        <v>-0.2337177</v>
      </c>
      <c r="U4236">
        <v>-0.44230649999999899</v>
      </c>
      <c r="V4236">
        <v>-1.2566290000000001E-2</v>
      </c>
      <c r="W4236">
        <v>3.9437850000000003E-2</v>
      </c>
      <c r="X4236">
        <v>0.999143</v>
      </c>
      <c r="Y4236">
        <v>-0.13961599999999999</v>
      </c>
      <c r="Z4236">
        <v>-4.9431739999999998E-3</v>
      </c>
      <c r="AA4236">
        <v>0.9901934</v>
      </c>
      <c r="AB4236">
        <v>34</v>
      </c>
      <c r="AC4236">
        <v>-13.854299999999901</v>
      </c>
      <c r="AD4236">
        <v>-1.105085030853</v>
      </c>
      <c r="AE4236">
        <v>-2.08889999999999</v>
      </c>
      <c r="AF4236">
        <v>-1.99429644314952</v>
      </c>
      <c r="AG4236">
        <v>-1.105085030853</v>
      </c>
      <c r="AH4236">
        <v>13.7807144745949</v>
      </c>
      <c r="AI4236">
        <v>94.537707881603495</v>
      </c>
      <c r="AJ4236">
        <v>98.234476403427607</v>
      </c>
      <c r="AK4236">
        <v>13.9680536460484</v>
      </c>
    </row>
    <row r="4237" spans="1:37" x14ac:dyDescent="0.2">
      <c r="A4237" t="str">
        <f>"20200111155936458"</f>
        <v>20200111155936458</v>
      </c>
      <c r="B4237" t="str">
        <f>"1578729576454446"</f>
        <v>1578729576454446</v>
      </c>
      <c r="C4237" t="s">
        <v>37</v>
      </c>
      <c r="D4237">
        <v>4.7659039999999999</v>
      </c>
      <c r="E4237">
        <v>0.36810769999999998</v>
      </c>
      <c r="F4237" t="s">
        <v>39</v>
      </c>
      <c r="G4237">
        <v>-385.56020000000001</v>
      </c>
      <c r="H4237" s="1">
        <v>-1.9385059999999999E-6</v>
      </c>
      <c r="I4237">
        <v>139.32560000000001</v>
      </c>
      <c r="J4237">
        <v>-371.83099999999899</v>
      </c>
      <c r="K4237">
        <v>1.105086</v>
      </c>
      <c r="L4237">
        <v>141.41319999999999</v>
      </c>
      <c r="M4237">
        <v>-0.9998707</v>
      </c>
      <c r="N4237">
        <v>0</v>
      </c>
      <c r="O4237">
        <v>-6.720111E-3</v>
      </c>
      <c r="P4237">
        <v>-0.99949690000000002</v>
      </c>
      <c r="Q4237">
        <v>2.470988E-2</v>
      </c>
      <c r="R4237">
        <v>-1.9885989999999999E-2</v>
      </c>
      <c r="S4237">
        <v>-2.9990839999999999</v>
      </c>
      <c r="T4237">
        <v>-0.23555189999999901</v>
      </c>
      <c r="U4237">
        <v>-0.44555659999999903</v>
      </c>
      <c r="V4237">
        <v>-1.3236700000000001E-2</v>
      </c>
      <c r="W4237">
        <v>3.9291590000000001E-2</v>
      </c>
      <c r="X4237">
        <v>0.99914009999999998</v>
      </c>
      <c r="Y4237">
        <v>-0.139899</v>
      </c>
      <c r="Z4237">
        <v>-4.9315560000000001E-3</v>
      </c>
      <c r="AA4237">
        <v>0.99015350000000002</v>
      </c>
      <c r="AB4237">
        <v>34</v>
      </c>
      <c r="AC4237">
        <v>-13.729200000000001</v>
      </c>
      <c r="AD4237">
        <v>-1.105087938506</v>
      </c>
      <c r="AE4237">
        <v>-2.0875999999999801</v>
      </c>
      <c r="AF4237">
        <v>-1.9827256155873301</v>
      </c>
      <c r="AG4237">
        <v>-1.105087938506</v>
      </c>
      <c r="AH4237">
        <v>13.656440702218999</v>
      </c>
      <c r="AI4237">
        <v>94.578534289001198</v>
      </c>
      <c r="AJ4237">
        <v>98.260831157417201</v>
      </c>
      <c r="AK4237">
        <v>13.843799798890601</v>
      </c>
    </row>
    <row r="4238" spans="1:37" x14ac:dyDescent="0.2">
      <c r="A4238" t="str">
        <f>"20200111155936481"</f>
        <v>20200111155936481</v>
      </c>
      <c r="B4238" t="str">
        <f>"1578729576474942"</f>
        <v>1578729576474942</v>
      </c>
      <c r="C4238" t="s">
        <v>37</v>
      </c>
      <c r="D4238">
        <v>4.6117669999999897</v>
      </c>
      <c r="E4238">
        <v>0.36214780000000002</v>
      </c>
      <c r="F4238" t="s">
        <v>39</v>
      </c>
      <c r="G4238">
        <v>-392.78370000000001</v>
      </c>
      <c r="H4238" s="1">
        <v>-4.1559170000000001E-6</v>
      </c>
      <c r="I4238">
        <v>133.53980000000001</v>
      </c>
      <c r="J4238">
        <v>-372.19099999999997</v>
      </c>
      <c r="K4238">
        <v>1.105083</v>
      </c>
      <c r="L4238">
        <v>141.40989999999999</v>
      </c>
      <c r="M4238">
        <v>-0.9998648</v>
      </c>
      <c r="N4238">
        <v>0</v>
      </c>
      <c r="O4238">
        <v>-7.5541549999999999E-3</v>
      </c>
      <c r="P4238">
        <v>-0.99946380000000001</v>
      </c>
      <c r="Q4238">
        <v>2.4125130000000002E-2</v>
      </c>
      <c r="R4238">
        <v>-2.2140980000000001E-2</v>
      </c>
      <c r="S4238">
        <v>-2.9830930000000002</v>
      </c>
      <c r="T4238">
        <v>-0.157335</v>
      </c>
      <c r="U4238">
        <v>-1.1209559999999901</v>
      </c>
      <c r="V4238">
        <v>-1.4656779999999999E-2</v>
      </c>
      <c r="W4238">
        <v>3.8700279999999997E-2</v>
      </c>
      <c r="X4238">
        <v>0.99914340000000001</v>
      </c>
      <c r="Y4238">
        <v>-0.34426309999999999</v>
      </c>
      <c r="Z4238">
        <v>-8.3884760000000006E-3</v>
      </c>
      <c r="AA4238">
        <v>0.93883570000000005</v>
      </c>
      <c r="AB4238">
        <v>34</v>
      </c>
      <c r="AC4238">
        <v>-20.592700000000001</v>
      </c>
      <c r="AD4238">
        <v>-1.1050871559169999</v>
      </c>
      <c r="AE4238">
        <v>-7.8700999999999697</v>
      </c>
      <c r="AF4238">
        <v>-7.6949624120516598</v>
      </c>
      <c r="AG4238">
        <v>-1.1050871559169999</v>
      </c>
      <c r="AH4238">
        <v>20.599807300812799</v>
      </c>
      <c r="AI4238">
        <v>92.876913196856904</v>
      </c>
      <c r="AJ4238">
        <v>110.482940889453</v>
      </c>
      <c r="AK4238">
        <v>22.0178501442734</v>
      </c>
    </row>
    <row r="4239" spans="1:37" x14ac:dyDescent="0.2">
      <c r="A4239" t="str">
        <f>"20200111155936503"</f>
        <v>20200111155936503</v>
      </c>
      <c r="B4239" t="str">
        <f>"1578729576494972"</f>
        <v>1578729576494972</v>
      </c>
      <c r="C4239" t="s">
        <v>37</v>
      </c>
      <c r="D4239">
        <v>4.7343380000000002</v>
      </c>
      <c r="E4239">
        <v>0.36156100000000002</v>
      </c>
      <c r="F4239" t="s">
        <v>39</v>
      </c>
      <c r="G4239">
        <v>-393.30689999999998</v>
      </c>
      <c r="H4239" s="1">
        <v>-4.0130819999999997E-6</v>
      </c>
      <c r="I4239">
        <v>133.0796</v>
      </c>
      <c r="J4239">
        <v>-372.5258</v>
      </c>
      <c r="K4239">
        <v>1.1050799999999901</v>
      </c>
      <c r="L4239">
        <v>141.4066</v>
      </c>
      <c r="M4239">
        <v>-0.99985869999999999</v>
      </c>
      <c r="N4239">
        <v>0</v>
      </c>
      <c r="O4239">
        <v>-8.3302540000000005E-3</v>
      </c>
      <c r="P4239">
        <v>-0.99946139999999895</v>
      </c>
      <c r="Q4239">
        <v>2.2061899999999999E-2</v>
      </c>
      <c r="R4239">
        <v>-2.4302850000000001E-2</v>
      </c>
      <c r="S4239">
        <v>-2.979279</v>
      </c>
      <c r="T4239">
        <v>-0.15591849999999999</v>
      </c>
      <c r="U4239">
        <v>-1.1753229999999999</v>
      </c>
      <c r="V4239">
        <v>-1.6038699999999999E-2</v>
      </c>
      <c r="W4239">
        <v>3.6632270000000001E-2</v>
      </c>
      <c r="X4239">
        <v>0.99920010000000004</v>
      </c>
      <c r="Y4239">
        <v>-0.35879809999999901</v>
      </c>
      <c r="Z4239">
        <v>-8.6239999999999997E-3</v>
      </c>
      <c r="AA4239">
        <v>0.93337539999999997</v>
      </c>
      <c r="AB4239">
        <v>34</v>
      </c>
      <c r="AC4239">
        <v>-20.781099999999899</v>
      </c>
      <c r="AD4239">
        <v>-1.1050840130820001</v>
      </c>
      <c r="AE4239">
        <v>-8.3269999999999893</v>
      </c>
      <c r="AF4239">
        <v>-8.1337619337684401</v>
      </c>
      <c r="AG4239">
        <v>-1.1050840130820001</v>
      </c>
      <c r="AH4239">
        <v>20.799073046224301</v>
      </c>
      <c r="AI4239">
        <v>92.832815223323806</v>
      </c>
      <c r="AJ4239">
        <v>111.358662805503</v>
      </c>
      <c r="AK4239">
        <v>22.360248957767901</v>
      </c>
    </row>
    <row r="4240" spans="1:37" x14ac:dyDescent="0.2">
      <c r="A4240" t="str">
        <f>"20200111155936526"</f>
        <v>20200111155936526</v>
      </c>
      <c r="B4240" t="str">
        <f>"1578729576514490"</f>
        <v>1578729576514490</v>
      </c>
      <c r="C4240" t="s">
        <v>37</v>
      </c>
      <c r="D4240">
        <v>4.7327250000000003</v>
      </c>
      <c r="E4240">
        <v>0.36050890000000002</v>
      </c>
      <c r="F4240" t="s">
        <v>39</v>
      </c>
      <c r="G4240">
        <v>-392.32850000000002</v>
      </c>
      <c r="H4240" s="1">
        <v>-4.3563889999999901E-6</v>
      </c>
      <c r="I4240">
        <v>133.5104</v>
      </c>
      <c r="J4240">
        <v>-372.8664</v>
      </c>
      <c r="K4240">
        <v>1.1050709999999999</v>
      </c>
      <c r="L4240">
        <v>141.40289999999999</v>
      </c>
      <c r="M4240">
        <v>-0.99985190000000002</v>
      </c>
      <c r="N4240">
        <v>0</v>
      </c>
      <c r="O4240">
        <v>-9.1205279999999993E-3</v>
      </c>
      <c r="P4240">
        <v>-0.99942710000000001</v>
      </c>
      <c r="Q4240">
        <v>2.062918E-2</v>
      </c>
      <c r="R4240">
        <v>-2.6839849999999998E-2</v>
      </c>
      <c r="S4240">
        <v>-2.9764400000000002</v>
      </c>
      <c r="T4240">
        <v>-0.1660991</v>
      </c>
      <c r="U4240">
        <v>-1.1868129999999999</v>
      </c>
      <c r="V4240">
        <v>-1.7783429999999999E-2</v>
      </c>
      <c r="W4240">
        <v>3.5192679999999997E-2</v>
      </c>
      <c r="X4240">
        <v>0.99922230000000001</v>
      </c>
      <c r="Y4240">
        <v>-0.3614174</v>
      </c>
      <c r="Z4240">
        <v>-9.2161139999999992E-3</v>
      </c>
      <c r="AA4240">
        <v>0.93235859999999904</v>
      </c>
      <c r="AB4240">
        <v>34</v>
      </c>
      <c r="AC4240">
        <v>-19.4621</v>
      </c>
      <c r="AD4240">
        <v>-1.1050753563889999</v>
      </c>
      <c r="AE4240">
        <v>-7.8924999999999796</v>
      </c>
      <c r="AF4240">
        <v>-7.6933472882027196</v>
      </c>
      <c r="AG4240">
        <v>-1.1050753563889999</v>
      </c>
      <c r="AH4240">
        <v>19.479348634508199</v>
      </c>
      <c r="AI4240">
        <v>93.020379494261206</v>
      </c>
      <c r="AJ4240">
        <v>111.55148714915499</v>
      </c>
      <c r="AK4240">
        <v>20.972691941305801</v>
      </c>
    </row>
    <row r="4241" spans="1:37" x14ac:dyDescent="0.2">
      <c r="A4241" t="str">
        <f>"20200111155936547"</f>
        <v>20200111155936547</v>
      </c>
      <c r="B4241" t="str">
        <f>"1578729576544746"</f>
        <v>1578729576544746</v>
      </c>
      <c r="C4241" t="s">
        <v>37</v>
      </c>
      <c r="D4241">
        <v>4.6759940000000002</v>
      </c>
      <c r="E4241">
        <v>0.35865959999999902</v>
      </c>
      <c r="F4241" t="s">
        <v>39</v>
      </c>
      <c r="G4241">
        <v>-392.15519999999998</v>
      </c>
      <c r="H4241" s="1">
        <v>-4.4147939999999999E-6</v>
      </c>
      <c r="I4241">
        <v>133.6003</v>
      </c>
      <c r="J4241">
        <v>-373.19349999999997</v>
      </c>
      <c r="K4241">
        <v>1.105073</v>
      </c>
      <c r="L4241">
        <v>141.39920000000001</v>
      </c>
      <c r="M4241">
        <v>-0.99984470000000003</v>
      </c>
      <c r="N4241">
        <v>0</v>
      </c>
      <c r="O4241">
        <v>-9.8798069999999905E-3</v>
      </c>
      <c r="P4241">
        <v>-0.99936229999999904</v>
      </c>
      <c r="Q4241">
        <v>2.0704960000000001E-2</v>
      </c>
      <c r="R4241">
        <v>-2.9091430000000001E-2</v>
      </c>
      <c r="S4241">
        <v>-2.972931</v>
      </c>
      <c r="T4241">
        <v>-0.1703221</v>
      </c>
      <c r="U4241">
        <v>-1.202591</v>
      </c>
      <c r="V4241">
        <v>-1.927661E-2</v>
      </c>
      <c r="W4241">
        <v>3.5262729999999999E-2</v>
      </c>
      <c r="X4241">
        <v>0.99919219999999898</v>
      </c>
      <c r="Y4241">
        <v>-0.36531639999999999</v>
      </c>
      <c r="Z4241">
        <v>-9.5170440000000005E-3</v>
      </c>
      <c r="AA4241">
        <v>0.93083479999999996</v>
      </c>
      <c r="AB4241">
        <v>34</v>
      </c>
      <c r="AC4241">
        <v>-18.9617</v>
      </c>
      <c r="AD4241">
        <v>-1.1050774147939999</v>
      </c>
      <c r="AE4241">
        <v>-7.7988999999999997</v>
      </c>
      <c r="AF4241">
        <v>-7.58911457559915</v>
      </c>
      <c r="AG4241">
        <v>-1.1050774147939999</v>
      </c>
      <c r="AH4241">
        <v>18.982688369524801</v>
      </c>
      <c r="AI4241">
        <v>93.0941217678333</v>
      </c>
      <c r="AJ4241">
        <v>111.79110282433101</v>
      </c>
      <c r="AK4241">
        <v>20.4733561945459</v>
      </c>
    </row>
    <row r="4242" spans="1:37" x14ac:dyDescent="0.2">
      <c r="A4242" t="str">
        <f>"20200111155936570"</f>
        <v>20200111155936570</v>
      </c>
      <c r="B4242" t="str">
        <f>"1578729576564265"</f>
        <v>1578729576564265</v>
      </c>
      <c r="C4242" t="s">
        <v>37</v>
      </c>
      <c r="D4242">
        <v>4.7836119999999998</v>
      </c>
      <c r="E4242">
        <v>0.35798600000000003</v>
      </c>
      <c r="F4242" t="s">
        <v>39</v>
      </c>
      <c r="G4242">
        <v>-392.67950000000002</v>
      </c>
      <c r="H4242" s="1">
        <v>-4.2309170000000003E-6</v>
      </c>
      <c r="I4242">
        <v>133.369</v>
      </c>
      <c r="J4242">
        <v>-373.5394</v>
      </c>
      <c r="K4242">
        <v>1.1050739999999999</v>
      </c>
      <c r="L4242">
        <v>141.39490000000001</v>
      </c>
      <c r="M4242">
        <v>-0.99983650000000002</v>
      </c>
      <c r="N4242">
        <v>0</v>
      </c>
      <c r="O4242">
        <v>-1.0682469999999999E-2</v>
      </c>
      <c r="P4242">
        <v>-0.99929299999999999</v>
      </c>
      <c r="Q4242">
        <v>2.121951E-2</v>
      </c>
      <c r="R4242">
        <v>-3.103991E-2</v>
      </c>
      <c r="S4242">
        <v>-2.9697269999999998</v>
      </c>
      <c r="T4242">
        <v>-0.1684177</v>
      </c>
      <c r="U4242">
        <v>-1.223816</v>
      </c>
      <c r="V4242">
        <v>-2.042447E-2</v>
      </c>
      <c r="W4242">
        <v>3.5770719999999999E-2</v>
      </c>
      <c r="X4242">
        <v>0.99915129999999996</v>
      </c>
      <c r="Y4242">
        <v>-0.37061929999999998</v>
      </c>
      <c r="Z4242">
        <v>-9.5086930000000004E-3</v>
      </c>
      <c r="AA4242">
        <v>0.92873619999999901</v>
      </c>
      <c r="AB4242">
        <v>34</v>
      </c>
      <c r="AC4242">
        <v>-19.1401</v>
      </c>
      <c r="AD4242">
        <v>-1.105078230917</v>
      </c>
      <c r="AE4242">
        <v>-8.0259</v>
      </c>
      <c r="AF4242">
        <v>-7.7988469557932802</v>
      </c>
      <c r="AG4242">
        <v>-1.105078230917</v>
      </c>
      <c r="AH4242">
        <v>19.1704052208907</v>
      </c>
      <c r="AI4242">
        <v>93.056440744364096</v>
      </c>
      <c r="AJ4242">
        <v>112.13732803134999</v>
      </c>
      <c r="AK4242">
        <v>20.7255313097032</v>
      </c>
    </row>
    <row r="4243" spans="1:37" x14ac:dyDescent="0.2">
      <c r="A4243" t="str">
        <f>"20200111155936604"</f>
        <v>20200111155936604</v>
      </c>
      <c r="B4243" t="str">
        <f>"1578729576594053"</f>
        <v>1578729576594053</v>
      </c>
      <c r="C4243" t="s">
        <v>37</v>
      </c>
      <c r="D4243">
        <v>4.7794220000000003</v>
      </c>
      <c r="E4243">
        <v>0.3568597</v>
      </c>
      <c r="F4243" t="s">
        <v>39</v>
      </c>
      <c r="G4243">
        <v>-393.0702</v>
      </c>
      <c r="H4243" s="1">
        <v>-4.0816080000000002E-6</v>
      </c>
      <c r="I4243">
        <v>133.26589999999999</v>
      </c>
      <c r="J4243">
        <v>-374.06139999999999</v>
      </c>
      <c r="K4243">
        <v>1.105081</v>
      </c>
      <c r="L4243">
        <v>141.38800000000001</v>
      </c>
      <c r="M4243">
        <v>-0.99982280000000001</v>
      </c>
      <c r="N4243">
        <v>0</v>
      </c>
      <c r="O4243">
        <v>-1.189456E-2</v>
      </c>
      <c r="P4243">
        <v>-0.99923530000000005</v>
      </c>
      <c r="Q4243">
        <v>2.3013180000000001E-2</v>
      </c>
      <c r="R4243">
        <v>-3.1614839999999998E-2</v>
      </c>
      <c r="S4243">
        <v>-2.967346</v>
      </c>
      <c r="T4243">
        <v>-0.16789670000000001</v>
      </c>
      <c r="U4243">
        <v>-1.2350459999999901</v>
      </c>
      <c r="V4243">
        <v>-1.979094E-2</v>
      </c>
      <c r="W4243">
        <v>3.7559559999999999E-2</v>
      </c>
      <c r="X4243">
        <v>0.99909840000000005</v>
      </c>
      <c r="Y4243">
        <v>-0.3727569</v>
      </c>
      <c r="Z4243">
        <v>-9.4720510000000004E-3</v>
      </c>
      <c r="AA4243">
        <v>0.927880699999999</v>
      </c>
      <c r="AB4243">
        <v>34</v>
      </c>
      <c r="AC4243">
        <v>-19.008800000000001</v>
      </c>
      <c r="AD4243">
        <v>-1.105085081608</v>
      </c>
      <c r="AE4243">
        <v>-8.1221000000000103</v>
      </c>
      <c r="AF4243">
        <v>-7.8728995159367203</v>
      </c>
      <c r="AG4243">
        <v>-1.105085081608</v>
      </c>
      <c r="AH4243">
        <v>19.0496310659383</v>
      </c>
      <c r="AI4243">
        <v>93.068839860787406</v>
      </c>
      <c r="AJ4243">
        <v>112.45450372021701</v>
      </c>
      <c r="AK4243">
        <v>20.642000958579299</v>
      </c>
    </row>
    <row r="4244" spans="1:37" x14ac:dyDescent="0.2">
      <c r="A4244" t="str">
        <f>"20200111155936627"</f>
        <v>20200111155936627</v>
      </c>
      <c r="B4244" t="str">
        <f>"1578729576614549"</f>
        <v>1578729576614549</v>
      </c>
      <c r="C4244" t="s">
        <v>37</v>
      </c>
      <c r="D4244">
        <v>4.7076060000000002</v>
      </c>
      <c r="E4244">
        <v>0.35620059999999998</v>
      </c>
      <c r="F4244" t="s">
        <v>39</v>
      </c>
      <c r="G4244">
        <v>-393.88409999999999</v>
      </c>
      <c r="H4244" s="1">
        <v>-3.8110180000000001E-6</v>
      </c>
      <c r="I4244">
        <v>133.06280000000001</v>
      </c>
      <c r="J4244">
        <v>-374.38679999999999</v>
      </c>
      <c r="K4244">
        <v>1.1050770000000001</v>
      </c>
      <c r="L4244">
        <v>141.38329999999999</v>
      </c>
      <c r="M4244">
        <v>-0.99981369999999903</v>
      </c>
      <c r="N4244">
        <v>0</v>
      </c>
      <c r="O4244">
        <v>-1.265109E-2</v>
      </c>
      <c r="P4244">
        <v>-0.99924400000000002</v>
      </c>
      <c r="Q4244">
        <v>2.2897520000000001E-2</v>
      </c>
      <c r="R4244">
        <v>-3.1422650000000003E-2</v>
      </c>
      <c r="S4244">
        <v>-2.9667050000000001</v>
      </c>
      <c r="T4244">
        <v>-0.16538910000000001</v>
      </c>
      <c r="U4244">
        <v>-1.2459559999999901</v>
      </c>
      <c r="V4244">
        <v>-1.8842009999999999E-2</v>
      </c>
      <c r="W4244">
        <v>3.7442339999999998E-2</v>
      </c>
      <c r="X4244">
        <v>0.99912109999999998</v>
      </c>
      <c r="Y4244">
        <v>-0.3750426</v>
      </c>
      <c r="Z4244">
        <v>-9.3469999999999994E-3</v>
      </c>
      <c r="AA4244">
        <v>0.92696049999999997</v>
      </c>
      <c r="AB4244">
        <v>34</v>
      </c>
      <c r="AC4244">
        <v>-19.497299999999999</v>
      </c>
      <c r="AD4244">
        <v>-1.1050808110179999</v>
      </c>
      <c r="AE4244">
        <v>-8.3204999999999796</v>
      </c>
      <c r="AF4244">
        <v>-8.0512658938645192</v>
      </c>
      <c r="AG4244">
        <v>-1.1050808110179999</v>
      </c>
      <c r="AH4244">
        <v>19.547891394445301</v>
      </c>
      <c r="AI4244">
        <v>92.992233968800505</v>
      </c>
      <c r="AJ4244">
        <v>112.385483289923</v>
      </c>
      <c r="AK4244">
        <v>21.1698876723901</v>
      </c>
    </row>
    <row r="4245" spans="1:37" x14ac:dyDescent="0.2">
      <c r="A4245" t="str">
        <f>"20200111155936648"</f>
        <v>20200111155936648</v>
      </c>
      <c r="B4245" t="str">
        <f>"1578729576644806"</f>
        <v>1578729576644806</v>
      </c>
      <c r="C4245" t="s">
        <v>37</v>
      </c>
      <c r="D4245">
        <v>4.8913339999999996</v>
      </c>
      <c r="E4245">
        <v>0.35635630000000001</v>
      </c>
      <c r="F4245" t="s">
        <v>38</v>
      </c>
      <c r="G4245">
        <v>-375.44909999999999</v>
      </c>
      <c r="H4245">
        <v>1.04552</v>
      </c>
      <c r="I4245">
        <v>140.93559999999999</v>
      </c>
      <c r="J4245">
        <v>-374.71890000000002</v>
      </c>
      <c r="K4245">
        <v>1.1050599999999999</v>
      </c>
      <c r="L4245">
        <v>141.3784</v>
      </c>
      <c r="M4245">
        <v>-0.99980369999999996</v>
      </c>
      <c r="N4245">
        <v>0</v>
      </c>
      <c r="O4245">
        <v>-1.342263E-2</v>
      </c>
      <c r="P4245">
        <v>-0.99927999999999995</v>
      </c>
      <c r="Q4245">
        <v>2.1497789999999999E-2</v>
      </c>
      <c r="R4245">
        <v>-3.1265019999999998E-2</v>
      </c>
      <c r="S4245">
        <v>-2.966736</v>
      </c>
      <c r="T4245">
        <v>-0.16634470000000001</v>
      </c>
      <c r="U4245">
        <v>-1.2507170000000001</v>
      </c>
      <c r="V4245">
        <v>-1.7909629999999999E-2</v>
      </c>
      <c r="W4245">
        <v>3.6040910000000002E-2</v>
      </c>
      <c r="X4245">
        <v>0.99918980000000002</v>
      </c>
      <c r="Y4245">
        <v>-0.37558279999999999</v>
      </c>
      <c r="Z4245">
        <v>-9.3711469999999998E-3</v>
      </c>
      <c r="AA4245">
        <v>0.9267415</v>
      </c>
      <c r="AB4245">
        <v>34</v>
      </c>
      <c r="AC4245">
        <v>-0.73019999999996799</v>
      </c>
      <c r="AD4245">
        <v>-5.9539999999999899E-2</v>
      </c>
      <c r="AE4245">
        <v>-0.44280000000000502</v>
      </c>
      <c r="AF4245">
        <v>-0.430863392971717</v>
      </c>
      <c r="AG4245">
        <v>-5.9539999999999899E-2</v>
      </c>
      <c r="AH4245">
        <v>0.73251754799615398</v>
      </c>
      <c r="AI4245">
        <v>94.007615726967899</v>
      </c>
      <c r="AJ4245">
        <v>120.463843286409</v>
      </c>
      <c r="AK4245">
        <v>0.85192149469619505</v>
      </c>
    </row>
    <row r="4246" spans="1:37" x14ac:dyDescent="0.2">
      <c r="A4246" t="str">
        <f>"20200111155936671"</f>
        <v>20200111155936671</v>
      </c>
      <c r="B4246" t="str">
        <f>"1578729576664325"</f>
        <v>1578729576664325</v>
      </c>
      <c r="C4246" t="s">
        <v>37</v>
      </c>
      <c r="D4246">
        <v>4.9774409999999998</v>
      </c>
      <c r="E4246">
        <v>0.3568461</v>
      </c>
      <c r="F4246" t="s">
        <v>39</v>
      </c>
      <c r="G4246">
        <v>-393.6764</v>
      </c>
      <c r="H4246" s="1">
        <v>-3.7984339999999898E-6</v>
      </c>
      <c r="I4246">
        <v>133.39619999999999</v>
      </c>
      <c r="J4246">
        <v>-375.06950000000001</v>
      </c>
      <c r="K4246">
        <v>1.105038</v>
      </c>
      <c r="L4246">
        <v>141.37280000000001</v>
      </c>
      <c r="M4246">
        <v>-0.99979229999999997</v>
      </c>
      <c r="N4246">
        <v>0</v>
      </c>
      <c r="O4246">
        <v>-1.4237799999999899E-2</v>
      </c>
      <c r="P4246">
        <v>-0.99930069999999904</v>
      </c>
      <c r="Q4246">
        <v>1.8417090000000001E-2</v>
      </c>
      <c r="R4246">
        <v>-3.2541899999999999E-2</v>
      </c>
      <c r="S4246">
        <v>-2.9668269999999999</v>
      </c>
      <c r="T4246">
        <v>-0.1729417</v>
      </c>
      <c r="U4246">
        <v>-1.2491909999999999</v>
      </c>
      <c r="V4246">
        <v>-1.8366110000000001E-2</v>
      </c>
      <c r="W4246">
        <v>3.2957130000000001E-2</v>
      </c>
      <c r="X4246">
        <v>0.99928799999999995</v>
      </c>
      <c r="Y4246">
        <v>-0.37437589999999998</v>
      </c>
      <c r="Z4246">
        <v>-9.6637029999999992E-3</v>
      </c>
      <c r="AA4246">
        <v>0.92722669999999996</v>
      </c>
      <c r="AB4246">
        <v>34</v>
      </c>
      <c r="AC4246">
        <v>-18.6069</v>
      </c>
      <c r="AD4246">
        <v>-1.105041798434</v>
      </c>
      <c r="AE4246">
        <v>-7.9766000000000101</v>
      </c>
      <c r="AF4246">
        <v>-7.6879357800082797</v>
      </c>
      <c r="AG4246">
        <v>-1.105041798434</v>
      </c>
      <c r="AH4246">
        <v>18.6629889228122</v>
      </c>
      <c r="AI4246">
        <v>93.133656253045899</v>
      </c>
      <c r="AJ4246">
        <v>112.388470466066</v>
      </c>
      <c r="AK4246">
        <v>20.214663723812698</v>
      </c>
    </row>
    <row r="4247" spans="1:37" x14ac:dyDescent="0.2">
      <c r="A4247" t="str">
        <f>"20200111155936694"</f>
        <v>20200111155936694</v>
      </c>
      <c r="B4247" t="str">
        <f>"1578729576684824"</f>
        <v>1578729576684824</v>
      </c>
      <c r="C4247" t="s">
        <v>37</v>
      </c>
      <c r="D4247">
        <v>4.9387499999999998</v>
      </c>
      <c r="E4247">
        <v>0.35706709999999903</v>
      </c>
      <c r="F4247" t="s">
        <v>39</v>
      </c>
      <c r="G4247">
        <v>-392.87509999999997</v>
      </c>
      <c r="H4247" s="1">
        <v>-4.0580139999999999E-6</v>
      </c>
      <c r="I4247">
        <v>133.8706</v>
      </c>
      <c r="J4247">
        <v>-375.40559999999999</v>
      </c>
      <c r="K4247">
        <v>1.1050149999999901</v>
      </c>
      <c r="L4247">
        <v>141.3672</v>
      </c>
      <c r="M4247">
        <v>-0.99978099999999903</v>
      </c>
      <c r="N4247">
        <v>0</v>
      </c>
      <c r="O4247">
        <v>-1.5019360000000001E-2</v>
      </c>
      <c r="P4247">
        <v>-0.9992856</v>
      </c>
      <c r="Q4247">
        <v>1.60661E-2</v>
      </c>
      <c r="R4247">
        <v>-3.4210949999999997E-2</v>
      </c>
      <c r="S4247">
        <v>-2.9648129999999999</v>
      </c>
      <c r="T4247">
        <v>-0.1840009</v>
      </c>
      <c r="U4247">
        <v>-1.2491760000000001</v>
      </c>
      <c r="V4247">
        <v>-1.924907E-2</v>
      </c>
      <c r="W4247">
        <v>3.0601320000000001E-2</v>
      </c>
      <c r="X4247">
        <v>0.99934630000000002</v>
      </c>
      <c r="Y4247">
        <v>-0.37380540000000001</v>
      </c>
      <c r="Z4247">
        <v>-1.022371E-2</v>
      </c>
      <c r="AA4247">
        <v>0.92745080000000002</v>
      </c>
      <c r="AB4247">
        <v>34</v>
      </c>
      <c r="AC4247">
        <v>-17.469499999999901</v>
      </c>
      <c r="AD4247">
        <v>-1.10501905801399</v>
      </c>
      <c r="AE4247">
        <v>-7.4965999999999999</v>
      </c>
      <c r="AF4247">
        <v>-7.2089873642593103</v>
      </c>
      <c r="AG4247">
        <v>-1.10501905801399</v>
      </c>
      <c r="AH4247">
        <v>17.520934071458701</v>
      </c>
      <c r="AI4247">
        <v>93.3379674836889</v>
      </c>
      <c r="AJ4247">
        <v>112.36471334958399</v>
      </c>
      <c r="AK4247">
        <v>18.9782427182557</v>
      </c>
    </row>
    <row r="4248" spans="1:37" x14ac:dyDescent="0.2">
      <c r="A4248" t="str">
        <f>"20200111155936714"</f>
        <v>20200111155936714</v>
      </c>
      <c r="B4248" t="str">
        <f>"1578729576704851"</f>
        <v>1578729576704851</v>
      </c>
      <c r="C4248" t="s">
        <v>37</v>
      </c>
      <c r="D4248">
        <v>5.0138350000000003</v>
      </c>
      <c r="E4248">
        <v>0.35751470000000002</v>
      </c>
      <c r="F4248" t="s">
        <v>39</v>
      </c>
      <c r="G4248">
        <v>-392.37569999999999</v>
      </c>
      <c r="H4248" s="1">
        <v>-4.2155039999999998E-6</v>
      </c>
      <c r="I4248">
        <v>134.19069999999999</v>
      </c>
      <c r="J4248">
        <v>-375.72140000000002</v>
      </c>
      <c r="K4248">
        <v>1.1049990000000001</v>
      </c>
      <c r="L4248">
        <v>141.36170000000001</v>
      </c>
      <c r="M4248">
        <v>-0.99976969999999998</v>
      </c>
      <c r="N4248">
        <v>0</v>
      </c>
      <c r="O4248">
        <v>-1.5754540000000001E-2</v>
      </c>
      <c r="P4248">
        <v>-0.99921059999999995</v>
      </c>
      <c r="Q4248">
        <v>1.511506E-2</v>
      </c>
      <c r="R4248">
        <v>-3.6740469999999997E-2</v>
      </c>
      <c r="S4248">
        <v>-2.9623719999999998</v>
      </c>
      <c r="T4248">
        <v>-0.19289719999999999</v>
      </c>
      <c r="U4248">
        <v>-1.2527469999999901</v>
      </c>
      <c r="V4248">
        <v>-2.1042809999999999E-2</v>
      </c>
      <c r="W4248">
        <v>2.964379E-2</v>
      </c>
      <c r="X4248">
        <v>0.99933899999999998</v>
      </c>
      <c r="Y4248">
        <v>-0.3742876</v>
      </c>
      <c r="Z4248">
        <v>-1.069209E-2</v>
      </c>
      <c r="AA4248">
        <v>0.92725100000000005</v>
      </c>
      <c r="AB4248">
        <v>34</v>
      </c>
      <c r="AC4248">
        <v>-16.6542999999999</v>
      </c>
      <c r="AD4248">
        <v>-1.1050032155039999</v>
      </c>
      <c r="AE4248">
        <v>-7.1710000000000198</v>
      </c>
      <c r="AF4248">
        <v>-6.8821427245595697</v>
      </c>
      <c r="AG4248">
        <v>-1.1050032155039999</v>
      </c>
      <c r="AH4248">
        <v>16.703189320703402</v>
      </c>
      <c r="AI4248">
        <v>93.500230863105202</v>
      </c>
      <c r="AJ4248">
        <v>112.39291826530599</v>
      </c>
      <c r="AK4248">
        <v>18.0992114212399</v>
      </c>
    </row>
    <row r="4249" spans="1:37" x14ac:dyDescent="0.2">
      <c r="A4249" t="str">
        <f>"20200111155936737"</f>
        <v>20200111155936737</v>
      </c>
      <c r="B4249" t="str">
        <f>"1578729576734128"</f>
        <v>1578729576734128</v>
      </c>
      <c r="C4249" t="s">
        <v>37</v>
      </c>
      <c r="D4249">
        <v>4.8869790000000002</v>
      </c>
      <c r="E4249">
        <v>0.35737909999999901</v>
      </c>
      <c r="F4249" t="s">
        <v>39</v>
      </c>
      <c r="G4249">
        <v>-392.3612</v>
      </c>
      <c r="H4249" s="1">
        <v>-4.2033969999999902E-6</v>
      </c>
      <c r="I4249">
        <v>134.29399999999899</v>
      </c>
      <c r="J4249">
        <v>-376.06020000000001</v>
      </c>
      <c r="K4249">
        <v>1.1050009999999999</v>
      </c>
      <c r="L4249">
        <v>141.35550000000001</v>
      </c>
      <c r="M4249">
        <v>-0.99975720000000001</v>
      </c>
      <c r="N4249">
        <v>0</v>
      </c>
      <c r="O4249">
        <v>-1.654301E-2</v>
      </c>
      <c r="P4249">
        <v>-0.99907619999999897</v>
      </c>
      <c r="Q4249">
        <v>1.5670839999999998E-2</v>
      </c>
      <c r="R4249">
        <v>-4.0011890000000001E-2</v>
      </c>
      <c r="S4249">
        <v>-2.9591669999999999</v>
      </c>
      <c r="T4249">
        <v>-0.19651109999999999</v>
      </c>
      <c r="U4249">
        <v>-1.2568820000000001</v>
      </c>
      <c r="V4249">
        <v>-2.352837E-2</v>
      </c>
      <c r="W4249">
        <v>3.0190470000000001E-2</v>
      </c>
      <c r="X4249">
        <v>0.99926719999999902</v>
      </c>
      <c r="Y4249">
        <v>-0.37498989999999999</v>
      </c>
      <c r="Z4249">
        <v>-1.087229E-2</v>
      </c>
      <c r="AA4249">
        <v>0.92696509999999999</v>
      </c>
      <c r="AB4249">
        <v>34</v>
      </c>
      <c r="AC4249">
        <v>-16.300999999999899</v>
      </c>
      <c r="AD4249">
        <v>-1.1050052033969999</v>
      </c>
      <c r="AE4249">
        <v>-7.0615000000000201</v>
      </c>
      <c r="AF4249">
        <v>-6.76466418131099</v>
      </c>
      <c r="AG4249">
        <v>-1.1050052033969999</v>
      </c>
      <c r="AH4249">
        <v>16.352330993109899</v>
      </c>
      <c r="AI4249">
        <v>93.573063401986303</v>
      </c>
      <c r="AJ4249">
        <v>112.473996634635</v>
      </c>
      <c r="AK4249">
        <v>17.730776827135099</v>
      </c>
    </row>
    <row r="4250" spans="1:37" x14ac:dyDescent="0.2">
      <c r="A4250" t="str">
        <f>"20200111155936760"</f>
        <v>20200111155936760</v>
      </c>
      <c r="B4250" t="str">
        <f>"1578729576754625"</f>
        <v>1578729576754625</v>
      </c>
      <c r="C4250" t="s">
        <v>37</v>
      </c>
      <c r="D4250">
        <v>5.4117730000000002</v>
      </c>
      <c r="E4250">
        <v>0.35871239999999999</v>
      </c>
      <c r="F4250" t="s">
        <v>39</v>
      </c>
      <c r="G4250">
        <v>-392.53739999999999</v>
      </c>
      <c r="H4250" s="1">
        <v>-4.1293560000000003E-6</v>
      </c>
      <c r="I4250">
        <v>134.28530000000001</v>
      </c>
      <c r="J4250">
        <v>-376.40879999999999</v>
      </c>
      <c r="K4250">
        <v>1.1050120000000001</v>
      </c>
      <c r="L4250">
        <v>141.34889999999999</v>
      </c>
      <c r="M4250">
        <v>-0.9997433</v>
      </c>
      <c r="N4250">
        <v>0</v>
      </c>
      <c r="O4250">
        <v>-1.7354359999999999E-2</v>
      </c>
      <c r="P4250">
        <v>-0.99890059999999903</v>
      </c>
      <c r="Q4250">
        <v>1.6949229999999999E-2</v>
      </c>
      <c r="R4250">
        <v>-4.3704989999999999E-2</v>
      </c>
      <c r="S4250">
        <v>-2.955139</v>
      </c>
      <c r="T4250">
        <v>-0.19818</v>
      </c>
      <c r="U4250">
        <v>-1.2680209999999901</v>
      </c>
      <c r="V4250">
        <v>-2.6414750000000001E-2</v>
      </c>
      <c r="W4250">
        <v>3.1459220000000003E-2</v>
      </c>
      <c r="X4250">
        <v>0.99915589999999999</v>
      </c>
      <c r="Y4250">
        <v>-0.37763029999999997</v>
      </c>
      <c r="Z4250">
        <v>-1.100316E-2</v>
      </c>
      <c r="AA4250">
        <v>0.92589109999999997</v>
      </c>
      <c r="AB4250">
        <v>34</v>
      </c>
      <c r="AC4250">
        <v>-16.128599999999999</v>
      </c>
      <c r="AD4250">
        <v>-1.1050161293559999</v>
      </c>
      <c r="AE4250">
        <v>-7.0635999999999797</v>
      </c>
      <c r="AF4250">
        <v>-6.7559958007501297</v>
      </c>
      <c r="AG4250">
        <v>-1.1050161293559999</v>
      </c>
      <c r="AH4250">
        <v>16.185021924030099</v>
      </c>
      <c r="AI4250">
        <v>93.605168127971893</v>
      </c>
      <c r="AJ4250">
        <v>112.65676539334</v>
      </c>
      <c r="AK4250">
        <v>17.573260215088901</v>
      </c>
    </row>
    <row r="4251" spans="1:37" x14ac:dyDescent="0.2">
      <c r="A4251" t="str">
        <f>"20200111155936782"</f>
        <v>20200111155936782</v>
      </c>
      <c r="B4251" t="str">
        <f>"1578729576774147"</f>
        <v>1578729576774147</v>
      </c>
      <c r="C4251" t="s">
        <v>37</v>
      </c>
      <c r="D4251">
        <v>4.8657699999999897</v>
      </c>
      <c r="E4251">
        <v>0.35931540000000001</v>
      </c>
      <c r="F4251" t="s">
        <v>39</v>
      </c>
      <c r="G4251">
        <v>-392.3458</v>
      </c>
      <c r="H4251" s="1">
        <v>-4.1736390000000002E-6</v>
      </c>
      <c r="I4251">
        <v>134.499</v>
      </c>
      <c r="J4251">
        <v>-376.7373</v>
      </c>
      <c r="K4251">
        <v>1.1050199999999999</v>
      </c>
      <c r="L4251">
        <v>141.3424</v>
      </c>
      <c r="M4251">
        <v>-0.99972989999999995</v>
      </c>
      <c r="N4251">
        <v>0</v>
      </c>
      <c r="O4251">
        <v>-1.811958E-2</v>
      </c>
      <c r="P4251">
        <v>-0.99873729999999905</v>
      </c>
      <c r="Q4251">
        <v>1.8704950000000001E-2</v>
      </c>
      <c r="R4251">
        <v>-4.6628019999999999E-2</v>
      </c>
      <c r="S4251">
        <v>-2.951263</v>
      </c>
      <c r="T4251">
        <v>-0.2046307</v>
      </c>
      <c r="U4251">
        <v>-1.268478</v>
      </c>
      <c r="V4251">
        <v>-2.8577990000000001E-2</v>
      </c>
      <c r="W4251">
        <v>3.3206390000000002E-2</v>
      </c>
      <c r="X4251">
        <v>0.99903980000000003</v>
      </c>
      <c r="Y4251">
        <v>-0.37743880000000002</v>
      </c>
      <c r="Z4251">
        <v>-1.13169E-2</v>
      </c>
      <c r="AA4251">
        <v>0.92596540000000005</v>
      </c>
      <c r="AB4251">
        <v>34</v>
      </c>
      <c r="AC4251">
        <v>-15.6084999999999</v>
      </c>
      <c r="AD4251">
        <v>-1.1050241736390001</v>
      </c>
      <c r="AE4251">
        <v>-6.8433999999999999</v>
      </c>
      <c r="AF4251">
        <v>-6.5319665522061898</v>
      </c>
      <c r="AG4251">
        <v>-1.1050241736390001</v>
      </c>
      <c r="AH4251">
        <v>15.664098002612199</v>
      </c>
      <c r="AI4251">
        <v>93.725311040860703</v>
      </c>
      <c r="AJ4251">
        <v>112.63625380425</v>
      </c>
      <c r="AK4251">
        <v>17.007399322027702</v>
      </c>
    </row>
    <row r="4252" spans="1:37" x14ac:dyDescent="0.2">
      <c r="A4252" t="str">
        <f>"20200111155936804"</f>
        <v>20200111155936804</v>
      </c>
      <c r="B4252" t="str">
        <f>"1578729576794176"</f>
        <v>1578729576794176</v>
      </c>
      <c r="C4252" t="s">
        <v>37</v>
      </c>
      <c r="D4252">
        <v>5.2771730000000003</v>
      </c>
      <c r="E4252">
        <v>0.36010359999999902</v>
      </c>
      <c r="F4252" t="s">
        <v>39</v>
      </c>
      <c r="G4252">
        <v>-392.89030000000002</v>
      </c>
      <c r="H4252" s="1">
        <v>-3.9626839999999998E-6</v>
      </c>
      <c r="I4252">
        <v>134.37129999999999</v>
      </c>
      <c r="J4252">
        <v>-377.07299999999998</v>
      </c>
      <c r="K4252">
        <v>1.105024</v>
      </c>
      <c r="L4252">
        <v>141.3355</v>
      </c>
      <c r="M4252">
        <v>-0.99971559999999904</v>
      </c>
      <c r="N4252">
        <v>0</v>
      </c>
      <c r="O4252">
        <v>-1.8903299999999901E-2</v>
      </c>
      <c r="P4252">
        <v>-0.99865369999999998</v>
      </c>
      <c r="Q4252">
        <v>1.9057210000000002E-2</v>
      </c>
      <c r="R4252">
        <v>-4.8251469999999998E-2</v>
      </c>
      <c r="S4252">
        <v>-2.94815099999999</v>
      </c>
      <c r="T4252">
        <v>-0.2016829</v>
      </c>
      <c r="U4252">
        <v>-1.272324</v>
      </c>
      <c r="V4252">
        <v>-2.9419879999999999E-2</v>
      </c>
      <c r="W4252">
        <v>3.3552850000000002E-2</v>
      </c>
      <c r="X4252">
        <v>0.9990038</v>
      </c>
      <c r="Y4252">
        <v>-0.37810630000000001</v>
      </c>
      <c r="Z4252">
        <v>-1.1132929999999999E-2</v>
      </c>
      <c r="AA4252">
        <v>0.92569519999999905</v>
      </c>
      <c r="AB4252">
        <v>34</v>
      </c>
      <c r="AC4252">
        <v>-15.8172999999999</v>
      </c>
      <c r="AD4252">
        <v>-1.1050279626840001</v>
      </c>
      <c r="AE4252">
        <v>-6.9641999999999999</v>
      </c>
      <c r="AF4252">
        <v>-6.6367921680613096</v>
      </c>
      <c r="AG4252">
        <v>-1.1050279626840001</v>
      </c>
      <c r="AH4252">
        <v>15.881208137455699</v>
      </c>
      <c r="AI4252">
        <v>93.673363785279193</v>
      </c>
      <c r="AJ4252">
        <v>112.680158376546</v>
      </c>
      <c r="AK4252">
        <v>17.247633721341099</v>
      </c>
    </row>
    <row r="4253" spans="1:37" x14ac:dyDescent="0.2">
      <c r="A4253" t="str">
        <f>"20200111155936827"</f>
        <v>20200111155936827</v>
      </c>
      <c r="B4253" t="str">
        <f>"1578729576824428"</f>
        <v>1578729576824428</v>
      </c>
      <c r="C4253" t="s">
        <v>37</v>
      </c>
      <c r="D4253">
        <v>4.9163169999999896</v>
      </c>
      <c r="E4253">
        <v>0.3598674</v>
      </c>
      <c r="F4253" t="s">
        <v>39</v>
      </c>
      <c r="G4253">
        <v>-392.81799999999998</v>
      </c>
      <c r="H4253" s="1">
        <v>-3.9636779999999997E-6</v>
      </c>
      <c r="I4253">
        <v>134.54050000000001</v>
      </c>
      <c r="J4253">
        <v>-377.39350000000002</v>
      </c>
      <c r="K4253">
        <v>1.1050329999999999</v>
      </c>
      <c r="L4253">
        <v>141.3287</v>
      </c>
      <c r="M4253">
        <v>-0.99970099999999995</v>
      </c>
      <c r="N4253">
        <v>0</v>
      </c>
      <c r="O4253">
        <v>-1.9656779999999999E-2</v>
      </c>
      <c r="P4253">
        <v>-0.99864419999999898</v>
      </c>
      <c r="Q4253">
        <v>1.9830750000000001E-2</v>
      </c>
      <c r="R4253">
        <v>-4.8133969999999998E-2</v>
      </c>
      <c r="S4253">
        <v>-2.946564</v>
      </c>
      <c r="T4253">
        <v>-0.20679800000000001</v>
      </c>
      <c r="U4253">
        <v>-1.271622</v>
      </c>
      <c r="V4253">
        <v>-2.855071E-2</v>
      </c>
      <c r="W4253">
        <v>3.4323930000000002E-2</v>
      </c>
      <c r="X4253">
        <v>0.99900290000000003</v>
      </c>
      <c r="Y4253">
        <v>-0.37737029999999999</v>
      </c>
      <c r="Z4253">
        <v>-1.134566E-2</v>
      </c>
      <c r="AA4253">
        <v>0.92599299999999996</v>
      </c>
      <c r="AB4253">
        <v>34</v>
      </c>
      <c r="AC4253">
        <v>-15.4245</v>
      </c>
      <c r="AD4253">
        <v>-1.105036963678</v>
      </c>
      <c r="AE4253">
        <v>-6.7881999999999802</v>
      </c>
      <c r="AF4253">
        <v>-6.4559013214046104</v>
      </c>
      <c r="AG4253">
        <v>-1.105036963678</v>
      </c>
      <c r="AH4253">
        <v>15.488371307993001</v>
      </c>
      <c r="AI4253">
        <v>93.767739885089597</v>
      </c>
      <c r="AJ4253">
        <v>112.627471287603</v>
      </c>
      <c r="AK4253">
        <v>16.816343667309798</v>
      </c>
    </row>
    <row r="4254" spans="1:37" x14ac:dyDescent="0.2">
      <c r="A4254" t="str">
        <f>"20200111155936849"</f>
        <v>20200111155936849</v>
      </c>
      <c r="B4254" t="str">
        <f>"1578729576843949"</f>
        <v>1578729576843949</v>
      </c>
      <c r="C4254" t="s">
        <v>37</v>
      </c>
      <c r="D4254">
        <v>4.8492249999999997</v>
      </c>
      <c r="E4254">
        <v>0.35967500000000002</v>
      </c>
      <c r="F4254" t="s">
        <v>38</v>
      </c>
      <c r="G4254">
        <v>-378.44639999999998</v>
      </c>
      <c r="H4254">
        <v>1.0324679999999999</v>
      </c>
      <c r="I4254">
        <v>140.87360000000001</v>
      </c>
      <c r="J4254">
        <v>-377.73450000000003</v>
      </c>
      <c r="K4254">
        <v>1.10504</v>
      </c>
      <c r="L4254">
        <v>141.3211</v>
      </c>
      <c r="M4254">
        <v>-0.99968469999999998</v>
      </c>
      <c r="N4254">
        <v>0</v>
      </c>
      <c r="O4254">
        <v>-2.0467889999999999E-2</v>
      </c>
      <c r="P4254">
        <v>-0.99854529999999997</v>
      </c>
      <c r="Q4254">
        <v>2.2342879999999999E-2</v>
      </c>
      <c r="R4254">
        <v>-4.9074479999999997E-2</v>
      </c>
      <c r="S4254">
        <v>-2.9467159999999999</v>
      </c>
      <c r="T4254">
        <v>-0.2030941</v>
      </c>
      <c r="U4254">
        <v>-1.2739559999999901</v>
      </c>
      <c r="V4254">
        <v>-2.868677E-2</v>
      </c>
      <c r="W4254">
        <v>3.6831460000000003E-2</v>
      </c>
      <c r="X4254">
        <v>0.99890970000000001</v>
      </c>
      <c r="Y4254">
        <v>-0.37724849999999999</v>
      </c>
      <c r="Z4254">
        <v>-1.1083320000000001E-2</v>
      </c>
      <c r="AA4254">
        <v>0.92604580000000003</v>
      </c>
      <c r="AB4254">
        <v>33</v>
      </c>
      <c r="AC4254">
        <v>-0.71189999999995701</v>
      </c>
      <c r="AD4254">
        <v>-7.2571999999999998E-2</v>
      </c>
      <c r="AE4254">
        <v>-0.44749999999999002</v>
      </c>
      <c r="AF4254">
        <v>-0.429633370906361</v>
      </c>
      <c r="AG4254">
        <v>-7.2571999999999998E-2</v>
      </c>
      <c r="AH4254">
        <v>0.71558100100410404</v>
      </c>
      <c r="AI4254">
        <v>94.969312818473497</v>
      </c>
      <c r="AJ4254">
        <v>120.9805192087</v>
      </c>
      <c r="AK4254">
        <v>0.83779931820120201</v>
      </c>
    </row>
    <row r="4255" spans="1:37" x14ac:dyDescent="0.2">
      <c r="A4255" t="str">
        <f>"20200111155936872"</f>
        <v>20200111155936872</v>
      </c>
      <c r="B4255" t="str">
        <f>"1578729576864444"</f>
        <v>1578729576864444</v>
      </c>
      <c r="C4255" t="s">
        <v>37</v>
      </c>
      <c r="D4255">
        <v>6.3327119999999999</v>
      </c>
      <c r="E4255">
        <v>0.41776369999999902</v>
      </c>
      <c r="F4255" t="s">
        <v>39</v>
      </c>
      <c r="G4255">
        <v>-394.5086</v>
      </c>
      <c r="H4255" s="1">
        <v>-3.3387459999999999E-6</v>
      </c>
      <c r="I4255">
        <v>134.03899999999999</v>
      </c>
      <c r="J4255">
        <v>-378.07159999999999</v>
      </c>
      <c r="K4255">
        <v>1.105064</v>
      </c>
      <c r="L4255">
        <v>141.3134</v>
      </c>
      <c r="M4255">
        <v>-0.99966769999999905</v>
      </c>
      <c r="N4255">
        <v>0</v>
      </c>
      <c r="O4255">
        <v>-2.1280839999999999E-2</v>
      </c>
      <c r="P4255">
        <v>-0.99840039999999997</v>
      </c>
      <c r="Q4255">
        <v>2.3879839999999999E-2</v>
      </c>
      <c r="R4255">
        <v>-5.1247429999999997E-2</v>
      </c>
      <c r="S4255">
        <v>-2.945862</v>
      </c>
      <c r="T4255">
        <v>-0.19406770000000001</v>
      </c>
      <c r="U4255">
        <v>-1.27887</v>
      </c>
      <c r="V4255">
        <v>-3.0052519999999999E-2</v>
      </c>
      <c r="W4255">
        <v>3.8360539999999999E-2</v>
      </c>
      <c r="X4255">
        <v>0.99881200000000003</v>
      </c>
      <c r="Y4255">
        <v>-0.37795590000000001</v>
      </c>
      <c r="Z4255">
        <v>-1.056235E-2</v>
      </c>
      <c r="AA4255">
        <v>0.92576329999999996</v>
      </c>
      <c r="AB4255">
        <v>33</v>
      </c>
      <c r="AC4255">
        <v>-16.437000000000001</v>
      </c>
      <c r="AD4255">
        <v>-1.1050673387459999</v>
      </c>
      <c r="AE4255">
        <v>-7.2744000000000097</v>
      </c>
      <c r="AF4255">
        <v>-6.8968543986798103</v>
      </c>
      <c r="AG4255">
        <v>-1.1050673387459999</v>
      </c>
      <c r="AH4255">
        <v>16.5256374608912</v>
      </c>
      <c r="AI4255">
        <v>93.531314146441204</v>
      </c>
      <c r="AJ4255">
        <v>112.65286173446501</v>
      </c>
      <c r="AK4255">
        <v>17.941138980247601</v>
      </c>
    </row>
    <row r="4256" spans="1:37" x14ac:dyDescent="0.2">
      <c r="A4256" t="str">
        <f>"20200111155936893"</f>
        <v>20200111155936893</v>
      </c>
      <c r="B4256" t="str">
        <f>"1578729576883964"</f>
        <v>1578729576883964</v>
      </c>
      <c r="C4256" t="s">
        <v>37</v>
      </c>
      <c r="D4256">
        <v>5.5207059999999997</v>
      </c>
      <c r="E4256">
        <v>0.43636390000000003</v>
      </c>
      <c r="F4256" t="s">
        <v>39</v>
      </c>
      <c r="G4256">
        <v>-392.71749999999997</v>
      </c>
      <c r="H4256" s="1">
        <v>-3.525594E-6</v>
      </c>
      <c r="I4256">
        <v>137.2534</v>
      </c>
      <c r="J4256">
        <v>-378.39789999999999</v>
      </c>
      <c r="K4256">
        <v>1.1050949999999999</v>
      </c>
      <c r="L4256">
        <v>141.3056</v>
      </c>
      <c r="M4256">
        <v>-0.99965020000000004</v>
      </c>
      <c r="N4256">
        <v>0</v>
      </c>
      <c r="O4256">
        <v>-2.2093089999999999E-2</v>
      </c>
      <c r="P4256">
        <v>-0.99831930000000002</v>
      </c>
      <c r="Q4256">
        <v>2.3431899999999999E-2</v>
      </c>
      <c r="R4256">
        <v>-5.3007369999999998E-2</v>
      </c>
      <c r="S4256">
        <v>-2.9678960000000001</v>
      </c>
      <c r="T4256">
        <v>-0.22393469999999999</v>
      </c>
      <c r="U4256">
        <v>-0.82270810000000005</v>
      </c>
      <c r="V4256">
        <v>-3.1002729999999999E-2</v>
      </c>
      <c r="W4256">
        <v>3.7906450000000001E-2</v>
      </c>
      <c r="X4256">
        <v>0.99880020000000003</v>
      </c>
      <c r="Y4256">
        <v>-0.2451835</v>
      </c>
      <c r="Z4256">
        <v>-7.4336879999999999E-3</v>
      </c>
      <c r="AA4256">
        <v>0.96944819999999998</v>
      </c>
      <c r="AB4256">
        <v>33</v>
      </c>
      <c r="AC4256">
        <v>-14.3195999999999</v>
      </c>
      <c r="AD4256">
        <v>-1.105098525594</v>
      </c>
      <c r="AE4256">
        <v>-4.0521999999999903</v>
      </c>
      <c r="AF4256">
        <v>-3.7143314042448599</v>
      </c>
      <c r="AG4256">
        <v>-1.105098525594</v>
      </c>
      <c r="AH4256">
        <v>14.3266388530519</v>
      </c>
      <c r="AI4256">
        <v>94.270197910648903</v>
      </c>
      <c r="AJ4256">
        <v>104.534521137339</v>
      </c>
      <c r="AK4256">
        <v>14.841498622363099</v>
      </c>
    </row>
    <row r="4257" spans="1:37" x14ac:dyDescent="0.2">
      <c r="A4257" t="str">
        <f>"20200111155936916"</f>
        <v>20200111155936916</v>
      </c>
      <c r="B4257" t="str">
        <f>"1578729576904460"</f>
        <v>1578729576904460</v>
      </c>
      <c r="C4257" t="s">
        <v>37</v>
      </c>
      <c r="D4257">
        <v>5.4933399999999999</v>
      </c>
      <c r="E4257">
        <v>0.4396679</v>
      </c>
      <c r="F4257" t="s">
        <v>39</v>
      </c>
      <c r="G4257">
        <v>-391.35939999999999</v>
      </c>
      <c r="H4257" s="1">
        <v>-3.9149389999999996E-6</v>
      </c>
      <c r="I4257">
        <v>138.34299999999999</v>
      </c>
      <c r="J4257">
        <v>-378.72500000000002</v>
      </c>
      <c r="K4257">
        <v>1.1051329999999999</v>
      </c>
      <c r="L4257">
        <v>141.29750000000001</v>
      </c>
      <c r="M4257">
        <v>-0.99963060000000004</v>
      </c>
      <c r="N4257">
        <v>0</v>
      </c>
      <c r="O4257">
        <v>-2.2963399999999998E-2</v>
      </c>
      <c r="P4257">
        <v>-0.99827770000000005</v>
      </c>
      <c r="Q4257">
        <v>2.0978710000000001E-2</v>
      </c>
      <c r="R4257">
        <v>-5.4788339999999998E-2</v>
      </c>
      <c r="S4257">
        <v>-2.9748839999999999</v>
      </c>
      <c r="T4257">
        <v>-0.25364039999999999</v>
      </c>
      <c r="U4257">
        <v>-0.67993159999999997</v>
      </c>
      <c r="V4257">
        <v>-3.1912879999999998E-2</v>
      </c>
      <c r="W4257">
        <v>3.5446199999999997E-2</v>
      </c>
      <c r="X4257">
        <v>0.99886189999999997</v>
      </c>
      <c r="Y4257">
        <v>-0.19975570000000001</v>
      </c>
      <c r="Z4257">
        <v>-6.4641809999999899E-3</v>
      </c>
      <c r="AA4257">
        <v>0.97982440000000004</v>
      </c>
      <c r="AB4257">
        <v>33</v>
      </c>
      <c r="AC4257">
        <v>-12.6343999999999</v>
      </c>
      <c r="AD4257">
        <v>-1.105136914939</v>
      </c>
      <c r="AE4257">
        <v>-2.9545000000000199</v>
      </c>
      <c r="AF4257">
        <v>-2.6443779698505701</v>
      </c>
      <c r="AG4257">
        <v>-1.105136914939</v>
      </c>
      <c r="AH4257">
        <v>12.60746083564</v>
      </c>
      <c r="AI4257">
        <v>94.903430620957707</v>
      </c>
      <c r="AJ4257">
        <v>101.845898687025</v>
      </c>
      <c r="AK4257">
        <v>12.9291195048382</v>
      </c>
    </row>
    <row r="4258" spans="1:37" x14ac:dyDescent="0.2">
      <c r="A4258" t="str">
        <f>"20200111155936938"</f>
        <v>20200111155936938</v>
      </c>
      <c r="B4258" t="str">
        <f>"1578729576934717"</f>
        <v>1578729576934717</v>
      </c>
      <c r="C4258" t="s">
        <v>37</v>
      </c>
      <c r="D4258">
        <v>5.5910209999999996</v>
      </c>
      <c r="E4258">
        <v>0.44088709999999998</v>
      </c>
      <c r="F4258" t="s">
        <v>39</v>
      </c>
      <c r="G4258">
        <v>-391.46890000000002</v>
      </c>
      <c r="H4258" s="1">
        <v>-3.8445079999999996E-6</v>
      </c>
      <c r="I4258">
        <v>138.4752</v>
      </c>
      <c r="J4258">
        <v>-379.05950000000001</v>
      </c>
      <c r="K4258">
        <v>1.1052169999999999</v>
      </c>
      <c r="L4258">
        <v>141.28880000000001</v>
      </c>
      <c r="M4258">
        <v>-0.99960700000000002</v>
      </c>
      <c r="N4258">
        <v>0</v>
      </c>
      <c r="O4258">
        <v>-2.3972440000000001E-2</v>
      </c>
      <c r="P4258">
        <v>-0.99826229999999905</v>
      </c>
      <c r="Q4258">
        <v>1.8151609999999999E-2</v>
      </c>
      <c r="R4258">
        <v>-5.6066070000000003E-2</v>
      </c>
      <c r="S4258">
        <v>-2.9744259999999998</v>
      </c>
      <c r="T4258">
        <v>-0.25794050000000002</v>
      </c>
      <c r="U4258">
        <v>-0.65869140000000004</v>
      </c>
      <c r="V4258">
        <v>-3.2181759999999997E-2</v>
      </c>
      <c r="W4258">
        <v>3.261066E-2</v>
      </c>
      <c r="X4258">
        <v>0.99894989999999995</v>
      </c>
      <c r="Y4258">
        <v>-0.19214249999999999</v>
      </c>
      <c r="Z4258">
        <v>-6.1676430000000004E-3</v>
      </c>
      <c r="AA4258">
        <v>0.98134769999999905</v>
      </c>
      <c r="AB4258">
        <v>33</v>
      </c>
      <c r="AC4258">
        <v>-12.4094</v>
      </c>
      <c r="AD4258">
        <v>-1.1052208445080001</v>
      </c>
      <c r="AE4258">
        <v>-2.8136000000000001</v>
      </c>
      <c r="AF4258">
        <v>-2.4964420460881902</v>
      </c>
      <c r="AG4258">
        <v>-1.1052208445080001</v>
      </c>
      <c r="AH4258">
        <v>12.379889963376</v>
      </c>
      <c r="AI4258">
        <v>95.001434866769799</v>
      </c>
      <c r="AJ4258">
        <v>101.400971115744</v>
      </c>
      <c r="AK4258">
        <v>12.6773582228282</v>
      </c>
    </row>
    <row r="4259" spans="1:37" x14ac:dyDescent="0.2">
      <c r="A4259" t="str">
        <f>"20200111155936961"</f>
        <v>20200111155936961</v>
      </c>
      <c r="B4259" t="str">
        <f>"1578729576954236"</f>
        <v>1578729576954236</v>
      </c>
      <c r="C4259" t="s">
        <v>37</v>
      </c>
      <c r="D4259">
        <v>5.4691739999999998</v>
      </c>
      <c r="E4259">
        <v>0.44170009999999998</v>
      </c>
      <c r="F4259" t="s">
        <v>39</v>
      </c>
      <c r="G4259">
        <v>-390.52940000000001</v>
      </c>
      <c r="H4259" s="1">
        <v>-4.1962300000000001E-6</v>
      </c>
      <c r="I4259">
        <v>138.7646</v>
      </c>
      <c r="J4259">
        <v>-379.3981</v>
      </c>
      <c r="K4259">
        <v>1.1053709999999899</v>
      </c>
      <c r="L4259">
        <v>141.27940000000001</v>
      </c>
      <c r="M4259">
        <v>-0.99957669999999998</v>
      </c>
      <c r="N4259">
        <v>0</v>
      </c>
      <c r="O4259">
        <v>-2.520143E-2</v>
      </c>
      <c r="P4259">
        <v>-0.99815480000000001</v>
      </c>
      <c r="Q4259">
        <v>1.866309E-2</v>
      </c>
      <c r="R4259">
        <v>-5.7784229999999999E-2</v>
      </c>
      <c r="S4259">
        <v>-2.9737239999999998</v>
      </c>
      <c r="T4259">
        <v>-0.286545099999999</v>
      </c>
      <c r="U4259">
        <v>-0.65440369999999903</v>
      </c>
      <c r="V4259">
        <v>-3.2685659999999998E-2</v>
      </c>
      <c r="W4259">
        <v>3.3108209999999999E-2</v>
      </c>
      <c r="X4259">
        <v>0.99891719999999895</v>
      </c>
      <c r="Y4259">
        <v>-0.18951119999999999</v>
      </c>
      <c r="Z4259">
        <v>-6.6097339999999999E-3</v>
      </c>
      <c r="AA4259">
        <v>0.98185630000000002</v>
      </c>
      <c r="AB4259">
        <v>33</v>
      </c>
      <c r="AC4259">
        <v>-11.1313</v>
      </c>
      <c r="AD4259">
        <v>-1.10537519622999</v>
      </c>
      <c r="AE4259">
        <v>-2.5148000000000001</v>
      </c>
      <c r="AF4259">
        <v>-2.2126867559502998</v>
      </c>
      <c r="AG4259">
        <v>-1.10537519622999</v>
      </c>
      <c r="AH4259">
        <v>11.087124671802099</v>
      </c>
      <c r="AI4259">
        <v>95.584113965024201</v>
      </c>
      <c r="AJ4259">
        <v>101.286386457696</v>
      </c>
      <c r="AK4259">
        <v>11.359672992321601</v>
      </c>
    </row>
    <row r="4260" spans="1:37" x14ac:dyDescent="0.2">
      <c r="A4260" t="str">
        <f>"20200111155936983"</f>
        <v>20200111155936983</v>
      </c>
      <c r="B4260" t="str">
        <f>"1578729576974733"</f>
        <v>1578729576974733</v>
      </c>
      <c r="C4260" t="s">
        <v>37</v>
      </c>
      <c r="D4260">
        <v>5.5437129999999897</v>
      </c>
      <c r="E4260">
        <v>0.44223359999999901</v>
      </c>
      <c r="F4260" t="s">
        <v>39</v>
      </c>
      <c r="G4260">
        <v>-390.63709999999998</v>
      </c>
      <c r="H4260" s="1">
        <v>-4.1428280000000003E-6</v>
      </c>
      <c r="I4260">
        <v>138.80529999999999</v>
      </c>
      <c r="J4260">
        <v>-379.72919999999999</v>
      </c>
      <c r="K4260">
        <v>1.105607</v>
      </c>
      <c r="L4260">
        <v>141.2696</v>
      </c>
      <c r="M4260">
        <v>-0.99953769999999997</v>
      </c>
      <c r="N4260">
        <v>0</v>
      </c>
      <c r="O4260">
        <v>-2.671159E-2</v>
      </c>
      <c r="P4260">
        <v>-0.99800440000000001</v>
      </c>
      <c r="Q4260">
        <v>2.3223230000000001E-2</v>
      </c>
      <c r="R4260">
        <v>-5.8724739999999997E-2</v>
      </c>
      <c r="S4260">
        <v>-2.9730829999999999</v>
      </c>
      <c r="T4260">
        <v>-0.29240939999999999</v>
      </c>
      <c r="U4260">
        <v>-0.65447999999999995</v>
      </c>
      <c r="V4260">
        <v>-3.2150339999999999E-2</v>
      </c>
      <c r="W4260">
        <v>3.7651520000000001E-2</v>
      </c>
      <c r="X4260">
        <v>0.99877359999999904</v>
      </c>
      <c r="Y4260">
        <v>-0.18807960000000001</v>
      </c>
      <c r="Z4260">
        <v>-6.5301739999999997E-3</v>
      </c>
      <c r="AA4260">
        <v>0.98213209999999995</v>
      </c>
      <c r="AB4260">
        <v>33</v>
      </c>
      <c r="AC4260">
        <v>-10.9078999999999</v>
      </c>
      <c r="AD4260">
        <v>-1.105611142828</v>
      </c>
      <c r="AE4260">
        <v>-2.4643000000000002</v>
      </c>
      <c r="AF4260">
        <v>-2.1509970718384901</v>
      </c>
      <c r="AG4260">
        <v>-1.105611142828</v>
      </c>
      <c r="AH4260">
        <v>10.8636504021243</v>
      </c>
      <c r="AI4260">
        <v>95.701147261108702</v>
      </c>
      <c r="AJ4260">
        <v>101.199677056129</v>
      </c>
      <c r="AK4260">
        <v>11.1296030684736</v>
      </c>
    </row>
    <row r="4261" spans="1:37" x14ac:dyDescent="0.2">
      <c r="A4261" t="str">
        <f>"20200111155937005"</f>
        <v>20200111155937005</v>
      </c>
      <c r="B4261" t="str">
        <f>"1578729576994823"</f>
        <v>1578729576994823</v>
      </c>
      <c r="C4261" t="s">
        <v>37</v>
      </c>
      <c r="D4261">
        <v>5.4605050000000004</v>
      </c>
      <c r="E4261">
        <v>0.4427643</v>
      </c>
      <c r="F4261" t="s">
        <v>39</v>
      </c>
      <c r="G4261">
        <v>-392.0609</v>
      </c>
      <c r="H4261" s="1">
        <v>-3.5763130000000001E-6</v>
      </c>
      <c r="I4261">
        <v>138.55529999999999</v>
      </c>
      <c r="J4261">
        <v>-380.05189999999999</v>
      </c>
      <c r="K4261">
        <v>1.105915</v>
      </c>
      <c r="L4261">
        <v>141.25919999999999</v>
      </c>
      <c r="M4261">
        <v>-0.99948579999999998</v>
      </c>
      <c r="N4261">
        <v>0</v>
      </c>
      <c r="O4261">
        <v>-2.8584120000000001E-2</v>
      </c>
      <c r="P4261">
        <v>-0.99783330000000003</v>
      </c>
      <c r="Q4261">
        <v>2.8117429999999999E-2</v>
      </c>
      <c r="R4261">
        <v>-5.9486520000000001E-2</v>
      </c>
      <c r="S4261">
        <v>-2.9736630000000002</v>
      </c>
      <c r="T4261">
        <v>-0.26660509999999998</v>
      </c>
      <c r="U4261">
        <v>-0.6545105</v>
      </c>
      <c r="V4261">
        <v>-3.1089329999999998E-2</v>
      </c>
      <c r="W4261">
        <v>4.2528499999999997E-2</v>
      </c>
      <c r="X4261">
        <v>0.99861149999999999</v>
      </c>
      <c r="Y4261">
        <v>-0.18634779999999901</v>
      </c>
      <c r="Z4261">
        <v>-5.7132369999999899E-3</v>
      </c>
      <c r="AA4261">
        <v>0.98246719999999899</v>
      </c>
      <c r="AB4261">
        <v>33</v>
      </c>
      <c r="AC4261">
        <v>-12.009</v>
      </c>
      <c r="AD4261">
        <v>-1.1059185763129999</v>
      </c>
      <c r="AE4261">
        <v>-2.7039</v>
      </c>
      <c r="AF4261">
        <v>-2.3405997758888999</v>
      </c>
      <c r="AG4261">
        <v>-1.1059185763129999</v>
      </c>
      <c r="AH4261">
        <v>11.984654244396401</v>
      </c>
      <c r="AI4261">
        <v>95.1749801153927</v>
      </c>
      <c r="AJ4261">
        <v>101.05075241730199</v>
      </c>
      <c r="AK4261">
        <v>12.261052180219</v>
      </c>
    </row>
    <row r="4262" spans="1:37" x14ac:dyDescent="0.2">
      <c r="A4262" t="str">
        <f>"20200111155937027"</f>
        <v>20200111155937027</v>
      </c>
      <c r="B4262" t="str">
        <f>"1578729577024105"</f>
        <v>1578729577024105</v>
      </c>
      <c r="C4262" t="s">
        <v>37</v>
      </c>
      <c r="D4262">
        <v>5.4941889999999898</v>
      </c>
      <c r="E4262">
        <v>0.44315349999999998</v>
      </c>
      <c r="F4262" t="s">
        <v>39</v>
      </c>
      <c r="G4262">
        <v>-393.03140000000002</v>
      </c>
      <c r="H4262" s="1">
        <v>-3.18659299999999E-6</v>
      </c>
      <c r="I4262">
        <v>138.40530000000001</v>
      </c>
      <c r="J4262">
        <v>-380.37610000000001</v>
      </c>
      <c r="K4262">
        <v>1.106298</v>
      </c>
      <c r="L4262">
        <v>141.24760000000001</v>
      </c>
      <c r="M4262">
        <v>-0.99941409999999997</v>
      </c>
      <c r="N4262">
        <v>0</v>
      </c>
      <c r="O4262">
        <v>-3.09824E-2</v>
      </c>
      <c r="P4262">
        <v>-0.99773819999999902</v>
      </c>
      <c r="Q4262">
        <v>3.14124E-2</v>
      </c>
      <c r="R4262">
        <v>-5.9428880000000003E-2</v>
      </c>
      <c r="S4262">
        <v>-2.9746700000000001</v>
      </c>
      <c r="T4262">
        <v>-0.25345669999999998</v>
      </c>
      <c r="U4262">
        <v>-0.65403750000000005</v>
      </c>
      <c r="V4262">
        <v>-2.869039E-2</v>
      </c>
      <c r="W4262">
        <v>4.5814510000000003E-2</v>
      </c>
      <c r="X4262">
        <v>0.99853789999999998</v>
      </c>
      <c r="Y4262">
        <v>-0.18384619999999999</v>
      </c>
      <c r="Z4262">
        <v>-5.1244359999999996E-3</v>
      </c>
      <c r="AA4262">
        <v>0.98294169999999903</v>
      </c>
      <c r="AB4262">
        <v>33</v>
      </c>
      <c r="AC4262">
        <v>-12.6553</v>
      </c>
      <c r="AD4262">
        <v>-1.1063011865929999</v>
      </c>
      <c r="AE4262">
        <v>-2.8422999999999901</v>
      </c>
      <c r="AF4262">
        <v>-2.4311159299835401</v>
      </c>
      <c r="AG4262">
        <v>-1.1063011865929999</v>
      </c>
      <c r="AH4262">
        <v>12.645300027421699</v>
      </c>
      <c r="AI4262">
        <v>94.910439467758493</v>
      </c>
      <c r="AJ4262">
        <v>100.882588440769</v>
      </c>
      <c r="AK4262">
        <v>12.9243119648199</v>
      </c>
    </row>
    <row r="4263" spans="1:37" x14ac:dyDescent="0.2">
      <c r="A4263" t="str">
        <f>"20200111155937050"</f>
        <v>20200111155937050</v>
      </c>
      <c r="B4263" t="str">
        <f>"1578729577044599"</f>
        <v>1578729577044599</v>
      </c>
      <c r="C4263" t="s">
        <v>37</v>
      </c>
      <c r="D4263">
        <v>5.4773670000000001</v>
      </c>
      <c r="E4263">
        <v>0.44349099999999902</v>
      </c>
      <c r="F4263" t="s">
        <v>39</v>
      </c>
      <c r="G4263">
        <v>-393.51580000000001</v>
      </c>
      <c r="H4263" s="1">
        <v>-2.9848370000000002E-6</v>
      </c>
      <c r="I4263">
        <v>138.37119999999999</v>
      </c>
      <c r="J4263">
        <v>-380.71379999999999</v>
      </c>
      <c r="K4263">
        <v>1.1066879999999999</v>
      </c>
      <c r="L4263">
        <v>141.23400000000001</v>
      </c>
      <c r="M4263">
        <v>-0.99931709999999996</v>
      </c>
      <c r="N4263">
        <v>0</v>
      </c>
      <c r="O4263">
        <v>-3.3960329999999997E-2</v>
      </c>
      <c r="P4263">
        <v>-0.99765439999999905</v>
      </c>
      <c r="Q4263">
        <v>3.3387399999999998E-2</v>
      </c>
      <c r="R4263">
        <v>-5.9760430000000003E-2</v>
      </c>
      <c r="S4263">
        <v>-2.9758909999999998</v>
      </c>
      <c r="T4263">
        <v>-0.2505559</v>
      </c>
      <c r="U4263">
        <v>-0.65141300000000002</v>
      </c>
      <c r="V4263">
        <v>-2.610148E-2</v>
      </c>
      <c r="W4263">
        <v>4.7790270000000003E-2</v>
      </c>
      <c r="X4263">
        <v>0.99851630000000002</v>
      </c>
      <c r="Y4263">
        <v>-0.18003959999999999</v>
      </c>
      <c r="Z4263">
        <v>-4.659453E-3</v>
      </c>
      <c r="AA4263">
        <v>0.98364830000000003</v>
      </c>
      <c r="AB4263">
        <v>33</v>
      </c>
      <c r="AC4263">
        <v>-12.802</v>
      </c>
      <c r="AD4263">
        <v>-1.1066909848369999</v>
      </c>
      <c r="AE4263">
        <v>-2.86280000000002</v>
      </c>
      <c r="AF4263">
        <v>-2.4091955247714099</v>
      </c>
      <c r="AG4263">
        <v>-1.1066909848369999</v>
      </c>
      <c r="AH4263">
        <v>12.800741360267301</v>
      </c>
      <c r="AI4263">
        <v>94.856388260249801</v>
      </c>
      <c r="AJ4263">
        <v>100.658810275313</v>
      </c>
      <c r="AK4263">
        <v>13.0724124546679</v>
      </c>
    </row>
    <row r="4264" spans="1:37" x14ac:dyDescent="0.2">
      <c r="A4264" t="str">
        <f>"20200111155937072"</f>
        <v>20200111155937072</v>
      </c>
      <c r="B4264" t="str">
        <f>"1578729577064119"</f>
        <v>1578729577064119</v>
      </c>
      <c r="C4264" t="s">
        <v>37</v>
      </c>
      <c r="D4264">
        <v>5.5114780000000003</v>
      </c>
      <c r="E4264">
        <v>0.44342789999999999</v>
      </c>
      <c r="F4264" t="s">
        <v>39</v>
      </c>
      <c r="G4264">
        <v>-393.8707</v>
      </c>
      <c r="H4264" s="1">
        <v>-2.8338330000000001E-6</v>
      </c>
      <c r="I4264">
        <v>138.36420000000001</v>
      </c>
      <c r="J4264">
        <v>-381.04390000000001</v>
      </c>
      <c r="K4264">
        <v>1.1070580000000001</v>
      </c>
      <c r="L4264">
        <v>141.21940000000001</v>
      </c>
      <c r="M4264">
        <v>-0.9991949</v>
      </c>
      <c r="N4264">
        <v>0</v>
      </c>
      <c r="O4264">
        <v>-3.7377470000000003E-2</v>
      </c>
      <c r="P4264">
        <v>-0.99757340000000005</v>
      </c>
      <c r="Q4264">
        <v>3.3515589999999998E-2</v>
      </c>
      <c r="R4264">
        <v>-6.1024729999999999E-2</v>
      </c>
      <c r="S4264">
        <v>-2.9765630000000001</v>
      </c>
      <c r="T4264">
        <v>-0.25037339999999902</v>
      </c>
      <c r="U4264">
        <v>-0.649231</v>
      </c>
      <c r="V4264">
        <v>-2.3996779999999999E-2</v>
      </c>
      <c r="W4264">
        <v>4.7923149999999998E-2</v>
      </c>
      <c r="X4264">
        <v>0.99856279999999997</v>
      </c>
      <c r="Y4264">
        <v>-0.17596609999999999</v>
      </c>
      <c r="Z4264">
        <v>-4.2033929999999997E-3</v>
      </c>
      <c r="AA4264">
        <v>0.98438729999999997</v>
      </c>
      <c r="AB4264">
        <v>33</v>
      </c>
      <c r="AC4264">
        <v>-12.826799999999899</v>
      </c>
      <c r="AD4264">
        <v>-1.1070608338329999</v>
      </c>
      <c r="AE4264">
        <v>-2.8551999999999902</v>
      </c>
      <c r="AF4264">
        <v>-2.3569914645768102</v>
      </c>
      <c r="AG4264">
        <v>-1.1070608338329999</v>
      </c>
      <c r="AH4264">
        <v>12.833481210751399</v>
      </c>
      <c r="AI4264">
        <v>94.849612524455793</v>
      </c>
      <c r="AJ4264">
        <v>100.406940163092</v>
      </c>
      <c r="AK4264">
        <v>13.095007920601001</v>
      </c>
    </row>
    <row r="4265" spans="1:37" x14ac:dyDescent="0.2">
      <c r="A4265" t="str">
        <f>"20200111155937094"</f>
        <v>20200111155937094</v>
      </c>
      <c r="B4265" t="str">
        <f>"1578729577084615"</f>
        <v>1578729577084615</v>
      </c>
      <c r="C4265" t="s">
        <v>37</v>
      </c>
      <c r="D4265">
        <v>5.5355220000000003</v>
      </c>
      <c r="E4265">
        <v>0.44338359999999899</v>
      </c>
      <c r="F4265" t="s">
        <v>39</v>
      </c>
      <c r="G4265">
        <v>-393.74610000000001</v>
      </c>
      <c r="H4265" s="1">
        <v>-2.8745280000000001E-6</v>
      </c>
      <c r="I4265">
        <v>138.43610000000001</v>
      </c>
      <c r="J4265">
        <v>-381.36149999999998</v>
      </c>
      <c r="K4265">
        <v>1.107415</v>
      </c>
      <c r="L4265">
        <v>141.2038</v>
      </c>
      <c r="M4265">
        <v>-0.99904559999999998</v>
      </c>
      <c r="N4265">
        <v>0</v>
      </c>
      <c r="O4265">
        <v>-4.1174139999999998E-2</v>
      </c>
      <c r="P4265">
        <v>-0.99747019999999997</v>
      </c>
      <c r="Q4265">
        <v>2.9946380000000002E-2</v>
      </c>
      <c r="R4265">
        <v>-6.4473710000000004E-2</v>
      </c>
      <c r="S4265">
        <v>-2.97613499999999</v>
      </c>
      <c r="T4265">
        <v>-0.2593859</v>
      </c>
      <c r="U4265">
        <v>-0.6520996</v>
      </c>
      <c r="V4265">
        <v>-2.3668809999999998E-2</v>
      </c>
      <c r="W4265">
        <v>4.435211E-2</v>
      </c>
      <c r="X4265">
        <v>0.9987355</v>
      </c>
      <c r="Y4265">
        <v>-0.17314979999999999</v>
      </c>
      <c r="Z4265">
        <v>-3.90769599999999E-3</v>
      </c>
      <c r="AA4265">
        <v>0.98488770000000003</v>
      </c>
      <c r="AB4265">
        <v>33</v>
      </c>
      <c r="AC4265">
        <v>-12.384600000000001</v>
      </c>
      <c r="AD4265">
        <v>-1.1074178745279999</v>
      </c>
      <c r="AE4265">
        <v>-2.7676999999999898</v>
      </c>
      <c r="AF4265">
        <v>-2.2383272049686198</v>
      </c>
      <c r="AG4265">
        <v>-1.1074178745279999</v>
      </c>
      <c r="AH4265">
        <v>12.393682233492299</v>
      </c>
      <c r="AI4265">
        <v>95.025144617394403</v>
      </c>
      <c r="AJ4265">
        <v>100.237395049833</v>
      </c>
      <c r="AK4265">
        <v>12.642778267853499</v>
      </c>
    </row>
    <row r="4266" spans="1:37" x14ac:dyDescent="0.2">
      <c r="A4266" t="str">
        <f>"20200111155937117"</f>
        <v>20200111155937117</v>
      </c>
      <c r="B4266" t="str">
        <f>"1578729577114020"</f>
        <v>1578729577114020</v>
      </c>
      <c r="C4266" t="s">
        <v>37</v>
      </c>
      <c r="D4266">
        <v>5.5336889999999999</v>
      </c>
      <c r="E4266">
        <v>0.44331859999999901</v>
      </c>
      <c r="F4266" t="s">
        <v>39</v>
      </c>
      <c r="G4266">
        <v>-393.15890000000002</v>
      </c>
      <c r="H4266" s="1">
        <v>-3.1008009999999998E-6</v>
      </c>
      <c r="I4266">
        <v>138.5806</v>
      </c>
      <c r="J4266">
        <v>-381.68979999999999</v>
      </c>
      <c r="K4266">
        <v>1.107796</v>
      </c>
      <c r="L4266">
        <v>141.1858</v>
      </c>
      <c r="M4266">
        <v>-0.998851499999999</v>
      </c>
      <c r="N4266">
        <v>0</v>
      </c>
      <c r="O4266">
        <v>-4.5632069999999997E-2</v>
      </c>
      <c r="P4266">
        <v>-0.99719449999999998</v>
      </c>
      <c r="Q4266">
        <v>2.5965240000000001E-2</v>
      </c>
      <c r="R4266">
        <v>-7.0207889999999995E-2</v>
      </c>
      <c r="S4266">
        <v>-2.973236</v>
      </c>
      <c r="T4266">
        <v>-0.2790958</v>
      </c>
      <c r="U4266">
        <v>-0.66107179999999999</v>
      </c>
      <c r="V4266">
        <v>-2.496075E-2</v>
      </c>
      <c r="W4266">
        <v>4.0358379999999999E-2</v>
      </c>
      <c r="X4266">
        <v>0.99887349999999997</v>
      </c>
      <c r="Y4266">
        <v>-0.17173859999999999</v>
      </c>
      <c r="Z4266">
        <v>-3.729507E-3</v>
      </c>
      <c r="AA4266">
        <v>0.98513549999999905</v>
      </c>
      <c r="AB4266">
        <v>33</v>
      </c>
      <c r="AC4266">
        <v>-11.469099999999999</v>
      </c>
      <c r="AD4266">
        <v>-1.107799100801</v>
      </c>
      <c r="AE4266">
        <v>-2.6051999999999902</v>
      </c>
      <c r="AF4266">
        <v>-2.0607880013851698</v>
      </c>
      <c r="AG4266">
        <v>-1.107799100801</v>
      </c>
      <c r="AH4266">
        <v>11.474245854324501</v>
      </c>
      <c r="AI4266">
        <v>95.428296048107697</v>
      </c>
      <c r="AJ4266">
        <v>100.18183815563999</v>
      </c>
      <c r="AK4266">
        <v>11.7103537077183</v>
      </c>
    </row>
    <row r="4267" spans="1:37" x14ac:dyDescent="0.2">
      <c r="A4267" t="str">
        <f>"20200111155937139"</f>
        <v>20200111155937139</v>
      </c>
      <c r="B4267" t="str">
        <f>"1578729577134517"</f>
        <v>1578729577134517</v>
      </c>
      <c r="C4267" t="s">
        <v>37</v>
      </c>
      <c r="D4267">
        <v>5.5074870000000002</v>
      </c>
      <c r="E4267">
        <v>0.4432487</v>
      </c>
      <c r="F4267" t="s">
        <v>39</v>
      </c>
      <c r="G4267">
        <v>-392.69310000000002</v>
      </c>
      <c r="H4267" s="1">
        <v>-3.2835910000000002E-6</v>
      </c>
      <c r="I4267">
        <v>138.6765</v>
      </c>
      <c r="J4267">
        <v>-382.01260000000002</v>
      </c>
      <c r="K4267">
        <v>1.108188</v>
      </c>
      <c r="L4267">
        <v>141.16630000000001</v>
      </c>
      <c r="M4267">
        <v>-0.998615699999999</v>
      </c>
      <c r="N4267">
        <v>0</v>
      </c>
      <c r="O4267">
        <v>-5.0522669999999999E-2</v>
      </c>
      <c r="P4267">
        <v>-0.99663109999999999</v>
      </c>
      <c r="Q4267">
        <v>2.0811179999999999E-2</v>
      </c>
      <c r="R4267">
        <v>-7.9329739999999996E-2</v>
      </c>
      <c r="S4267">
        <v>-2.9685969999999999</v>
      </c>
      <c r="T4267">
        <v>-0.29887540000000001</v>
      </c>
      <c r="U4267">
        <v>-0.67695620000000001</v>
      </c>
      <c r="V4267">
        <v>-2.9198660000000001E-2</v>
      </c>
      <c r="W4267">
        <v>3.516408E-2</v>
      </c>
      <c r="X4267">
        <v>0.99895489999999998</v>
      </c>
      <c r="Y4267">
        <v>-0.17220089999999999</v>
      </c>
      <c r="Z4267">
        <v>-3.5361109999999898E-3</v>
      </c>
      <c r="AA4267">
        <v>0.98505549999999997</v>
      </c>
      <c r="AB4267">
        <v>33</v>
      </c>
      <c r="AC4267">
        <v>-10.680499999999901</v>
      </c>
      <c r="AD4267">
        <v>-1.1081912835909999</v>
      </c>
      <c r="AE4267">
        <v>-2.4897999999999998</v>
      </c>
      <c r="AF4267">
        <v>-1.92727524235741</v>
      </c>
      <c r="AG4267">
        <v>-1.1081912835909999</v>
      </c>
      <c r="AH4267">
        <v>10.6835730231596</v>
      </c>
      <c r="AI4267">
        <v>95.828610886346198</v>
      </c>
      <c r="AJ4267">
        <v>100.225956563491</v>
      </c>
      <c r="AK4267">
        <v>10.912433748803</v>
      </c>
    </row>
    <row r="4268" spans="1:37" x14ac:dyDescent="0.2">
      <c r="A4268" t="str">
        <f>"20200111155937162"</f>
        <v>20200111155937162</v>
      </c>
      <c r="B4268" t="str">
        <f>"1578729577154039"</f>
        <v>1578729577154039</v>
      </c>
      <c r="C4268" t="s">
        <v>37</v>
      </c>
      <c r="D4268">
        <v>5.540521</v>
      </c>
      <c r="E4268">
        <v>0.44350309999999998</v>
      </c>
      <c r="F4268" t="s">
        <v>39</v>
      </c>
      <c r="G4268">
        <v>-392.2654</v>
      </c>
      <c r="H4268" s="1">
        <v>-3.4571209999999998E-6</v>
      </c>
      <c r="I4268">
        <v>138.7328</v>
      </c>
      <c r="J4268">
        <v>-382.35059999999999</v>
      </c>
      <c r="K4268">
        <v>1.1086180000000001</v>
      </c>
      <c r="L4268">
        <v>141.14359999999999</v>
      </c>
      <c r="M4268">
        <v>-0.99831429999999999</v>
      </c>
      <c r="N4268">
        <v>0</v>
      </c>
      <c r="O4268">
        <v>-5.615713E-2</v>
      </c>
      <c r="P4268">
        <v>-0.99577680000000002</v>
      </c>
      <c r="Q4268">
        <v>1.7028189999999999E-2</v>
      </c>
      <c r="R4268">
        <v>-9.021361E-2</v>
      </c>
      <c r="S4268">
        <v>-2.9608460000000001</v>
      </c>
      <c r="T4268">
        <v>-0.3200288</v>
      </c>
      <c r="U4268">
        <v>-0.70271300000000003</v>
      </c>
      <c r="V4268">
        <v>-3.4471889999999998E-2</v>
      </c>
      <c r="W4268">
        <v>3.1322429999999998E-2</v>
      </c>
      <c r="X4268">
        <v>0.99891469999999905</v>
      </c>
      <c r="Y4268">
        <v>-0.1752561</v>
      </c>
      <c r="Z4268">
        <v>-3.3571209999999998E-3</v>
      </c>
      <c r="AA4268">
        <v>0.98451719999999898</v>
      </c>
      <c r="AB4268">
        <v>33</v>
      </c>
      <c r="AC4268">
        <v>-9.9148000000000103</v>
      </c>
      <c r="AD4268">
        <v>-1.108621457121</v>
      </c>
      <c r="AE4268">
        <v>-2.4107999999999898</v>
      </c>
      <c r="AF4268">
        <v>-1.8285627381168901</v>
      </c>
      <c r="AG4268">
        <v>-1.108621457121</v>
      </c>
      <c r="AH4268">
        <v>9.9174765422010491</v>
      </c>
      <c r="AI4268">
        <v>96.2734304619309</v>
      </c>
      <c r="AJ4268">
        <v>100.446745897871</v>
      </c>
      <c r="AK4268">
        <v>10.1453942351949</v>
      </c>
    </row>
    <row r="4269" spans="1:37" x14ac:dyDescent="0.2">
      <c r="A4269" t="str">
        <f>"20200111155937185"</f>
        <v>20200111155937185</v>
      </c>
      <c r="B4269" t="str">
        <f>"1578729577174532"</f>
        <v>1578729577174532</v>
      </c>
      <c r="C4269" t="s">
        <v>37</v>
      </c>
      <c r="D4269">
        <v>5.4924799999999996</v>
      </c>
      <c r="E4269">
        <v>0.44349339999999998</v>
      </c>
      <c r="F4269" t="s">
        <v>39</v>
      </c>
      <c r="G4269">
        <v>-392.34179999999998</v>
      </c>
      <c r="H4269" s="1">
        <v>-3.4364229999999998E-6</v>
      </c>
      <c r="I4269">
        <v>138.66480000000001</v>
      </c>
      <c r="J4269">
        <v>-382.66820000000001</v>
      </c>
      <c r="K4269">
        <v>1.1090249999999999</v>
      </c>
      <c r="L4269">
        <v>141.12010000000001</v>
      </c>
      <c r="M4269">
        <v>-0.99797279999999999</v>
      </c>
      <c r="N4269">
        <v>0</v>
      </c>
      <c r="O4269">
        <v>-6.1923510000000001E-2</v>
      </c>
      <c r="P4269">
        <v>-0.99472830000000001</v>
      </c>
      <c r="Q4269">
        <v>1.6022519999999998E-2</v>
      </c>
      <c r="R4269">
        <v>-0.1012893</v>
      </c>
      <c r="S4269">
        <v>-2.9519959999999998</v>
      </c>
      <c r="T4269">
        <v>-0.32755329999999999</v>
      </c>
      <c r="U4269">
        <v>-0.73237609999999997</v>
      </c>
      <c r="V4269">
        <v>-3.9836049999999998E-2</v>
      </c>
      <c r="W4269">
        <v>3.024719E-2</v>
      </c>
      <c r="X4269">
        <v>0.99874830000000003</v>
      </c>
      <c r="Y4269">
        <v>-0.17954729999999999</v>
      </c>
      <c r="Z4269">
        <v>-3.0504059999999999E-3</v>
      </c>
      <c r="AA4269">
        <v>0.98374459999999997</v>
      </c>
      <c r="AB4269">
        <v>33</v>
      </c>
      <c r="AC4269">
        <v>-9.6735999999999596</v>
      </c>
      <c r="AD4269">
        <v>-1.1090284364229901</v>
      </c>
      <c r="AE4269">
        <v>-2.45529999999999</v>
      </c>
      <c r="AF4269">
        <v>-1.82891572335301</v>
      </c>
      <c r="AG4269">
        <v>-1.1090284364229901</v>
      </c>
      <c r="AH4269">
        <v>9.6874680580745594</v>
      </c>
      <c r="AI4269">
        <v>96.418419842676101</v>
      </c>
      <c r="AJ4269">
        <v>100.691146297255</v>
      </c>
      <c r="AK4269">
        <v>9.9207819335039105</v>
      </c>
    </row>
    <row r="4270" spans="1:37" x14ac:dyDescent="0.2">
      <c r="A4270" t="str">
        <f>"20200111155937206"</f>
        <v>20200111155937206</v>
      </c>
      <c r="B4270" t="str">
        <f>"1578729577204789"</f>
        <v>1578729577204789</v>
      </c>
      <c r="C4270" t="s">
        <v>37</v>
      </c>
      <c r="D4270">
        <v>4.9400490000000001</v>
      </c>
      <c r="E4270">
        <v>0.37598930000000003</v>
      </c>
      <c r="F4270" t="s">
        <v>39</v>
      </c>
      <c r="G4270">
        <v>-392.53039999999999</v>
      </c>
      <c r="H4270" s="1">
        <v>-3.3752439999999998E-6</v>
      </c>
      <c r="I4270">
        <v>138.55350000000001</v>
      </c>
      <c r="J4270">
        <v>-382.9855</v>
      </c>
      <c r="K4270">
        <v>1.109424</v>
      </c>
      <c r="L4270">
        <v>141.0943</v>
      </c>
      <c r="M4270">
        <v>-0.99756710000000004</v>
      </c>
      <c r="N4270">
        <v>0</v>
      </c>
      <c r="O4270">
        <v>-6.8139959999999999E-2</v>
      </c>
      <c r="P4270">
        <v>-0.9934849</v>
      </c>
      <c r="Q4270">
        <v>1.6652199999999999E-2</v>
      </c>
      <c r="R4270">
        <v>-0.11274140000000001</v>
      </c>
      <c r="S4270">
        <v>-2.9432369999999999</v>
      </c>
      <c r="T4270">
        <v>-0.3309743</v>
      </c>
      <c r="U4270">
        <v>-0.7659454</v>
      </c>
      <c r="V4270">
        <v>-4.5156679999999998E-2</v>
      </c>
      <c r="W4270">
        <v>3.0800540000000001E-2</v>
      </c>
      <c r="X4270">
        <v>0.99850499999999998</v>
      </c>
      <c r="Y4270">
        <v>-0.18462919999999999</v>
      </c>
      <c r="Z4270">
        <v>-2.685808E-3</v>
      </c>
      <c r="AA4270">
        <v>0.98280460000000003</v>
      </c>
      <c r="AB4270">
        <v>33</v>
      </c>
      <c r="AC4270">
        <v>-9.5448999999999806</v>
      </c>
      <c r="AD4270">
        <v>-1.109427375244</v>
      </c>
      <c r="AE4270">
        <v>-2.5407999999999902</v>
      </c>
      <c r="AF4270">
        <v>-1.86095582998556</v>
      </c>
      <c r="AG4270">
        <v>-1.109427375244</v>
      </c>
      <c r="AH4270">
        <v>9.5750602563022493</v>
      </c>
      <c r="AI4270">
        <v>96.488829428197306</v>
      </c>
      <c r="AJ4270">
        <v>100.998573816608</v>
      </c>
      <c r="AK4270">
        <v>9.8171159010127198</v>
      </c>
    </row>
    <row r="4271" spans="1:37" x14ac:dyDescent="0.2">
      <c r="A4271" t="str">
        <f>"20200111155937295"</f>
        <v>20200111155937295</v>
      </c>
      <c r="B4271" t="str">
        <f>"1578729577284821"</f>
        <v>1578729577284821</v>
      </c>
      <c r="C4271" t="s">
        <v>37</v>
      </c>
      <c r="D4271">
        <v>4.8813969999999998</v>
      </c>
      <c r="E4271">
        <v>0.36729590000000001</v>
      </c>
      <c r="F4271" t="s">
        <v>71</v>
      </c>
      <c r="G4271">
        <v>-404.21159999999998</v>
      </c>
      <c r="H4271" s="1">
        <v>-3.3361269999999998E-6</v>
      </c>
      <c r="I4271">
        <v>131.2687</v>
      </c>
      <c r="J4271">
        <v>-384.26369999999997</v>
      </c>
      <c r="K4271">
        <v>1.110668</v>
      </c>
      <c r="L4271">
        <v>140.96510000000001</v>
      </c>
      <c r="M4271">
        <v>-0.99520169999999997</v>
      </c>
      <c r="N4271">
        <v>0</v>
      </c>
      <c r="O4271">
        <v>-9.6715129999999996E-2</v>
      </c>
      <c r="P4271">
        <v>-0.98820739999999996</v>
      </c>
      <c r="Q4271">
        <v>2.1750289999999999E-2</v>
      </c>
      <c r="R4271">
        <v>-0.15157010000000001</v>
      </c>
      <c r="S4271">
        <v>-2.8713989999999998</v>
      </c>
      <c r="T4271">
        <v>-0.15007970000000001</v>
      </c>
      <c r="U4271">
        <v>-1.329178</v>
      </c>
      <c r="V4271">
        <v>-5.5821389999999999E-2</v>
      </c>
      <c r="W4271">
        <v>3.5706870000000002E-2</v>
      </c>
      <c r="X4271">
        <v>0.99780210000000003</v>
      </c>
      <c r="Y4271">
        <v>-0.33007150000000002</v>
      </c>
      <c r="Z4271">
        <v>-3.4261750000000001E-3</v>
      </c>
      <c r="AA4271">
        <v>0.943949699999999</v>
      </c>
      <c r="AB4271">
        <v>33</v>
      </c>
      <c r="AC4271">
        <v>-19.947900000000001</v>
      </c>
      <c r="AD4271">
        <v>-1.110671336127</v>
      </c>
      <c r="AE4271">
        <v>-9.6964000000000095</v>
      </c>
      <c r="AF4271">
        <v>-7.7021445286660803</v>
      </c>
      <c r="AG4271">
        <v>-1.110671336127</v>
      </c>
      <c r="AH4271">
        <v>20.7402489030023</v>
      </c>
      <c r="AI4271">
        <v>92.873927831751104</v>
      </c>
      <c r="AJ4271">
        <v>110.373093531029</v>
      </c>
      <c r="AK4271">
        <v>22.152077683952001</v>
      </c>
    </row>
    <row r="4272" spans="1:37" x14ac:dyDescent="0.2">
      <c r="A4272" t="str">
        <f>"20200111155937318"</f>
        <v>20200111155937318</v>
      </c>
      <c r="B4272" t="str">
        <f>"1578729577314102"</f>
        <v>1578729577314102</v>
      </c>
      <c r="C4272" t="s">
        <v>37</v>
      </c>
      <c r="D4272">
        <v>4.8840139999999996</v>
      </c>
      <c r="E4272">
        <v>0.36187929999999902</v>
      </c>
      <c r="F4272" t="s">
        <v>71</v>
      </c>
      <c r="G4272">
        <v>-403.97590000000002</v>
      </c>
      <c r="H4272" s="1">
        <v>-2.7212860000000001E-6</v>
      </c>
      <c r="I4272">
        <v>130.3434</v>
      </c>
      <c r="J4272">
        <v>-384.59190000000001</v>
      </c>
      <c r="K4272">
        <v>1.110908</v>
      </c>
      <c r="L4272">
        <v>140.92509999999999</v>
      </c>
      <c r="M4272">
        <v>-0.99438669999999996</v>
      </c>
      <c r="N4272">
        <v>0</v>
      </c>
      <c r="O4272">
        <v>-0.1047613</v>
      </c>
      <c r="P4272">
        <v>-0.98673539999999904</v>
      </c>
      <c r="Q4272">
        <v>2.2683749999999999E-2</v>
      </c>
      <c r="R4272">
        <v>-0.16074569999999999</v>
      </c>
      <c r="S4272">
        <v>-2.8072810000000001</v>
      </c>
      <c r="T4272">
        <v>-0.1581746</v>
      </c>
      <c r="U4272">
        <v>-1.5126649999999999</v>
      </c>
      <c r="V4272">
        <v>-5.7060329999999999E-2</v>
      </c>
      <c r="W4272">
        <v>3.661321E-2</v>
      </c>
      <c r="X4272">
        <v>0.99769909999999995</v>
      </c>
      <c r="Y4272">
        <v>-0.37917659999999997</v>
      </c>
      <c r="Z4272">
        <v>-4.5154490000000004E-3</v>
      </c>
      <c r="AA4272">
        <v>0.92531330000000001</v>
      </c>
      <c r="AB4272">
        <v>33</v>
      </c>
      <c r="AC4272">
        <v>-19.384</v>
      </c>
      <c r="AD4272">
        <v>-1.1109107212860001</v>
      </c>
      <c r="AE4272">
        <v>-10.5816999999999</v>
      </c>
      <c r="AF4272">
        <v>-8.4711080382657293</v>
      </c>
      <c r="AG4272">
        <v>-1.1109107212860001</v>
      </c>
      <c r="AH4272">
        <v>20.334533467020499</v>
      </c>
      <c r="AI4272">
        <v>92.887020991504599</v>
      </c>
      <c r="AJ4272">
        <v>112.61598929884801</v>
      </c>
      <c r="AK4272">
        <v>22.056451331708299</v>
      </c>
    </row>
    <row r="4273" spans="1:37" x14ac:dyDescent="0.2">
      <c r="A4273" t="str">
        <f>"20200111155937341"</f>
        <v>20200111155937341</v>
      </c>
      <c r="B4273" t="str">
        <f>"1578729577334596"</f>
        <v>1578729577334596</v>
      </c>
      <c r="C4273" t="s">
        <v>37</v>
      </c>
      <c r="D4273">
        <v>4.8652110000000004</v>
      </c>
      <c r="E4273">
        <v>0.35900120000000002</v>
      </c>
      <c r="F4273" t="s">
        <v>71</v>
      </c>
      <c r="G4273">
        <v>-404.52089999999998</v>
      </c>
      <c r="H4273">
        <v>4.7428499999999998E-3</v>
      </c>
      <c r="I4273">
        <v>129.6163</v>
      </c>
      <c r="J4273">
        <v>-384.91559999999998</v>
      </c>
      <c r="K4273">
        <v>1.1111169999999999</v>
      </c>
      <c r="L4273">
        <v>140.88290000000001</v>
      </c>
      <c r="M4273">
        <v>-0.99349209999999999</v>
      </c>
      <c r="N4273">
        <v>0</v>
      </c>
      <c r="O4273">
        <v>-0.1129255</v>
      </c>
      <c r="P4273">
        <v>-0.9851837</v>
      </c>
      <c r="Q4273">
        <v>2.176194E-2</v>
      </c>
      <c r="R4273">
        <v>-0.170117299999999</v>
      </c>
      <c r="S4273">
        <v>-2.7862849999999999</v>
      </c>
      <c r="T4273">
        <v>-0.15465329999999999</v>
      </c>
      <c r="U4273">
        <v>-1.5810850000000001</v>
      </c>
      <c r="V4273">
        <v>-5.8351069999999998E-2</v>
      </c>
      <c r="W4273">
        <v>3.5664929999999997E-2</v>
      </c>
      <c r="X4273">
        <v>0.99765879999999996</v>
      </c>
      <c r="Y4273">
        <v>-0.39182669999999997</v>
      </c>
      <c r="Z4273">
        <v>-4.3341350000000002E-3</v>
      </c>
      <c r="AA4273">
        <v>0.92002879999999998</v>
      </c>
      <c r="AB4273">
        <v>32</v>
      </c>
      <c r="AC4273">
        <v>-19.6053</v>
      </c>
      <c r="AD4273">
        <v>-1.1063741499999999</v>
      </c>
      <c r="AE4273">
        <v>-11.2666</v>
      </c>
      <c r="AF4273">
        <v>-8.9588858171407004</v>
      </c>
      <c r="AG4273">
        <v>-1.1063741499999999</v>
      </c>
      <c r="AH4273">
        <v>20.7027308417752</v>
      </c>
      <c r="AI4273">
        <v>92.807861124055705</v>
      </c>
      <c r="AJ4273">
        <v>113.400033058348</v>
      </c>
      <c r="AK4273">
        <v>22.585144744972101</v>
      </c>
    </row>
    <row r="4274" spans="1:37" x14ac:dyDescent="0.2">
      <c r="A4274" t="str">
        <f>"20200111155937362"</f>
        <v>20200111155937362</v>
      </c>
      <c r="B4274" t="str">
        <f>"1578729577354119"</f>
        <v>1578729577354119</v>
      </c>
      <c r="C4274" t="s">
        <v>37</v>
      </c>
      <c r="D4274">
        <v>4.9381510000000004</v>
      </c>
      <c r="E4274">
        <v>0.35792639999999998</v>
      </c>
      <c r="F4274" t="s">
        <v>71</v>
      </c>
      <c r="G4274">
        <v>-403.87920000000003</v>
      </c>
      <c r="H4274" s="1">
        <v>-2.3337569999999999E-6</v>
      </c>
      <c r="I4274">
        <v>129.7165</v>
      </c>
      <c r="J4274">
        <v>-385.22919999999999</v>
      </c>
      <c r="K4274">
        <v>1.111297</v>
      </c>
      <c r="L4274">
        <v>140.83920000000001</v>
      </c>
      <c r="M4274">
        <v>-0.99253769999999997</v>
      </c>
      <c r="N4274">
        <v>0</v>
      </c>
      <c r="O4274">
        <v>-0.1210252</v>
      </c>
      <c r="P4274">
        <v>-0.98358829999999997</v>
      </c>
      <c r="Q4274">
        <v>1.970709E-2</v>
      </c>
      <c r="R4274">
        <v>-0.1793487</v>
      </c>
      <c r="S4274">
        <v>-2.7673649999999999</v>
      </c>
      <c r="T4274">
        <v>-0.16214589999999901</v>
      </c>
      <c r="U4274">
        <v>-1.6295170000000001</v>
      </c>
      <c r="V4274">
        <v>-5.9546519999999999E-2</v>
      </c>
      <c r="W4274">
        <v>3.3586209999999998E-2</v>
      </c>
      <c r="X4274">
        <v>0.99766030000000006</v>
      </c>
      <c r="Y4274">
        <v>-0.39902369999999998</v>
      </c>
      <c r="Z4274">
        <v>-4.3187620000000003E-3</v>
      </c>
      <c r="AA4274">
        <v>0.91693040000000003</v>
      </c>
      <c r="AB4274">
        <v>32</v>
      </c>
      <c r="AC4274">
        <v>-18.649999999999999</v>
      </c>
      <c r="AD4274">
        <v>-1.1112993337570001</v>
      </c>
      <c r="AE4274">
        <v>-11.1227</v>
      </c>
      <c r="AF4274">
        <v>-8.7606087032348405</v>
      </c>
      <c r="AG4274">
        <v>-1.1112993337570001</v>
      </c>
      <c r="AH4274">
        <v>19.807281180793499</v>
      </c>
      <c r="AI4274">
        <v>92.937318730334098</v>
      </c>
      <c r="AJ4274">
        <v>113.859439398074</v>
      </c>
      <c r="AK4274">
        <v>21.686669611432301</v>
      </c>
    </row>
    <row r="4275" spans="1:37" x14ac:dyDescent="0.2">
      <c r="A4275" t="str">
        <f>"20200111155937385"</f>
        <v>20200111155937385</v>
      </c>
      <c r="B4275" t="str">
        <f>"1578729577374612"</f>
        <v>1578729577374612</v>
      </c>
      <c r="C4275" t="s">
        <v>37</v>
      </c>
      <c r="D4275">
        <v>5.0682720000000003</v>
      </c>
      <c r="E4275">
        <v>0.35801640000000001</v>
      </c>
      <c r="F4275" t="s">
        <v>71</v>
      </c>
      <c r="G4275">
        <v>-402.79559999999998</v>
      </c>
      <c r="H4275" s="1">
        <v>-1.9810039999999999E-6</v>
      </c>
      <c r="I4275">
        <v>130.21629999999999</v>
      </c>
      <c r="J4275">
        <v>-385.53559999999999</v>
      </c>
      <c r="K4275">
        <v>1.1114389999999901</v>
      </c>
      <c r="L4275">
        <v>140.79390000000001</v>
      </c>
      <c r="M4275">
        <v>-0.99151819999999902</v>
      </c>
      <c r="N4275">
        <v>0</v>
      </c>
      <c r="O4275">
        <v>-0.12910949999999999</v>
      </c>
      <c r="P4275">
        <v>-0.98187069999999999</v>
      </c>
      <c r="Q4275">
        <v>1.6562529999999999E-2</v>
      </c>
      <c r="R4275">
        <v>-0.18882769999999999</v>
      </c>
      <c r="S4275">
        <v>-2.750305</v>
      </c>
      <c r="T4275">
        <v>-0.17399139999999999</v>
      </c>
      <c r="U4275">
        <v>-1.6631929999999999</v>
      </c>
      <c r="V4275">
        <v>-6.0992669999999999E-2</v>
      </c>
      <c r="W4275">
        <v>3.0414009999999998E-2</v>
      </c>
      <c r="X4275">
        <v>0.99767479999999997</v>
      </c>
      <c r="Y4275">
        <v>-0.4022522</v>
      </c>
      <c r="Z4275">
        <v>-4.2798769999999996E-3</v>
      </c>
      <c r="AA4275">
        <v>0.91551890000000002</v>
      </c>
      <c r="AB4275">
        <v>32</v>
      </c>
      <c r="AC4275">
        <v>-17.259999999999899</v>
      </c>
      <c r="AD4275">
        <v>-1.11144098100399</v>
      </c>
      <c r="AE4275">
        <v>-10.5776</v>
      </c>
      <c r="AF4275">
        <v>-8.2355458916735191</v>
      </c>
      <c r="AG4275">
        <v>-1.11144098100399</v>
      </c>
      <c r="AH4275">
        <v>18.425784380715498</v>
      </c>
      <c r="AI4275">
        <v>93.152066689462302</v>
      </c>
      <c r="AJ4275">
        <v>114.08262245831</v>
      </c>
      <c r="AK4275">
        <v>20.213090986604001</v>
      </c>
    </row>
    <row r="4276" spans="1:37" x14ac:dyDescent="0.2">
      <c r="A4276" t="str">
        <f>"20200111155937407"</f>
        <v>20200111155937407</v>
      </c>
      <c r="B4276" t="str">
        <f>"1578729577403893"</f>
        <v>1578729577403893</v>
      </c>
      <c r="C4276" t="s">
        <v>37</v>
      </c>
      <c r="D4276">
        <v>5.2181519999999999</v>
      </c>
      <c r="E4276">
        <v>0.35922670000000001</v>
      </c>
      <c r="F4276" t="s">
        <v>71</v>
      </c>
      <c r="G4276">
        <v>-401.03769999999997</v>
      </c>
      <c r="H4276" s="1">
        <v>-1.510016E-6</v>
      </c>
      <c r="I4276">
        <v>131.21809999999999</v>
      </c>
      <c r="J4276">
        <v>-385.84870000000001</v>
      </c>
      <c r="K4276">
        <v>1.111567</v>
      </c>
      <c r="L4276">
        <v>140.74459999999999</v>
      </c>
      <c r="M4276">
        <v>-0.9903843</v>
      </c>
      <c r="N4276">
        <v>0</v>
      </c>
      <c r="O4276">
        <v>-0.13753409999999999</v>
      </c>
      <c r="P4276">
        <v>-0.98002049999999996</v>
      </c>
      <c r="Q4276">
        <v>1.350412E-2</v>
      </c>
      <c r="R4276">
        <v>-0.19843839999999999</v>
      </c>
      <c r="S4276">
        <v>-2.7339169999999999</v>
      </c>
      <c r="T4276">
        <v>-0.196012299999999</v>
      </c>
      <c r="U4276">
        <v>-1.688766</v>
      </c>
      <c r="V4276">
        <v>-6.2237430000000003E-2</v>
      </c>
      <c r="W4276">
        <v>2.7331109999999999E-2</v>
      </c>
      <c r="X4276">
        <v>0.99768709999999905</v>
      </c>
      <c r="Y4276">
        <v>-0.40302789999999999</v>
      </c>
      <c r="Z4276">
        <v>-4.3203349999999998E-3</v>
      </c>
      <c r="AA4276">
        <v>0.91517749999999998</v>
      </c>
      <c r="AB4276">
        <v>32</v>
      </c>
      <c r="AC4276">
        <v>-15.188999999999901</v>
      </c>
      <c r="AD4276">
        <v>-1.111568510016</v>
      </c>
      <c r="AE4276">
        <v>-9.5265000000000004</v>
      </c>
      <c r="AF4276">
        <v>-7.3185807511414103</v>
      </c>
      <c r="AG4276">
        <v>-1.111568510016</v>
      </c>
      <c r="AH4276">
        <v>16.2923695265319</v>
      </c>
      <c r="AI4276">
        <v>93.5612442224826</v>
      </c>
      <c r="AJ4276">
        <v>114.189757647641</v>
      </c>
      <c r="AK4276">
        <v>17.895209234666801</v>
      </c>
    </row>
    <row r="4277" spans="1:37" x14ac:dyDescent="0.2">
      <c r="A4277" t="str">
        <f>"20200111155937430"</f>
        <v>20200111155937430</v>
      </c>
      <c r="B4277" t="str">
        <f>"1578729577424388"</f>
        <v>1578729577424388</v>
      </c>
      <c r="C4277" t="s">
        <v>37</v>
      </c>
      <c r="D4277">
        <v>5.0992449999999998</v>
      </c>
      <c r="E4277">
        <v>0.35950399999999999</v>
      </c>
      <c r="F4277" t="s">
        <v>38</v>
      </c>
      <c r="G4277">
        <v>-386.75740000000002</v>
      </c>
      <c r="H4277">
        <v>1.0382340000000001</v>
      </c>
      <c r="I4277">
        <v>140.1746</v>
      </c>
      <c r="J4277">
        <v>-386.1737</v>
      </c>
      <c r="K4277">
        <v>1.111677</v>
      </c>
      <c r="L4277">
        <v>140.69030000000001</v>
      </c>
      <c r="M4277">
        <v>-0.98910730000000002</v>
      </c>
      <c r="N4277">
        <v>0</v>
      </c>
      <c r="O4277">
        <v>-0.1464348</v>
      </c>
      <c r="P4277">
        <v>-0.97794599999999898</v>
      </c>
      <c r="Q4277">
        <v>1.265735E-2</v>
      </c>
      <c r="R4277">
        <v>-0.20847489999999999</v>
      </c>
      <c r="S4277">
        <v>-2.7187809999999999</v>
      </c>
      <c r="T4277">
        <v>-0.219391899999999</v>
      </c>
      <c r="U4277">
        <v>-1.705902</v>
      </c>
      <c r="V4277">
        <v>-6.3486719999999996E-2</v>
      </c>
      <c r="W4277">
        <v>2.6461200000000001E-2</v>
      </c>
      <c r="X4277">
        <v>0.99763179999999996</v>
      </c>
      <c r="Y4277">
        <v>-0.40112409999999998</v>
      </c>
      <c r="Z4277">
        <v>-4.1408059999999899E-3</v>
      </c>
      <c r="AA4277">
        <v>0.91601440000000001</v>
      </c>
      <c r="AB4277">
        <v>32</v>
      </c>
      <c r="AC4277">
        <v>-0.58370000000002098</v>
      </c>
      <c r="AD4277">
        <v>-7.3442999999999897E-2</v>
      </c>
      <c r="AE4277">
        <v>-0.51570000000000904</v>
      </c>
      <c r="AF4277">
        <v>-0.42091368713272798</v>
      </c>
      <c r="AG4277">
        <v>-7.3442999999999897E-2</v>
      </c>
      <c r="AH4277">
        <v>0.64717716808294501</v>
      </c>
      <c r="AI4277">
        <v>95.434285911717396</v>
      </c>
      <c r="AJ4277">
        <v>123.039332418613</v>
      </c>
      <c r="AK4277">
        <v>0.77550015677144002</v>
      </c>
    </row>
    <row r="4278" spans="1:37" x14ac:dyDescent="0.2">
      <c r="A4278" t="str">
        <f>"20200111155937452"</f>
        <v>20200111155937452</v>
      </c>
      <c r="B4278" t="str">
        <f>"1578729577444891"</f>
        <v>1578729577444891</v>
      </c>
      <c r="C4278" t="s">
        <v>37</v>
      </c>
      <c r="D4278">
        <v>5.1313649999999997</v>
      </c>
      <c r="E4278">
        <v>0.36012290000000002</v>
      </c>
      <c r="F4278" t="s">
        <v>38</v>
      </c>
      <c r="G4278">
        <v>-387.07729999999998</v>
      </c>
      <c r="H4278">
        <v>1.0353540000000001</v>
      </c>
      <c r="I4278">
        <v>140.1112</v>
      </c>
      <c r="J4278">
        <v>-386.48379999999997</v>
      </c>
      <c r="K4278">
        <v>1.1117729999999999</v>
      </c>
      <c r="L4278">
        <v>140.63560000000001</v>
      </c>
      <c r="M4278">
        <v>-0.98779359999999905</v>
      </c>
      <c r="N4278">
        <v>0</v>
      </c>
      <c r="O4278">
        <v>-0.1550453</v>
      </c>
      <c r="P4278">
        <v>-0.97596209999999906</v>
      </c>
      <c r="Q4278">
        <v>1.189344E-2</v>
      </c>
      <c r="R4278">
        <v>-0.21761539999999999</v>
      </c>
      <c r="S4278">
        <v>-2.7014770000000001</v>
      </c>
      <c r="T4278">
        <v>-0.22819339999999899</v>
      </c>
      <c r="U4278">
        <v>-1.731552</v>
      </c>
      <c r="V4278">
        <v>-6.4122129999999999E-2</v>
      </c>
      <c r="W4278">
        <v>2.5686130000000001E-2</v>
      </c>
      <c r="X4278">
        <v>0.99761149999999998</v>
      </c>
      <c r="Y4278">
        <v>-0.40194400000000002</v>
      </c>
      <c r="Z4278">
        <v>-3.7092520000000001E-3</v>
      </c>
      <c r="AA4278">
        <v>0.91565669999999899</v>
      </c>
      <c r="AB4278">
        <v>32</v>
      </c>
      <c r="AC4278">
        <v>-0.59350000000000502</v>
      </c>
      <c r="AD4278">
        <v>-7.6418999999999696E-2</v>
      </c>
      <c r="AE4278">
        <v>-0.52440000000001397</v>
      </c>
      <c r="AF4278">
        <v>-0.42209754020472601</v>
      </c>
      <c r="AG4278">
        <v>-7.6418999999999696E-2</v>
      </c>
      <c r="AH4278">
        <v>0.66147763611821297</v>
      </c>
      <c r="AI4278">
        <v>95.562439198210399</v>
      </c>
      <c r="AJ4278">
        <v>122.54248054712301</v>
      </c>
      <c r="AK4278">
        <v>0.78839004312105498</v>
      </c>
    </row>
    <row r="4279" spans="1:37" x14ac:dyDescent="0.2">
      <c r="A4279" t="str">
        <f>"20200111155937474"</f>
        <v>20200111155937474</v>
      </c>
      <c r="B4279" t="str">
        <f>"1578729577464404"</f>
        <v>1578729577464404</v>
      </c>
      <c r="C4279" t="s">
        <v>37</v>
      </c>
      <c r="D4279">
        <v>4.9986079999999999</v>
      </c>
      <c r="E4279">
        <v>0.360738</v>
      </c>
      <c r="F4279" t="s">
        <v>39</v>
      </c>
      <c r="G4279">
        <v>-399.17110000000002</v>
      </c>
      <c r="H4279" s="1">
        <v>-2.1980660000000001E-6</v>
      </c>
      <c r="I4279">
        <v>132.36279999999999</v>
      </c>
      <c r="J4279">
        <v>-386.79300000000001</v>
      </c>
      <c r="K4279">
        <v>1.1118629999999901</v>
      </c>
      <c r="L4279">
        <v>140.57820000000001</v>
      </c>
      <c r="M4279">
        <v>-0.98638749999999997</v>
      </c>
      <c r="N4279">
        <v>0</v>
      </c>
      <c r="O4279">
        <v>-0.1637525</v>
      </c>
      <c r="P4279">
        <v>-0.97406179999999998</v>
      </c>
      <c r="Q4279">
        <v>1.1248660000000001E-2</v>
      </c>
      <c r="R4279">
        <v>-0.22600219999999999</v>
      </c>
      <c r="S4279">
        <v>-2.6862180000000002</v>
      </c>
      <c r="T4279">
        <v>-0.23539019999999999</v>
      </c>
      <c r="U4279">
        <v>-1.7515259999999999</v>
      </c>
      <c r="V4279">
        <v>-6.3897679999999998E-2</v>
      </c>
      <c r="W4279">
        <v>2.5046889999999999E-2</v>
      </c>
      <c r="X4279">
        <v>0.99764209999999998</v>
      </c>
      <c r="Y4279">
        <v>-0.40100590000000003</v>
      </c>
      <c r="Z4279">
        <v>-3.1295609999999999E-3</v>
      </c>
      <c r="AA4279">
        <v>0.916070099999999</v>
      </c>
      <c r="AB4279">
        <v>32</v>
      </c>
      <c r="AC4279">
        <v>-12.3781</v>
      </c>
      <c r="AD4279">
        <v>-1.1118651980659999</v>
      </c>
      <c r="AE4279">
        <v>-8.2154000000000096</v>
      </c>
      <c r="AF4279">
        <v>-6.0434555599276996</v>
      </c>
      <c r="AG4279">
        <v>-1.1118651980659999</v>
      </c>
      <c r="AH4279">
        <v>13.4809099307284</v>
      </c>
      <c r="AI4279">
        <v>94.303991803715405</v>
      </c>
      <c r="AJ4279">
        <v>114.146564856239</v>
      </c>
      <c r="AK4279">
        <v>14.815347848899901</v>
      </c>
    </row>
    <row r="4280" spans="1:37" x14ac:dyDescent="0.2">
      <c r="A4280" t="str">
        <f>"20200111155937497"</f>
        <v>20200111155937497</v>
      </c>
      <c r="B4280" t="str">
        <f>"1578729577484901"</f>
        <v>1578729577484901</v>
      </c>
      <c r="C4280" t="s">
        <v>37</v>
      </c>
      <c r="D4280">
        <v>5.0143769999999996</v>
      </c>
      <c r="E4280">
        <v>0.36118440000000002</v>
      </c>
      <c r="F4280" t="s">
        <v>39</v>
      </c>
      <c r="G4280">
        <v>-399.40359999999998</v>
      </c>
      <c r="H4280" s="1">
        <v>-2.155212E-6</v>
      </c>
      <c r="I4280">
        <v>132.22649999999999</v>
      </c>
      <c r="J4280">
        <v>-387.10169999999999</v>
      </c>
      <c r="K4280">
        <v>1.111953</v>
      </c>
      <c r="L4280">
        <v>140.518</v>
      </c>
      <c r="M4280">
        <v>-0.98488310000000001</v>
      </c>
      <c r="N4280">
        <v>0</v>
      </c>
      <c r="O4280">
        <v>-0.17256879999999999</v>
      </c>
      <c r="P4280">
        <v>-0.97211959999999997</v>
      </c>
      <c r="Q4280">
        <v>9.3344680000000003E-3</v>
      </c>
      <c r="R4280">
        <v>-0.23429989999999901</v>
      </c>
      <c r="S4280">
        <v>-2.6719970000000002</v>
      </c>
      <c r="T4280">
        <v>-0.23558769999999901</v>
      </c>
      <c r="U4280">
        <v>-1.769577</v>
      </c>
      <c r="V4280">
        <v>-6.3447710000000004E-2</v>
      </c>
      <c r="W4280">
        <v>2.314248E-2</v>
      </c>
      <c r="X4280">
        <v>0.99771679999999996</v>
      </c>
      <c r="Y4280">
        <v>-0.39938010000000002</v>
      </c>
      <c r="Z4280">
        <v>-2.396666E-3</v>
      </c>
      <c r="AA4280">
        <v>0.91678230000000005</v>
      </c>
      <c r="AB4280">
        <v>32</v>
      </c>
      <c r="AC4280">
        <v>-12.3018999999999</v>
      </c>
      <c r="AD4280">
        <v>-1.1119551552119999</v>
      </c>
      <c r="AE4280">
        <v>-8.2915000000000099</v>
      </c>
      <c r="AF4280">
        <v>-6.0101498577946701</v>
      </c>
      <c r="AG4280">
        <v>-1.1119551552119999</v>
      </c>
      <c r="AH4280">
        <v>13.472624468893599</v>
      </c>
      <c r="AI4280">
        <v>94.310489423544098</v>
      </c>
      <c r="AJ4280">
        <v>114.04169307783199</v>
      </c>
      <c r="AK4280">
        <v>14.794254143422799</v>
      </c>
    </row>
    <row r="4281" spans="1:37" x14ac:dyDescent="0.2">
      <c r="A4281" t="str">
        <f>"20200111155937519"</f>
        <v>20200111155937519</v>
      </c>
      <c r="B4281" t="str">
        <f>"1578729577514760"</f>
        <v>1578729577514760</v>
      </c>
      <c r="C4281" t="s">
        <v>37</v>
      </c>
      <c r="D4281">
        <v>5.0699730000000001</v>
      </c>
      <c r="E4281">
        <v>0.3619272</v>
      </c>
      <c r="F4281" t="s">
        <v>39</v>
      </c>
      <c r="G4281">
        <v>-399.54950000000002</v>
      </c>
      <c r="H4281" s="1">
        <v>-2.1287949999999999E-6</v>
      </c>
      <c r="I4281">
        <v>132.13919999999999</v>
      </c>
      <c r="J4281">
        <v>-387.41609999999997</v>
      </c>
      <c r="K4281">
        <v>1.1120490000000001</v>
      </c>
      <c r="L4281">
        <v>140.45359999999999</v>
      </c>
      <c r="M4281">
        <v>-0.98324049999999996</v>
      </c>
      <c r="N4281">
        <v>0</v>
      </c>
      <c r="O4281">
        <v>-0.18169279999999999</v>
      </c>
      <c r="P4281">
        <v>-0.97002299999999997</v>
      </c>
      <c r="Q4281">
        <v>6.5410750000000004E-3</v>
      </c>
      <c r="R4281">
        <v>-0.24292559999999999</v>
      </c>
      <c r="S4281">
        <v>-2.6572269999999998</v>
      </c>
      <c r="T4281">
        <v>-0.23736849999999901</v>
      </c>
      <c r="U4281">
        <v>-1.788589</v>
      </c>
      <c r="V4281">
        <v>-6.3009560000000006E-2</v>
      </c>
      <c r="W4281">
        <v>2.0358890000000001E-2</v>
      </c>
      <c r="X4281">
        <v>0.99780519999999995</v>
      </c>
      <c r="Y4281">
        <v>-0.39777049999999903</v>
      </c>
      <c r="Z4281">
        <v>-1.6487139999999999E-3</v>
      </c>
      <c r="AA4281">
        <v>0.91748339999999995</v>
      </c>
      <c r="AB4281">
        <v>32</v>
      </c>
      <c r="AC4281">
        <v>-12.1334</v>
      </c>
      <c r="AD4281">
        <v>-1.1120511287949999</v>
      </c>
      <c r="AE4281">
        <v>-8.3143999999999991</v>
      </c>
      <c r="AF4281">
        <v>-5.9372402053896796</v>
      </c>
      <c r="AG4281">
        <v>-1.1120511287949999</v>
      </c>
      <c r="AH4281">
        <v>13.365835257140001</v>
      </c>
      <c r="AI4281">
        <v>94.348212878946299</v>
      </c>
      <c r="AJ4281">
        <v>113.95128006387</v>
      </c>
      <c r="AK4281">
        <v>14.667413919657299</v>
      </c>
    </row>
    <row r="4282" spans="1:37" x14ac:dyDescent="0.2">
      <c r="A4282" t="str">
        <f>"20200111155937542"</f>
        <v>20200111155937542</v>
      </c>
      <c r="B4282" t="str">
        <f>"1578729577534280"</f>
        <v>1578729577534280</v>
      </c>
      <c r="C4282" t="s">
        <v>37</v>
      </c>
      <c r="D4282">
        <v>5.171786</v>
      </c>
      <c r="E4282">
        <v>0.36244549999999998</v>
      </c>
      <c r="F4282" t="s">
        <v>39</v>
      </c>
      <c r="G4282">
        <v>-399.69220000000001</v>
      </c>
      <c r="H4282" s="1">
        <v>-2.1005469999999999E-6</v>
      </c>
      <c r="I4282">
        <v>132.06280000000001</v>
      </c>
      <c r="J4282">
        <v>-387.72789999999998</v>
      </c>
      <c r="K4282">
        <v>1.1121490000000001</v>
      </c>
      <c r="L4282">
        <v>140.38659999999999</v>
      </c>
      <c r="M4282">
        <v>-0.98149509999999995</v>
      </c>
      <c r="N4282">
        <v>0</v>
      </c>
      <c r="O4282">
        <v>-0.1908955</v>
      </c>
      <c r="P4282">
        <v>-0.96768719999999997</v>
      </c>
      <c r="Q4282">
        <v>4.751885E-3</v>
      </c>
      <c r="R4282">
        <v>-0.2521099</v>
      </c>
      <c r="S4282">
        <v>-2.6421199999999998</v>
      </c>
      <c r="T4282">
        <v>-0.239341</v>
      </c>
      <c r="U4282">
        <v>-1.8058779999999901</v>
      </c>
      <c r="V4282">
        <v>-6.3090729999999998E-2</v>
      </c>
      <c r="W4282">
        <v>1.8569660000000002E-2</v>
      </c>
      <c r="X4282">
        <v>0.99783500000000003</v>
      </c>
      <c r="Y4282">
        <v>-0.395725299999999</v>
      </c>
      <c r="Z4282">
        <v>-8.6418819999999996E-4</v>
      </c>
      <c r="AA4282">
        <v>0.91836849999999903</v>
      </c>
      <c r="AB4282">
        <v>32</v>
      </c>
      <c r="AC4282">
        <v>-11.9643</v>
      </c>
      <c r="AD4282">
        <v>-1.1121511005469999</v>
      </c>
      <c r="AE4282">
        <v>-8.3237999999999701</v>
      </c>
      <c r="AF4282">
        <v>-5.8524279911383701</v>
      </c>
      <c r="AG4282">
        <v>-1.1121511005469999</v>
      </c>
      <c r="AH4282">
        <v>13.256201800744</v>
      </c>
      <c r="AI4282">
        <v>94.388834112088205</v>
      </c>
      <c r="AJ4282">
        <v>113.82078885906699</v>
      </c>
      <c r="AK4282">
        <v>14.533226745769699</v>
      </c>
    </row>
    <row r="4283" spans="1:37" x14ac:dyDescent="0.2">
      <c r="A4283" t="str">
        <f>"20200111155937608"</f>
        <v>20200111155937608</v>
      </c>
      <c r="B4283" t="str">
        <f>"1578729577604083"</f>
        <v>1578729577604083</v>
      </c>
      <c r="C4283" t="s">
        <v>37</v>
      </c>
      <c r="D4283">
        <v>4.9333070000000001</v>
      </c>
      <c r="E4283">
        <v>0.36401020000000001</v>
      </c>
      <c r="F4283" t="s">
        <v>39</v>
      </c>
      <c r="G4283">
        <v>-399.83019999999999</v>
      </c>
      <c r="H4283" s="1">
        <v>-2.0793160000000002E-6</v>
      </c>
      <c r="I4283">
        <v>131.96619999999999</v>
      </c>
      <c r="J4283">
        <v>-388.64319999999998</v>
      </c>
      <c r="K4283">
        <v>1.1124989999999999</v>
      </c>
      <c r="L4283">
        <v>140.1705</v>
      </c>
      <c r="M4283">
        <v>-0.97560480000000005</v>
      </c>
      <c r="N4283">
        <v>0</v>
      </c>
      <c r="O4283">
        <v>-0.21901370000000001</v>
      </c>
      <c r="P4283">
        <v>-0.95778319999999995</v>
      </c>
      <c r="Q4283">
        <v>6.0613480000000003E-3</v>
      </c>
      <c r="R4283">
        <v>-0.28742810000000002</v>
      </c>
      <c r="S4283">
        <v>-2.6254270000000002</v>
      </c>
      <c r="T4283">
        <v>-0.2412657</v>
      </c>
      <c r="U4283">
        <v>-1.826675</v>
      </c>
      <c r="V4283">
        <v>-7.1067740000000004E-2</v>
      </c>
      <c r="W4283">
        <v>1.9716239999999999E-2</v>
      </c>
      <c r="X4283">
        <v>0.99727659999999996</v>
      </c>
      <c r="Y4283">
        <v>-0.3770155</v>
      </c>
      <c r="Z4283">
        <v>2.113902E-3</v>
      </c>
      <c r="AA4283">
        <v>0.92620460000000004</v>
      </c>
      <c r="AB4283">
        <v>32</v>
      </c>
      <c r="AC4283">
        <v>-11.186999999999999</v>
      </c>
      <c r="AD4283">
        <v>-1.112501079316</v>
      </c>
      <c r="AE4283">
        <v>-8.2043000000000106</v>
      </c>
      <c r="AF4283">
        <v>-5.5191897082468397</v>
      </c>
      <c r="AG4283">
        <v>-1.112501079316</v>
      </c>
      <c r="AH4283">
        <v>12.6311681671658</v>
      </c>
      <c r="AI4283">
        <v>94.614205984877501</v>
      </c>
      <c r="AJ4283">
        <v>113.602925365125</v>
      </c>
      <c r="AK4283">
        <v>13.829154817063801</v>
      </c>
    </row>
    <row r="4284" spans="1:37" x14ac:dyDescent="0.2">
      <c r="A4284" t="str">
        <f>"20200111155937643"</f>
        <v>20200111155937643</v>
      </c>
      <c r="B4284" t="str">
        <f>"1578729577634338"</f>
        <v>1578729577634338</v>
      </c>
      <c r="C4284" t="s">
        <v>37</v>
      </c>
      <c r="D4284">
        <v>4.8305689999999997</v>
      </c>
      <c r="E4284">
        <v>0.36413570000000001</v>
      </c>
      <c r="F4284" t="s">
        <v>38</v>
      </c>
      <c r="G4284">
        <v>-389.51069999999999</v>
      </c>
      <c r="H4284">
        <v>1.0355240000000001</v>
      </c>
      <c r="I4284">
        <v>139.52359999999999</v>
      </c>
      <c r="J4284">
        <v>-389.10680000000002</v>
      </c>
      <c r="K4284">
        <v>1.1126940000000001</v>
      </c>
      <c r="L4284">
        <v>140.0496</v>
      </c>
      <c r="M4284">
        <v>-0.97215010000000002</v>
      </c>
      <c r="N4284">
        <v>0</v>
      </c>
      <c r="O4284">
        <v>-0.23386860000000001</v>
      </c>
      <c r="P4284">
        <v>-0.95242150000000003</v>
      </c>
      <c r="Q4284">
        <v>9.2998649999999992E-3</v>
      </c>
      <c r="R4284">
        <v>-0.30464239999999998</v>
      </c>
      <c r="S4284">
        <v>-2.5606080000000002</v>
      </c>
      <c r="T4284">
        <v>-0.22720609999999999</v>
      </c>
      <c r="U4284">
        <v>-1.90963699999999</v>
      </c>
      <c r="V4284">
        <v>-7.3911870000000005E-2</v>
      </c>
      <c r="W4284">
        <v>2.289602E-2</v>
      </c>
      <c r="X4284">
        <v>0.9970019</v>
      </c>
      <c r="Y4284">
        <v>-0.3933565</v>
      </c>
      <c r="Z4284">
        <v>2.4609609999999998E-3</v>
      </c>
      <c r="AA4284">
        <v>0.91938279999999994</v>
      </c>
      <c r="AB4284">
        <v>32</v>
      </c>
      <c r="AC4284">
        <v>-0.40389999999996401</v>
      </c>
      <c r="AD4284">
        <v>-7.71700000000001E-2</v>
      </c>
      <c r="AE4284">
        <v>-0.52600000000001002</v>
      </c>
      <c r="AF4284">
        <v>-0.411369211595214</v>
      </c>
      <c r="AG4284">
        <v>-7.71700000000001E-2</v>
      </c>
      <c r="AH4284">
        <v>0.50883570691068403</v>
      </c>
      <c r="AI4284">
        <v>96.726319020247303</v>
      </c>
      <c r="AJ4284">
        <v>128.95387385469999</v>
      </c>
      <c r="AK4284">
        <v>0.65885780998312804</v>
      </c>
    </row>
    <row r="4285" spans="1:37" x14ac:dyDescent="0.2">
      <c r="A4285" t="str">
        <f>"20200111155937664"</f>
        <v>20200111155937664</v>
      </c>
      <c r="B4285" t="str">
        <f>"1578729577654834"</f>
        <v>1578729577654834</v>
      </c>
      <c r="C4285" t="s">
        <v>37</v>
      </c>
      <c r="D4285">
        <v>4.7804529999999996</v>
      </c>
      <c r="E4285">
        <v>0.36439149999999998</v>
      </c>
      <c r="F4285" t="s">
        <v>71</v>
      </c>
      <c r="G4285">
        <v>-402.59660000000002</v>
      </c>
      <c r="H4285">
        <v>5.2769280000000002E-3</v>
      </c>
      <c r="I4285">
        <v>129.6163</v>
      </c>
      <c r="J4285">
        <v>-389.3997</v>
      </c>
      <c r="K4285">
        <v>1.112797</v>
      </c>
      <c r="L4285">
        <v>139.9691</v>
      </c>
      <c r="M4285">
        <v>-0.9697981</v>
      </c>
      <c r="N4285">
        <v>0</v>
      </c>
      <c r="O4285">
        <v>-0.243436499999999</v>
      </c>
      <c r="P4285">
        <v>-0.94960279999999997</v>
      </c>
      <c r="Q4285">
        <v>9.2084950000000006E-3</v>
      </c>
      <c r="R4285">
        <v>-0.31332019999999999</v>
      </c>
      <c r="S4285">
        <v>-2.5268250000000001</v>
      </c>
      <c r="T4285">
        <v>-0.20743549999999999</v>
      </c>
      <c r="U4285">
        <v>-1.9542999999999999</v>
      </c>
      <c r="V4285">
        <v>-7.3188390000000006E-2</v>
      </c>
      <c r="W4285">
        <v>2.2823079999999999E-2</v>
      </c>
      <c r="X4285">
        <v>0.99705699999999997</v>
      </c>
      <c r="Y4285">
        <v>-0.40047270000000001</v>
      </c>
      <c r="Z4285">
        <v>2.6448520000000001E-3</v>
      </c>
      <c r="AA4285">
        <v>0.91630489999999998</v>
      </c>
      <c r="AB4285">
        <v>32</v>
      </c>
      <c r="AC4285">
        <v>-13.196899999999999</v>
      </c>
      <c r="AD4285">
        <v>-1.107520072</v>
      </c>
      <c r="AE4285">
        <v>-10.3528</v>
      </c>
      <c r="AF4285">
        <v>-6.79866369125366</v>
      </c>
      <c r="AG4285">
        <v>-1.107520072</v>
      </c>
      <c r="AH4285">
        <v>15.2538375091472</v>
      </c>
      <c r="AI4285">
        <v>93.794140767714794</v>
      </c>
      <c r="AJ4285">
        <v>114.02262166465501</v>
      </c>
      <c r="AK4285">
        <v>16.737024450365102</v>
      </c>
    </row>
    <row r="4286" spans="1:37" x14ac:dyDescent="0.2">
      <c r="A4286" t="str">
        <f>"20200111155937687"</f>
        <v>20200111155937687</v>
      </c>
      <c r="B4286" t="str">
        <f>"1578729577674354"</f>
        <v>1578729577674354</v>
      </c>
      <c r="C4286" t="s">
        <v>37</v>
      </c>
      <c r="D4286">
        <v>5.4350709999999998</v>
      </c>
      <c r="E4286">
        <v>0.36517620000000001</v>
      </c>
      <c r="F4286" t="s">
        <v>71</v>
      </c>
      <c r="G4286">
        <v>-402.55099999999999</v>
      </c>
      <c r="H4286">
        <v>5.0649359999999997E-2</v>
      </c>
      <c r="I4286">
        <v>129.6157</v>
      </c>
      <c r="J4286">
        <v>-389.69199999999898</v>
      </c>
      <c r="K4286">
        <v>1.1128849999999999</v>
      </c>
      <c r="L4286">
        <v>139.88560000000001</v>
      </c>
      <c r="M4286">
        <v>-0.96731869999999998</v>
      </c>
      <c r="N4286">
        <v>0</v>
      </c>
      <c r="O4286">
        <v>-0.25310879999999902</v>
      </c>
      <c r="P4286">
        <v>-0.94706449999999998</v>
      </c>
      <c r="Q4286">
        <v>9.1388630000000005E-3</v>
      </c>
      <c r="R4286">
        <v>-0.32091449999999999</v>
      </c>
      <c r="S4286">
        <v>-2.5093990000000002</v>
      </c>
      <c r="T4286">
        <v>-0.20266919999999999</v>
      </c>
      <c r="U4286">
        <v>-1.9755549999999999</v>
      </c>
      <c r="V4286">
        <v>-7.121951E-2</v>
      </c>
      <c r="W4286">
        <v>2.280068E-2</v>
      </c>
      <c r="X4286">
        <v>0.99719999999999998</v>
      </c>
      <c r="Y4286">
        <v>-0.39923999999999998</v>
      </c>
      <c r="Z4286">
        <v>3.27386E-3</v>
      </c>
      <c r="AA4286">
        <v>0.91684059999999901</v>
      </c>
      <c r="AB4286">
        <v>32</v>
      </c>
      <c r="AC4286">
        <v>-12.859</v>
      </c>
      <c r="AD4286">
        <v>-1.0622356399999999</v>
      </c>
      <c r="AE4286">
        <v>-10.2699</v>
      </c>
      <c r="AF4286">
        <v>-6.6525932178928597</v>
      </c>
      <c r="AG4286">
        <v>-1.0622356399999999</v>
      </c>
      <c r="AH4286">
        <v>14.9774853229231</v>
      </c>
      <c r="AI4286">
        <v>93.708496972223898</v>
      </c>
      <c r="AJ4286">
        <v>113.949496047343</v>
      </c>
      <c r="AK4286">
        <v>16.422862347228499</v>
      </c>
    </row>
    <row r="4287" spans="1:37" x14ac:dyDescent="0.2">
      <c r="A4287" t="str">
        <f>"20200111155937709"</f>
        <v>20200111155937709</v>
      </c>
      <c r="B4287" t="str">
        <f>"1578729577704142"</f>
        <v>1578729577704142</v>
      </c>
      <c r="C4287" t="s">
        <v>37</v>
      </c>
      <c r="D4287">
        <v>5.4142080000000004</v>
      </c>
      <c r="E4287">
        <v>0.366789799999999</v>
      </c>
      <c r="F4287" t="s">
        <v>38</v>
      </c>
      <c r="G4287">
        <v>-390.53579999999999</v>
      </c>
      <c r="H4287">
        <v>1.0435319999999999</v>
      </c>
      <c r="I4287">
        <v>139.21279999999999</v>
      </c>
      <c r="J4287">
        <v>-389.99189999999999</v>
      </c>
      <c r="K4287">
        <v>1.112959</v>
      </c>
      <c r="L4287">
        <v>139.7963</v>
      </c>
      <c r="M4287">
        <v>-0.96463840000000001</v>
      </c>
      <c r="N4287">
        <v>0</v>
      </c>
      <c r="O4287">
        <v>-0.26313730000000002</v>
      </c>
      <c r="P4287">
        <v>-0.94385699999999995</v>
      </c>
      <c r="Q4287">
        <v>1.060697E-2</v>
      </c>
      <c r="R4287">
        <v>-0.33018419999999998</v>
      </c>
      <c r="S4287">
        <v>-2.49554399999999</v>
      </c>
      <c r="T4287">
        <v>-0.20509869999999999</v>
      </c>
      <c r="U4287">
        <v>-1.9895939999999901</v>
      </c>
      <c r="V4287">
        <v>-7.0683049999999997E-2</v>
      </c>
      <c r="W4287">
        <v>2.428609E-2</v>
      </c>
      <c r="X4287">
        <v>0.99720309999999901</v>
      </c>
      <c r="Y4287">
        <v>-0.39536859999999902</v>
      </c>
      <c r="Z4287">
        <v>4.13115599999999E-3</v>
      </c>
      <c r="AA4287">
        <v>0.91851319999999903</v>
      </c>
      <c r="AB4287">
        <v>32</v>
      </c>
      <c r="AC4287">
        <v>-0.54390000000000704</v>
      </c>
      <c r="AD4287">
        <v>-6.94270000000001E-2</v>
      </c>
      <c r="AE4287">
        <v>-0.58350000000001501</v>
      </c>
      <c r="AF4287">
        <v>-0.416638597889468</v>
      </c>
      <c r="AG4287">
        <v>-6.94270000000001E-2</v>
      </c>
      <c r="AH4287">
        <v>0.673186427541976</v>
      </c>
      <c r="AI4287">
        <v>95.011735268977503</v>
      </c>
      <c r="AJ4287">
        <v>121.753581488135</v>
      </c>
      <c r="AK4287">
        <v>0.79472498124007096</v>
      </c>
    </row>
    <row r="4288" spans="1:37" x14ac:dyDescent="0.2">
      <c r="A4288" t="str">
        <f>"20200111155937731"</f>
        <v>20200111155937731</v>
      </c>
      <c r="B4288" t="str">
        <f>"1578729577724638"</f>
        <v>1578729577724638</v>
      </c>
      <c r="C4288" t="s">
        <v>37</v>
      </c>
      <c r="D4288">
        <v>5.6972370000000003</v>
      </c>
      <c r="E4288">
        <v>0.40585690000000002</v>
      </c>
      <c r="F4288" t="s">
        <v>38</v>
      </c>
      <c r="G4288">
        <v>-390.86779999999999</v>
      </c>
      <c r="H4288">
        <v>1.0393219999999901</v>
      </c>
      <c r="I4288">
        <v>139.08930000000001</v>
      </c>
      <c r="J4288">
        <v>-390.29379999999998</v>
      </c>
      <c r="K4288">
        <v>1.1130149999999901</v>
      </c>
      <c r="L4288">
        <v>139.7029</v>
      </c>
      <c r="M4288">
        <v>-0.96180849999999996</v>
      </c>
      <c r="N4288">
        <v>0</v>
      </c>
      <c r="O4288">
        <v>-0.27329999999999999</v>
      </c>
      <c r="P4288">
        <v>-0.94006529999999999</v>
      </c>
      <c r="Q4288">
        <v>1.276769E-2</v>
      </c>
      <c r="R4288">
        <v>-0.34075559999999899</v>
      </c>
      <c r="S4288">
        <v>-2.48062099999999</v>
      </c>
      <c r="T4288">
        <v>-0.20853379999999899</v>
      </c>
      <c r="U4288">
        <v>-2.0014799999999999</v>
      </c>
      <c r="V4288">
        <v>-7.1409500000000001E-2</v>
      </c>
      <c r="W4288">
        <v>2.6436890000000001E-2</v>
      </c>
      <c r="X4288">
        <v>0.99709669999999895</v>
      </c>
      <c r="Y4288">
        <v>-0.39105220000000002</v>
      </c>
      <c r="Z4288">
        <v>5.0618039999999996E-3</v>
      </c>
      <c r="AA4288">
        <v>0.92035460000000002</v>
      </c>
      <c r="AB4288">
        <v>32</v>
      </c>
      <c r="AC4288">
        <v>-0.57400000000001195</v>
      </c>
      <c r="AD4288">
        <v>-7.3692999999999995E-2</v>
      </c>
      <c r="AE4288">
        <v>-0.61359999999999004</v>
      </c>
      <c r="AF4288">
        <v>-0.43003368892388499</v>
      </c>
      <c r="AG4288">
        <v>-7.3692999999999995E-2</v>
      </c>
      <c r="AH4288">
        <v>0.71436315726714905</v>
      </c>
      <c r="AI4288">
        <v>95.050720876732498</v>
      </c>
      <c r="AJ4288">
        <v>121.047179385939</v>
      </c>
      <c r="AK4288">
        <v>0.83706293211393201</v>
      </c>
    </row>
    <row r="4289" spans="1:37" x14ac:dyDescent="0.2">
      <c r="A4289" t="str">
        <f>"20200111155937754"</f>
        <v>20200111155937754</v>
      </c>
      <c r="B4289" t="str">
        <f>"1578729577744158"</f>
        <v>1578729577744158</v>
      </c>
      <c r="C4289" t="s">
        <v>37</v>
      </c>
      <c r="D4289">
        <v>4.8997760000000001</v>
      </c>
      <c r="E4289">
        <v>0.393964799999999</v>
      </c>
      <c r="F4289" t="s">
        <v>71</v>
      </c>
      <c r="G4289">
        <v>-401.34230000000002</v>
      </c>
      <c r="H4289" s="1">
        <v>-2.2138680000000001E-6</v>
      </c>
      <c r="I4289">
        <v>132.21799999999999</v>
      </c>
      <c r="J4289">
        <v>-390.59550000000002</v>
      </c>
      <c r="K4289">
        <v>1.113054</v>
      </c>
      <c r="L4289">
        <v>139.6062</v>
      </c>
      <c r="M4289">
        <v>-0.95885219999999904</v>
      </c>
      <c r="N4289">
        <v>0</v>
      </c>
      <c r="O4289">
        <v>-0.283497</v>
      </c>
      <c r="P4289">
        <v>-0.93621540000000003</v>
      </c>
      <c r="Q4289">
        <v>1.41264999999999E-2</v>
      </c>
      <c r="R4289">
        <v>-0.35114299999999998</v>
      </c>
      <c r="S4289">
        <v>-2.56488</v>
      </c>
      <c r="T4289">
        <v>-0.25838299999999997</v>
      </c>
      <c r="U4289">
        <v>-1.737595</v>
      </c>
      <c r="V4289">
        <v>-7.1898470000000006E-2</v>
      </c>
      <c r="W4289">
        <v>2.779061E-2</v>
      </c>
      <c r="X4289">
        <v>0.99702469999999999</v>
      </c>
      <c r="Y4289">
        <v>-0.30303200000000002</v>
      </c>
      <c r="Z4289">
        <v>1.1216469999999999E-2</v>
      </c>
      <c r="AA4289">
        <v>0.95291440000000005</v>
      </c>
      <c r="AB4289">
        <v>32</v>
      </c>
      <c r="AC4289">
        <v>-10.7468</v>
      </c>
      <c r="AD4289">
        <v>-1.113056213868</v>
      </c>
      <c r="AE4289">
        <v>-7.3882000000000101</v>
      </c>
      <c r="AF4289">
        <v>-4.0087737299807698</v>
      </c>
      <c r="AG4289">
        <v>-1.113056213868</v>
      </c>
      <c r="AH4289">
        <v>12.310888146256699</v>
      </c>
      <c r="AI4289">
        <v>94.913598206128199</v>
      </c>
      <c r="AJ4289">
        <v>108.036716035737</v>
      </c>
      <c r="AK4289">
        <v>12.9948885298435</v>
      </c>
    </row>
    <row r="4290" spans="1:37" x14ac:dyDescent="0.2">
      <c r="A4290" t="str">
        <f>"20200111155937775"</f>
        <v>20200111155937775</v>
      </c>
      <c r="B4290" t="str">
        <f>"1578729577764654"</f>
        <v>1578729577764654</v>
      </c>
      <c r="C4290" t="s">
        <v>37</v>
      </c>
      <c r="D4290">
        <v>4.9179620000000002</v>
      </c>
      <c r="E4290">
        <v>0.38993509999999998</v>
      </c>
      <c r="F4290" t="s">
        <v>71</v>
      </c>
      <c r="G4290">
        <v>-402.51850000000002</v>
      </c>
      <c r="H4290" s="1">
        <v>-2.1346490000000002E-6</v>
      </c>
      <c r="I4290">
        <v>130.804</v>
      </c>
      <c r="J4290">
        <v>-390.8827</v>
      </c>
      <c r="K4290">
        <v>1.1130629999999999</v>
      </c>
      <c r="L4290">
        <v>139.51079999999999</v>
      </c>
      <c r="M4290">
        <v>-0.95592330000000003</v>
      </c>
      <c r="N4290">
        <v>0</v>
      </c>
      <c r="O4290">
        <v>-0.2932205</v>
      </c>
      <c r="P4290">
        <v>-0.932585199999999</v>
      </c>
      <c r="Q4290">
        <v>1.388529E-2</v>
      </c>
      <c r="R4290">
        <v>-0.36068259999999902</v>
      </c>
      <c r="S4290">
        <v>-2.5122990000000001</v>
      </c>
      <c r="T4290">
        <v>-0.2345312</v>
      </c>
      <c r="U4290">
        <v>-1.854706</v>
      </c>
      <c r="V4290">
        <v>-7.1946469999999998E-2</v>
      </c>
      <c r="W4290">
        <v>2.7553709999999999E-2</v>
      </c>
      <c r="X4290">
        <v>0.99702780000000002</v>
      </c>
      <c r="Y4290">
        <v>-0.33177119999999999</v>
      </c>
      <c r="Z4290">
        <v>9.75204E-3</v>
      </c>
      <c r="AA4290">
        <v>0.94330949999999902</v>
      </c>
      <c r="AB4290">
        <v>32</v>
      </c>
      <c r="AC4290">
        <v>-11.6358</v>
      </c>
      <c r="AD4290">
        <v>-1.1130651346489999</v>
      </c>
      <c r="AE4290">
        <v>-8.7067999999999799</v>
      </c>
      <c r="AF4290">
        <v>-4.8831040288005401</v>
      </c>
      <c r="AG4290">
        <v>-1.1130651346489999</v>
      </c>
      <c r="AH4290">
        <v>13.597768504329901</v>
      </c>
      <c r="AI4290">
        <v>94.405337713146196</v>
      </c>
      <c r="AJ4290">
        <v>109.75375582529099</v>
      </c>
      <c r="AK4290">
        <v>14.490787668287901</v>
      </c>
    </row>
    <row r="4291" spans="1:37" x14ac:dyDescent="0.2">
      <c r="A4291" t="str">
        <f>"20200111155937798"</f>
        <v>20200111155937798</v>
      </c>
      <c r="B4291" t="str">
        <f>"1578729577794443"</f>
        <v>1578729577794443</v>
      </c>
      <c r="C4291" t="s">
        <v>37</v>
      </c>
      <c r="D4291">
        <v>5.6311720000000003</v>
      </c>
      <c r="E4291">
        <v>0.39682840000000003</v>
      </c>
      <c r="F4291" t="s">
        <v>71</v>
      </c>
      <c r="G4291">
        <v>-403.67910000000001</v>
      </c>
      <c r="H4291" s="1">
        <v>-2.189937E-6</v>
      </c>
      <c r="I4291">
        <v>129.66040000000001</v>
      </c>
      <c r="J4291">
        <v>-391.17720000000003</v>
      </c>
      <c r="K4291">
        <v>1.113051</v>
      </c>
      <c r="L4291">
        <v>139.40960000000001</v>
      </c>
      <c r="M4291">
        <v>-0.95280980000000004</v>
      </c>
      <c r="N4291">
        <v>0</v>
      </c>
      <c r="O4291">
        <v>-0.30318489999999998</v>
      </c>
      <c r="P4291">
        <v>-0.92850129999999997</v>
      </c>
      <c r="Q4291">
        <v>1.3621899999999999E-2</v>
      </c>
      <c r="R4291">
        <v>-0.3710794</v>
      </c>
      <c r="S4291">
        <v>-2.4813540000000001</v>
      </c>
      <c r="T4291">
        <v>-0.21583429999999901</v>
      </c>
      <c r="U4291">
        <v>-1.91008</v>
      </c>
      <c r="V4291">
        <v>-7.2668709999999997E-2</v>
      </c>
      <c r="W4291">
        <v>2.728011E-2</v>
      </c>
      <c r="X4291">
        <v>0.99698299999999995</v>
      </c>
      <c r="Y4291">
        <v>-0.34088459999999998</v>
      </c>
      <c r="Z4291">
        <v>9.3476159999999996E-3</v>
      </c>
      <c r="AA4291">
        <v>0.94005859999999997</v>
      </c>
      <c r="AB4291">
        <v>32</v>
      </c>
      <c r="AC4291">
        <v>-12.5018999999999</v>
      </c>
      <c r="AD4291">
        <v>-1.113053189937</v>
      </c>
      <c r="AE4291">
        <v>-9.7492000000000001</v>
      </c>
      <c r="AF4291">
        <v>-5.4724113191762704</v>
      </c>
      <c r="AG4291">
        <v>-1.113053189937</v>
      </c>
      <c r="AH4291">
        <v>14.796538234492701</v>
      </c>
      <c r="AI4291">
        <v>94.035713098610501</v>
      </c>
      <c r="AJ4291">
        <v>110.296612929845</v>
      </c>
      <c r="AK4291">
        <v>15.8153000848761</v>
      </c>
    </row>
    <row r="4292" spans="1:37" x14ac:dyDescent="0.2">
      <c r="A4292" t="str">
        <f>"20200111155937820"</f>
        <v>20200111155937820</v>
      </c>
      <c r="B4292" t="str">
        <f>"1578729577814940"</f>
        <v>1578729577814940</v>
      </c>
      <c r="C4292" t="s">
        <v>37</v>
      </c>
      <c r="D4292">
        <v>5.8069360000000003</v>
      </c>
      <c r="E4292">
        <v>0.39908499999999902</v>
      </c>
      <c r="F4292" t="s">
        <v>71</v>
      </c>
      <c r="G4292">
        <v>-402.29629999999997</v>
      </c>
      <c r="H4292" s="1">
        <v>-2.08384199999999E-6</v>
      </c>
      <c r="I4292">
        <v>130.94710000000001</v>
      </c>
      <c r="J4292">
        <v>-391.46749999999997</v>
      </c>
      <c r="K4292">
        <v>1.1130260000000001</v>
      </c>
      <c r="L4292">
        <v>139.3065</v>
      </c>
      <c r="M4292">
        <v>-0.94963709999999901</v>
      </c>
      <c r="N4292">
        <v>0</v>
      </c>
      <c r="O4292">
        <v>-0.31298100000000001</v>
      </c>
      <c r="P4292">
        <v>-0.92391389999999995</v>
      </c>
      <c r="Q4292">
        <v>1.397817E-2</v>
      </c>
      <c r="R4292">
        <v>-0.38234499999999999</v>
      </c>
      <c r="S4292">
        <v>-2.4802550000000001</v>
      </c>
      <c r="T4292">
        <v>-0.248281799999999</v>
      </c>
      <c r="U4292">
        <v>-1.8876649999999999</v>
      </c>
      <c r="V4292">
        <v>-7.4535749999999998E-2</v>
      </c>
      <c r="W4292">
        <v>2.7599470000000001E-2</v>
      </c>
      <c r="X4292">
        <v>0.99683639999999996</v>
      </c>
      <c r="Y4292">
        <v>-0.3260441</v>
      </c>
      <c r="Z4292">
        <v>1.2233539999999999E-2</v>
      </c>
      <c r="AA4292">
        <v>0.94527539999999999</v>
      </c>
      <c r="AB4292">
        <v>31</v>
      </c>
      <c r="AC4292">
        <v>-10.828799999999999</v>
      </c>
      <c r="AD4292">
        <v>-1.1130280838419999</v>
      </c>
      <c r="AE4292">
        <v>-8.3593999999999902</v>
      </c>
      <c r="AF4292">
        <v>-4.5197963339381797</v>
      </c>
      <c r="AG4292">
        <v>-1.1130280838419999</v>
      </c>
      <c r="AH4292">
        <v>12.8164208214646</v>
      </c>
      <c r="AI4292">
        <v>94.682090257289204</v>
      </c>
      <c r="AJ4292">
        <v>109.425538347288</v>
      </c>
      <c r="AK4292">
        <v>13.635543006737</v>
      </c>
    </row>
    <row r="4293" spans="1:37" x14ac:dyDescent="0.2">
      <c r="A4293" t="str">
        <f>"20200111155937844"</f>
        <v>20200111155937844</v>
      </c>
      <c r="B4293" t="str">
        <f>"1578729577834457"</f>
        <v>1578729577834457</v>
      </c>
      <c r="C4293" t="s">
        <v>37</v>
      </c>
      <c r="D4293">
        <v>5.6824190000000003</v>
      </c>
      <c r="E4293">
        <v>0.42219469999999998</v>
      </c>
      <c r="F4293" t="s">
        <v>71</v>
      </c>
      <c r="G4293">
        <v>-402.38389999999998</v>
      </c>
      <c r="H4293" s="1">
        <v>-2.1035529999999998E-6</v>
      </c>
      <c r="I4293">
        <v>130.89009999999999</v>
      </c>
      <c r="J4293">
        <v>-391.76710000000003</v>
      </c>
      <c r="K4293">
        <v>1.1129869999999999</v>
      </c>
      <c r="L4293">
        <v>139.19669999999999</v>
      </c>
      <c r="M4293">
        <v>-0.94625870000000001</v>
      </c>
      <c r="N4293">
        <v>0</v>
      </c>
      <c r="O4293">
        <v>-0.32305129999999999</v>
      </c>
      <c r="P4293">
        <v>-0.91898550000000001</v>
      </c>
      <c r="Q4293">
        <v>1.517629E-2</v>
      </c>
      <c r="R4293">
        <v>-0.3939995</v>
      </c>
      <c r="S4293">
        <v>-2.4645079999999999</v>
      </c>
      <c r="T4293">
        <v>-0.2512798</v>
      </c>
      <c r="U4293">
        <v>-1.90010099999999</v>
      </c>
      <c r="V4293">
        <v>-7.6582709999999998E-2</v>
      </c>
      <c r="W4293">
        <v>2.8757250000000002E-2</v>
      </c>
      <c r="X4293">
        <v>0.99664839999999999</v>
      </c>
      <c r="Y4293">
        <v>-0.32194089999999997</v>
      </c>
      <c r="Z4293">
        <v>1.342759E-2</v>
      </c>
      <c r="AA4293">
        <v>0.94666450000000002</v>
      </c>
      <c r="AB4293">
        <v>31</v>
      </c>
      <c r="AC4293">
        <v>-10.6167999999999</v>
      </c>
      <c r="AD4293">
        <v>-1.112989103553</v>
      </c>
      <c r="AE4293">
        <v>-8.3065999999999995</v>
      </c>
      <c r="AF4293">
        <v>-4.4009353771697297</v>
      </c>
      <c r="AG4293">
        <v>-1.112989103553</v>
      </c>
      <c r="AH4293">
        <v>12.644976437089101</v>
      </c>
      <c r="AI4293">
        <v>94.751930116704699</v>
      </c>
      <c r="AJ4293">
        <v>109.18985103068</v>
      </c>
      <c r="AK4293">
        <v>13.4351183855294</v>
      </c>
    </row>
    <row r="4294" spans="1:37" x14ac:dyDescent="0.2">
      <c r="A4294" t="str">
        <f>"20200111155937865"</f>
        <v>20200111155937865</v>
      </c>
      <c r="B4294" t="str">
        <f>"1578729577854953"</f>
        <v>1578729577854953</v>
      </c>
      <c r="C4294" t="s">
        <v>37</v>
      </c>
      <c r="D4294">
        <v>5.7343890000000002</v>
      </c>
      <c r="E4294">
        <v>0.42632979999999998</v>
      </c>
      <c r="F4294" t="s">
        <v>71</v>
      </c>
      <c r="G4294">
        <v>-401.99149999999997</v>
      </c>
      <c r="H4294" s="1">
        <v>-2.4844019999999999E-6</v>
      </c>
      <c r="I4294">
        <v>132.03030000000001</v>
      </c>
      <c r="J4294">
        <v>-392.04989999999998</v>
      </c>
      <c r="K4294">
        <v>1.112935</v>
      </c>
      <c r="L4294">
        <v>139.08959999999999</v>
      </c>
      <c r="M4294">
        <v>-0.94297759999999997</v>
      </c>
      <c r="N4294">
        <v>0</v>
      </c>
      <c r="O4294">
        <v>-0.3325071</v>
      </c>
      <c r="P4294">
        <v>-0.91427579999999997</v>
      </c>
      <c r="Q4294">
        <v>1.501075E-2</v>
      </c>
      <c r="R4294">
        <v>-0.40481430000000002</v>
      </c>
      <c r="S4294">
        <v>-2.5136409999999998</v>
      </c>
      <c r="T4294">
        <v>-0.27362509999999901</v>
      </c>
      <c r="U4294">
        <v>-1.761841</v>
      </c>
      <c r="V4294">
        <v>-7.8357109999999994E-2</v>
      </c>
      <c r="W4294">
        <v>2.8557539999999999E-2</v>
      </c>
      <c r="X4294">
        <v>0.99651619999999996</v>
      </c>
      <c r="Y4294">
        <v>-0.26918150000000002</v>
      </c>
      <c r="Z4294">
        <v>1.8076229999999999E-2</v>
      </c>
      <c r="AA4294">
        <v>0.96291979999999999</v>
      </c>
      <c r="AB4294">
        <v>31</v>
      </c>
      <c r="AC4294">
        <v>-9.9415999999999904</v>
      </c>
      <c r="AD4294">
        <v>-1.1129374844019999</v>
      </c>
      <c r="AE4294">
        <v>-7.0592999999999702</v>
      </c>
      <c r="AF4294">
        <v>-3.3238063064674201</v>
      </c>
      <c r="AG4294">
        <v>-1.1129374844019999</v>
      </c>
      <c r="AH4294">
        <v>11.626469687536799</v>
      </c>
      <c r="AI4294">
        <v>95.258531949729203</v>
      </c>
      <c r="AJ4294">
        <v>105.954315583012</v>
      </c>
      <c r="AK4294">
        <v>12.143356850653401</v>
      </c>
    </row>
    <row r="4295" spans="1:37" x14ac:dyDescent="0.2">
      <c r="A4295" t="str">
        <f>"20200111155937887"</f>
        <v>20200111155937887</v>
      </c>
      <c r="B4295" t="str">
        <f>"1578729577884233"</f>
        <v>1578729577884233</v>
      </c>
      <c r="C4295" t="s">
        <v>37</v>
      </c>
      <c r="D4295">
        <v>4.8280789999999998</v>
      </c>
      <c r="E4295">
        <v>0.42600929999999998</v>
      </c>
      <c r="F4295" t="s">
        <v>71</v>
      </c>
      <c r="G4295">
        <v>-401.97570000000002</v>
      </c>
      <c r="H4295" s="1">
        <v>-2.5198719999999999E-6</v>
      </c>
      <c r="I4295">
        <v>132.11420000000001</v>
      </c>
      <c r="J4295">
        <v>-392.33359999999999</v>
      </c>
      <c r="K4295">
        <v>1.1128709999999999</v>
      </c>
      <c r="L4295">
        <v>138.97890000000001</v>
      </c>
      <c r="M4295">
        <v>-0.93960080000000001</v>
      </c>
      <c r="N4295">
        <v>0</v>
      </c>
      <c r="O4295">
        <v>-0.3419336</v>
      </c>
      <c r="P4295">
        <v>-0.90970300000000004</v>
      </c>
      <c r="Q4295">
        <v>1.242861E-2</v>
      </c>
      <c r="R4295">
        <v>-0.41507460000000002</v>
      </c>
      <c r="S4295">
        <v>-2.5061040000000001</v>
      </c>
      <c r="T4295">
        <v>-0.28099980000000002</v>
      </c>
      <c r="U4295">
        <v>-1.7612000000000001</v>
      </c>
      <c r="V4295">
        <v>-7.9517850000000001E-2</v>
      </c>
      <c r="W4295">
        <v>2.595449E-2</v>
      </c>
      <c r="X4295">
        <v>0.99649549999999998</v>
      </c>
      <c r="Y4295">
        <v>-0.26079999999999998</v>
      </c>
      <c r="Z4295">
        <v>1.9886089999999999E-2</v>
      </c>
      <c r="AA4295">
        <v>0.96518799999999905</v>
      </c>
      <c r="AB4295">
        <v>31</v>
      </c>
      <c r="AC4295">
        <v>-9.6421000000000205</v>
      </c>
      <c r="AD4295">
        <v>-1.1128735198719999</v>
      </c>
      <c r="AE4295">
        <v>-6.8646999999999903</v>
      </c>
      <c r="AF4295">
        <v>-3.1258513306721798</v>
      </c>
      <c r="AG4295">
        <v>-1.1128735198719999</v>
      </c>
      <c r="AH4295">
        <v>11.3083482536495</v>
      </c>
      <c r="AI4295">
        <v>95.418553587948196</v>
      </c>
      <c r="AJ4295">
        <v>105.451852708999</v>
      </c>
      <c r="AK4295">
        <v>11.7850826996892</v>
      </c>
    </row>
    <row r="4296" spans="1:37" x14ac:dyDescent="0.2">
      <c r="A4296" t="str">
        <f>"20200111155937910"</f>
        <v>20200111155937910</v>
      </c>
      <c r="B4296" t="str">
        <f>"1578729577904260"</f>
        <v>1578729577904260</v>
      </c>
      <c r="C4296" t="s">
        <v>37</v>
      </c>
      <c r="D4296">
        <v>5.0183330000000002</v>
      </c>
      <c r="E4296">
        <v>0.37296469999999998</v>
      </c>
      <c r="F4296" t="s">
        <v>71</v>
      </c>
      <c r="G4296">
        <v>-401.71510000000001</v>
      </c>
      <c r="H4296" s="1">
        <v>-2.42482499999999E-6</v>
      </c>
      <c r="I4296">
        <v>132.21510000000001</v>
      </c>
      <c r="J4296">
        <v>-392.62009999999998</v>
      </c>
      <c r="K4296">
        <v>1.112811</v>
      </c>
      <c r="L4296">
        <v>138.86369999999999</v>
      </c>
      <c r="M4296">
        <v>-0.93610280000000001</v>
      </c>
      <c r="N4296">
        <v>0</v>
      </c>
      <c r="O4296">
        <v>-0.35139670000000001</v>
      </c>
      <c r="P4296">
        <v>-0.90555589999999997</v>
      </c>
      <c r="Q4296">
        <v>8.9124589999999993E-3</v>
      </c>
      <c r="R4296">
        <v>-0.4241337</v>
      </c>
      <c r="S4296">
        <v>-2.4844970000000002</v>
      </c>
      <c r="T4296">
        <v>-0.29472350000000003</v>
      </c>
      <c r="U4296">
        <v>-1.791245</v>
      </c>
      <c r="V4296">
        <v>-7.9317410000000005E-2</v>
      </c>
      <c r="W4296">
        <v>2.2446959999999998E-2</v>
      </c>
      <c r="X4296">
        <v>0.99659660000000005</v>
      </c>
      <c r="Y4296">
        <v>-0.2627776</v>
      </c>
      <c r="Z4296">
        <v>2.1712479999999999E-2</v>
      </c>
      <c r="AA4296">
        <v>0.96461209999999997</v>
      </c>
      <c r="AB4296">
        <v>31</v>
      </c>
      <c r="AC4296">
        <v>-9.0950000000000202</v>
      </c>
      <c r="AD4296">
        <v>-1.1128134248249999</v>
      </c>
      <c r="AE4296">
        <v>-6.6485999999999796</v>
      </c>
      <c r="AF4296">
        <v>-2.9989116379545799</v>
      </c>
      <c r="AG4296">
        <v>-1.1128134248249999</v>
      </c>
      <c r="AH4296">
        <v>10.746558032372</v>
      </c>
      <c r="AI4296">
        <v>95.695840061768493</v>
      </c>
      <c r="AJ4296">
        <v>105.592178732676</v>
      </c>
      <c r="AK4296">
        <v>11.212507938631299</v>
      </c>
    </row>
    <row r="4297" spans="1:37" x14ac:dyDescent="0.2">
      <c r="A4297" t="str">
        <f>"20200111155937932"</f>
        <v>20200111155937932</v>
      </c>
      <c r="B4297" t="str">
        <f>"1578729577924756"</f>
        <v>1578729577924756</v>
      </c>
      <c r="C4297" t="s">
        <v>37</v>
      </c>
      <c r="D4297">
        <v>4.9355729999999998</v>
      </c>
      <c r="E4297">
        <v>0.35754709999999901</v>
      </c>
      <c r="F4297" t="s">
        <v>71</v>
      </c>
      <c r="G4297">
        <v>-405.35160000000002</v>
      </c>
      <c r="H4297">
        <v>7.9987340000000004E-2</v>
      </c>
      <c r="I4297">
        <v>126.6396</v>
      </c>
      <c r="J4297">
        <v>-392.91109999999998</v>
      </c>
      <c r="K4297">
        <v>1.1127370000000001</v>
      </c>
      <c r="L4297">
        <v>138.74340000000001</v>
      </c>
      <c r="M4297">
        <v>-0.93245940000000005</v>
      </c>
      <c r="N4297">
        <v>0</v>
      </c>
      <c r="O4297">
        <v>-0.360954099999999</v>
      </c>
      <c r="P4297">
        <v>-0.90151939999999997</v>
      </c>
      <c r="Q4297">
        <v>6.7050019999999998E-3</v>
      </c>
      <c r="R4297">
        <v>-0.432687299999999</v>
      </c>
      <c r="S4297">
        <v>-2.2864689999999999</v>
      </c>
      <c r="T4297">
        <v>-0.18548580000000001</v>
      </c>
      <c r="U4297">
        <v>-2.1953429999999998</v>
      </c>
      <c r="V4297">
        <v>-7.8501310000000005E-2</v>
      </c>
      <c r="W4297">
        <v>2.026116E-2</v>
      </c>
      <c r="X4297">
        <v>0.99670809999999999</v>
      </c>
      <c r="Y4297">
        <v>-0.3854244</v>
      </c>
      <c r="Z4297">
        <v>1.0175780000000001E-2</v>
      </c>
      <c r="AA4297">
        <v>0.92268329999999998</v>
      </c>
      <c r="AB4297">
        <v>31</v>
      </c>
      <c r="AC4297">
        <v>-12.4405</v>
      </c>
      <c r="AD4297">
        <v>-1.0327496599999999</v>
      </c>
      <c r="AE4297">
        <v>-12.1038</v>
      </c>
      <c r="AF4297">
        <v>-6.7726626247124999</v>
      </c>
      <c r="AG4297">
        <v>-1.0327496599999999</v>
      </c>
      <c r="AH4297">
        <v>15.9146846208423</v>
      </c>
      <c r="AI4297">
        <v>93.417123226398999</v>
      </c>
      <c r="AJ4297">
        <v>113.05269211884401</v>
      </c>
      <c r="AK4297">
        <v>17.326647611967001</v>
      </c>
    </row>
    <row r="4298" spans="1:37" x14ac:dyDescent="0.2">
      <c r="A4298" t="str">
        <f>"20200111155937955"</f>
        <v>20200111155937955</v>
      </c>
      <c r="B4298" t="str">
        <f>"1578729577944276"</f>
        <v>1578729577944276</v>
      </c>
      <c r="C4298" t="s">
        <v>37</v>
      </c>
      <c r="D4298">
        <v>5.0304779999999996</v>
      </c>
      <c r="E4298">
        <v>0.35050769999999998</v>
      </c>
      <c r="F4298" t="s">
        <v>38</v>
      </c>
      <c r="G4298">
        <v>-393.61599999999999</v>
      </c>
      <c r="H4298">
        <v>1.0629090000000001</v>
      </c>
      <c r="I4298">
        <v>138.00229999999999</v>
      </c>
      <c r="J4298">
        <v>-393.19779999999997</v>
      </c>
      <c r="K4298">
        <v>1.112663</v>
      </c>
      <c r="L4298">
        <v>138.6215</v>
      </c>
      <c r="M4298">
        <v>-0.92878879999999997</v>
      </c>
      <c r="N4298">
        <v>0</v>
      </c>
      <c r="O4298">
        <v>-0.37029689999999998</v>
      </c>
      <c r="P4298">
        <v>-0.89728859999999999</v>
      </c>
      <c r="Q4298">
        <v>7.1333439999999998E-3</v>
      </c>
      <c r="R4298">
        <v>-0.44138670000000002</v>
      </c>
      <c r="S4298">
        <v>-2.212189</v>
      </c>
      <c r="T4298">
        <v>-0.1563872</v>
      </c>
      <c r="U4298">
        <v>-2.3266749999999998</v>
      </c>
      <c r="V4298">
        <v>-7.8142240000000002E-2</v>
      </c>
      <c r="W4298">
        <v>2.070166E-2</v>
      </c>
      <c r="X4298">
        <v>0.99672729999999998</v>
      </c>
      <c r="Y4298">
        <v>-0.417931099999999</v>
      </c>
      <c r="Z4298">
        <v>8.1258519999999994E-3</v>
      </c>
      <c r="AA4298">
        <v>0.90844239999999998</v>
      </c>
      <c r="AB4298">
        <v>31</v>
      </c>
      <c r="AC4298">
        <v>-0.41820000000001201</v>
      </c>
      <c r="AD4298">
        <v>-4.9753999999999798E-2</v>
      </c>
      <c r="AE4298">
        <v>-0.61920000000000597</v>
      </c>
      <c r="AF4298">
        <v>-0.418441191010822</v>
      </c>
      <c r="AG4298">
        <v>-4.9753999999999798E-2</v>
      </c>
      <c r="AH4298">
        <v>0.61505175641387999</v>
      </c>
      <c r="AI4298">
        <v>93.826413594608098</v>
      </c>
      <c r="AJ4298">
        <v>124.228822237399</v>
      </c>
      <c r="AK4298">
        <v>0.74555828338122199</v>
      </c>
    </row>
    <row r="4299" spans="1:37" x14ac:dyDescent="0.2">
      <c r="A4299" t="str">
        <f>"20200111155937976"</f>
        <v>20200111155937976</v>
      </c>
      <c r="B4299" t="str">
        <f>"1578729577964772"</f>
        <v>1578729577964772</v>
      </c>
      <c r="C4299" t="s">
        <v>37</v>
      </c>
      <c r="D4299">
        <v>5.1014359999999996</v>
      </c>
      <c r="E4299">
        <v>0.3483907</v>
      </c>
      <c r="F4299" t="s">
        <v>38</v>
      </c>
      <c r="G4299">
        <v>-393.85410000000002</v>
      </c>
      <c r="H4299">
        <v>1.0673379999999999</v>
      </c>
      <c r="I4299">
        <v>137.89449999999999</v>
      </c>
      <c r="J4299">
        <v>-393.46260000000001</v>
      </c>
      <c r="K4299">
        <v>1.1125969999999901</v>
      </c>
      <c r="L4299">
        <v>138.5059</v>
      </c>
      <c r="M4299">
        <v>-0.92533480000000001</v>
      </c>
      <c r="N4299">
        <v>0</v>
      </c>
      <c r="O4299">
        <v>-0.37884620000000002</v>
      </c>
      <c r="P4299">
        <v>-0.89275469999999901</v>
      </c>
      <c r="Q4299">
        <v>1.0017760000000001E-2</v>
      </c>
      <c r="R4299">
        <v>-0.450431999999999</v>
      </c>
      <c r="S4299">
        <v>-2.1648860000000001</v>
      </c>
      <c r="T4299">
        <v>-0.14951149999999999</v>
      </c>
      <c r="U4299">
        <v>-2.398193</v>
      </c>
      <c r="V4299">
        <v>-7.9088699999999998E-2</v>
      </c>
      <c r="W4299">
        <v>2.3569610000000001E-2</v>
      </c>
      <c r="X4299">
        <v>0.9965889</v>
      </c>
      <c r="Y4299">
        <v>-0.43299269999999901</v>
      </c>
      <c r="Z4299">
        <v>7.7766930000000003E-3</v>
      </c>
      <c r="AA4299">
        <v>0.90136380000000005</v>
      </c>
      <c r="AB4299">
        <v>31</v>
      </c>
      <c r="AC4299">
        <v>-0.39150000000000701</v>
      </c>
      <c r="AD4299">
        <v>-4.5258999999999897E-2</v>
      </c>
      <c r="AE4299">
        <v>-0.61140000000000305</v>
      </c>
      <c r="AF4299">
        <v>-0.415863492073763</v>
      </c>
      <c r="AG4299">
        <v>-4.5258999999999897E-2</v>
      </c>
      <c r="AH4299">
        <v>0.59166440674688303</v>
      </c>
      <c r="AI4299">
        <v>93.581021278238595</v>
      </c>
      <c r="AJ4299">
        <v>125.102254551415</v>
      </c>
      <c r="AK4299">
        <v>0.724608578014314</v>
      </c>
    </row>
    <row r="4300" spans="1:37" x14ac:dyDescent="0.2">
      <c r="A4300" t="str">
        <f>"20200111155937999"</f>
        <v>20200111155937999</v>
      </c>
      <c r="B4300" t="str">
        <f>"1578729577994559"</f>
        <v>1578729577994559</v>
      </c>
      <c r="C4300" t="s">
        <v>37</v>
      </c>
      <c r="D4300">
        <v>5.2068690000000002</v>
      </c>
      <c r="E4300">
        <v>0.34764070000000002</v>
      </c>
      <c r="F4300" t="s">
        <v>38</v>
      </c>
      <c r="G4300">
        <v>-394.09980000000002</v>
      </c>
      <c r="H4300">
        <v>1.0637620000000001</v>
      </c>
      <c r="I4300">
        <v>137.77869999999999</v>
      </c>
      <c r="J4300">
        <v>-393.74400000000003</v>
      </c>
      <c r="K4300">
        <v>1.112498</v>
      </c>
      <c r="L4300">
        <v>138.3801</v>
      </c>
      <c r="M4300">
        <v>-0.92161329999999997</v>
      </c>
      <c r="N4300">
        <v>0</v>
      </c>
      <c r="O4300">
        <v>-0.38781199999999999</v>
      </c>
      <c r="P4300">
        <v>-0.88753680000000001</v>
      </c>
      <c r="Q4300">
        <v>1.242762E-2</v>
      </c>
      <c r="R4300">
        <v>-0.46056899999999901</v>
      </c>
      <c r="S4300">
        <v>-2.1333009999999999</v>
      </c>
      <c r="T4300">
        <v>-0.1635067</v>
      </c>
      <c r="U4300">
        <v>-2.43573</v>
      </c>
      <c r="V4300">
        <v>-8.0815479999999995E-2</v>
      </c>
      <c r="W4300">
        <v>2.594925E-2</v>
      </c>
      <c r="X4300">
        <v>0.99639120000000003</v>
      </c>
      <c r="Y4300">
        <v>-0.43775559999999902</v>
      </c>
      <c r="Z4300">
        <v>8.8508679999999996E-3</v>
      </c>
      <c r="AA4300">
        <v>0.89905049999999997</v>
      </c>
      <c r="AB4300">
        <v>31</v>
      </c>
      <c r="AC4300">
        <v>-0.35579999999998702</v>
      </c>
      <c r="AD4300">
        <v>-4.87359999999998E-2</v>
      </c>
      <c r="AE4300">
        <v>-0.60140000000001204</v>
      </c>
      <c r="AF4300">
        <v>-0.41430738863920002</v>
      </c>
      <c r="AG4300">
        <v>-4.87359999999998E-2</v>
      </c>
      <c r="AH4300">
        <v>0.558488165532531</v>
      </c>
      <c r="AI4300">
        <v>94.009017278897105</v>
      </c>
      <c r="AJ4300">
        <v>126.56940490708401</v>
      </c>
      <c r="AK4300">
        <v>0.697090267481139</v>
      </c>
    </row>
    <row r="4301" spans="1:37" x14ac:dyDescent="0.2">
      <c r="A4301" t="str">
        <f>"20200111155938021"</f>
        <v>20200111155938021</v>
      </c>
      <c r="B4301" t="str">
        <f>"1578729578014081"</f>
        <v>1578729578014081</v>
      </c>
      <c r="C4301" t="s">
        <v>37</v>
      </c>
      <c r="D4301">
        <v>5.1120019999999897</v>
      </c>
      <c r="E4301">
        <v>0.34700370000000003</v>
      </c>
      <c r="F4301" t="s">
        <v>38</v>
      </c>
      <c r="G4301">
        <v>-394.37699999999899</v>
      </c>
      <c r="H4301">
        <v>1.0591469999999901</v>
      </c>
      <c r="I4301">
        <v>137.63810000000001</v>
      </c>
      <c r="J4301">
        <v>-394.02289999999999</v>
      </c>
      <c r="K4301">
        <v>1.1123499999999999</v>
      </c>
      <c r="L4301">
        <v>138.25229999999999</v>
      </c>
      <c r="M4301">
        <v>-0.91789370000000003</v>
      </c>
      <c r="N4301">
        <v>0</v>
      </c>
      <c r="O4301">
        <v>-0.39653660000000002</v>
      </c>
      <c r="P4301">
        <v>-0.88241059999999905</v>
      </c>
      <c r="Q4301">
        <v>1.103413E-2</v>
      </c>
      <c r="R4301">
        <v>-0.47035109999999902</v>
      </c>
      <c r="S4301">
        <v>-2.1032099999999998</v>
      </c>
      <c r="T4301">
        <v>-0.17724909999999999</v>
      </c>
      <c r="U4301">
        <v>-2.4654389999999999</v>
      </c>
      <c r="V4301">
        <v>-8.2333480000000001E-2</v>
      </c>
      <c r="W4301">
        <v>2.45335E-2</v>
      </c>
      <c r="X4301">
        <v>0.99630280000000004</v>
      </c>
      <c r="Y4301">
        <v>-0.44092799999999999</v>
      </c>
      <c r="Z4301">
        <v>1.0015629999999999E-2</v>
      </c>
      <c r="AA4301">
        <v>0.89748660000000002</v>
      </c>
      <c r="AB4301">
        <v>31</v>
      </c>
      <c r="AC4301">
        <v>-0.354099999999959</v>
      </c>
      <c r="AD4301">
        <v>-5.3203000000000097E-2</v>
      </c>
      <c r="AE4301">
        <v>-0.61419999999998198</v>
      </c>
      <c r="AF4301">
        <v>-0.42103430891466198</v>
      </c>
      <c r="AG4301">
        <v>-5.3203000000000097E-2</v>
      </c>
      <c r="AH4301">
        <v>0.56545990727805595</v>
      </c>
      <c r="AI4301">
        <v>94.3157041952566</v>
      </c>
      <c r="AJ4301">
        <v>126.67090434108999</v>
      </c>
      <c r="AK4301">
        <v>0.70699742236528296</v>
      </c>
    </row>
    <row r="4302" spans="1:37" x14ac:dyDescent="0.2">
      <c r="A4302" t="str">
        <f>"20200111155938044"</f>
        <v>20200111155938044</v>
      </c>
      <c r="B4302" t="str">
        <f>"1578729578034575"</f>
        <v>1578729578034575</v>
      </c>
      <c r="C4302" t="s">
        <v>37</v>
      </c>
      <c r="D4302">
        <v>5.088184</v>
      </c>
      <c r="E4302">
        <v>0.34656779999999998</v>
      </c>
      <c r="F4302" t="s">
        <v>71</v>
      </c>
      <c r="G4302">
        <v>-405.42649999999998</v>
      </c>
      <c r="H4302">
        <v>7.9987760000000005E-2</v>
      </c>
      <c r="I4302">
        <v>124.53879999999999</v>
      </c>
      <c r="J4302">
        <v>-394.30279999999999</v>
      </c>
      <c r="K4302">
        <v>1.112142</v>
      </c>
      <c r="L4302">
        <v>138.12100000000001</v>
      </c>
      <c r="M4302">
        <v>-0.91415849999999899</v>
      </c>
      <c r="N4302">
        <v>0</v>
      </c>
      <c r="O4302">
        <v>-0.4050743</v>
      </c>
      <c r="P4302">
        <v>-0.87705309999999903</v>
      </c>
      <c r="Q4302">
        <v>8.5557619999999997E-3</v>
      </c>
      <c r="R4302">
        <v>-0.48031750000000001</v>
      </c>
      <c r="S4302">
        <v>-2.0732119999999998</v>
      </c>
      <c r="T4302">
        <v>-0.18768689999999999</v>
      </c>
      <c r="U4302">
        <v>-2.4931489999999998</v>
      </c>
      <c r="V4302">
        <v>-8.4264169999999999E-2</v>
      </c>
      <c r="W4302">
        <v>2.202935E-2</v>
      </c>
      <c r="X4302">
        <v>0.99619990000000003</v>
      </c>
      <c r="Y4302">
        <v>-0.44385249999999998</v>
      </c>
      <c r="Z4302">
        <v>1.105128E-2</v>
      </c>
      <c r="AA4302">
        <v>0.89603169999999899</v>
      </c>
      <c r="AB4302">
        <v>31</v>
      </c>
      <c r="AC4302">
        <v>-11.1236999999999</v>
      </c>
      <c r="AD4302">
        <v>-1.0321542399999999</v>
      </c>
      <c r="AE4302">
        <v>-13.5822</v>
      </c>
      <c r="AF4302">
        <v>-7.8840134598165399</v>
      </c>
      <c r="AG4302">
        <v>-1.0321542399999999</v>
      </c>
      <c r="AH4302">
        <v>15.6184346836445</v>
      </c>
      <c r="AI4302">
        <v>93.376271206460501</v>
      </c>
      <c r="AJ4302">
        <v>116.784140353409</v>
      </c>
      <c r="AK4302">
        <v>17.5259382795041</v>
      </c>
    </row>
    <row r="4303" spans="1:37" x14ac:dyDescent="0.2">
      <c r="A4303" t="str">
        <f>"20200111155938066"</f>
        <v>20200111155938066</v>
      </c>
      <c r="B4303" t="str">
        <f>"1578729578054096"</f>
        <v>1578729578054096</v>
      </c>
      <c r="C4303" t="s">
        <v>37</v>
      </c>
      <c r="D4303">
        <v>5.1522690000000004</v>
      </c>
      <c r="E4303">
        <v>0.34629179999999998</v>
      </c>
      <c r="F4303" t="s">
        <v>71</v>
      </c>
      <c r="G4303">
        <v>-404.9427</v>
      </c>
      <c r="H4303">
        <v>7.9987619999999995E-2</v>
      </c>
      <c r="I4303">
        <v>125.0003</v>
      </c>
      <c r="J4303">
        <v>-394.57530000000003</v>
      </c>
      <c r="K4303">
        <v>1.1118889999999999</v>
      </c>
      <c r="L4303">
        <v>137.99039999999999</v>
      </c>
      <c r="M4303">
        <v>-0.91056840000000006</v>
      </c>
      <c r="N4303">
        <v>0</v>
      </c>
      <c r="O4303">
        <v>-0.41308249999999902</v>
      </c>
      <c r="P4303">
        <v>-0.87151209999999901</v>
      </c>
      <c r="Q4303">
        <v>6.9313639999999998E-3</v>
      </c>
      <c r="R4303">
        <v>-0.49032539999999902</v>
      </c>
      <c r="S4303">
        <v>-2.0428769999999998</v>
      </c>
      <c r="T4303">
        <v>-0.19817660000000001</v>
      </c>
      <c r="U4303">
        <v>-2.5192109999999999</v>
      </c>
      <c r="V4303">
        <v>-8.6873409999999998E-2</v>
      </c>
      <c r="W4303">
        <v>2.0373189999999999E-2</v>
      </c>
      <c r="X4303">
        <v>0.99601099999999998</v>
      </c>
      <c r="Y4303">
        <v>-0.44702839999999999</v>
      </c>
      <c r="Z4303">
        <v>1.210051E-2</v>
      </c>
      <c r="AA4303">
        <v>0.89443790000000001</v>
      </c>
      <c r="AB4303">
        <v>31</v>
      </c>
      <c r="AC4303">
        <v>-10.3673999999999</v>
      </c>
      <c r="AD4303">
        <v>-1.0319013800000001</v>
      </c>
      <c r="AE4303">
        <v>-12.990099999999901</v>
      </c>
      <c r="AF4303">
        <v>-7.5176637789328096</v>
      </c>
      <c r="AG4303">
        <v>-1.0319013800000001</v>
      </c>
      <c r="AH4303">
        <v>14.751034623971</v>
      </c>
      <c r="AI4303">
        <v>93.566467906436898</v>
      </c>
      <c r="AJ4303">
        <v>117.005045302601</v>
      </c>
      <c r="AK4303">
        <v>16.588342642612499</v>
      </c>
    </row>
    <row r="4304" spans="1:37" x14ac:dyDescent="0.2">
      <c r="A4304" t="str">
        <f>"20200111155938088"</f>
        <v>20200111155938088</v>
      </c>
      <c r="B4304" t="str">
        <f>"1578729578084351"</f>
        <v>1578729578084351</v>
      </c>
      <c r="C4304" t="s">
        <v>37</v>
      </c>
      <c r="D4304">
        <v>5.1975689999999997</v>
      </c>
      <c r="E4304">
        <v>0.34686319999999998</v>
      </c>
      <c r="F4304" t="s">
        <v>38</v>
      </c>
      <c r="G4304">
        <v>-395.25069999999999</v>
      </c>
      <c r="H4304">
        <v>1.041445</v>
      </c>
      <c r="I4304">
        <v>137.13679999999999</v>
      </c>
      <c r="J4304">
        <v>-394.84980000000002</v>
      </c>
      <c r="K4304">
        <v>1.11158</v>
      </c>
      <c r="L4304">
        <v>137.8561</v>
      </c>
      <c r="M4304">
        <v>-0.90703940000000005</v>
      </c>
      <c r="N4304">
        <v>0</v>
      </c>
      <c r="O4304">
        <v>-0.42077559999999897</v>
      </c>
      <c r="P4304">
        <v>-0.86569940000000001</v>
      </c>
      <c r="Q4304">
        <v>7.095578E-3</v>
      </c>
      <c r="R4304">
        <v>-0.50051400000000001</v>
      </c>
      <c r="S4304">
        <v>-2.0126339999999998</v>
      </c>
      <c r="T4304">
        <v>-0.20991360000000001</v>
      </c>
      <c r="U4304">
        <v>-2.544098</v>
      </c>
      <c r="V4304">
        <v>-9.0112230000000001E-2</v>
      </c>
      <c r="W4304">
        <v>2.0502860000000001E-2</v>
      </c>
      <c r="X4304">
        <v>0.99572059999999996</v>
      </c>
      <c r="Y4304">
        <v>-0.45024829999999999</v>
      </c>
      <c r="Z4304">
        <v>1.325294E-2</v>
      </c>
      <c r="AA4304">
        <v>0.89280499999999996</v>
      </c>
      <c r="AB4304">
        <v>31</v>
      </c>
      <c r="AC4304">
        <v>-0.400899999999978</v>
      </c>
      <c r="AD4304">
        <v>-7.0134999999999795E-2</v>
      </c>
      <c r="AE4304">
        <v>-0.71930000000000405</v>
      </c>
      <c r="AF4304">
        <v>-0.480315392723692</v>
      </c>
      <c r="AG4304">
        <v>-7.0134999999999795E-2</v>
      </c>
      <c r="AH4304">
        <v>0.66157282596492395</v>
      </c>
      <c r="AI4304">
        <v>94.903240809898094</v>
      </c>
      <c r="AJ4304">
        <v>125.980416454986</v>
      </c>
      <c r="AK4304">
        <v>0.82054883996477102</v>
      </c>
    </row>
    <row r="4305" spans="1:37" x14ac:dyDescent="0.2">
      <c r="A4305" t="str">
        <f>"20200111155938112"</f>
        <v>20200111155938112</v>
      </c>
      <c r="B4305" t="str">
        <f>"1578729578104380"</f>
        <v>1578729578104380</v>
      </c>
      <c r="C4305" t="s">
        <v>37</v>
      </c>
      <c r="D4305">
        <v>5.2045320000000004</v>
      </c>
      <c r="E4305">
        <v>0.34739809999999999</v>
      </c>
      <c r="F4305" t="s">
        <v>38</v>
      </c>
      <c r="G4305">
        <v>-395.49669999999998</v>
      </c>
      <c r="H4305">
        <v>1.0393760000000001</v>
      </c>
      <c r="I4305">
        <v>137.0214</v>
      </c>
      <c r="J4305">
        <v>-395.13199999999898</v>
      </c>
      <c r="K4305">
        <v>1.111243</v>
      </c>
      <c r="L4305">
        <v>137.71549999999999</v>
      </c>
      <c r="M4305">
        <v>-0.90349780000000002</v>
      </c>
      <c r="N4305">
        <v>0</v>
      </c>
      <c r="O4305">
        <v>-0.42832900000000002</v>
      </c>
      <c r="P4305">
        <v>-0.86071129999999996</v>
      </c>
      <c r="Q4305">
        <v>6.0195709999999996E-3</v>
      </c>
      <c r="R4305">
        <v>-0.50905820000000002</v>
      </c>
      <c r="S4305">
        <v>-1.985352</v>
      </c>
      <c r="T4305">
        <v>-0.221630299999999</v>
      </c>
      <c r="U4305">
        <v>-2.5630649999999999</v>
      </c>
      <c r="V4305">
        <v>-9.162062E-2</v>
      </c>
      <c r="W4305">
        <v>1.9429720000000001E-2</v>
      </c>
      <c r="X4305">
        <v>0.99560439999999994</v>
      </c>
      <c r="Y4305">
        <v>-0.4519299</v>
      </c>
      <c r="Z4305">
        <v>1.451056E-2</v>
      </c>
      <c r="AA4305">
        <v>0.89193539999999905</v>
      </c>
      <c r="AB4305">
        <v>31</v>
      </c>
      <c r="AC4305">
        <v>-0.364700000000027</v>
      </c>
      <c r="AD4305">
        <v>-7.1866999999999903E-2</v>
      </c>
      <c r="AE4305">
        <v>-0.69409999999999095</v>
      </c>
      <c r="AF4305">
        <v>-0.46703581918137699</v>
      </c>
      <c r="AG4305">
        <v>-7.1866999999999903E-2</v>
      </c>
      <c r="AH4305">
        <v>0.62165701288174602</v>
      </c>
      <c r="AI4305">
        <v>95.280719993707507</v>
      </c>
      <c r="AJ4305">
        <v>126.916648720563</v>
      </c>
      <c r="AK4305">
        <v>0.78086155223091602</v>
      </c>
    </row>
    <row r="4306" spans="1:37" x14ac:dyDescent="0.2">
      <c r="A4306" t="str">
        <f>"20200111155938134"</f>
        <v>20200111155938134</v>
      </c>
      <c r="B4306" t="str">
        <f>"1578729578124876"</f>
        <v>1578729578124876</v>
      </c>
      <c r="C4306" t="s">
        <v>37</v>
      </c>
      <c r="D4306">
        <v>5.5966149999999999</v>
      </c>
      <c r="E4306">
        <v>0.40047319999999997</v>
      </c>
      <c r="F4306" t="s">
        <v>38</v>
      </c>
      <c r="G4306">
        <v>-395.7457</v>
      </c>
      <c r="H4306">
        <v>1.038511</v>
      </c>
      <c r="I4306">
        <v>136.9092</v>
      </c>
      <c r="J4306">
        <v>-395.40370000000001</v>
      </c>
      <c r="K4306">
        <v>1.1108849999999999</v>
      </c>
      <c r="L4306">
        <v>137.578</v>
      </c>
      <c r="M4306">
        <v>-0.90021580000000001</v>
      </c>
      <c r="N4306">
        <v>0</v>
      </c>
      <c r="O4306">
        <v>-0.43518570000000001</v>
      </c>
      <c r="P4306">
        <v>-0.85716130000000001</v>
      </c>
      <c r="Q4306">
        <v>3.6973059999999901E-3</v>
      </c>
      <c r="R4306">
        <v>-0.51503529999999997</v>
      </c>
      <c r="S4306">
        <v>-1.9621279999999901</v>
      </c>
      <c r="T4306">
        <v>-0.23253699999999999</v>
      </c>
      <c r="U4306">
        <v>-2.57847599999999</v>
      </c>
      <c r="V4306">
        <v>-9.0919390000000003E-2</v>
      </c>
      <c r="W4306">
        <v>1.7156060000000001E-2</v>
      </c>
      <c r="X4306">
        <v>0.99571049999999905</v>
      </c>
      <c r="Y4306">
        <v>-0.45280159999999903</v>
      </c>
      <c r="Z4306">
        <v>1.5745699999999901E-2</v>
      </c>
      <c r="AA4306">
        <v>0.8914723</v>
      </c>
      <c r="AB4306">
        <v>31</v>
      </c>
      <c r="AC4306">
        <v>-0.34199999999998398</v>
      </c>
      <c r="AD4306">
        <v>-7.2374000000000105E-2</v>
      </c>
      <c r="AE4306">
        <v>-0.66880000000000395</v>
      </c>
      <c r="AF4306">
        <v>-0.44911268820813</v>
      </c>
      <c r="AG4306">
        <v>-7.2374000000000105E-2</v>
      </c>
      <c r="AH4306">
        <v>0.59348406004376797</v>
      </c>
      <c r="AI4306">
        <v>95.554131732176799</v>
      </c>
      <c r="AJ4306">
        <v>127.116223224509</v>
      </c>
      <c r="AK4306">
        <v>0.74777237988011303</v>
      </c>
    </row>
    <row r="4307" spans="1:37" x14ac:dyDescent="0.2">
      <c r="A4307" t="str">
        <f>"20200111155938156"</f>
        <v>20200111155938156</v>
      </c>
      <c r="B4307" t="str">
        <f>"1578729578144397"</f>
        <v>1578729578144397</v>
      </c>
      <c r="C4307" t="s">
        <v>37</v>
      </c>
      <c r="D4307">
        <v>5.7676829999999999</v>
      </c>
      <c r="E4307">
        <v>0.42316329999999902</v>
      </c>
      <c r="F4307" t="s">
        <v>71</v>
      </c>
      <c r="G4307">
        <v>-404.1542</v>
      </c>
      <c r="H4307">
        <v>7.9987030000000001E-2</v>
      </c>
      <c r="I4307">
        <v>128.55590000000001</v>
      </c>
      <c r="J4307">
        <v>-395.66460000000001</v>
      </c>
      <c r="K4307">
        <v>1.110476</v>
      </c>
      <c r="L4307">
        <v>137.44399999999999</v>
      </c>
      <c r="M4307">
        <v>-0.89724269999999995</v>
      </c>
      <c r="N4307">
        <v>0</v>
      </c>
      <c r="O4307">
        <v>-0.44128459999999903</v>
      </c>
      <c r="P4307">
        <v>-0.85408989999999996</v>
      </c>
      <c r="Q4307">
        <v>2.6054070000000001E-3</v>
      </c>
      <c r="R4307">
        <v>-0.520119</v>
      </c>
      <c r="S4307">
        <v>-2.1618040000000001</v>
      </c>
      <c r="T4307">
        <v>-0.25468069999999998</v>
      </c>
      <c r="U4307">
        <v>-2.228882</v>
      </c>
      <c r="V4307">
        <v>-9.0043499999999999E-2</v>
      </c>
      <c r="W4307">
        <v>1.6120510000000001E-2</v>
      </c>
      <c r="X4307">
        <v>0.99580729999999995</v>
      </c>
      <c r="Y4307">
        <v>-0.33710689999999999</v>
      </c>
      <c r="Z4307">
        <v>2.3372239999999999E-2</v>
      </c>
      <c r="AA4307">
        <v>0.94117619999999902</v>
      </c>
      <c r="AB4307">
        <v>31</v>
      </c>
      <c r="AC4307">
        <v>-8.4895999999999905</v>
      </c>
      <c r="AD4307">
        <v>-1.0304889699999999</v>
      </c>
      <c r="AE4307">
        <v>-8.8880999999999801</v>
      </c>
      <c r="AF4307">
        <v>-4.1994072523732697</v>
      </c>
      <c r="AG4307">
        <v>-1.0304889699999999</v>
      </c>
      <c r="AH4307">
        <v>11.460147398377</v>
      </c>
      <c r="AI4307">
        <v>94.826005512917305</v>
      </c>
      <c r="AJ4307">
        <v>110.12463797271199</v>
      </c>
      <c r="AK4307">
        <v>12.2487512498664</v>
      </c>
    </row>
    <row r="4308" spans="1:37" x14ac:dyDescent="0.2">
      <c r="A4308" t="str">
        <f>"20200111155938178"</f>
        <v>20200111155938178</v>
      </c>
      <c r="B4308" t="str">
        <f>"1578729578174652"</f>
        <v>1578729578174652</v>
      </c>
      <c r="C4308" t="s">
        <v>37</v>
      </c>
      <c r="D4308">
        <v>5.6237959999999996</v>
      </c>
      <c r="E4308">
        <v>0.43269560000000001</v>
      </c>
      <c r="F4308" t="s">
        <v>71</v>
      </c>
      <c r="G4308">
        <v>-404.08569999999997</v>
      </c>
      <c r="H4308">
        <v>5.9963460000000003E-2</v>
      </c>
      <c r="I4308">
        <v>129.60640000000001</v>
      </c>
      <c r="J4308">
        <v>-395.9357</v>
      </c>
      <c r="K4308">
        <v>1.109988</v>
      </c>
      <c r="L4308">
        <v>137.303</v>
      </c>
      <c r="M4308">
        <v>-0.89439349999999995</v>
      </c>
      <c r="N4308">
        <v>0</v>
      </c>
      <c r="O4308">
        <v>-0.4470325</v>
      </c>
      <c r="P4308">
        <v>-0.85051460000000001</v>
      </c>
      <c r="Q4308">
        <v>2.8971879999999898E-3</v>
      </c>
      <c r="R4308">
        <v>-0.5259431</v>
      </c>
      <c r="S4308">
        <v>-2.242432</v>
      </c>
      <c r="T4308">
        <v>-0.27973999999999999</v>
      </c>
      <c r="U4308">
        <v>-2.0870669999999998</v>
      </c>
      <c r="V4308">
        <v>-9.0443759999999998E-2</v>
      </c>
      <c r="W4308">
        <v>1.6459979999999999E-2</v>
      </c>
      <c r="X4308">
        <v>0.99576549999999997</v>
      </c>
      <c r="Y4308">
        <v>-0.28266570000000002</v>
      </c>
      <c r="Z4308">
        <v>2.8968649999999999E-2</v>
      </c>
      <c r="AA4308">
        <v>0.95878090000000005</v>
      </c>
      <c r="AB4308">
        <v>31</v>
      </c>
      <c r="AC4308">
        <v>-8.1499999999999702</v>
      </c>
      <c r="AD4308">
        <v>-1.0500245399999999</v>
      </c>
      <c r="AE4308">
        <v>-7.6965999999999797</v>
      </c>
      <c r="AF4308">
        <v>-3.2126462342956099</v>
      </c>
      <c r="AG4308">
        <v>-1.0500245399999999</v>
      </c>
      <c r="AH4308">
        <v>10.637792930863499</v>
      </c>
      <c r="AI4308">
        <v>95.397959398742202</v>
      </c>
      <c r="AJ4308">
        <v>106.80447789384201</v>
      </c>
      <c r="AK4308">
        <v>11.1618226917142</v>
      </c>
    </row>
    <row r="4309" spans="1:37" x14ac:dyDescent="0.2">
      <c r="A4309" t="str">
        <f>"20200111155938200"</f>
        <v>20200111155938200</v>
      </c>
      <c r="B4309" t="str">
        <f>"1578729578194679"</f>
        <v>1578729578194679</v>
      </c>
      <c r="C4309" t="s">
        <v>37</v>
      </c>
      <c r="D4309">
        <v>5.5735419999999998</v>
      </c>
      <c r="E4309">
        <v>0.4342897</v>
      </c>
      <c r="F4309" t="s">
        <v>71</v>
      </c>
      <c r="G4309">
        <v>-403.92140000000001</v>
      </c>
      <c r="H4309" s="1">
        <v>-2.5784690000000002E-6</v>
      </c>
      <c r="I4309">
        <v>130.1326</v>
      </c>
      <c r="J4309">
        <v>-396.2054</v>
      </c>
      <c r="K4309">
        <v>1.1094280000000001</v>
      </c>
      <c r="L4309">
        <v>137.16139999999999</v>
      </c>
      <c r="M4309">
        <v>-0.89184399999999997</v>
      </c>
      <c r="N4309">
        <v>0</v>
      </c>
      <c r="O4309">
        <v>-0.45209969999999999</v>
      </c>
      <c r="P4309">
        <v>-0.84727540000000001</v>
      </c>
      <c r="Q4309">
        <v>3.3886200000000002E-3</v>
      </c>
      <c r="R4309">
        <v>-0.53114319999999904</v>
      </c>
      <c r="S4309">
        <v>-2.2686769999999998</v>
      </c>
      <c r="T4309">
        <v>-0.31533670000000003</v>
      </c>
      <c r="U4309">
        <v>-2.0370330000000001</v>
      </c>
      <c r="V4309">
        <v>-9.0877840000000001E-2</v>
      </c>
      <c r="W4309">
        <v>1.7013509999999999E-2</v>
      </c>
      <c r="X4309">
        <v>0.99571669999999901</v>
      </c>
      <c r="Y4309">
        <v>-0.2602737</v>
      </c>
      <c r="Z4309">
        <v>3.4435540000000001E-2</v>
      </c>
      <c r="AA4309">
        <v>0.96492060000000002</v>
      </c>
      <c r="AB4309">
        <v>31</v>
      </c>
      <c r="AC4309">
        <v>-7.7160000000000002</v>
      </c>
      <c r="AD4309">
        <v>-1.109430578469</v>
      </c>
      <c r="AE4309">
        <v>-7.0287999999999897</v>
      </c>
      <c r="AF4309">
        <v>-2.7494341679035501</v>
      </c>
      <c r="AG4309">
        <v>-1.109430578469</v>
      </c>
      <c r="AH4309">
        <v>9.9479004749604805</v>
      </c>
      <c r="AI4309">
        <v>96.135394902610898</v>
      </c>
      <c r="AJ4309">
        <v>105.44991323964</v>
      </c>
      <c r="AK4309">
        <v>10.380315424484699</v>
      </c>
    </row>
    <row r="4310" spans="1:37" x14ac:dyDescent="0.2">
      <c r="A4310" t="str">
        <f>"20200111155938222"</f>
        <v>20200111155938222</v>
      </c>
      <c r="B4310" t="str">
        <f>"1578729578214200"</f>
        <v>1578729578214200</v>
      </c>
      <c r="C4310" t="s">
        <v>37</v>
      </c>
      <c r="D4310">
        <v>5.5952500000000001</v>
      </c>
      <c r="E4310">
        <v>0.43647609999999998</v>
      </c>
      <c r="F4310" t="s">
        <v>71</v>
      </c>
      <c r="G4310">
        <v>-403.98419999999999</v>
      </c>
      <c r="H4310" s="1">
        <v>-2.6273109999999999E-6</v>
      </c>
      <c r="I4310">
        <v>130.15729999999999</v>
      </c>
      <c r="J4310">
        <v>-396.48099999999999</v>
      </c>
      <c r="K4310">
        <v>1.1087799999999901</v>
      </c>
      <c r="L4310">
        <v>137.01560000000001</v>
      </c>
      <c r="M4310">
        <v>-0.88957520000000001</v>
      </c>
      <c r="N4310">
        <v>0</v>
      </c>
      <c r="O4310">
        <v>-0.4565496</v>
      </c>
      <c r="P4310">
        <v>-0.84525499999999998</v>
      </c>
      <c r="Q4310">
        <v>7.9940239999999997E-4</v>
      </c>
      <c r="R4310">
        <v>-0.53436300000000003</v>
      </c>
      <c r="S4310">
        <v>-2.26412999999999</v>
      </c>
      <c r="T4310">
        <v>-0.32291510000000001</v>
      </c>
      <c r="U4310">
        <v>-2.03863499999999</v>
      </c>
      <c r="V4310">
        <v>-8.9632569999999995E-2</v>
      </c>
      <c r="W4310">
        <v>1.452759E-2</v>
      </c>
      <c r="X4310">
        <v>0.99586889999999995</v>
      </c>
      <c r="Y4310">
        <v>-0.25686340000000002</v>
      </c>
      <c r="Z4310">
        <v>3.5954180000000002E-2</v>
      </c>
      <c r="AA4310">
        <v>0.96577869999999999</v>
      </c>
      <c r="AB4310">
        <v>31</v>
      </c>
      <c r="AC4310">
        <v>-7.5031999999999899</v>
      </c>
      <c r="AD4310">
        <v>-1.108782627311</v>
      </c>
      <c r="AE4310">
        <v>-6.8583000000000096</v>
      </c>
      <c r="AF4310">
        <v>-2.6442237510585298</v>
      </c>
      <c r="AG4310">
        <v>-1.108782627311</v>
      </c>
      <c r="AH4310">
        <v>9.6915822121588793</v>
      </c>
      <c r="AI4310">
        <v>96.298381435214395</v>
      </c>
      <c r="AJ4310">
        <v>105.260978648364</v>
      </c>
      <c r="AK4310">
        <v>10.1068335266453</v>
      </c>
    </row>
    <row r="4311" spans="1:37" x14ac:dyDescent="0.2">
      <c r="A4311" t="str">
        <f>"20200111155938245"</f>
        <v>20200111155938245</v>
      </c>
      <c r="B4311" t="str">
        <f>"1578729578234696"</f>
        <v>1578729578234696</v>
      </c>
      <c r="C4311" t="s">
        <v>37</v>
      </c>
      <c r="D4311">
        <v>5.5885239999999996</v>
      </c>
      <c r="E4311">
        <v>0.43799460000000001</v>
      </c>
      <c r="F4311" t="s">
        <v>71</v>
      </c>
      <c r="G4311">
        <v>-404.04300000000001</v>
      </c>
      <c r="H4311" s="1">
        <v>-2.700575E-6</v>
      </c>
      <c r="I4311">
        <v>130.23220000000001</v>
      </c>
      <c r="J4311">
        <v>-396.74470000000002</v>
      </c>
      <c r="K4311">
        <v>1.108112</v>
      </c>
      <c r="L4311">
        <v>136.87540000000001</v>
      </c>
      <c r="M4311">
        <v>-0.88776919999999904</v>
      </c>
      <c r="N4311">
        <v>0</v>
      </c>
      <c r="O4311">
        <v>-0.4600534</v>
      </c>
      <c r="P4311">
        <v>-0.84469850000000002</v>
      </c>
      <c r="Q4311">
        <v>-4.1131850000000001E-3</v>
      </c>
      <c r="R4311">
        <v>-0.53522700000000001</v>
      </c>
      <c r="S4311">
        <v>-2.2650759999999899</v>
      </c>
      <c r="T4311">
        <v>-0.33211479999999999</v>
      </c>
      <c r="U4311">
        <v>-2.0318450000000001</v>
      </c>
      <c r="V4311">
        <v>-8.6657880000000007E-2</v>
      </c>
      <c r="W4311">
        <v>9.7424090000000005E-3</v>
      </c>
      <c r="X4311">
        <v>0.99619049999999998</v>
      </c>
      <c r="Y4311">
        <v>-0.2513415</v>
      </c>
      <c r="Z4311">
        <v>3.7703979999999998E-2</v>
      </c>
      <c r="AA4311">
        <v>0.96716380000000002</v>
      </c>
      <c r="AB4311">
        <v>31</v>
      </c>
      <c r="AC4311">
        <v>-7.2982999999999798</v>
      </c>
      <c r="AD4311">
        <v>-1.1081147005750001</v>
      </c>
      <c r="AE4311">
        <v>-6.6432000000000002</v>
      </c>
      <c r="AF4311">
        <v>-2.5086683284848501</v>
      </c>
      <c r="AG4311">
        <v>-1.1081147005750001</v>
      </c>
      <c r="AH4311">
        <v>9.4177337855273695</v>
      </c>
      <c r="AI4311">
        <v>96.486552987771006</v>
      </c>
      <c r="AJ4311">
        <v>104.91592496362399</v>
      </c>
      <c r="AK4311">
        <v>9.8089267826320903</v>
      </c>
    </row>
    <row r="4312" spans="1:37" x14ac:dyDescent="0.2">
      <c r="A4312" t="str">
        <f>"20200111155938267"</f>
        <v>20200111155938267</v>
      </c>
      <c r="B4312" t="str">
        <f>"1578729578264952"</f>
        <v>1578729578264952</v>
      </c>
      <c r="C4312" t="s">
        <v>37</v>
      </c>
      <c r="D4312">
        <v>5.5364820000000003</v>
      </c>
      <c r="E4312">
        <v>0.43959709999999902</v>
      </c>
      <c r="F4312" t="s">
        <v>71</v>
      </c>
      <c r="G4312">
        <v>-403.99099999999999</v>
      </c>
      <c r="H4312" s="1">
        <v>-2.765369E-6</v>
      </c>
      <c r="I4312">
        <v>130.41040000000001</v>
      </c>
      <c r="J4312">
        <v>-397.01240000000001</v>
      </c>
      <c r="K4312">
        <v>1.107416</v>
      </c>
      <c r="L4312">
        <v>136.73269999999999</v>
      </c>
      <c r="M4312">
        <v>-0.88635969999999997</v>
      </c>
      <c r="N4312">
        <v>0</v>
      </c>
      <c r="O4312">
        <v>-0.46276430000000002</v>
      </c>
      <c r="P4312">
        <v>-0.84410269999999998</v>
      </c>
      <c r="Q4312">
        <v>-7.0710969999999897E-3</v>
      </c>
      <c r="R4312">
        <v>-0.53613509999999998</v>
      </c>
      <c r="S4312">
        <v>-2.2678529999999899</v>
      </c>
      <c r="T4312">
        <v>-0.3468059</v>
      </c>
      <c r="U4312">
        <v>-2.0233460000000001</v>
      </c>
      <c r="V4312">
        <v>-8.4653699999999998E-2</v>
      </c>
      <c r="W4312">
        <v>6.9024659999999899E-3</v>
      </c>
      <c r="X4312">
        <v>0.99638649999999995</v>
      </c>
      <c r="Y4312">
        <v>-0.24590789999999901</v>
      </c>
      <c r="Z4312">
        <v>4.0020409999999999E-2</v>
      </c>
      <c r="AA4312">
        <v>0.96846659999999996</v>
      </c>
      <c r="AB4312">
        <v>31</v>
      </c>
      <c r="AC4312">
        <v>-6.9785999999999699</v>
      </c>
      <c r="AD4312">
        <v>-1.107418765369</v>
      </c>
      <c r="AE4312">
        <v>-6.3222999999999798</v>
      </c>
      <c r="AF4312">
        <v>-2.34224681299832</v>
      </c>
      <c r="AG4312">
        <v>-1.107418765369</v>
      </c>
      <c r="AH4312">
        <v>8.9879599481004302</v>
      </c>
      <c r="AI4312">
        <v>96.799240497339298</v>
      </c>
      <c r="AJ4312">
        <v>104.60631937040399</v>
      </c>
      <c r="AK4312">
        <v>9.3539254050665601</v>
      </c>
    </row>
    <row r="4313" spans="1:37" x14ac:dyDescent="0.2">
      <c r="A4313" t="str">
        <f>"20200111155938291"</f>
        <v>20200111155938291</v>
      </c>
      <c r="B4313" t="str">
        <f>"1578729578284472"</f>
        <v>1578729578284472</v>
      </c>
      <c r="C4313" t="s">
        <v>37</v>
      </c>
      <c r="D4313">
        <v>5.5498469999999998</v>
      </c>
      <c r="E4313">
        <v>0.44007159999999901</v>
      </c>
      <c r="F4313" t="s">
        <v>71</v>
      </c>
      <c r="G4313">
        <v>-403.88940000000002</v>
      </c>
      <c r="H4313" s="1">
        <v>-2.8244809999999999E-6</v>
      </c>
      <c r="I4313">
        <v>130.631</v>
      </c>
      <c r="J4313">
        <v>-397.29239999999999</v>
      </c>
      <c r="K4313">
        <v>1.106706</v>
      </c>
      <c r="L4313">
        <v>136.58330000000001</v>
      </c>
      <c r="M4313">
        <v>-0.88530469999999895</v>
      </c>
      <c r="N4313">
        <v>0</v>
      </c>
      <c r="O4313">
        <v>-0.46478079999999999</v>
      </c>
      <c r="P4313">
        <v>-0.84264459999999997</v>
      </c>
      <c r="Q4313">
        <v>-6.5554339999999997E-3</v>
      </c>
      <c r="R4313">
        <v>-0.53843050000000003</v>
      </c>
      <c r="S4313">
        <v>-2.271118</v>
      </c>
      <c r="T4313">
        <v>-0.3657203</v>
      </c>
      <c r="U4313">
        <v>-2.0150450000000002</v>
      </c>
      <c r="V4313">
        <v>-8.5086609999999993E-2</v>
      </c>
      <c r="W4313">
        <v>7.517569E-3</v>
      </c>
      <c r="X4313">
        <v>0.99634519999999904</v>
      </c>
      <c r="Y4313">
        <v>-0.24119380000000001</v>
      </c>
      <c r="Z4313">
        <v>4.2745970000000001E-2</v>
      </c>
      <c r="AA4313">
        <v>0.96953509999999998</v>
      </c>
      <c r="AB4313">
        <v>31</v>
      </c>
      <c r="AC4313">
        <v>-6.5970000000000297</v>
      </c>
      <c r="AD4313">
        <v>-1.1067088244809999</v>
      </c>
      <c r="AE4313">
        <v>-5.9523000000000001</v>
      </c>
      <c r="AF4313">
        <v>-2.17001174105099</v>
      </c>
      <c r="AG4313">
        <v>-1.1067088244809999</v>
      </c>
      <c r="AH4313">
        <v>8.4762946662031506</v>
      </c>
      <c r="AI4313">
        <v>97.2088295976815</v>
      </c>
      <c r="AJ4313">
        <v>104.359845990278</v>
      </c>
      <c r="AK4313">
        <v>8.8193722365476308</v>
      </c>
    </row>
    <row r="4314" spans="1:37" x14ac:dyDescent="0.2">
      <c r="A4314" t="str">
        <f>"20200111155938312"</f>
        <v>20200111155938312</v>
      </c>
      <c r="B4314" t="str">
        <f>"1578729578304500"</f>
        <v>1578729578304500</v>
      </c>
      <c r="C4314" t="s">
        <v>37</v>
      </c>
      <c r="D4314">
        <v>5.5258079999999996</v>
      </c>
      <c r="E4314">
        <v>0.44096740000000001</v>
      </c>
      <c r="F4314" t="s">
        <v>71</v>
      </c>
      <c r="G4314">
        <v>-404.06299999999999</v>
      </c>
      <c r="H4314" s="1">
        <v>-2.88451999999999E-6</v>
      </c>
      <c r="I4314">
        <v>130.55760000000001</v>
      </c>
      <c r="J4314">
        <v>-397.551999999999</v>
      </c>
      <c r="K4314">
        <v>1.1061299999999901</v>
      </c>
      <c r="L4314">
        <v>136.44499999999999</v>
      </c>
      <c r="M4314">
        <v>-0.884640599999999</v>
      </c>
      <c r="N4314">
        <v>0</v>
      </c>
      <c r="O4314">
        <v>-0.46604499999999999</v>
      </c>
      <c r="P4314">
        <v>-0.84061390000000002</v>
      </c>
      <c r="Q4314">
        <v>-3.9906129999999996E-3</v>
      </c>
      <c r="R4314">
        <v>-0.54162060000000001</v>
      </c>
      <c r="S4314">
        <v>-2.2677309999999999</v>
      </c>
      <c r="T4314">
        <v>-0.37067909999999998</v>
      </c>
      <c r="U4314">
        <v>-2.0182500000000001</v>
      </c>
      <c r="V4314">
        <v>-8.7433209999999997E-2</v>
      </c>
      <c r="W4314">
        <v>1.0154369999999999E-2</v>
      </c>
      <c r="X4314">
        <v>0.99611859999999997</v>
      </c>
      <c r="Y4314">
        <v>-0.24133289999999899</v>
      </c>
      <c r="Z4314">
        <v>4.3481550000000001E-2</v>
      </c>
      <c r="AA4314">
        <v>0.96946779999999999</v>
      </c>
      <c r="AB4314">
        <v>31</v>
      </c>
      <c r="AC4314">
        <v>-6.5110000000000801</v>
      </c>
      <c r="AD4314">
        <v>-1.10613288451999</v>
      </c>
      <c r="AE4314">
        <v>-5.88739999999998</v>
      </c>
      <c r="AF4314">
        <v>-2.1400641716221398</v>
      </c>
      <c r="AG4314">
        <v>-1.10613288451999</v>
      </c>
      <c r="AH4314">
        <v>8.3716628925017407</v>
      </c>
      <c r="AI4314">
        <v>97.294859615378201</v>
      </c>
      <c r="AJ4314">
        <v>104.33954191354</v>
      </c>
      <c r="AK4314">
        <v>8.7113801548645498</v>
      </c>
    </row>
    <row r="4315" spans="1:37" x14ac:dyDescent="0.2">
      <c r="A4315" t="str">
        <f>"20200111155938333"</f>
        <v>20200111155938333</v>
      </c>
      <c r="B4315" t="str">
        <f>"1578729578324996"</f>
        <v>1578729578324996</v>
      </c>
      <c r="C4315" t="s">
        <v>37</v>
      </c>
      <c r="D4315">
        <v>5.5093079999999999</v>
      </c>
      <c r="E4315">
        <v>0.4416349</v>
      </c>
      <c r="F4315" t="s">
        <v>71</v>
      </c>
      <c r="G4315">
        <v>-404.47500000000002</v>
      </c>
      <c r="H4315" s="1">
        <v>-2.9654329999999999E-6</v>
      </c>
      <c r="I4315">
        <v>130.26730000000001</v>
      </c>
      <c r="J4315">
        <v>-397.81699999999898</v>
      </c>
      <c r="K4315">
        <v>1.1055889999999999</v>
      </c>
      <c r="L4315">
        <v>136.304</v>
      </c>
      <c r="M4315">
        <v>-0.88427599999999995</v>
      </c>
      <c r="N4315">
        <v>0</v>
      </c>
      <c r="O4315">
        <v>-0.46673720000000002</v>
      </c>
      <c r="P4315">
        <v>-0.838584199999999</v>
      </c>
      <c r="Q4315">
        <v>-2.177249E-3</v>
      </c>
      <c r="R4315">
        <v>-0.54476819999999904</v>
      </c>
      <c r="S4315">
        <v>-2.2648929999999998</v>
      </c>
      <c r="T4315">
        <v>-0.36187649999999999</v>
      </c>
      <c r="U4315">
        <v>-2.0210720000000002</v>
      </c>
      <c r="V4315">
        <v>-9.0376330000000005E-2</v>
      </c>
      <c r="W4315">
        <v>1.203633E-2</v>
      </c>
      <c r="X4315">
        <v>0.99583489999999997</v>
      </c>
      <c r="Y4315">
        <v>-0.241789799999999</v>
      </c>
      <c r="Z4315">
        <v>4.2523640000000001E-2</v>
      </c>
      <c r="AA4315">
        <v>0.96939640000000005</v>
      </c>
      <c r="AB4315">
        <v>31</v>
      </c>
      <c r="AC4315">
        <v>-6.6580000000000696</v>
      </c>
      <c r="AD4315">
        <v>-1.105591965433</v>
      </c>
      <c r="AE4315">
        <v>-6.03669999999999</v>
      </c>
      <c r="AF4315">
        <v>-2.19755311234458</v>
      </c>
      <c r="AG4315">
        <v>-1.105591965433</v>
      </c>
      <c r="AH4315">
        <v>8.5761995765994907</v>
      </c>
      <c r="AI4315">
        <v>97.118216334234106</v>
      </c>
      <c r="AJ4315">
        <v>104.372164125008</v>
      </c>
      <c r="AK4315">
        <v>8.9220385816959293</v>
      </c>
    </row>
    <row r="4316" spans="1:37" x14ac:dyDescent="0.2">
      <c r="A4316" t="str">
        <f>"20200111155938357"</f>
        <v>20200111155938357</v>
      </c>
      <c r="B4316" t="str">
        <f>"1578729578344516"</f>
        <v>1578729578344516</v>
      </c>
      <c r="C4316" t="s">
        <v>37</v>
      </c>
      <c r="D4316">
        <v>5.5446309999999999</v>
      </c>
      <c r="E4316">
        <v>0.44231419999999999</v>
      </c>
      <c r="F4316" t="s">
        <v>71</v>
      </c>
      <c r="G4316">
        <v>-404.79629999999997</v>
      </c>
      <c r="H4316" s="1">
        <v>-3.0283350000000002E-6</v>
      </c>
      <c r="I4316">
        <v>130.05420000000001</v>
      </c>
      <c r="J4316">
        <v>-398.0847</v>
      </c>
      <c r="K4316">
        <v>1.10507</v>
      </c>
      <c r="L4316">
        <v>136.16200000000001</v>
      </c>
      <c r="M4316">
        <v>-0.88422040000000002</v>
      </c>
      <c r="N4316">
        <v>0</v>
      </c>
      <c r="O4316">
        <v>-0.46684379999999998</v>
      </c>
      <c r="P4316">
        <v>-0.83675169999999999</v>
      </c>
      <c r="Q4316">
        <v>-1.84806799999999E-3</v>
      </c>
      <c r="R4316">
        <v>-0.54757939999999905</v>
      </c>
      <c r="S4316">
        <v>-2.261139</v>
      </c>
      <c r="T4316">
        <v>-0.35818459999999902</v>
      </c>
      <c r="U4316">
        <v>-2.0248110000000001</v>
      </c>
      <c r="V4316">
        <v>-9.3583479999999997E-2</v>
      </c>
      <c r="W4316">
        <v>1.243971E-2</v>
      </c>
      <c r="X4316">
        <v>0.99553369999999997</v>
      </c>
      <c r="Y4316">
        <v>-0.2433292</v>
      </c>
      <c r="Z4316">
        <v>4.2027340000000003E-2</v>
      </c>
      <c r="AA4316">
        <v>0.96903280000000003</v>
      </c>
      <c r="AB4316">
        <v>30</v>
      </c>
      <c r="AC4316">
        <v>-6.7115999999999696</v>
      </c>
      <c r="AD4316">
        <v>-1.1050730283350001</v>
      </c>
      <c r="AE4316">
        <v>-6.1077999999999903</v>
      </c>
      <c r="AF4316">
        <v>-2.23447669747787</v>
      </c>
      <c r="AG4316">
        <v>-1.1050730283350001</v>
      </c>
      <c r="AH4316">
        <v>8.6584530430358306</v>
      </c>
      <c r="AI4316">
        <v>97.0449228593437</v>
      </c>
      <c r="AJ4316">
        <v>104.470524909487</v>
      </c>
      <c r="AK4316">
        <v>9.0101543609408594</v>
      </c>
    </row>
    <row r="4317" spans="1:37" x14ac:dyDescent="0.2">
      <c r="A4317" t="str">
        <f>"20200111155938379"</f>
        <v>20200111155938379</v>
      </c>
      <c r="B4317" t="str">
        <f>"1578729578374773"</f>
        <v>1578729578374773</v>
      </c>
      <c r="C4317" t="s">
        <v>37</v>
      </c>
      <c r="D4317">
        <v>5.4830699999999997</v>
      </c>
      <c r="E4317">
        <v>0.44349269999999902</v>
      </c>
      <c r="F4317" t="s">
        <v>71</v>
      </c>
      <c r="G4317">
        <v>-405.04590000000002</v>
      </c>
      <c r="H4317" s="1">
        <v>-3.0931599999999899E-6</v>
      </c>
      <c r="I4317">
        <v>129.9109</v>
      </c>
      <c r="J4317">
        <v>-398.35680000000002</v>
      </c>
      <c r="K4317">
        <v>1.104528</v>
      </c>
      <c r="L4317">
        <v>136.01840000000001</v>
      </c>
      <c r="M4317">
        <v>-0.88446740000000001</v>
      </c>
      <c r="N4317">
        <v>0</v>
      </c>
      <c r="O4317">
        <v>-0.46637679999999998</v>
      </c>
      <c r="P4317">
        <v>-0.83555140000000006</v>
      </c>
      <c r="Q4317">
        <v>-1.8839849999999999E-3</v>
      </c>
      <c r="R4317">
        <v>-0.54940909999999998</v>
      </c>
      <c r="S4317">
        <v>-2.2577210000000001</v>
      </c>
      <c r="T4317">
        <v>-0.35840949999999999</v>
      </c>
      <c r="U4317">
        <v>-2.0274509999999899</v>
      </c>
      <c r="V4317">
        <v>-9.6270399999999895E-2</v>
      </c>
      <c r="W4317">
        <v>1.249597E-2</v>
      </c>
      <c r="X4317">
        <v>0.99527670000000001</v>
      </c>
      <c r="Y4317">
        <v>-0.24518709999999999</v>
      </c>
      <c r="Z4317">
        <v>4.1904619999999997E-2</v>
      </c>
      <c r="AA4317">
        <v>0.96856969999999998</v>
      </c>
      <c r="AB4317">
        <v>30</v>
      </c>
      <c r="AC4317">
        <v>-6.6890999999999901</v>
      </c>
      <c r="AD4317">
        <v>-1.1045310931600001</v>
      </c>
      <c r="AE4317">
        <v>-6.1075000000000097</v>
      </c>
      <c r="AF4317">
        <v>-2.2490409446547299</v>
      </c>
      <c r="AG4317">
        <v>-1.1045310931600001</v>
      </c>
      <c r="AH4317">
        <v>8.6371763400527293</v>
      </c>
      <c r="AI4317">
        <v>97.054733878899796</v>
      </c>
      <c r="AJ4317">
        <v>104.595185650706</v>
      </c>
      <c r="AK4317">
        <v>8.9932746669751698</v>
      </c>
    </row>
    <row r="4318" spans="1:37" x14ac:dyDescent="0.2">
      <c r="A4318" t="str">
        <f>"20200111155938401"</f>
        <v>20200111155938401</v>
      </c>
      <c r="B4318" t="str">
        <f>"1578729578394811"</f>
        <v>1578729578394811</v>
      </c>
      <c r="C4318" t="s">
        <v>37</v>
      </c>
      <c r="D4318">
        <v>5.5792529999999996</v>
      </c>
      <c r="E4318">
        <v>0.44419609999999898</v>
      </c>
      <c r="F4318" t="s">
        <v>71</v>
      </c>
      <c r="G4318">
        <v>-405.24549999999999</v>
      </c>
      <c r="H4318" s="1">
        <v>-3.1976309999999999E-6</v>
      </c>
      <c r="I4318">
        <v>129.84299999999999</v>
      </c>
      <c r="J4318">
        <v>-398.62040000000002</v>
      </c>
      <c r="K4318">
        <v>1.1039920000000001</v>
      </c>
      <c r="L4318">
        <v>135.88030000000001</v>
      </c>
      <c r="M4318">
        <v>-0.88497999999999899</v>
      </c>
      <c r="N4318">
        <v>0</v>
      </c>
      <c r="O4318">
        <v>-0.46540389999999998</v>
      </c>
      <c r="P4318">
        <v>-0.83433609999999903</v>
      </c>
      <c r="Q4318">
        <v>-1.7527979999999901E-3</v>
      </c>
      <c r="R4318">
        <v>-0.551253199999999</v>
      </c>
      <c r="S4318">
        <v>-2.25839199999999</v>
      </c>
      <c r="T4318">
        <v>-0.36210999999999999</v>
      </c>
      <c r="U4318">
        <v>-2.0245669999999998</v>
      </c>
      <c r="V4318">
        <v>-9.9546579999999996E-2</v>
      </c>
      <c r="W4318">
        <v>1.273056E-2</v>
      </c>
      <c r="X4318">
        <v>0.99495149999999999</v>
      </c>
      <c r="Y4318">
        <v>-0.2454441</v>
      </c>
      <c r="Z4318">
        <v>4.2216009999999998E-2</v>
      </c>
      <c r="AA4318">
        <v>0.96849110000000005</v>
      </c>
      <c r="AB4318">
        <v>30</v>
      </c>
      <c r="AC4318">
        <v>-6.6250999999999696</v>
      </c>
      <c r="AD4318">
        <v>-1.1039951976310001</v>
      </c>
      <c r="AE4318">
        <v>-6.0373000000000099</v>
      </c>
      <c r="AF4318">
        <v>-2.2260097333126501</v>
      </c>
      <c r="AG4318">
        <v>-1.1039951976310001</v>
      </c>
      <c r="AH4318">
        <v>8.5441546936673607</v>
      </c>
      <c r="AI4318">
        <v>97.127089598806904</v>
      </c>
      <c r="AJ4318">
        <v>104.602663453242</v>
      </c>
      <c r="AK4318">
        <v>8.8981180121704906</v>
      </c>
    </row>
    <row r="4319" spans="1:37" x14ac:dyDescent="0.2">
      <c r="A4319" t="str">
        <f>"20200111155938424"</f>
        <v>20200111155938424</v>
      </c>
      <c r="B4319" t="str">
        <f>"1578729578414320"</f>
        <v>1578729578414320</v>
      </c>
      <c r="C4319" t="s">
        <v>37</v>
      </c>
      <c r="D4319">
        <v>5.5015989999999997</v>
      </c>
      <c r="E4319">
        <v>0.44483779999999901</v>
      </c>
      <c r="F4319" t="s">
        <v>71</v>
      </c>
      <c r="G4319">
        <v>-405.44130000000001</v>
      </c>
      <c r="H4319" s="1">
        <v>-3.2926409999999899E-6</v>
      </c>
      <c r="I4319">
        <v>129.7604</v>
      </c>
      <c r="J4319">
        <v>-398.89830000000001</v>
      </c>
      <c r="K4319">
        <v>1.1034459999999999</v>
      </c>
      <c r="L4319">
        <v>135.73570000000001</v>
      </c>
      <c r="M4319">
        <v>-0.88578690000000004</v>
      </c>
      <c r="N4319">
        <v>0</v>
      </c>
      <c r="O4319">
        <v>-0.46386689999999903</v>
      </c>
      <c r="P4319">
        <v>-0.83430110000000002</v>
      </c>
      <c r="Q4319">
        <v>-8.9437039999999896E-4</v>
      </c>
      <c r="R4319">
        <v>-0.55130829999999997</v>
      </c>
      <c r="S4319">
        <v>-2.256958</v>
      </c>
      <c r="T4319">
        <v>-0.36529479999999998</v>
      </c>
      <c r="U4319">
        <v>-2.0249790000000001</v>
      </c>
      <c r="V4319">
        <v>-0.10131950000000001</v>
      </c>
      <c r="W4319">
        <v>1.370942E-2</v>
      </c>
      <c r="X4319">
        <v>0.99475949999999902</v>
      </c>
      <c r="Y4319">
        <v>-0.247532</v>
      </c>
      <c r="Z4319">
        <v>4.228266E-2</v>
      </c>
      <c r="AA4319">
        <v>0.967956699999999</v>
      </c>
      <c r="AB4319">
        <v>30</v>
      </c>
      <c r="AC4319">
        <v>-6.5430000000000001</v>
      </c>
      <c r="AD4319">
        <v>-1.103449292641</v>
      </c>
      <c r="AE4319">
        <v>-5.9752999999999998</v>
      </c>
      <c r="AF4319">
        <v>-2.2235154252555298</v>
      </c>
      <c r="AG4319">
        <v>-1.103449292641</v>
      </c>
      <c r="AH4319">
        <v>8.43749581736874</v>
      </c>
      <c r="AI4319">
        <v>97.207465076842695</v>
      </c>
      <c r="AJ4319">
        <v>104.763386912632</v>
      </c>
      <c r="AK4319">
        <v>8.7950529762983294</v>
      </c>
    </row>
    <row r="4320" spans="1:37" x14ac:dyDescent="0.2">
      <c r="A4320" t="str">
        <f>"20200111155938446"</f>
        <v>20200111155938446</v>
      </c>
      <c r="B4320" t="str">
        <f>"1578729578434817"</f>
        <v>1578729578434817</v>
      </c>
      <c r="C4320" t="s">
        <v>37</v>
      </c>
      <c r="D4320">
        <v>5.5033769999999897</v>
      </c>
      <c r="E4320">
        <v>0.44567519999999999</v>
      </c>
      <c r="F4320" t="s">
        <v>71</v>
      </c>
      <c r="G4320">
        <v>-405.69349999999997</v>
      </c>
      <c r="H4320" s="1">
        <v>-3.4165319999999999E-6</v>
      </c>
      <c r="I4320">
        <v>129.6574</v>
      </c>
      <c r="J4320">
        <v>-399.16039999999998</v>
      </c>
      <c r="K4320">
        <v>1.102965</v>
      </c>
      <c r="L4320">
        <v>135.60069999999999</v>
      </c>
      <c r="M4320">
        <v>-0.88679240000000004</v>
      </c>
      <c r="N4320">
        <v>0</v>
      </c>
      <c r="O4320">
        <v>-0.46194200000000002</v>
      </c>
      <c r="P4320">
        <v>-0.83483490000000005</v>
      </c>
      <c r="Q4320">
        <v>-3.6240049999999998E-4</v>
      </c>
      <c r="R4320">
        <v>-0.55050080000000001</v>
      </c>
      <c r="S4320">
        <v>-2.2597049999999999</v>
      </c>
      <c r="T4320">
        <v>-0.36694919999999998</v>
      </c>
      <c r="U4320">
        <v>-2.0213169999999998</v>
      </c>
      <c r="V4320">
        <v>-0.1024991</v>
      </c>
      <c r="W4320">
        <v>1.4353090000000001E-2</v>
      </c>
      <c r="X4320">
        <v>0.9946296</v>
      </c>
      <c r="Y4320">
        <v>-0.24817710000000001</v>
      </c>
      <c r="Z4320">
        <v>4.2194969999999998E-2</v>
      </c>
      <c r="AA4320">
        <v>0.96779530000000002</v>
      </c>
      <c r="AB4320">
        <v>30</v>
      </c>
      <c r="AC4320">
        <v>-6.5330999999999904</v>
      </c>
      <c r="AD4320">
        <v>-1.102968416532</v>
      </c>
      <c r="AE4320">
        <v>-5.94329999999999</v>
      </c>
      <c r="AF4320">
        <v>-2.21820057784055</v>
      </c>
      <c r="AG4320">
        <v>-1.102968416532</v>
      </c>
      <c r="AH4320">
        <v>8.4087142815508695</v>
      </c>
      <c r="AI4320">
        <v>97.228279987476199</v>
      </c>
      <c r="AJ4320">
        <v>104.777848290553</v>
      </c>
      <c r="AK4320">
        <v>8.7660383868744791</v>
      </c>
    </row>
    <row r="4321" spans="1:37" x14ac:dyDescent="0.2">
      <c r="A4321" t="str">
        <f>"20200111155938468"</f>
        <v>20200111155938468</v>
      </c>
      <c r="B4321" t="str">
        <f>"1578729578464097"</f>
        <v>1578729578464097</v>
      </c>
      <c r="C4321" t="s">
        <v>37</v>
      </c>
      <c r="D4321">
        <v>5.5412869999999996</v>
      </c>
      <c r="E4321">
        <v>0.4461811</v>
      </c>
      <c r="F4321" t="s">
        <v>71</v>
      </c>
      <c r="G4321">
        <v>-405.89179999999999</v>
      </c>
      <c r="H4321">
        <v>1.0134870000000001E-2</v>
      </c>
      <c r="I4321">
        <v>129.61580000000001</v>
      </c>
      <c r="J4321">
        <v>-399.42649999999998</v>
      </c>
      <c r="K4321">
        <v>1.1025430000000001</v>
      </c>
      <c r="L4321">
        <v>135.465</v>
      </c>
      <c r="M4321">
        <v>-0.88802499999999995</v>
      </c>
      <c r="N4321">
        <v>0</v>
      </c>
      <c r="O4321">
        <v>-0.45956859999999999</v>
      </c>
      <c r="P4321">
        <v>-0.83635170000000003</v>
      </c>
      <c r="Q4321">
        <v>-1.461377E-3</v>
      </c>
      <c r="R4321">
        <v>-0.54819209999999996</v>
      </c>
      <c r="S4321">
        <v>-2.2652890000000001</v>
      </c>
      <c r="T4321">
        <v>-0.36776199999999998</v>
      </c>
      <c r="U4321">
        <v>-2.0140530000000001</v>
      </c>
      <c r="V4321">
        <v>-0.1024009</v>
      </c>
      <c r="W4321">
        <v>1.3353250000000001E-2</v>
      </c>
      <c r="X4321">
        <v>0.99465360000000003</v>
      </c>
      <c r="Y4321">
        <v>-0.2478447</v>
      </c>
      <c r="Z4321">
        <v>4.2010390000000002E-2</v>
      </c>
      <c r="AA4321">
        <v>0.96788850000000004</v>
      </c>
      <c r="AB4321">
        <v>30</v>
      </c>
      <c r="AC4321">
        <v>-6.4653000000000098</v>
      </c>
      <c r="AD4321">
        <v>-1.0924081299999999</v>
      </c>
      <c r="AE4321">
        <v>-5.84919999999999</v>
      </c>
      <c r="AF4321">
        <v>-2.1888550079386602</v>
      </c>
      <c r="AG4321">
        <v>-1.0924081299999999</v>
      </c>
      <c r="AH4321">
        <v>8.3000300107082907</v>
      </c>
      <c r="AI4321">
        <v>97.252700501579298</v>
      </c>
      <c r="AJ4321">
        <v>104.773492460494</v>
      </c>
      <c r="AK4321">
        <v>8.6530306798789596</v>
      </c>
    </row>
    <row r="4322" spans="1:37" x14ac:dyDescent="0.2">
      <c r="A4322" t="str">
        <f>"20200111155938490"</f>
        <v>20200111155938490</v>
      </c>
      <c r="B4322" t="str">
        <f>"1578729578484592"</f>
        <v>1578729578484592</v>
      </c>
      <c r="C4322" t="s">
        <v>37</v>
      </c>
      <c r="D4322">
        <v>5.4844369999999998</v>
      </c>
      <c r="E4322">
        <v>0.44523800000000002</v>
      </c>
      <c r="F4322" t="s">
        <v>71</v>
      </c>
      <c r="G4322">
        <v>-406.05739999999997</v>
      </c>
      <c r="H4322">
        <v>2.079684E-2</v>
      </c>
      <c r="I4322">
        <v>129.6157</v>
      </c>
      <c r="J4322">
        <v>-399.70249999999999</v>
      </c>
      <c r="K4322">
        <v>1.1021939999999999</v>
      </c>
      <c r="L4322">
        <v>135.32570000000001</v>
      </c>
      <c r="M4322">
        <v>-0.88946289999999995</v>
      </c>
      <c r="N4322">
        <v>0</v>
      </c>
      <c r="O4322">
        <v>-0.45677970000000001</v>
      </c>
      <c r="P4322">
        <v>-0.83868719999999997</v>
      </c>
      <c r="Q4322">
        <v>-1.735665E-3</v>
      </c>
      <c r="R4322">
        <v>-0.54461119999999996</v>
      </c>
      <c r="S4322">
        <v>-2.2724609999999998</v>
      </c>
      <c r="T4322">
        <v>-0.37071989999999999</v>
      </c>
      <c r="U4322">
        <v>-2.0046080000000002</v>
      </c>
      <c r="V4322">
        <v>-0.1012595</v>
      </c>
      <c r="W4322">
        <v>1.315586E-2</v>
      </c>
      <c r="X4322">
        <v>0.99477299999999902</v>
      </c>
      <c r="Y4322">
        <v>-0.24711620000000001</v>
      </c>
      <c r="Z4322">
        <v>4.2037699999999997E-2</v>
      </c>
      <c r="AA4322">
        <v>0.96807350000000003</v>
      </c>
      <c r="AB4322">
        <v>30</v>
      </c>
      <c r="AC4322">
        <v>-6.3548999999999802</v>
      </c>
      <c r="AD4322">
        <v>-1.0813971600000001</v>
      </c>
      <c r="AE4322">
        <v>-5.71</v>
      </c>
      <c r="AF4322">
        <v>-2.14195211371212</v>
      </c>
      <c r="AG4322">
        <v>-1.0813971600000001</v>
      </c>
      <c r="AH4322">
        <v>8.1312414374141095</v>
      </c>
      <c r="AI4322">
        <v>97.328335023041504</v>
      </c>
      <c r="AJ4322">
        <v>104.75774185775199</v>
      </c>
      <c r="AK4322">
        <v>8.4778809845746306</v>
      </c>
    </row>
    <row r="4323" spans="1:37" x14ac:dyDescent="0.2">
      <c r="A4323" t="str">
        <f>"20200111155938513"</f>
        <v>20200111155938513</v>
      </c>
      <c r="B4323" t="str">
        <f>"1578729578504620"</f>
        <v>1578729578504620</v>
      </c>
      <c r="C4323" t="s">
        <v>37</v>
      </c>
      <c r="D4323">
        <v>5.3878769999999996</v>
      </c>
      <c r="E4323">
        <v>0.44424219999999998</v>
      </c>
      <c r="F4323" t="s">
        <v>71</v>
      </c>
      <c r="G4323">
        <v>-406.20159999999998</v>
      </c>
      <c r="H4323">
        <v>5.4520480000000003E-2</v>
      </c>
      <c r="I4323">
        <v>129.60939999999999</v>
      </c>
      <c r="J4323">
        <v>-399.97190000000001</v>
      </c>
      <c r="K4323">
        <v>1.101928</v>
      </c>
      <c r="L4323">
        <v>135.19120000000001</v>
      </c>
      <c r="M4323">
        <v>-0.89097850000000001</v>
      </c>
      <c r="N4323">
        <v>0</v>
      </c>
      <c r="O4323">
        <v>-0.45381640000000001</v>
      </c>
      <c r="P4323">
        <v>-0.84154289999999998</v>
      </c>
      <c r="Q4323">
        <v>-2.733278E-3</v>
      </c>
      <c r="R4323">
        <v>-0.54018350000000004</v>
      </c>
      <c r="S4323">
        <v>-2.2762150000000001</v>
      </c>
      <c r="T4323">
        <v>-0.36693300000000001</v>
      </c>
      <c r="U4323">
        <v>-2.00205999999999</v>
      </c>
      <c r="V4323">
        <v>-9.9326620000000004E-2</v>
      </c>
      <c r="W4323">
        <v>1.220656E-2</v>
      </c>
      <c r="X4323">
        <v>0.99497999999999998</v>
      </c>
      <c r="Y4323">
        <v>-0.24888469999999999</v>
      </c>
      <c r="Z4323">
        <v>4.1117559999999997E-2</v>
      </c>
      <c r="AA4323">
        <v>0.96765999999999996</v>
      </c>
      <c r="AB4323">
        <v>30</v>
      </c>
      <c r="AC4323">
        <v>-6.2296999999999798</v>
      </c>
      <c r="AD4323">
        <v>-1.0474075199999999</v>
      </c>
      <c r="AE4323">
        <v>-5.5818000000000101</v>
      </c>
      <c r="AF4323">
        <v>-2.113211789498</v>
      </c>
      <c r="AG4323">
        <v>-1.0474075199999999</v>
      </c>
      <c r="AH4323">
        <v>7.9596741111543903</v>
      </c>
      <c r="AI4323">
        <v>97.248153393390595</v>
      </c>
      <c r="AJ4323">
        <v>104.86844255598599</v>
      </c>
      <c r="AK4323">
        <v>8.3017551479194598</v>
      </c>
    </row>
    <row r="4324" spans="1:37" x14ac:dyDescent="0.2">
      <c r="A4324" t="str">
        <f>"20200111155938534"</f>
        <v>20200111155938534</v>
      </c>
      <c r="B4324" t="str">
        <f>"1578729578524140"</f>
        <v>1578729578524140</v>
      </c>
      <c r="C4324" t="s">
        <v>37</v>
      </c>
      <c r="D4324">
        <v>5.4174939999999996</v>
      </c>
      <c r="E4324">
        <v>0.44351279999999998</v>
      </c>
      <c r="F4324" t="s">
        <v>71</v>
      </c>
      <c r="G4324">
        <v>-406.39</v>
      </c>
      <c r="H4324">
        <v>7.6030050000000002E-2</v>
      </c>
      <c r="I4324">
        <v>129.5736</v>
      </c>
      <c r="J4324">
        <v>-400.23860000000002</v>
      </c>
      <c r="K4324">
        <v>1.1017269999999999</v>
      </c>
      <c r="L4324">
        <v>135.05930000000001</v>
      </c>
      <c r="M4324">
        <v>-0.89255209999999996</v>
      </c>
      <c r="N4324">
        <v>0</v>
      </c>
      <c r="O4324">
        <v>-0.45071359999999899</v>
      </c>
      <c r="P4324">
        <v>-0.84474930000000004</v>
      </c>
      <c r="Q4324">
        <v>-2.9513479999999999E-3</v>
      </c>
      <c r="R4324">
        <v>-0.53515429999999997</v>
      </c>
      <c r="S4324">
        <v>-2.2817379999999998</v>
      </c>
      <c r="T4324">
        <v>-0.36472470000000001</v>
      </c>
      <c r="U4324">
        <v>-1.997147</v>
      </c>
      <c r="V4324">
        <v>-9.6849469999999993E-2</v>
      </c>
      <c r="W4324">
        <v>1.2013930000000001E-2</v>
      </c>
      <c r="X4324">
        <v>0.99522649999999901</v>
      </c>
      <c r="Y4324">
        <v>-0.2498746</v>
      </c>
      <c r="Z4324">
        <v>4.0409609999999999E-2</v>
      </c>
      <c r="AA4324">
        <v>0.96743459999999903</v>
      </c>
      <c r="AB4324">
        <v>30</v>
      </c>
      <c r="AC4324">
        <v>-6.1513999999999598</v>
      </c>
      <c r="AD4324">
        <v>-1.0256969499999999</v>
      </c>
      <c r="AE4324">
        <v>-5.4856999999999996</v>
      </c>
      <c r="AF4324">
        <v>-2.0915825464428401</v>
      </c>
      <c r="AG4324">
        <v>-1.0256969499999999</v>
      </c>
      <c r="AH4324">
        <v>7.8423012542216499</v>
      </c>
      <c r="AI4324">
        <v>97.202457074551702</v>
      </c>
      <c r="AJ4324">
        <v>104.933478529864</v>
      </c>
      <c r="AK4324">
        <v>8.1809816491537308</v>
      </c>
    </row>
    <row r="4325" spans="1:37" x14ac:dyDescent="0.2">
      <c r="A4325" t="str">
        <f>"20200111155938557"</f>
        <v>20200111155938557</v>
      </c>
      <c r="B4325" t="str">
        <f>"1578729578554397"</f>
        <v>1578729578554397</v>
      </c>
      <c r="C4325" t="s">
        <v>37</v>
      </c>
      <c r="D4325">
        <v>5.3350790000000003</v>
      </c>
      <c r="E4325">
        <v>0.44168190000000002</v>
      </c>
      <c r="F4325" t="s">
        <v>71</v>
      </c>
      <c r="G4325">
        <v>-406.71550000000002</v>
      </c>
      <c r="H4325">
        <v>7.9987039999999995E-2</v>
      </c>
      <c r="I4325">
        <v>129.43340000000001</v>
      </c>
      <c r="J4325">
        <v>-400.50959999999998</v>
      </c>
      <c r="K4325">
        <v>1.1015809999999999</v>
      </c>
      <c r="L4325">
        <v>134.92670000000001</v>
      </c>
      <c r="M4325">
        <v>-0.89418759999999997</v>
      </c>
      <c r="N4325">
        <v>0</v>
      </c>
      <c r="O4325">
        <v>-0.44746079999999999</v>
      </c>
      <c r="P4325">
        <v>-0.8485973</v>
      </c>
      <c r="Q4325">
        <v>-3.5072940000000002E-3</v>
      </c>
      <c r="R4325">
        <v>-0.5290281</v>
      </c>
      <c r="S4325">
        <v>-2.2899780000000001</v>
      </c>
      <c r="T4325">
        <v>-0.36124990000000001</v>
      </c>
      <c r="U4325">
        <v>-1.98909</v>
      </c>
      <c r="V4325">
        <v>-9.3271729999999997E-2</v>
      </c>
      <c r="W4325">
        <v>1.146226E-2</v>
      </c>
      <c r="X4325">
        <v>0.99557469999999904</v>
      </c>
      <c r="Y4325">
        <v>-0.249695899999999</v>
      </c>
      <c r="Z4325">
        <v>3.9615940000000002E-2</v>
      </c>
      <c r="AA4325">
        <v>0.96751359999999997</v>
      </c>
      <c r="AB4325">
        <v>30</v>
      </c>
      <c r="AC4325">
        <v>-6.2059000000000397</v>
      </c>
      <c r="AD4325">
        <v>-1.0215939599999999</v>
      </c>
      <c r="AE4325">
        <v>-5.4932999999999996</v>
      </c>
      <c r="AF4325">
        <v>-2.1034064701585802</v>
      </c>
      <c r="AG4325">
        <v>-1.0215939599999999</v>
      </c>
      <c r="AH4325">
        <v>7.8882531603728303</v>
      </c>
      <c r="AI4325">
        <v>97.132683625978899</v>
      </c>
      <c r="AJ4325">
        <v>104.930551173696</v>
      </c>
      <c r="AK4325">
        <v>8.2275458625245808</v>
      </c>
    </row>
    <row r="4326" spans="1:37" x14ac:dyDescent="0.2">
      <c r="A4326" t="str">
        <f>"20200111155938580"</f>
        <v>20200111155938580</v>
      </c>
      <c r="B4326" t="str">
        <f>"1578729578574892"</f>
        <v>1578729578574892</v>
      </c>
      <c r="C4326" t="s">
        <v>37</v>
      </c>
      <c r="D4326">
        <v>5.3372419999999998</v>
      </c>
      <c r="E4326">
        <v>0.44061830000000002</v>
      </c>
      <c r="F4326" t="s">
        <v>71</v>
      </c>
      <c r="G4326">
        <v>-406.97550000000001</v>
      </c>
      <c r="H4326">
        <v>7.9987039999999995E-2</v>
      </c>
      <c r="I4326">
        <v>129.33690000000001</v>
      </c>
      <c r="J4326">
        <v>-400.7894</v>
      </c>
      <c r="K4326">
        <v>1.1014790000000001</v>
      </c>
      <c r="L4326">
        <v>134.7911</v>
      </c>
      <c r="M4326">
        <v>-0.89588619999999997</v>
      </c>
      <c r="N4326">
        <v>0</v>
      </c>
      <c r="O4326">
        <v>-0.44405070000000002</v>
      </c>
      <c r="P4326">
        <v>-0.85261880000000001</v>
      </c>
      <c r="Q4326">
        <v>-3.9463019999999996E-3</v>
      </c>
      <c r="R4326">
        <v>-0.52251930000000002</v>
      </c>
      <c r="S4326">
        <v>-2.2962340000000001</v>
      </c>
      <c r="T4326">
        <v>-0.362795599999999</v>
      </c>
      <c r="U4326">
        <v>-1.985077</v>
      </c>
      <c r="V4326">
        <v>-8.9447589999999993E-2</v>
      </c>
      <c r="W4326">
        <v>1.1014060000000001E-2</v>
      </c>
      <c r="X4326">
        <v>0.9959306</v>
      </c>
      <c r="Y4326">
        <v>-0.25109209999999998</v>
      </c>
      <c r="Z4326">
        <v>3.9247539999999997E-2</v>
      </c>
      <c r="AA4326">
        <v>0.96716719999999901</v>
      </c>
      <c r="AB4326">
        <v>30</v>
      </c>
      <c r="AC4326">
        <v>-6.1860999999999997</v>
      </c>
      <c r="AD4326">
        <v>-1.0214919600000001</v>
      </c>
      <c r="AE4326">
        <v>-5.4541999999999797</v>
      </c>
      <c r="AF4326">
        <v>-2.1072935132577602</v>
      </c>
      <c r="AG4326">
        <v>-1.0214919600000001</v>
      </c>
      <c r="AH4326">
        <v>7.8444638074786202</v>
      </c>
      <c r="AI4326">
        <v>97.167861906796503</v>
      </c>
      <c r="AJ4326">
        <v>105.03662800176799</v>
      </c>
      <c r="AK4326">
        <v>8.1865587521378593</v>
      </c>
    </row>
    <row r="4327" spans="1:37" x14ac:dyDescent="0.2">
      <c r="A4327" t="str">
        <f>"20200111155938602"</f>
        <v>20200111155938602</v>
      </c>
      <c r="B4327" t="str">
        <f>"1578729578594920"</f>
        <v>1578729578594920</v>
      </c>
      <c r="C4327" t="s">
        <v>37</v>
      </c>
      <c r="D4327">
        <v>5.3627120000000001</v>
      </c>
      <c r="E4327">
        <v>0.41645569999999998</v>
      </c>
      <c r="F4327" t="s">
        <v>71</v>
      </c>
      <c r="G4327">
        <v>-407.27440000000001</v>
      </c>
      <c r="H4327">
        <v>7.9987030000000001E-2</v>
      </c>
      <c r="I4327">
        <v>129.24029999999999</v>
      </c>
      <c r="J4327">
        <v>-401.06180000000001</v>
      </c>
      <c r="K4327">
        <v>1.1014189999999999</v>
      </c>
      <c r="L4327">
        <v>134.66040000000001</v>
      </c>
      <c r="M4327">
        <v>-0.89753130000000003</v>
      </c>
      <c r="N4327">
        <v>0</v>
      </c>
      <c r="O4327">
        <v>-0.44071589999999999</v>
      </c>
      <c r="P4327">
        <v>-0.85650400000000004</v>
      </c>
      <c r="Q4327">
        <v>-4.8756620000000002E-3</v>
      </c>
      <c r="R4327">
        <v>-0.51611750000000001</v>
      </c>
      <c r="S4327">
        <v>-2.3068240000000002</v>
      </c>
      <c r="T4327">
        <v>-0.36335889999999998</v>
      </c>
      <c r="U4327">
        <v>-1.9745029999999999</v>
      </c>
      <c r="V4327">
        <v>-8.5697570000000001E-2</v>
      </c>
      <c r="W4327">
        <v>1.006664E-2</v>
      </c>
      <c r="X4327">
        <v>0.9962704</v>
      </c>
      <c r="Y4327">
        <v>-0.249927599999999</v>
      </c>
      <c r="Z4327">
        <v>3.8936850000000002E-2</v>
      </c>
      <c r="AA4327">
        <v>0.96748129999999999</v>
      </c>
      <c r="AB4327">
        <v>30</v>
      </c>
      <c r="AC4327">
        <v>-6.2126000000000001</v>
      </c>
      <c r="AD4327">
        <v>-1.0214319700000001</v>
      </c>
      <c r="AE4327">
        <v>-5.4201000000000104</v>
      </c>
      <c r="AF4327">
        <v>-2.0947853942795298</v>
      </c>
      <c r="AG4327">
        <v>-1.0214319700000001</v>
      </c>
      <c r="AH4327">
        <v>7.8451378108509697</v>
      </c>
      <c r="AI4327">
        <v>97.1697032498532</v>
      </c>
      <c r="AJ4327">
        <v>104.950157120154</v>
      </c>
      <c r="AK4327">
        <v>8.1839865828744198</v>
      </c>
    </row>
    <row r="4328" spans="1:37" x14ac:dyDescent="0.2">
      <c r="A4328" t="str">
        <f>"20200111155938626"</f>
        <v>20200111155938626</v>
      </c>
      <c r="B4328" t="str">
        <f>"1578729578614441"</f>
        <v>1578729578614441</v>
      </c>
      <c r="C4328" t="s">
        <v>37</v>
      </c>
      <c r="D4328">
        <v>5.3231400000000004</v>
      </c>
      <c r="E4328">
        <v>0.41432570000000002</v>
      </c>
      <c r="F4328" t="s">
        <v>71</v>
      </c>
      <c r="G4328">
        <v>-407.48829999999998</v>
      </c>
      <c r="H4328">
        <v>7.9987150000000007E-2</v>
      </c>
      <c r="I4328">
        <v>128.5231</v>
      </c>
      <c r="J4328">
        <v>-401.33089999999999</v>
      </c>
      <c r="K4328">
        <v>1.1013899999999901</v>
      </c>
      <c r="L4328">
        <v>134.5325</v>
      </c>
      <c r="M4328">
        <v>-0.89913860000000001</v>
      </c>
      <c r="N4328">
        <v>0</v>
      </c>
      <c r="O4328">
        <v>-0.43742759999999897</v>
      </c>
      <c r="P4328">
        <v>-0.85974889999999904</v>
      </c>
      <c r="Q4328">
        <v>-5.2927069999999998E-3</v>
      </c>
      <c r="R4328">
        <v>-0.51068990000000003</v>
      </c>
      <c r="S4328">
        <v>-2.221924</v>
      </c>
      <c r="T4328">
        <v>-0.35315570000000002</v>
      </c>
      <c r="U4328">
        <v>-2.1219329999999998</v>
      </c>
      <c r="V4328">
        <v>-8.3045350000000004E-2</v>
      </c>
      <c r="W4328">
        <v>9.6327400000000007E-3</v>
      </c>
      <c r="X4328">
        <v>0.99649920000000003</v>
      </c>
      <c r="Y4328">
        <v>-0.30531750000000002</v>
      </c>
      <c r="Z4328">
        <v>3.3986450000000001E-2</v>
      </c>
      <c r="AA4328">
        <v>0.95164389999999999</v>
      </c>
      <c r="AB4328">
        <v>30</v>
      </c>
      <c r="AC4328">
        <v>-6.1573999999999902</v>
      </c>
      <c r="AD4328">
        <v>-1.0214028500000001</v>
      </c>
      <c r="AE4328">
        <v>-6.0093999999999896</v>
      </c>
      <c r="AF4328">
        <v>-2.6724835117228798</v>
      </c>
      <c r="AG4328">
        <v>-1.0214028500000001</v>
      </c>
      <c r="AH4328">
        <v>8.0523947668537303</v>
      </c>
      <c r="AI4328">
        <v>96.864659437711197</v>
      </c>
      <c r="AJ4328">
        <v>108.360324124779</v>
      </c>
      <c r="AK4328">
        <v>8.5455540126823895</v>
      </c>
    </row>
    <row r="4329" spans="1:37" x14ac:dyDescent="0.2">
      <c r="A4329" t="str">
        <f>"20200111155938648"</f>
        <v>20200111155938648</v>
      </c>
      <c r="B4329" t="str">
        <f>"1578729578644697"</f>
        <v>1578729578644697</v>
      </c>
      <c r="C4329" t="s">
        <v>37</v>
      </c>
      <c r="D4329">
        <v>5.2792139999999996</v>
      </c>
      <c r="E4329">
        <v>0.4125875</v>
      </c>
      <c r="F4329" t="s">
        <v>71</v>
      </c>
      <c r="G4329">
        <v>-407.58089999999999</v>
      </c>
      <c r="H4329">
        <v>7.9987180000000005E-2</v>
      </c>
      <c r="I4329">
        <v>128.57570000000001</v>
      </c>
      <c r="J4329">
        <v>-401.60390000000001</v>
      </c>
      <c r="K4329">
        <v>1.10137</v>
      </c>
      <c r="L4329">
        <v>134.4041</v>
      </c>
      <c r="M4329">
        <v>-0.90074519999999902</v>
      </c>
      <c r="N4329">
        <v>0</v>
      </c>
      <c r="O4329">
        <v>-0.4341102</v>
      </c>
      <c r="P4329">
        <v>-0.86233309999999996</v>
      </c>
      <c r="Q4329">
        <v>-6.2081879999999999E-3</v>
      </c>
      <c r="R4329">
        <v>-0.50630350000000002</v>
      </c>
      <c r="S4329">
        <v>-2.2265929999999998</v>
      </c>
      <c r="T4329">
        <v>-0.36388159999999897</v>
      </c>
      <c r="U4329">
        <v>-2.122147</v>
      </c>
      <c r="V4329">
        <v>-8.1651840000000003E-2</v>
      </c>
      <c r="W4329">
        <v>8.7048560000000004E-3</v>
      </c>
      <c r="X4329">
        <v>0.99662289999999998</v>
      </c>
      <c r="Y4329">
        <v>-0.30788169999999998</v>
      </c>
      <c r="Z4329">
        <v>3.4403959999999997E-2</v>
      </c>
      <c r="AA4329">
        <v>0.95080239999999905</v>
      </c>
      <c r="AB4329">
        <v>30</v>
      </c>
      <c r="AC4329">
        <v>-5.9769999999999701</v>
      </c>
      <c r="AD4329">
        <v>-1.0213828199999999</v>
      </c>
      <c r="AE4329">
        <v>-5.8283999999999798</v>
      </c>
      <c r="AF4329">
        <v>-2.6163382136853</v>
      </c>
      <c r="AG4329">
        <v>-1.0213828199999999</v>
      </c>
      <c r="AH4329">
        <v>7.79801466422823</v>
      </c>
      <c r="AI4329">
        <v>97.078579718925894</v>
      </c>
      <c r="AJ4329">
        <v>108.547291642785</v>
      </c>
      <c r="AK4329">
        <v>8.2883943690499997</v>
      </c>
    </row>
    <row r="4330" spans="1:37" x14ac:dyDescent="0.2">
      <c r="A4330" t="str">
        <f>"20200111155938670"</f>
        <v>20200111155938670</v>
      </c>
      <c r="B4330" t="str">
        <f>"1578729578664217"</f>
        <v>1578729578664217</v>
      </c>
      <c r="C4330" t="s">
        <v>37</v>
      </c>
      <c r="D4330">
        <v>5.2727789999999999</v>
      </c>
      <c r="E4330">
        <v>0.4112307</v>
      </c>
      <c r="F4330" t="s">
        <v>71</v>
      </c>
      <c r="G4330">
        <v>-408.09449999999998</v>
      </c>
      <c r="H4330">
        <v>7.9987219999999998E-2</v>
      </c>
      <c r="I4330">
        <v>128.2261</v>
      </c>
      <c r="J4330">
        <v>-401.87369999999999</v>
      </c>
      <c r="K4330">
        <v>1.101356</v>
      </c>
      <c r="L4330">
        <v>134.2784</v>
      </c>
      <c r="M4330">
        <v>-0.90230719999999998</v>
      </c>
      <c r="N4330">
        <v>0</v>
      </c>
      <c r="O4330">
        <v>-0.43085400000000001</v>
      </c>
      <c r="P4330">
        <v>-0.86414159999999995</v>
      </c>
      <c r="Q4330">
        <v>-7.9459170000000003E-3</v>
      </c>
      <c r="R4330">
        <v>-0.50318589999999996</v>
      </c>
      <c r="S4330">
        <v>-2.2301329999999999</v>
      </c>
      <c r="T4330">
        <v>-0.3509429</v>
      </c>
      <c r="U4330">
        <v>-2.1227109999999998</v>
      </c>
      <c r="V4330">
        <v>-8.1670519999999996E-2</v>
      </c>
      <c r="W4330">
        <v>6.961592E-3</v>
      </c>
      <c r="X4330">
        <v>0.9966351</v>
      </c>
      <c r="Y4330">
        <v>-0.31061109999999997</v>
      </c>
      <c r="Z4330">
        <v>3.261054E-2</v>
      </c>
      <c r="AA4330">
        <v>0.94997749999999903</v>
      </c>
      <c r="AB4330">
        <v>30</v>
      </c>
      <c r="AC4330">
        <v>-6.2207999999999899</v>
      </c>
      <c r="AD4330">
        <v>-1.02136878</v>
      </c>
      <c r="AE4330">
        <v>-6.0522999999999998</v>
      </c>
      <c r="AF4330">
        <v>-2.7430768527663201</v>
      </c>
      <c r="AG4330">
        <v>-1.02136878</v>
      </c>
      <c r="AH4330">
        <v>8.109277558814</v>
      </c>
      <c r="AI4330">
        <v>96.803775973911897</v>
      </c>
      <c r="AJ4330">
        <v>108.688828568726</v>
      </c>
      <c r="AK4330">
        <v>8.6213715458055393</v>
      </c>
    </row>
    <row r="4331" spans="1:37" x14ac:dyDescent="0.2">
      <c r="A4331" t="str">
        <f>"20200111155938692"</f>
        <v>20200111155938692</v>
      </c>
      <c r="B4331" t="str">
        <f>"1578729578684713"</f>
        <v>1578729578684713</v>
      </c>
      <c r="C4331" t="s">
        <v>37</v>
      </c>
      <c r="D4331">
        <v>5.2087699999999897</v>
      </c>
      <c r="E4331">
        <v>0.41055900000000001</v>
      </c>
      <c r="F4331" t="s">
        <v>71</v>
      </c>
      <c r="G4331">
        <v>-408.30759999999998</v>
      </c>
      <c r="H4331">
        <v>7.9987249999999996E-2</v>
      </c>
      <c r="I4331">
        <v>128.1575</v>
      </c>
      <c r="J4331">
        <v>-402.14510000000001</v>
      </c>
      <c r="K4331">
        <v>1.101356</v>
      </c>
      <c r="L4331">
        <v>134.15309999999999</v>
      </c>
      <c r="M4331">
        <v>-0.90385509999999902</v>
      </c>
      <c r="N4331">
        <v>0</v>
      </c>
      <c r="O4331">
        <v>-0.42759750000000002</v>
      </c>
      <c r="P4331">
        <v>-0.86552689999999999</v>
      </c>
      <c r="Q4331">
        <v>-8.8728379999999992E-3</v>
      </c>
      <c r="R4331">
        <v>-0.50078409999999995</v>
      </c>
      <c r="S4331">
        <v>-2.2319640000000001</v>
      </c>
      <c r="T4331">
        <v>-0.35432019999999997</v>
      </c>
      <c r="U4331">
        <v>-2.123367</v>
      </c>
      <c r="V4331">
        <v>-8.2506919999999997E-2</v>
      </c>
      <c r="W4331">
        <v>6.0327319999999999E-3</v>
      </c>
      <c r="X4331">
        <v>0.99657229999999997</v>
      </c>
      <c r="Y4331">
        <v>-0.3137703</v>
      </c>
      <c r="Z4331">
        <v>3.2325529999999998E-2</v>
      </c>
      <c r="AA4331">
        <v>0.94894849999999997</v>
      </c>
      <c r="AB4331">
        <v>30</v>
      </c>
      <c r="AC4331">
        <v>-6.1624999999999597</v>
      </c>
      <c r="AD4331">
        <v>-1.0213687499999999</v>
      </c>
      <c r="AE4331">
        <v>-5.9955999999999898</v>
      </c>
      <c r="AF4331">
        <v>-2.7456256450966601</v>
      </c>
      <c r="AG4331">
        <v>-1.0213687499999999</v>
      </c>
      <c r="AH4331">
        <v>8.0213542873322297</v>
      </c>
      <c r="AI4331">
        <v>96.869285071204203</v>
      </c>
      <c r="AJ4331">
        <v>108.895538736727</v>
      </c>
      <c r="AK4331">
        <v>8.5395420784367708</v>
      </c>
    </row>
    <row r="4332" spans="1:37" x14ac:dyDescent="0.2">
      <c r="A4332" t="str">
        <f>"20200111155938714"</f>
        <v>20200111155938714</v>
      </c>
      <c r="B4332" t="str">
        <f>"1578729578704740"</f>
        <v>1578729578704740</v>
      </c>
      <c r="C4332" t="s">
        <v>37</v>
      </c>
      <c r="D4332">
        <v>5.188828</v>
      </c>
      <c r="E4332">
        <v>0.4013005</v>
      </c>
      <c r="F4332" t="s">
        <v>71</v>
      </c>
      <c r="G4332">
        <v>-408.56529999999998</v>
      </c>
      <c r="H4332">
        <v>7.9987269999999999E-2</v>
      </c>
      <c r="I4332">
        <v>128.05779999999999</v>
      </c>
      <c r="J4332">
        <v>-402.41430000000003</v>
      </c>
      <c r="K4332">
        <v>1.101367</v>
      </c>
      <c r="L4332">
        <v>134.03</v>
      </c>
      <c r="M4332">
        <v>-0.90536340000000004</v>
      </c>
      <c r="N4332">
        <v>0</v>
      </c>
      <c r="O4332">
        <v>-0.42439490000000002</v>
      </c>
      <c r="P4332">
        <v>-0.86647299999999905</v>
      </c>
      <c r="Q4332">
        <v>-9.2593060000000001E-3</v>
      </c>
      <c r="R4332">
        <v>-0.49913819999999998</v>
      </c>
      <c r="S4332">
        <v>-2.2348330000000001</v>
      </c>
      <c r="T4332">
        <v>-0.35553279999999998</v>
      </c>
      <c r="U4332">
        <v>-2.1217189999999899</v>
      </c>
      <c r="V4332">
        <v>-8.4145499999999998E-2</v>
      </c>
      <c r="W4332">
        <v>5.6474539999999997E-3</v>
      </c>
      <c r="X4332">
        <v>0.99643749999999998</v>
      </c>
      <c r="Y4332">
        <v>-0.31612770000000001</v>
      </c>
      <c r="Z4332">
        <v>3.1897250000000002E-2</v>
      </c>
      <c r="AA4332">
        <v>0.94818029999999998</v>
      </c>
      <c r="AB4332">
        <v>30</v>
      </c>
      <c r="AC4332">
        <v>-6.1509999999999501</v>
      </c>
      <c r="AD4332">
        <v>-1.02137973</v>
      </c>
      <c r="AE4332">
        <v>-5.9722000000000097</v>
      </c>
      <c r="AF4332">
        <v>-2.7577062348194601</v>
      </c>
      <c r="AG4332">
        <v>-1.02137973</v>
      </c>
      <c r="AH4332">
        <v>7.9908817019624898</v>
      </c>
      <c r="AI4332">
        <v>96.889391313943605</v>
      </c>
      <c r="AJ4332">
        <v>109.039893664674</v>
      </c>
      <c r="AK4332">
        <v>8.5148312141331299</v>
      </c>
    </row>
    <row r="4333" spans="1:37" x14ac:dyDescent="0.2">
      <c r="A4333" t="str">
        <f>"20200111155938735"</f>
        <v>20200111155938735</v>
      </c>
      <c r="B4333" t="str">
        <f>"1578729578724261"</f>
        <v>1578729578724261</v>
      </c>
      <c r="C4333" t="s">
        <v>37</v>
      </c>
      <c r="D4333">
        <v>5.1113099999999996</v>
      </c>
      <c r="E4333">
        <v>0.4017751</v>
      </c>
      <c r="F4333" t="s">
        <v>71</v>
      </c>
      <c r="G4333">
        <v>-408.78890000000001</v>
      </c>
      <c r="H4333">
        <v>7.9987269999999999E-2</v>
      </c>
      <c r="I4333">
        <v>127.71040000000001</v>
      </c>
      <c r="J4333">
        <v>-402.68299999999999</v>
      </c>
      <c r="K4333">
        <v>1.1013979999999901</v>
      </c>
      <c r="L4333">
        <v>133.90819999999999</v>
      </c>
      <c r="M4333">
        <v>-0.90683789999999997</v>
      </c>
      <c r="N4333">
        <v>0</v>
      </c>
      <c r="O4333">
        <v>-0.42123529999999998</v>
      </c>
      <c r="P4333">
        <v>-0.86687230000000004</v>
      </c>
      <c r="Q4333">
        <v>-9.7564499999999998E-3</v>
      </c>
      <c r="R4333">
        <v>-0.49843490000000001</v>
      </c>
      <c r="S4333">
        <v>-2.201355</v>
      </c>
      <c r="T4333">
        <v>-0.35271390000000002</v>
      </c>
      <c r="U4333">
        <v>-2.1823579999999998</v>
      </c>
      <c r="V4333">
        <v>-8.6817119999999998E-2</v>
      </c>
      <c r="W4333">
        <v>5.1548890000000002E-3</v>
      </c>
      <c r="X4333">
        <v>0.99621090000000001</v>
      </c>
      <c r="Y4333">
        <v>-0.33968369999999998</v>
      </c>
      <c r="Z4333">
        <v>2.9759219999999999E-2</v>
      </c>
      <c r="AA4333">
        <v>0.94006880000000004</v>
      </c>
      <c r="AB4333">
        <v>30</v>
      </c>
      <c r="AC4333">
        <v>-6.1058999999999601</v>
      </c>
      <c r="AD4333">
        <v>-1.0214107299999999</v>
      </c>
      <c r="AE4333">
        <v>-6.1977999999999804</v>
      </c>
      <c r="AF4333">
        <v>-3.0072450780125499</v>
      </c>
      <c r="AG4333">
        <v>-1.0214107299999999</v>
      </c>
      <c r="AH4333">
        <v>8.0378489255480101</v>
      </c>
      <c r="AI4333">
        <v>96.787298219628696</v>
      </c>
      <c r="AJ4333">
        <v>110.512610212553</v>
      </c>
      <c r="AK4333">
        <v>8.6425585441189394</v>
      </c>
    </row>
    <row r="4334" spans="1:37" x14ac:dyDescent="0.2">
      <c r="A4334" t="str">
        <f>"20200111155938759"</f>
        <v>20200111155938759</v>
      </c>
      <c r="B4334" t="str">
        <f>"1578729578754517"</f>
        <v>1578729578754517</v>
      </c>
      <c r="C4334" t="s">
        <v>37</v>
      </c>
      <c r="D4334">
        <v>5.108155</v>
      </c>
      <c r="E4334">
        <v>0.39735939999999997</v>
      </c>
      <c r="F4334" t="s">
        <v>71</v>
      </c>
      <c r="G4334">
        <v>-409.38839999999999</v>
      </c>
      <c r="H4334">
        <v>7.9987260000000004E-2</v>
      </c>
      <c r="I4334">
        <v>127.28700000000001</v>
      </c>
      <c r="J4334">
        <v>-402.9554</v>
      </c>
      <c r="K4334">
        <v>1.1014379999999999</v>
      </c>
      <c r="L4334">
        <v>133.78579999999999</v>
      </c>
      <c r="M4334">
        <v>-0.90829579999999999</v>
      </c>
      <c r="N4334">
        <v>0</v>
      </c>
      <c r="O4334">
        <v>-0.41808230000000002</v>
      </c>
      <c r="P4334">
        <v>-0.86696589999999996</v>
      </c>
      <c r="Q4334">
        <v>-9.3426129999999996E-3</v>
      </c>
      <c r="R4334">
        <v>-0.49827979999999999</v>
      </c>
      <c r="S4334">
        <v>-2.2050169999999998</v>
      </c>
      <c r="T4334">
        <v>-0.33588079999999998</v>
      </c>
      <c r="U4334">
        <v>-2.1773380000000002</v>
      </c>
      <c r="V4334">
        <v>-9.0095110000000006E-2</v>
      </c>
      <c r="W4334">
        <v>5.5725929999999998E-3</v>
      </c>
      <c r="X4334">
        <v>0.99591759999999996</v>
      </c>
      <c r="Y4334">
        <v>-0.34103339999999999</v>
      </c>
      <c r="Z4334">
        <v>2.7916839999999998E-2</v>
      </c>
      <c r="AA4334">
        <v>0.93963660000000004</v>
      </c>
      <c r="AB4334">
        <v>30</v>
      </c>
      <c r="AC4334">
        <v>-6.4329999999999901</v>
      </c>
      <c r="AD4334">
        <v>-1.0214507399999999</v>
      </c>
      <c r="AE4334">
        <v>-6.4987999999999797</v>
      </c>
      <c r="AF4334">
        <v>-3.1740354555724202</v>
      </c>
      <c r="AG4334">
        <v>-1.0214507399999999</v>
      </c>
      <c r="AH4334">
        <v>8.45547649177953</v>
      </c>
      <c r="AI4334">
        <v>96.452595257393099</v>
      </c>
      <c r="AJ4334">
        <v>110.575241968063</v>
      </c>
      <c r="AK4334">
        <v>9.0891663748945408</v>
      </c>
    </row>
    <row r="4335" spans="1:37" x14ac:dyDescent="0.2">
      <c r="A4335" t="str">
        <f>"20200111155938780"</f>
        <v>20200111155938780</v>
      </c>
      <c r="B4335" t="str">
        <f>"1578729578775013"</f>
        <v>1578729578775013</v>
      </c>
      <c r="C4335" t="s">
        <v>37</v>
      </c>
      <c r="D4335">
        <v>5.5462949999999998</v>
      </c>
      <c r="E4335">
        <v>0.40004390000000001</v>
      </c>
      <c r="F4335" t="s">
        <v>71</v>
      </c>
      <c r="G4335">
        <v>-409.78590000000003</v>
      </c>
      <c r="H4335">
        <v>7.9987500000000003E-2</v>
      </c>
      <c r="I4335">
        <v>126.8952</v>
      </c>
      <c r="J4335">
        <v>-403.22809999999998</v>
      </c>
      <c r="K4335">
        <v>1.101512</v>
      </c>
      <c r="L4335">
        <v>133.6643</v>
      </c>
      <c r="M4335">
        <v>-0.9097054</v>
      </c>
      <c r="N4335">
        <v>0</v>
      </c>
      <c r="O4335">
        <v>-0.415006499999999</v>
      </c>
      <c r="P4335">
        <v>-0.86705270000000001</v>
      </c>
      <c r="Q4335">
        <v>-7.8164410000000004E-3</v>
      </c>
      <c r="R4335">
        <v>-0.49815529999999902</v>
      </c>
      <c r="S4335">
        <v>-2.18811</v>
      </c>
      <c r="T4335">
        <v>-0.32721669999999897</v>
      </c>
      <c r="U4335">
        <v>-2.2073669999999899</v>
      </c>
      <c r="V4335">
        <v>-9.3305899999999997E-2</v>
      </c>
      <c r="W4335">
        <v>7.0946259999999997E-3</v>
      </c>
      <c r="X4335">
        <v>0.99561219999999995</v>
      </c>
      <c r="Y4335">
        <v>-0.35414089999999998</v>
      </c>
      <c r="Z4335">
        <v>2.608388E-2</v>
      </c>
      <c r="AA4335">
        <v>0.934828199999999</v>
      </c>
      <c r="AB4335">
        <v>30</v>
      </c>
      <c r="AC4335">
        <v>-6.5578000000000403</v>
      </c>
      <c r="AD4335">
        <v>-1.0215244999999999</v>
      </c>
      <c r="AE4335">
        <v>-6.7690999999999901</v>
      </c>
      <c r="AF4335">
        <v>-3.3968053450863498</v>
      </c>
      <c r="AG4335">
        <v>-1.0215244999999999</v>
      </c>
      <c r="AH4335">
        <v>8.6738892074496494</v>
      </c>
      <c r="AI4335">
        <v>96.258109206971397</v>
      </c>
      <c r="AJ4335">
        <v>111.38594295242299</v>
      </c>
      <c r="AK4335">
        <v>9.3711340210040195</v>
      </c>
    </row>
    <row r="4336" spans="1:37" x14ac:dyDescent="0.2">
      <c r="A4336" t="str">
        <f>"20200111155938847"</f>
        <v>20200111155938847</v>
      </c>
      <c r="B4336" t="str">
        <f>"1578729578844309"</f>
        <v>1578729578844309</v>
      </c>
      <c r="C4336" t="s">
        <v>37</v>
      </c>
      <c r="D4336">
        <v>5.4039279999999996</v>
      </c>
      <c r="E4336">
        <v>0.40004390000000001</v>
      </c>
      <c r="F4336" t="s">
        <v>71</v>
      </c>
      <c r="G4336">
        <v>-410.95319999999998</v>
      </c>
      <c r="H4336" s="1">
        <v>-4.9036029999999998E-6</v>
      </c>
      <c r="I4336">
        <v>125.9751</v>
      </c>
      <c r="J4336">
        <v>-404.0369</v>
      </c>
      <c r="K4336">
        <v>1.1020129999999999</v>
      </c>
      <c r="L4336">
        <v>133.3092</v>
      </c>
      <c r="M4336">
        <v>-0.91334419999999905</v>
      </c>
      <c r="N4336">
        <v>0</v>
      </c>
      <c r="O4336">
        <v>-0.40693659999999998</v>
      </c>
      <c r="P4336">
        <v>-0.86967099999999897</v>
      </c>
      <c r="Q4336">
        <v>-1.114449E-2</v>
      </c>
      <c r="R4336">
        <v>-0.493506</v>
      </c>
      <c r="S4336">
        <v>-2.1994020000000001</v>
      </c>
      <c r="T4336">
        <v>-0.3136118</v>
      </c>
      <c r="U4336">
        <v>-2.1891780000000001</v>
      </c>
      <c r="V4336">
        <v>-9.6831130000000001E-2</v>
      </c>
      <c r="W4336">
        <v>3.6476209999999898E-3</v>
      </c>
      <c r="X4336">
        <v>0.99529419999999902</v>
      </c>
      <c r="Y4336">
        <v>-0.35608869999999998</v>
      </c>
      <c r="Z4336">
        <v>2.4066199999999999E-2</v>
      </c>
      <c r="AA4336">
        <v>0.93414219999999903</v>
      </c>
      <c r="AB4336">
        <v>30</v>
      </c>
      <c r="AC4336">
        <v>-6.9162999999999704</v>
      </c>
      <c r="AD4336">
        <v>-1.102017903603</v>
      </c>
      <c r="AE4336">
        <v>-7.3341000000000003</v>
      </c>
      <c r="AF4336">
        <v>-3.8385878154370299</v>
      </c>
      <c r="AG4336">
        <v>-1.102017903603</v>
      </c>
      <c r="AH4336">
        <v>9.1925753003909492</v>
      </c>
      <c r="AI4336">
        <v>96.312619197234</v>
      </c>
      <c r="AJ4336">
        <v>112.664185906182</v>
      </c>
      <c r="AK4336">
        <v>10.022606473869001</v>
      </c>
    </row>
    <row r="4337" spans="1:37" x14ac:dyDescent="0.2">
      <c r="A4337" t="str">
        <f>"20200111155938870"</f>
        <v>20200111155938870</v>
      </c>
      <c r="B4337" t="str">
        <f>"1578729578864807"</f>
        <v>1578729578864807</v>
      </c>
      <c r="C4337" t="s">
        <v>37</v>
      </c>
      <c r="D4337">
        <v>5.419416</v>
      </c>
      <c r="E4337">
        <v>0.45846160000000002</v>
      </c>
      <c r="F4337" t="s">
        <v>71</v>
      </c>
      <c r="G4337">
        <v>-411.63569999999999</v>
      </c>
      <c r="H4337" s="1">
        <v>-4.7549589999999997E-6</v>
      </c>
      <c r="I4337">
        <v>125.8207</v>
      </c>
      <c r="J4337">
        <v>-404.31099999999998</v>
      </c>
      <c r="K4337">
        <v>1.1022749999999999</v>
      </c>
      <c r="L4337">
        <v>133.1901</v>
      </c>
      <c r="M4337">
        <v>-0.9143232</v>
      </c>
      <c r="N4337">
        <v>0</v>
      </c>
      <c r="O4337">
        <v>-0.40473290000000001</v>
      </c>
      <c r="P4337">
        <v>-0.87043169999999903</v>
      </c>
      <c r="Q4337">
        <v>-7.3195150000000004E-3</v>
      </c>
      <c r="R4337">
        <v>-0.49223509999999998</v>
      </c>
      <c r="S4337">
        <v>-2.2097470000000001</v>
      </c>
      <c r="T4337">
        <v>-0.320467</v>
      </c>
      <c r="U4337">
        <v>-2.177673</v>
      </c>
      <c r="V4337">
        <v>-9.7744070000000002E-2</v>
      </c>
      <c r="W4337">
        <v>7.4055149999999997E-3</v>
      </c>
      <c r="X4337">
        <v>0.99518399999999996</v>
      </c>
      <c r="Y4337">
        <v>-0.3536958</v>
      </c>
      <c r="Z4337">
        <v>2.4474099999999999E-2</v>
      </c>
      <c r="AA4337">
        <v>0.93504019999999999</v>
      </c>
      <c r="AB4337">
        <v>30</v>
      </c>
      <c r="AC4337">
        <v>-7.3247</v>
      </c>
      <c r="AD4337">
        <v>-1.102279754959</v>
      </c>
      <c r="AE4337">
        <v>-7.36939999999999</v>
      </c>
      <c r="AF4337">
        <v>-3.7318520772141501</v>
      </c>
      <c r="AG4337">
        <v>-1.102279754959</v>
      </c>
      <c r="AH4337">
        <v>9.5730319790627298</v>
      </c>
      <c r="AI4337">
        <v>96.1233209855951</v>
      </c>
      <c r="AJ4337">
        <v>111.297313280322</v>
      </c>
      <c r="AK4337">
        <v>10.333667396261401</v>
      </c>
    </row>
    <row r="4338" spans="1:37" x14ac:dyDescent="0.2">
      <c r="A4338" t="str">
        <f>"20200111155938893"</f>
        <v>20200111155938893</v>
      </c>
      <c r="B4338" t="str">
        <f>"1578729578884324"</f>
        <v>1578729578884324</v>
      </c>
      <c r="C4338" t="s">
        <v>37</v>
      </c>
      <c r="D4338">
        <v>5.4671940000000001</v>
      </c>
      <c r="E4338">
        <v>0.45827959999999901</v>
      </c>
      <c r="F4338" t="s">
        <v>71</v>
      </c>
      <c r="G4338">
        <v>-412.74119999999999</v>
      </c>
      <c r="H4338" s="1">
        <v>-5.0387489999999996E-6</v>
      </c>
      <c r="I4338">
        <v>127.08159999999999</v>
      </c>
      <c r="J4338">
        <v>-404.58980000000003</v>
      </c>
      <c r="K4338">
        <v>1.1025799999999999</v>
      </c>
      <c r="L4338">
        <v>133.0693</v>
      </c>
      <c r="M4338">
        <v>-0.91515199999999997</v>
      </c>
      <c r="N4338">
        <v>0</v>
      </c>
      <c r="O4338">
        <v>-0.40285569999999998</v>
      </c>
      <c r="P4338">
        <v>-0.87052569999999996</v>
      </c>
      <c r="Q4338">
        <v>-5.3059469999999897E-3</v>
      </c>
      <c r="R4338">
        <v>-0.49209529999999901</v>
      </c>
      <c r="S4338">
        <v>-2.4428709999999998</v>
      </c>
      <c r="T4338">
        <v>-0.31941510000000001</v>
      </c>
      <c r="U4338">
        <v>-1.770111</v>
      </c>
      <c r="V4338">
        <v>-9.9616720000000006E-2</v>
      </c>
      <c r="W4338">
        <v>9.3442669999999999E-3</v>
      </c>
      <c r="X4338">
        <v>0.99498199999999903</v>
      </c>
      <c r="Y4338">
        <v>-0.21167659999999999</v>
      </c>
      <c r="Z4338">
        <v>3.2179159999999998E-2</v>
      </c>
      <c r="AA4338">
        <v>0.97680990000000001</v>
      </c>
      <c r="AB4338">
        <v>30</v>
      </c>
      <c r="AC4338">
        <v>-8.1513999999999598</v>
      </c>
      <c r="AD4338">
        <v>-1.1025850387489999</v>
      </c>
      <c r="AE4338">
        <v>-5.9877000000000002</v>
      </c>
      <c r="AF4338">
        <v>-2.1702508364019399</v>
      </c>
      <c r="AG4338">
        <v>-1.1025850387489999</v>
      </c>
      <c r="AH4338">
        <v>9.7570057772963601</v>
      </c>
      <c r="AI4338">
        <v>96.294769278416098</v>
      </c>
      <c r="AJ4338">
        <v>102.540152005623</v>
      </c>
      <c r="AK4338">
        <v>10.0560849339477</v>
      </c>
    </row>
    <row r="4339" spans="1:37" x14ac:dyDescent="0.2">
      <c r="A4339" t="str">
        <f>"20200111155938914"</f>
        <v>20200111155938914</v>
      </c>
      <c r="B4339" t="str">
        <f>"1578729578904820"</f>
        <v>1578729578904820</v>
      </c>
      <c r="C4339" t="s">
        <v>37</v>
      </c>
      <c r="D4339">
        <v>5.4310260000000001</v>
      </c>
      <c r="E4339">
        <v>0.4573776</v>
      </c>
      <c r="F4339" t="s">
        <v>71</v>
      </c>
      <c r="G4339">
        <v>-413.58769999999998</v>
      </c>
      <c r="H4339" s="1">
        <v>-4.7353659999999999E-6</v>
      </c>
      <c r="I4339">
        <v>126.5472</v>
      </c>
      <c r="J4339">
        <v>-404.851</v>
      </c>
      <c r="K4339">
        <v>1.1029139999999999</v>
      </c>
      <c r="L4339">
        <v>132.9563</v>
      </c>
      <c r="M4339">
        <v>-0.91573179999999998</v>
      </c>
      <c r="N4339">
        <v>0</v>
      </c>
      <c r="O4339">
        <v>-0.40153620000000001</v>
      </c>
      <c r="P4339">
        <v>-0.86971609999999999</v>
      </c>
      <c r="Q4339">
        <v>-5.7475429999999999E-3</v>
      </c>
      <c r="R4339">
        <v>-0.49351869999999998</v>
      </c>
      <c r="S4339">
        <v>-2.4432680000000002</v>
      </c>
      <c r="T4339">
        <v>-0.29939569999999999</v>
      </c>
      <c r="U4339">
        <v>-1.7710269999999999</v>
      </c>
      <c r="V4339">
        <v>-0.1026888</v>
      </c>
      <c r="W4339">
        <v>8.8183399999999992E-3</v>
      </c>
      <c r="X4339">
        <v>0.99467439999999996</v>
      </c>
      <c r="Y4339">
        <v>-0.21312889999999901</v>
      </c>
      <c r="Z4339">
        <v>2.996103E-2</v>
      </c>
      <c r="AA4339">
        <v>0.9765646</v>
      </c>
      <c r="AB4339">
        <v>29</v>
      </c>
      <c r="AC4339">
        <v>-8.7366999999999795</v>
      </c>
      <c r="AD4339">
        <v>-1.1029187353659999</v>
      </c>
      <c r="AE4339">
        <v>-6.4090999999999898</v>
      </c>
      <c r="AF4339">
        <v>-2.3369434577680601</v>
      </c>
      <c r="AG4339">
        <v>-1.1029187353659999</v>
      </c>
      <c r="AH4339">
        <v>10.466595414018199</v>
      </c>
      <c r="AI4339">
        <v>95.871816106135796</v>
      </c>
      <c r="AJ4339">
        <v>102.58635093714</v>
      </c>
      <c r="AK4339">
        <v>10.780879093208201</v>
      </c>
    </row>
    <row r="4340" spans="1:37" x14ac:dyDescent="0.2">
      <c r="A4340" t="str">
        <f>"20200111155938937"</f>
        <v>20200111155938937</v>
      </c>
      <c r="B4340" t="str">
        <f>"1578729578934100"</f>
        <v>1578729578934100</v>
      </c>
      <c r="C4340" t="s">
        <v>37</v>
      </c>
      <c r="D4340">
        <v>5.4545449999999898</v>
      </c>
      <c r="E4340">
        <v>0.45665420000000001</v>
      </c>
      <c r="F4340" t="s">
        <v>71</v>
      </c>
      <c r="G4340">
        <v>-414.16129999999998</v>
      </c>
      <c r="H4340" s="1">
        <v>-4.5200199999999996E-6</v>
      </c>
      <c r="I4340">
        <v>126.15689999999999</v>
      </c>
      <c r="J4340">
        <v>-405.12150000000003</v>
      </c>
      <c r="K4340">
        <v>1.103342</v>
      </c>
      <c r="L4340">
        <v>132.8391</v>
      </c>
      <c r="M4340">
        <v>-0.9160973</v>
      </c>
      <c r="N4340">
        <v>0</v>
      </c>
      <c r="O4340">
        <v>-0.40070220000000001</v>
      </c>
      <c r="P4340">
        <v>-0.86891240000000003</v>
      </c>
      <c r="Q4340">
        <v>-4.9422499999999996E-3</v>
      </c>
      <c r="R4340">
        <v>-0.494942099999999</v>
      </c>
      <c r="S4340">
        <v>-2.437408</v>
      </c>
      <c r="T4340">
        <v>-0.28874060000000001</v>
      </c>
      <c r="U4340">
        <v>-1.7800450000000001</v>
      </c>
      <c r="V4340">
        <v>-0.1052276</v>
      </c>
      <c r="W4340">
        <v>9.5111529999999996E-3</v>
      </c>
      <c r="X4340">
        <v>0.99440269999999997</v>
      </c>
      <c r="Y4340">
        <v>-0.21741759999999999</v>
      </c>
      <c r="Z4340">
        <v>2.861764E-2</v>
      </c>
      <c r="AA4340">
        <v>0.9756591</v>
      </c>
      <c r="AB4340">
        <v>29</v>
      </c>
      <c r="AC4340">
        <v>-9.0397999999999499</v>
      </c>
      <c r="AD4340">
        <v>-1.1033465200200001</v>
      </c>
      <c r="AE4340">
        <v>-6.6821999999999999</v>
      </c>
      <c r="AF4340">
        <v>-2.4756826526249101</v>
      </c>
      <c r="AG4340">
        <v>-1.1033465200200001</v>
      </c>
      <c r="AH4340">
        <v>10.85544863634</v>
      </c>
      <c r="AI4340">
        <v>95.659278915096806</v>
      </c>
      <c r="AJ4340">
        <v>102.847095669618</v>
      </c>
      <c r="AK4340">
        <v>11.188706057268799</v>
      </c>
    </row>
    <row r="4341" spans="1:37" x14ac:dyDescent="0.2">
      <c r="A4341" t="str">
        <f>"20200111155938960"</f>
        <v>20200111155938960</v>
      </c>
      <c r="B4341" t="str">
        <f>"1578729578954596"</f>
        <v>1578729578954596</v>
      </c>
      <c r="C4341" t="s">
        <v>37</v>
      </c>
      <c r="D4341">
        <v>5.5270239999999999</v>
      </c>
      <c r="E4341">
        <v>0.455976099999999</v>
      </c>
      <c r="F4341" t="s">
        <v>71</v>
      </c>
      <c r="G4341">
        <v>-414.3229</v>
      </c>
      <c r="H4341" s="1">
        <v>-4.4675180000000001E-6</v>
      </c>
      <c r="I4341">
        <v>126.0705</v>
      </c>
      <c r="J4341">
        <v>-405.39420000000001</v>
      </c>
      <c r="K4341">
        <v>1.1038569999999901</v>
      </c>
      <c r="L4341">
        <v>132.72040000000001</v>
      </c>
      <c r="M4341">
        <v>-0.91619709999999999</v>
      </c>
      <c r="N4341">
        <v>0</v>
      </c>
      <c r="O4341">
        <v>-0.40047430000000001</v>
      </c>
      <c r="P4341">
        <v>-0.86819360000000001</v>
      </c>
      <c r="Q4341">
        <v>-2.3716919999999999E-3</v>
      </c>
      <c r="R4341">
        <v>-0.4962201</v>
      </c>
      <c r="S4341">
        <v>-2.4319459999999999</v>
      </c>
      <c r="T4341">
        <v>-0.29161479999999901</v>
      </c>
      <c r="U4341">
        <v>-1.78894</v>
      </c>
      <c r="V4341">
        <v>-0.1069426</v>
      </c>
      <c r="W4341">
        <v>1.194574E-2</v>
      </c>
      <c r="X4341">
        <v>0.9941934</v>
      </c>
      <c r="Y4341">
        <v>-0.22102079999999999</v>
      </c>
      <c r="Z4341">
        <v>2.870487E-2</v>
      </c>
      <c r="AA4341">
        <v>0.97484660000000001</v>
      </c>
      <c r="AB4341">
        <v>29</v>
      </c>
      <c r="AC4341">
        <v>-8.9286999999999903</v>
      </c>
      <c r="AD4341">
        <v>-1.1038614675180001</v>
      </c>
      <c r="AE4341">
        <v>-6.6499000000000104</v>
      </c>
      <c r="AF4341">
        <v>-2.49265413582929</v>
      </c>
      <c r="AG4341">
        <v>-1.1038614675180001</v>
      </c>
      <c r="AH4341">
        <v>10.739086635046601</v>
      </c>
      <c r="AI4341">
        <v>95.717816131933702</v>
      </c>
      <c r="AJ4341">
        <v>103.06755555353899</v>
      </c>
      <c r="AK4341">
        <v>11.0797029082631</v>
      </c>
    </row>
    <row r="4342" spans="1:37" x14ac:dyDescent="0.2">
      <c r="A4342" t="str">
        <f>"20200111155938981"</f>
        <v>20200111155938981</v>
      </c>
      <c r="B4342" t="str">
        <f>"1578729578974116"</f>
        <v>1578729578974116</v>
      </c>
      <c r="C4342" t="s">
        <v>37</v>
      </c>
      <c r="D4342">
        <v>8.5240080000000003</v>
      </c>
      <c r="E4342">
        <v>0.45565159999999899</v>
      </c>
      <c r="F4342" t="s">
        <v>71</v>
      </c>
      <c r="G4342">
        <v>-414.82209999999998</v>
      </c>
      <c r="H4342" s="1">
        <v>-4.2815420000000003E-6</v>
      </c>
      <c r="I4342">
        <v>125.735</v>
      </c>
      <c r="J4342">
        <v>-405.6651</v>
      </c>
      <c r="K4342">
        <v>1.1044419999999999</v>
      </c>
      <c r="L4342">
        <v>132.6018</v>
      </c>
      <c r="M4342">
        <v>-0.91599589999999997</v>
      </c>
      <c r="N4342">
        <v>0</v>
      </c>
      <c r="O4342">
        <v>-0.40093420000000002</v>
      </c>
      <c r="P4342">
        <v>-0.86731950000000002</v>
      </c>
      <c r="Q4342">
        <v>-1.8248750000000001E-3</v>
      </c>
      <c r="R4342">
        <v>-0.497749</v>
      </c>
      <c r="S4342">
        <v>-2.4269409999999998</v>
      </c>
      <c r="T4342">
        <v>-0.28415550000000001</v>
      </c>
      <c r="U4342">
        <v>-1.798187</v>
      </c>
      <c r="V4342">
        <v>-0.1082106</v>
      </c>
      <c r="W4342">
        <v>1.234006E-2</v>
      </c>
      <c r="X4342">
        <v>0.99405140000000003</v>
      </c>
      <c r="Y4342">
        <v>-0.22384689999999999</v>
      </c>
      <c r="Z4342">
        <v>2.788005E-2</v>
      </c>
      <c r="AA4342">
        <v>0.97422549999999997</v>
      </c>
      <c r="AB4342">
        <v>29</v>
      </c>
      <c r="AC4342">
        <v>-9.1569999999999805</v>
      </c>
      <c r="AD4342">
        <v>-1.104446281542</v>
      </c>
      <c r="AE4342">
        <v>-6.8667999999999898</v>
      </c>
      <c r="AF4342">
        <v>-2.5947124648909599</v>
      </c>
      <c r="AG4342">
        <v>-1.104446281542</v>
      </c>
      <c r="AH4342">
        <v>11.0392531727452</v>
      </c>
      <c r="AI4342">
        <v>95.562668536028198</v>
      </c>
      <c r="AJ4342">
        <v>103.226951274256</v>
      </c>
      <c r="AK4342">
        <v>11.3937458711451</v>
      </c>
    </row>
    <row r="4343" spans="1:37" x14ac:dyDescent="0.2">
      <c r="A4343" t="str">
        <f>"20200111155939004"</f>
        <v>20200111155939004</v>
      </c>
      <c r="B4343" t="str">
        <f>"1578729578994612"</f>
        <v>1578729578994612</v>
      </c>
      <c r="C4343" t="s">
        <v>37</v>
      </c>
      <c r="D4343">
        <v>5.5026699999999904</v>
      </c>
      <c r="E4343">
        <v>0.4554242</v>
      </c>
      <c r="F4343" t="s">
        <v>71</v>
      </c>
      <c r="G4343">
        <v>-415.03100000000001</v>
      </c>
      <c r="H4343" s="1">
        <v>-4.2139319999999996E-6</v>
      </c>
      <c r="I4343">
        <v>125.624</v>
      </c>
      <c r="J4343">
        <v>-405.93259999999998</v>
      </c>
      <c r="K4343">
        <v>1.105064</v>
      </c>
      <c r="L4343">
        <v>132.4836</v>
      </c>
      <c r="M4343">
        <v>-0.91547179999999995</v>
      </c>
      <c r="N4343">
        <v>0</v>
      </c>
      <c r="O4343">
        <v>-0.40212940000000003</v>
      </c>
      <c r="P4343">
        <v>-0.86597250000000003</v>
      </c>
      <c r="Q4343">
        <v>-2.7930279999999999E-3</v>
      </c>
      <c r="R4343">
        <v>-0.50008450000000004</v>
      </c>
      <c r="S4343">
        <v>-2.4225159999999999</v>
      </c>
      <c r="T4343">
        <v>-0.2856687</v>
      </c>
      <c r="U4343">
        <v>-1.8048249999999999</v>
      </c>
      <c r="V4343">
        <v>-0.10960979999999999</v>
      </c>
      <c r="W4343">
        <v>1.121051E-2</v>
      </c>
      <c r="X4343">
        <v>0.99391149999999995</v>
      </c>
      <c r="Y4343">
        <v>-0.2251505</v>
      </c>
      <c r="Z4343">
        <v>2.8083779999999999E-2</v>
      </c>
      <c r="AA4343">
        <v>0.97391919999999899</v>
      </c>
      <c r="AB4343">
        <v>29</v>
      </c>
      <c r="AC4343">
        <v>-9.0984000000000194</v>
      </c>
      <c r="AD4343">
        <v>-1.1050682139320001</v>
      </c>
      <c r="AE4343">
        <v>-6.8596000000000004</v>
      </c>
      <c r="AF4343">
        <v>-2.5968775472981398</v>
      </c>
      <c r="AG4343">
        <v>-1.1050682139320001</v>
      </c>
      <c r="AH4343">
        <v>10.9855769430278</v>
      </c>
      <c r="AI4343">
        <v>95.591134506429299</v>
      </c>
      <c r="AJ4343">
        <v>103.299986171957</v>
      </c>
      <c r="AK4343">
        <v>11.3423035369491</v>
      </c>
    </row>
    <row r="4344" spans="1:37" x14ac:dyDescent="0.2">
      <c r="A4344" t="str">
        <f>"20200111155939026"</f>
        <v>20200111155939026</v>
      </c>
      <c r="B4344" t="str">
        <f>"1578729579014133"</f>
        <v>1578729579014133</v>
      </c>
      <c r="C4344" t="s">
        <v>37</v>
      </c>
      <c r="D4344">
        <v>5.4954939999999999</v>
      </c>
      <c r="E4344">
        <v>0.45468439999999999</v>
      </c>
      <c r="F4344" t="s">
        <v>71</v>
      </c>
      <c r="G4344">
        <v>-414.91699999999997</v>
      </c>
      <c r="H4344" s="1">
        <v>-4.272609E-6</v>
      </c>
      <c r="I4344">
        <v>125.7473</v>
      </c>
      <c r="J4344">
        <v>-406.18799999999999</v>
      </c>
      <c r="K4344">
        <v>1.1056790000000001</v>
      </c>
      <c r="L4344">
        <v>132.36930000000001</v>
      </c>
      <c r="M4344">
        <v>-0.91463289999999997</v>
      </c>
      <c r="N4344">
        <v>0</v>
      </c>
      <c r="O4344">
        <v>-0.40403339999999999</v>
      </c>
      <c r="P4344">
        <v>-0.86430629999999997</v>
      </c>
      <c r="Q4344">
        <v>-4.8482070000000002E-3</v>
      </c>
      <c r="R4344">
        <v>-0.50294280000000002</v>
      </c>
      <c r="S4344">
        <v>-2.4168699999999999</v>
      </c>
      <c r="T4344">
        <v>-0.29727350000000002</v>
      </c>
      <c r="U4344">
        <v>-1.81211899999999</v>
      </c>
      <c r="V4344">
        <v>-0.1108392</v>
      </c>
      <c r="W4344">
        <v>8.9985769999999903E-3</v>
      </c>
      <c r="X4344">
        <v>0.99379759999999995</v>
      </c>
      <c r="Y4344">
        <v>-0.22615450000000001</v>
      </c>
      <c r="Z4344">
        <v>2.9369099999999999E-2</v>
      </c>
      <c r="AA4344">
        <v>0.97364859999999898</v>
      </c>
      <c r="AB4344">
        <v>29</v>
      </c>
      <c r="AC4344">
        <v>-8.7289999999999193</v>
      </c>
      <c r="AD4344">
        <v>-1.105683272609</v>
      </c>
      <c r="AE4344">
        <v>-6.6220000000000097</v>
      </c>
      <c r="AF4344">
        <v>-2.5046422488520701</v>
      </c>
      <c r="AG4344">
        <v>-1.105683272609</v>
      </c>
      <c r="AH4344">
        <v>10.552955549518201</v>
      </c>
      <c r="AI4344">
        <v>95.820786241534094</v>
      </c>
      <c r="AJ4344">
        <v>103.351559714402</v>
      </c>
      <c r="AK4344">
        <v>10.9023226481411</v>
      </c>
    </row>
    <row r="4345" spans="1:37" x14ac:dyDescent="0.2">
      <c r="A4345" t="str">
        <f>"20200111155939049"</f>
        <v>20200111155939049</v>
      </c>
      <c r="B4345" t="str">
        <f>"1578729579044388"</f>
        <v>1578729579044388</v>
      </c>
      <c r="C4345" t="s">
        <v>37</v>
      </c>
      <c r="D4345">
        <v>5.4938820000000002</v>
      </c>
      <c r="E4345">
        <v>0.45376480000000002</v>
      </c>
      <c r="F4345" t="s">
        <v>71</v>
      </c>
      <c r="G4345">
        <v>-414.76929999999999</v>
      </c>
      <c r="H4345" s="1">
        <v>-4.335807E-6</v>
      </c>
      <c r="I4345">
        <v>125.87009999999999</v>
      </c>
      <c r="J4345">
        <v>-406.45859999999999</v>
      </c>
      <c r="K4345">
        <v>1.106311</v>
      </c>
      <c r="L4345">
        <v>132.2466</v>
      </c>
      <c r="M4345">
        <v>-0.91339369999999998</v>
      </c>
      <c r="N4345">
        <v>0</v>
      </c>
      <c r="O4345">
        <v>-0.40682629999999997</v>
      </c>
      <c r="P4345">
        <v>-0.86178619999999995</v>
      </c>
      <c r="Q4345">
        <v>-6.7230440000000001E-3</v>
      </c>
      <c r="R4345">
        <v>-0.50722709999999904</v>
      </c>
      <c r="S4345">
        <v>-2.40802</v>
      </c>
      <c r="T4345">
        <v>-0.3102685</v>
      </c>
      <c r="U4345">
        <v>-1.8237459999999901</v>
      </c>
      <c r="V4345">
        <v>-0.11274579999999999</v>
      </c>
      <c r="W4345">
        <v>6.9596839999999998E-3</v>
      </c>
      <c r="X4345">
        <v>0.99359949999999997</v>
      </c>
      <c r="Y4345">
        <v>-0.22795549999999901</v>
      </c>
      <c r="Z4345">
        <v>3.0858670000000001E-2</v>
      </c>
      <c r="AA4345">
        <v>0.9731824</v>
      </c>
      <c r="AB4345">
        <v>29</v>
      </c>
      <c r="AC4345">
        <v>-8.31069999999999</v>
      </c>
      <c r="AD4345">
        <v>-1.1063153358069999</v>
      </c>
      <c r="AE4345">
        <v>-6.3765000000000001</v>
      </c>
      <c r="AF4345">
        <v>-2.4165384234493801</v>
      </c>
      <c r="AG4345">
        <v>-1.1063153358069999</v>
      </c>
      <c r="AH4345">
        <v>10.073743950655899</v>
      </c>
      <c r="AI4345">
        <v>96.095627383388305</v>
      </c>
      <c r="AJ4345">
        <v>103.489494118154</v>
      </c>
      <c r="AK4345">
        <v>10.418440802616599</v>
      </c>
    </row>
    <row r="4346" spans="1:37" x14ac:dyDescent="0.2">
      <c r="A4346" t="str">
        <f>"20200111155939071"</f>
        <v>20200111155939071</v>
      </c>
      <c r="B4346" t="str">
        <f>"1578729579064884"</f>
        <v>1578729579064884</v>
      </c>
      <c r="C4346" t="s">
        <v>37</v>
      </c>
      <c r="D4346">
        <v>5.4852530000000002</v>
      </c>
      <c r="E4346">
        <v>0.45315149999999998</v>
      </c>
      <c r="F4346" t="s">
        <v>71</v>
      </c>
      <c r="G4346">
        <v>-414.73349999999999</v>
      </c>
      <c r="H4346" s="1">
        <v>-4.3469940000000003E-6</v>
      </c>
      <c r="I4346">
        <v>125.887999999999</v>
      </c>
      <c r="J4346">
        <v>-406.72770000000003</v>
      </c>
      <c r="K4346">
        <v>1.1068690000000001</v>
      </c>
      <c r="L4346">
        <v>132.12270000000001</v>
      </c>
      <c r="M4346">
        <v>-0.91186610000000001</v>
      </c>
      <c r="N4346">
        <v>0</v>
      </c>
      <c r="O4346">
        <v>-0.41023769999999998</v>
      </c>
      <c r="P4346">
        <v>-0.85810810000000004</v>
      </c>
      <c r="Q4346">
        <v>-9.5308800000000003E-3</v>
      </c>
      <c r="R4346">
        <v>-0.51338090000000003</v>
      </c>
      <c r="S4346">
        <v>-2.3952939999999998</v>
      </c>
      <c r="T4346">
        <v>-0.32024029999999998</v>
      </c>
      <c r="U4346">
        <v>-1.8406069999999899</v>
      </c>
      <c r="V4346">
        <v>-0.116145</v>
      </c>
      <c r="W4346">
        <v>3.9933260000000002E-3</v>
      </c>
      <c r="X4346">
        <v>0.99322429999999995</v>
      </c>
      <c r="Y4346">
        <v>-0.23117170000000001</v>
      </c>
      <c r="Z4346">
        <v>3.2060440000000003E-2</v>
      </c>
      <c r="AA4346">
        <v>0.97238459999999904</v>
      </c>
      <c r="AB4346">
        <v>29</v>
      </c>
      <c r="AC4346">
        <v>-8.0057999999999598</v>
      </c>
      <c r="AD4346">
        <v>-1.106873346994</v>
      </c>
      <c r="AE4346">
        <v>-6.2347000000000099</v>
      </c>
      <c r="AF4346">
        <v>-2.37294147979468</v>
      </c>
      <c r="AG4346">
        <v>-1.106873346994</v>
      </c>
      <c r="AH4346">
        <v>9.7430067366310205</v>
      </c>
      <c r="AI4346">
        <v>96.298828662395394</v>
      </c>
      <c r="AJ4346">
        <v>103.688078700885</v>
      </c>
      <c r="AK4346">
        <v>10.088716476482601</v>
      </c>
    </row>
    <row r="4347" spans="1:37" x14ac:dyDescent="0.2">
      <c r="A4347" t="str">
        <f>"20200111155939093"</f>
        <v>20200111155939093</v>
      </c>
      <c r="B4347" t="str">
        <f>"1578729579084404"</f>
        <v>1578729579084404</v>
      </c>
      <c r="C4347" t="s">
        <v>37</v>
      </c>
      <c r="D4347">
        <v>5.5643760000000002</v>
      </c>
      <c r="E4347">
        <v>0.45233640000000003</v>
      </c>
      <c r="F4347" t="s">
        <v>71</v>
      </c>
      <c r="G4347">
        <v>-414.6028</v>
      </c>
      <c r="H4347" s="1">
        <v>-4.3904359999999996E-6</v>
      </c>
      <c r="I4347">
        <v>125.9607</v>
      </c>
      <c r="J4347">
        <v>-406.97980000000001</v>
      </c>
      <c r="K4347">
        <v>1.107334</v>
      </c>
      <c r="L4347">
        <v>132.00470000000001</v>
      </c>
      <c r="M4347">
        <v>-0.9101726</v>
      </c>
      <c r="N4347">
        <v>0</v>
      </c>
      <c r="O4347">
        <v>-0.41398079999999998</v>
      </c>
      <c r="P4347">
        <v>-0.85350029999999999</v>
      </c>
      <c r="Q4347">
        <v>-1.2996270000000001E-2</v>
      </c>
      <c r="R4347">
        <v>-0.52093049999999996</v>
      </c>
      <c r="S4347">
        <v>-2.3788149999999999</v>
      </c>
      <c r="T4347">
        <v>-0.33435179999999998</v>
      </c>
      <c r="U4347">
        <v>-1.861343</v>
      </c>
      <c r="V4347">
        <v>-0.120822</v>
      </c>
      <c r="W4347">
        <v>3.69374E-4</v>
      </c>
      <c r="X4347">
        <v>0.9926741</v>
      </c>
      <c r="Y4347">
        <v>-0.2357679</v>
      </c>
      <c r="Z4347">
        <v>3.3660639999999999E-2</v>
      </c>
      <c r="AA4347">
        <v>0.97122629999999999</v>
      </c>
      <c r="AB4347">
        <v>29</v>
      </c>
      <c r="AC4347">
        <v>-7.6229999999999896</v>
      </c>
      <c r="AD4347">
        <v>-1.1073383904359999</v>
      </c>
      <c r="AE4347">
        <v>-6.0440000000000103</v>
      </c>
      <c r="AF4347">
        <v>-2.31554759648734</v>
      </c>
      <c r="AG4347">
        <v>-1.1073383904359999</v>
      </c>
      <c r="AH4347">
        <v>9.3205557219938608</v>
      </c>
      <c r="AI4347">
        <v>96.577224818563295</v>
      </c>
      <c r="AJ4347">
        <v>103.951792122242</v>
      </c>
      <c r="AK4347">
        <v>9.6675083630335799</v>
      </c>
    </row>
    <row r="4348" spans="1:37" x14ac:dyDescent="0.2">
      <c r="A4348" t="str">
        <f>"20200111155939140"</f>
        <v>20200111155939140</v>
      </c>
      <c r="B4348" t="str">
        <f>"1578729579134181"</f>
        <v>1578729579134181</v>
      </c>
      <c r="C4348" t="s">
        <v>37</v>
      </c>
      <c r="D4348">
        <v>4.9962869999999997</v>
      </c>
      <c r="E4348">
        <v>0.31346570000000001</v>
      </c>
      <c r="F4348" t="s">
        <v>71</v>
      </c>
      <c r="G4348">
        <v>-414.50259999999997</v>
      </c>
      <c r="H4348" s="1">
        <v>-4.411928E-6</v>
      </c>
      <c r="I4348">
        <v>125.9824</v>
      </c>
      <c r="J4348">
        <v>-407.51170000000002</v>
      </c>
      <c r="K4348">
        <v>1.108271</v>
      </c>
      <c r="L4348">
        <v>131.74959999999999</v>
      </c>
      <c r="M4348">
        <v>-0.90573749999999997</v>
      </c>
      <c r="N4348">
        <v>0</v>
      </c>
      <c r="O4348">
        <v>-0.4235949</v>
      </c>
      <c r="P4348">
        <v>-0.84341100000000002</v>
      </c>
      <c r="Q4348">
        <v>-1.57897E-2</v>
      </c>
      <c r="R4348">
        <v>-0.53703699999999999</v>
      </c>
      <c r="S4348">
        <v>-2.3576969999999999</v>
      </c>
      <c r="T4348">
        <v>-0.34704759999999901</v>
      </c>
      <c r="U4348">
        <v>-1.8874359999999999</v>
      </c>
      <c r="V4348">
        <v>-0.12914329999999999</v>
      </c>
      <c r="W4348">
        <v>-2.7526159999999998E-3</v>
      </c>
      <c r="X4348">
        <v>0.99162209999999995</v>
      </c>
      <c r="Y4348">
        <v>-0.23638890000000001</v>
      </c>
      <c r="Z4348">
        <v>3.6059920000000002E-2</v>
      </c>
      <c r="AA4348">
        <v>0.9709892</v>
      </c>
      <c r="AB4348">
        <v>29</v>
      </c>
      <c r="AC4348">
        <v>-6.9908999999999502</v>
      </c>
      <c r="AD4348">
        <v>-1.1082754119280001</v>
      </c>
      <c r="AE4348">
        <v>-5.7671999999999803</v>
      </c>
      <c r="AF4348">
        <v>-2.2291575680103199</v>
      </c>
      <c r="AG4348">
        <v>-1.1082754119280001</v>
      </c>
      <c r="AH4348">
        <v>8.6464798070079194</v>
      </c>
      <c r="AI4348">
        <v>97.0752533290934</v>
      </c>
      <c r="AJ4348">
        <v>104.456674579677</v>
      </c>
      <c r="AK4348">
        <v>8.9977236512741108</v>
      </c>
    </row>
    <row r="4349" spans="1:37" x14ac:dyDescent="0.2">
      <c r="A4349" t="str">
        <f>"20200111155939161"</f>
        <v>20200111155939161</v>
      </c>
      <c r="B4349" t="str">
        <f>"1578729579154675"</f>
        <v>1578729579154675</v>
      </c>
      <c r="C4349" t="s">
        <v>37</v>
      </c>
      <c r="D4349">
        <v>4.3043399999999998</v>
      </c>
      <c r="E4349">
        <v>0.31101830000000003</v>
      </c>
      <c r="F4349" t="s">
        <v>60</v>
      </c>
      <c r="G4349">
        <v>-448.17110000000002</v>
      </c>
      <c r="H4349">
        <v>0.44410810000000001</v>
      </c>
      <c r="I4349">
        <v>64.450009999999907</v>
      </c>
      <c r="J4349">
        <v>-407.76769999999999</v>
      </c>
      <c r="K4349">
        <v>1.1087419999999999</v>
      </c>
      <c r="L4349">
        <v>131.6232</v>
      </c>
      <c r="M4349">
        <v>-0.90317709999999995</v>
      </c>
      <c r="N4349">
        <v>0</v>
      </c>
      <c r="O4349">
        <v>-0.42902579999999901</v>
      </c>
      <c r="P4349">
        <v>-0.83861260000000004</v>
      </c>
      <c r="Q4349">
        <v>-1.401639E-2</v>
      </c>
      <c r="R4349">
        <v>-0.54454789999999997</v>
      </c>
      <c r="S4349">
        <v>-1.731506</v>
      </c>
      <c r="T4349">
        <v>-2.828288E-2</v>
      </c>
      <c r="U4349">
        <v>-2.8659819999999998</v>
      </c>
      <c r="V4349">
        <v>-0.13204589999999999</v>
      </c>
      <c r="W4349">
        <v>-1.128415E-3</v>
      </c>
      <c r="X4349">
        <v>0.99124290000000004</v>
      </c>
      <c r="Y4349">
        <v>-0.55124530000000005</v>
      </c>
      <c r="Z4349">
        <v>1.3313729999999901E-3</v>
      </c>
      <c r="AA4349">
        <v>0.83434219999999903</v>
      </c>
      <c r="AB4349">
        <v>29</v>
      </c>
      <c r="AC4349">
        <v>-40.403399999999998</v>
      </c>
      <c r="AD4349">
        <v>-0.6646339</v>
      </c>
      <c r="AE4349">
        <v>-67.173190000000005</v>
      </c>
      <c r="AF4349">
        <v>-43.336577807066597</v>
      </c>
      <c r="AG4349">
        <v>-0.6646339</v>
      </c>
      <c r="AH4349">
        <v>65.312554911947501</v>
      </c>
      <c r="AI4349">
        <v>90.485821324790294</v>
      </c>
      <c r="AJ4349">
        <v>123.565307918692</v>
      </c>
      <c r="AK4349">
        <v>78.385142363684807</v>
      </c>
    </row>
    <row r="4350" spans="1:37" x14ac:dyDescent="0.2">
      <c r="A4350" t="str">
        <f>"20200111155939183"</f>
        <v>20200111155939183</v>
      </c>
      <c r="B4350" t="str">
        <f>"1578729579174196"</f>
        <v>1578729579174196</v>
      </c>
      <c r="C4350" t="s">
        <v>37</v>
      </c>
      <c r="D4350">
        <v>4.2765059999999897</v>
      </c>
      <c r="E4350">
        <v>0.30662539999999999</v>
      </c>
      <c r="F4350" t="s">
        <v>60</v>
      </c>
      <c r="G4350">
        <v>-447.07499999999999</v>
      </c>
      <c r="H4350">
        <v>0.77187919999999999</v>
      </c>
      <c r="I4350">
        <v>64.450009999999907</v>
      </c>
      <c r="J4350">
        <v>-408.01780000000002</v>
      </c>
      <c r="K4350">
        <v>1.109199</v>
      </c>
      <c r="L4350">
        <v>131.49709999999999</v>
      </c>
      <c r="M4350">
        <v>-0.90039999999999998</v>
      </c>
      <c r="N4350">
        <v>0</v>
      </c>
      <c r="O4350">
        <v>-0.43482299999999902</v>
      </c>
      <c r="P4350">
        <v>-0.83401890000000001</v>
      </c>
      <c r="Q4350">
        <v>-1.135122E-2</v>
      </c>
      <c r="R4350">
        <v>-0.55161910000000003</v>
      </c>
      <c r="S4350">
        <v>-1.6955259999999901</v>
      </c>
      <c r="T4350">
        <v>-1.4529820000000001E-2</v>
      </c>
      <c r="U4350">
        <v>-2.8975219999999999</v>
      </c>
      <c r="V4350">
        <v>-0.13406670000000001</v>
      </c>
      <c r="W4350">
        <v>1.401249E-3</v>
      </c>
      <c r="X4350">
        <v>0.9909713</v>
      </c>
      <c r="Y4350">
        <v>-0.55757650000000003</v>
      </c>
      <c r="Z4350">
        <v>6.9472619999999996E-4</v>
      </c>
      <c r="AA4350">
        <v>0.83012529999999995</v>
      </c>
      <c r="AB4350">
        <v>29</v>
      </c>
      <c r="AC4350">
        <v>-39.057199999999902</v>
      </c>
      <c r="AD4350">
        <v>-0.3373198</v>
      </c>
      <c r="AE4350">
        <v>-67.047089999999997</v>
      </c>
      <c r="AF4350">
        <v>-43.389941151578498</v>
      </c>
      <c r="AG4350">
        <v>-0.3373198</v>
      </c>
      <c r="AH4350">
        <v>64.326220107563202</v>
      </c>
      <c r="AI4350">
        <v>90.249082755664105</v>
      </c>
      <c r="AJ4350">
        <v>124.000831237361</v>
      </c>
      <c r="AK4350">
        <v>77.592933770489594</v>
      </c>
    </row>
    <row r="4351" spans="1:37" x14ac:dyDescent="0.2">
      <c r="A4351" t="str">
        <f>"20200111155939206"</f>
        <v>20200111155939206</v>
      </c>
      <c r="B4351" t="str">
        <f>"1578729579194692"</f>
        <v>1578729579194692</v>
      </c>
      <c r="C4351" t="s">
        <v>37</v>
      </c>
      <c r="D4351">
        <v>5.3786670000000001</v>
      </c>
      <c r="E4351">
        <v>0.308805</v>
      </c>
      <c r="F4351" t="s">
        <v>60</v>
      </c>
      <c r="G4351">
        <v>-444.99939999999998</v>
      </c>
      <c r="H4351">
        <v>1.5934139999999899</v>
      </c>
      <c r="I4351">
        <v>65.675449999999998</v>
      </c>
      <c r="J4351">
        <v>-408.27</v>
      </c>
      <c r="K4351">
        <v>1.1096469999999901</v>
      </c>
      <c r="L4351">
        <v>131.3673</v>
      </c>
      <c r="M4351">
        <v>-0.89730489999999996</v>
      </c>
      <c r="N4351">
        <v>0</v>
      </c>
      <c r="O4351">
        <v>-0.4411738</v>
      </c>
      <c r="P4351">
        <v>-0.82969939999999998</v>
      </c>
      <c r="Q4351">
        <v>-9.3977809999999991E-3</v>
      </c>
      <c r="R4351">
        <v>-0.5581315</v>
      </c>
      <c r="S4351">
        <v>-1.6522829999999999</v>
      </c>
      <c r="T4351">
        <v>2.1634819999999999E-2</v>
      </c>
      <c r="U4351">
        <v>-2.9408110000000001</v>
      </c>
      <c r="V4351">
        <v>-0.13483909999999999</v>
      </c>
      <c r="W4351">
        <v>3.239451E-3</v>
      </c>
      <c r="X4351">
        <v>0.99086219999999903</v>
      </c>
      <c r="Y4351">
        <v>-0.566245</v>
      </c>
      <c r="Z4351">
        <v>-1.0432919999999999E-3</v>
      </c>
      <c r="AA4351">
        <v>0.82423630000000003</v>
      </c>
      <c r="AB4351">
        <v>29</v>
      </c>
      <c r="AC4351">
        <v>-36.729399999999998</v>
      </c>
      <c r="AD4351">
        <v>0.483767</v>
      </c>
      <c r="AE4351">
        <v>-65.691850000000002</v>
      </c>
      <c r="AF4351">
        <v>-42.744283828495199</v>
      </c>
      <c r="AG4351">
        <v>0.483767</v>
      </c>
      <c r="AH4351">
        <v>61.942926543364401</v>
      </c>
      <c r="AI4351">
        <v>89.631708860625807</v>
      </c>
      <c r="AJ4351">
        <v>124.60797180315799</v>
      </c>
      <c r="AK4351">
        <v>75.261105355142703</v>
      </c>
    </row>
    <row r="4352" spans="1:37" x14ac:dyDescent="0.2">
      <c r="A4352" t="str">
        <f>"20200111155939227"</f>
        <v>20200111155939227</v>
      </c>
      <c r="B4352" t="str">
        <f>"1578729579224949"</f>
        <v>1578729579224949</v>
      </c>
      <c r="C4352" t="s">
        <v>37</v>
      </c>
      <c r="D4352">
        <v>4.3475989999999998</v>
      </c>
      <c r="E4352">
        <v>0.30632309999999902</v>
      </c>
      <c r="F4352" t="s">
        <v>60</v>
      </c>
      <c r="G4352">
        <v>-444.88749999999999</v>
      </c>
      <c r="H4352">
        <v>1.0759209999999999</v>
      </c>
      <c r="I4352">
        <v>65.675449999999998</v>
      </c>
      <c r="J4352">
        <v>-408.51760000000002</v>
      </c>
      <c r="K4352">
        <v>1.110058</v>
      </c>
      <c r="L4352">
        <v>131.23679999999999</v>
      </c>
      <c r="M4352">
        <v>-0.89395329999999995</v>
      </c>
      <c r="N4352">
        <v>0</v>
      </c>
      <c r="O4352">
        <v>-0.44792479999999901</v>
      </c>
      <c r="P4352">
        <v>-0.82577590000000001</v>
      </c>
      <c r="Q4352">
        <v>-7.9671949999999998E-3</v>
      </c>
      <c r="R4352">
        <v>-0.56394219999999995</v>
      </c>
      <c r="S4352">
        <v>-1.638458</v>
      </c>
      <c r="T4352">
        <v>-1.508236E-3</v>
      </c>
      <c r="U4352">
        <v>-2.9393919999999998</v>
      </c>
      <c r="V4352">
        <v>-0.134342299999999</v>
      </c>
      <c r="W4352">
        <v>4.5850750000000001E-3</v>
      </c>
      <c r="X4352">
        <v>0.99092440000000004</v>
      </c>
      <c r="Y4352">
        <v>-0.56281139999999996</v>
      </c>
      <c r="Z4352" s="1">
        <v>7.7310439999999994E-5</v>
      </c>
      <c r="AA4352">
        <v>0.82658539999999903</v>
      </c>
      <c r="AB4352">
        <v>29</v>
      </c>
      <c r="AC4352">
        <v>-36.369899999999902</v>
      </c>
      <c r="AD4352">
        <v>-3.4137000000000001E-2</v>
      </c>
      <c r="AE4352">
        <v>-65.561349999999905</v>
      </c>
      <c r="AF4352">
        <v>-42.322258731301503</v>
      </c>
      <c r="AG4352">
        <v>-3.4137000000000001E-2</v>
      </c>
      <c r="AH4352">
        <v>61.886059214046298</v>
      </c>
      <c r="AI4352">
        <v>90.026087888209801</v>
      </c>
      <c r="AJ4352">
        <v>124.367204263305</v>
      </c>
      <c r="AK4352">
        <v>74.973722559963903</v>
      </c>
    </row>
    <row r="4353" spans="1:37" x14ac:dyDescent="0.2">
      <c r="A4353" t="str">
        <f>"20200111155939272"</f>
        <v>20200111155939272</v>
      </c>
      <c r="B4353" t="str">
        <f>"1578729579264967"</f>
        <v>1578729579264967</v>
      </c>
      <c r="C4353" t="s">
        <v>37</v>
      </c>
      <c r="D4353">
        <v>5.4420019999999996</v>
      </c>
      <c r="E4353">
        <v>0.30907849999999998</v>
      </c>
      <c r="F4353" t="s">
        <v>60</v>
      </c>
      <c r="G4353">
        <v>-444.0274</v>
      </c>
      <c r="H4353">
        <v>1.6750209999999901</v>
      </c>
      <c r="I4353">
        <v>65.675449999999998</v>
      </c>
      <c r="J4353">
        <v>-409.02420000000001</v>
      </c>
      <c r="K4353">
        <v>1.110765</v>
      </c>
      <c r="L4353">
        <v>130.96039999999999</v>
      </c>
      <c r="M4353">
        <v>-0.8862392</v>
      </c>
      <c r="N4353">
        <v>0</v>
      </c>
      <c r="O4353">
        <v>-0.4629974</v>
      </c>
      <c r="P4353">
        <v>-0.81827550000000004</v>
      </c>
      <c r="Q4353">
        <v>-7.1451800000000001E-3</v>
      </c>
      <c r="R4353">
        <v>-0.57478229999999997</v>
      </c>
      <c r="S4353">
        <v>-1.606995</v>
      </c>
      <c r="T4353">
        <v>2.5568130000000001E-2</v>
      </c>
      <c r="U4353">
        <v>-2.9669650000000001</v>
      </c>
      <c r="V4353">
        <v>-0.13064729999999999</v>
      </c>
      <c r="W4353">
        <v>5.3294090000000002E-3</v>
      </c>
      <c r="X4353">
        <v>0.99141460000000003</v>
      </c>
      <c r="Y4353">
        <v>-0.55882559999999903</v>
      </c>
      <c r="Z4353">
        <v>-1.4569959999999999E-3</v>
      </c>
      <c r="AA4353">
        <v>0.82928389999999996</v>
      </c>
      <c r="AB4353">
        <v>29</v>
      </c>
      <c r="AC4353">
        <v>-35.0031999999999</v>
      </c>
      <c r="AD4353">
        <v>0.56425599999999898</v>
      </c>
      <c r="AE4353">
        <v>-65.284949999999995</v>
      </c>
      <c r="AF4353">
        <v>-41.653721231845701</v>
      </c>
      <c r="AG4353">
        <v>0.56425599999999898</v>
      </c>
      <c r="AH4353">
        <v>61.250955094842602</v>
      </c>
      <c r="AI4353">
        <v>89.563550162585699</v>
      </c>
      <c r="AJ4353">
        <v>124.217666947965</v>
      </c>
      <c r="AK4353">
        <v>74.074492082796496</v>
      </c>
    </row>
    <row r="4354" spans="1:37" x14ac:dyDescent="0.2">
      <c r="A4354" t="str">
        <f>"20200111155939294"</f>
        <v>20200111155939294</v>
      </c>
      <c r="B4354" t="str">
        <f>"1578729579284485"</f>
        <v>1578729579284485</v>
      </c>
      <c r="C4354" t="s">
        <v>37</v>
      </c>
      <c r="D4354">
        <v>5.2687160000000004</v>
      </c>
      <c r="E4354">
        <v>0.31277559999999999</v>
      </c>
      <c r="F4354" t="s">
        <v>60</v>
      </c>
      <c r="G4354">
        <v>-443.74860000000001</v>
      </c>
      <c r="H4354">
        <v>1.0350379999999999</v>
      </c>
      <c r="I4354">
        <v>65.675449999999998</v>
      </c>
      <c r="J4354">
        <v>-409.26299999999998</v>
      </c>
      <c r="K4354">
        <v>1.1110409999999999</v>
      </c>
      <c r="L4354">
        <v>130.8254</v>
      </c>
      <c r="M4354">
        <v>-0.88219479999999995</v>
      </c>
      <c r="N4354">
        <v>0</v>
      </c>
      <c r="O4354">
        <v>-0.47065619999999903</v>
      </c>
      <c r="P4354">
        <v>-0.81425029999999998</v>
      </c>
      <c r="Q4354">
        <v>-8.7046950000000001E-3</v>
      </c>
      <c r="R4354">
        <v>-0.58044910000000005</v>
      </c>
      <c r="S4354">
        <v>-1.579834</v>
      </c>
      <c r="T4354">
        <v>-3.4444329999999898E-3</v>
      </c>
      <c r="U4354">
        <v>-2.970215</v>
      </c>
      <c r="V4354">
        <v>-0.12892870000000001</v>
      </c>
      <c r="W4354">
        <v>3.7491880000000001E-3</v>
      </c>
      <c r="X4354">
        <v>0.99164680000000005</v>
      </c>
      <c r="Y4354">
        <v>-0.55791369999999996</v>
      </c>
      <c r="Z4354">
        <v>2.0651609999999999E-4</v>
      </c>
      <c r="AA4354">
        <v>0.82989899999999905</v>
      </c>
      <c r="AB4354">
        <v>29</v>
      </c>
      <c r="AC4354">
        <v>-34.485599999999899</v>
      </c>
      <c r="AD4354">
        <v>-7.6003000000000001E-2</v>
      </c>
      <c r="AE4354">
        <v>-65.149950000000004</v>
      </c>
      <c r="AF4354">
        <v>-41.248477837015798</v>
      </c>
      <c r="AG4354">
        <v>-7.6003000000000001E-2</v>
      </c>
      <c r="AH4354">
        <v>61.092750106686999</v>
      </c>
      <c r="AI4354">
        <v>90.059074893300505</v>
      </c>
      <c r="AJ4354">
        <v>124.026353853469</v>
      </c>
      <c r="AK4354">
        <v>73.714088313733498</v>
      </c>
    </row>
    <row r="4355" spans="1:37" x14ac:dyDescent="0.2">
      <c r="A4355" t="str">
        <f>"20200111155939317"</f>
        <v>20200111155939317</v>
      </c>
      <c r="B4355" t="str">
        <f>"1578729579314740"</f>
        <v>1578729579314740</v>
      </c>
      <c r="C4355" t="s">
        <v>37</v>
      </c>
      <c r="D4355">
        <v>5.2985429999999996</v>
      </c>
      <c r="E4355">
        <v>0.31672259999999902</v>
      </c>
      <c r="F4355" t="s">
        <v>60</v>
      </c>
      <c r="G4355">
        <v>-443.97480000000002</v>
      </c>
      <c r="H4355">
        <v>6.0680570000000003E-2</v>
      </c>
      <c r="I4355">
        <v>65.675449999999998</v>
      </c>
      <c r="J4355">
        <v>-409.50909999999999</v>
      </c>
      <c r="K4355">
        <v>1.111308</v>
      </c>
      <c r="L4355">
        <v>130.68299999999999</v>
      </c>
      <c r="M4355">
        <v>-0.8777431</v>
      </c>
      <c r="N4355">
        <v>0</v>
      </c>
      <c r="O4355">
        <v>-0.4789059</v>
      </c>
      <c r="P4355">
        <v>-0.80928269999999902</v>
      </c>
      <c r="Q4355">
        <v>-9.0960119999999901E-3</v>
      </c>
      <c r="R4355">
        <v>-0.58734940000000002</v>
      </c>
      <c r="S4355">
        <v>-1.5756840000000001</v>
      </c>
      <c r="T4355">
        <v>-4.7678350000000001E-2</v>
      </c>
      <c r="U4355">
        <v>-2.9573669999999899</v>
      </c>
      <c r="V4355">
        <v>-0.12806019999999901</v>
      </c>
      <c r="W4355">
        <v>3.3290959999999902E-3</v>
      </c>
      <c r="X4355">
        <v>0.9917608</v>
      </c>
      <c r="Y4355">
        <v>-0.54950919999999903</v>
      </c>
      <c r="Z4355">
        <v>3.0752800000000001E-3</v>
      </c>
      <c r="AA4355">
        <v>0.83548199999999995</v>
      </c>
      <c r="AB4355">
        <v>29</v>
      </c>
      <c r="AC4355">
        <v>-34.465699999999998</v>
      </c>
      <c r="AD4355">
        <v>-1.05062743</v>
      </c>
      <c r="AE4355">
        <v>-65.007549999999995</v>
      </c>
      <c r="AF4355">
        <v>-40.550218105538598</v>
      </c>
      <c r="AG4355">
        <v>-1.05062743</v>
      </c>
      <c r="AH4355">
        <v>61.378651696432698</v>
      </c>
      <c r="AI4355">
        <v>90.818232316447293</v>
      </c>
      <c r="AJ4355">
        <v>123.451013023562</v>
      </c>
      <c r="AK4355">
        <v>73.571481502518495</v>
      </c>
    </row>
    <row r="4356" spans="1:37" x14ac:dyDescent="0.2">
      <c r="A4356" t="str">
        <f>"20200111155939339"</f>
        <v>20200111155939339</v>
      </c>
      <c r="B4356" t="str">
        <f>"1578729579334260"</f>
        <v>1578729579334260</v>
      </c>
      <c r="C4356" t="s">
        <v>37</v>
      </c>
      <c r="D4356">
        <v>5.4100239999999999</v>
      </c>
      <c r="E4356">
        <v>0.3190347</v>
      </c>
      <c r="F4356" t="s">
        <v>39</v>
      </c>
      <c r="G4356">
        <v>-428.26819999999998</v>
      </c>
      <c r="H4356" s="1">
        <v>-4.3462229999999903E-6</v>
      </c>
      <c r="I4356">
        <v>95.448549999999997</v>
      </c>
      <c r="J4356">
        <v>-409.75020000000001</v>
      </c>
      <c r="K4356">
        <v>1.1115679999999999</v>
      </c>
      <c r="L4356">
        <v>130.5401</v>
      </c>
      <c r="M4356">
        <v>-0.87310080000000001</v>
      </c>
      <c r="N4356">
        <v>0</v>
      </c>
      <c r="O4356">
        <v>-0.48731629999999998</v>
      </c>
      <c r="P4356">
        <v>-0.80343509999999996</v>
      </c>
      <c r="Q4356">
        <v>-9.0900809999999999E-3</v>
      </c>
      <c r="R4356">
        <v>-0.59532299999999905</v>
      </c>
      <c r="S4356">
        <v>-1.568176</v>
      </c>
      <c r="T4356">
        <v>-9.2900399999999994E-2</v>
      </c>
      <c r="U4356">
        <v>-2.9454349999999998</v>
      </c>
      <c r="V4356">
        <v>-0.1283416</v>
      </c>
      <c r="W4356">
        <v>3.290949E-3</v>
      </c>
      <c r="X4356">
        <v>0.99172459999999996</v>
      </c>
      <c r="Y4356">
        <v>-0.54169109999999998</v>
      </c>
      <c r="Z4356">
        <v>6.4125319999999899E-3</v>
      </c>
      <c r="AA4356">
        <v>0.840553199999999</v>
      </c>
      <c r="AB4356">
        <v>29</v>
      </c>
      <c r="AC4356">
        <v>-18.517999999999901</v>
      </c>
      <c r="AD4356">
        <v>-1.1115723462230001</v>
      </c>
      <c r="AE4356">
        <v>-35.091549999999998</v>
      </c>
      <c r="AF4356">
        <v>-21.599739253355299</v>
      </c>
      <c r="AG4356">
        <v>-1.1115723462230001</v>
      </c>
      <c r="AH4356">
        <v>33.246295877879803</v>
      </c>
      <c r="AI4356">
        <v>91.605975805972506</v>
      </c>
      <c r="AJ4356">
        <v>123.011322923889</v>
      </c>
      <c r="AK4356">
        <v>39.6623312286778</v>
      </c>
    </row>
    <row r="4357" spans="1:37" x14ac:dyDescent="0.2">
      <c r="A4357" t="str">
        <f>"20200111155939362"</f>
        <v>20200111155939362</v>
      </c>
      <c r="B4357" t="str">
        <f>"1578729579354759"</f>
        <v>1578729579354759</v>
      </c>
      <c r="C4357" t="s">
        <v>37</v>
      </c>
      <c r="D4357">
        <v>4.6475330000000001</v>
      </c>
      <c r="E4357">
        <v>0.32003159999999897</v>
      </c>
      <c r="F4357" t="s">
        <v>38</v>
      </c>
      <c r="G4357">
        <v>-410.18389999999999</v>
      </c>
      <c r="H4357">
        <v>1.0775709999999901</v>
      </c>
      <c r="I4357">
        <v>129.7158</v>
      </c>
      <c r="J4357">
        <v>-409.99689999999998</v>
      </c>
      <c r="K4357">
        <v>1.1118269999999999</v>
      </c>
      <c r="L4357">
        <v>130.39019999999999</v>
      </c>
      <c r="M4357">
        <v>-0.86806070000000002</v>
      </c>
      <c r="N4357">
        <v>0</v>
      </c>
      <c r="O4357">
        <v>-0.4962377</v>
      </c>
      <c r="P4357">
        <v>-0.79635009999999995</v>
      </c>
      <c r="Q4357">
        <v>-7.6680699999999999E-3</v>
      </c>
      <c r="R4357">
        <v>-0.60478790000000004</v>
      </c>
      <c r="S4357">
        <v>-1.5496829999999999</v>
      </c>
      <c r="T4357">
        <v>-0.1214731</v>
      </c>
      <c r="U4357">
        <v>-2.9459379999999999</v>
      </c>
      <c r="V4357">
        <v>-0.12993389999999999</v>
      </c>
      <c r="W4357">
        <v>4.6461100000000002E-3</v>
      </c>
      <c r="X4357">
        <v>0.99151180000000005</v>
      </c>
      <c r="Y4357">
        <v>-0.53723609999999999</v>
      </c>
      <c r="Z4357">
        <v>8.8745950000000007E-3</v>
      </c>
      <c r="AA4357">
        <v>0.84338519999999995</v>
      </c>
      <c r="AB4357">
        <v>29</v>
      </c>
      <c r="AC4357">
        <v>-0.18700000000001099</v>
      </c>
      <c r="AD4357">
        <v>-3.4256000000000203E-2</v>
      </c>
      <c r="AE4357">
        <v>-0.67439999999999101</v>
      </c>
      <c r="AF4357">
        <v>-0.491499995707397</v>
      </c>
      <c r="AG4357">
        <v>-3.4256000000000203E-2</v>
      </c>
      <c r="AH4357">
        <v>0.49585640547792198</v>
      </c>
      <c r="AI4357">
        <v>92.808975582520205</v>
      </c>
      <c r="AJ4357">
        <v>134.74720144247701</v>
      </c>
      <c r="AK4357">
        <v>0.69901308583592203</v>
      </c>
    </row>
    <row r="4358" spans="1:37" x14ac:dyDescent="0.2">
      <c r="A4358" t="str">
        <f>"20200111155939385"</f>
        <v>20200111155939385</v>
      </c>
      <c r="B4358" t="str">
        <f>"1578729579374276"</f>
        <v>1578729579374276</v>
      </c>
      <c r="C4358" t="s">
        <v>37</v>
      </c>
      <c r="D4358">
        <v>4.6860650000000001</v>
      </c>
      <c r="E4358">
        <v>0.32006679999999998</v>
      </c>
      <c r="F4358" t="s">
        <v>38</v>
      </c>
      <c r="G4358">
        <v>-410.40480000000002</v>
      </c>
      <c r="H4358">
        <v>1.0783609999999999</v>
      </c>
      <c r="I4358">
        <v>129.59630000000001</v>
      </c>
      <c r="J4358">
        <v>-410.23399999999998</v>
      </c>
      <c r="K4358">
        <v>1.11206</v>
      </c>
      <c r="L4358">
        <v>130.2424</v>
      </c>
      <c r="M4358">
        <v>-0.86293030000000004</v>
      </c>
      <c r="N4358">
        <v>0</v>
      </c>
      <c r="O4358">
        <v>-0.50510500000000003</v>
      </c>
      <c r="P4358">
        <v>-0.78879769999999905</v>
      </c>
      <c r="Q4358">
        <v>-7.5433740000000003E-3</v>
      </c>
      <c r="R4358">
        <v>-0.61460719999999902</v>
      </c>
      <c r="S4358">
        <v>-1.519714</v>
      </c>
      <c r="T4358">
        <v>-0.1246805</v>
      </c>
      <c r="U4358">
        <v>-2.9577330000000002</v>
      </c>
      <c r="V4358">
        <v>-0.1320634</v>
      </c>
      <c r="W4358">
        <v>4.6956999999999997E-3</v>
      </c>
      <c r="X4358">
        <v>0.9912301</v>
      </c>
      <c r="Y4358">
        <v>-0.53671599999999997</v>
      </c>
      <c r="Z4358">
        <v>9.5171159999999904E-3</v>
      </c>
      <c r="AA4358">
        <v>0.8437093</v>
      </c>
      <c r="AB4358">
        <v>29</v>
      </c>
      <c r="AC4358">
        <v>-0.17079999999998499</v>
      </c>
      <c r="AD4358">
        <v>-3.3698999999999903E-2</v>
      </c>
      <c r="AE4358">
        <v>-0.64609999999998902</v>
      </c>
      <c r="AF4358">
        <v>-0.47012384481114</v>
      </c>
      <c r="AG4358">
        <v>-3.3698999999999903E-2</v>
      </c>
      <c r="AH4358">
        <v>0.47258735569325899</v>
      </c>
      <c r="AI4358">
        <v>92.894042687898207</v>
      </c>
      <c r="AJ4358">
        <v>134.85027391744299</v>
      </c>
      <c r="AK4358">
        <v>0.66745101754522496</v>
      </c>
    </row>
    <row r="4359" spans="1:37" x14ac:dyDescent="0.2">
      <c r="A4359" t="str">
        <f>"20200111155939406"</f>
        <v>20200111155939406</v>
      </c>
      <c r="B4359" t="str">
        <f>"1578729579394772"</f>
        <v>1578729579394772</v>
      </c>
      <c r="C4359" t="s">
        <v>37</v>
      </c>
      <c r="D4359">
        <v>5.1935949999999904</v>
      </c>
      <c r="E4359">
        <v>0.3200363</v>
      </c>
      <c r="F4359" t="s">
        <v>38</v>
      </c>
      <c r="G4359">
        <v>-410.6388</v>
      </c>
      <c r="H4359">
        <v>1.0798620000000001</v>
      </c>
      <c r="I4359">
        <v>129.43029999999999</v>
      </c>
      <c r="J4359">
        <v>-410.45929999999998</v>
      </c>
      <c r="K4359">
        <v>1.1122650000000001</v>
      </c>
      <c r="L4359">
        <v>130.09819999999999</v>
      </c>
      <c r="M4359">
        <v>-0.85777649999999905</v>
      </c>
      <c r="N4359">
        <v>0</v>
      </c>
      <c r="O4359">
        <v>-0.51380709999999996</v>
      </c>
      <c r="P4359">
        <v>-0.78089059999999999</v>
      </c>
      <c r="Q4359">
        <v>-8.185599E-3</v>
      </c>
      <c r="R4359">
        <v>-0.62461440000000001</v>
      </c>
      <c r="S4359">
        <v>-1.4831239999999899</v>
      </c>
      <c r="T4359">
        <v>-0.1179796</v>
      </c>
      <c r="U4359">
        <v>-2.9762879999999998</v>
      </c>
      <c r="V4359">
        <v>-0.1346696</v>
      </c>
      <c r="W4359">
        <v>3.9718690000000003E-3</v>
      </c>
      <c r="X4359">
        <v>0.99088259999999995</v>
      </c>
      <c r="Y4359">
        <v>-0.5385972</v>
      </c>
      <c r="Z4359">
        <v>9.3309429999999995E-3</v>
      </c>
      <c r="AA4359">
        <v>0.84251180000000003</v>
      </c>
      <c r="AB4359">
        <v>29</v>
      </c>
      <c r="AC4359">
        <v>-0.17950000000001801</v>
      </c>
      <c r="AD4359">
        <v>-3.2402999999999897E-2</v>
      </c>
      <c r="AE4359">
        <v>-0.66790000000000205</v>
      </c>
      <c r="AF4359">
        <v>-0.47968088958406402</v>
      </c>
      <c r="AG4359">
        <v>-3.2402999999999897E-2</v>
      </c>
      <c r="AH4359">
        <v>0.49610874768485602</v>
      </c>
      <c r="AI4359">
        <v>92.688352675563195</v>
      </c>
      <c r="AJ4359">
        <v>134.03549085974501</v>
      </c>
      <c r="AK4359">
        <v>0.6908455686842</v>
      </c>
    </row>
    <row r="4360" spans="1:37" x14ac:dyDescent="0.2">
      <c r="A4360" t="str">
        <f>"20200111155939428"</f>
        <v>20200111155939428</v>
      </c>
      <c r="B4360" t="str">
        <f>"1578729579424052"</f>
        <v>1578729579424052</v>
      </c>
      <c r="C4360" t="s">
        <v>37</v>
      </c>
      <c r="D4360">
        <v>5.0946439999999997</v>
      </c>
      <c r="E4360">
        <v>0.34373819999999999</v>
      </c>
      <c r="F4360" t="s">
        <v>38</v>
      </c>
      <c r="G4360">
        <v>-410.94</v>
      </c>
      <c r="H4360">
        <v>1.0731709999999901</v>
      </c>
      <c r="I4360">
        <v>129.10239999999999</v>
      </c>
      <c r="J4360">
        <v>-410.69580000000002</v>
      </c>
      <c r="K4360">
        <v>1.1124639999999999</v>
      </c>
      <c r="L4360">
        <v>129.94290000000001</v>
      </c>
      <c r="M4360">
        <v>-0.85207259999999996</v>
      </c>
      <c r="N4360">
        <v>0</v>
      </c>
      <c r="O4360">
        <v>-0.52321039999999996</v>
      </c>
      <c r="P4360">
        <v>-0.77182399999999995</v>
      </c>
      <c r="Q4360">
        <v>-9.1612599999999992E-3</v>
      </c>
      <c r="R4360">
        <v>-0.6357701</v>
      </c>
      <c r="S4360">
        <v>-1.4448239999999899</v>
      </c>
      <c r="T4360">
        <v>-0.1175219</v>
      </c>
      <c r="U4360">
        <v>-2.99502599999999</v>
      </c>
      <c r="V4360">
        <v>-0.13799620000000001</v>
      </c>
      <c r="W4360">
        <v>2.9008979999999998E-3</v>
      </c>
      <c r="X4360">
        <v>0.99042849999999905</v>
      </c>
      <c r="Y4360">
        <v>-0.54013489999999997</v>
      </c>
      <c r="Z4360">
        <v>9.6561419999999995E-3</v>
      </c>
      <c r="AA4360">
        <v>0.84152309999999997</v>
      </c>
      <c r="AB4360">
        <v>28</v>
      </c>
      <c r="AC4360">
        <v>-0.24419999999997799</v>
      </c>
      <c r="AD4360">
        <v>-3.9293000000000002E-2</v>
      </c>
      <c r="AE4360">
        <v>-0.84050000000002001</v>
      </c>
      <c r="AF4360">
        <v>-0.58728110352080498</v>
      </c>
      <c r="AG4360">
        <v>-3.9293000000000002E-2</v>
      </c>
      <c r="AH4360">
        <v>0.64660360783384696</v>
      </c>
      <c r="AI4360">
        <v>92.575634328836898</v>
      </c>
      <c r="AJ4360">
        <v>132.24746252872001</v>
      </c>
      <c r="AK4360">
        <v>0.874379357067264</v>
      </c>
    </row>
    <row r="4361" spans="1:37" x14ac:dyDescent="0.2">
      <c r="A4361" t="str">
        <f>"20200111155939451"</f>
        <v>20200111155939451</v>
      </c>
      <c r="B4361" t="str">
        <f>"1578729579444548"</f>
        <v>1578729579444548</v>
      </c>
      <c r="C4361" t="s">
        <v>37</v>
      </c>
      <c r="D4361">
        <v>5.1645510000000003</v>
      </c>
      <c r="E4361">
        <v>0.3448078</v>
      </c>
      <c r="F4361" t="s">
        <v>38</v>
      </c>
      <c r="G4361">
        <v>-411.18830000000003</v>
      </c>
      <c r="H4361">
        <v>1.0017309999999999</v>
      </c>
      <c r="I4361">
        <v>129.0128</v>
      </c>
      <c r="J4361">
        <v>-410.92720000000003</v>
      </c>
      <c r="K4361">
        <v>1.112635</v>
      </c>
      <c r="L4361">
        <v>129.78710000000001</v>
      </c>
      <c r="M4361">
        <v>-0.84621789999999997</v>
      </c>
      <c r="N4361">
        <v>0</v>
      </c>
      <c r="O4361">
        <v>-0.5326263</v>
      </c>
      <c r="P4361">
        <v>-0.76240069999999904</v>
      </c>
      <c r="Q4361">
        <v>-1.067104E-2</v>
      </c>
      <c r="R4361">
        <v>-0.64701730000000002</v>
      </c>
      <c r="S4361">
        <v>-1.519226</v>
      </c>
      <c r="T4361">
        <v>-0.3415899</v>
      </c>
      <c r="U4361">
        <v>-2.8694000000000002</v>
      </c>
      <c r="V4361">
        <v>-0.14151420000000001</v>
      </c>
      <c r="W4361">
        <v>1.295392E-3</v>
      </c>
      <c r="X4361">
        <v>0.98993539999999902</v>
      </c>
      <c r="Y4361">
        <v>-0.49860599999999999</v>
      </c>
      <c r="Z4361">
        <v>3.2149990000000003E-2</v>
      </c>
      <c r="AA4361">
        <v>0.86623229999999996</v>
      </c>
      <c r="AB4361">
        <v>28</v>
      </c>
      <c r="AC4361">
        <v>-0.261099999999999</v>
      </c>
      <c r="AD4361">
        <v>-0.110904</v>
      </c>
      <c r="AE4361">
        <v>-0.77430000000000998</v>
      </c>
      <c r="AF4361">
        <v>-0.50687872105916898</v>
      </c>
      <c r="AG4361">
        <v>-0.110904</v>
      </c>
      <c r="AH4361">
        <v>0.621973997581455</v>
      </c>
      <c r="AI4361">
        <v>97.869709653270306</v>
      </c>
      <c r="AJ4361">
        <v>129.17836865380099</v>
      </c>
      <c r="AK4361">
        <v>0.80998604231556703</v>
      </c>
    </row>
    <row r="4362" spans="1:37" x14ac:dyDescent="0.2">
      <c r="A4362" t="str">
        <f>"20200111155939472"</f>
        <v>20200111155939472</v>
      </c>
      <c r="B4362" t="str">
        <f>"1578729579464068"</f>
        <v>1578729579464068</v>
      </c>
      <c r="C4362" t="s">
        <v>37</v>
      </c>
      <c r="D4362">
        <v>5.2718619999999996</v>
      </c>
      <c r="E4362">
        <v>0.34658290000000003</v>
      </c>
      <c r="F4362" t="s">
        <v>38</v>
      </c>
      <c r="G4362">
        <v>-411.39460000000003</v>
      </c>
      <c r="H4362">
        <v>1.0036940000000001</v>
      </c>
      <c r="I4362">
        <v>128.87780000000001</v>
      </c>
      <c r="J4362">
        <v>-411.1583</v>
      </c>
      <c r="K4362">
        <v>1.112784</v>
      </c>
      <c r="L4362">
        <v>129.62729999999999</v>
      </c>
      <c r="M4362">
        <v>-0.84009100000000003</v>
      </c>
      <c r="N4362">
        <v>0</v>
      </c>
      <c r="O4362">
        <v>-0.54223730000000003</v>
      </c>
      <c r="P4362">
        <v>-0.75260349999999998</v>
      </c>
      <c r="Q4362">
        <v>-1.221743E-2</v>
      </c>
      <c r="R4362">
        <v>-0.65836110000000003</v>
      </c>
      <c r="S4362">
        <v>-1.4822690000000001</v>
      </c>
      <c r="T4362">
        <v>-0.34549390000000002</v>
      </c>
      <c r="U4362">
        <v>-2.8843540000000001</v>
      </c>
      <c r="V4362">
        <v>-0.14503389999999999</v>
      </c>
      <c r="W4362">
        <v>-3.4521850000000001E-4</v>
      </c>
      <c r="X4362">
        <v>0.98942659999999905</v>
      </c>
      <c r="Y4362">
        <v>-0.49934899999999999</v>
      </c>
      <c r="Z4362">
        <v>3.3704850000000001E-2</v>
      </c>
      <c r="AA4362">
        <v>0.86574509999999905</v>
      </c>
      <c r="AB4362">
        <v>28</v>
      </c>
      <c r="AC4362">
        <v>-0.23630000000002799</v>
      </c>
      <c r="AD4362">
        <v>-0.10908999999999899</v>
      </c>
      <c r="AE4362">
        <v>-0.74949999999998296</v>
      </c>
      <c r="AF4362">
        <v>-0.492091790467303</v>
      </c>
      <c r="AG4362">
        <v>-0.10908999999999899</v>
      </c>
      <c r="AH4362">
        <v>0.59355122156469198</v>
      </c>
      <c r="AI4362">
        <v>98.053301455396706</v>
      </c>
      <c r="AJ4362">
        <v>129.66089570148401</v>
      </c>
      <c r="AK4362">
        <v>0.77868993249319296</v>
      </c>
    </row>
    <row r="4363" spans="1:37" x14ac:dyDescent="0.2">
      <c r="A4363" t="str">
        <f>"20200111155939495"</f>
        <v>20200111155939495</v>
      </c>
      <c r="B4363" t="str">
        <f>"1578729579484564"</f>
        <v>1578729579484564</v>
      </c>
      <c r="C4363" t="s">
        <v>37</v>
      </c>
      <c r="D4363">
        <v>4.2596809999999996</v>
      </c>
      <c r="E4363">
        <v>0.34429379999999998</v>
      </c>
      <c r="F4363" t="s">
        <v>38</v>
      </c>
      <c r="G4363">
        <v>-411.60090000000002</v>
      </c>
      <c r="H4363">
        <v>1.0036129999999901</v>
      </c>
      <c r="I4363">
        <v>128.74250000000001</v>
      </c>
      <c r="J4363">
        <v>-411.37860000000001</v>
      </c>
      <c r="K4363">
        <v>1.112914</v>
      </c>
      <c r="L4363">
        <v>129.47110000000001</v>
      </c>
      <c r="M4363">
        <v>-0.8339801</v>
      </c>
      <c r="N4363">
        <v>0</v>
      </c>
      <c r="O4363">
        <v>-0.55158879999999999</v>
      </c>
      <c r="P4363">
        <v>-0.74275800000000003</v>
      </c>
      <c r="Q4363">
        <v>-1.378948E-2</v>
      </c>
      <c r="R4363">
        <v>-0.66941799999999996</v>
      </c>
      <c r="S4363">
        <v>-1.447937</v>
      </c>
      <c r="T4363">
        <v>-0.35716490000000001</v>
      </c>
      <c r="U4363">
        <v>-2.894882</v>
      </c>
      <c r="V4363">
        <v>-0.1485919</v>
      </c>
      <c r="W4363">
        <v>-2.0125239999999999E-3</v>
      </c>
      <c r="X4363">
        <v>0.98889649999999996</v>
      </c>
      <c r="Y4363">
        <v>-0.49915670000000001</v>
      </c>
      <c r="Z4363">
        <v>3.6117459999999997E-2</v>
      </c>
      <c r="AA4363">
        <v>0.86575869999999999</v>
      </c>
      <c r="AB4363">
        <v>28</v>
      </c>
      <c r="AC4363">
        <v>-0.22230000000001801</v>
      </c>
      <c r="AD4363">
        <v>-0.109301</v>
      </c>
      <c r="AE4363">
        <v>-0.72860000000000003</v>
      </c>
      <c r="AF4363">
        <v>-0.47528950517658802</v>
      </c>
      <c r="AG4363">
        <v>-0.109301</v>
      </c>
      <c r="AH4363">
        <v>0.57549965175413798</v>
      </c>
      <c r="AI4363">
        <v>98.331136951946505</v>
      </c>
      <c r="AJ4363">
        <v>129.55237376314699</v>
      </c>
      <c r="AK4363">
        <v>0.75435182209705098</v>
      </c>
    </row>
    <row r="4364" spans="1:37" x14ac:dyDescent="0.2">
      <c r="A4364" t="str">
        <f>"20200111155939518"</f>
        <v>20200111155939518</v>
      </c>
      <c r="B4364" t="str">
        <f>"1578729579514822"</f>
        <v>1578729579514822</v>
      </c>
      <c r="C4364" t="s">
        <v>37</v>
      </c>
      <c r="D4364">
        <v>4.2010870000000002</v>
      </c>
      <c r="E4364">
        <v>0.31924390000000002</v>
      </c>
      <c r="F4364" t="s">
        <v>38</v>
      </c>
      <c r="G4364">
        <v>-411.7955</v>
      </c>
      <c r="H4364">
        <v>1.0134000000000001</v>
      </c>
      <c r="I4364">
        <v>128.59530000000001</v>
      </c>
      <c r="J4364">
        <v>-411.60849999999999</v>
      </c>
      <c r="K4364">
        <v>1.113043</v>
      </c>
      <c r="L4364">
        <v>129.304</v>
      </c>
      <c r="M4364">
        <v>-0.82731350000000003</v>
      </c>
      <c r="N4364">
        <v>0</v>
      </c>
      <c r="O4364">
        <v>-0.56153719999999996</v>
      </c>
      <c r="P4364">
        <v>-0.73270059999999904</v>
      </c>
      <c r="Q4364">
        <v>-1.4002000000000001E-2</v>
      </c>
      <c r="R4364">
        <v>-0.68040730000000005</v>
      </c>
      <c r="S4364">
        <v>-1.3930659999999999</v>
      </c>
      <c r="T4364">
        <v>-0.33265630000000002</v>
      </c>
      <c r="U4364">
        <v>-2.9289700000000001</v>
      </c>
      <c r="V4364">
        <v>-0.1514742</v>
      </c>
      <c r="W4364">
        <v>-2.3056879999999902E-3</v>
      </c>
      <c r="X4364">
        <v>0.98845849999999902</v>
      </c>
      <c r="Y4364">
        <v>-0.50594929999999905</v>
      </c>
      <c r="Z4364">
        <v>3.4430389999999998E-2</v>
      </c>
      <c r="AA4364">
        <v>0.86187579999999997</v>
      </c>
      <c r="AB4364">
        <v>28</v>
      </c>
      <c r="AC4364">
        <v>-0.18700000000001099</v>
      </c>
      <c r="AD4364">
        <v>-9.9642999999999898E-2</v>
      </c>
      <c r="AE4364">
        <v>-0.708699999999993</v>
      </c>
      <c r="AF4364">
        <v>-0.47262966950758201</v>
      </c>
      <c r="AG4364">
        <v>-9.9642999999999898E-2</v>
      </c>
      <c r="AH4364">
        <v>0.54270218881840304</v>
      </c>
      <c r="AI4364">
        <v>97.883010483968107</v>
      </c>
      <c r="AJ4364">
        <v>131.05202624539299</v>
      </c>
      <c r="AK4364">
        <v>0.72652129885924999</v>
      </c>
    </row>
    <row r="4365" spans="1:37" x14ac:dyDescent="0.2">
      <c r="A4365" t="str">
        <f>"20200111155939541"</f>
        <v>20200111155939541</v>
      </c>
      <c r="B4365" t="str">
        <f>"1578729579534340"</f>
        <v>1578729579534340</v>
      </c>
      <c r="C4365" t="s">
        <v>37</v>
      </c>
      <c r="D4365">
        <v>5.1439110000000001</v>
      </c>
      <c r="E4365">
        <v>0.31996659999999999</v>
      </c>
      <c r="F4365" t="s">
        <v>41</v>
      </c>
      <c r="G4365">
        <v>-438.40199999999999</v>
      </c>
      <c r="H4365">
        <v>-0.05</v>
      </c>
      <c r="I4365">
        <v>61.10989</v>
      </c>
      <c r="J4365">
        <v>-411.83139999999997</v>
      </c>
      <c r="K4365">
        <v>1.1131789999999999</v>
      </c>
      <c r="L4365">
        <v>129.13759999999999</v>
      </c>
      <c r="M4365">
        <v>-0.82054889999999903</v>
      </c>
      <c r="N4365">
        <v>0</v>
      </c>
      <c r="O4365">
        <v>-0.57137569999999904</v>
      </c>
      <c r="P4365">
        <v>-0.72245950000000003</v>
      </c>
      <c r="Q4365">
        <v>-1.3050640000000001E-2</v>
      </c>
      <c r="R4365">
        <v>-0.69129030000000002</v>
      </c>
      <c r="S4365">
        <v>-1.2170099999999999</v>
      </c>
      <c r="T4365">
        <v>-5.2827599999999898E-2</v>
      </c>
      <c r="U4365">
        <v>-3.0975039999999998</v>
      </c>
      <c r="V4365">
        <v>-0.154464299999999</v>
      </c>
      <c r="W4365">
        <v>-1.4385820000000001E-3</v>
      </c>
      <c r="X4365">
        <v>0.98799729999999997</v>
      </c>
      <c r="Y4365">
        <v>-0.55482929999999997</v>
      </c>
      <c r="Z4365">
        <v>5.1251930000000001E-3</v>
      </c>
      <c r="AA4365">
        <v>0.83194849999999998</v>
      </c>
      <c r="AB4365">
        <v>28</v>
      </c>
      <c r="AC4365">
        <v>-26.570599999999999</v>
      </c>
      <c r="AD4365">
        <v>-1.163179</v>
      </c>
      <c r="AE4365">
        <v>-68.0277099999999</v>
      </c>
      <c r="AF4365">
        <v>-40.632620621276502</v>
      </c>
      <c r="AG4365">
        <v>-1.163179</v>
      </c>
      <c r="AH4365">
        <v>60.663426478753003</v>
      </c>
      <c r="AI4365">
        <v>90.9126948838949</v>
      </c>
      <c r="AJ4365">
        <v>123.81434354877899</v>
      </c>
      <c r="AK4365">
        <v>73.023380886409896</v>
      </c>
    </row>
    <row r="4366" spans="1:37" x14ac:dyDescent="0.2">
      <c r="A4366" t="str">
        <f>"20200111155939562"</f>
        <v>20200111155939562</v>
      </c>
      <c r="B4366" t="str">
        <f>"1578729579554839"</f>
        <v>1578729579554839</v>
      </c>
      <c r="C4366" t="s">
        <v>37</v>
      </c>
      <c r="D4366">
        <v>5.1804589999999999</v>
      </c>
      <c r="E4366">
        <v>0.32995829999999998</v>
      </c>
      <c r="F4366" t="s">
        <v>41</v>
      </c>
      <c r="G4366">
        <v>-440.09339999999997</v>
      </c>
      <c r="H4366">
        <v>-0.05</v>
      </c>
      <c r="I4366">
        <v>54.2748699999999</v>
      </c>
      <c r="J4366">
        <v>-412.04849999999999</v>
      </c>
      <c r="K4366">
        <v>1.113324</v>
      </c>
      <c r="L4366">
        <v>128.97130000000001</v>
      </c>
      <c r="M4366">
        <v>-0.81366039999999995</v>
      </c>
      <c r="N4366">
        <v>0</v>
      </c>
      <c r="O4366">
        <v>-0.58114239999999995</v>
      </c>
      <c r="P4366">
        <v>-0.71204639999999997</v>
      </c>
      <c r="Q4366">
        <v>-1.083974E-2</v>
      </c>
      <c r="R4366">
        <v>-0.70204899999999903</v>
      </c>
      <c r="S4366">
        <v>-1.174561</v>
      </c>
      <c r="T4366">
        <v>-4.8341509999999997E-2</v>
      </c>
      <c r="U4366">
        <v>-3.1112820000000001</v>
      </c>
      <c r="V4366">
        <v>-0.157501</v>
      </c>
      <c r="W4366">
        <v>6.8503990000000001E-4</v>
      </c>
      <c r="X4366">
        <v>0.98751860000000002</v>
      </c>
      <c r="Y4366">
        <v>-0.55603029999999998</v>
      </c>
      <c r="Z4366">
        <v>4.8563870000000002E-3</v>
      </c>
      <c r="AA4366">
        <v>0.83114779999999999</v>
      </c>
      <c r="AB4366">
        <v>28</v>
      </c>
      <c r="AC4366">
        <v>-28.044899999999899</v>
      </c>
      <c r="AD4366">
        <v>-1.163324</v>
      </c>
      <c r="AE4366">
        <v>-74.696430000000007</v>
      </c>
      <c r="AF4366">
        <v>-44.475113839790197</v>
      </c>
      <c r="AG4366">
        <v>-1.163324</v>
      </c>
      <c r="AH4366">
        <v>66.221835802646893</v>
      </c>
      <c r="AI4366">
        <v>90.835504974379006</v>
      </c>
      <c r="AJ4366">
        <v>123.88562471455199</v>
      </c>
      <c r="AK4366">
        <v>79.779199111447596</v>
      </c>
    </row>
    <row r="4367" spans="1:37" x14ac:dyDescent="0.2">
      <c r="A4367" t="str">
        <f>"20200111155939586"</f>
        <v>20200111155939586</v>
      </c>
      <c r="B4367" t="str">
        <f>"1578729579574356"</f>
        <v>1578729579574356</v>
      </c>
      <c r="C4367" t="s">
        <v>37</v>
      </c>
      <c r="D4367">
        <v>4.3717879999999996</v>
      </c>
      <c r="E4367">
        <v>0.32108300000000001</v>
      </c>
      <c r="F4367" t="s">
        <v>39</v>
      </c>
      <c r="G4367">
        <v>-426.28190000000001</v>
      </c>
      <c r="H4367" s="1">
        <v>-2.7203579999999999E-6</v>
      </c>
      <c r="I4367">
        <v>92.034130000000005</v>
      </c>
      <c r="J4367">
        <v>-412.26839999999999</v>
      </c>
      <c r="K4367">
        <v>1.113469</v>
      </c>
      <c r="L4367">
        <v>128.79820000000001</v>
      </c>
      <c r="M4367">
        <v>-0.80635540000000006</v>
      </c>
      <c r="N4367">
        <v>0</v>
      </c>
      <c r="O4367">
        <v>-0.59123519999999996</v>
      </c>
      <c r="P4367">
        <v>-0.7015728</v>
      </c>
      <c r="Q4367">
        <v>-8.926692E-3</v>
      </c>
      <c r="R4367">
        <v>-0.71254219999999902</v>
      </c>
      <c r="S4367">
        <v>-1.1835329999999999</v>
      </c>
      <c r="T4367">
        <v>-9.2575190000000002E-2</v>
      </c>
      <c r="U4367">
        <v>-3.071396</v>
      </c>
      <c r="V4367">
        <v>-0.1598832</v>
      </c>
      <c r="W4367">
        <v>2.5232449999999999E-3</v>
      </c>
      <c r="X4367">
        <v>0.98713269999999997</v>
      </c>
      <c r="Y4367">
        <v>-0.53988979999999998</v>
      </c>
      <c r="Z4367">
        <v>9.9789860000000005E-3</v>
      </c>
      <c r="AA4367">
        <v>0.8416766</v>
      </c>
      <c r="AB4367">
        <v>28</v>
      </c>
      <c r="AC4367">
        <v>-14.013500000000001</v>
      </c>
      <c r="AD4367">
        <v>-1.113471720358</v>
      </c>
      <c r="AE4367">
        <v>-36.764069999999997</v>
      </c>
      <c r="AF4367">
        <v>-21.3450131956638</v>
      </c>
      <c r="AG4367">
        <v>-1.113471720358</v>
      </c>
      <c r="AH4367">
        <v>33.013463529204202</v>
      </c>
      <c r="AI4367">
        <v>91.622375791392798</v>
      </c>
      <c r="AJ4367">
        <v>122.884882339011</v>
      </c>
      <c r="AK4367">
        <v>39.328592420644704</v>
      </c>
    </row>
    <row r="4368" spans="1:37" x14ac:dyDescent="0.2">
      <c r="A4368" t="str">
        <f>"20200111155939607"</f>
        <v>20200111155939607</v>
      </c>
      <c r="B4368" t="str">
        <f>"1578729579604612"</f>
        <v>1578729579604612</v>
      </c>
      <c r="C4368" t="s">
        <v>37</v>
      </c>
      <c r="D4368">
        <v>5.3432930000000001</v>
      </c>
      <c r="E4368">
        <v>0.315494</v>
      </c>
      <c r="F4368" t="s">
        <v>60</v>
      </c>
      <c r="G4368">
        <v>-442.3252</v>
      </c>
      <c r="H4368">
        <v>7.8328190000000006E-2</v>
      </c>
      <c r="I4368">
        <v>42.094760000000001</v>
      </c>
      <c r="J4368">
        <v>-412.47879999999998</v>
      </c>
      <c r="K4368">
        <v>1.113605</v>
      </c>
      <c r="L4368">
        <v>128.62790000000001</v>
      </c>
      <c r="M4368">
        <v>-0.79903049999999998</v>
      </c>
      <c r="N4368">
        <v>0</v>
      </c>
      <c r="O4368">
        <v>-0.60109650000000003</v>
      </c>
      <c r="P4368">
        <v>-0.69160969999999999</v>
      </c>
      <c r="Q4368">
        <v>-8.6274850000000007E-3</v>
      </c>
      <c r="R4368">
        <v>-0.72222010000000003</v>
      </c>
      <c r="S4368">
        <v>-1.0880129999999999</v>
      </c>
      <c r="T4368">
        <v>-3.7470099999999999E-2</v>
      </c>
      <c r="U4368">
        <v>-3.1385350000000001</v>
      </c>
      <c r="V4368">
        <v>-0.16147529999999999</v>
      </c>
      <c r="W4368">
        <v>2.7669079999999898E-3</v>
      </c>
      <c r="X4368">
        <v>0.98687289999999905</v>
      </c>
      <c r="Y4368">
        <v>-0.55813389999999996</v>
      </c>
      <c r="Z4368">
        <v>4.0314419999999997E-3</v>
      </c>
      <c r="AA4368">
        <v>0.82974110000000001</v>
      </c>
      <c r="AB4368">
        <v>28</v>
      </c>
      <c r="AC4368">
        <v>-29.846399999999999</v>
      </c>
      <c r="AD4368">
        <v>-1.03527681</v>
      </c>
      <c r="AE4368">
        <v>-86.533140000000003</v>
      </c>
      <c r="AF4368">
        <v>-51.201474637107502</v>
      </c>
      <c r="AG4368">
        <v>-1.03527681</v>
      </c>
      <c r="AH4368">
        <v>75.862096736744306</v>
      </c>
      <c r="AI4368">
        <v>90.6480752630616</v>
      </c>
      <c r="AJ4368">
        <v>124.016526967388</v>
      </c>
      <c r="AK4368">
        <v>91.529888694255703</v>
      </c>
    </row>
    <row r="4369" spans="1:37" x14ac:dyDescent="0.2">
      <c r="A4369" t="str">
        <f>"20200111155939629"</f>
        <v>20200111155939629</v>
      </c>
      <c r="B4369" t="str">
        <f>"1578729579624132"</f>
        <v>1578729579624132</v>
      </c>
      <c r="C4369" t="s">
        <v>37</v>
      </c>
      <c r="D4369">
        <v>5.269755</v>
      </c>
      <c r="E4369">
        <v>0.31100139999999998</v>
      </c>
      <c r="F4369" t="s">
        <v>39</v>
      </c>
      <c r="G4369">
        <v>-424.67959999999999</v>
      </c>
      <c r="H4369" s="1">
        <v>-1.5162260000000001E-6</v>
      </c>
      <c r="I4369">
        <v>90.221080000000001</v>
      </c>
      <c r="J4369">
        <v>-412.68860000000001</v>
      </c>
      <c r="K4369">
        <v>1.1137239999999999</v>
      </c>
      <c r="L4369">
        <v>128.45330000000001</v>
      </c>
      <c r="M4369">
        <v>-0.79140410000000005</v>
      </c>
      <c r="N4369">
        <v>0</v>
      </c>
      <c r="O4369">
        <v>-0.61110180000000003</v>
      </c>
      <c r="P4369">
        <v>-0.68236980000000003</v>
      </c>
      <c r="Q4369">
        <v>-9.7346959999999993E-3</v>
      </c>
      <c r="R4369">
        <v>-0.73094300000000001</v>
      </c>
      <c r="S4369">
        <v>-1.0115049999999901</v>
      </c>
      <c r="T4369">
        <v>-9.2323420000000003E-2</v>
      </c>
      <c r="U4369">
        <v>-3.184113</v>
      </c>
      <c r="V4369">
        <v>-0.16157349999999901</v>
      </c>
      <c r="W4369">
        <v>1.6453889999999999E-3</v>
      </c>
      <c r="X4369">
        <v>0.98685929999999999</v>
      </c>
      <c r="Y4369">
        <v>-0.5692933</v>
      </c>
      <c r="Z4369">
        <v>1.0053019999999999E-2</v>
      </c>
      <c r="AA4369">
        <v>0.82207299999999905</v>
      </c>
      <c r="AB4369">
        <v>28</v>
      </c>
      <c r="AC4369">
        <v>-11.9909999999999</v>
      </c>
      <c r="AD4369">
        <v>-1.113725516226</v>
      </c>
      <c r="AE4369">
        <v>-38.232219999999998</v>
      </c>
      <c r="AF4369">
        <v>-22.914395345856999</v>
      </c>
      <c r="AG4369">
        <v>-1.113725516226</v>
      </c>
      <c r="AH4369">
        <v>32.8319861717519</v>
      </c>
      <c r="AI4369">
        <v>91.593385517603593</v>
      </c>
      <c r="AJ4369">
        <v>124.91230548398499</v>
      </c>
      <c r="AK4369">
        <v>40.053079963641203</v>
      </c>
    </row>
    <row r="4370" spans="1:37" x14ac:dyDescent="0.2">
      <c r="A4370" t="str">
        <f>"20200111155939653"</f>
        <v>20200111155939653</v>
      </c>
      <c r="B4370" t="str">
        <f>"1578729579644628"</f>
        <v>1578729579644628</v>
      </c>
      <c r="C4370" t="s">
        <v>37</v>
      </c>
      <c r="D4370">
        <v>5.268103</v>
      </c>
      <c r="E4370">
        <v>0.30828459999999902</v>
      </c>
      <c r="F4370" t="s">
        <v>39</v>
      </c>
      <c r="G4370">
        <v>-421.67559999999997</v>
      </c>
      <c r="H4370" s="1">
        <v>-3.9653580000000003E-6</v>
      </c>
      <c r="I4370">
        <v>97.793189999999996</v>
      </c>
      <c r="J4370">
        <v>-412.90449999999998</v>
      </c>
      <c r="K4370">
        <v>1.1138600000000001</v>
      </c>
      <c r="L4370">
        <v>128.2687</v>
      </c>
      <c r="M4370">
        <v>-0.78320259999999997</v>
      </c>
      <c r="N4370">
        <v>0</v>
      </c>
      <c r="O4370">
        <v>-0.62157709999999999</v>
      </c>
      <c r="P4370">
        <v>-0.67248469999999905</v>
      </c>
      <c r="Q4370">
        <v>-1.058128E-2</v>
      </c>
      <c r="R4370">
        <v>-0.74003560000000002</v>
      </c>
      <c r="S4370">
        <v>-0.94421390000000005</v>
      </c>
      <c r="T4370">
        <v>-0.117012899999999</v>
      </c>
      <c r="U4370">
        <v>-3.2212830000000001</v>
      </c>
      <c r="V4370">
        <v>-0.16167819999999999</v>
      </c>
      <c r="W4370">
        <v>7.8612959999999998E-4</v>
      </c>
      <c r="X4370">
        <v>0.98684319999999903</v>
      </c>
      <c r="Y4370">
        <v>-0.57678509999999905</v>
      </c>
      <c r="Z4370">
        <v>1.2996290000000001E-2</v>
      </c>
      <c r="AA4370">
        <v>0.81679250000000003</v>
      </c>
      <c r="AB4370">
        <v>28</v>
      </c>
      <c r="AC4370">
        <v>-8.7710999999999899</v>
      </c>
      <c r="AD4370">
        <v>-1.113863965358</v>
      </c>
      <c r="AE4370">
        <v>-30.47551</v>
      </c>
      <c r="AF4370">
        <v>-18.396058835749699</v>
      </c>
      <c r="AG4370">
        <v>-1.113863965358</v>
      </c>
      <c r="AH4370">
        <v>25.783659994422202</v>
      </c>
      <c r="AI4370">
        <v>92.014092755732605</v>
      </c>
      <c r="AJ4370">
        <v>125.50699955873</v>
      </c>
      <c r="AK4370">
        <v>31.693103292824699</v>
      </c>
    </row>
    <row r="4371" spans="1:37" x14ac:dyDescent="0.2">
      <c r="A4371" t="str">
        <f>"20200111155939674"</f>
        <v>20200111155939674</v>
      </c>
      <c r="B4371" t="str">
        <f>"1578729579664148"</f>
        <v>1578729579664148</v>
      </c>
      <c r="C4371" t="s">
        <v>37</v>
      </c>
      <c r="D4371">
        <v>5.2737550000000004</v>
      </c>
      <c r="E4371">
        <v>0.30639050000000001</v>
      </c>
      <c r="F4371" t="s">
        <v>38</v>
      </c>
      <c r="G4371">
        <v>-413.176999999999</v>
      </c>
      <c r="H4371">
        <v>1.0719889999999901</v>
      </c>
      <c r="I4371">
        <v>127.2685</v>
      </c>
      <c r="J4371">
        <v>-413.11</v>
      </c>
      <c r="K4371">
        <v>1.113998</v>
      </c>
      <c r="L4371">
        <v>128.0882</v>
      </c>
      <c r="M4371">
        <v>-0.77504329999999999</v>
      </c>
      <c r="N4371">
        <v>0</v>
      </c>
      <c r="O4371">
        <v>-0.63172069999999902</v>
      </c>
      <c r="P4371">
        <v>-0.66266139999999996</v>
      </c>
      <c r="Q4371">
        <v>-7.219311E-3</v>
      </c>
      <c r="R4371">
        <v>-0.74888429999999995</v>
      </c>
      <c r="S4371">
        <v>-0.88427730000000004</v>
      </c>
      <c r="T4371">
        <v>-0.13593229999999901</v>
      </c>
      <c r="U4371">
        <v>-3.2483520000000001</v>
      </c>
      <c r="V4371">
        <v>-0.16196340000000001</v>
      </c>
      <c r="W4371">
        <v>4.1330379999999899E-3</v>
      </c>
      <c r="X4371">
        <v>0.98678809999999995</v>
      </c>
      <c r="Y4371">
        <v>-0.58193339999999905</v>
      </c>
      <c r="Z4371">
        <v>1.545673E-2</v>
      </c>
      <c r="AA4371">
        <v>0.81308950000000002</v>
      </c>
      <c r="AB4371">
        <v>28</v>
      </c>
      <c r="AC4371">
        <v>-6.6999999999950405E-2</v>
      </c>
      <c r="AD4371">
        <v>-4.2009000000000102E-2</v>
      </c>
      <c r="AE4371">
        <v>-0.81969999999999699</v>
      </c>
      <c r="AF4371">
        <v>-0.59150467186495403</v>
      </c>
      <c r="AG4371">
        <v>-4.2009000000000102E-2</v>
      </c>
      <c r="AH4371">
        <v>0.56833402690006096</v>
      </c>
      <c r="AI4371">
        <v>92.931679503907603</v>
      </c>
      <c r="AJ4371">
        <v>136.144472586262</v>
      </c>
      <c r="AK4371">
        <v>0.82136843076143695</v>
      </c>
    </row>
    <row r="4372" spans="1:37" x14ac:dyDescent="0.2">
      <c r="A4372" t="str">
        <f>"20200111155939696"</f>
        <v>20200111155939696</v>
      </c>
      <c r="B4372" t="str">
        <f>"1578729579684644"</f>
        <v>1578729579684644</v>
      </c>
      <c r="C4372" t="s">
        <v>37</v>
      </c>
      <c r="D4372">
        <v>5.342403</v>
      </c>
      <c r="E4372">
        <v>0.30614229999999998</v>
      </c>
      <c r="F4372" t="s">
        <v>38</v>
      </c>
      <c r="G4372">
        <v>-413.3578</v>
      </c>
      <c r="H4372">
        <v>1.071188</v>
      </c>
      <c r="I4372">
        <v>127.1123</v>
      </c>
      <c r="J4372">
        <v>-413.30459999999999</v>
      </c>
      <c r="K4372">
        <v>1.114125</v>
      </c>
      <c r="L4372">
        <v>127.91249999999999</v>
      </c>
      <c r="M4372">
        <v>-0.76697590000000004</v>
      </c>
      <c r="N4372">
        <v>0</v>
      </c>
      <c r="O4372">
        <v>-0.64149040000000002</v>
      </c>
      <c r="P4372">
        <v>-0.65286739999999999</v>
      </c>
      <c r="Q4372">
        <v>-3.4776329999999999E-3</v>
      </c>
      <c r="R4372">
        <v>-0.75746420000000003</v>
      </c>
      <c r="S4372">
        <v>-0.83041379999999998</v>
      </c>
      <c r="T4372">
        <v>-0.14347470000000001</v>
      </c>
      <c r="U4372">
        <v>-3.2697750000000001</v>
      </c>
      <c r="V4372">
        <v>-0.16240299999999999</v>
      </c>
      <c r="W4372">
        <v>7.8561150000000003E-3</v>
      </c>
      <c r="X4372">
        <v>0.9866933</v>
      </c>
      <c r="Y4372">
        <v>-0.58550429999999998</v>
      </c>
      <c r="Z4372">
        <v>1.6725520000000001E-2</v>
      </c>
      <c r="AA4372">
        <v>0.81049669999999996</v>
      </c>
      <c r="AB4372">
        <v>28</v>
      </c>
      <c r="AC4372">
        <v>-5.3200000000003897E-2</v>
      </c>
      <c r="AD4372">
        <v>-4.2937000000000003E-2</v>
      </c>
      <c r="AE4372">
        <v>-0.80019999999998903</v>
      </c>
      <c r="AF4372">
        <v>-0.57801893432301599</v>
      </c>
      <c r="AG4372">
        <v>-4.2937000000000003E-2</v>
      </c>
      <c r="AH4372">
        <v>0.55260565788773397</v>
      </c>
      <c r="AI4372">
        <v>93.073437528717193</v>
      </c>
      <c r="AJ4372">
        <v>136.287631945187</v>
      </c>
      <c r="AK4372">
        <v>0.80082612815420195</v>
      </c>
    </row>
    <row r="4373" spans="1:37" x14ac:dyDescent="0.2">
      <c r="A4373" t="str">
        <f>"20200111155939741"</f>
        <v>20200111155939741</v>
      </c>
      <c r="B4373" t="str">
        <f>"1578729579734420"</f>
        <v>1578729579734420</v>
      </c>
      <c r="C4373" t="s">
        <v>37</v>
      </c>
      <c r="D4373">
        <v>5.265021</v>
      </c>
      <c r="E4373">
        <v>0.3057337</v>
      </c>
      <c r="F4373" t="s">
        <v>38</v>
      </c>
      <c r="G4373">
        <v>-413.53489999999999</v>
      </c>
      <c r="H4373">
        <v>1.0713330000000001</v>
      </c>
      <c r="I4373">
        <v>126.95180000000001</v>
      </c>
      <c r="J4373">
        <v>-413.700999999999</v>
      </c>
      <c r="K4373">
        <v>1.114371</v>
      </c>
      <c r="L4373">
        <v>127.5394</v>
      </c>
      <c r="M4373">
        <v>-0.74943530000000003</v>
      </c>
      <c r="N4373">
        <v>0</v>
      </c>
      <c r="O4373">
        <v>-0.66189600000000004</v>
      </c>
      <c r="P4373">
        <v>-0.63178719999999999</v>
      </c>
      <c r="Q4373">
        <v>-3.6086059999999999E-3</v>
      </c>
      <c r="R4373">
        <v>-0.77513369999999904</v>
      </c>
      <c r="S4373">
        <v>-0.78656009999999998</v>
      </c>
      <c r="T4373">
        <v>-0.1461721</v>
      </c>
      <c r="U4373">
        <v>-3.2819669999999999</v>
      </c>
      <c r="V4373">
        <v>-0.16299269999999999</v>
      </c>
      <c r="W4373">
        <v>7.6944709999999996E-3</v>
      </c>
      <c r="X4373">
        <v>0.98659719999999995</v>
      </c>
      <c r="Y4373">
        <v>-0.574577</v>
      </c>
      <c r="Z4373">
        <v>1.8401210000000001E-2</v>
      </c>
      <c r="AA4373">
        <v>0.81824370000000002</v>
      </c>
      <c r="AB4373">
        <v>28</v>
      </c>
      <c r="AC4373">
        <v>0.16609999999997099</v>
      </c>
      <c r="AD4373">
        <v>-4.3037999999999903E-2</v>
      </c>
      <c r="AE4373">
        <v>-0.58759999999999402</v>
      </c>
      <c r="AF4373">
        <v>-0.54765469008338996</v>
      </c>
      <c r="AG4373">
        <v>-4.3037999999999903E-2</v>
      </c>
      <c r="AH4373">
        <v>0.26317331619503298</v>
      </c>
      <c r="AI4373">
        <v>94.051608295930706</v>
      </c>
      <c r="AJ4373">
        <v>154.33357025740401</v>
      </c>
      <c r="AK4373">
        <v>0.60912898746605804</v>
      </c>
    </row>
    <row r="4374" spans="1:37" x14ac:dyDescent="0.2">
      <c r="A4374" t="str">
        <f>"20200111155939763"</f>
        <v>20200111155939763</v>
      </c>
      <c r="B4374" t="str">
        <f>"1578729579754916"</f>
        <v>1578729579754916</v>
      </c>
      <c r="C4374" t="s">
        <v>37</v>
      </c>
      <c r="D4374">
        <v>4.1901719999999996</v>
      </c>
      <c r="E4374">
        <v>0.30558170000000001</v>
      </c>
      <c r="F4374" t="s">
        <v>38</v>
      </c>
      <c r="G4374">
        <v>-413.89159999999998</v>
      </c>
      <c r="H4374">
        <v>1.0701909999999999</v>
      </c>
      <c r="I4374">
        <v>126.6319</v>
      </c>
      <c r="J4374">
        <v>-413.89530000000002</v>
      </c>
      <c r="K4374">
        <v>1.114479</v>
      </c>
      <c r="L4374">
        <v>127.3486</v>
      </c>
      <c r="M4374">
        <v>-0.74026479999999995</v>
      </c>
      <c r="N4374">
        <v>0</v>
      </c>
      <c r="O4374">
        <v>-0.6721357</v>
      </c>
      <c r="P4374">
        <v>-0.62050969999999905</v>
      </c>
      <c r="Q4374">
        <v>-6.8835569999999898E-3</v>
      </c>
      <c r="R4374">
        <v>-0.7841688</v>
      </c>
      <c r="S4374">
        <v>-0.69329830000000003</v>
      </c>
      <c r="T4374">
        <v>-0.16081139999999999</v>
      </c>
      <c r="U4374">
        <v>-3.3044739999999999</v>
      </c>
      <c r="V4374">
        <v>-0.16360469999999999</v>
      </c>
      <c r="W4374">
        <v>4.3952959999999999E-3</v>
      </c>
      <c r="X4374">
        <v>0.98651619999999995</v>
      </c>
      <c r="Y4374">
        <v>-0.58650709999999995</v>
      </c>
      <c r="Z4374">
        <v>2.0572679999999999E-2</v>
      </c>
      <c r="AA4374">
        <v>0.80968280000000004</v>
      </c>
      <c r="AB4374">
        <v>28</v>
      </c>
      <c r="AC4374">
        <v>3.70000000003756E-3</v>
      </c>
      <c r="AD4374">
        <v>-4.4288000000000098E-2</v>
      </c>
      <c r="AE4374">
        <v>-0.716700000000003</v>
      </c>
      <c r="AF4374">
        <v>-0.53107123100379705</v>
      </c>
      <c r="AG4374">
        <v>-4.4288000000000098E-2</v>
      </c>
      <c r="AH4374">
        <v>0.47721633314837097</v>
      </c>
      <c r="AI4374">
        <v>93.5494789015995</v>
      </c>
      <c r="AJ4374">
        <v>138.05739071928801</v>
      </c>
      <c r="AK4374">
        <v>0.71535551159368704</v>
      </c>
    </row>
    <row r="4375" spans="1:37" x14ac:dyDescent="0.2">
      <c r="A4375" t="str">
        <f>"20200111155939786"</f>
        <v>20200111155939786</v>
      </c>
      <c r="B4375" t="str">
        <f>"1578729579774436"</f>
        <v>1578729579774436</v>
      </c>
      <c r="C4375" t="s">
        <v>37</v>
      </c>
      <c r="D4375">
        <v>4.4336970000000004</v>
      </c>
      <c r="E4375">
        <v>0.2779354</v>
      </c>
      <c r="F4375" t="s">
        <v>38</v>
      </c>
      <c r="G4375">
        <v>-414.06639999999999</v>
      </c>
      <c r="H4375">
        <v>1.0684309999999999</v>
      </c>
      <c r="I4375">
        <v>126.4688</v>
      </c>
      <c r="J4375">
        <v>-414.08260000000001</v>
      </c>
      <c r="K4375">
        <v>1.1145849999999999</v>
      </c>
      <c r="L4375">
        <v>127.1593</v>
      </c>
      <c r="M4375">
        <v>-0.73104259999999999</v>
      </c>
      <c r="N4375">
        <v>0</v>
      </c>
      <c r="O4375">
        <v>-0.68215389999999998</v>
      </c>
      <c r="P4375">
        <v>-0.60872550000000003</v>
      </c>
      <c r="Q4375">
        <v>-8.8275209999999996E-3</v>
      </c>
      <c r="R4375">
        <v>-0.79333229999999999</v>
      </c>
      <c r="S4375">
        <v>-0.64453130000000003</v>
      </c>
      <c r="T4375">
        <v>-0.17343329999999901</v>
      </c>
      <c r="U4375">
        <v>-3.3141780000000001</v>
      </c>
      <c r="V4375">
        <v>-0.16484760000000001</v>
      </c>
      <c r="W4375">
        <v>2.413096E-3</v>
      </c>
      <c r="X4375">
        <v>0.98631610000000003</v>
      </c>
      <c r="Y4375">
        <v>-0.58739859999999999</v>
      </c>
      <c r="Z4375">
        <v>2.2829820000000001E-2</v>
      </c>
      <c r="AA4375">
        <v>0.80897569999999996</v>
      </c>
      <c r="AB4375">
        <v>28</v>
      </c>
      <c r="AC4375">
        <v>1.62000000000261E-2</v>
      </c>
      <c r="AD4375">
        <v>-4.6154000000000001E-2</v>
      </c>
      <c r="AE4375">
        <v>-0.6905</v>
      </c>
      <c r="AF4375">
        <v>-0.51360502606611502</v>
      </c>
      <c r="AG4375">
        <v>-4.6154000000000001E-2</v>
      </c>
      <c r="AH4375">
        <v>0.457198590069685</v>
      </c>
      <c r="AI4375">
        <v>93.840014042209503</v>
      </c>
      <c r="AJ4375">
        <v>138.32530820030999</v>
      </c>
      <c r="AK4375">
        <v>0.68916679060883601</v>
      </c>
    </row>
    <row r="4376" spans="1:37" x14ac:dyDescent="0.2">
      <c r="A4376" t="str">
        <f>"20200111155939808"</f>
        <v>20200111155939808</v>
      </c>
      <c r="B4376" t="str">
        <f>"1578729579804693"</f>
        <v>1578729579804693</v>
      </c>
      <c r="C4376" t="s">
        <v>37</v>
      </c>
      <c r="D4376">
        <v>4.2543030000000002</v>
      </c>
      <c r="E4376">
        <v>0.27999200000000002</v>
      </c>
      <c r="F4376" t="s">
        <v>74</v>
      </c>
      <c r="G4376">
        <v>-429.83440000000002</v>
      </c>
      <c r="H4376">
        <v>4.4066400000000003</v>
      </c>
      <c r="I4376">
        <v>-1.941254</v>
      </c>
      <c r="J4376">
        <v>-414.26990000000001</v>
      </c>
      <c r="K4376">
        <v>1.114698</v>
      </c>
      <c r="L4376">
        <v>126.96420000000001</v>
      </c>
      <c r="M4376">
        <v>-0.72142930000000005</v>
      </c>
      <c r="N4376">
        <v>0</v>
      </c>
      <c r="O4376">
        <v>-0.69231209999999999</v>
      </c>
      <c r="P4376">
        <v>-0.59677060000000004</v>
      </c>
      <c r="Q4376">
        <v>-9.5513890000000004E-3</v>
      </c>
      <c r="R4376">
        <v>-0.80235500000000004</v>
      </c>
      <c r="S4376">
        <v>-0.42199709999999901</v>
      </c>
      <c r="T4376">
        <v>8.8194969999999998E-2</v>
      </c>
      <c r="U4376">
        <v>-3.45866399999999</v>
      </c>
      <c r="V4376">
        <v>-0.1658058</v>
      </c>
      <c r="W4376">
        <v>1.6620789999999999E-3</v>
      </c>
      <c r="X4376">
        <v>0.98615699999999995</v>
      </c>
      <c r="Y4376">
        <v>-0.63232519999999903</v>
      </c>
      <c r="Z4376">
        <v>-1.101619E-2</v>
      </c>
      <c r="AA4376">
        <v>0.7746248</v>
      </c>
      <c r="AB4376">
        <v>28</v>
      </c>
      <c r="AC4376">
        <v>-15.564500000000001</v>
      </c>
      <c r="AD4376">
        <v>3.2919420000000001</v>
      </c>
      <c r="AE4376">
        <v>-128.90545399999999</v>
      </c>
      <c r="AF4376">
        <v>-82.177877119400904</v>
      </c>
      <c r="AG4376">
        <v>3.2919420000000001</v>
      </c>
      <c r="AH4376">
        <v>100.41918820140999</v>
      </c>
      <c r="AI4376">
        <v>88.546729338511796</v>
      </c>
      <c r="AJ4376">
        <v>129.29512194118001</v>
      </c>
      <c r="AK4376">
        <v>129.800052885247</v>
      </c>
    </row>
    <row r="4377" spans="1:37" x14ac:dyDescent="0.2">
      <c r="A4377" t="str">
        <f>"20200111155939832"</f>
        <v>20200111155939832</v>
      </c>
      <c r="B4377" t="str">
        <f>"1578729579824212"</f>
        <v>1578729579824212</v>
      </c>
      <c r="C4377" t="s">
        <v>37</v>
      </c>
      <c r="D4377">
        <v>4.2419440000000002</v>
      </c>
      <c r="E4377">
        <v>0.28069290000000002</v>
      </c>
      <c r="F4377" t="s">
        <v>74</v>
      </c>
      <c r="G4377">
        <v>-428.2192</v>
      </c>
      <c r="H4377">
        <v>3.952296</v>
      </c>
      <c r="I4377">
        <v>1.2226330000000001</v>
      </c>
      <c r="J4377">
        <v>-414.46379999999999</v>
      </c>
      <c r="K4377">
        <v>1.114803</v>
      </c>
      <c r="L4377">
        <v>126.756</v>
      </c>
      <c r="M4377">
        <v>-0.71106599999999998</v>
      </c>
      <c r="N4377">
        <v>0</v>
      </c>
      <c r="O4377">
        <v>-0.70295129999999995</v>
      </c>
      <c r="P4377">
        <v>-0.58324149999999997</v>
      </c>
      <c r="Q4377">
        <v>-8.6348599999999994E-3</v>
      </c>
      <c r="R4377">
        <v>-0.81225309999999995</v>
      </c>
      <c r="S4377">
        <v>-0.38327030000000001</v>
      </c>
      <c r="T4377">
        <v>7.7964899999999906E-2</v>
      </c>
      <c r="U4377">
        <v>-3.4548649999999999</v>
      </c>
      <c r="V4377">
        <v>-0.16771429999999901</v>
      </c>
      <c r="W4377">
        <v>2.5294429999999902E-3</v>
      </c>
      <c r="X4377">
        <v>0.98583240000000005</v>
      </c>
      <c r="Y4377">
        <v>-0.62928319999999904</v>
      </c>
      <c r="Z4377">
        <v>-1.011861E-2</v>
      </c>
      <c r="AA4377">
        <v>0.77711019999999997</v>
      </c>
      <c r="AB4377">
        <v>28</v>
      </c>
      <c r="AC4377">
        <v>-13.7554</v>
      </c>
      <c r="AD4377">
        <v>2.8374929999999998</v>
      </c>
      <c r="AE4377">
        <v>-125.533367</v>
      </c>
      <c r="AF4377">
        <v>-79.562701656567796</v>
      </c>
      <c r="AG4377">
        <v>2.8374929999999998</v>
      </c>
      <c r="AH4377">
        <v>97.987362540896896</v>
      </c>
      <c r="AI4377">
        <v>88.7121876329863</v>
      </c>
      <c r="AJ4377">
        <v>129.07552841239001</v>
      </c>
      <c r="AK4377">
        <v>126.252913151096</v>
      </c>
    </row>
    <row r="4378" spans="1:37" x14ac:dyDescent="0.2">
      <c r="A4378" t="str">
        <f>"20200111155939853"</f>
        <v>20200111155939853</v>
      </c>
      <c r="B4378" t="str">
        <f>"1578729579844708"</f>
        <v>1578729579844708</v>
      </c>
      <c r="C4378" t="s">
        <v>37</v>
      </c>
      <c r="D4378">
        <v>4.2382530000000003</v>
      </c>
      <c r="E4378">
        <v>0.28109980000000001</v>
      </c>
      <c r="F4378" t="s">
        <v>74</v>
      </c>
      <c r="G4378">
        <v>-426.38720000000001</v>
      </c>
      <c r="H4378">
        <v>3.8143739999999999</v>
      </c>
      <c r="I4378">
        <v>1.7094669999999901</v>
      </c>
      <c r="J4378">
        <v>-414.63900000000001</v>
      </c>
      <c r="K4378">
        <v>1.11487</v>
      </c>
      <c r="L4378">
        <v>126.5625</v>
      </c>
      <c r="M4378">
        <v>-0.70134960000000002</v>
      </c>
      <c r="N4378">
        <v>0</v>
      </c>
      <c r="O4378">
        <v>-0.71264499999999997</v>
      </c>
      <c r="P4378">
        <v>-0.57063199999999903</v>
      </c>
      <c r="Q4378">
        <v>-8.2762900000000004E-3</v>
      </c>
      <c r="R4378">
        <v>-0.82116429999999996</v>
      </c>
      <c r="S4378">
        <v>-0.32968140000000001</v>
      </c>
      <c r="T4378">
        <v>7.4642059999999996E-2</v>
      </c>
      <c r="U4378">
        <v>-3.4575199999999899</v>
      </c>
      <c r="V4378">
        <v>-0.1694137</v>
      </c>
      <c r="W4378">
        <v>2.847016E-3</v>
      </c>
      <c r="X4378">
        <v>0.98554089999999905</v>
      </c>
      <c r="Y4378">
        <v>-0.63059940000000003</v>
      </c>
      <c r="Z4378">
        <v>-9.9633369999999992E-3</v>
      </c>
      <c r="AA4378">
        <v>0.77604450000000003</v>
      </c>
      <c r="AB4378">
        <v>28</v>
      </c>
      <c r="AC4378">
        <v>-11.748199999999899</v>
      </c>
      <c r="AD4378">
        <v>2.6995040000000001</v>
      </c>
      <c r="AE4378">
        <v>-124.853033</v>
      </c>
      <c r="AF4378">
        <v>-79.166380640269693</v>
      </c>
      <c r="AG4378">
        <v>2.6995040000000001</v>
      </c>
      <c r="AH4378">
        <v>97.182404319943203</v>
      </c>
      <c r="AI4378">
        <v>88.766249342434705</v>
      </c>
      <c r="AJ4378">
        <v>129.16682516389599</v>
      </c>
      <c r="AK4378">
        <v>125.375527336601</v>
      </c>
    </row>
    <row r="4379" spans="1:37" x14ac:dyDescent="0.2">
      <c r="A4379" t="str">
        <f>"20200111155939874"</f>
        <v>20200111155939874</v>
      </c>
      <c r="B4379" t="str">
        <f>"1578729579865204"</f>
        <v>1578729579865204</v>
      </c>
      <c r="C4379" t="s">
        <v>37</v>
      </c>
      <c r="D4379">
        <v>4.2194989999999999</v>
      </c>
      <c r="E4379">
        <v>0.2815125</v>
      </c>
      <c r="F4379" t="s">
        <v>74</v>
      </c>
      <c r="G4379">
        <v>-424.68439999999998</v>
      </c>
      <c r="H4379">
        <v>3.7284929999999998</v>
      </c>
      <c r="I4379">
        <v>1.7267859999999999</v>
      </c>
      <c r="J4379">
        <v>-414.8107</v>
      </c>
      <c r="K4379">
        <v>1.1149009999999999</v>
      </c>
      <c r="L4379">
        <v>126.3674</v>
      </c>
      <c r="M4379">
        <v>-0.6914846</v>
      </c>
      <c r="N4379">
        <v>0</v>
      </c>
      <c r="O4379">
        <v>-0.72222050000000004</v>
      </c>
      <c r="P4379">
        <v>-0.55778249999999996</v>
      </c>
      <c r="Q4379">
        <v>-9.7118350000000003E-3</v>
      </c>
      <c r="R4379">
        <v>-0.82993019999999995</v>
      </c>
      <c r="S4379">
        <v>-0.27847290000000002</v>
      </c>
      <c r="T4379">
        <v>7.245219E-2</v>
      </c>
      <c r="U4379">
        <v>-3.46060199999999</v>
      </c>
      <c r="V4379">
        <v>-0.17115420000000001</v>
      </c>
      <c r="W4379">
        <v>1.3707319999999999E-3</v>
      </c>
      <c r="X4379">
        <v>0.98524330000000004</v>
      </c>
      <c r="Y4379">
        <v>-0.63139000000000001</v>
      </c>
      <c r="Z4379">
        <v>-9.9396799999999993E-3</v>
      </c>
      <c r="AA4379">
        <v>0.77540180000000003</v>
      </c>
      <c r="AB4379">
        <v>28</v>
      </c>
      <c r="AC4379">
        <v>-9.8736999999999799</v>
      </c>
      <c r="AD4379">
        <v>2.6135919999999899</v>
      </c>
      <c r="AE4379">
        <v>-124.640614</v>
      </c>
      <c r="AF4379">
        <v>-79.031292531188001</v>
      </c>
      <c r="AG4379">
        <v>2.6135919999999899</v>
      </c>
      <c r="AH4379">
        <v>96.815157045455194</v>
      </c>
      <c r="AI4379">
        <v>88.8019668186855</v>
      </c>
      <c r="AJ4379">
        <v>129.22514538162301</v>
      </c>
      <c r="AK4379">
        <v>125.003802726272</v>
      </c>
    </row>
    <row r="4380" spans="1:37" x14ac:dyDescent="0.2">
      <c r="A4380" t="str">
        <f>"20200111155939897"</f>
        <v>20200111155939897</v>
      </c>
      <c r="B4380" t="str">
        <f>"1578729579894485"</f>
        <v>1578729579894485</v>
      </c>
      <c r="C4380" t="s">
        <v>37</v>
      </c>
      <c r="D4380">
        <v>5.4163629999999996</v>
      </c>
      <c r="E4380">
        <v>0.33071420000000001</v>
      </c>
      <c r="F4380" t="s">
        <v>74</v>
      </c>
      <c r="G4380">
        <v>-422.97949999999997</v>
      </c>
      <c r="H4380">
        <v>3.5256509999999999</v>
      </c>
      <c r="I4380">
        <v>1.7441229999999901</v>
      </c>
      <c r="J4380">
        <v>-414.9871</v>
      </c>
      <c r="K4380">
        <v>1.1149129999999901</v>
      </c>
      <c r="L4380">
        <v>126.1611</v>
      </c>
      <c r="M4380">
        <v>-0.68099330000000002</v>
      </c>
      <c r="N4380">
        <v>0</v>
      </c>
      <c r="O4380">
        <v>-0.73212100000000002</v>
      </c>
      <c r="P4380">
        <v>-0.5436474</v>
      </c>
      <c r="Q4380">
        <v>-1.242271E-2</v>
      </c>
      <c r="R4380">
        <v>-0.83922180000000002</v>
      </c>
      <c r="S4380">
        <v>-0.22698969999999999</v>
      </c>
      <c r="T4380">
        <v>6.6987630000000006E-2</v>
      </c>
      <c r="U4380">
        <v>-3.4629519999999898</v>
      </c>
      <c r="V4380">
        <v>-0.17353179999999899</v>
      </c>
      <c r="W4380">
        <v>-1.398304E-3</v>
      </c>
      <c r="X4380">
        <v>0.98482729999999996</v>
      </c>
      <c r="Y4380">
        <v>-0.63171369999999905</v>
      </c>
      <c r="Z4380">
        <v>-9.4539540000000005E-3</v>
      </c>
      <c r="AA4380">
        <v>0.7751441</v>
      </c>
      <c r="AB4380">
        <v>27</v>
      </c>
      <c r="AC4380">
        <v>-7.9923999999999698</v>
      </c>
      <c r="AD4380">
        <v>2.4107379999999998</v>
      </c>
      <c r="AE4380">
        <v>-124.416977</v>
      </c>
      <c r="AF4380">
        <v>-78.855981472986898</v>
      </c>
      <c r="AG4380">
        <v>2.4107379999999998</v>
      </c>
      <c r="AH4380">
        <v>96.506890996141195</v>
      </c>
      <c r="AI4380">
        <v>88.891828563875194</v>
      </c>
      <c r="AJ4380">
        <v>129.252329872378</v>
      </c>
      <c r="AK4380">
        <v>124.65014031886901</v>
      </c>
    </row>
    <row r="4381" spans="1:37" x14ac:dyDescent="0.2">
      <c r="A4381" t="str">
        <f>"20200111155939920"</f>
        <v>20200111155939920</v>
      </c>
      <c r="B4381" t="str">
        <f>"1578729579914982"</f>
        <v>1578729579914982</v>
      </c>
      <c r="C4381" t="s">
        <v>37</v>
      </c>
      <c r="D4381">
        <v>5.3735249999999999</v>
      </c>
      <c r="E4381">
        <v>0.33112979999999997</v>
      </c>
      <c r="F4381" t="s">
        <v>38</v>
      </c>
      <c r="G4381">
        <v>-415.13220000000001</v>
      </c>
      <c r="H4381">
        <v>1.0301670000000001</v>
      </c>
      <c r="I4381">
        <v>125.2159</v>
      </c>
      <c r="J4381">
        <v>-415.16160000000002</v>
      </c>
      <c r="K4381">
        <v>1.1149169999999999</v>
      </c>
      <c r="L4381">
        <v>125.9509</v>
      </c>
      <c r="M4381">
        <v>-0.67024799999999995</v>
      </c>
      <c r="N4381">
        <v>0</v>
      </c>
      <c r="O4381">
        <v>-0.74197029999999997</v>
      </c>
      <c r="P4381">
        <v>-0.52937330000000005</v>
      </c>
      <c r="Q4381">
        <v>-1.4874739999999999E-2</v>
      </c>
      <c r="R4381">
        <v>-0.84825869999999903</v>
      </c>
      <c r="S4381">
        <v>-0.498260499999999</v>
      </c>
      <c r="T4381">
        <v>-0.29110839999999999</v>
      </c>
      <c r="U4381">
        <v>-3.247665</v>
      </c>
      <c r="V4381">
        <v>-0.17574389999999901</v>
      </c>
      <c r="W4381">
        <v>-3.90280099999999E-3</v>
      </c>
      <c r="X4381">
        <v>0.98442819999999998</v>
      </c>
      <c r="Y4381">
        <v>-0.5500159</v>
      </c>
      <c r="Z4381">
        <v>4.7795709999999998E-2</v>
      </c>
      <c r="AA4381">
        <v>0.83378539999999901</v>
      </c>
      <c r="AB4381">
        <v>27</v>
      </c>
      <c r="AC4381">
        <v>2.9400000000009599E-2</v>
      </c>
      <c r="AD4381">
        <v>-8.4749999999999798E-2</v>
      </c>
      <c r="AE4381">
        <v>-0.73499999999999899</v>
      </c>
      <c r="AF4381">
        <v>-0.50776966279517499</v>
      </c>
      <c r="AG4381">
        <v>-8.4749999999999798E-2</v>
      </c>
      <c r="AH4381">
        <v>0.51882102352875703</v>
      </c>
      <c r="AI4381">
        <v>96.658760707304296</v>
      </c>
      <c r="AJ4381">
        <v>134.38322850754</v>
      </c>
      <c r="AK4381">
        <v>0.73088155498038998</v>
      </c>
    </row>
    <row r="4382" spans="1:37" x14ac:dyDescent="0.2">
      <c r="A4382" t="str">
        <f>"20200111155939943"</f>
        <v>20200111155939943</v>
      </c>
      <c r="B4382" t="str">
        <f>"1578729579934501"</f>
        <v>1578729579934501</v>
      </c>
      <c r="C4382" t="s">
        <v>37</v>
      </c>
      <c r="D4382">
        <v>5.3707260000000003</v>
      </c>
      <c r="E4382">
        <v>0.33325969999999999</v>
      </c>
      <c r="F4382" t="s">
        <v>38</v>
      </c>
      <c r="G4382">
        <v>-415.28680000000003</v>
      </c>
      <c r="H4382">
        <v>1.03284</v>
      </c>
      <c r="I4382">
        <v>125.0376</v>
      </c>
      <c r="J4382">
        <v>-415.3304</v>
      </c>
      <c r="K4382">
        <v>1.114916</v>
      </c>
      <c r="L4382">
        <v>125.7415</v>
      </c>
      <c r="M4382">
        <v>-0.65949309999999906</v>
      </c>
      <c r="N4382">
        <v>0</v>
      </c>
      <c r="O4382">
        <v>-0.75154580000000004</v>
      </c>
      <c r="P4382">
        <v>-0.51557980000000003</v>
      </c>
      <c r="Q4382">
        <v>-1.545467E-2</v>
      </c>
      <c r="R4382">
        <v>-0.85670279999999999</v>
      </c>
      <c r="S4382">
        <v>-0.44586179999999997</v>
      </c>
      <c r="T4382">
        <v>-0.2923539</v>
      </c>
      <c r="U4382">
        <v>-3.2532809999999999</v>
      </c>
      <c r="V4382">
        <v>-0.17747199999999999</v>
      </c>
      <c r="W4382">
        <v>-4.5211219999999998E-3</v>
      </c>
      <c r="X4382">
        <v>0.98411550000000003</v>
      </c>
      <c r="Y4382">
        <v>-0.55136540000000001</v>
      </c>
      <c r="Z4382">
        <v>4.9110290000000001E-2</v>
      </c>
      <c r="AA4382">
        <v>0.83281709999999998</v>
      </c>
      <c r="AB4382">
        <v>27</v>
      </c>
      <c r="AC4382">
        <v>4.3599999999969399E-2</v>
      </c>
      <c r="AD4382">
        <v>-8.2075999999999996E-2</v>
      </c>
      <c r="AE4382">
        <v>-0.70390000000000397</v>
      </c>
      <c r="AF4382">
        <v>-0.49040412790932397</v>
      </c>
      <c r="AG4382">
        <v>-8.2075999999999996E-2</v>
      </c>
      <c r="AH4382">
        <v>0.493635369158201</v>
      </c>
      <c r="AI4382">
        <v>96.727238338957505</v>
      </c>
      <c r="AJ4382">
        <v>134.81186139245099</v>
      </c>
      <c r="AK4382">
        <v>0.70064866811438298</v>
      </c>
    </row>
    <row r="4383" spans="1:37" x14ac:dyDescent="0.2">
      <c r="A4383" t="str">
        <f>"20200111155939964"</f>
        <v>20200111155939964</v>
      </c>
      <c r="B4383" t="str">
        <f>"1578729579954996"</f>
        <v>1578729579954996</v>
      </c>
      <c r="C4383" t="s">
        <v>37</v>
      </c>
      <c r="D4383">
        <v>5.3984959999999997</v>
      </c>
      <c r="E4383">
        <v>0.33474729999999903</v>
      </c>
      <c r="F4383" t="s">
        <v>38</v>
      </c>
      <c r="G4383">
        <v>-415.44130000000001</v>
      </c>
      <c r="H4383">
        <v>1.0376529999999999</v>
      </c>
      <c r="I4383">
        <v>124.8588</v>
      </c>
      <c r="J4383">
        <v>-415.49040000000002</v>
      </c>
      <c r="K4383">
        <v>1.1149129999999901</v>
      </c>
      <c r="L4383">
        <v>125.5372</v>
      </c>
      <c r="M4383">
        <v>-0.64895999999999998</v>
      </c>
      <c r="N4383">
        <v>0</v>
      </c>
      <c r="O4383">
        <v>-0.76065930000000004</v>
      </c>
      <c r="P4383">
        <v>-0.50321700000000003</v>
      </c>
      <c r="Q4383">
        <v>-1.561599E-2</v>
      </c>
      <c r="R4383">
        <v>-0.86401930000000005</v>
      </c>
      <c r="S4383">
        <v>-0.40789789999999998</v>
      </c>
      <c r="T4383">
        <v>-0.28452539999999998</v>
      </c>
      <c r="U4383">
        <v>-3.2512050000000001</v>
      </c>
      <c r="V4383">
        <v>-0.17789749999999999</v>
      </c>
      <c r="W4383">
        <v>-4.6848719999999996E-3</v>
      </c>
      <c r="X4383">
        <v>0.98403790000000002</v>
      </c>
      <c r="Y4383">
        <v>-0.54924719999999905</v>
      </c>
      <c r="Z4383">
        <v>4.904406E-2</v>
      </c>
      <c r="AA4383">
        <v>0.8342195</v>
      </c>
      <c r="AB4383">
        <v>27</v>
      </c>
      <c r="AC4383">
        <v>4.91000000000099E-2</v>
      </c>
      <c r="AD4383">
        <v>-7.7259999999999607E-2</v>
      </c>
      <c r="AE4383">
        <v>-0.67839999999999601</v>
      </c>
      <c r="AF4383">
        <v>-0.47157769371373998</v>
      </c>
      <c r="AG4383">
        <v>-7.7259999999999607E-2</v>
      </c>
      <c r="AH4383">
        <v>0.478059377564368</v>
      </c>
      <c r="AI4383">
        <v>96.563253021804101</v>
      </c>
      <c r="AJ4383">
        <v>134.60893758976201</v>
      </c>
      <c r="AK4383">
        <v>0.67594037997859002</v>
      </c>
    </row>
    <row r="4384" spans="1:37" x14ac:dyDescent="0.2">
      <c r="A4384" t="str">
        <f>"20200111155940076"</f>
        <v>20200111155940076</v>
      </c>
      <c r="B4384" t="str">
        <f>"1578729580064308"</f>
        <v>1578729580064308</v>
      </c>
      <c r="C4384" t="s">
        <v>37</v>
      </c>
      <c r="D4384">
        <v>5.2924300000000004</v>
      </c>
      <c r="E4384">
        <v>0.3124535</v>
      </c>
      <c r="F4384" t="s">
        <v>38</v>
      </c>
      <c r="G4384">
        <v>-416.12819999999999</v>
      </c>
      <c r="H4384">
        <v>1.046335</v>
      </c>
      <c r="I4384">
        <v>123.6605</v>
      </c>
      <c r="J4384">
        <v>-416.26029999999997</v>
      </c>
      <c r="K4384">
        <v>1.114865</v>
      </c>
      <c r="L4384">
        <v>124.4586</v>
      </c>
      <c r="M4384">
        <v>-0.59257099999999996</v>
      </c>
      <c r="N4384">
        <v>0</v>
      </c>
      <c r="O4384">
        <v>-0.805363099999999</v>
      </c>
      <c r="P4384">
        <v>-0.45003349999999998</v>
      </c>
      <c r="Q4384">
        <v>-2.4460490000000001E-2</v>
      </c>
      <c r="R4384">
        <v>-0.8926769</v>
      </c>
      <c r="S4384">
        <v>-4.2816159999999999E-2</v>
      </c>
      <c r="T4384">
        <v>-0.22628009999999901</v>
      </c>
      <c r="U4384">
        <v>-3.351105</v>
      </c>
      <c r="V4384">
        <v>-0.1662698</v>
      </c>
      <c r="W4384">
        <v>-1.317523E-2</v>
      </c>
      <c r="X4384">
        <v>0.98599230000000004</v>
      </c>
      <c r="Y4384">
        <v>-0.58217969999999997</v>
      </c>
      <c r="Z4384">
        <v>4.1453230000000001E-2</v>
      </c>
      <c r="AA4384">
        <v>0.81200269999999997</v>
      </c>
      <c r="AB4384">
        <v>27</v>
      </c>
      <c r="AC4384">
        <v>0.13209999999997901</v>
      </c>
      <c r="AD4384">
        <v>-6.8529999999999897E-2</v>
      </c>
      <c r="AE4384">
        <v>-0.79810000000000503</v>
      </c>
      <c r="AF4384">
        <v>-0.57526343468197805</v>
      </c>
      <c r="AG4384">
        <v>-6.8529999999999897E-2</v>
      </c>
      <c r="AH4384">
        <v>0.56052959731071605</v>
      </c>
      <c r="AI4384">
        <v>94.876767745850998</v>
      </c>
      <c r="AJ4384">
        <v>135.74321581931801</v>
      </c>
      <c r="AK4384">
        <v>0.80611277724858099</v>
      </c>
    </row>
    <row r="4385" spans="1:37" x14ac:dyDescent="0.2">
      <c r="A4385" t="str">
        <f>"20200111155940098"</f>
        <v>20200111155940098</v>
      </c>
      <c r="B4385" t="str">
        <f>"1578729580094564"</f>
        <v>1578729580094564</v>
      </c>
      <c r="C4385" t="s">
        <v>37</v>
      </c>
      <c r="D4385">
        <v>5.3397620000000003</v>
      </c>
      <c r="E4385">
        <v>0.31525449999999999</v>
      </c>
      <c r="F4385" t="s">
        <v>38</v>
      </c>
      <c r="G4385">
        <v>-416.26429999999999</v>
      </c>
      <c r="H4385">
        <v>1.051526</v>
      </c>
      <c r="I4385">
        <v>123.4717</v>
      </c>
      <c r="J4385">
        <v>-416.40469999999999</v>
      </c>
      <c r="K4385">
        <v>1.114878</v>
      </c>
      <c r="L4385">
        <v>124.2362</v>
      </c>
      <c r="M4385">
        <v>-0.58073869999999905</v>
      </c>
      <c r="N4385">
        <v>0</v>
      </c>
      <c r="O4385">
        <v>-0.81393629999999995</v>
      </c>
      <c r="P4385">
        <v>-0.43892569999999997</v>
      </c>
      <c r="Q4385">
        <v>-2.4140129999999999E-2</v>
      </c>
      <c r="R4385">
        <v>-0.89819910000000003</v>
      </c>
      <c r="S4385">
        <v>-1.358032E-2</v>
      </c>
      <c r="T4385">
        <v>-0.21485099999999999</v>
      </c>
      <c r="U4385">
        <v>-3.3479459999999999</v>
      </c>
      <c r="V4385">
        <v>-0.16410559999999999</v>
      </c>
      <c r="W4385">
        <v>-1.279141E-2</v>
      </c>
      <c r="X4385">
        <v>0.98635980000000001</v>
      </c>
      <c r="Y4385">
        <v>-0.5773876</v>
      </c>
      <c r="Z4385">
        <v>4.0319580000000001E-2</v>
      </c>
      <c r="AA4385">
        <v>0.81547400000000003</v>
      </c>
      <c r="AB4385">
        <v>27</v>
      </c>
      <c r="AC4385">
        <v>0.140399999999999</v>
      </c>
      <c r="AD4385">
        <v>-6.3352000000000006E-2</v>
      </c>
      <c r="AE4385">
        <v>-0.76449999999999796</v>
      </c>
      <c r="AF4385">
        <v>-0.55463684575505101</v>
      </c>
      <c r="AG4385">
        <v>-6.3352000000000006E-2</v>
      </c>
      <c r="AH4385">
        <v>0.53721756175649005</v>
      </c>
      <c r="AI4385">
        <v>94.690361488119393</v>
      </c>
      <c r="AJ4385">
        <v>135.91401086521901</v>
      </c>
      <c r="AK4385">
        <v>0.77475042125364502</v>
      </c>
    </row>
    <row r="4386" spans="1:37" x14ac:dyDescent="0.2">
      <c r="A4386" t="str">
        <f>"20200111155940143"</f>
        <v>20200111155940143</v>
      </c>
      <c r="B4386" t="str">
        <f>"1578729580135043"</f>
        <v>1578729580135043</v>
      </c>
      <c r="C4386" t="s">
        <v>37</v>
      </c>
      <c r="D4386">
        <v>5.3532849999999996</v>
      </c>
      <c r="E4386">
        <v>0.3167449</v>
      </c>
      <c r="F4386" t="s">
        <v>38</v>
      </c>
      <c r="G4386">
        <v>-416.40269999999998</v>
      </c>
      <c r="H4386">
        <v>1.0576049999999999</v>
      </c>
      <c r="I4386">
        <v>123.28319999999999</v>
      </c>
      <c r="J4386">
        <v>-416.68650000000002</v>
      </c>
      <c r="K4386">
        <v>1.114922</v>
      </c>
      <c r="L4386">
        <v>123.7803</v>
      </c>
      <c r="M4386">
        <v>-0.55618279999999998</v>
      </c>
      <c r="N4386">
        <v>0</v>
      </c>
      <c r="O4386">
        <v>-0.8309088</v>
      </c>
      <c r="P4386">
        <v>-0.41457379999999999</v>
      </c>
      <c r="Q4386">
        <v>-2.4062879999999998E-2</v>
      </c>
      <c r="R4386">
        <v>-0.9096978</v>
      </c>
      <c r="S4386">
        <v>7.9040529999999994E-3</v>
      </c>
      <c r="T4386">
        <v>-0.2005545</v>
      </c>
      <c r="U4386">
        <v>-3.3385159999999998</v>
      </c>
      <c r="V4386">
        <v>-0.1612306</v>
      </c>
      <c r="W4386">
        <v>-1.263184E-2</v>
      </c>
      <c r="X4386">
        <v>0.98683589999999999</v>
      </c>
      <c r="Y4386">
        <v>-0.55812320000000004</v>
      </c>
      <c r="Z4386">
        <v>3.9665069999999997E-2</v>
      </c>
      <c r="AA4386">
        <v>0.82880940000000003</v>
      </c>
      <c r="AB4386">
        <v>27</v>
      </c>
      <c r="AC4386">
        <v>0.28380000000004202</v>
      </c>
      <c r="AD4386">
        <v>-5.7317E-2</v>
      </c>
      <c r="AE4386">
        <v>-0.49710000000000298</v>
      </c>
      <c r="AF4386">
        <v>-0.507268556927713</v>
      </c>
      <c r="AG4386">
        <v>-5.7317E-2</v>
      </c>
      <c r="AH4386">
        <v>0.25269843525485097</v>
      </c>
      <c r="AI4386">
        <v>95.775093610925794</v>
      </c>
      <c r="AJ4386">
        <v>153.51957370139701</v>
      </c>
      <c r="AK4386">
        <v>0.56961664873559903</v>
      </c>
    </row>
    <row r="4387" spans="1:37" x14ac:dyDescent="0.2">
      <c r="A4387" t="str">
        <f>"20200111155940167"</f>
        <v>20200111155940167</v>
      </c>
      <c r="B4387" t="str">
        <f>"1578729580154563"</f>
        <v>1578729580154563</v>
      </c>
      <c r="C4387" t="s">
        <v>37</v>
      </c>
      <c r="D4387">
        <v>5.3558079999999997</v>
      </c>
      <c r="E4387">
        <v>0.3179439</v>
      </c>
      <c r="F4387" t="s">
        <v>38</v>
      </c>
      <c r="G4387">
        <v>-416.66329999999999</v>
      </c>
      <c r="H4387">
        <v>1.0659129999999899</v>
      </c>
      <c r="I4387">
        <v>122.8978</v>
      </c>
      <c r="J4387">
        <v>-416.81670000000003</v>
      </c>
      <c r="K4387">
        <v>1.1149519999999999</v>
      </c>
      <c r="L4387">
        <v>123.557999999999</v>
      </c>
      <c r="M4387">
        <v>-0.54406109999999996</v>
      </c>
      <c r="N4387">
        <v>0</v>
      </c>
      <c r="O4387">
        <v>-0.83889559999999996</v>
      </c>
      <c r="P4387">
        <v>-0.40164329999999998</v>
      </c>
      <c r="Q4387">
        <v>-2.4062259999999999E-2</v>
      </c>
      <c r="R4387">
        <v>-0.91548069999999904</v>
      </c>
      <c r="S4387">
        <v>8.7982179999999993E-2</v>
      </c>
      <c r="T4387">
        <v>-0.1850667</v>
      </c>
      <c r="U4387">
        <v>-3.3329930000000001</v>
      </c>
      <c r="V4387">
        <v>-0.16088469999999999</v>
      </c>
      <c r="W4387">
        <v>-1.2622120000000001E-2</v>
      </c>
      <c r="X4387">
        <v>0.98689249999999995</v>
      </c>
      <c r="Y4387">
        <v>-0.56597900000000001</v>
      </c>
      <c r="Z4387">
        <v>3.7149000000000001E-2</v>
      </c>
      <c r="AA4387">
        <v>0.82358220000000004</v>
      </c>
      <c r="AB4387">
        <v>27</v>
      </c>
      <c r="AC4387">
        <v>0.15340000000003301</v>
      </c>
      <c r="AD4387">
        <v>-4.9038999999999999E-2</v>
      </c>
      <c r="AE4387">
        <v>-0.66019999999998902</v>
      </c>
      <c r="AF4387">
        <v>-0.48539620169706998</v>
      </c>
      <c r="AG4387">
        <v>-4.9038999999999999E-2</v>
      </c>
      <c r="AH4387">
        <v>0.46798929949664603</v>
      </c>
      <c r="AI4387">
        <v>94.159817756189398</v>
      </c>
      <c r="AJ4387">
        <v>136.04598950653701</v>
      </c>
      <c r="AK4387">
        <v>0.67603866796678402</v>
      </c>
    </row>
    <row r="4388" spans="1:37" x14ac:dyDescent="0.2">
      <c r="A4388" t="str">
        <f>"20200111155940188"</f>
        <v>20200111155940188</v>
      </c>
      <c r="B4388" t="str">
        <f>"1578729580184820"</f>
        <v>1578729580184820</v>
      </c>
      <c r="C4388" t="s">
        <v>37</v>
      </c>
      <c r="D4388">
        <v>5.4407239999999897</v>
      </c>
      <c r="E4388">
        <v>0.32172600000000001</v>
      </c>
      <c r="F4388" t="s">
        <v>39</v>
      </c>
      <c r="G4388">
        <v>-416.03190000000001</v>
      </c>
      <c r="H4388" s="1">
        <v>-2.3335810000000001E-6</v>
      </c>
      <c r="I4388">
        <v>102.97190000000001</v>
      </c>
      <c r="J4388">
        <v>-416.94729999999998</v>
      </c>
      <c r="K4388">
        <v>1.1149879999999901</v>
      </c>
      <c r="L4388">
        <v>123.32680000000001</v>
      </c>
      <c r="M4388">
        <v>-0.5313409</v>
      </c>
      <c r="N4388">
        <v>0</v>
      </c>
      <c r="O4388">
        <v>-0.84700889999999995</v>
      </c>
      <c r="P4388">
        <v>-0.38826630000000001</v>
      </c>
      <c r="Q4388">
        <v>-2.3906400000000001E-2</v>
      </c>
      <c r="R4388">
        <v>-0.92123739999999998</v>
      </c>
      <c r="S4388">
        <v>0.12686159999999999</v>
      </c>
      <c r="T4388">
        <v>-0.18024100000000001</v>
      </c>
      <c r="U4388">
        <v>-3.3279109999999998</v>
      </c>
      <c r="V4388">
        <v>-0.16037399999999999</v>
      </c>
      <c r="W4388">
        <v>-1.245168E-2</v>
      </c>
      <c r="X4388">
        <v>0.98697780000000002</v>
      </c>
      <c r="Y4388">
        <v>-0.56318869999999999</v>
      </c>
      <c r="Z4388">
        <v>3.6929049999999998E-2</v>
      </c>
      <c r="AA4388">
        <v>0.82550279999999998</v>
      </c>
      <c r="AB4388">
        <v>27</v>
      </c>
      <c r="AC4388">
        <v>0.91539999999997601</v>
      </c>
      <c r="AD4388">
        <v>-1.1149903335809901</v>
      </c>
      <c r="AE4388">
        <v>-20.354900000000001</v>
      </c>
      <c r="AF4388">
        <v>-11.5575985875081</v>
      </c>
      <c r="AG4388">
        <v>-1.1149903335809901</v>
      </c>
      <c r="AH4388">
        <v>16.706482069195101</v>
      </c>
      <c r="AI4388">
        <v>93.141586744358804</v>
      </c>
      <c r="AJ4388">
        <v>124.67561087633899</v>
      </c>
      <c r="AK4388">
        <v>20.3452164324267</v>
      </c>
    </row>
    <row r="4389" spans="1:37" x14ac:dyDescent="0.2">
      <c r="A4389" t="str">
        <f>"20200111155940211"</f>
        <v>20200111155940211</v>
      </c>
      <c r="B4389" t="str">
        <f>"1578729580205004"</f>
        <v>1578729580205004</v>
      </c>
      <c r="C4389" t="s">
        <v>37</v>
      </c>
      <c r="D4389">
        <v>5.2987169999999999</v>
      </c>
      <c r="E4389">
        <v>0.32305099999999998</v>
      </c>
      <c r="F4389" t="s">
        <v>38</v>
      </c>
      <c r="G4389">
        <v>-416.8997</v>
      </c>
      <c r="H4389">
        <v>1.058184</v>
      </c>
      <c r="I4389">
        <v>122.2607</v>
      </c>
      <c r="J4389">
        <v>-417.07389999999998</v>
      </c>
      <c r="K4389">
        <v>1.1150249999999999</v>
      </c>
      <c r="L4389">
        <v>123.09439999999999</v>
      </c>
      <c r="M4389">
        <v>-0.51844880000000004</v>
      </c>
      <c r="N4389">
        <v>0</v>
      </c>
      <c r="O4389">
        <v>-0.85496070000000002</v>
      </c>
      <c r="P4389">
        <v>-0.37465179999999998</v>
      </c>
      <c r="Q4389">
        <v>-2.4059560000000001E-2</v>
      </c>
      <c r="R4389">
        <v>-0.92685329999999999</v>
      </c>
      <c r="S4389">
        <v>0.14773559999999999</v>
      </c>
      <c r="T4389">
        <v>-0.17657929999999999</v>
      </c>
      <c r="U4389">
        <v>-3.31416299999999</v>
      </c>
      <c r="V4389">
        <v>-0.15995670000000001</v>
      </c>
      <c r="W4389">
        <v>-1.259092E-2</v>
      </c>
      <c r="X4389">
        <v>0.98704369999999997</v>
      </c>
      <c r="Y4389">
        <v>-0.55597700000000005</v>
      </c>
      <c r="Z4389">
        <v>3.7085699999999999E-2</v>
      </c>
      <c r="AA4389">
        <v>0.83036989999999999</v>
      </c>
      <c r="AB4389">
        <v>27</v>
      </c>
      <c r="AC4389">
        <v>0.17419999999998401</v>
      </c>
      <c r="AD4389">
        <v>-5.6840999999999899E-2</v>
      </c>
      <c r="AE4389">
        <v>-0.833699999999993</v>
      </c>
      <c r="AF4389">
        <v>-0.57866113618902604</v>
      </c>
      <c r="AG4389">
        <v>-5.6840999999999899E-2</v>
      </c>
      <c r="AH4389">
        <v>0.61978523434623001</v>
      </c>
      <c r="AI4389">
        <v>93.835093267870704</v>
      </c>
      <c r="AJ4389">
        <v>133.03469461822499</v>
      </c>
      <c r="AK4389">
        <v>0.84983136358349698</v>
      </c>
    </row>
    <row r="4390" spans="1:37" x14ac:dyDescent="0.2">
      <c r="A4390" t="str">
        <f>"20200111155940233"</f>
        <v>20200111155940233</v>
      </c>
      <c r="B4390" t="str">
        <f>"1578729580224524"</f>
        <v>1578729580224524</v>
      </c>
      <c r="C4390" t="s">
        <v>37</v>
      </c>
      <c r="D4390">
        <v>5.3406310000000001</v>
      </c>
      <c r="E4390">
        <v>0.33549909999999999</v>
      </c>
      <c r="F4390" t="s">
        <v>38</v>
      </c>
      <c r="G4390">
        <v>-417.01580000000001</v>
      </c>
      <c r="H4390">
        <v>1.061237</v>
      </c>
      <c r="I4390">
        <v>122.06229999999999</v>
      </c>
      <c r="J4390">
        <v>-417.19420000000002</v>
      </c>
      <c r="K4390">
        <v>1.115057</v>
      </c>
      <c r="L4390">
        <v>122.86539999999999</v>
      </c>
      <c r="M4390">
        <v>-0.50564979999999904</v>
      </c>
      <c r="N4390">
        <v>0</v>
      </c>
      <c r="O4390">
        <v>-0.86259189999999997</v>
      </c>
      <c r="P4390">
        <v>-0.36051309999999998</v>
      </c>
      <c r="Q4390">
        <v>-2.3040359999999999E-2</v>
      </c>
      <c r="R4390">
        <v>-0.93246969999999996</v>
      </c>
      <c r="S4390">
        <v>0.18624879999999999</v>
      </c>
      <c r="T4390">
        <v>-0.172350799999999</v>
      </c>
      <c r="U4390">
        <v>-3.3075709999999998</v>
      </c>
      <c r="V4390">
        <v>-0.160297</v>
      </c>
      <c r="W4390">
        <v>-1.1578089999999999E-2</v>
      </c>
      <c r="X4390">
        <v>0.98700089999999996</v>
      </c>
      <c r="Y4390">
        <v>-0.55331129999999995</v>
      </c>
      <c r="Z4390">
        <v>3.6894570000000002E-2</v>
      </c>
      <c r="AA4390">
        <v>0.83215709999999998</v>
      </c>
      <c r="AB4390">
        <v>27</v>
      </c>
      <c r="AC4390">
        <v>0.17840000000001</v>
      </c>
      <c r="AD4390">
        <v>-5.3819999999999903E-2</v>
      </c>
      <c r="AE4390">
        <v>-0.80310000000000004</v>
      </c>
      <c r="AF4390">
        <v>-0.55765803981502804</v>
      </c>
      <c r="AG4390">
        <v>-5.3819999999999903E-2</v>
      </c>
      <c r="AH4390">
        <v>0.60004789454963003</v>
      </c>
      <c r="AI4390">
        <v>93.758966114007706</v>
      </c>
      <c r="AJ4390">
        <v>132.903029457987</v>
      </c>
      <c r="AK4390">
        <v>0.82093639066847501</v>
      </c>
    </row>
    <row r="4391" spans="1:37" x14ac:dyDescent="0.2">
      <c r="A4391" t="str">
        <f>"20200111155940255"</f>
        <v>20200111155940255</v>
      </c>
      <c r="B4391" t="str">
        <f>"1578729580245017"</f>
        <v>1578729580245017</v>
      </c>
      <c r="C4391" t="s">
        <v>37</v>
      </c>
      <c r="D4391">
        <v>5.4248500000000002</v>
      </c>
      <c r="E4391">
        <v>0.3373813</v>
      </c>
      <c r="F4391" t="s">
        <v>38</v>
      </c>
      <c r="G4391">
        <v>-417.15019999999998</v>
      </c>
      <c r="H4391">
        <v>1.06206</v>
      </c>
      <c r="I4391">
        <v>121.8693</v>
      </c>
      <c r="J4391">
        <v>-417.31049999999999</v>
      </c>
      <c r="K4391">
        <v>1.115084</v>
      </c>
      <c r="L4391">
        <v>122.6354</v>
      </c>
      <c r="M4391">
        <v>-0.49269209999999902</v>
      </c>
      <c r="N4391">
        <v>0</v>
      </c>
      <c r="O4391">
        <v>-0.87005759999999899</v>
      </c>
      <c r="P4391">
        <v>-0.34631240000000002</v>
      </c>
      <c r="Q4391">
        <v>-2.2391729999999999E-2</v>
      </c>
      <c r="R4391">
        <v>-0.93785200000000002</v>
      </c>
      <c r="S4391">
        <v>0.144043</v>
      </c>
      <c r="T4391">
        <v>-0.1739211</v>
      </c>
      <c r="U4391">
        <v>-3.2686769999999998</v>
      </c>
      <c r="V4391">
        <v>-0.16054669999999999</v>
      </c>
      <c r="W4391">
        <v>-1.093263E-2</v>
      </c>
      <c r="X4391">
        <v>0.9869677</v>
      </c>
      <c r="Y4391">
        <v>-0.53049239999999998</v>
      </c>
      <c r="Z4391">
        <v>3.868456E-2</v>
      </c>
      <c r="AA4391">
        <v>0.84680650000000002</v>
      </c>
      <c r="AB4391">
        <v>27</v>
      </c>
      <c r="AC4391">
        <v>0.16030000000000599</v>
      </c>
      <c r="AD4391">
        <v>-5.3023999999999898E-2</v>
      </c>
      <c r="AE4391">
        <v>-0.766100000000008</v>
      </c>
      <c r="AF4391">
        <v>-0.51462551421576896</v>
      </c>
      <c r="AG4391">
        <v>-5.3023999999999898E-2</v>
      </c>
      <c r="AH4391">
        <v>0.58496261939024297</v>
      </c>
      <c r="AI4391">
        <v>93.893356808274305</v>
      </c>
      <c r="AJ4391">
        <v>131.33996039620101</v>
      </c>
      <c r="AK4391">
        <v>0.78091755681489095</v>
      </c>
    </row>
    <row r="4392" spans="1:37" x14ac:dyDescent="0.2">
      <c r="A4392" t="str">
        <f>"20200111155940277"</f>
        <v>20200111155940277</v>
      </c>
      <c r="B4392" t="str">
        <f>"1578729580274299"</f>
        <v>1578729580274299</v>
      </c>
      <c r="C4392" t="s">
        <v>37</v>
      </c>
      <c r="D4392">
        <v>5.4120220000000003</v>
      </c>
      <c r="E4392">
        <v>0.34041890000000002</v>
      </c>
      <c r="F4392" t="s">
        <v>38</v>
      </c>
      <c r="G4392">
        <v>-417.25740000000002</v>
      </c>
      <c r="H4392">
        <v>1.061296</v>
      </c>
      <c r="I4392">
        <v>121.6669</v>
      </c>
      <c r="J4392">
        <v>-417.42230000000001</v>
      </c>
      <c r="K4392">
        <v>1.11511</v>
      </c>
      <c r="L4392">
        <v>122.4059</v>
      </c>
      <c r="M4392">
        <v>-0.47967389999999999</v>
      </c>
      <c r="N4392">
        <v>0</v>
      </c>
      <c r="O4392">
        <v>-0.87730189999999997</v>
      </c>
      <c r="P4392">
        <v>-0.33257059999999999</v>
      </c>
      <c r="Q4392">
        <v>-2.2085029999999999E-2</v>
      </c>
      <c r="R4392">
        <v>-0.94281990000000004</v>
      </c>
      <c r="S4392">
        <v>0.179595899999999</v>
      </c>
      <c r="T4392">
        <v>-0.18102479999999899</v>
      </c>
      <c r="U4392">
        <v>-3.260818</v>
      </c>
      <c r="V4392">
        <v>-0.16027569999999999</v>
      </c>
      <c r="W4392">
        <v>-1.061278E-2</v>
      </c>
      <c r="X4392">
        <v>0.98701519999999998</v>
      </c>
      <c r="Y4392">
        <v>-0.52715059999999903</v>
      </c>
      <c r="Z4392">
        <v>4.0999220000000003E-2</v>
      </c>
      <c r="AA4392">
        <v>0.84878229999999999</v>
      </c>
      <c r="AB4392">
        <v>27</v>
      </c>
      <c r="AC4392">
        <v>0.164899999999988</v>
      </c>
      <c r="AD4392">
        <v>-5.3814000000000001E-2</v>
      </c>
      <c r="AE4392">
        <v>-0.73900000000000399</v>
      </c>
      <c r="AF4392">
        <v>-0.49670062204243498</v>
      </c>
      <c r="AG4392">
        <v>-5.3814000000000001E-2</v>
      </c>
      <c r="AH4392">
        <v>0.56643905197595001</v>
      </c>
      <c r="AI4392">
        <v>94.085763220169198</v>
      </c>
      <c r="AJ4392">
        <v>131.246964097404</v>
      </c>
      <c r="AK4392">
        <v>0.75528845756886498</v>
      </c>
    </row>
    <row r="4393" spans="1:37" x14ac:dyDescent="0.2">
      <c r="A4393" t="str">
        <f>"20200111155940300"</f>
        <v>20200111155940300</v>
      </c>
      <c r="B4393" t="str">
        <f>"1578729580294793"</f>
        <v>1578729580294793</v>
      </c>
      <c r="C4393" t="s">
        <v>37</v>
      </c>
      <c r="D4393">
        <v>5.4143679999999996</v>
      </c>
      <c r="E4393">
        <v>0.34249350000000001</v>
      </c>
      <c r="F4393" t="s">
        <v>38</v>
      </c>
      <c r="G4393">
        <v>-417.36290000000002</v>
      </c>
      <c r="H4393">
        <v>1.061501</v>
      </c>
      <c r="I4393">
        <v>121.46339999999999</v>
      </c>
      <c r="J4393">
        <v>-417.53579999999999</v>
      </c>
      <c r="K4393">
        <v>1.1151279999999999</v>
      </c>
      <c r="L4393">
        <v>122.1634</v>
      </c>
      <c r="M4393">
        <v>-0.46583859999999899</v>
      </c>
      <c r="N4393">
        <v>0</v>
      </c>
      <c r="O4393">
        <v>-0.88472569999999995</v>
      </c>
      <c r="P4393">
        <v>-0.31853890000000001</v>
      </c>
      <c r="Q4393">
        <v>-2.2118169999999999E-2</v>
      </c>
      <c r="R4393">
        <v>-0.9476521</v>
      </c>
      <c r="S4393">
        <v>0.20507809999999899</v>
      </c>
      <c r="T4393">
        <v>-0.18484500000000001</v>
      </c>
      <c r="U4393">
        <v>-3.2499389999999999</v>
      </c>
      <c r="V4393">
        <v>-0.15942709999999999</v>
      </c>
      <c r="W4393">
        <v>-1.0614419999999999E-2</v>
      </c>
      <c r="X4393">
        <v>0.98715259999999905</v>
      </c>
      <c r="Y4393">
        <v>-0.52057549999999997</v>
      </c>
      <c r="Z4393">
        <v>4.2735799999999997E-2</v>
      </c>
      <c r="AA4393">
        <v>0.85274550000000005</v>
      </c>
      <c r="AB4393">
        <v>27</v>
      </c>
      <c r="AC4393">
        <v>0.17289999999996999</v>
      </c>
      <c r="AD4393">
        <v>-5.3627000000000001E-2</v>
      </c>
      <c r="AE4393">
        <v>-0.70000000000000195</v>
      </c>
      <c r="AF4393">
        <v>-0.47648143390279302</v>
      </c>
      <c r="AG4393">
        <v>-5.3627000000000001E-2</v>
      </c>
      <c r="AH4393">
        <v>0.53586893703196203</v>
      </c>
      <c r="AI4393">
        <v>94.276973692534696</v>
      </c>
      <c r="AJ4393">
        <v>131.64270574129199</v>
      </c>
      <c r="AK4393">
        <v>0.719072965462356</v>
      </c>
    </row>
    <row r="4394" spans="1:37" x14ac:dyDescent="0.2">
      <c r="A4394" t="str">
        <f>"20200111155940323"</f>
        <v>20200111155940323</v>
      </c>
      <c r="B4394" t="str">
        <f>"1578729580314313"</f>
        <v>1578729580314313</v>
      </c>
      <c r="C4394" t="s">
        <v>37</v>
      </c>
      <c r="D4394">
        <v>5.5772399999999998</v>
      </c>
      <c r="E4394">
        <v>0.35658990000000002</v>
      </c>
      <c r="F4394" t="s">
        <v>38</v>
      </c>
      <c r="G4394">
        <v>-417.46960000000001</v>
      </c>
      <c r="H4394">
        <v>1.0620270000000001</v>
      </c>
      <c r="I4394">
        <v>121.2598</v>
      </c>
      <c r="J4394">
        <v>-417.64330000000001</v>
      </c>
      <c r="K4394">
        <v>1.1151409999999999</v>
      </c>
      <c r="L4394">
        <v>121.9239</v>
      </c>
      <c r="M4394">
        <v>-0.4520942</v>
      </c>
      <c r="N4394">
        <v>0</v>
      </c>
      <c r="O4394">
        <v>-0.89182700000000004</v>
      </c>
      <c r="P4394">
        <v>-0.30538189999999998</v>
      </c>
      <c r="Q4394">
        <v>-2.1180939999999999E-2</v>
      </c>
      <c r="R4394">
        <v>-0.95199449999999997</v>
      </c>
      <c r="S4394">
        <v>0.23770140000000001</v>
      </c>
      <c r="T4394">
        <v>-0.19044029999999901</v>
      </c>
      <c r="U4394">
        <v>-3.2411650000000001</v>
      </c>
      <c r="V4394">
        <v>-0.1578629</v>
      </c>
      <c r="W4394">
        <v>-9.6229239999999997E-3</v>
      </c>
      <c r="X4394">
        <v>0.98741420000000002</v>
      </c>
      <c r="Y4394">
        <v>-0.51603929999999998</v>
      </c>
      <c r="Z4394">
        <v>4.4830120000000001E-2</v>
      </c>
      <c r="AA4394">
        <v>0.85539100000000001</v>
      </c>
      <c r="AB4394">
        <v>27</v>
      </c>
      <c r="AC4394">
        <v>0.173699999999996</v>
      </c>
      <c r="AD4394">
        <v>-5.31139999999998E-2</v>
      </c>
      <c r="AE4394">
        <v>-0.66410000000000402</v>
      </c>
      <c r="AF4394">
        <v>-0.45249514245767902</v>
      </c>
      <c r="AG4394">
        <v>-5.31139999999998E-2</v>
      </c>
      <c r="AH4394">
        <v>0.51074134418098105</v>
      </c>
      <c r="AI4394">
        <v>94.450884546133196</v>
      </c>
      <c r="AJ4394">
        <v>131.539579970982</v>
      </c>
      <c r="AK4394">
        <v>0.68441922211433504</v>
      </c>
    </row>
    <row r="4395" spans="1:37" x14ac:dyDescent="0.2">
      <c r="A4395" t="str">
        <f>"20200111155940344"</f>
        <v>20200111155940344</v>
      </c>
      <c r="B4395" t="str">
        <f>"1578729580334809"</f>
        <v>1578729580334809</v>
      </c>
      <c r="C4395" t="s">
        <v>37</v>
      </c>
      <c r="D4395">
        <v>5.5969280000000001</v>
      </c>
      <c r="E4395">
        <v>0.35762650000000001</v>
      </c>
      <c r="F4395" t="s">
        <v>38</v>
      </c>
      <c r="G4395">
        <v>-417.5958</v>
      </c>
      <c r="H4395">
        <v>1.0583119999999999</v>
      </c>
      <c r="I4395">
        <v>121.0607</v>
      </c>
      <c r="J4395">
        <v>-417.74290000000002</v>
      </c>
      <c r="K4395">
        <v>1.1151519999999999</v>
      </c>
      <c r="L4395">
        <v>121.6927</v>
      </c>
      <c r="M4395">
        <v>-0.43877050000000001</v>
      </c>
      <c r="N4395">
        <v>0</v>
      </c>
      <c r="O4395">
        <v>-0.8984569</v>
      </c>
      <c r="P4395">
        <v>-0.2927688</v>
      </c>
      <c r="Q4395">
        <v>-2.001725E-2</v>
      </c>
      <c r="R4395">
        <v>-0.95597379999999998</v>
      </c>
      <c r="S4395">
        <v>0.17611689999999999</v>
      </c>
      <c r="T4395">
        <v>-0.21090059999999999</v>
      </c>
      <c r="U4395">
        <v>-3.2030789999999998</v>
      </c>
      <c r="V4395">
        <v>-0.1562645</v>
      </c>
      <c r="W4395">
        <v>-8.4031390000000004E-3</v>
      </c>
      <c r="X4395">
        <v>0.98767950000000004</v>
      </c>
      <c r="Y4395">
        <v>-0.4873537</v>
      </c>
      <c r="Z4395">
        <v>5.1464549999999998E-2</v>
      </c>
      <c r="AA4395">
        <v>0.87168670000000004</v>
      </c>
      <c r="AB4395">
        <v>27</v>
      </c>
      <c r="AC4395">
        <v>0.14710000000002299</v>
      </c>
      <c r="AD4395">
        <v>-5.6840000000000002E-2</v>
      </c>
      <c r="AE4395">
        <v>-0.632000000000005</v>
      </c>
      <c r="AF4395">
        <v>-0.40640003333690999</v>
      </c>
      <c r="AG4395">
        <v>-5.6840000000000002E-2</v>
      </c>
      <c r="AH4395">
        <v>0.49951323000172199</v>
      </c>
      <c r="AI4395">
        <v>95.044277473844303</v>
      </c>
      <c r="AJ4395">
        <v>129.131530682777</v>
      </c>
      <c r="AK4395">
        <v>0.64645590695962796</v>
      </c>
    </row>
    <row r="4396" spans="1:37" x14ac:dyDescent="0.2">
      <c r="A4396" t="str">
        <f>"20200111155940367"</f>
        <v>20200111155940367</v>
      </c>
      <c r="B4396" t="str">
        <f>"1578729580365066"</f>
        <v>1578729580365066</v>
      </c>
      <c r="C4396" t="s">
        <v>37</v>
      </c>
      <c r="D4396">
        <v>5.652901</v>
      </c>
      <c r="E4396">
        <v>0.35953000000000002</v>
      </c>
      <c r="F4396" t="s">
        <v>38</v>
      </c>
      <c r="G4396">
        <v>-417.68720000000002</v>
      </c>
      <c r="H4396">
        <v>1.0636060000000001</v>
      </c>
      <c r="I4396">
        <v>120.84350000000001</v>
      </c>
      <c r="J4396">
        <v>-417.84089999999998</v>
      </c>
      <c r="K4396">
        <v>1.1151599999999999</v>
      </c>
      <c r="L4396">
        <v>121.4546</v>
      </c>
      <c r="M4396">
        <v>-0.42500310000000002</v>
      </c>
      <c r="N4396">
        <v>0</v>
      </c>
      <c r="O4396">
        <v>-0.90505059999999904</v>
      </c>
      <c r="P4396">
        <v>-0.28005219999999997</v>
      </c>
      <c r="Q4396">
        <v>-1.8578830000000001E-2</v>
      </c>
      <c r="R4396">
        <v>-0.95980529999999997</v>
      </c>
      <c r="S4396">
        <v>0.21017459999999999</v>
      </c>
      <c r="T4396">
        <v>-0.19411020000000001</v>
      </c>
      <c r="U4396">
        <v>-3.1984560000000002</v>
      </c>
      <c r="V4396">
        <v>-0.15434909999999999</v>
      </c>
      <c r="W4396">
        <v>-6.8982339999999996E-3</v>
      </c>
      <c r="X4396">
        <v>0.98799230000000005</v>
      </c>
      <c r="Y4396">
        <v>-0.48336049999999903</v>
      </c>
      <c r="Z4396">
        <v>4.80972E-2</v>
      </c>
      <c r="AA4396">
        <v>0.87409910000000002</v>
      </c>
      <c r="AB4396">
        <v>27</v>
      </c>
      <c r="AC4396">
        <v>0.15369999999995701</v>
      </c>
      <c r="AD4396">
        <v>-5.1553999999999801E-2</v>
      </c>
      <c r="AE4396">
        <v>-0.61109999999999298</v>
      </c>
      <c r="AF4396">
        <v>-0.39622451024060201</v>
      </c>
      <c r="AG4396">
        <v>-5.1553999999999801E-2</v>
      </c>
      <c r="AH4396">
        <v>0.48457229232197102</v>
      </c>
      <c r="AI4396">
        <v>94.708378105743805</v>
      </c>
      <c r="AJ4396">
        <v>129.272140048995</v>
      </c>
      <c r="AK4396">
        <v>0.62806208603734004</v>
      </c>
    </row>
    <row r="4397" spans="1:37" x14ac:dyDescent="0.2">
      <c r="A4397" t="str">
        <f>"20200111155940391"</f>
        <v>20200111155940391</v>
      </c>
      <c r="B4397" t="str">
        <f>"1578729580384585"</f>
        <v>1578729580384585</v>
      </c>
      <c r="C4397" t="s">
        <v>37</v>
      </c>
      <c r="D4397">
        <v>5.5622309999999997</v>
      </c>
      <c r="E4397">
        <v>0.36103299999999999</v>
      </c>
      <c r="F4397" t="s">
        <v>38</v>
      </c>
      <c r="G4397">
        <v>-417.76319999999998</v>
      </c>
      <c r="H4397">
        <v>1.051607</v>
      </c>
      <c r="I4397">
        <v>120.4089</v>
      </c>
      <c r="J4397">
        <v>-417.93979999999999</v>
      </c>
      <c r="K4397">
        <v>1.1151599999999999</v>
      </c>
      <c r="L4397">
        <v>121.20269999999999</v>
      </c>
      <c r="M4397">
        <v>-0.41040070000000001</v>
      </c>
      <c r="N4397">
        <v>0</v>
      </c>
      <c r="O4397">
        <v>-0.91176480000000004</v>
      </c>
      <c r="P4397">
        <v>-0.26713769999999998</v>
      </c>
      <c r="Q4397">
        <v>-1.865882E-2</v>
      </c>
      <c r="R4397">
        <v>-0.9634779</v>
      </c>
      <c r="S4397">
        <v>0.23791499999999999</v>
      </c>
      <c r="T4397">
        <v>-0.19391259999999999</v>
      </c>
      <c r="U4397">
        <v>-3.1912989999999999</v>
      </c>
      <c r="V4397">
        <v>-0.15173490000000001</v>
      </c>
      <c r="W4397">
        <v>-6.8913330000000004E-3</v>
      </c>
      <c r="X4397">
        <v>0.98839719999999998</v>
      </c>
      <c r="Y4397">
        <v>-0.47696699999999997</v>
      </c>
      <c r="Z4397">
        <v>4.8855999999999997E-2</v>
      </c>
      <c r="AA4397">
        <v>0.87756229999999902</v>
      </c>
      <c r="AB4397">
        <v>26</v>
      </c>
      <c r="AC4397">
        <v>0.176600000000007</v>
      </c>
      <c r="AD4397">
        <v>-6.3552999999999901E-2</v>
      </c>
      <c r="AE4397">
        <v>-0.79379999999998996</v>
      </c>
      <c r="AF4397">
        <v>-0.48390064801612198</v>
      </c>
      <c r="AG4397">
        <v>-6.3552999999999901E-2</v>
      </c>
      <c r="AH4397">
        <v>0.64741146303817598</v>
      </c>
      <c r="AI4397">
        <v>94.4958237027774</v>
      </c>
      <c r="AJ4397">
        <v>126.775876131327</v>
      </c>
      <c r="AK4397">
        <v>0.81076533191340605</v>
      </c>
    </row>
    <row r="4398" spans="1:37" x14ac:dyDescent="0.2">
      <c r="A4398" t="str">
        <f>"20200111155940411"</f>
        <v>20200111155940411</v>
      </c>
      <c r="B4398" t="str">
        <f>"1578729580405082"</f>
        <v>1578729580405082</v>
      </c>
      <c r="C4398" t="s">
        <v>37</v>
      </c>
      <c r="D4398">
        <v>5.6165510000000003</v>
      </c>
      <c r="E4398">
        <v>0.36168420000000001</v>
      </c>
      <c r="F4398" t="s">
        <v>38</v>
      </c>
      <c r="G4398">
        <v>-417.85520000000002</v>
      </c>
      <c r="H4398">
        <v>1.0549440000000001</v>
      </c>
      <c r="I4398">
        <v>120.20010000000001</v>
      </c>
      <c r="J4398">
        <v>-418.02800000000002</v>
      </c>
      <c r="K4398">
        <v>1.115154</v>
      </c>
      <c r="L4398">
        <v>120.96799999999899</v>
      </c>
      <c r="M4398">
        <v>-0.39676250000000002</v>
      </c>
      <c r="N4398">
        <v>0</v>
      </c>
      <c r="O4398">
        <v>-0.91778169999999903</v>
      </c>
      <c r="P4398">
        <v>-0.25561339999999999</v>
      </c>
      <c r="Q4398">
        <v>-2.0248849999999999E-2</v>
      </c>
      <c r="R4398">
        <v>-0.96656719999999896</v>
      </c>
      <c r="S4398">
        <v>0.26904299999999998</v>
      </c>
      <c r="T4398">
        <v>-0.19126979999999999</v>
      </c>
      <c r="U4398">
        <v>-3.1846160000000001</v>
      </c>
      <c r="V4398">
        <v>-0.14874870000000001</v>
      </c>
      <c r="W4398">
        <v>-8.3855949999999992E-3</v>
      </c>
      <c r="X4398">
        <v>0.98883940000000004</v>
      </c>
      <c r="Y4398">
        <v>-0.47252299999999903</v>
      </c>
      <c r="Z4398">
        <v>4.8885129999999999E-2</v>
      </c>
      <c r="AA4398">
        <v>0.87996160000000001</v>
      </c>
      <c r="AB4398">
        <v>26</v>
      </c>
      <c r="AC4398">
        <v>0.17279999999999501</v>
      </c>
      <c r="AD4398">
        <v>-6.0209999999999798E-2</v>
      </c>
      <c r="AE4398">
        <v>-0.76789999999998304</v>
      </c>
      <c r="AF4398">
        <v>-0.46063054715636598</v>
      </c>
      <c r="AG4398">
        <v>-6.0209999999999798E-2</v>
      </c>
      <c r="AH4398">
        <v>0.63258391407961001</v>
      </c>
      <c r="AI4398">
        <v>94.399861996079196</v>
      </c>
      <c r="AJ4398">
        <v>126.061097467907</v>
      </c>
      <c r="AK4398">
        <v>0.78483638640537901</v>
      </c>
    </row>
    <row r="4399" spans="1:37" x14ac:dyDescent="0.2">
      <c r="A4399" t="str">
        <f>"20200111155940434"</f>
        <v>20200111155940434</v>
      </c>
      <c r="B4399" t="str">
        <f>"1578729580424601"</f>
        <v>1578729580424601</v>
      </c>
      <c r="C4399" t="s">
        <v>37</v>
      </c>
      <c r="D4399">
        <v>5.6025769999999904</v>
      </c>
      <c r="E4399">
        <v>0.37376690000000001</v>
      </c>
      <c r="F4399" t="s">
        <v>38</v>
      </c>
      <c r="G4399">
        <v>-417.93470000000002</v>
      </c>
      <c r="H4399">
        <v>1.0555909999999999</v>
      </c>
      <c r="I4399">
        <v>119.9883</v>
      </c>
      <c r="J4399">
        <v>-418.1139</v>
      </c>
      <c r="K4399">
        <v>1.115135</v>
      </c>
      <c r="L4399">
        <v>120.7281</v>
      </c>
      <c r="M4399">
        <v>-0.38279780000000002</v>
      </c>
      <c r="N4399">
        <v>0</v>
      </c>
      <c r="O4399">
        <v>-0.92369349999999995</v>
      </c>
      <c r="P4399">
        <v>-0.24446889999999999</v>
      </c>
      <c r="Q4399">
        <v>-2.066287E-2</v>
      </c>
      <c r="R4399">
        <v>-0.9694374</v>
      </c>
      <c r="S4399">
        <v>0.30297849999999998</v>
      </c>
      <c r="T4399">
        <v>-0.19332099999999999</v>
      </c>
      <c r="U4399">
        <v>-3.17984</v>
      </c>
      <c r="V4399">
        <v>-0.14512329999999901</v>
      </c>
      <c r="W4399">
        <v>-8.6851410000000004E-3</v>
      </c>
      <c r="X4399">
        <v>0.98937549999999996</v>
      </c>
      <c r="Y4399">
        <v>-0.46857549999999998</v>
      </c>
      <c r="Z4399">
        <v>5.0057740000000003E-2</v>
      </c>
      <c r="AA4399">
        <v>0.88200409999999996</v>
      </c>
      <c r="AB4399">
        <v>26</v>
      </c>
      <c r="AC4399">
        <v>0.17919999999997999</v>
      </c>
      <c r="AD4399">
        <v>-5.9544E-2</v>
      </c>
      <c r="AE4399">
        <v>-0.73980000000000201</v>
      </c>
      <c r="AF4399">
        <v>-0.44604777619938102</v>
      </c>
      <c r="AG4399">
        <v>-5.9544E-2</v>
      </c>
      <c r="AH4399">
        <v>0.61109053641809497</v>
      </c>
      <c r="AI4399">
        <v>94.500079833734503</v>
      </c>
      <c r="AJ4399">
        <v>126.12648881955801</v>
      </c>
      <c r="AK4399">
        <v>0.75890430904572503</v>
      </c>
    </row>
    <row r="4400" spans="1:37" x14ac:dyDescent="0.2">
      <c r="A4400" t="str">
        <f>"20200111155940456"</f>
        <v>20200111155940456</v>
      </c>
      <c r="B4400" t="str">
        <f>"1578729580445097"</f>
        <v>1578729580445097</v>
      </c>
      <c r="C4400" t="s">
        <v>37</v>
      </c>
      <c r="D4400">
        <v>5.5985389999999997</v>
      </c>
      <c r="E4400">
        <v>0.37570879999999901</v>
      </c>
      <c r="F4400" t="s">
        <v>38</v>
      </c>
      <c r="G4400">
        <v>-418.03919999999999</v>
      </c>
      <c r="H4400">
        <v>1.055666</v>
      </c>
      <c r="I4400">
        <v>119.7723</v>
      </c>
      <c r="J4400">
        <v>-418.19589999999999</v>
      </c>
      <c r="K4400">
        <v>1.1151180000000001</v>
      </c>
      <c r="L4400">
        <v>120.4879</v>
      </c>
      <c r="M4400">
        <v>-0.36879689999999998</v>
      </c>
      <c r="N4400">
        <v>0</v>
      </c>
      <c r="O4400">
        <v>-0.92937209999999904</v>
      </c>
      <c r="P4400">
        <v>-0.23131750000000001</v>
      </c>
      <c r="Q4400">
        <v>-1.9835220000000001E-2</v>
      </c>
      <c r="R4400">
        <v>-0.97267599999999999</v>
      </c>
      <c r="S4400">
        <v>0.24630740000000001</v>
      </c>
      <c r="T4400">
        <v>-0.1961591</v>
      </c>
      <c r="U4400">
        <v>-3.1525270000000001</v>
      </c>
      <c r="V4400">
        <v>-0.1436017</v>
      </c>
      <c r="W4400">
        <v>-7.80403E-3</v>
      </c>
      <c r="X4400">
        <v>0.98960479999999995</v>
      </c>
      <c r="Y4400">
        <v>-0.4399728</v>
      </c>
      <c r="Z4400">
        <v>5.2258779999999998E-2</v>
      </c>
      <c r="AA4400">
        <v>0.89648919999999999</v>
      </c>
      <c r="AB4400">
        <v>26</v>
      </c>
      <c r="AC4400">
        <v>0.15670000000000001</v>
      </c>
      <c r="AD4400">
        <v>-5.9451999999999998E-2</v>
      </c>
      <c r="AE4400">
        <v>-0.71559999999999402</v>
      </c>
      <c r="AF4400">
        <v>-0.40691604067784598</v>
      </c>
      <c r="AG4400">
        <v>-5.9451999999999998E-2</v>
      </c>
      <c r="AH4400">
        <v>0.60337197243020402</v>
      </c>
      <c r="AI4400">
        <v>94.670206277936501</v>
      </c>
      <c r="AJ4400">
        <v>123.995855837988</v>
      </c>
      <c r="AK4400">
        <v>0.73018692235567295</v>
      </c>
    </row>
    <row r="4401" spans="1:37" x14ac:dyDescent="0.2">
      <c r="A4401" t="str">
        <f>"20200111155940479"</f>
        <v>20200111155940479</v>
      </c>
      <c r="B4401" t="str">
        <f>"1578729580474377"</f>
        <v>1578729580474377</v>
      </c>
      <c r="C4401" t="s">
        <v>37</v>
      </c>
      <c r="D4401">
        <v>8.1533920000000002</v>
      </c>
      <c r="E4401">
        <v>0.3771697</v>
      </c>
      <c r="F4401" t="s">
        <v>38</v>
      </c>
      <c r="G4401">
        <v>-418.10980000000001</v>
      </c>
      <c r="H4401">
        <v>1.051042</v>
      </c>
      <c r="I4401">
        <v>119.497999999999</v>
      </c>
      <c r="J4401">
        <v>-418.27480000000003</v>
      </c>
      <c r="K4401">
        <v>1.115105</v>
      </c>
      <c r="L4401">
        <v>120.245</v>
      </c>
      <c r="M4401">
        <v>-0.35462139999999998</v>
      </c>
      <c r="N4401">
        <v>0</v>
      </c>
      <c r="O4401">
        <v>-0.93487299999999995</v>
      </c>
      <c r="P4401">
        <v>-0.21706929999999899</v>
      </c>
      <c r="Q4401">
        <v>-1.544627E-2</v>
      </c>
      <c r="R4401">
        <v>-0.97603430000000002</v>
      </c>
      <c r="S4401">
        <v>0.27395629999999999</v>
      </c>
      <c r="T4401">
        <v>-0.20355599999999999</v>
      </c>
      <c r="U4401">
        <v>-3.1452789999999999</v>
      </c>
      <c r="V4401">
        <v>-0.1431692</v>
      </c>
      <c r="W4401">
        <v>-3.3915170000000001E-3</v>
      </c>
      <c r="X4401">
        <v>0.98969240000000003</v>
      </c>
      <c r="Y4401">
        <v>-0.43428329999999998</v>
      </c>
      <c r="Z4401">
        <v>5.4947299999999998E-2</v>
      </c>
      <c r="AA4401">
        <v>0.89909889999999903</v>
      </c>
      <c r="AB4401">
        <v>26</v>
      </c>
      <c r="AC4401">
        <v>0.16500000000001999</v>
      </c>
      <c r="AD4401">
        <v>-6.4062999999999898E-2</v>
      </c>
      <c r="AE4401">
        <v>-0.74700000000001399</v>
      </c>
      <c r="AF4401">
        <v>-0.41629060239913501</v>
      </c>
      <c r="AG4401">
        <v>-6.4062999999999898E-2</v>
      </c>
      <c r="AH4401">
        <v>0.63546324823379896</v>
      </c>
      <c r="AI4401">
        <v>94.820296520388794</v>
      </c>
      <c r="AJ4401">
        <v>123.22872152139099</v>
      </c>
      <c r="AK4401">
        <v>0.76237489037263395</v>
      </c>
    </row>
    <row r="4402" spans="1:37" x14ac:dyDescent="0.2">
      <c r="A4402" t="str">
        <f>"20200111155940501"</f>
        <v>20200111155940501</v>
      </c>
      <c r="B4402" t="str">
        <f>"1578729580494873"</f>
        <v>1578729580494873</v>
      </c>
      <c r="C4402" t="s">
        <v>37</v>
      </c>
      <c r="D4402">
        <v>5.5954480000000002</v>
      </c>
      <c r="E4402">
        <v>0.39242159999999998</v>
      </c>
      <c r="F4402" t="s">
        <v>39</v>
      </c>
      <c r="G4402">
        <v>-416.5856</v>
      </c>
      <c r="H4402" s="1">
        <v>-2.2125999999999998E-6</v>
      </c>
      <c r="I4402">
        <v>103.0307</v>
      </c>
      <c r="J4402">
        <v>-418.35219999999998</v>
      </c>
      <c r="K4402">
        <v>1.1150869999999999</v>
      </c>
      <c r="L4402">
        <v>119.9935</v>
      </c>
      <c r="M4402">
        <v>-0.33993779999999901</v>
      </c>
      <c r="N4402">
        <v>0</v>
      </c>
      <c r="O4402">
        <v>-0.94031180000000003</v>
      </c>
      <c r="P4402">
        <v>-0.20174629999999999</v>
      </c>
      <c r="Q4402">
        <v>-1.0872929999999999E-2</v>
      </c>
      <c r="R4402">
        <v>-0.97937739999999995</v>
      </c>
      <c r="S4402">
        <v>0.30801390000000001</v>
      </c>
      <c r="T4402">
        <v>-0.20333489999999901</v>
      </c>
      <c r="U4402">
        <v>-3.1389469999999999</v>
      </c>
      <c r="V4402">
        <v>-0.143322799999999</v>
      </c>
      <c r="W4402">
        <v>1.1890569999999899E-3</v>
      </c>
      <c r="X4402">
        <v>0.98967530000000004</v>
      </c>
      <c r="Y4402">
        <v>-0.43000139999999998</v>
      </c>
      <c r="Z4402">
        <v>5.5562720000000003E-2</v>
      </c>
      <c r="AA4402">
        <v>0.90111679999999905</v>
      </c>
      <c r="AB4402">
        <v>26</v>
      </c>
      <c r="AC4402">
        <v>1.76659999999998</v>
      </c>
      <c r="AD4402">
        <v>-1.1150892126</v>
      </c>
      <c r="AE4402">
        <v>-16.962800000000001</v>
      </c>
      <c r="AF4402">
        <v>-7.3967812255084899</v>
      </c>
      <c r="AG4402">
        <v>-1.1150892126</v>
      </c>
      <c r="AH4402">
        <v>15.2864023105929</v>
      </c>
      <c r="AI4402">
        <v>93.756832172271203</v>
      </c>
      <c r="AJ4402">
        <v>115.821401814967</v>
      </c>
      <c r="AK4402">
        <v>17.018516153043201</v>
      </c>
    </row>
    <row r="4403" spans="1:37" x14ac:dyDescent="0.2">
      <c r="A4403" t="str">
        <f>"20200111155940524"</f>
        <v>20200111155940524</v>
      </c>
      <c r="B4403" t="str">
        <f>"1578729580514393"</f>
        <v>1578729580514393</v>
      </c>
      <c r="C4403" t="s">
        <v>37</v>
      </c>
      <c r="D4403">
        <v>5.3115019999999999</v>
      </c>
      <c r="E4403">
        <v>0.38953649999999901</v>
      </c>
      <c r="F4403" t="s">
        <v>39</v>
      </c>
      <c r="G4403">
        <v>-416.91019999999997</v>
      </c>
      <c r="H4403" s="1">
        <v>-1.4029960000000001E-6</v>
      </c>
      <c r="I4403">
        <v>101.1571</v>
      </c>
      <c r="J4403">
        <v>-418.4239</v>
      </c>
      <c r="K4403">
        <v>1.115057</v>
      </c>
      <c r="L4403">
        <v>119.7471</v>
      </c>
      <c r="M4403">
        <v>-0.32556350000000001</v>
      </c>
      <c r="N4403">
        <v>0</v>
      </c>
      <c r="O4403">
        <v>-0.94538500000000003</v>
      </c>
      <c r="P4403">
        <v>-0.18714649999999999</v>
      </c>
      <c r="Q4403">
        <v>-7.7042509999999996E-3</v>
      </c>
      <c r="R4403">
        <v>-0.98230219999999902</v>
      </c>
      <c r="S4403">
        <v>0.23809810000000001</v>
      </c>
      <c r="T4403">
        <v>-0.184117899999999</v>
      </c>
      <c r="U4403">
        <v>-3.1101679999999998</v>
      </c>
      <c r="V4403">
        <v>-0.1430592</v>
      </c>
      <c r="W4403">
        <v>4.3757459999999998E-3</v>
      </c>
      <c r="X4403">
        <v>0.98970449999999999</v>
      </c>
      <c r="Y4403">
        <v>-0.39669529999999997</v>
      </c>
      <c r="Z4403">
        <v>5.1746359999999998E-2</v>
      </c>
      <c r="AA4403">
        <v>0.91649069999999899</v>
      </c>
      <c r="AB4403">
        <v>26</v>
      </c>
      <c r="AC4403">
        <v>1.51370000000002</v>
      </c>
      <c r="AD4403">
        <v>-1.115058402996</v>
      </c>
      <c r="AE4403">
        <v>-18.59</v>
      </c>
      <c r="AF4403">
        <v>-7.4575572722137702</v>
      </c>
      <c r="AG4403">
        <v>-1.115058402996</v>
      </c>
      <c r="AH4403">
        <v>17.023242496995099</v>
      </c>
      <c r="AI4403">
        <v>93.433484134856499</v>
      </c>
      <c r="AJ4403">
        <v>113.65730742106</v>
      </c>
      <c r="AK4403">
        <v>18.618520371445801</v>
      </c>
    </row>
    <row r="4404" spans="1:37" x14ac:dyDescent="0.2">
      <c r="A4404" t="str">
        <f>"20200111155940546"</f>
        <v>20200111155940546</v>
      </c>
      <c r="B4404" t="str">
        <f>"1578729580534889"</f>
        <v>1578729580534889</v>
      </c>
      <c r="C4404" t="s">
        <v>37</v>
      </c>
      <c r="D4404">
        <v>5.5518210000000003</v>
      </c>
      <c r="E4404">
        <v>0.39119569999999998</v>
      </c>
      <c r="F4404" t="s">
        <v>39</v>
      </c>
      <c r="G4404">
        <v>-416.510999999999</v>
      </c>
      <c r="H4404" s="1">
        <v>-1.202533E-6</v>
      </c>
      <c r="I4404">
        <v>100.35850000000001</v>
      </c>
      <c r="J4404">
        <v>-418.4896</v>
      </c>
      <c r="K4404">
        <v>1.115005</v>
      </c>
      <c r="L4404">
        <v>119.508</v>
      </c>
      <c r="M4404">
        <v>-0.31163800000000003</v>
      </c>
      <c r="N4404">
        <v>0</v>
      </c>
      <c r="O4404">
        <v>-0.95006659999999898</v>
      </c>
      <c r="P4404">
        <v>-0.1737969</v>
      </c>
      <c r="Q4404">
        <v>-7.7882130000000004E-3</v>
      </c>
      <c r="R4404">
        <v>-0.98475079999999904</v>
      </c>
      <c r="S4404">
        <v>0.30694579999999999</v>
      </c>
      <c r="T4404">
        <v>-0.178924</v>
      </c>
      <c r="U4404">
        <v>-3.11112999999999</v>
      </c>
      <c r="V4404">
        <v>-0.1419473</v>
      </c>
      <c r="W4404">
        <v>4.3333080000000001E-3</v>
      </c>
      <c r="X4404">
        <v>0.98986479999999999</v>
      </c>
      <c r="Y4404">
        <v>-0.40331109999999998</v>
      </c>
      <c r="Z4404">
        <v>5.0544350000000002E-2</v>
      </c>
      <c r="AA4404">
        <v>0.91366599999999998</v>
      </c>
      <c r="AB4404">
        <v>26</v>
      </c>
      <c r="AC4404">
        <v>1.9786000000000199</v>
      </c>
      <c r="AD4404">
        <v>-1.1150062025330001</v>
      </c>
      <c r="AE4404">
        <v>-19.1494999999999</v>
      </c>
      <c r="AF4404">
        <v>-7.8222754153626903</v>
      </c>
      <c r="AG4404">
        <v>-1.1150062025330001</v>
      </c>
      <c r="AH4404">
        <v>17.520165338318499</v>
      </c>
      <c r="AI4404">
        <v>93.325850928643604</v>
      </c>
      <c r="AJ4404">
        <v>114.05945733832201</v>
      </c>
      <c r="AK4404">
        <v>19.219454336361601</v>
      </c>
    </row>
    <row r="4405" spans="1:37" x14ac:dyDescent="0.2">
      <c r="A4405" t="str">
        <f>"20200111155940568"</f>
        <v>20200111155940568</v>
      </c>
      <c r="B4405" t="str">
        <f>"1578729580565145"</f>
        <v>1578729580565145</v>
      </c>
      <c r="C4405" t="s">
        <v>37</v>
      </c>
      <c r="D4405">
        <v>5.5335769999999904</v>
      </c>
      <c r="E4405">
        <v>0.39292179999999999</v>
      </c>
      <c r="F4405" t="s">
        <v>38</v>
      </c>
      <c r="G4405">
        <v>-418.36829999999998</v>
      </c>
      <c r="H4405">
        <v>1.045296</v>
      </c>
      <c r="I4405">
        <v>118.39060000000001</v>
      </c>
      <c r="J4405">
        <v>-418.5523</v>
      </c>
      <c r="K4405">
        <v>1.114933</v>
      </c>
      <c r="L4405">
        <v>119.2649</v>
      </c>
      <c r="M4405">
        <v>-0.29752829999999902</v>
      </c>
      <c r="N4405">
        <v>0</v>
      </c>
      <c r="O4405">
        <v>-0.95457930000000002</v>
      </c>
      <c r="P4405">
        <v>-0.16087879999999999</v>
      </c>
      <c r="Q4405">
        <v>-9.6682279999999992E-3</v>
      </c>
      <c r="R4405">
        <v>-0.98692690000000005</v>
      </c>
      <c r="S4405">
        <v>0.33700559999999902</v>
      </c>
      <c r="T4405">
        <v>-0.1936522</v>
      </c>
      <c r="U4405">
        <v>-3.10440099999999</v>
      </c>
      <c r="V4405">
        <v>-0.1401973</v>
      </c>
      <c r="W4405">
        <v>2.5137079999999999E-3</v>
      </c>
      <c r="X4405">
        <v>0.99012040000000001</v>
      </c>
      <c r="Y4405">
        <v>-0.39866629999999997</v>
      </c>
      <c r="Z4405">
        <v>5.526441E-2</v>
      </c>
      <c r="AA4405">
        <v>0.91542939999999995</v>
      </c>
      <c r="AB4405">
        <v>26</v>
      </c>
      <c r="AC4405">
        <v>0.184000000000025</v>
      </c>
      <c r="AD4405">
        <v>-6.9636999999999893E-2</v>
      </c>
      <c r="AE4405">
        <v>-0.87429999999998997</v>
      </c>
      <c r="AF4405">
        <v>-0.43319560342927799</v>
      </c>
      <c r="AG4405">
        <v>-6.9636999999999893E-2</v>
      </c>
      <c r="AH4405">
        <v>0.77523357908369395</v>
      </c>
      <c r="AI4405">
        <v>94.483673486182894</v>
      </c>
      <c r="AJ4405">
        <v>119.196181583089</v>
      </c>
      <c r="AK4405">
        <v>0.89078327596468199</v>
      </c>
    </row>
    <row r="4406" spans="1:37" x14ac:dyDescent="0.2">
      <c r="A4406" t="str">
        <f>"20200111155940591"</f>
        <v>20200111155940591</v>
      </c>
      <c r="B4406" t="str">
        <f>"1578729580584668"</f>
        <v>1578729580584668</v>
      </c>
      <c r="C4406" t="s">
        <v>37</v>
      </c>
      <c r="D4406">
        <v>5.6635099999999996</v>
      </c>
      <c r="E4406">
        <v>0.40311069999999999</v>
      </c>
      <c r="F4406" t="s">
        <v>39</v>
      </c>
      <c r="G4406">
        <v>-416.3716</v>
      </c>
      <c r="H4406" s="1">
        <v>-1.375115E-6</v>
      </c>
      <c r="I4406">
        <v>100.71129999999999</v>
      </c>
      <c r="J4406">
        <v>-418.6146</v>
      </c>
      <c r="K4406">
        <v>1.114846</v>
      </c>
      <c r="L4406">
        <v>119.0077</v>
      </c>
      <c r="M4406">
        <v>-0.28265209999999902</v>
      </c>
      <c r="N4406">
        <v>0</v>
      </c>
      <c r="O4406">
        <v>-0.95908979999999999</v>
      </c>
      <c r="P4406">
        <v>-0.148423</v>
      </c>
      <c r="Q4406">
        <v>-1.166438E-2</v>
      </c>
      <c r="R4406">
        <v>-0.9888555</v>
      </c>
      <c r="S4406">
        <v>0.36404419999999998</v>
      </c>
      <c r="T4406">
        <v>-0.18612190000000001</v>
      </c>
      <c r="U4406">
        <v>-3.0972599999999999</v>
      </c>
      <c r="V4406">
        <v>-0.13722970000000001</v>
      </c>
      <c r="W4406">
        <v>6.1113029999999998E-4</v>
      </c>
      <c r="X4406">
        <v>0.99053910000000001</v>
      </c>
      <c r="Y4406">
        <v>-0.3925322</v>
      </c>
      <c r="Z4406">
        <v>5.3703389999999997E-2</v>
      </c>
      <c r="AA4406">
        <v>0.91816900000000001</v>
      </c>
      <c r="AB4406">
        <v>26</v>
      </c>
      <c r="AC4406">
        <v>2.2429999999999901</v>
      </c>
      <c r="AD4406">
        <v>-1.1148473751150001</v>
      </c>
      <c r="AE4406">
        <v>-18.296399999999998</v>
      </c>
      <c r="AF4406">
        <v>-7.2969954482210504</v>
      </c>
      <c r="AG4406">
        <v>-1.1148473751150001</v>
      </c>
      <c r="AH4406">
        <v>16.8544048409398</v>
      </c>
      <c r="AI4406">
        <v>93.473652039912096</v>
      </c>
      <c r="AJ4406">
        <v>113.40985802570199</v>
      </c>
      <c r="AK4406">
        <v>18.399999722376499</v>
      </c>
    </row>
    <row r="4407" spans="1:37" x14ac:dyDescent="0.2">
      <c r="A4407" t="str">
        <f>"20200111155940614"</f>
        <v>20200111155940614</v>
      </c>
      <c r="B4407" t="str">
        <f>"1578729580605161"</f>
        <v>1578729580605161</v>
      </c>
      <c r="C4407" t="s">
        <v>37</v>
      </c>
      <c r="D4407">
        <v>5.6090489999999997</v>
      </c>
      <c r="E4407">
        <v>0.408902299999999</v>
      </c>
      <c r="F4407" t="s">
        <v>39</v>
      </c>
      <c r="G4407">
        <v>-416.834</v>
      </c>
      <c r="H4407" s="1">
        <v>-1.7646459999999901E-6</v>
      </c>
      <c r="I4407">
        <v>102.0461</v>
      </c>
      <c r="J4407">
        <v>-418.67290000000003</v>
      </c>
      <c r="K4407">
        <v>1.114749</v>
      </c>
      <c r="L4407">
        <v>118.7504</v>
      </c>
      <c r="M4407">
        <v>-0.26785049999999999</v>
      </c>
      <c r="N4407">
        <v>0</v>
      </c>
      <c r="O4407">
        <v>-0.96332879999999999</v>
      </c>
      <c r="P4407">
        <v>-0.13681399999999999</v>
      </c>
      <c r="Q4407">
        <v>-1.200918E-2</v>
      </c>
      <c r="R4407">
        <v>-0.99052410000000002</v>
      </c>
      <c r="S4407">
        <v>0.3233337</v>
      </c>
      <c r="T4407">
        <v>-0.20243900000000001</v>
      </c>
      <c r="U4407">
        <v>-3.079971</v>
      </c>
      <c r="V4407">
        <v>-0.1335858</v>
      </c>
      <c r="W4407">
        <v>3.7938750000000003E-4</v>
      </c>
      <c r="X4407">
        <v>0.99103719999999995</v>
      </c>
      <c r="Y4407">
        <v>-0.36679820000000002</v>
      </c>
      <c r="Z4407">
        <v>5.9526259999999998E-2</v>
      </c>
      <c r="AA4407">
        <v>0.92839419999999995</v>
      </c>
      <c r="AB4407">
        <v>26</v>
      </c>
      <c r="AC4407">
        <v>1.83890000000002</v>
      </c>
      <c r="AD4407">
        <v>-1.114750764646</v>
      </c>
      <c r="AE4407">
        <v>-16.7043</v>
      </c>
      <c r="AF4407">
        <v>-6.2191477757306997</v>
      </c>
      <c r="AG4407">
        <v>-1.114750764646</v>
      </c>
      <c r="AH4407">
        <v>15.532815655607299</v>
      </c>
      <c r="AI4407">
        <v>93.811726932499894</v>
      </c>
      <c r="AJ4407">
        <v>111.82055478084401</v>
      </c>
      <c r="AK4407">
        <v>16.768686010380598</v>
      </c>
    </row>
    <row r="4408" spans="1:37" x14ac:dyDescent="0.2">
      <c r="A4408" t="str">
        <f>"20200111155940636"</f>
        <v>20200111155940636</v>
      </c>
      <c r="B4408" t="str">
        <f>"1578729580624682"</f>
        <v>1578729580624682</v>
      </c>
      <c r="C4408" t="s">
        <v>37</v>
      </c>
      <c r="D4408">
        <v>5.6681349999999897</v>
      </c>
      <c r="E4408">
        <v>0.41363610000000001</v>
      </c>
      <c r="F4408" t="s">
        <v>39</v>
      </c>
      <c r="G4408">
        <v>-417.00490000000002</v>
      </c>
      <c r="H4408" s="1">
        <v>-1.8703929999999999E-6</v>
      </c>
      <c r="I4408">
        <v>102.43980000000001</v>
      </c>
      <c r="J4408">
        <v>-418.72280000000001</v>
      </c>
      <c r="K4408">
        <v>1.1146479999999901</v>
      </c>
      <c r="L4408">
        <v>118.5146</v>
      </c>
      <c r="M4408">
        <v>-0.25438620000000001</v>
      </c>
      <c r="N4408">
        <v>0</v>
      </c>
      <c r="O4408">
        <v>-0.96697180000000005</v>
      </c>
      <c r="P4408">
        <v>-0.12689819999999999</v>
      </c>
      <c r="Q4408">
        <v>-1.04993E-2</v>
      </c>
      <c r="R4408">
        <v>-0.99186030000000003</v>
      </c>
      <c r="S4408">
        <v>0.31390380000000001</v>
      </c>
      <c r="T4408">
        <v>-0.2097859</v>
      </c>
      <c r="U4408">
        <v>-3.0695039999999998</v>
      </c>
      <c r="V4408">
        <v>-0.129717</v>
      </c>
      <c r="W4408">
        <v>2.0087389999999998E-3</v>
      </c>
      <c r="X4408">
        <v>0.99154900000000001</v>
      </c>
      <c r="Y4408">
        <v>-0.3512613</v>
      </c>
      <c r="Z4408">
        <v>6.2472670000000001E-2</v>
      </c>
      <c r="AA4408">
        <v>0.93419089999999905</v>
      </c>
      <c r="AB4408">
        <v>26</v>
      </c>
      <c r="AC4408">
        <v>1.71789999999998</v>
      </c>
      <c r="AD4408">
        <v>-1.1146498703929999</v>
      </c>
      <c r="AE4408">
        <v>-16.0747999999999</v>
      </c>
      <c r="AF4408">
        <v>-5.72388526139743</v>
      </c>
      <c r="AG4408">
        <v>-1.1146498703929999</v>
      </c>
      <c r="AH4408">
        <v>15.0372947090313</v>
      </c>
      <c r="AI4408">
        <v>93.962925744426599</v>
      </c>
      <c r="AJ4408">
        <v>110.83912411930601</v>
      </c>
      <c r="AK4408">
        <v>16.128407825494399</v>
      </c>
    </row>
    <row r="4409" spans="1:37" x14ac:dyDescent="0.2">
      <c r="A4409" t="str">
        <f>"20200111155940658"</f>
        <v>20200111155940658</v>
      </c>
      <c r="B4409" t="str">
        <f>"1578729580654937"</f>
        <v>1578729580654937</v>
      </c>
      <c r="C4409" t="s">
        <v>37</v>
      </c>
      <c r="D4409">
        <v>5.6193359999999997</v>
      </c>
      <c r="E4409">
        <v>0.41920980000000002</v>
      </c>
      <c r="F4409" t="s">
        <v>39</v>
      </c>
      <c r="G4409">
        <v>-417.10230000000001</v>
      </c>
      <c r="H4409" s="1">
        <v>-1.8333089999999999E-6</v>
      </c>
      <c r="I4409">
        <v>102.41079999999999</v>
      </c>
      <c r="J4409">
        <v>-418.77199999999999</v>
      </c>
      <c r="K4409">
        <v>1.114519</v>
      </c>
      <c r="L4409">
        <v>118.2657</v>
      </c>
      <c r="M4409">
        <v>-0.2403284</v>
      </c>
      <c r="N4409">
        <v>0</v>
      </c>
      <c r="O4409">
        <v>-0.97056160000000002</v>
      </c>
      <c r="P4409">
        <v>-0.1154125</v>
      </c>
      <c r="Q4409">
        <v>-8.4810149999999997E-3</v>
      </c>
      <c r="R4409">
        <v>-0.99328139999999998</v>
      </c>
      <c r="S4409">
        <v>0.30810549999999998</v>
      </c>
      <c r="T4409">
        <v>-0.21192710000000001</v>
      </c>
      <c r="U4409">
        <v>-3.061798</v>
      </c>
      <c r="V4409">
        <v>-0.12685660000000001</v>
      </c>
      <c r="W4409">
        <v>4.1187330000000003E-3</v>
      </c>
      <c r="X4409">
        <v>0.99191249999999997</v>
      </c>
      <c r="Y4409">
        <v>-0.33611209999999903</v>
      </c>
      <c r="Z4409">
        <v>6.3834829999999995E-2</v>
      </c>
      <c r="AA4409">
        <v>0.93965619999999905</v>
      </c>
      <c r="AB4409">
        <v>26</v>
      </c>
      <c r="AC4409">
        <v>1.66969999999997</v>
      </c>
      <c r="AD4409">
        <v>-1.114520833309</v>
      </c>
      <c r="AE4409">
        <v>-15.854900000000001</v>
      </c>
      <c r="AF4409">
        <v>-5.40519883499325</v>
      </c>
      <c r="AG4409">
        <v>-1.114520833309</v>
      </c>
      <c r="AH4409">
        <v>14.915876048623799</v>
      </c>
      <c r="AI4409">
        <v>94.018432858084694</v>
      </c>
      <c r="AJ4409">
        <v>109.919448041415</v>
      </c>
      <c r="AK4409">
        <v>15.9041406379471</v>
      </c>
    </row>
    <row r="4410" spans="1:37" x14ac:dyDescent="0.2">
      <c r="A4410" t="str">
        <f>"20200111155940680"</f>
        <v>20200111155940680</v>
      </c>
      <c r="B4410" t="str">
        <f>"1578729580674457"</f>
        <v>1578729580674457</v>
      </c>
      <c r="C4410" t="s">
        <v>37</v>
      </c>
      <c r="D4410">
        <v>5.5901860000000001</v>
      </c>
      <c r="E4410">
        <v>0.42240240000000001</v>
      </c>
      <c r="F4410" t="s">
        <v>39</v>
      </c>
      <c r="G4410">
        <v>-417.18849999999998</v>
      </c>
      <c r="H4410" s="1">
        <v>-1.694106E-6</v>
      </c>
      <c r="I4410">
        <v>102.107999999999</v>
      </c>
      <c r="J4410">
        <v>-418.81729999999999</v>
      </c>
      <c r="K4410">
        <v>1.1143529999999999</v>
      </c>
      <c r="L4410">
        <v>118.01819999999999</v>
      </c>
      <c r="M4410">
        <v>-0.22655210000000001</v>
      </c>
      <c r="N4410">
        <v>0</v>
      </c>
      <c r="O4410">
        <v>-0.97387040000000002</v>
      </c>
      <c r="P4410">
        <v>-0.1043023</v>
      </c>
      <c r="Q4410">
        <v>-7.2575829999999997E-3</v>
      </c>
      <c r="R4410">
        <v>-0.99451929999999999</v>
      </c>
      <c r="S4410">
        <v>0.29922490000000002</v>
      </c>
      <c r="T4410">
        <v>-0.210606399999999</v>
      </c>
      <c r="U4410">
        <v>-3.05325299999999</v>
      </c>
      <c r="V4410">
        <v>-0.123919499999999</v>
      </c>
      <c r="W4410">
        <v>5.4357419999999899E-3</v>
      </c>
      <c r="X4410">
        <v>0.99227739999999998</v>
      </c>
      <c r="Y4410">
        <v>-0.32027800000000001</v>
      </c>
      <c r="Z4410">
        <v>6.4155429999999999E-2</v>
      </c>
      <c r="AA4410">
        <v>0.94514869999999995</v>
      </c>
      <c r="AB4410">
        <v>26</v>
      </c>
      <c r="AC4410">
        <v>1.62880000000001</v>
      </c>
      <c r="AD4410">
        <v>-1.1143546941060001</v>
      </c>
      <c r="AE4410">
        <v>-15.9102</v>
      </c>
      <c r="AF4410">
        <v>-5.1662986897046999</v>
      </c>
      <c r="AG4410">
        <v>-1.1143546941060001</v>
      </c>
      <c r="AH4410">
        <v>15.0542754032691</v>
      </c>
      <c r="AI4410">
        <v>94.004991676824702</v>
      </c>
      <c r="AJ4410">
        <v>108.94110157238499</v>
      </c>
      <c r="AK4410">
        <v>15.955050499857199</v>
      </c>
    </row>
    <row r="4411" spans="1:37" x14ac:dyDescent="0.2">
      <c r="A4411" t="str">
        <f>"20200111155940703"</f>
        <v>20200111155940703</v>
      </c>
      <c r="B4411" t="str">
        <f>"1578729580694953"</f>
        <v>1578729580694953</v>
      </c>
      <c r="C4411" t="s">
        <v>37</v>
      </c>
      <c r="D4411">
        <v>5.6291500000000001</v>
      </c>
      <c r="E4411">
        <v>0.42527860000000001</v>
      </c>
      <c r="F4411" t="s">
        <v>39</v>
      </c>
      <c r="G4411">
        <v>-417.16629999999998</v>
      </c>
      <c r="H4411" s="1">
        <v>-1.5357329999999901E-6</v>
      </c>
      <c r="I4411">
        <v>101.6802</v>
      </c>
      <c r="J4411">
        <v>-418.86090000000002</v>
      </c>
      <c r="K4411">
        <v>1.1141319999999999</v>
      </c>
      <c r="L4411">
        <v>117.7617</v>
      </c>
      <c r="M4411">
        <v>-0.21253910000000001</v>
      </c>
      <c r="N4411">
        <v>0</v>
      </c>
      <c r="O4411">
        <v>-0.97702489999999997</v>
      </c>
      <c r="P4411">
        <v>-9.2675779999999999E-2</v>
      </c>
      <c r="Q4411">
        <v>-6.8682400000000003E-3</v>
      </c>
      <c r="R4411">
        <v>-0.99567249999999996</v>
      </c>
      <c r="S4411">
        <v>0.30795289999999997</v>
      </c>
      <c r="T4411">
        <v>-0.20784610000000001</v>
      </c>
      <c r="U4411">
        <v>-3.0473180000000002</v>
      </c>
      <c r="V4411">
        <v>-0.12126480000000001</v>
      </c>
      <c r="W4411">
        <v>5.912095E-3</v>
      </c>
      <c r="X4411">
        <v>0.9926026</v>
      </c>
      <c r="Y4411">
        <v>-0.3095135</v>
      </c>
      <c r="Z4411">
        <v>6.3875319999999999E-2</v>
      </c>
      <c r="AA4411">
        <v>0.94874720000000001</v>
      </c>
      <c r="AB4411">
        <v>26</v>
      </c>
      <c r="AC4411">
        <v>1.6946000000000301</v>
      </c>
      <c r="AD4411">
        <v>-1.114133535733</v>
      </c>
      <c r="AE4411">
        <v>-16.081499999999998</v>
      </c>
      <c r="AF4411">
        <v>-5.0502729289190302</v>
      </c>
      <c r="AG4411">
        <v>-1.114133535733</v>
      </c>
      <c r="AH4411">
        <v>15.281231428519501</v>
      </c>
      <c r="AI4411">
        <v>93.960042397219297</v>
      </c>
      <c r="AJ4411">
        <v>108.288132254613</v>
      </c>
      <c r="AK4411">
        <v>16.132655831077201</v>
      </c>
    </row>
    <row r="4412" spans="1:37" x14ac:dyDescent="0.2">
      <c r="A4412" t="str">
        <f>"20200111155940725"</f>
        <v>20200111155940725</v>
      </c>
      <c r="B4412" t="str">
        <f>"1578729580714473"</f>
        <v>1578729580714473</v>
      </c>
      <c r="C4412" t="s">
        <v>37</v>
      </c>
      <c r="D4412">
        <v>5.7607150000000003</v>
      </c>
      <c r="E4412">
        <v>0.42791079999999998</v>
      </c>
      <c r="F4412" t="s">
        <v>39</v>
      </c>
      <c r="G4412">
        <v>-417.1413</v>
      </c>
      <c r="H4412" s="1">
        <v>-1.4573020000000001E-6</v>
      </c>
      <c r="I4412">
        <v>101.4586</v>
      </c>
      <c r="J4412">
        <v>-418.89879999999999</v>
      </c>
      <c r="K4412">
        <v>1.113877</v>
      </c>
      <c r="L4412">
        <v>117.5194</v>
      </c>
      <c r="M4412">
        <v>-0.19962060000000001</v>
      </c>
      <c r="N4412">
        <v>0</v>
      </c>
      <c r="O4412">
        <v>-0.97974689999999998</v>
      </c>
      <c r="P4412">
        <v>-8.1381129999999996E-2</v>
      </c>
      <c r="Q4412">
        <v>-6.6959080000000004E-3</v>
      </c>
      <c r="R4412">
        <v>-0.99666049999999995</v>
      </c>
      <c r="S4412">
        <v>0.3208008</v>
      </c>
      <c r="T4412">
        <v>-0.20785149999999999</v>
      </c>
      <c r="U4412">
        <v>-3.0414729999999999</v>
      </c>
      <c r="V4412">
        <v>-0.1194124</v>
      </c>
      <c r="W4412">
        <v>6.1509859999999998E-3</v>
      </c>
      <c r="X4412">
        <v>0.99282569999999903</v>
      </c>
      <c r="Y4412">
        <v>-0.30109330000000001</v>
      </c>
      <c r="Z4412">
        <v>6.4355040000000002E-2</v>
      </c>
      <c r="AA4412">
        <v>0.95142070000000001</v>
      </c>
      <c r="AB4412">
        <v>26</v>
      </c>
      <c r="AC4412">
        <v>1.7574999999999901</v>
      </c>
      <c r="AD4412">
        <v>-1.113878457302</v>
      </c>
      <c r="AE4412">
        <v>-16.0608</v>
      </c>
      <c r="AF4412">
        <v>-4.9052670313917996</v>
      </c>
      <c r="AG4412">
        <v>-1.113878457302</v>
      </c>
      <c r="AH4412">
        <v>15.313803838636099</v>
      </c>
      <c r="AI4412">
        <v>93.9625488122565</v>
      </c>
      <c r="AJ4412">
        <v>107.761129907618</v>
      </c>
      <c r="AK4412">
        <v>16.118776562603198</v>
      </c>
    </row>
    <row r="4413" spans="1:37" x14ac:dyDescent="0.2">
      <c r="A4413" t="str">
        <f>"20200111155940747"</f>
        <v>20200111155940747</v>
      </c>
      <c r="B4413" t="str">
        <f>"1578729580744729"</f>
        <v>1578729580744729</v>
      </c>
      <c r="C4413" t="s">
        <v>37</v>
      </c>
      <c r="D4413">
        <v>5.6381430000000003</v>
      </c>
      <c r="E4413">
        <v>0.46312109999999901</v>
      </c>
      <c r="F4413" t="s">
        <v>39</v>
      </c>
      <c r="G4413">
        <v>-417.08749999999998</v>
      </c>
      <c r="H4413" s="1">
        <v>-1.31004E-6</v>
      </c>
      <c r="I4413">
        <v>101.0378</v>
      </c>
      <c r="J4413">
        <v>-418.93380000000002</v>
      </c>
      <c r="K4413">
        <v>1.1135729999999999</v>
      </c>
      <c r="L4413">
        <v>117.2766</v>
      </c>
      <c r="M4413">
        <v>-0.18708089999999999</v>
      </c>
      <c r="N4413">
        <v>0</v>
      </c>
      <c r="O4413">
        <v>-0.98221939999999996</v>
      </c>
      <c r="P4413">
        <v>-6.9724659999999994E-2</v>
      </c>
      <c r="Q4413">
        <v>-5.2623289999999996E-3</v>
      </c>
      <c r="R4413">
        <v>-0.99755229999999995</v>
      </c>
      <c r="S4413">
        <v>0.33364870000000002</v>
      </c>
      <c r="T4413">
        <v>-0.20517539999999901</v>
      </c>
      <c r="U4413">
        <v>-3.0358890000000001</v>
      </c>
      <c r="V4413">
        <v>-0.118355399999999</v>
      </c>
      <c r="W4413">
        <v>7.6334369999999999E-3</v>
      </c>
      <c r="X4413">
        <v>0.99294199999999999</v>
      </c>
      <c r="Y4413">
        <v>-0.29306169999999998</v>
      </c>
      <c r="Z4413">
        <v>6.3965720000000004E-2</v>
      </c>
      <c r="AA4413">
        <v>0.9539514</v>
      </c>
      <c r="AB4413">
        <v>26</v>
      </c>
      <c r="AC4413">
        <v>1.84630000000004</v>
      </c>
      <c r="AD4413">
        <v>-1.11357431004</v>
      </c>
      <c r="AE4413">
        <v>-16.238799999999902</v>
      </c>
      <c r="AF4413">
        <v>-4.8296158010446701</v>
      </c>
      <c r="AG4413">
        <v>-1.11357431004</v>
      </c>
      <c r="AH4413">
        <v>15.534456197486399</v>
      </c>
      <c r="AI4413">
        <v>93.915916581590295</v>
      </c>
      <c r="AJ4413">
        <v>107.270312540798</v>
      </c>
      <c r="AK4413">
        <v>16.305967186318799</v>
      </c>
    </row>
    <row r="4414" spans="1:37" x14ac:dyDescent="0.2">
      <c r="A4414" t="str">
        <f>"20200111155940770"</f>
        <v>20200111155940770</v>
      </c>
      <c r="B4414" t="str">
        <f>"1578729580764249"</f>
        <v>1578729580764249</v>
      </c>
      <c r="C4414" t="s">
        <v>37</v>
      </c>
      <c r="D4414">
        <v>5.624752</v>
      </c>
      <c r="E4414">
        <v>0.46241349999999998</v>
      </c>
      <c r="F4414" t="s">
        <v>39</v>
      </c>
      <c r="G4414">
        <v>-418.4341</v>
      </c>
      <c r="H4414" s="1">
        <v>-6.8453359999999999E-7</v>
      </c>
      <c r="I4414">
        <v>100.342</v>
      </c>
      <c r="J4414">
        <v>-418.96800000000002</v>
      </c>
      <c r="K4414">
        <v>1.1132120000000001</v>
      </c>
      <c r="L4414">
        <v>117.0179</v>
      </c>
      <c r="M4414">
        <v>-0.174208</v>
      </c>
      <c r="N4414">
        <v>0</v>
      </c>
      <c r="O4414">
        <v>-0.98458539999999894</v>
      </c>
      <c r="P4414">
        <v>-5.7256099999999997E-2</v>
      </c>
      <c r="Q4414">
        <v>-3.9198849999999997E-3</v>
      </c>
      <c r="R4414">
        <v>-0.99835160000000001</v>
      </c>
      <c r="S4414">
        <v>8.8897710000000005E-2</v>
      </c>
      <c r="T4414">
        <v>-0.1980971</v>
      </c>
      <c r="U4414">
        <v>-3.012543</v>
      </c>
      <c r="V4414">
        <v>-0.1177854</v>
      </c>
      <c r="W4414">
        <v>9.015739E-3</v>
      </c>
      <c r="X4414">
        <v>0.99299809999999999</v>
      </c>
      <c r="Y4414">
        <v>-0.20313429999999999</v>
      </c>
      <c r="Z4414">
        <v>6.3412200000000002E-2</v>
      </c>
      <c r="AA4414">
        <v>0.97709539999999995</v>
      </c>
      <c r="AB4414">
        <v>26</v>
      </c>
      <c r="AC4414">
        <v>0.53390000000001603</v>
      </c>
      <c r="AD4414">
        <v>-1.1132126845335999</v>
      </c>
      <c r="AE4414">
        <v>-16.675899999999899</v>
      </c>
      <c r="AF4414">
        <v>-3.41595547276036</v>
      </c>
      <c r="AG4414">
        <v>-1.1132126845335999</v>
      </c>
      <c r="AH4414">
        <v>16.255457730910901</v>
      </c>
      <c r="AI4414">
        <v>93.834150586977998</v>
      </c>
      <c r="AJ4414">
        <v>101.86757488242399</v>
      </c>
      <c r="AK4414">
        <v>16.6477596184688</v>
      </c>
    </row>
    <row r="4415" spans="1:37" x14ac:dyDescent="0.2">
      <c r="A4415" t="str">
        <f>"20200111155940792"</f>
        <v>20200111155940792</v>
      </c>
      <c r="B4415" t="str">
        <f>"1578729580784745"</f>
        <v>1578729580784745</v>
      </c>
      <c r="C4415" t="s">
        <v>37</v>
      </c>
      <c r="D4415">
        <v>5.585108</v>
      </c>
      <c r="E4415">
        <v>0.46336529999999998</v>
      </c>
      <c r="F4415" t="s">
        <v>39</v>
      </c>
      <c r="G4415">
        <v>-418.2928</v>
      </c>
      <c r="H4415" s="1">
        <v>-1.2781919999999899E-6</v>
      </c>
      <c r="I4415">
        <v>101.69459999999999</v>
      </c>
      <c r="J4415">
        <v>-418.99869999999999</v>
      </c>
      <c r="K4415">
        <v>1.1128579999999999</v>
      </c>
      <c r="L4415">
        <v>116.76519999999999</v>
      </c>
      <c r="M4415">
        <v>-0.1620637</v>
      </c>
      <c r="N4415">
        <v>0</v>
      </c>
      <c r="O4415">
        <v>-0.98665849999999899</v>
      </c>
      <c r="P4415">
        <v>-4.5387879999999999E-2</v>
      </c>
      <c r="Q4415">
        <v>-3.2288959999999898E-3</v>
      </c>
      <c r="R4415">
        <v>-0.99896430000000003</v>
      </c>
      <c r="S4415">
        <v>0.132720899999999</v>
      </c>
      <c r="T4415">
        <v>-0.2187945</v>
      </c>
      <c r="U4415">
        <v>-3.0116879999999999</v>
      </c>
      <c r="V4415">
        <v>-0.1173565</v>
      </c>
      <c r="W4415">
        <v>9.7376400000000005E-3</v>
      </c>
      <c r="X4415">
        <v>0.99304210000000004</v>
      </c>
      <c r="Y4415">
        <v>-0.2052552</v>
      </c>
      <c r="Z4415">
        <v>7.0214299999999993E-2</v>
      </c>
      <c r="AA4415">
        <v>0.97618660000000002</v>
      </c>
      <c r="AB4415">
        <v>26</v>
      </c>
      <c r="AC4415">
        <v>0.70589999999998498</v>
      </c>
      <c r="AD4415">
        <v>-1.1128592781919999</v>
      </c>
      <c r="AE4415">
        <v>-15.070600000000001</v>
      </c>
      <c r="AF4415">
        <v>-3.1222689017594001</v>
      </c>
      <c r="AG4415">
        <v>-1.1128592781919999</v>
      </c>
      <c r="AH4415">
        <v>14.6770526220247</v>
      </c>
      <c r="AI4415">
        <v>94.241491845573904</v>
      </c>
      <c r="AJ4415">
        <v>102.00958020544201</v>
      </c>
      <c r="AK4415">
        <v>15.0466904180831</v>
      </c>
    </row>
    <row r="4416" spans="1:37" x14ac:dyDescent="0.2">
      <c r="A4416" t="str">
        <f>"20200111155940814"</f>
        <v>20200111155940814</v>
      </c>
      <c r="B4416" t="str">
        <f>"1578729580804766"</f>
        <v>1578729580804766</v>
      </c>
      <c r="C4416" t="s">
        <v>37</v>
      </c>
      <c r="D4416">
        <v>5.5712449999999896</v>
      </c>
      <c r="E4416">
        <v>0.46476139999999999</v>
      </c>
      <c r="F4416" t="s">
        <v>39</v>
      </c>
      <c r="G4416">
        <v>-418.23669999999998</v>
      </c>
      <c r="H4416" s="1">
        <v>-1.6771809999999999E-6</v>
      </c>
      <c r="I4416">
        <v>102.5176</v>
      </c>
      <c r="J4416">
        <v>-419.02589999999998</v>
      </c>
      <c r="K4416">
        <v>1.112506</v>
      </c>
      <c r="L4416">
        <v>116.5217</v>
      </c>
      <c r="M4416">
        <v>-0.15083940000000001</v>
      </c>
      <c r="N4416">
        <v>0</v>
      </c>
      <c r="O4416">
        <v>-0.98843789999999998</v>
      </c>
      <c r="P4416">
        <v>-3.3741819999999999E-2</v>
      </c>
      <c r="Q4416">
        <v>-2.841657E-3</v>
      </c>
      <c r="R4416">
        <v>-0.99942710000000001</v>
      </c>
      <c r="S4416">
        <v>0.16098019999999999</v>
      </c>
      <c r="T4416">
        <v>-0.2350816</v>
      </c>
      <c r="U4416">
        <v>-3.009674</v>
      </c>
      <c r="V4416">
        <v>-0.1176416</v>
      </c>
      <c r="W4416">
        <v>1.013959E-2</v>
      </c>
      <c r="X4416">
        <v>0.99300440000000001</v>
      </c>
      <c r="Y4416">
        <v>-0.203282399999999</v>
      </c>
      <c r="Z4416">
        <v>7.5667029999999996E-2</v>
      </c>
      <c r="AA4416">
        <v>0.97619199999999995</v>
      </c>
      <c r="AB4416">
        <v>26</v>
      </c>
      <c r="AC4416">
        <v>0.78919999999999302</v>
      </c>
      <c r="AD4416">
        <v>-1.1125076771810001</v>
      </c>
      <c r="AE4416">
        <v>-14.0040999999999</v>
      </c>
      <c r="AF4416">
        <v>-2.87470476464769</v>
      </c>
      <c r="AG4416">
        <v>-1.1125076771810001</v>
      </c>
      <c r="AH4416">
        <v>13.6389714952515</v>
      </c>
      <c r="AI4416">
        <v>94.563371386873598</v>
      </c>
      <c r="AJ4416">
        <v>101.902102290985</v>
      </c>
      <c r="AK4416">
        <v>13.982959066805501</v>
      </c>
    </row>
    <row r="4417" spans="1:37" x14ac:dyDescent="0.2">
      <c r="A4417" t="str">
        <f>"20200111155940835"</f>
        <v>20200111155940835</v>
      </c>
      <c r="B4417" t="str">
        <f>"1578729580824287"</f>
        <v>1578729580824287</v>
      </c>
      <c r="C4417" t="s">
        <v>37</v>
      </c>
      <c r="D4417">
        <v>5.5569089999999903</v>
      </c>
      <c r="E4417">
        <v>0.4662924</v>
      </c>
      <c r="F4417" t="s">
        <v>39</v>
      </c>
      <c r="G4417">
        <v>-418.19630000000001</v>
      </c>
      <c r="H4417" s="1">
        <v>-1.9264279999999998E-6</v>
      </c>
      <c r="I4417">
        <v>103.02970000000001</v>
      </c>
      <c r="J4417">
        <v>-419.05119999999999</v>
      </c>
      <c r="K4417">
        <v>1.1121110000000001</v>
      </c>
      <c r="L4417">
        <v>116.27419999999999</v>
      </c>
      <c r="M4417">
        <v>-0.1400111</v>
      </c>
      <c r="N4417">
        <v>0</v>
      </c>
      <c r="O4417">
        <v>-0.99003090000000005</v>
      </c>
      <c r="P4417">
        <v>-2.3081239999999999E-2</v>
      </c>
      <c r="Q4417">
        <v>-1.5694420000000001E-3</v>
      </c>
      <c r="R4417">
        <v>-0.99973230000000002</v>
      </c>
      <c r="S4417">
        <v>0.18490599999999999</v>
      </c>
      <c r="T4417">
        <v>-0.24796899999999999</v>
      </c>
      <c r="U4417">
        <v>-3.007263</v>
      </c>
      <c r="V4417">
        <v>-0.1173752</v>
      </c>
      <c r="W4417">
        <v>1.144558E-2</v>
      </c>
      <c r="X4417">
        <v>0.99302169999999901</v>
      </c>
      <c r="Y4417">
        <v>-0.2003259</v>
      </c>
      <c r="Z4417">
        <v>8.0054379999999994E-2</v>
      </c>
      <c r="AA4417">
        <v>0.97645319999999902</v>
      </c>
      <c r="AB4417">
        <v>26</v>
      </c>
      <c r="AC4417">
        <v>0.854899999999986</v>
      </c>
      <c r="AD4417">
        <v>-1.1121129264280001</v>
      </c>
      <c r="AE4417">
        <v>-13.244499999999899</v>
      </c>
      <c r="AF4417">
        <v>-2.6822398232545699</v>
      </c>
      <c r="AG4417">
        <v>-1.1121129264280001</v>
      </c>
      <c r="AH4417">
        <v>12.903698835345899</v>
      </c>
      <c r="AI4417">
        <v>94.823299075550096</v>
      </c>
      <c r="AJ4417">
        <v>101.742622263169</v>
      </c>
      <c r="AK4417">
        <v>13.226361905826099</v>
      </c>
    </row>
    <row r="4418" spans="1:37" x14ac:dyDescent="0.2">
      <c r="A4418" t="str">
        <f>"20200111155940859"</f>
        <v>20200111155940859</v>
      </c>
      <c r="B4418" t="str">
        <f>"1578729580854543"</f>
        <v>1578729580854543</v>
      </c>
      <c r="C4418" t="s">
        <v>37</v>
      </c>
      <c r="D4418">
        <v>5.8096199999999998</v>
      </c>
      <c r="E4418">
        <v>0.467883299999999</v>
      </c>
      <c r="F4418" t="s">
        <v>39</v>
      </c>
      <c r="G4418">
        <v>-418.14049999999997</v>
      </c>
      <c r="H4418" s="1">
        <v>-1.8554649999999999E-6</v>
      </c>
      <c r="I4418">
        <v>102.8587</v>
      </c>
      <c r="J4418">
        <v>-419.07530000000003</v>
      </c>
      <c r="K4418">
        <v>1.111631</v>
      </c>
      <c r="L4418">
        <v>116.0181</v>
      </c>
      <c r="M4418">
        <v>-0.12952449999999999</v>
      </c>
      <c r="N4418">
        <v>0</v>
      </c>
      <c r="O4418">
        <v>-0.99145910000000004</v>
      </c>
      <c r="P4418">
        <v>-1.3511789999999999E-2</v>
      </c>
      <c r="Q4418" s="1">
        <v>-8.5963079999999996E-5</v>
      </c>
      <c r="R4418">
        <v>-0.99990879999999904</v>
      </c>
      <c r="S4418">
        <v>0.20401</v>
      </c>
      <c r="T4418">
        <v>-0.24911749999999999</v>
      </c>
      <c r="U4418">
        <v>-3.0051269999999999</v>
      </c>
      <c r="V4418">
        <v>-0.1163805</v>
      </c>
      <c r="W4418">
        <v>1.298707E-2</v>
      </c>
      <c r="X4418">
        <v>0.9931198</v>
      </c>
      <c r="Y4418">
        <v>-0.19617579999999901</v>
      </c>
      <c r="Z4418">
        <v>8.0674170000000003E-2</v>
      </c>
      <c r="AA4418">
        <v>0.97724439999999901</v>
      </c>
      <c r="AB4418">
        <v>26</v>
      </c>
      <c r="AC4418">
        <v>0.93480000000005203</v>
      </c>
      <c r="AD4418">
        <v>-1.1116328554649999</v>
      </c>
      <c r="AE4418">
        <v>-13.1594</v>
      </c>
      <c r="AF4418">
        <v>-2.6130334894292702</v>
      </c>
      <c r="AG4418">
        <v>-1.1116328554649999</v>
      </c>
      <c r="AH4418">
        <v>12.836289750523401</v>
      </c>
      <c r="AI4418">
        <v>94.850519890500706</v>
      </c>
      <c r="AJ4418">
        <v>101.506261186754</v>
      </c>
      <c r="AK4418">
        <v>13.146634785435401</v>
      </c>
    </row>
    <row r="4419" spans="1:37" x14ac:dyDescent="0.2">
      <c r="A4419" t="str">
        <f>"20200111155940881"</f>
        <v>20200111155940881</v>
      </c>
      <c r="B4419" t="str">
        <f>"1578729580875041"</f>
        <v>1578729580875041</v>
      </c>
      <c r="C4419" t="s">
        <v>37</v>
      </c>
      <c r="D4419">
        <v>5.5677469999999998</v>
      </c>
      <c r="E4419">
        <v>0.46898009999999901</v>
      </c>
      <c r="F4419" t="s">
        <v>39</v>
      </c>
      <c r="G4419">
        <v>-418.11770000000001</v>
      </c>
      <c r="H4419" s="1">
        <v>-1.8873449999999899E-6</v>
      </c>
      <c r="I4419">
        <v>102.9175</v>
      </c>
      <c r="J4419">
        <v>-419.09780000000001</v>
      </c>
      <c r="K4419">
        <v>1.1110549999999999</v>
      </c>
      <c r="L4419">
        <v>115.75839999999999</v>
      </c>
      <c r="M4419">
        <v>-0.1197173</v>
      </c>
      <c r="N4419">
        <v>0</v>
      </c>
      <c r="O4419">
        <v>-0.99269259999999904</v>
      </c>
      <c r="P4419">
        <v>-6.0937090000000001E-3</v>
      </c>
      <c r="Q4419">
        <v>6.7561170000000003E-4</v>
      </c>
      <c r="R4419">
        <v>-0.99998149999999997</v>
      </c>
      <c r="S4419">
        <v>0.21951289999999901</v>
      </c>
      <c r="T4419">
        <v>-0.25483729999999999</v>
      </c>
      <c r="U4419">
        <v>-3.0032349999999899</v>
      </c>
      <c r="V4419">
        <v>-0.1139225</v>
      </c>
      <c r="W4419">
        <v>1.384578E-2</v>
      </c>
      <c r="X4419">
        <v>0.99339319999999898</v>
      </c>
      <c r="Y4419">
        <v>-0.19153000000000001</v>
      </c>
      <c r="Z4419">
        <v>8.2744960000000006E-2</v>
      </c>
      <c r="AA4419">
        <v>0.97799259999999999</v>
      </c>
      <c r="AB4419">
        <v>26</v>
      </c>
      <c r="AC4419">
        <v>0.98009999999999298</v>
      </c>
      <c r="AD4419">
        <v>-1.111056887345</v>
      </c>
      <c r="AE4419">
        <v>-12.8408999999999</v>
      </c>
      <c r="AF4419">
        <v>-2.4919554868505398</v>
      </c>
      <c r="AG4419">
        <v>-1.111056887345</v>
      </c>
      <c r="AH4419">
        <v>12.537857292620799</v>
      </c>
      <c r="AI4419">
        <v>94.967439786215706</v>
      </c>
      <c r="AJ4419">
        <v>101.24129855303499</v>
      </c>
      <c r="AK4419">
        <v>12.8312959222943</v>
      </c>
    </row>
    <row r="4420" spans="1:37" x14ac:dyDescent="0.2">
      <c r="A4420" t="str">
        <f>"20200111155940904"</f>
        <v>20200111155940904</v>
      </c>
      <c r="B4420" t="str">
        <f>"1578729580894561"</f>
        <v>1578729580894561</v>
      </c>
      <c r="C4420" t="s">
        <v>37</v>
      </c>
      <c r="D4420">
        <v>5.5736129999999999</v>
      </c>
      <c r="E4420">
        <v>0.47092840000000002</v>
      </c>
      <c r="F4420" t="s">
        <v>39</v>
      </c>
      <c r="G4420">
        <v>-418.07859999999999</v>
      </c>
      <c r="H4420" s="1">
        <v>-1.7470519999999999E-6</v>
      </c>
      <c r="I4420">
        <v>102.6061</v>
      </c>
      <c r="J4420">
        <v>-419.11750000000001</v>
      </c>
      <c r="K4420">
        <v>1.110439</v>
      </c>
      <c r="L4420">
        <v>115.5132</v>
      </c>
      <c r="M4420">
        <v>-0.1112961</v>
      </c>
      <c r="N4420">
        <v>0</v>
      </c>
      <c r="O4420">
        <v>-0.99367369999999899</v>
      </c>
      <c r="P4420">
        <v>-1.703474E-3</v>
      </c>
      <c r="Q4420">
        <v>4.6991209999999999E-4</v>
      </c>
      <c r="R4420">
        <v>-0.99999869999999902</v>
      </c>
      <c r="S4420">
        <v>0.23260500000000001</v>
      </c>
      <c r="T4420">
        <v>-0.25356689999999998</v>
      </c>
      <c r="U4420">
        <v>-3.0016479999999999</v>
      </c>
      <c r="V4420">
        <v>-0.10983369999999899</v>
      </c>
      <c r="W4420">
        <v>1.377283E-2</v>
      </c>
      <c r="X4420">
        <v>0.99385449999999997</v>
      </c>
      <c r="Y4420">
        <v>-0.18748799999999999</v>
      </c>
      <c r="Z4420">
        <v>8.2521449999999996E-2</v>
      </c>
      <c r="AA4420">
        <v>0.97879439999999995</v>
      </c>
      <c r="AB4420">
        <v>26</v>
      </c>
      <c r="AC4420">
        <v>1.0389000000000099</v>
      </c>
      <c r="AD4420">
        <v>-1.1104407470519999</v>
      </c>
      <c r="AE4420">
        <v>-12.9071</v>
      </c>
      <c r="AF4420">
        <v>-2.4510906871574498</v>
      </c>
      <c r="AG4420">
        <v>-1.1104407470519999</v>
      </c>
      <c r="AH4420">
        <v>12.618457946325</v>
      </c>
      <c r="AI4420">
        <v>94.9373321800783</v>
      </c>
      <c r="AJ4420">
        <v>100.99260960156499</v>
      </c>
      <c r="AK4420">
        <v>12.902186060995801</v>
      </c>
    </row>
    <row r="4421" spans="1:37" x14ac:dyDescent="0.2">
      <c r="A4421" t="str">
        <f>"20200111155940926"</f>
        <v>20200111155940926</v>
      </c>
      <c r="B4421" t="str">
        <f>"1578729580915054"</f>
        <v>1578729580915054</v>
      </c>
      <c r="C4421" t="s">
        <v>37</v>
      </c>
      <c r="D4421">
        <v>5.5600250000000004</v>
      </c>
      <c r="E4421">
        <v>0.47281849999999997</v>
      </c>
      <c r="F4421" t="s">
        <v>39</v>
      </c>
      <c r="G4421">
        <v>-418.12079999999997</v>
      </c>
      <c r="H4421" s="1">
        <v>-1.7098149999999999E-6</v>
      </c>
      <c r="I4421">
        <v>102.5431</v>
      </c>
      <c r="J4421">
        <v>-419.13619999999997</v>
      </c>
      <c r="K4421">
        <v>1.1097549999999901</v>
      </c>
      <c r="L4421">
        <v>115.26739999999999</v>
      </c>
      <c r="M4421">
        <v>-0.1037904</v>
      </c>
      <c r="N4421">
        <v>0</v>
      </c>
      <c r="O4421">
        <v>-0.99448719999999902</v>
      </c>
      <c r="P4421">
        <v>9.9081530000000003E-4</v>
      </c>
      <c r="Q4421">
        <v>-1.8261079999999999E-4</v>
      </c>
      <c r="R4421">
        <v>-0.99999979999999999</v>
      </c>
      <c r="S4421">
        <v>0.23059079999999901</v>
      </c>
      <c r="T4421">
        <v>-0.256891799999999</v>
      </c>
      <c r="U4421">
        <v>-3.0005189999999899</v>
      </c>
      <c r="V4421">
        <v>-0.1049732</v>
      </c>
      <c r="W4421">
        <v>1.3267910000000001E-2</v>
      </c>
      <c r="X4421">
        <v>0.99438660000000001</v>
      </c>
      <c r="Y4421">
        <v>-0.17943329999999999</v>
      </c>
      <c r="Z4421">
        <v>8.3796949999999995E-2</v>
      </c>
      <c r="AA4421">
        <v>0.98019469999999997</v>
      </c>
      <c r="AB4421">
        <v>26</v>
      </c>
      <c r="AC4421">
        <v>1.0153999999999901</v>
      </c>
      <c r="AD4421">
        <v>-1.1097567098150001</v>
      </c>
      <c r="AE4421">
        <v>-12.724299999999999</v>
      </c>
      <c r="AF4421">
        <v>-2.3132376842433402</v>
      </c>
      <c r="AG4421">
        <v>-1.1097567098150001</v>
      </c>
      <c r="AH4421">
        <v>12.4560148640088</v>
      </c>
      <c r="AI4421">
        <v>95.006119442884199</v>
      </c>
      <c r="AJ4421">
        <v>100.520685516962</v>
      </c>
      <c r="AK4421">
        <v>12.717505055284599</v>
      </c>
    </row>
    <row r="4422" spans="1:37" x14ac:dyDescent="0.2">
      <c r="A4422" t="str">
        <f>"20200111155940948"</f>
        <v>20200111155940948</v>
      </c>
      <c r="B4422" t="str">
        <f>"1578729580944335"</f>
        <v>1578729580944335</v>
      </c>
      <c r="C4422" t="s">
        <v>37</v>
      </c>
      <c r="D4422">
        <v>5.6414859999999996</v>
      </c>
      <c r="E4422">
        <v>0.49360419999999999</v>
      </c>
      <c r="F4422" t="s">
        <v>39</v>
      </c>
      <c r="G4422">
        <v>-418.18040000000002</v>
      </c>
      <c r="H4422" s="1">
        <v>-1.6444019999999999E-6</v>
      </c>
      <c r="I4422">
        <v>102.4271</v>
      </c>
      <c r="J4422">
        <v>-419.15449999999998</v>
      </c>
      <c r="K4422">
        <v>1.10903</v>
      </c>
      <c r="L4422">
        <v>115.0153</v>
      </c>
      <c r="M4422">
        <v>-9.7133280000000002E-2</v>
      </c>
      <c r="N4422">
        <v>0</v>
      </c>
      <c r="O4422">
        <v>-0.99516109999999902</v>
      </c>
      <c r="P4422">
        <v>2.0133779999999902E-3</v>
      </c>
      <c r="Q4422">
        <v>-2.290304E-3</v>
      </c>
      <c r="R4422">
        <v>-0.99999550000000004</v>
      </c>
      <c r="S4422">
        <v>0.2232971</v>
      </c>
      <c r="T4422">
        <v>-0.25925969999999998</v>
      </c>
      <c r="U4422">
        <v>-2.9997250000000002</v>
      </c>
      <c r="V4422">
        <v>-9.9284479999999994E-2</v>
      </c>
      <c r="W4422">
        <v>1.1313500000000001E-2</v>
      </c>
      <c r="X4422">
        <v>0.99499479999999996</v>
      </c>
      <c r="Y4422">
        <v>-0.17048759999999999</v>
      </c>
      <c r="Z4422">
        <v>8.4748699999999996E-2</v>
      </c>
      <c r="AA4422">
        <v>0.98170849999999898</v>
      </c>
      <c r="AB4422">
        <v>26</v>
      </c>
      <c r="AC4422">
        <v>0.97409999999996399</v>
      </c>
      <c r="AD4422">
        <v>-1.1090316444020001</v>
      </c>
      <c r="AE4422">
        <v>-12.588200000000001</v>
      </c>
      <c r="AF4422">
        <v>-2.1755744303512001</v>
      </c>
      <c r="AG4422">
        <v>-1.1090316444020001</v>
      </c>
      <c r="AH4422">
        <v>12.338833121690101</v>
      </c>
      <c r="AI4422">
        <v>95.058410812418501</v>
      </c>
      <c r="AJ4422">
        <v>99.999573248932094</v>
      </c>
      <c r="AK4422">
        <v>12.578150821770199</v>
      </c>
    </row>
    <row r="4423" spans="1:37" x14ac:dyDescent="0.2">
      <c r="A4423" t="str">
        <f>"20200111155940970"</f>
        <v>20200111155940970</v>
      </c>
      <c r="B4423" t="str">
        <f>"1578729580964830"</f>
        <v>1578729580964830</v>
      </c>
      <c r="C4423" t="s">
        <v>37</v>
      </c>
      <c r="D4423">
        <v>5.5623909999999999</v>
      </c>
      <c r="E4423">
        <v>0.49612040000000002</v>
      </c>
      <c r="F4423" t="s">
        <v>39</v>
      </c>
      <c r="G4423">
        <v>-418.90219999999999</v>
      </c>
      <c r="H4423" s="1">
        <v>-1.5272799999999901E-6</v>
      </c>
      <c r="I4423">
        <v>102.4502</v>
      </c>
      <c r="J4423">
        <v>-419.17239999999998</v>
      </c>
      <c r="K4423">
        <v>1.108379</v>
      </c>
      <c r="L4423">
        <v>114.76049999999999</v>
      </c>
      <c r="M4423">
        <v>-9.1269900000000001E-2</v>
      </c>
      <c r="N4423">
        <v>0</v>
      </c>
      <c r="O4423">
        <v>-0.99571749999999903</v>
      </c>
      <c r="P4423">
        <v>2.7125409999999902E-3</v>
      </c>
      <c r="Q4423">
        <v>-3.3855409999999902E-3</v>
      </c>
      <c r="R4423">
        <v>-0.9999905</v>
      </c>
      <c r="S4423">
        <v>6.0241699999999898E-2</v>
      </c>
      <c r="T4423">
        <v>-0.26472570000000001</v>
      </c>
      <c r="U4423">
        <v>-2.9992830000000001</v>
      </c>
      <c r="V4423">
        <v>-9.4087500000000004E-2</v>
      </c>
      <c r="W4423">
        <v>1.033509E-2</v>
      </c>
      <c r="X4423">
        <v>0.99551029999999996</v>
      </c>
      <c r="Y4423">
        <v>-0.1111811</v>
      </c>
      <c r="Z4423">
        <v>8.7089769999999997E-2</v>
      </c>
      <c r="AA4423">
        <v>0.98997679999999999</v>
      </c>
      <c r="AB4423">
        <v>26</v>
      </c>
      <c r="AC4423">
        <v>0.27019999999998801</v>
      </c>
      <c r="AD4423">
        <v>-1.10838052727999</v>
      </c>
      <c r="AE4423">
        <v>-12.3102999999999</v>
      </c>
      <c r="AF4423">
        <v>-1.3815590691966499</v>
      </c>
      <c r="AG4423">
        <v>-1.10838052727999</v>
      </c>
      <c r="AH4423">
        <v>12.1359102369544</v>
      </c>
      <c r="AI4423">
        <v>95.185077372429603</v>
      </c>
      <c r="AJ4423">
        <v>96.494625037783806</v>
      </c>
      <c r="AK4423">
        <v>12.2644824650022</v>
      </c>
    </row>
    <row r="4424" spans="1:37" x14ac:dyDescent="0.2">
      <c r="A4424" t="str">
        <f>"20200111155940994"</f>
        <v>20200111155940994</v>
      </c>
      <c r="B4424" t="str">
        <f>"1578729580984350"</f>
        <v>1578729580984350</v>
      </c>
      <c r="C4424" t="s">
        <v>37</v>
      </c>
      <c r="D4424">
        <v>5.5247320000000002</v>
      </c>
      <c r="E4424">
        <v>0.49727569999999999</v>
      </c>
      <c r="F4424" t="s">
        <v>39</v>
      </c>
      <c r="G4424">
        <v>-419.01569999999998</v>
      </c>
      <c r="H4424" s="1">
        <v>-2.1485019999999999E-6</v>
      </c>
      <c r="I4424">
        <v>103.807</v>
      </c>
      <c r="J4424">
        <v>-419.19009999999997</v>
      </c>
      <c r="K4424">
        <v>1.1077900000000001</v>
      </c>
      <c r="L4424">
        <v>114.5004</v>
      </c>
      <c r="M4424">
        <v>-8.6191160000000003E-2</v>
      </c>
      <c r="N4424">
        <v>0</v>
      </c>
      <c r="O4424">
        <v>-0.99617149999999999</v>
      </c>
      <c r="P4424">
        <v>3.231767E-3</v>
      </c>
      <c r="Q4424">
        <v>-2.7335900000000002E-3</v>
      </c>
      <c r="R4424">
        <v>-0.99999119999999997</v>
      </c>
      <c r="S4424">
        <v>4.2907710000000002E-2</v>
      </c>
      <c r="T4424">
        <v>-0.30345699999999998</v>
      </c>
      <c r="U4424">
        <v>-2.9988860000000002</v>
      </c>
      <c r="V4424">
        <v>-8.9516390000000001E-2</v>
      </c>
      <c r="W4424">
        <v>1.1072709999999999E-2</v>
      </c>
      <c r="X4424">
        <v>0.99592380000000003</v>
      </c>
      <c r="Y4424">
        <v>-0.1003718</v>
      </c>
      <c r="Z4424">
        <v>9.9855120000000006E-2</v>
      </c>
      <c r="AA4424">
        <v>0.98992649999999904</v>
      </c>
      <c r="AB4424">
        <v>25</v>
      </c>
      <c r="AC4424">
        <v>0.17439999999999101</v>
      </c>
      <c r="AD4424">
        <v>-1.1077921485019999</v>
      </c>
      <c r="AE4424">
        <v>-10.693399999999899</v>
      </c>
      <c r="AF4424">
        <v>-1.0838963761315199</v>
      </c>
      <c r="AG4424">
        <v>-1.1077921485019999</v>
      </c>
      <c r="AH4424">
        <v>10.525631762361501</v>
      </c>
      <c r="AI4424">
        <v>95.976720493774096</v>
      </c>
      <c r="AJ4424">
        <v>95.879414964137695</v>
      </c>
      <c r="AK4424">
        <v>10.6391239674753</v>
      </c>
    </row>
    <row r="4425" spans="1:37" x14ac:dyDescent="0.2">
      <c r="A4425" t="str">
        <f>"20200111155941015"</f>
        <v>20200111155941015</v>
      </c>
      <c r="B4425" t="str">
        <f>"1578729581004847"</f>
        <v>1578729581004847</v>
      </c>
      <c r="C4425" t="s">
        <v>37</v>
      </c>
      <c r="D4425">
        <v>5.5088029999999897</v>
      </c>
      <c r="E4425">
        <v>0.4990465</v>
      </c>
      <c r="F4425" t="s">
        <v>39</v>
      </c>
      <c r="G4425">
        <v>-419.0532</v>
      </c>
      <c r="H4425" s="1">
        <v>-1.669384E-6</v>
      </c>
      <c r="I4425">
        <v>102.8075</v>
      </c>
      <c r="J4425">
        <v>-419.20589999999999</v>
      </c>
      <c r="K4425">
        <v>1.1072679999999999</v>
      </c>
      <c r="L4425">
        <v>114.26090000000001</v>
      </c>
      <c r="M4425">
        <v>-8.2362420000000006E-2</v>
      </c>
      <c r="N4425">
        <v>0</v>
      </c>
      <c r="O4425">
        <v>-0.99649659999999995</v>
      </c>
      <c r="P4425">
        <v>3.7376429999999902E-3</v>
      </c>
      <c r="Q4425">
        <v>-1.6108299999999999E-3</v>
      </c>
      <c r="R4425">
        <v>-0.99999210000000005</v>
      </c>
      <c r="S4425">
        <v>3.5095210000000002E-2</v>
      </c>
      <c r="T4425">
        <v>-0.28414089999999997</v>
      </c>
      <c r="U4425">
        <v>-2.9991460000000001</v>
      </c>
      <c r="V4425">
        <v>-8.6185700000000004E-2</v>
      </c>
      <c r="W4425">
        <v>1.2255189999999999E-2</v>
      </c>
      <c r="X4425">
        <v>0.99620370000000003</v>
      </c>
      <c r="Y4425">
        <v>-9.3974249999999995E-2</v>
      </c>
      <c r="Z4425">
        <v>9.3626169999999995E-2</v>
      </c>
      <c r="AA4425">
        <v>0.9911624</v>
      </c>
      <c r="AB4425">
        <v>25</v>
      </c>
      <c r="AC4425">
        <v>0.15269999999998099</v>
      </c>
      <c r="AD4425">
        <v>-1.1072696693839901</v>
      </c>
      <c r="AE4425">
        <v>-11.4534</v>
      </c>
      <c r="AF4425">
        <v>-1.08546708520567</v>
      </c>
      <c r="AG4425">
        <v>-1.1072696693839901</v>
      </c>
      <c r="AH4425">
        <v>11.2963403479381</v>
      </c>
      <c r="AI4425">
        <v>95.572755129991407</v>
      </c>
      <c r="AJ4425">
        <v>95.488708681972895</v>
      </c>
      <c r="AK4425">
        <v>11.4022625022517</v>
      </c>
    </row>
    <row r="4426" spans="1:37" x14ac:dyDescent="0.2">
      <c r="A4426" t="str">
        <f>"20200111155941038"</f>
        <v>20200111155941038</v>
      </c>
      <c r="B4426" t="str">
        <f>"1578729581035103"</f>
        <v>1578729581035103</v>
      </c>
      <c r="C4426" t="s">
        <v>37</v>
      </c>
      <c r="D4426">
        <v>5.494707</v>
      </c>
      <c r="E4426">
        <v>0.50079289999999999</v>
      </c>
      <c r="F4426" t="s">
        <v>39</v>
      </c>
      <c r="G4426">
        <v>-419.11219999999997</v>
      </c>
      <c r="H4426" s="1">
        <v>-1.1233929999999999E-6</v>
      </c>
      <c r="I4426">
        <v>101.6746</v>
      </c>
      <c r="J4426">
        <v>-419.22239999999999</v>
      </c>
      <c r="K4426">
        <v>1.1066929999999999</v>
      </c>
      <c r="L4426">
        <v>114.0108</v>
      </c>
      <c r="M4426">
        <v>-7.9255190000000003E-2</v>
      </c>
      <c r="N4426">
        <v>0</v>
      </c>
      <c r="O4426">
        <v>-0.99674949999999995</v>
      </c>
      <c r="P4426">
        <v>4.3166089999999999E-3</v>
      </c>
      <c r="Q4426">
        <v>-1.3046780000000001E-3</v>
      </c>
      <c r="R4426">
        <v>-0.99998989999999999</v>
      </c>
      <c r="S4426">
        <v>2.233887E-2</v>
      </c>
      <c r="T4426">
        <v>-0.26387969999999999</v>
      </c>
      <c r="U4426">
        <v>-2.99951199999999</v>
      </c>
      <c r="V4426">
        <v>-8.3639370000000005E-2</v>
      </c>
      <c r="W4426">
        <v>1.2619460000000001E-2</v>
      </c>
      <c r="X4426">
        <v>0.99641619999999997</v>
      </c>
      <c r="Y4426">
        <v>-8.6656200000000003E-2</v>
      </c>
      <c r="Z4426">
        <v>8.7056560000000005E-2</v>
      </c>
      <c r="AA4426">
        <v>0.99242719999999995</v>
      </c>
      <c r="AB4426">
        <v>25</v>
      </c>
      <c r="AC4426">
        <v>0.11020000000002</v>
      </c>
      <c r="AD4426">
        <v>-1.1066941233930001</v>
      </c>
      <c r="AE4426">
        <v>-12.3362</v>
      </c>
      <c r="AF4426">
        <v>-1.0789803337175099</v>
      </c>
      <c r="AG4426">
        <v>-1.1066941233930001</v>
      </c>
      <c r="AH4426">
        <v>12.190549080272801</v>
      </c>
      <c r="AI4426">
        <v>95.167171069734096</v>
      </c>
      <c r="AJ4426">
        <v>95.058044499568794</v>
      </c>
      <c r="AK4426">
        <v>12.288142956600099</v>
      </c>
    </row>
    <row r="4427" spans="1:37" x14ac:dyDescent="0.2">
      <c r="A4427" t="str">
        <f>"20200111155941060"</f>
        <v>20200111155941060</v>
      </c>
      <c r="B4427" t="str">
        <f>"1578729581054622"</f>
        <v>1578729581054622</v>
      </c>
      <c r="C4427" t="s">
        <v>37</v>
      </c>
      <c r="D4427">
        <v>5.4981289999999996</v>
      </c>
      <c r="E4427">
        <v>0.50144769999999905</v>
      </c>
      <c r="F4427" t="s">
        <v>39</v>
      </c>
      <c r="G4427">
        <v>-419.17720000000003</v>
      </c>
      <c r="H4427" s="1">
        <v>-6.3887130000000001E-7</v>
      </c>
      <c r="I4427">
        <v>100.673999999999</v>
      </c>
      <c r="J4427">
        <v>-419.23919999999998</v>
      </c>
      <c r="K4427">
        <v>1.106052</v>
      </c>
      <c r="L4427">
        <v>113.7598</v>
      </c>
      <c r="M4427">
        <v>-7.7035259999999994E-2</v>
      </c>
      <c r="N4427">
        <v>0</v>
      </c>
      <c r="O4427">
        <v>-0.9969249</v>
      </c>
      <c r="P4427">
        <v>5.8404779999999996E-3</v>
      </c>
      <c r="Q4427">
        <v>-2.0735479999999902E-3</v>
      </c>
      <c r="R4427">
        <v>-0.99998099999999901</v>
      </c>
      <c r="S4427">
        <v>1.0162350000000001E-2</v>
      </c>
      <c r="T4427">
        <v>-0.24891540000000001</v>
      </c>
      <c r="U4427">
        <v>-2.9996800000000001</v>
      </c>
      <c r="V4427">
        <v>-8.2915020000000006E-2</v>
      </c>
      <c r="W4427">
        <v>1.191332E-2</v>
      </c>
      <c r="X4427">
        <v>0.99648539999999997</v>
      </c>
      <c r="Y4427">
        <v>-8.0408569999999999E-2</v>
      </c>
      <c r="Z4427">
        <v>8.2194000000000003E-2</v>
      </c>
      <c r="AA4427">
        <v>0.99336729999999995</v>
      </c>
      <c r="AB4427">
        <v>25</v>
      </c>
      <c r="AC4427">
        <v>6.1999999999954897E-2</v>
      </c>
      <c r="AD4427">
        <v>-1.1060526388712999</v>
      </c>
      <c r="AE4427">
        <v>-13.085800000000001</v>
      </c>
      <c r="AF4427">
        <v>-1.0623979624487001</v>
      </c>
      <c r="AG4427">
        <v>-1.1060526388712999</v>
      </c>
      <c r="AH4427">
        <v>12.9496170861199</v>
      </c>
      <c r="AI4427">
        <v>94.865630161911</v>
      </c>
      <c r="AJ4427">
        <v>94.6900923639122</v>
      </c>
      <c r="AK4427">
        <v>13.0401159714052</v>
      </c>
    </row>
    <row r="4428" spans="1:37" x14ac:dyDescent="0.2">
      <c r="A4428" t="str">
        <f>"20200111155941075"</f>
        <v>20200111155941075</v>
      </c>
      <c r="B4428" t="str">
        <f>"1578729581064382"</f>
        <v>1578729581064382</v>
      </c>
      <c r="C4428" t="s">
        <v>37</v>
      </c>
      <c r="D4428">
        <v>5.5181459999999998</v>
      </c>
      <c r="E4428">
        <v>0.50198729999999903</v>
      </c>
      <c r="F4428" t="s">
        <v>39</v>
      </c>
      <c r="G4428">
        <v>-419.2002</v>
      </c>
      <c r="H4428" s="1">
        <v>-5.0591469999999996E-7</v>
      </c>
      <c r="I4428">
        <v>100.4014</v>
      </c>
      <c r="J4428">
        <v>-419.25080000000003</v>
      </c>
      <c r="K4428">
        <v>1.105593</v>
      </c>
      <c r="L4428">
        <v>113.58920000000001</v>
      </c>
      <c r="M4428">
        <v>-7.6054129999999998E-2</v>
      </c>
      <c r="N4428">
        <v>0</v>
      </c>
      <c r="O4428">
        <v>-0.99700089999999997</v>
      </c>
      <c r="P4428">
        <v>7.0621919999999897E-3</v>
      </c>
      <c r="Q4428">
        <v>-2.2535469999999998E-3</v>
      </c>
      <c r="R4428">
        <v>-0.9999728</v>
      </c>
      <c r="S4428">
        <v>8.7585449999999995E-3</v>
      </c>
      <c r="T4428">
        <v>-0.24835109999999999</v>
      </c>
      <c r="U4428">
        <v>-2.9994809999999998</v>
      </c>
      <c r="V4428">
        <v>-8.3137520000000006E-2</v>
      </c>
      <c r="W4428">
        <v>1.1783149999999999E-2</v>
      </c>
      <c r="X4428">
        <v>0.99646840000000003</v>
      </c>
      <c r="Y4428">
        <v>-7.8962879999999999E-2</v>
      </c>
      <c r="Z4428">
        <v>8.2028489999999996E-2</v>
      </c>
      <c r="AA4428">
        <v>0.99349699999999996</v>
      </c>
      <c r="AB4428">
        <v>25</v>
      </c>
      <c r="AC4428">
        <v>5.0600000000031203E-2</v>
      </c>
      <c r="AD4428">
        <v>-1.1055935059147</v>
      </c>
      <c r="AE4428">
        <v>-13.187799999999999</v>
      </c>
      <c r="AF4428">
        <v>-1.04619012008686</v>
      </c>
      <c r="AG4428">
        <v>-1.1055935059147</v>
      </c>
      <c r="AH4428">
        <v>13.0540022316079</v>
      </c>
      <c r="AI4428">
        <v>94.825647117415102</v>
      </c>
      <c r="AJ4428">
        <v>94.582076399641096</v>
      </c>
      <c r="AK4428">
        <v>13.1424436476065</v>
      </c>
    </row>
    <row r="4429" spans="1:37" x14ac:dyDescent="0.2">
      <c r="A4429" t="str">
        <f>"20200111155941093"</f>
        <v>20200111155941093</v>
      </c>
      <c r="B4429" t="str">
        <f>"1578729581084881"</f>
        <v>1578729581084881</v>
      </c>
      <c r="C4429" t="s">
        <v>37</v>
      </c>
      <c r="D4429">
        <v>5.5193659999999998</v>
      </c>
      <c r="E4429">
        <v>0.50280779999999903</v>
      </c>
      <c r="F4429" t="s">
        <v>39</v>
      </c>
      <c r="G4429">
        <v>-419.21839999999997</v>
      </c>
      <c r="H4429" s="1">
        <v>-3.9481599999999998E-7</v>
      </c>
      <c r="I4429">
        <v>100.131</v>
      </c>
      <c r="J4429">
        <v>-419.26580000000001</v>
      </c>
      <c r="K4429">
        <v>1.105024</v>
      </c>
      <c r="L4429">
        <v>113.3764</v>
      </c>
      <c r="M4429">
        <v>-7.5361239999999996E-2</v>
      </c>
      <c r="N4429">
        <v>0</v>
      </c>
      <c r="O4429">
        <v>-0.997054</v>
      </c>
      <c r="P4429">
        <v>9.2396539999999999E-3</v>
      </c>
      <c r="Q4429">
        <v>-2.0470250000000001E-3</v>
      </c>
      <c r="R4429">
        <v>-0.99995540000000005</v>
      </c>
      <c r="S4429">
        <v>7.2326659999999996E-3</v>
      </c>
      <c r="T4429">
        <v>-0.24640789999999901</v>
      </c>
      <c r="U4429">
        <v>-2.9994809999999998</v>
      </c>
      <c r="V4429">
        <v>-8.4598259999999995E-2</v>
      </c>
      <c r="W4429">
        <v>1.2056839999999999E-2</v>
      </c>
      <c r="X4429">
        <v>0.99634219999999896</v>
      </c>
      <c r="Y4429">
        <v>-7.7764739999999999E-2</v>
      </c>
      <c r="Z4429">
        <v>8.1401349999999997E-2</v>
      </c>
      <c r="AA4429">
        <v>0.99364300000000005</v>
      </c>
      <c r="AB4429">
        <v>25</v>
      </c>
      <c r="AC4429">
        <v>4.7400000000038703E-2</v>
      </c>
      <c r="AD4429">
        <v>-1.1050243948159999</v>
      </c>
      <c r="AE4429">
        <v>-13.2454</v>
      </c>
      <c r="AF4429">
        <v>-1.0383300259503701</v>
      </c>
      <c r="AG4429">
        <v>-1.1050243948159999</v>
      </c>
      <c r="AH4429">
        <v>13.1128884058894</v>
      </c>
      <c r="AI4429">
        <v>94.801979772207304</v>
      </c>
      <c r="AJ4429">
        <v>94.527458182651998</v>
      </c>
      <c r="AK4429">
        <v>13.200267061739201</v>
      </c>
    </row>
    <row r="4430" spans="1:37" x14ac:dyDescent="0.2">
      <c r="A4430" t="str">
        <f>"20200111155941116"</f>
        <v>20200111155941116</v>
      </c>
      <c r="B4430" t="str">
        <f>"1578729581104398"</f>
        <v>1578729581104398</v>
      </c>
      <c r="C4430" t="s">
        <v>37</v>
      </c>
      <c r="D4430">
        <v>5.5309039999999996</v>
      </c>
      <c r="E4430">
        <v>0.50362439999999997</v>
      </c>
      <c r="F4430" t="s">
        <v>39</v>
      </c>
      <c r="G4430">
        <v>-419.23630000000003</v>
      </c>
      <c r="H4430" s="1">
        <v>-2.356138E-7</v>
      </c>
      <c r="I4430">
        <v>99.728880000000004</v>
      </c>
      <c r="J4430">
        <v>-419.28390000000002</v>
      </c>
      <c r="K4430">
        <v>1.1044069999999999</v>
      </c>
      <c r="L4430">
        <v>113.1298</v>
      </c>
      <c r="M4430">
        <v>-7.5315549999999995E-2</v>
      </c>
      <c r="N4430">
        <v>0</v>
      </c>
      <c r="O4430">
        <v>-0.997058</v>
      </c>
      <c r="P4430">
        <v>1.23585E-2</v>
      </c>
      <c r="Q4430">
        <v>-1.6397860000000001E-3</v>
      </c>
      <c r="R4430">
        <v>-0.99992230000000004</v>
      </c>
      <c r="S4430">
        <v>6.4697269999999998E-3</v>
      </c>
      <c r="T4430">
        <v>-0.24287439999999999</v>
      </c>
      <c r="U4430">
        <v>-2.999603</v>
      </c>
      <c r="V4430">
        <v>-8.7641250000000004E-2</v>
      </c>
      <c r="W4430">
        <v>1.254651E-2</v>
      </c>
      <c r="X4430">
        <v>0.99607309999999905</v>
      </c>
      <c r="Y4430">
        <v>-7.7466409999999999E-2</v>
      </c>
      <c r="Z4430">
        <v>8.0239850000000001E-2</v>
      </c>
      <c r="AA4430">
        <v>0.9937608</v>
      </c>
      <c r="AB4430">
        <v>25</v>
      </c>
      <c r="AC4430">
        <v>4.7599999999988499E-2</v>
      </c>
      <c r="AD4430">
        <v>-1.1044072356137999</v>
      </c>
      <c r="AE4430">
        <v>-13.400919999999999</v>
      </c>
      <c r="AF4430">
        <v>-1.0497352782920899</v>
      </c>
      <c r="AG4430">
        <v>-1.1044072356137999</v>
      </c>
      <c r="AH4430">
        <v>13.269143782993201</v>
      </c>
      <c r="AI4430">
        <v>94.743080899692401</v>
      </c>
      <c r="AJ4430">
        <v>94.523305856039499</v>
      </c>
      <c r="AK4430">
        <v>13.356340675136799</v>
      </c>
    </row>
    <row r="4431" spans="1:37" x14ac:dyDescent="0.2">
      <c r="A4431" t="str">
        <f>"20200111155941138"</f>
        <v>20200111155941138</v>
      </c>
      <c r="B4431" t="str">
        <f>"1578729581134655"</f>
        <v>1578729581134655</v>
      </c>
      <c r="C4431" t="s">
        <v>37</v>
      </c>
      <c r="D4431">
        <v>5.6594239999999996</v>
      </c>
      <c r="E4431">
        <v>0.50420949999999998</v>
      </c>
      <c r="F4431" t="s">
        <v>39</v>
      </c>
      <c r="G4431">
        <v>-419.24630000000002</v>
      </c>
      <c r="H4431" s="1">
        <v>-4.321627E-6</v>
      </c>
      <c r="I4431">
        <v>99.394940000000005</v>
      </c>
      <c r="J4431">
        <v>-419.3032</v>
      </c>
      <c r="K4431">
        <v>1.1038559999999999</v>
      </c>
      <c r="L4431">
        <v>112.8794</v>
      </c>
      <c r="M4431">
        <v>-7.6046009999999997E-2</v>
      </c>
      <c r="N4431">
        <v>0</v>
      </c>
      <c r="O4431">
        <v>-0.99700330000000004</v>
      </c>
      <c r="P4431">
        <v>1.4333419999999999E-2</v>
      </c>
      <c r="Q4431">
        <v>-6.4393589999999998E-4</v>
      </c>
      <c r="R4431">
        <v>-0.99989760000000005</v>
      </c>
      <c r="S4431">
        <v>8.2092290000000002E-3</v>
      </c>
      <c r="T4431">
        <v>-0.2412069</v>
      </c>
      <c r="U4431">
        <v>-2.99974099999999</v>
      </c>
      <c r="V4431">
        <v>-9.0319399999999994E-2</v>
      </c>
      <c r="W4431">
        <v>1.362502E-2</v>
      </c>
      <c r="X4431">
        <v>0.99581960000000003</v>
      </c>
      <c r="Y4431">
        <v>-7.8772980000000006E-2</v>
      </c>
      <c r="Z4431">
        <v>7.9678009999999994E-2</v>
      </c>
      <c r="AA4431">
        <v>0.99370329999999996</v>
      </c>
      <c r="AB4431">
        <v>25</v>
      </c>
      <c r="AC4431">
        <v>5.6899999999984602E-2</v>
      </c>
      <c r="AD4431">
        <v>-1.103860321627</v>
      </c>
      <c r="AE4431">
        <v>-13.48446</v>
      </c>
      <c r="AF4431">
        <v>-1.0750735751635101</v>
      </c>
      <c r="AG4431">
        <v>-1.103860321627</v>
      </c>
      <c r="AH4431">
        <v>13.351605898547399</v>
      </c>
      <c r="AI4431">
        <v>94.711071086113506</v>
      </c>
      <c r="AJ4431">
        <v>94.603534042079602</v>
      </c>
      <c r="AK4431">
        <v>13.4402258489879</v>
      </c>
    </row>
    <row r="4432" spans="1:37" x14ac:dyDescent="0.2">
      <c r="A4432" t="str">
        <f>"20200111155941161"</f>
        <v>20200111155941161</v>
      </c>
      <c r="B4432" t="str">
        <f>"1578729581155150"</f>
        <v>1578729581155150</v>
      </c>
      <c r="C4432" t="s">
        <v>37</v>
      </c>
      <c r="D4432">
        <v>5.5248019999999904</v>
      </c>
      <c r="E4432">
        <v>0.50503129999999996</v>
      </c>
      <c r="F4432" t="s">
        <v>39</v>
      </c>
      <c r="G4432">
        <v>-419.25979999999998</v>
      </c>
      <c r="H4432" s="1">
        <v>-4.06955499999999E-6</v>
      </c>
      <c r="I4432">
        <v>98.812939999999998</v>
      </c>
      <c r="J4432">
        <v>-419.32409999999999</v>
      </c>
      <c r="K4432">
        <v>1.1033679999999999</v>
      </c>
      <c r="L4432">
        <v>112.6211</v>
      </c>
      <c r="M4432">
        <v>-7.7553339999999998E-2</v>
      </c>
      <c r="N4432">
        <v>0</v>
      </c>
      <c r="O4432">
        <v>-0.99688759999999998</v>
      </c>
      <c r="P4432">
        <v>1.453488E-2</v>
      </c>
      <c r="Q4432">
        <v>3.0069660000000002E-4</v>
      </c>
      <c r="R4432">
        <v>-0.99989439999999996</v>
      </c>
      <c r="S4432">
        <v>9.2468259999999997E-3</v>
      </c>
      <c r="T4432">
        <v>-0.2354262</v>
      </c>
      <c r="U4432">
        <v>-3.0000309999999999</v>
      </c>
      <c r="V4432">
        <v>-9.2006470000000007E-2</v>
      </c>
      <c r="W4432">
        <v>1.4648690000000001E-2</v>
      </c>
      <c r="X4432">
        <v>0.99565059999999905</v>
      </c>
      <c r="Y4432">
        <v>-8.0623940000000005E-2</v>
      </c>
      <c r="Z4432">
        <v>7.7753370000000002E-2</v>
      </c>
      <c r="AA4432">
        <v>0.99370729999999996</v>
      </c>
      <c r="AB4432">
        <v>25</v>
      </c>
      <c r="AC4432">
        <v>6.4300000000002897E-2</v>
      </c>
      <c r="AD4432">
        <v>-1.103372069555</v>
      </c>
      <c r="AE4432">
        <v>-13.808160000000001</v>
      </c>
      <c r="AF4432">
        <v>-1.1278810956437599</v>
      </c>
      <c r="AG4432">
        <v>-1.103372069555</v>
      </c>
      <c r="AH4432">
        <v>13.6742665061801</v>
      </c>
      <c r="AI4432">
        <v>94.597637337181595</v>
      </c>
      <c r="AJ4432">
        <v>94.715197903250498</v>
      </c>
      <c r="AK4432">
        <v>13.764995828979499</v>
      </c>
    </row>
    <row r="4433" spans="1:37" x14ac:dyDescent="0.2">
      <c r="A4433" t="str">
        <f>"20200111155941175"</f>
        <v>20200111155941175</v>
      </c>
      <c r="B4433" t="str">
        <f>"1578729581164911"</f>
        <v>1578729581164911</v>
      </c>
      <c r="C4433" t="s">
        <v>37</v>
      </c>
      <c r="D4433">
        <v>5.5388570000000001</v>
      </c>
      <c r="E4433">
        <v>0.5055018</v>
      </c>
      <c r="F4433" t="s">
        <v>39</v>
      </c>
      <c r="G4433">
        <v>-419.3073</v>
      </c>
      <c r="H4433" s="1">
        <v>-3.8223459999999998E-6</v>
      </c>
      <c r="I4433">
        <v>98.256320000000002</v>
      </c>
      <c r="J4433">
        <v>-419.33819999999997</v>
      </c>
      <c r="K4433">
        <v>1.1030930000000001</v>
      </c>
      <c r="L4433">
        <v>112.4554</v>
      </c>
      <c r="M4433">
        <v>-7.8914650000000003E-2</v>
      </c>
      <c r="N4433">
        <v>0</v>
      </c>
      <c r="O4433">
        <v>-0.99678109999999998</v>
      </c>
      <c r="P4433">
        <v>1.3644379999999999E-2</v>
      </c>
      <c r="Q4433">
        <v>1.128467E-3</v>
      </c>
      <c r="R4433">
        <v>-0.99990679999999998</v>
      </c>
      <c r="S4433">
        <v>3.5095209999999998E-3</v>
      </c>
      <c r="T4433">
        <v>-0.23045669999999999</v>
      </c>
      <c r="U4433">
        <v>-3.0003199999999999</v>
      </c>
      <c r="V4433">
        <v>-9.246625E-2</v>
      </c>
      <c r="W4433">
        <v>1.552216E-2</v>
      </c>
      <c r="X4433">
        <v>0.9955948</v>
      </c>
      <c r="Y4433">
        <v>-8.008477E-2</v>
      </c>
      <c r="Z4433">
        <v>7.6104099999999994E-2</v>
      </c>
      <c r="AA4433">
        <v>0.9938785</v>
      </c>
      <c r="AB4433">
        <v>25</v>
      </c>
      <c r="AC4433">
        <v>3.0899999999974101E-2</v>
      </c>
      <c r="AD4433">
        <v>-1.10309682234599</v>
      </c>
      <c r="AE4433">
        <v>-14.199079999999899</v>
      </c>
      <c r="AF4433">
        <v>-1.14452342875816</v>
      </c>
      <c r="AG4433">
        <v>-1.10309682234599</v>
      </c>
      <c r="AH4433">
        <v>14.067448403341601</v>
      </c>
      <c r="AI4433">
        <v>94.468958579280098</v>
      </c>
      <c r="AJ4433">
        <v>94.651322686353595</v>
      </c>
      <c r="AK4433">
        <v>14.156972171305799</v>
      </c>
    </row>
    <row r="4434" spans="1:37" x14ac:dyDescent="0.2">
      <c r="A4434" t="str">
        <f>"20200111155941194"</f>
        <v>20200111155941194</v>
      </c>
      <c r="B4434" t="str">
        <f>"1578729581184430"</f>
        <v>1578729581184430</v>
      </c>
      <c r="C4434" t="s">
        <v>37</v>
      </c>
      <c r="D4434">
        <v>5.5741670000000001</v>
      </c>
      <c r="E4434">
        <v>0.50627909999999998</v>
      </c>
      <c r="F4434" t="s">
        <v>39</v>
      </c>
      <c r="G4434">
        <v>-419.34899999999999</v>
      </c>
      <c r="H4434" s="1">
        <v>-3.655502E-6</v>
      </c>
      <c r="I4434">
        <v>97.884649999999993</v>
      </c>
      <c r="J4434">
        <v>-419.35649999999998</v>
      </c>
      <c r="K4434">
        <v>1.1027830000000001</v>
      </c>
      <c r="L4434">
        <v>112.2482</v>
      </c>
      <c r="M4434">
        <v>-8.0930589999999997E-2</v>
      </c>
      <c r="N4434">
        <v>0</v>
      </c>
      <c r="O4434">
        <v>-0.99661959999999905</v>
      </c>
      <c r="P4434">
        <v>1.140507E-2</v>
      </c>
      <c r="Q4434">
        <v>2.9367870000000002E-3</v>
      </c>
      <c r="R4434">
        <v>-0.99993099999999902</v>
      </c>
      <c r="S4434">
        <v>-2.2277829999999901E-3</v>
      </c>
      <c r="T4434">
        <v>-0.22716069999999999</v>
      </c>
      <c r="U4434">
        <v>-3.0005649999999999</v>
      </c>
      <c r="V4434">
        <v>-9.2230809999999996E-2</v>
      </c>
      <c r="W4434">
        <v>1.738253E-2</v>
      </c>
      <c r="X4434">
        <v>0.99558590000000002</v>
      </c>
      <c r="Y4434">
        <v>-8.0200359999999998E-2</v>
      </c>
      <c r="Z4434">
        <v>7.4997220000000003E-2</v>
      </c>
      <c r="AA4434">
        <v>0.99395339999999999</v>
      </c>
      <c r="AB4434">
        <v>25</v>
      </c>
      <c r="AC4434">
        <v>7.4999999999931797E-3</v>
      </c>
      <c r="AD4434">
        <v>-1.1027866555020001</v>
      </c>
      <c r="AE4434">
        <v>-14.36355</v>
      </c>
      <c r="AF4434">
        <v>-1.1631854151890599</v>
      </c>
      <c r="AG4434">
        <v>-1.1027866555020001</v>
      </c>
      <c r="AH4434">
        <v>14.231924891914399</v>
      </c>
      <c r="AI4434">
        <v>94.416147634250194</v>
      </c>
      <c r="AJ4434">
        <v>94.672439740584394</v>
      </c>
      <c r="AK4434">
        <v>14.321900182823301</v>
      </c>
    </row>
    <row r="4435" spans="1:37" x14ac:dyDescent="0.2">
      <c r="A4435" t="str">
        <f>"20200111155941216"</f>
        <v>20200111155941216</v>
      </c>
      <c r="B4435" t="str">
        <f>"1578729581204926"</f>
        <v>1578729581204926</v>
      </c>
      <c r="C4435" t="s">
        <v>37</v>
      </c>
      <c r="D4435">
        <v>8.67881199999999</v>
      </c>
      <c r="E4435">
        <v>0.50621329999999998</v>
      </c>
      <c r="F4435" t="s">
        <v>39</v>
      </c>
      <c r="G4435">
        <v>-419.42720000000003</v>
      </c>
      <c r="H4435" s="1">
        <v>-3.335089E-6</v>
      </c>
      <c r="I4435">
        <v>97.170100000000005</v>
      </c>
      <c r="J4435">
        <v>-419.37950000000001</v>
      </c>
      <c r="K4435">
        <v>1.1024510000000001</v>
      </c>
      <c r="L4435">
        <v>112.0003</v>
      </c>
      <c r="M4435">
        <v>-8.3746940000000006E-2</v>
      </c>
      <c r="N4435">
        <v>0</v>
      </c>
      <c r="O4435">
        <v>-0.99638719999999903</v>
      </c>
      <c r="P4435">
        <v>5.8576829999999998E-3</v>
      </c>
      <c r="Q4435">
        <v>3.8333870000000002E-3</v>
      </c>
      <c r="R4435">
        <v>-0.99997569999999902</v>
      </c>
      <c r="S4435">
        <v>-1.4068600000000001E-2</v>
      </c>
      <c r="T4435">
        <v>-0.21948799999999999</v>
      </c>
      <c r="U4435">
        <v>-3.0009919999999899</v>
      </c>
      <c r="V4435">
        <v>-8.9501600000000001E-2</v>
      </c>
      <c r="W4435">
        <v>1.8326510000000001E-2</v>
      </c>
      <c r="X4435">
        <v>0.99581810000000004</v>
      </c>
      <c r="Y4435">
        <v>-7.9094899999999996E-2</v>
      </c>
      <c r="Z4435">
        <v>7.2444949999999994E-2</v>
      </c>
      <c r="AA4435">
        <v>0.99423119999999998</v>
      </c>
      <c r="AB4435">
        <v>25</v>
      </c>
      <c r="AC4435">
        <v>-4.7700000000020198E-2</v>
      </c>
      <c r="AD4435">
        <v>-1.1024543350889999</v>
      </c>
      <c r="AE4435">
        <v>-14.8301999999999</v>
      </c>
      <c r="AF4435">
        <v>-1.18800994314691</v>
      </c>
      <c r="AG4435">
        <v>-1.1024543350889999</v>
      </c>
      <c r="AH4435">
        <v>14.7008479577958</v>
      </c>
      <c r="AI4435">
        <v>94.274845769075</v>
      </c>
      <c r="AJ4435">
        <v>94.620166008364905</v>
      </c>
      <c r="AK4435">
        <v>14.789918994511201</v>
      </c>
    </row>
    <row r="4436" spans="1:37" x14ac:dyDescent="0.2">
      <c r="A4436" t="str">
        <f>"20200111155941239"</f>
        <v>20200111155941239</v>
      </c>
      <c r="B4436" t="str">
        <f>"1578729581235184"</f>
        <v>1578729581235184</v>
      </c>
      <c r="C4436" t="s">
        <v>37</v>
      </c>
      <c r="D4436">
        <v>5.5254699999999897</v>
      </c>
      <c r="E4436">
        <v>0.50212489999999999</v>
      </c>
      <c r="F4436" t="s">
        <v>39</v>
      </c>
      <c r="G4436">
        <v>-419.52820000000003</v>
      </c>
      <c r="H4436" s="1">
        <v>-3.0312739999999998E-6</v>
      </c>
      <c r="I4436">
        <v>96.50367</v>
      </c>
      <c r="J4436">
        <v>-419.404</v>
      </c>
      <c r="K4436">
        <v>1.1021559999999999</v>
      </c>
      <c r="L4436">
        <v>111.7483</v>
      </c>
      <c r="M4436">
        <v>-8.6960670000000004E-2</v>
      </c>
      <c r="N4436">
        <v>0</v>
      </c>
      <c r="O4436">
        <v>-0.996112</v>
      </c>
      <c r="P4436">
        <v>-1.4834869999999999E-3</v>
      </c>
      <c r="Q4436">
        <v>2.809874E-3</v>
      </c>
      <c r="R4436">
        <v>-0.99999490000000002</v>
      </c>
      <c r="S4436">
        <v>-2.8808589999999999E-2</v>
      </c>
      <c r="T4436">
        <v>-0.21349949999999901</v>
      </c>
      <c r="U4436">
        <v>-3.00105299999999</v>
      </c>
      <c r="V4436">
        <v>-8.5395470000000001E-2</v>
      </c>
      <c r="W4436">
        <v>1.7330559999999998E-2</v>
      </c>
      <c r="X4436">
        <v>0.99619639999999998</v>
      </c>
      <c r="Y4436">
        <v>-7.7426229999999999E-2</v>
      </c>
      <c r="Z4436">
        <v>7.0451189999999997E-2</v>
      </c>
      <c r="AA4436">
        <v>0.9945058</v>
      </c>
      <c r="AB4436">
        <v>25</v>
      </c>
      <c r="AC4436">
        <v>-0.12420000000002999</v>
      </c>
      <c r="AD4436">
        <v>-1.1021590312739999</v>
      </c>
      <c r="AE4436">
        <v>-15.244630000000001</v>
      </c>
      <c r="AF4436">
        <v>-1.1958353278710401</v>
      </c>
      <c r="AG4436">
        <v>-1.1021590312739999</v>
      </c>
      <c r="AH4436">
        <v>15.1186492057849</v>
      </c>
      <c r="AI4436">
        <v>94.156586058567399</v>
      </c>
      <c r="AJ4436">
        <v>94.522491683771705</v>
      </c>
      <c r="AK4436">
        <v>15.2058650023332</v>
      </c>
    </row>
    <row r="4437" spans="1:37" x14ac:dyDescent="0.2">
      <c r="A4437" t="str">
        <f>"20200111155941261"</f>
        <v>20200111155941261</v>
      </c>
      <c r="B4437" t="str">
        <f>"1578729581254710"</f>
        <v>1578729581254710</v>
      </c>
      <c r="C4437" t="s">
        <v>37</v>
      </c>
      <c r="D4437">
        <v>5.4906119999999996</v>
      </c>
      <c r="E4437">
        <v>0.50005949999999999</v>
      </c>
      <c r="F4437" t="s">
        <v>39</v>
      </c>
      <c r="G4437">
        <v>-419.49169999999998</v>
      </c>
      <c r="H4437" s="1">
        <v>-2.76424E-6</v>
      </c>
      <c r="I4437">
        <v>95.866109999999907</v>
      </c>
      <c r="J4437">
        <v>-419.43009999999998</v>
      </c>
      <c r="K4437">
        <v>1.1019190000000001</v>
      </c>
      <c r="L4437">
        <v>111.4933</v>
      </c>
      <c r="M4437">
        <v>-9.0507959999999998E-2</v>
      </c>
      <c r="N4437">
        <v>0</v>
      </c>
      <c r="O4437">
        <v>-0.99579629999999997</v>
      </c>
      <c r="P4437">
        <v>-1.009591E-2</v>
      </c>
      <c r="Q4437">
        <v>1.062297E-3</v>
      </c>
      <c r="R4437">
        <v>-0.99994859999999897</v>
      </c>
      <c r="S4437">
        <v>-1.6571039999999999E-2</v>
      </c>
      <c r="T4437">
        <v>-0.20822669999999999</v>
      </c>
      <c r="U4437">
        <v>-3.0005649999999999</v>
      </c>
      <c r="V4437">
        <v>-8.0363829999999997E-2</v>
      </c>
      <c r="W4437">
        <v>1.559082E-2</v>
      </c>
      <c r="X4437">
        <v>0.99664370000000002</v>
      </c>
      <c r="Y4437">
        <v>-8.5028359999999997E-2</v>
      </c>
      <c r="Z4437">
        <v>6.8677569999999993E-2</v>
      </c>
      <c r="AA4437">
        <v>0.99400880000000003</v>
      </c>
      <c r="AB4437">
        <v>25</v>
      </c>
      <c r="AC4437">
        <v>-6.1599999999998503E-2</v>
      </c>
      <c r="AD4437">
        <v>-1.1019217642400001</v>
      </c>
      <c r="AE4437">
        <v>-15.627190000000001</v>
      </c>
      <c r="AF4437">
        <v>-1.3464832886570199</v>
      </c>
      <c r="AG4437">
        <v>-1.1019217642400001</v>
      </c>
      <c r="AH4437">
        <v>15.491590418362501</v>
      </c>
      <c r="AI4437">
        <v>94.053383785591606</v>
      </c>
      <c r="AJ4437">
        <v>94.9674959440447</v>
      </c>
      <c r="AK4437">
        <v>15.588990426305401</v>
      </c>
    </row>
    <row r="4438" spans="1:37" x14ac:dyDescent="0.2">
      <c r="A4438" t="str">
        <f>"20200111155941283"</f>
        <v>20200111155941283</v>
      </c>
      <c r="B4438" t="str">
        <f>"1578729581274222"</f>
        <v>1578729581274222</v>
      </c>
      <c r="C4438" t="s">
        <v>37</v>
      </c>
      <c r="D4438">
        <v>5.533919</v>
      </c>
      <c r="E4438">
        <v>0.49769669999999999</v>
      </c>
      <c r="F4438" t="s">
        <v>39</v>
      </c>
      <c r="G4438">
        <v>-419.56139999999999</v>
      </c>
      <c r="H4438" s="1">
        <v>-2.6222859999999999E-6</v>
      </c>
      <c r="I4438">
        <v>95.564009999999996</v>
      </c>
      <c r="J4438">
        <v>-419.45650000000001</v>
      </c>
      <c r="K4438">
        <v>1.1017349999999999</v>
      </c>
      <c r="L4438">
        <v>111.2473</v>
      </c>
      <c r="M4438">
        <v>-9.4174919999999995E-2</v>
      </c>
      <c r="N4438">
        <v>0</v>
      </c>
      <c r="O4438">
        <v>-0.99545640000000002</v>
      </c>
      <c r="P4438">
        <v>-1.9428730000000002E-2</v>
      </c>
      <c r="Q4438">
        <v>-2.9012349999999998E-3</v>
      </c>
      <c r="R4438">
        <v>-0.99980709999999995</v>
      </c>
      <c r="S4438">
        <v>-2.471924E-2</v>
      </c>
      <c r="T4438">
        <v>-0.2075371</v>
      </c>
      <c r="U4438">
        <v>-3.0001370000000001</v>
      </c>
      <c r="V4438">
        <v>-7.4749330000000003E-2</v>
      </c>
      <c r="W4438">
        <v>1.16177E-2</v>
      </c>
      <c r="X4438">
        <v>0.99713469999999904</v>
      </c>
      <c r="Y4438">
        <v>-8.5997539999999997E-2</v>
      </c>
      <c r="Z4438">
        <v>6.8422250000000004E-2</v>
      </c>
      <c r="AA4438">
        <v>0.99394309999999997</v>
      </c>
      <c r="AB4438">
        <v>25</v>
      </c>
      <c r="AC4438">
        <v>-0.104899999999986</v>
      </c>
      <c r="AD4438">
        <v>-1.101737622286</v>
      </c>
      <c r="AE4438">
        <v>-15.68329</v>
      </c>
      <c r="AF4438">
        <v>-1.3659443064802299</v>
      </c>
      <c r="AG4438">
        <v>-1.101737622286</v>
      </c>
      <c r="AH4438">
        <v>15.5467355407584</v>
      </c>
      <c r="AI4438">
        <v>94.038051818020193</v>
      </c>
      <c r="AJ4438">
        <v>95.021143418804996</v>
      </c>
      <c r="AK4438">
        <v>15.6454662957371</v>
      </c>
    </row>
    <row r="4439" spans="1:37" x14ac:dyDescent="0.2">
      <c r="A4439" t="str">
        <f>"20200111155941305"</f>
        <v>20200111155941305</v>
      </c>
      <c r="B4439" t="str">
        <f>"1578729581294718"</f>
        <v>1578729581294718</v>
      </c>
      <c r="C4439" t="s">
        <v>37</v>
      </c>
      <c r="D4439">
        <v>5.5262079999999996</v>
      </c>
      <c r="E4439">
        <v>0.495366799999999</v>
      </c>
      <c r="F4439" t="s">
        <v>39</v>
      </c>
      <c r="G4439">
        <v>-419.6259</v>
      </c>
      <c r="H4439" s="1">
        <v>-2.73759E-6</v>
      </c>
      <c r="I4439">
        <v>95.859499999999997</v>
      </c>
      <c r="J4439">
        <v>-419.48379999999997</v>
      </c>
      <c r="K4439">
        <v>1.1015820000000001</v>
      </c>
      <c r="L4439">
        <v>111.00449999999999</v>
      </c>
      <c r="M4439">
        <v>-9.799571E-2</v>
      </c>
      <c r="N4439">
        <v>0</v>
      </c>
      <c r="O4439">
        <v>-0.99508750000000001</v>
      </c>
      <c r="P4439">
        <v>-3.0815579999999999E-2</v>
      </c>
      <c r="Q4439">
        <v>-9.0668509999999904E-3</v>
      </c>
      <c r="R4439">
        <v>-0.99948419999999905</v>
      </c>
      <c r="S4439">
        <v>-3.3020019999999997E-2</v>
      </c>
      <c r="T4439">
        <v>-0.21474550000000001</v>
      </c>
      <c r="U4439">
        <v>-2.9993129999999999</v>
      </c>
      <c r="V4439">
        <v>-6.7252179999999995E-2</v>
      </c>
      <c r="W4439">
        <v>5.42239099999999E-3</v>
      </c>
      <c r="X4439">
        <v>0.99772129999999903</v>
      </c>
      <c r="Y4439">
        <v>-8.7071190000000007E-2</v>
      </c>
      <c r="Z4439">
        <v>7.0762539999999999E-2</v>
      </c>
      <c r="AA4439">
        <v>0.99368570000000001</v>
      </c>
      <c r="AB4439">
        <v>25</v>
      </c>
      <c r="AC4439">
        <v>-0.14210000000002701</v>
      </c>
      <c r="AD4439">
        <v>-1.1015847375900001</v>
      </c>
      <c r="AE4439">
        <v>-15.1449999999999</v>
      </c>
      <c r="AF4439">
        <v>-1.3358093632866099</v>
      </c>
      <c r="AG4439">
        <v>-1.1015847375900001</v>
      </c>
      <c r="AH4439">
        <v>15.006631073032599</v>
      </c>
      <c r="AI4439">
        <v>94.181878214599493</v>
      </c>
      <c r="AJ4439">
        <v>95.086754415129406</v>
      </c>
      <c r="AK4439">
        <v>15.1061858770254</v>
      </c>
    </row>
    <row r="4440" spans="1:37" x14ac:dyDescent="0.2">
      <c r="A4440" t="str">
        <f>"20200111155941339"</f>
        <v>20200111155941339</v>
      </c>
      <c r="B4440" t="str">
        <f>"1578729581334735"</f>
        <v>1578729581334735</v>
      </c>
      <c r="C4440" t="s">
        <v>37</v>
      </c>
      <c r="D4440">
        <v>5.5600990000000001</v>
      </c>
      <c r="E4440">
        <v>0.49099979999999999</v>
      </c>
      <c r="F4440" t="s">
        <v>39</v>
      </c>
      <c r="G4440">
        <v>-419.71080000000001</v>
      </c>
      <c r="H4440" s="1">
        <v>-3.0291439999999999E-6</v>
      </c>
      <c r="I4440">
        <v>96.574169999999995</v>
      </c>
      <c r="J4440">
        <v>-419.52809999999999</v>
      </c>
      <c r="K4440">
        <v>1.1014349999999999</v>
      </c>
      <c r="L4440">
        <v>110.6305</v>
      </c>
      <c r="M4440">
        <v>-0.1041856</v>
      </c>
      <c r="N4440">
        <v>0</v>
      </c>
      <c r="O4440">
        <v>-0.99445859999999997</v>
      </c>
      <c r="P4440">
        <v>-4.4271530000000003E-2</v>
      </c>
      <c r="Q4440">
        <v>-1.3745449999999999E-2</v>
      </c>
      <c r="R4440">
        <v>-0.99892530000000002</v>
      </c>
      <c r="S4440">
        <v>-4.7149660000000003E-2</v>
      </c>
      <c r="T4440">
        <v>-0.22886319999999999</v>
      </c>
      <c r="U4440">
        <v>-2.9980159999999998</v>
      </c>
      <c r="V4440">
        <v>-6.0049440000000003E-2</v>
      </c>
      <c r="W4440">
        <v>7.1174309999999996E-4</v>
      </c>
      <c r="X4440">
        <v>0.99819519999999995</v>
      </c>
      <c r="Y4440">
        <v>-8.8587899999999997E-2</v>
      </c>
      <c r="Z4440">
        <v>7.5341870000000005E-2</v>
      </c>
      <c r="AA4440">
        <v>0.99321479999999995</v>
      </c>
      <c r="AB4440">
        <v>25</v>
      </c>
      <c r="AC4440">
        <v>-0.18270000000001099</v>
      </c>
      <c r="AD4440">
        <v>-1.101438029144</v>
      </c>
      <c r="AE4440">
        <v>-14.056330000000001</v>
      </c>
      <c r="AF4440">
        <v>-1.27507845092769</v>
      </c>
      <c r="AG4440">
        <v>-1.101438029144</v>
      </c>
      <c r="AH4440">
        <v>13.9134394556843</v>
      </c>
      <c r="AI4440">
        <v>94.507490655290397</v>
      </c>
      <c r="AJ4440">
        <v>95.236168602020996</v>
      </c>
      <c r="AK4440">
        <v>14.015091447259801</v>
      </c>
    </row>
    <row r="4441" spans="1:37" x14ac:dyDescent="0.2">
      <c r="A4441" t="str">
        <f>"20200111155941363"</f>
        <v>20200111155941363</v>
      </c>
      <c r="B4441" t="str">
        <f>"1578729581354254"</f>
        <v>1578729581354254</v>
      </c>
      <c r="C4441" t="s">
        <v>37</v>
      </c>
      <c r="D4441">
        <v>5.5444309999999897</v>
      </c>
      <c r="E4441">
        <v>0.48895549999999999</v>
      </c>
      <c r="F4441" t="s">
        <v>39</v>
      </c>
      <c r="G4441">
        <v>-419.77140000000003</v>
      </c>
      <c r="H4441" s="1">
        <v>-3.1097820000000002E-6</v>
      </c>
      <c r="I4441">
        <v>96.787210000000002</v>
      </c>
      <c r="J4441">
        <v>-419.56049999999999</v>
      </c>
      <c r="K4441">
        <v>1.10138799999999</v>
      </c>
      <c r="L4441">
        <v>110.36969999999999</v>
      </c>
      <c r="M4441">
        <v>-0.1086226</v>
      </c>
      <c r="N4441">
        <v>0</v>
      </c>
      <c r="O4441">
        <v>-0.99398369999999903</v>
      </c>
      <c r="P4441">
        <v>-5.2267590000000003E-2</v>
      </c>
      <c r="Q4441">
        <v>-1.283144E-2</v>
      </c>
      <c r="R4441">
        <v>-0.99855070000000001</v>
      </c>
      <c r="S4441">
        <v>-5.2673339999999999E-2</v>
      </c>
      <c r="T4441">
        <v>-0.2385033</v>
      </c>
      <c r="U4441">
        <v>-2.9976039999999999</v>
      </c>
      <c r="V4441">
        <v>-5.6507750000000002E-2</v>
      </c>
      <c r="W4441">
        <v>1.6058120000000001E-3</v>
      </c>
      <c r="X4441">
        <v>0.99840090000000004</v>
      </c>
      <c r="Y4441">
        <v>-9.1205159999999993E-2</v>
      </c>
      <c r="Z4441">
        <v>7.8439699999999904E-2</v>
      </c>
      <c r="AA4441">
        <v>0.99273809999999996</v>
      </c>
      <c r="AB4441">
        <v>25</v>
      </c>
      <c r="AC4441">
        <v>-0.210900000000037</v>
      </c>
      <c r="AD4441">
        <v>-1.10139110978199</v>
      </c>
      <c r="AE4441">
        <v>-13.5824899999999</v>
      </c>
      <c r="AF4441">
        <v>-1.2575920291163201</v>
      </c>
      <c r="AG4441">
        <v>-1.10139110978199</v>
      </c>
      <c r="AH4441">
        <v>13.4366873307722</v>
      </c>
      <c r="AI4441">
        <v>94.665698345042699</v>
      </c>
      <c r="AJ4441">
        <v>95.346959214831301</v>
      </c>
      <c r="AK4441">
        <v>13.5402794104604</v>
      </c>
    </row>
    <row r="4442" spans="1:37" x14ac:dyDescent="0.2">
      <c r="A4442" t="str">
        <f>"20200111155941383"</f>
        <v>20200111155941383</v>
      </c>
      <c r="B4442" t="str">
        <f>"1578729581374750"</f>
        <v>1578729581374750</v>
      </c>
      <c r="C4442" t="s">
        <v>37</v>
      </c>
      <c r="D4442">
        <v>5.2508999999999997</v>
      </c>
      <c r="E4442">
        <v>0.48670449999999998</v>
      </c>
      <c r="F4442" t="s">
        <v>39</v>
      </c>
      <c r="G4442">
        <v>-419.84539999999998</v>
      </c>
      <c r="H4442" s="1">
        <v>-2.857825E-6</v>
      </c>
      <c r="I4442">
        <v>96.230519999999999</v>
      </c>
      <c r="J4442">
        <v>-419.59100000000001</v>
      </c>
      <c r="K4442">
        <v>1.1013709999999901</v>
      </c>
      <c r="L4442">
        <v>110.13339999999999</v>
      </c>
      <c r="M4442">
        <v>-0.11272219999999999</v>
      </c>
      <c r="N4442">
        <v>0</v>
      </c>
      <c r="O4442">
        <v>-0.99352750000000001</v>
      </c>
      <c r="P4442">
        <v>-5.8636889999999997E-2</v>
      </c>
      <c r="Q4442">
        <v>-8.4152700000000007E-3</v>
      </c>
      <c r="R4442">
        <v>-0.99824419999999903</v>
      </c>
      <c r="S4442">
        <v>-6.0424800000000001E-2</v>
      </c>
      <c r="T4442">
        <v>-0.23355029999999899</v>
      </c>
      <c r="U4442">
        <v>-2.9982150000000001</v>
      </c>
      <c r="V4442">
        <v>-5.4229619999999999E-2</v>
      </c>
      <c r="W4442">
        <v>6.007938E-3</v>
      </c>
      <c r="X4442">
        <v>0.99851039999999902</v>
      </c>
      <c r="Y4442">
        <v>-9.2748399999999995E-2</v>
      </c>
      <c r="Z4442">
        <v>7.6744629999999994E-2</v>
      </c>
      <c r="AA4442">
        <v>0.99272759999999904</v>
      </c>
      <c r="AB4442">
        <v>25</v>
      </c>
      <c r="AC4442">
        <v>-0.25439999999997498</v>
      </c>
      <c r="AD4442">
        <v>-1.1013738578250001</v>
      </c>
      <c r="AE4442">
        <v>-13.9028799999999</v>
      </c>
      <c r="AF4442">
        <v>-1.30634375311989</v>
      </c>
      <c r="AG4442">
        <v>-1.1013738578250001</v>
      </c>
      <c r="AH4442">
        <v>13.756629288981999</v>
      </c>
      <c r="AI4442">
        <v>94.556998551467302</v>
      </c>
      <c r="AJ4442">
        <v>95.424599919394396</v>
      </c>
      <c r="AK4442">
        <v>13.8623377455064</v>
      </c>
    </row>
    <row r="4443" spans="1:37" x14ac:dyDescent="0.2">
      <c r="A4443" t="str">
        <f>"20200111155941429"</f>
        <v>20200111155941429</v>
      </c>
      <c r="B4443" t="str">
        <f>"1578729581424526"</f>
        <v>1578729581424526</v>
      </c>
      <c r="C4443" t="s">
        <v>37</v>
      </c>
      <c r="D4443">
        <v>5.3044099999999998</v>
      </c>
      <c r="E4443">
        <v>0.48362619999999901</v>
      </c>
      <c r="F4443" t="s">
        <v>39</v>
      </c>
      <c r="G4443">
        <v>-419.91090000000003</v>
      </c>
      <c r="H4443" s="1">
        <v>-2.207362E-6</v>
      </c>
      <c r="I4443">
        <v>94.741349999999997</v>
      </c>
      <c r="J4443">
        <v>-419.65859999999998</v>
      </c>
      <c r="K4443">
        <v>1.1013819999999901</v>
      </c>
      <c r="L4443">
        <v>109.6375</v>
      </c>
      <c r="M4443">
        <v>-0.1214963</v>
      </c>
      <c r="N4443">
        <v>0</v>
      </c>
      <c r="O4443">
        <v>-0.99249279999999995</v>
      </c>
      <c r="P4443">
        <v>-7.1211910000000003E-2</v>
      </c>
      <c r="Q4443">
        <v>-3.0054339999999999E-4</v>
      </c>
      <c r="R4443">
        <v>-0.9974615</v>
      </c>
      <c r="S4443">
        <v>-6.2347409999999999E-2</v>
      </c>
      <c r="T4443">
        <v>-0.21465039999999999</v>
      </c>
      <c r="U4443">
        <v>-2.9998019999999999</v>
      </c>
      <c r="V4443">
        <v>-5.0412319999999997E-2</v>
      </c>
      <c r="W4443">
        <v>1.4093710000000001E-2</v>
      </c>
      <c r="X4443">
        <v>0.99862899999999999</v>
      </c>
      <c r="Y4443">
        <v>-0.10090779999999901</v>
      </c>
      <c r="Z4443">
        <v>7.0390530000000007E-2</v>
      </c>
      <c r="AA4443">
        <v>0.99240260000000002</v>
      </c>
      <c r="AB4443">
        <v>25</v>
      </c>
      <c r="AC4443">
        <v>-0.25230000000004699</v>
      </c>
      <c r="AD4443">
        <v>-1.1013842073619999</v>
      </c>
      <c r="AE4443">
        <v>-14.89615</v>
      </c>
      <c r="AF4443">
        <v>-1.5510975220943599</v>
      </c>
      <c r="AG4443">
        <v>-1.1013842073619999</v>
      </c>
      <c r="AH4443">
        <v>14.735897899075599</v>
      </c>
      <c r="AI4443">
        <v>94.251030929160706</v>
      </c>
      <c r="AJ4443">
        <v>96.008815120492599</v>
      </c>
      <c r="AK4443">
        <v>14.8581841954949</v>
      </c>
    </row>
    <row r="4444" spans="1:37" x14ac:dyDescent="0.2">
      <c r="A4444" t="str">
        <f>"20200111155941450"</f>
        <v>20200111155941450</v>
      </c>
      <c r="B4444" t="str">
        <f>"1578729581445025"</f>
        <v>1578729581445025</v>
      </c>
      <c r="C4444" t="s">
        <v>37</v>
      </c>
      <c r="D4444">
        <v>5.489573</v>
      </c>
      <c r="E4444">
        <v>0.48165350000000001</v>
      </c>
      <c r="F4444" t="s">
        <v>39</v>
      </c>
      <c r="G4444">
        <v>-420.11869999999999</v>
      </c>
      <c r="H4444" s="1">
        <v>-8.1121280000000002E-7</v>
      </c>
      <c r="I4444">
        <v>91.406409999999994</v>
      </c>
      <c r="J4444">
        <v>-419.69389999999999</v>
      </c>
      <c r="K4444">
        <v>1.101397</v>
      </c>
      <c r="L4444">
        <v>109.3912</v>
      </c>
      <c r="M4444">
        <v>-0.12588969999999999</v>
      </c>
      <c r="N4444">
        <v>0</v>
      </c>
      <c r="O4444">
        <v>-0.99194499999999997</v>
      </c>
      <c r="P4444">
        <v>-7.7137490000000003E-2</v>
      </c>
      <c r="Q4444">
        <v>1.530706E-3</v>
      </c>
      <c r="R4444">
        <v>-0.99701949999999995</v>
      </c>
      <c r="S4444">
        <v>-7.5775149999999999E-2</v>
      </c>
      <c r="T4444">
        <v>-0.18137029999999901</v>
      </c>
      <c r="U4444">
        <v>-3.0021969999999998</v>
      </c>
      <c r="V4444">
        <v>-4.8886659999999998E-2</v>
      </c>
      <c r="W4444">
        <v>1.591074E-2</v>
      </c>
      <c r="X4444">
        <v>0.99867759999999905</v>
      </c>
      <c r="Y4444">
        <v>-0.1008753</v>
      </c>
      <c r="Z4444">
        <v>5.9420500000000001E-2</v>
      </c>
      <c r="AA4444">
        <v>0.99312309999999904</v>
      </c>
      <c r="AB4444">
        <v>25</v>
      </c>
      <c r="AC4444">
        <v>-0.42480000000000401</v>
      </c>
      <c r="AD4444">
        <v>-1.1013978112128</v>
      </c>
      <c r="AE4444">
        <v>-17.98479</v>
      </c>
      <c r="AF4444">
        <v>-1.8360210495393099</v>
      </c>
      <c r="AG4444">
        <v>-1.1013978112128</v>
      </c>
      <c r="AH4444">
        <v>17.828336207353701</v>
      </c>
      <c r="AI4444">
        <v>93.516570898633006</v>
      </c>
      <c r="AJ4444">
        <v>95.879781277243495</v>
      </c>
      <c r="AK4444">
        <v>17.956436794512801</v>
      </c>
    </row>
    <row r="4445" spans="1:37" x14ac:dyDescent="0.2">
      <c r="A4445" t="str">
        <f>"20200111155941473"</f>
        <v>20200111155941473</v>
      </c>
      <c r="B4445" t="str">
        <f>"1578729581464545"</f>
        <v>1578729581464545</v>
      </c>
      <c r="C4445" t="s">
        <v>37</v>
      </c>
      <c r="D4445">
        <v>5.3638729999999999</v>
      </c>
      <c r="E4445">
        <v>0.4792611</v>
      </c>
      <c r="F4445" t="s">
        <v>39</v>
      </c>
      <c r="G4445">
        <v>-420.1927</v>
      </c>
      <c r="H4445" s="1">
        <v>-2.880329E-7</v>
      </c>
      <c r="I4445">
        <v>90.140979999999999</v>
      </c>
      <c r="J4445">
        <v>-419.72980000000001</v>
      </c>
      <c r="K4445">
        <v>1.1014170000000001</v>
      </c>
      <c r="L4445">
        <v>109.1484</v>
      </c>
      <c r="M4445">
        <v>-0.1302257</v>
      </c>
      <c r="N4445">
        <v>0</v>
      </c>
      <c r="O4445">
        <v>-0.99138510000000002</v>
      </c>
      <c r="P4445">
        <v>-8.2212480000000004E-2</v>
      </c>
      <c r="Q4445">
        <v>2.399235E-3</v>
      </c>
      <c r="R4445">
        <v>-0.99661230000000001</v>
      </c>
      <c r="S4445">
        <v>-7.7819819999999998E-2</v>
      </c>
      <c r="T4445">
        <v>-0.17182839999999999</v>
      </c>
      <c r="U4445">
        <v>-3.0032199999999998</v>
      </c>
      <c r="V4445">
        <v>-4.8162620000000003E-2</v>
      </c>
      <c r="W4445">
        <v>1.6768450000000001E-2</v>
      </c>
      <c r="X4445">
        <v>0.9986988</v>
      </c>
      <c r="Y4445">
        <v>-0.1045528</v>
      </c>
      <c r="Z4445">
        <v>5.6226499999999999E-2</v>
      </c>
      <c r="AA4445">
        <v>0.99292860000000005</v>
      </c>
      <c r="AB4445">
        <v>25</v>
      </c>
      <c r="AC4445">
        <v>-0.46289999999998999</v>
      </c>
      <c r="AD4445">
        <v>-1.1014172880328901</v>
      </c>
      <c r="AE4445">
        <v>-19.00742</v>
      </c>
      <c r="AF4445">
        <v>-2.0097963656542901</v>
      </c>
      <c r="AG4445">
        <v>-1.1014172880328901</v>
      </c>
      <c r="AH4445">
        <v>18.842582853876799</v>
      </c>
      <c r="AI4445">
        <v>93.326512953837593</v>
      </c>
      <c r="AJ4445">
        <v>96.088290219255299</v>
      </c>
      <c r="AK4445">
        <v>18.9814469964486</v>
      </c>
    </row>
    <row r="4446" spans="1:37" x14ac:dyDescent="0.2">
      <c r="A4446" t="str">
        <f>"20200111155941494"</f>
        <v>20200111155941494</v>
      </c>
      <c r="B4446" t="str">
        <f>"1578729581485038"</f>
        <v>1578729581485038</v>
      </c>
      <c r="C4446" t="s">
        <v>37</v>
      </c>
      <c r="D4446">
        <v>5.6271199999999997</v>
      </c>
      <c r="E4446">
        <v>0.47761579999999898</v>
      </c>
      <c r="F4446" t="s">
        <v>39</v>
      </c>
      <c r="G4446">
        <v>-420.22379999999998</v>
      </c>
      <c r="H4446" s="1">
        <v>-4.1037699999999898E-6</v>
      </c>
      <c r="I4446">
        <v>89.016260000000003</v>
      </c>
      <c r="J4446">
        <v>-419.76670000000001</v>
      </c>
      <c r="K4446">
        <v>1.101448</v>
      </c>
      <c r="L4446">
        <v>108.9063</v>
      </c>
      <c r="M4446">
        <v>-0.13454059999999901</v>
      </c>
      <c r="N4446">
        <v>0</v>
      </c>
      <c r="O4446">
        <v>-0.99080879999999905</v>
      </c>
      <c r="P4446">
        <v>-8.6402569999999998E-2</v>
      </c>
      <c r="Q4446">
        <v>3.1760299999999998E-3</v>
      </c>
      <c r="R4446">
        <v>-0.99625540000000001</v>
      </c>
      <c r="S4446">
        <v>-7.3730470000000006E-2</v>
      </c>
      <c r="T4446">
        <v>-0.16437489999999999</v>
      </c>
      <c r="U4446">
        <v>-3.0045009999999999</v>
      </c>
      <c r="V4446">
        <v>-4.8305790000000001E-2</v>
      </c>
      <c r="W4446">
        <v>1.753938E-2</v>
      </c>
      <c r="X4446">
        <v>0.99867859999999997</v>
      </c>
      <c r="Y4446">
        <v>-0.110239</v>
      </c>
      <c r="Z4446">
        <v>5.3709010000000001E-2</v>
      </c>
      <c r="AA4446">
        <v>0.99245289999999997</v>
      </c>
      <c r="AB4446">
        <v>25</v>
      </c>
      <c r="AC4446">
        <v>-0.45709999999996798</v>
      </c>
      <c r="AD4446">
        <v>-1.10145210377</v>
      </c>
      <c r="AE4446">
        <v>-19.890039999999999</v>
      </c>
      <c r="AF4446">
        <v>-2.2165442332804202</v>
      </c>
      <c r="AG4446">
        <v>-1.10145210377</v>
      </c>
      <c r="AH4446">
        <v>19.710258236079401</v>
      </c>
      <c r="AI4446">
        <v>93.178492437792002</v>
      </c>
      <c r="AJ4446">
        <v>96.416318548990603</v>
      </c>
      <c r="AK4446">
        <v>19.8650583892403</v>
      </c>
    </row>
    <row r="4447" spans="1:37" x14ac:dyDescent="0.2">
      <c r="A4447" t="str">
        <f>"20200111155941517"</f>
        <v>20200111155941517</v>
      </c>
      <c r="B4447" t="str">
        <f>"1578729581514318"</f>
        <v>1578729581514318</v>
      </c>
      <c r="C4447" t="s">
        <v>37</v>
      </c>
      <c r="D4447">
        <v>5.6050300000000002</v>
      </c>
      <c r="E4447">
        <v>0.47866579999999898</v>
      </c>
      <c r="F4447" t="s">
        <v>39</v>
      </c>
      <c r="G4447">
        <v>-420.26650000000001</v>
      </c>
      <c r="H4447" s="1">
        <v>-3.8116660000000002E-6</v>
      </c>
      <c r="I4447">
        <v>88.308890000000005</v>
      </c>
      <c r="J4447">
        <v>-419.80489999999998</v>
      </c>
      <c r="K4447">
        <v>1.1014889999999999</v>
      </c>
      <c r="L4447">
        <v>108.6623</v>
      </c>
      <c r="M4447">
        <v>-0.1388664</v>
      </c>
      <c r="N4447">
        <v>0</v>
      </c>
      <c r="O4447">
        <v>-0.99021190000000003</v>
      </c>
      <c r="P4447">
        <v>-8.9296269999999997E-2</v>
      </c>
      <c r="Q4447">
        <v>3.809813E-3</v>
      </c>
      <c r="R4447">
        <v>-0.99599799999999905</v>
      </c>
      <c r="S4447">
        <v>-7.2937009999999997E-2</v>
      </c>
      <c r="T4447">
        <v>-0.16071859999999999</v>
      </c>
      <c r="U4447">
        <v>-3.0054780000000001</v>
      </c>
      <c r="V4447">
        <v>-4.9762849999999997E-2</v>
      </c>
      <c r="W4447">
        <v>1.8174429999999998E-2</v>
      </c>
      <c r="X4447">
        <v>0.99859569999999998</v>
      </c>
      <c r="Y4447">
        <v>-0.114846399999999</v>
      </c>
      <c r="Z4447">
        <v>5.2439199999999901E-2</v>
      </c>
      <c r="AA4447">
        <v>0.99199820000000005</v>
      </c>
      <c r="AB4447">
        <v>25</v>
      </c>
      <c r="AC4447">
        <v>-0.46160000000003198</v>
      </c>
      <c r="AD4447">
        <v>-1.1014928116660001</v>
      </c>
      <c r="AE4447">
        <v>-20.35341</v>
      </c>
      <c r="AF4447">
        <v>-2.3626396707746502</v>
      </c>
      <c r="AG4447">
        <v>-1.1014928116660001</v>
      </c>
      <c r="AH4447">
        <v>20.161258582537801</v>
      </c>
      <c r="AI4447">
        <v>93.105983871380303</v>
      </c>
      <c r="AJ4447">
        <v>96.683842187403897</v>
      </c>
      <c r="AK4447">
        <v>20.329085081725299</v>
      </c>
    </row>
    <row r="4448" spans="1:37" x14ac:dyDescent="0.2">
      <c r="A4448" t="str">
        <f>"20200111155941540"</f>
        <v>20200111155941540</v>
      </c>
      <c r="B4448" t="str">
        <f>"1578729581534814"</f>
        <v>1578729581534814</v>
      </c>
      <c r="C4448" t="s">
        <v>37</v>
      </c>
      <c r="D4448">
        <v>5.6610639999999997</v>
      </c>
      <c r="E4448">
        <v>0.48013509999999998</v>
      </c>
      <c r="F4448" t="s">
        <v>39</v>
      </c>
      <c r="G4448">
        <v>-420.42759999999998</v>
      </c>
      <c r="H4448" s="1">
        <v>-3.6849539999999999E-6</v>
      </c>
      <c r="I4448">
        <v>87.913600000000002</v>
      </c>
      <c r="J4448">
        <v>-419.84500000000003</v>
      </c>
      <c r="K4448">
        <v>1.1015469999999901</v>
      </c>
      <c r="L4448">
        <v>108.4128</v>
      </c>
      <c r="M4448">
        <v>-0.14324999999999999</v>
      </c>
      <c r="N4448">
        <v>0</v>
      </c>
      <c r="O4448">
        <v>-0.989587199999999</v>
      </c>
      <c r="P4448">
        <v>-9.2628829999999995E-2</v>
      </c>
      <c r="Q4448">
        <v>6.3026719999999996E-3</v>
      </c>
      <c r="R4448">
        <v>-0.99568109999999999</v>
      </c>
      <c r="S4448">
        <v>-9.017944E-2</v>
      </c>
      <c r="T4448">
        <v>-0.159503799999999</v>
      </c>
      <c r="U4448">
        <v>-3.004562</v>
      </c>
      <c r="V4448">
        <v>-5.0825549999999997E-2</v>
      </c>
      <c r="W4448">
        <v>2.0663529999999999E-2</v>
      </c>
      <c r="X4448">
        <v>0.99849370000000004</v>
      </c>
      <c r="Y4448">
        <v>-0.11354880000000001</v>
      </c>
      <c r="Z4448">
        <v>5.2010220000000003E-2</v>
      </c>
      <c r="AA4448">
        <v>0.992170199999999</v>
      </c>
      <c r="AB4448">
        <v>25</v>
      </c>
      <c r="AC4448">
        <v>-0.58259999999995604</v>
      </c>
      <c r="AD4448">
        <v>-1.10155068495399</v>
      </c>
      <c r="AE4448">
        <v>-20.499199999999998</v>
      </c>
      <c r="AF4448">
        <v>-2.3534187126715702</v>
      </c>
      <c r="AG4448">
        <v>-1.10155068495399</v>
      </c>
      <c r="AH4448">
        <v>20.312599014218801</v>
      </c>
      <c r="AI4448">
        <v>93.083518479859606</v>
      </c>
      <c r="AJ4448">
        <v>96.608825622939904</v>
      </c>
      <c r="AK4448">
        <v>20.478126678510399</v>
      </c>
    </row>
    <row r="4449" spans="1:37" x14ac:dyDescent="0.2">
      <c r="A4449" t="str">
        <f>"20200111155941563"</f>
        <v>20200111155941563</v>
      </c>
      <c r="B4449" t="str">
        <f>"1578729581554334"</f>
        <v>1578729581554334</v>
      </c>
      <c r="C4449" t="s">
        <v>37</v>
      </c>
      <c r="D4449">
        <v>5.6642809999999999</v>
      </c>
      <c r="E4449">
        <v>0.48118829999999901</v>
      </c>
      <c r="F4449" t="s">
        <v>39</v>
      </c>
      <c r="G4449">
        <v>-420.64870000000002</v>
      </c>
      <c r="H4449" s="1">
        <v>-3.273404E-6</v>
      </c>
      <c r="I4449">
        <v>86.817149999999998</v>
      </c>
      <c r="J4449">
        <v>-419.88580000000002</v>
      </c>
      <c r="K4449">
        <v>1.101612</v>
      </c>
      <c r="L4449">
        <v>108.1656</v>
      </c>
      <c r="M4449">
        <v>-0.1475359</v>
      </c>
      <c r="N4449">
        <v>0</v>
      </c>
      <c r="O4449">
        <v>-0.98895750000000004</v>
      </c>
      <c r="P4449">
        <v>-9.7508689999999995E-2</v>
      </c>
      <c r="Q4449">
        <v>1.0208419999999999E-2</v>
      </c>
      <c r="R4449">
        <v>-0.99518229999999996</v>
      </c>
      <c r="S4449">
        <v>-0.11178589999999999</v>
      </c>
      <c r="T4449">
        <v>-0.15320719999999999</v>
      </c>
      <c r="U4449">
        <v>-3.00360099999999</v>
      </c>
      <c r="V4449">
        <v>-5.0226449999999999E-2</v>
      </c>
      <c r="W4449">
        <v>2.4552560000000001E-2</v>
      </c>
      <c r="X4449">
        <v>0.99843599999999999</v>
      </c>
      <c r="Y4449">
        <v>-0.110710199999999</v>
      </c>
      <c r="Z4449">
        <v>4.9932659999999997E-2</v>
      </c>
      <c r="AA4449">
        <v>0.99259759999999997</v>
      </c>
      <c r="AB4449">
        <v>25</v>
      </c>
      <c r="AC4449">
        <v>-0.76290000000000102</v>
      </c>
      <c r="AD4449">
        <v>-1.1016152734039999</v>
      </c>
      <c r="AE4449">
        <v>-21.34845</v>
      </c>
      <c r="AF4449">
        <v>-2.3890688029288998</v>
      </c>
      <c r="AG4449">
        <v>-1.1016152734039999</v>
      </c>
      <c r="AH4449">
        <v>21.171046719181099</v>
      </c>
      <c r="AI4449">
        <v>92.959892412158297</v>
      </c>
      <c r="AJ4449">
        <v>96.438364861865296</v>
      </c>
      <c r="AK4449">
        <v>21.3338797489222</v>
      </c>
    </row>
    <row r="4450" spans="1:37" x14ac:dyDescent="0.2">
      <c r="A4450" t="str">
        <f>"20200111155941584"</f>
        <v>20200111155941584</v>
      </c>
      <c r="B4450" t="str">
        <f>"1578729581574830"</f>
        <v>1578729581574830</v>
      </c>
      <c r="C4450" t="s">
        <v>37</v>
      </c>
      <c r="D4450">
        <v>5.5907159999999996</v>
      </c>
      <c r="E4450">
        <v>0.48221789999999998</v>
      </c>
      <c r="F4450" t="s">
        <v>39</v>
      </c>
      <c r="G4450">
        <v>-420.90890000000002</v>
      </c>
      <c r="H4450" s="1">
        <v>-2.667626E-6</v>
      </c>
      <c r="I4450">
        <v>85.243679999999998</v>
      </c>
      <c r="J4450">
        <v>-419.92619999999999</v>
      </c>
      <c r="K4450">
        <v>1.101677</v>
      </c>
      <c r="L4450">
        <v>107.9272</v>
      </c>
      <c r="M4450">
        <v>-0.1515936</v>
      </c>
      <c r="N4450">
        <v>0</v>
      </c>
      <c r="O4450">
        <v>-0.98834390000000005</v>
      </c>
      <c r="P4450">
        <v>-0.1032119</v>
      </c>
      <c r="Q4450">
        <v>1.244791E-2</v>
      </c>
      <c r="R4450">
        <v>-0.99458179999999996</v>
      </c>
      <c r="S4450">
        <v>-0.13403319999999999</v>
      </c>
      <c r="T4450">
        <v>-0.144317</v>
      </c>
      <c r="U4450">
        <v>-3.0028839999999999</v>
      </c>
      <c r="V4450">
        <v>-4.8585389999999999E-2</v>
      </c>
      <c r="W4450">
        <v>2.6766749999999999E-2</v>
      </c>
      <c r="X4450">
        <v>0.99846029999999997</v>
      </c>
      <c r="Y4450">
        <v>-0.107432</v>
      </c>
      <c r="Z4450">
        <v>4.7010820000000002E-2</v>
      </c>
      <c r="AA4450">
        <v>0.99310039999999999</v>
      </c>
      <c r="AB4450">
        <v>25</v>
      </c>
      <c r="AC4450">
        <v>-0.982700000000022</v>
      </c>
      <c r="AD4450">
        <v>-1.1016796676259999</v>
      </c>
      <c r="AE4450">
        <v>-22.683520000000001</v>
      </c>
      <c r="AF4450">
        <v>-2.46187622269469</v>
      </c>
      <c r="AG4450">
        <v>-1.1016796676259999</v>
      </c>
      <c r="AH4450">
        <v>22.517284335159601</v>
      </c>
      <c r="AI4450">
        <v>92.784450861936904</v>
      </c>
      <c r="AJ4450">
        <v>96.239521210364103</v>
      </c>
      <c r="AK4450">
        <v>22.6782412558019</v>
      </c>
    </row>
    <row r="4451" spans="1:37" x14ac:dyDescent="0.2">
      <c r="A4451" t="str">
        <f>"20200111155941608"</f>
        <v>20200111155941608</v>
      </c>
      <c r="B4451" t="str">
        <f>"1578729581605087"</f>
        <v>1578729581605087</v>
      </c>
      <c r="C4451" t="s">
        <v>37</v>
      </c>
      <c r="D4451">
        <v>5.6362809999999897</v>
      </c>
      <c r="E4451">
        <v>0.48344510000000002</v>
      </c>
      <c r="F4451" t="s">
        <v>39</v>
      </c>
      <c r="G4451">
        <v>-421.18540000000002</v>
      </c>
      <c r="H4451" s="1">
        <v>-2.243002E-6</v>
      </c>
      <c r="I4451">
        <v>84.082409999999996</v>
      </c>
      <c r="J4451">
        <v>-419.96789999999999</v>
      </c>
      <c r="K4451">
        <v>1.101753</v>
      </c>
      <c r="L4451">
        <v>107.6863</v>
      </c>
      <c r="M4451">
        <v>-0.1555908</v>
      </c>
      <c r="N4451">
        <v>0</v>
      </c>
      <c r="O4451">
        <v>-0.98772280000000001</v>
      </c>
      <c r="P4451">
        <v>-0.1088281</v>
      </c>
      <c r="Q4451">
        <v>1.305042E-2</v>
      </c>
      <c r="R4451">
        <v>-0.99397530000000001</v>
      </c>
      <c r="S4451">
        <v>-0.15850829999999999</v>
      </c>
      <c r="T4451">
        <v>-0.13868129999999901</v>
      </c>
      <c r="U4451">
        <v>-3.001617</v>
      </c>
      <c r="V4451">
        <v>-4.6984409999999997E-2</v>
      </c>
      <c r="W4451">
        <v>2.7343030000000001E-2</v>
      </c>
      <c r="X4451">
        <v>0.99852129999999995</v>
      </c>
      <c r="Y4451">
        <v>-0.1033517</v>
      </c>
      <c r="Z4451">
        <v>4.5156269999999998E-2</v>
      </c>
      <c r="AA4451">
        <v>0.99361929999999998</v>
      </c>
      <c r="AB4451">
        <v>25</v>
      </c>
      <c r="AC4451">
        <v>-1.21750000000002</v>
      </c>
      <c r="AD4451">
        <v>-1.1017552430019999</v>
      </c>
      <c r="AE4451">
        <v>-23.60389</v>
      </c>
      <c r="AF4451">
        <v>-2.46488063778621</v>
      </c>
      <c r="AG4451">
        <v>-1.1017552430019999</v>
      </c>
      <c r="AH4451">
        <v>23.454859916862201</v>
      </c>
      <c r="AI4451">
        <v>92.674694913761996</v>
      </c>
      <c r="AJ4451">
        <v>95.999216023432993</v>
      </c>
      <c r="AK4451">
        <v>23.609742796007801</v>
      </c>
    </row>
    <row r="4452" spans="1:37" x14ac:dyDescent="0.2">
      <c r="A4452" t="str">
        <f>"20200111155941630"</f>
        <v>20200111155941630</v>
      </c>
      <c r="B4452" t="str">
        <f>"1578729581624607"</f>
        <v>1578729581624607</v>
      </c>
      <c r="C4452" t="s">
        <v>37</v>
      </c>
      <c r="D4452">
        <v>5.6707130000000001</v>
      </c>
      <c r="E4452">
        <v>0.48417969999999999</v>
      </c>
      <c r="F4452" t="s">
        <v>39</v>
      </c>
      <c r="G4452">
        <v>-421.4101</v>
      </c>
      <c r="H4452" s="1">
        <v>-2.356317E-6</v>
      </c>
      <c r="I4452">
        <v>84.207179999999994</v>
      </c>
      <c r="J4452">
        <v>-420.01280000000003</v>
      </c>
      <c r="K4452">
        <v>1.101844</v>
      </c>
      <c r="L4452">
        <v>107.43259999999999</v>
      </c>
      <c r="M4452">
        <v>-0.15968299999999999</v>
      </c>
      <c r="N4452">
        <v>0</v>
      </c>
      <c r="O4452">
        <v>-0.98706939999999999</v>
      </c>
      <c r="P4452">
        <v>-0.1146739</v>
      </c>
      <c r="Q4452">
        <v>1.293911E-2</v>
      </c>
      <c r="R4452">
        <v>-0.99331919999999996</v>
      </c>
      <c r="S4452">
        <v>-0.18426509999999999</v>
      </c>
      <c r="T4452">
        <v>-0.14076849999999999</v>
      </c>
      <c r="U4452">
        <v>-2.9998629999999999</v>
      </c>
      <c r="V4452">
        <v>-4.525473E-2</v>
      </c>
      <c r="W4452">
        <v>2.7202420000000001E-2</v>
      </c>
      <c r="X4452">
        <v>0.99860509999999902</v>
      </c>
      <c r="Y4452">
        <v>-9.8940799999999995E-2</v>
      </c>
      <c r="Z4452">
        <v>4.5814899999999999E-2</v>
      </c>
      <c r="AA4452">
        <v>0.99403809999999904</v>
      </c>
      <c r="AB4452">
        <v>24</v>
      </c>
      <c r="AC4452">
        <v>-1.39729999999997</v>
      </c>
      <c r="AD4452">
        <v>-1.101846356317</v>
      </c>
      <c r="AE4452">
        <v>-23.2254199999999</v>
      </c>
      <c r="AF4452">
        <v>-2.3244873976359002</v>
      </c>
      <c r="AG4452">
        <v>-1.101846356317</v>
      </c>
      <c r="AH4452">
        <v>23.098687247130599</v>
      </c>
      <c r="AI4452">
        <v>92.717331379107705</v>
      </c>
      <c r="AJ4452">
        <v>95.746493153316294</v>
      </c>
      <c r="AK4452">
        <v>23.241485744148299</v>
      </c>
    </row>
    <row r="4453" spans="1:37" x14ac:dyDescent="0.2">
      <c r="A4453" t="str">
        <f>"20200111155941652"</f>
        <v>20200111155941652</v>
      </c>
      <c r="B4453" t="str">
        <f>"1578729581645102"</f>
        <v>1578729581645102</v>
      </c>
      <c r="C4453" t="s">
        <v>37</v>
      </c>
      <c r="D4453">
        <v>5.7230850000000002</v>
      </c>
      <c r="E4453">
        <v>0.48461029999999999</v>
      </c>
      <c r="F4453" t="s">
        <v>39</v>
      </c>
      <c r="G4453">
        <v>-421.60890000000001</v>
      </c>
      <c r="H4453" s="1">
        <v>-2.49396099999999E-6</v>
      </c>
      <c r="I4453">
        <v>84.404719999999998</v>
      </c>
      <c r="J4453">
        <v>-420.05599999999998</v>
      </c>
      <c r="K4453">
        <v>1.101931</v>
      </c>
      <c r="L4453">
        <v>107.1934</v>
      </c>
      <c r="M4453">
        <v>-0.163445799999999</v>
      </c>
      <c r="N4453">
        <v>0</v>
      </c>
      <c r="O4453">
        <v>-0.98645349999999998</v>
      </c>
      <c r="P4453">
        <v>-0.121145499999999</v>
      </c>
      <c r="Q4453">
        <v>1.2978480000000001E-2</v>
      </c>
      <c r="R4453">
        <v>-0.9925503</v>
      </c>
      <c r="S4453">
        <v>-0.20779420000000001</v>
      </c>
      <c r="T4453">
        <v>-0.14345160000000001</v>
      </c>
      <c r="U4453">
        <v>-2.9980470000000001</v>
      </c>
      <c r="V4453">
        <v>-4.2558470000000001E-2</v>
      </c>
      <c r="W4453">
        <v>2.7209089999999998E-2</v>
      </c>
      <c r="X4453">
        <v>0.99872340000000004</v>
      </c>
      <c r="Y4453">
        <v>-9.493248E-2</v>
      </c>
      <c r="Z4453">
        <v>4.6667970000000003E-2</v>
      </c>
      <c r="AA4453">
        <v>0.99438919999999997</v>
      </c>
      <c r="AB4453">
        <v>24</v>
      </c>
      <c r="AC4453">
        <v>-1.5529000000000199</v>
      </c>
      <c r="AD4453">
        <v>-1.1019334939609999</v>
      </c>
      <c r="AE4453">
        <v>-22.788679999999999</v>
      </c>
      <c r="AF4453">
        <v>-2.1879720249292101</v>
      </c>
      <c r="AG4453">
        <v>-1.1019334939609999</v>
      </c>
      <c r="AH4453">
        <v>22.683212952969001</v>
      </c>
      <c r="AI4453">
        <v>92.768370944575807</v>
      </c>
      <c r="AJ4453">
        <v>95.509577804814697</v>
      </c>
      <c r="AK4453">
        <v>22.815118427847899</v>
      </c>
    </row>
    <row r="4454" spans="1:37" x14ac:dyDescent="0.2">
      <c r="A4454" t="str">
        <f>"20200111155941675"</f>
        <v>20200111155941675</v>
      </c>
      <c r="B4454" t="str">
        <f>"1578729581664623"</f>
        <v>1578729581664623</v>
      </c>
      <c r="C4454" t="s">
        <v>37</v>
      </c>
      <c r="D4454">
        <v>5.6060639999999999</v>
      </c>
      <c r="E4454">
        <v>0.48496800000000001</v>
      </c>
      <c r="F4454" t="s">
        <v>39</v>
      </c>
      <c r="G4454">
        <v>-421.77719999999999</v>
      </c>
      <c r="H4454" s="1">
        <v>-2.7026109999999998E-6</v>
      </c>
      <c r="I4454">
        <v>84.786699999999996</v>
      </c>
      <c r="J4454">
        <v>-420.09969999999998</v>
      </c>
      <c r="K4454">
        <v>1.1020179999999999</v>
      </c>
      <c r="L4454">
        <v>106.9562</v>
      </c>
      <c r="M4454">
        <v>-0.167075799999999</v>
      </c>
      <c r="N4454">
        <v>0</v>
      </c>
      <c r="O4454">
        <v>-0.98584509999999903</v>
      </c>
      <c r="P4454">
        <v>-0.12733810000000001</v>
      </c>
      <c r="Q4454">
        <v>1.4118179999999999E-2</v>
      </c>
      <c r="R4454">
        <v>-0.9917589</v>
      </c>
      <c r="S4454">
        <v>-0.2301636</v>
      </c>
      <c r="T4454">
        <v>-0.1473566</v>
      </c>
      <c r="U4454">
        <v>-2.996353</v>
      </c>
      <c r="V4454">
        <v>-3.9996419999999998E-2</v>
      </c>
      <c r="W4454">
        <v>2.8317309999999998E-2</v>
      </c>
      <c r="X4454">
        <v>0.99879850000000003</v>
      </c>
      <c r="Y4454">
        <v>-9.1177889999999998E-2</v>
      </c>
      <c r="Z4454">
        <v>4.7913579999999997E-2</v>
      </c>
      <c r="AA4454">
        <v>0.99468129999999999</v>
      </c>
      <c r="AB4454">
        <v>24</v>
      </c>
      <c r="AC4454">
        <v>-1.6775</v>
      </c>
      <c r="AD4454">
        <v>-1.102020702611</v>
      </c>
      <c r="AE4454">
        <v>-22.169499999999999</v>
      </c>
      <c r="AF4454">
        <v>-2.0454064704428898</v>
      </c>
      <c r="AG4454">
        <v>-1.102020702611</v>
      </c>
      <c r="AH4454">
        <v>22.083864510965999</v>
      </c>
      <c r="AI4454">
        <v>92.844627648688999</v>
      </c>
      <c r="AJ4454">
        <v>95.291635453441899</v>
      </c>
      <c r="AK4454">
        <v>22.205747206455701</v>
      </c>
    </row>
    <row r="4455" spans="1:37" x14ac:dyDescent="0.2">
      <c r="A4455" t="str">
        <f>"20200111155941695"</f>
        <v>20200111155941695</v>
      </c>
      <c r="B4455" t="str">
        <f>"1578729581685119"</f>
        <v>1578729581685119</v>
      </c>
      <c r="C4455" t="s">
        <v>37</v>
      </c>
      <c r="D4455">
        <v>5.6402760000000001</v>
      </c>
      <c r="E4455">
        <v>0.48529929999999899</v>
      </c>
      <c r="F4455" t="s">
        <v>39</v>
      </c>
      <c r="G4455">
        <v>-421.97519999999997</v>
      </c>
      <c r="H4455" s="1">
        <v>-2.7061259999999899E-6</v>
      </c>
      <c r="I4455">
        <v>84.672079999999994</v>
      </c>
      <c r="J4455">
        <v>-420.14280000000002</v>
      </c>
      <c r="K4455">
        <v>1.1020989999999999</v>
      </c>
      <c r="L4455">
        <v>106.726</v>
      </c>
      <c r="M4455">
        <v>-0.1704908</v>
      </c>
      <c r="N4455">
        <v>0</v>
      </c>
      <c r="O4455">
        <v>-0.98526049999999998</v>
      </c>
      <c r="P4455">
        <v>-0.13280449999999999</v>
      </c>
      <c r="Q4455">
        <v>1.50157E-2</v>
      </c>
      <c r="R4455">
        <v>-0.99102900000000005</v>
      </c>
      <c r="S4455">
        <v>-0.25204470000000001</v>
      </c>
      <c r="T4455">
        <v>-0.14809620000000001</v>
      </c>
      <c r="U4455">
        <v>-2.994675</v>
      </c>
      <c r="V4455">
        <v>-3.7946979999999998E-2</v>
      </c>
      <c r="W4455">
        <v>2.918861E-2</v>
      </c>
      <c r="X4455">
        <v>0.9988534</v>
      </c>
      <c r="Y4455">
        <v>-8.7365280000000003E-2</v>
      </c>
      <c r="Z4455">
        <v>4.813183E-2</v>
      </c>
      <c r="AA4455">
        <v>0.99501289999999998</v>
      </c>
      <c r="AB4455">
        <v>24</v>
      </c>
      <c r="AC4455">
        <v>-1.8323999999999401</v>
      </c>
      <c r="AD4455">
        <v>-1.1021017061259999</v>
      </c>
      <c r="AE4455">
        <v>-22.053919999999898</v>
      </c>
      <c r="AF4455">
        <v>-1.9499531248253399</v>
      </c>
      <c r="AG4455">
        <v>-1.1021017061259999</v>
      </c>
      <c r="AH4455">
        <v>21.988872442817801</v>
      </c>
      <c r="AI4455">
        <v>92.858116633800194</v>
      </c>
      <c r="AJ4455">
        <v>95.067681091486094</v>
      </c>
      <c r="AK4455">
        <v>22.102657230889101</v>
      </c>
    </row>
    <row r="4456" spans="1:37" x14ac:dyDescent="0.2">
      <c r="A4456" t="str">
        <f>"20200111155941719"</f>
        <v>20200111155941719</v>
      </c>
      <c r="B4456" t="str">
        <f>"1578729581714399"</f>
        <v>1578729581714399</v>
      </c>
      <c r="C4456" t="s">
        <v>37</v>
      </c>
      <c r="D4456">
        <v>5.5842450000000001</v>
      </c>
      <c r="E4456">
        <v>0.48563000000000001</v>
      </c>
      <c r="F4456" t="s">
        <v>39</v>
      </c>
      <c r="G4456">
        <v>-422.1497</v>
      </c>
      <c r="H4456" s="1">
        <v>-2.732443E-6</v>
      </c>
      <c r="I4456">
        <v>84.625200000000007</v>
      </c>
      <c r="J4456">
        <v>-420.18939999999998</v>
      </c>
      <c r="K4456">
        <v>1.1021860000000001</v>
      </c>
      <c r="L4456">
        <v>106.4813</v>
      </c>
      <c r="M4456">
        <v>-0.17399809999999999</v>
      </c>
      <c r="N4456">
        <v>0</v>
      </c>
      <c r="O4456">
        <v>-0.9846473</v>
      </c>
      <c r="P4456">
        <v>-0.13701150000000001</v>
      </c>
      <c r="Q4456">
        <v>1.5789149999999998E-2</v>
      </c>
      <c r="R4456">
        <v>-0.99044379999999999</v>
      </c>
      <c r="S4456">
        <v>-0.27178959999999902</v>
      </c>
      <c r="T4456">
        <v>-0.1492521</v>
      </c>
      <c r="U4456">
        <v>-2.99299599999999</v>
      </c>
      <c r="V4456">
        <v>-3.7262190000000001E-2</v>
      </c>
      <c r="W4456">
        <v>2.9940720000000001E-2</v>
      </c>
      <c r="X4456">
        <v>0.99885689999999905</v>
      </c>
      <c r="Y4456">
        <v>-8.4352899999999995E-2</v>
      </c>
      <c r="Z4456">
        <v>4.8480860000000001E-2</v>
      </c>
      <c r="AA4456">
        <v>0.99525580000000002</v>
      </c>
      <c r="AB4456">
        <v>24</v>
      </c>
      <c r="AC4456">
        <v>-1.9603000000000099</v>
      </c>
      <c r="AD4456">
        <v>-1.102188732443</v>
      </c>
      <c r="AE4456">
        <v>-21.856100000000001</v>
      </c>
      <c r="AF4456">
        <v>-1.86818468391722</v>
      </c>
      <c r="AG4456">
        <v>-1.102188732443</v>
      </c>
      <c r="AH4456">
        <v>21.808743493891001</v>
      </c>
      <c r="AI4456">
        <v>92.882661749874103</v>
      </c>
      <c r="AJ4456">
        <v>94.896129228625</v>
      </c>
      <c r="AK4456">
        <v>21.916346109638798</v>
      </c>
    </row>
    <row r="4457" spans="1:37" x14ac:dyDescent="0.2">
      <c r="A4457" t="str">
        <f>"20200111155941741"</f>
        <v>20200111155941741</v>
      </c>
      <c r="B4457" t="str">
        <f>"1578729581734894"</f>
        <v>1578729581734894</v>
      </c>
      <c r="C4457" t="s">
        <v>37</v>
      </c>
      <c r="D4457">
        <v>5.6278670000000002</v>
      </c>
      <c r="E4457">
        <v>0.48587079999999899</v>
      </c>
      <c r="F4457" t="s">
        <v>39</v>
      </c>
      <c r="G4457">
        <v>-422.2697</v>
      </c>
      <c r="H4457" s="1">
        <v>-2.862464E-6</v>
      </c>
      <c r="I4457">
        <v>84.853880000000004</v>
      </c>
      <c r="J4457">
        <v>-420.236999999999</v>
      </c>
      <c r="K4457">
        <v>1.1022809999999901</v>
      </c>
      <c r="L4457">
        <v>106.2353</v>
      </c>
      <c r="M4457">
        <v>-0.17739260000000001</v>
      </c>
      <c r="N4457">
        <v>0</v>
      </c>
      <c r="O4457">
        <v>-0.98404150000000001</v>
      </c>
      <c r="P4457">
        <v>-0.1398896</v>
      </c>
      <c r="Q4457">
        <v>1.6085660000000002E-2</v>
      </c>
      <c r="R4457">
        <v>-0.99003699999999994</v>
      </c>
      <c r="S4457">
        <v>-0.28775020000000001</v>
      </c>
      <c r="T4457">
        <v>-0.1524577</v>
      </c>
      <c r="U4457">
        <v>-2.9915620000000001</v>
      </c>
      <c r="V4457">
        <v>-3.7808639999999998E-2</v>
      </c>
      <c r="W4457">
        <v>3.022145E-2</v>
      </c>
      <c r="X4457">
        <v>0.99882789999999999</v>
      </c>
      <c r="Y4457">
        <v>-8.2487050000000006E-2</v>
      </c>
      <c r="Z4457">
        <v>4.9489070000000003E-2</v>
      </c>
      <c r="AA4457">
        <v>0.99536259999999999</v>
      </c>
      <c r="AB4457">
        <v>24</v>
      </c>
      <c r="AC4457">
        <v>-2.0327000000000299</v>
      </c>
      <c r="AD4457">
        <v>-1.1022838624639999</v>
      </c>
      <c r="AE4457">
        <v>-21.381419999999899</v>
      </c>
      <c r="AF4457">
        <v>-1.7881088364559401</v>
      </c>
      <c r="AG4457">
        <v>-1.1022838624639999</v>
      </c>
      <c r="AH4457">
        <v>21.346642949566199</v>
      </c>
      <c r="AI4457">
        <v>92.945678191951203</v>
      </c>
      <c r="AJ4457">
        <v>94.788222349682101</v>
      </c>
      <c r="AK4457">
        <v>21.449744244179801</v>
      </c>
    </row>
    <row r="4458" spans="1:37" x14ac:dyDescent="0.2">
      <c r="A4458" t="str">
        <f>"20200111155941764"</f>
        <v>20200111155941764</v>
      </c>
      <c r="B4458" t="str">
        <f>"1578729581754415"</f>
        <v>1578729581754415</v>
      </c>
      <c r="C4458" t="s">
        <v>37</v>
      </c>
      <c r="D4458">
        <v>5.6109099999999996</v>
      </c>
      <c r="E4458">
        <v>0.48600209999999999</v>
      </c>
      <c r="F4458" t="s">
        <v>39</v>
      </c>
      <c r="G4458">
        <v>-422.37909999999999</v>
      </c>
      <c r="H4458" s="1">
        <v>-2.857303E-6</v>
      </c>
      <c r="I4458">
        <v>84.773989999999998</v>
      </c>
      <c r="J4458">
        <v>-420.2833</v>
      </c>
      <c r="K4458">
        <v>1.102395</v>
      </c>
      <c r="L4458">
        <v>105.9991</v>
      </c>
      <c r="M4458">
        <v>-0.18051320000000001</v>
      </c>
      <c r="N4458">
        <v>0</v>
      </c>
      <c r="O4458">
        <v>-0.98347390000000001</v>
      </c>
      <c r="P4458">
        <v>-0.14207410000000001</v>
      </c>
      <c r="Q4458">
        <v>1.6709700000000001E-2</v>
      </c>
      <c r="R4458">
        <v>-0.98971500000000001</v>
      </c>
      <c r="S4458">
        <v>-0.29849239999999999</v>
      </c>
      <c r="T4458">
        <v>-0.1535984</v>
      </c>
      <c r="U4458">
        <v>-2.9905400000000002</v>
      </c>
      <c r="V4458">
        <v>-3.8775699999999899E-2</v>
      </c>
      <c r="W4458">
        <v>3.082961E-2</v>
      </c>
      <c r="X4458">
        <v>0.99877229999999995</v>
      </c>
      <c r="Y4458">
        <v>-8.2076330000000003E-2</v>
      </c>
      <c r="Z4458">
        <v>4.9824279999999999E-2</v>
      </c>
      <c r="AA4458">
        <v>0.99537989999999998</v>
      </c>
      <c r="AB4458">
        <v>24</v>
      </c>
      <c r="AC4458">
        <v>-2.0957999999999899</v>
      </c>
      <c r="AD4458">
        <v>-1.102397857303</v>
      </c>
      <c r="AE4458">
        <v>-21.225110000000001</v>
      </c>
      <c r="AF4458">
        <v>-1.7657025707460801</v>
      </c>
      <c r="AG4458">
        <v>-1.102397857303</v>
      </c>
      <c r="AH4458">
        <v>21.198092130624101</v>
      </c>
      <c r="AI4458">
        <v>92.966705683338702</v>
      </c>
      <c r="AJ4458">
        <v>94.761480589002403</v>
      </c>
      <c r="AK4458">
        <v>21.300049215496099</v>
      </c>
    </row>
    <row r="4459" spans="1:37" x14ac:dyDescent="0.2">
      <c r="A4459" t="str">
        <f>"20200111155941786"</f>
        <v>20200111155941786</v>
      </c>
      <c r="B4459" t="str">
        <f>"1578729581774911"</f>
        <v>1578729581774911</v>
      </c>
      <c r="C4459" t="s">
        <v>37</v>
      </c>
      <c r="D4459">
        <v>6.0447739999999897</v>
      </c>
      <c r="E4459">
        <v>0.48615969999999997</v>
      </c>
      <c r="F4459" t="s">
        <v>39</v>
      </c>
      <c r="G4459">
        <v>-422.46510000000001</v>
      </c>
      <c r="H4459" s="1">
        <v>-2.8506490000000002E-6</v>
      </c>
      <c r="I4459">
        <v>84.705119999999994</v>
      </c>
      <c r="J4459">
        <v>-420.32929999999999</v>
      </c>
      <c r="K4459">
        <v>1.102517</v>
      </c>
      <c r="L4459">
        <v>105.76779999999999</v>
      </c>
      <c r="M4459">
        <v>-0.18340809999999999</v>
      </c>
      <c r="N4459">
        <v>0</v>
      </c>
      <c r="O4459">
        <v>-0.98293829999999904</v>
      </c>
      <c r="P4459">
        <v>-0.1428576</v>
      </c>
      <c r="Q4459">
        <v>1.7108559999999998E-2</v>
      </c>
      <c r="R4459">
        <v>-0.98959549999999996</v>
      </c>
      <c r="S4459">
        <v>-0.30633539999999998</v>
      </c>
      <c r="T4459">
        <v>-0.1547838</v>
      </c>
      <c r="U4459">
        <v>-2.9898069999999999</v>
      </c>
      <c r="V4459">
        <v>-4.0931589999999997E-2</v>
      </c>
      <c r="W4459">
        <v>3.121662E-2</v>
      </c>
      <c r="X4459">
        <v>0.99867419999999996</v>
      </c>
      <c r="Y4459">
        <v>-8.2403749999999998E-2</v>
      </c>
      <c r="Z4459">
        <v>5.017162E-2</v>
      </c>
      <c r="AA4459">
        <v>0.99533530000000003</v>
      </c>
      <c r="AB4459">
        <v>24</v>
      </c>
      <c r="AC4459">
        <v>-2.1358000000000099</v>
      </c>
      <c r="AD4459">
        <v>-1.1025198506489999</v>
      </c>
      <c r="AE4459">
        <v>-21.06268</v>
      </c>
      <c r="AF4459">
        <v>-1.75910655669163</v>
      </c>
      <c r="AG4459">
        <v>-1.1025198506489999</v>
      </c>
      <c r="AH4459">
        <v>21.040019697553401</v>
      </c>
      <c r="AI4459">
        <v>92.989207041792199</v>
      </c>
      <c r="AJ4459">
        <v>94.779250003982696</v>
      </c>
      <c r="AK4459">
        <v>21.142195599613199</v>
      </c>
    </row>
    <row r="4460" spans="1:37" x14ac:dyDescent="0.2">
      <c r="A4460" t="str">
        <f>"20200111155941808"</f>
        <v>20200111155941808</v>
      </c>
      <c r="B4460" t="str">
        <f>"1578729581804190"</f>
        <v>1578729581804190</v>
      </c>
      <c r="C4460" t="s">
        <v>37</v>
      </c>
      <c r="D4460">
        <v>5.6028169999999999</v>
      </c>
      <c r="E4460">
        <v>0.48629049999999902</v>
      </c>
      <c r="F4460" t="s">
        <v>39</v>
      </c>
      <c r="G4460">
        <v>-422.55889999999999</v>
      </c>
      <c r="H4460" s="1">
        <v>-2.71249599999999E-6</v>
      </c>
      <c r="I4460">
        <v>84.324910000000003</v>
      </c>
      <c r="J4460">
        <v>-420.37689999999998</v>
      </c>
      <c r="K4460">
        <v>1.102646</v>
      </c>
      <c r="L4460">
        <v>105.53100000000001</v>
      </c>
      <c r="M4460">
        <v>-0.18617359999999999</v>
      </c>
      <c r="N4460">
        <v>0</v>
      </c>
      <c r="O4460">
        <v>-0.98241819999999902</v>
      </c>
      <c r="P4460">
        <v>-0.1431183</v>
      </c>
      <c r="Q4460">
        <v>1.7455999999999999E-2</v>
      </c>
      <c r="R4460">
        <v>-0.98955130000000002</v>
      </c>
      <c r="S4460">
        <v>-0.31082149999999997</v>
      </c>
      <c r="T4460">
        <v>-0.1537007</v>
      </c>
      <c r="U4460">
        <v>-2.9893190000000001</v>
      </c>
      <c r="V4460">
        <v>-4.3488220000000001E-2</v>
      </c>
      <c r="W4460">
        <v>3.1549769999999998E-2</v>
      </c>
      <c r="X4460">
        <v>0.99855569999999905</v>
      </c>
      <c r="Y4460">
        <v>-8.3711980000000005E-2</v>
      </c>
      <c r="Z4460">
        <v>4.9783229999999998E-2</v>
      </c>
      <c r="AA4460">
        <v>0.99524570000000001</v>
      </c>
      <c r="AB4460">
        <v>24</v>
      </c>
      <c r="AC4460">
        <v>-2.1820000000000102</v>
      </c>
      <c r="AD4460">
        <v>-1.1026487124959901</v>
      </c>
      <c r="AE4460">
        <v>-21.20609</v>
      </c>
      <c r="AF4460">
        <v>-1.7997376251222901</v>
      </c>
      <c r="AG4460">
        <v>-1.1026487124959901</v>
      </c>
      <c r="AH4460">
        <v>21.184861973247902</v>
      </c>
      <c r="AI4460">
        <v>92.968818789853202</v>
      </c>
      <c r="AJ4460">
        <v>94.855843150382299</v>
      </c>
      <c r="AK4460">
        <v>21.289745572176599</v>
      </c>
    </row>
    <row r="4461" spans="1:37" x14ac:dyDescent="0.2">
      <c r="A4461" t="str">
        <f>"20200111155941830"</f>
        <v>20200111155941830</v>
      </c>
      <c r="B4461" t="str">
        <f>"1578729581824686"</f>
        <v>1578729581824686</v>
      </c>
      <c r="C4461" t="s">
        <v>37</v>
      </c>
      <c r="D4461">
        <v>5.6285749999999997</v>
      </c>
      <c r="E4461">
        <v>0.48634769999999999</v>
      </c>
      <c r="F4461" t="s">
        <v>39</v>
      </c>
      <c r="G4461">
        <v>-422.5831</v>
      </c>
      <c r="H4461" s="1">
        <v>-2.7460699999999999E-6</v>
      </c>
      <c r="I4461">
        <v>84.388170000000002</v>
      </c>
      <c r="J4461">
        <v>-420.42610000000002</v>
      </c>
      <c r="K4461">
        <v>1.102787</v>
      </c>
      <c r="L4461">
        <v>105.289</v>
      </c>
      <c r="M4461">
        <v>-0.1888253</v>
      </c>
      <c r="N4461">
        <v>0</v>
      </c>
      <c r="O4461">
        <v>-0.98191260000000002</v>
      </c>
      <c r="P4461">
        <v>-0.1445128</v>
      </c>
      <c r="Q4461">
        <v>1.7647199999999998E-2</v>
      </c>
      <c r="R4461">
        <v>-0.98934580000000005</v>
      </c>
      <c r="S4461">
        <v>-0.31192019999999998</v>
      </c>
      <c r="T4461">
        <v>-0.15590000000000001</v>
      </c>
      <c r="U4461">
        <v>-2.9893190000000001</v>
      </c>
      <c r="V4461">
        <v>-4.4786390000000002E-2</v>
      </c>
      <c r="W4461">
        <v>3.1719440000000002E-2</v>
      </c>
      <c r="X4461">
        <v>0.99849290000000002</v>
      </c>
      <c r="Y4461">
        <v>-8.6043729999999999E-2</v>
      </c>
      <c r="Z4461">
        <v>5.0448350000000003E-2</v>
      </c>
      <c r="AA4461">
        <v>0.99501329999999999</v>
      </c>
      <c r="AB4461">
        <v>24</v>
      </c>
      <c r="AC4461">
        <v>-2.15699999999998</v>
      </c>
      <c r="AD4461">
        <v>-1.10278974607</v>
      </c>
      <c r="AE4461">
        <v>-20.900829999999999</v>
      </c>
      <c r="AF4461">
        <v>-1.8237724362655201</v>
      </c>
      <c r="AG4461">
        <v>-1.10278974607</v>
      </c>
      <c r="AH4461">
        <v>20.874599888620601</v>
      </c>
      <c r="AI4461">
        <v>93.012627778783795</v>
      </c>
      <c r="AJ4461">
        <v>94.993140004312593</v>
      </c>
      <c r="AK4461">
        <v>20.983117300184801</v>
      </c>
    </row>
    <row r="4462" spans="1:37" x14ac:dyDescent="0.2">
      <c r="A4462" t="str">
        <f>"20200111155941852"</f>
        <v>20200111155941852</v>
      </c>
      <c r="B4462" t="str">
        <f>"1578729581845182"</f>
        <v>1578729581845182</v>
      </c>
      <c r="C4462" t="s">
        <v>37</v>
      </c>
      <c r="D4462">
        <v>5.9352349999999996</v>
      </c>
      <c r="E4462">
        <v>0.48641679999999998</v>
      </c>
      <c r="F4462" t="s">
        <v>39</v>
      </c>
      <c r="G4462">
        <v>-422.640999999999</v>
      </c>
      <c r="H4462" s="1">
        <v>-2.7567819999999999E-6</v>
      </c>
      <c r="I4462">
        <v>84.37724</v>
      </c>
      <c r="J4462">
        <v>-420.47489999999999</v>
      </c>
      <c r="K4462">
        <v>1.102927</v>
      </c>
      <c r="L4462">
        <v>105.0508</v>
      </c>
      <c r="M4462">
        <v>-0.19123779999999899</v>
      </c>
      <c r="N4462">
        <v>0</v>
      </c>
      <c r="O4462">
        <v>-0.98144569999999998</v>
      </c>
      <c r="P4462">
        <v>-0.14611679999999999</v>
      </c>
      <c r="Q4462">
        <v>1.741409E-2</v>
      </c>
      <c r="R4462">
        <v>-0.9891143</v>
      </c>
      <c r="S4462">
        <v>-0.31655879999999997</v>
      </c>
      <c r="T4462">
        <v>-0.157618799999999</v>
      </c>
      <c r="U4462">
        <v>-2.988861</v>
      </c>
      <c r="V4462">
        <v>-4.5633760000000002E-2</v>
      </c>
      <c r="W4462">
        <v>3.1463980000000003E-2</v>
      </c>
      <c r="X4462">
        <v>0.99846259999999998</v>
      </c>
      <c r="Y4462">
        <v>-8.6951920000000002E-2</v>
      </c>
      <c r="Z4462">
        <v>5.0968079999999999E-2</v>
      </c>
      <c r="AA4462">
        <v>0.99490789999999996</v>
      </c>
      <c r="AB4462">
        <v>24</v>
      </c>
      <c r="AC4462">
        <v>-2.1660999999999699</v>
      </c>
      <c r="AD4462">
        <v>-1.102929756782</v>
      </c>
      <c r="AE4462">
        <v>-20.673559999999899</v>
      </c>
      <c r="AF4462">
        <v>-1.82270105045283</v>
      </c>
      <c r="AG4462">
        <v>-1.102929756782</v>
      </c>
      <c r="AH4462">
        <v>20.648078861158002</v>
      </c>
      <c r="AI4462">
        <v>93.045761860750403</v>
      </c>
      <c r="AJ4462">
        <v>95.044686132850302</v>
      </c>
      <c r="AK4462">
        <v>20.757693846483001</v>
      </c>
    </row>
    <row r="4463" spans="1:37" x14ac:dyDescent="0.2">
      <c r="A4463" t="str">
        <f>"20200111155941875"</f>
        <v>20200111155941875</v>
      </c>
      <c r="B4463" t="str">
        <f>"1578729581864702"</f>
        <v>1578729581864702</v>
      </c>
      <c r="C4463" t="s">
        <v>37</v>
      </c>
      <c r="D4463">
        <v>6.1666290000000004</v>
      </c>
      <c r="E4463">
        <v>0.48640029999999901</v>
      </c>
      <c r="F4463" t="s">
        <v>39</v>
      </c>
      <c r="G4463">
        <v>-422.73570000000001</v>
      </c>
      <c r="H4463" s="1">
        <v>-2.6405879999999998E-6</v>
      </c>
      <c r="I4463">
        <v>84.047619999999995</v>
      </c>
      <c r="J4463">
        <v>-420.52359999999999</v>
      </c>
      <c r="K4463">
        <v>1.1030789999999999</v>
      </c>
      <c r="L4463">
        <v>104.815</v>
      </c>
      <c r="M4463">
        <v>-0.193386</v>
      </c>
      <c r="N4463">
        <v>0</v>
      </c>
      <c r="O4463">
        <v>-0.98102469999999997</v>
      </c>
      <c r="P4463">
        <v>-0.14803769999999999</v>
      </c>
      <c r="Q4463">
        <v>1.620591E-2</v>
      </c>
      <c r="R4463">
        <v>-0.98884930000000004</v>
      </c>
      <c r="S4463">
        <v>-0.32165529999999998</v>
      </c>
      <c r="T4463">
        <v>-0.156920899999999</v>
      </c>
      <c r="U4463">
        <v>-2.988251</v>
      </c>
      <c r="V4463">
        <v>-4.590023E-2</v>
      </c>
      <c r="W4463">
        <v>3.0229079999999998E-2</v>
      </c>
      <c r="X4463">
        <v>0.9984885</v>
      </c>
      <c r="Y4463">
        <v>-8.7432510000000005E-2</v>
      </c>
      <c r="Z4463">
        <v>5.0714870000000002E-2</v>
      </c>
      <c r="AA4463">
        <v>0.99487859999999995</v>
      </c>
      <c r="AB4463">
        <v>24</v>
      </c>
      <c r="AC4463">
        <v>-2.2121000000000199</v>
      </c>
      <c r="AD4463">
        <v>-1.103081640588</v>
      </c>
      <c r="AE4463">
        <v>-20.767379999999999</v>
      </c>
      <c r="AF4463">
        <v>-1.8410375353020101</v>
      </c>
      <c r="AG4463">
        <v>-1.103081640588</v>
      </c>
      <c r="AH4463">
        <v>20.7452309366181</v>
      </c>
      <c r="AI4463">
        <v>93.031816558190201</v>
      </c>
      <c r="AJ4463">
        <v>95.071433683109206</v>
      </c>
      <c r="AK4463">
        <v>20.8559539442771</v>
      </c>
    </row>
    <row r="4464" spans="1:37" x14ac:dyDescent="0.2">
      <c r="A4464" t="str">
        <f>"20200111155941897"</f>
        <v>20200111155941897</v>
      </c>
      <c r="B4464" t="str">
        <f>"1578729581894958"</f>
        <v>1578729581894958</v>
      </c>
      <c r="C4464" t="s">
        <v>37</v>
      </c>
      <c r="D4464">
        <v>5.5729089999999903</v>
      </c>
      <c r="E4464">
        <v>0.4863845</v>
      </c>
      <c r="F4464" t="s">
        <v>39</v>
      </c>
      <c r="G4464">
        <v>-422.75229999999999</v>
      </c>
      <c r="H4464" s="1">
        <v>-2.8352499999999899E-6</v>
      </c>
      <c r="I4464">
        <v>84.491069999999993</v>
      </c>
      <c r="J4464">
        <v>-420.57190000000003</v>
      </c>
      <c r="K4464">
        <v>1.1032569999999999</v>
      </c>
      <c r="L4464">
        <v>104.58240000000001</v>
      </c>
      <c r="M4464">
        <v>-0.1952333</v>
      </c>
      <c r="N4464">
        <v>0</v>
      </c>
      <c r="O4464">
        <v>-0.98065869999999999</v>
      </c>
      <c r="P4464">
        <v>-0.14941989999999999</v>
      </c>
      <c r="Q4464">
        <v>1.5195770000000001E-2</v>
      </c>
      <c r="R4464">
        <v>-0.98865720000000001</v>
      </c>
      <c r="S4464">
        <v>-0.32760620000000001</v>
      </c>
      <c r="T4464">
        <v>-0.16214410000000001</v>
      </c>
      <c r="U4464">
        <v>-2.987457</v>
      </c>
      <c r="V4464">
        <v>-4.6404910000000001E-2</v>
      </c>
      <c r="W4464">
        <v>2.918956E-2</v>
      </c>
      <c r="X4464">
        <v>0.99849619999999994</v>
      </c>
      <c r="Y4464">
        <v>-8.7331590000000001E-2</v>
      </c>
      <c r="Z4464">
        <v>5.2377220000000002E-2</v>
      </c>
      <c r="AA4464">
        <v>0.99480139999999995</v>
      </c>
      <c r="AB4464">
        <v>24</v>
      </c>
      <c r="AC4464">
        <v>-2.1803999999999601</v>
      </c>
      <c r="AD4464">
        <v>-1.10325983525</v>
      </c>
      <c r="AE4464">
        <v>-20.091329999999999</v>
      </c>
      <c r="AF4464">
        <v>-1.77913788221822</v>
      </c>
      <c r="AG4464">
        <v>-1.10325983525</v>
      </c>
      <c r="AH4464">
        <v>20.070546296718302</v>
      </c>
      <c r="AI4464">
        <v>93.134066216443102</v>
      </c>
      <c r="AJ4464">
        <v>95.0656988494475</v>
      </c>
      <c r="AK4464">
        <v>20.179428696490199</v>
      </c>
    </row>
    <row r="4465" spans="1:37" x14ac:dyDescent="0.2">
      <c r="A4465" t="str">
        <f>"20200111155941920"</f>
        <v>20200111155941920</v>
      </c>
      <c r="B4465" t="str">
        <f>"1578729581914478"</f>
        <v>1578729581914478</v>
      </c>
      <c r="C4465" t="s">
        <v>37</v>
      </c>
      <c r="D4465">
        <v>5.6237019999999998</v>
      </c>
      <c r="E4465">
        <v>0.48647940000000001</v>
      </c>
      <c r="F4465" t="s">
        <v>39</v>
      </c>
      <c r="G4465">
        <v>-422.75009999999997</v>
      </c>
      <c r="H4465" s="1">
        <v>-3.034327E-6</v>
      </c>
      <c r="I4465">
        <v>84.956500000000005</v>
      </c>
      <c r="J4465">
        <v>-420.6216</v>
      </c>
      <c r="K4465">
        <v>1.1034809999999999</v>
      </c>
      <c r="L4465">
        <v>104.3432</v>
      </c>
      <c r="M4465">
        <v>-0.196813299999999</v>
      </c>
      <c r="N4465">
        <v>0</v>
      </c>
      <c r="O4465">
        <v>-0.98034310000000002</v>
      </c>
      <c r="P4465">
        <v>-0.15084110000000001</v>
      </c>
      <c r="Q4465">
        <v>1.629098E-2</v>
      </c>
      <c r="R4465">
        <v>-0.98842389999999902</v>
      </c>
      <c r="S4465">
        <v>-0.33151249999999999</v>
      </c>
      <c r="T4465">
        <v>-0.16790729999999901</v>
      </c>
      <c r="U4465">
        <v>-2.9869080000000001</v>
      </c>
      <c r="V4465">
        <v>-4.6587699999999899E-2</v>
      </c>
      <c r="W4465">
        <v>3.024719E-2</v>
      </c>
      <c r="X4465">
        <v>0.99845620000000002</v>
      </c>
      <c r="Y4465">
        <v>-8.7642629999999999E-2</v>
      </c>
      <c r="Z4465">
        <v>5.4212240000000002E-2</v>
      </c>
      <c r="AA4465">
        <v>0.9946758</v>
      </c>
      <c r="AB4465">
        <v>24</v>
      </c>
      <c r="AC4465">
        <v>-2.1284999999999701</v>
      </c>
      <c r="AD4465">
        <v>-1.103484034327</v>
      </c>
      <c r="AE4465">
        <v>-19.386699999999902</v>
      </c>
      <c r="AF4465">
        <v>-1.72354853177731</v>
      </c>
      <c r="AG4465">
        <v>-1.103484034327</v>
      </c>
      <c r="AH4465">
        <v>19.364408592713598</v>
      </c>
      <c r="AI4465">
        <v>93.248667174782895</v>
      </c>
      <c r="AJ4465">
        <v>95.086265105151895</v>
      </c>
      <c r="AK4465">
        <v>19.472252481440499</v>
      </c>
    </row>
    <row r="4466" spans="1:37" x14ac:dyDescent="0.2">
      <c r="A4466" t="str">
        <f>"20200111155941942"</f>
        <v>20200111155941942</v>
      </c>
      <c r="B4466" t="str">
        <f>"1578729581934990"</f>
        <v>1578729581934990</v>
      </c>
      <c r="C4466" t="s">
        <v>37</v>
      </c>
      <c r="D4466">
        <v>5.5957239999999997</v>
      </c>
      <c r="E4466">
        <v>0.4864734</v>
      </c>
      <c r="F4466" t="s">
        <v>39</v>
      </c>
      <c r="G4466">
        <v>-422.84300000000002</v>
      </c>
      <c r="H4466" s="1">
        <v>-2.9144789999999998E-6</v>
      </c>
      <c r="I4466">
        <v>84.619509999999906</v>
      </c>
      <c r="J4466">
        <v>-420.67059999999998</v>
      </c>
      <c r="K4466">
        <v>1.1037489999999901</v>
      </c>
      <c r="L4466">
        <v>104.1078</v>
      </c>
      <c r="M4466">
        <v>-0.19801060000000001</v>
      </c>
      <c r="N4466">
        <v>0</v>
      </c>
      <c r="O4466">
        <v>-0.98010209999999998</v>
      </c>
      <c r="P4466">
        <v>-0.15196609999999999</v>
      </c>
      <c r="Q4466">
        <v>1.6593670000000001E-2</v>
      </c>
      <c r="R4466">
        <v>-0.98824630000000002</v>
      </c>
      <c r="S4466">
        <v>-0.33636470000000002</v>
      </c>
      <c r="T4466">
        <v>-0.16709019999999999</v>
      </c>
      <c r="U4466">
        <v>-2.9865719999999998</v>
      </c>
      <c r="V4466">
        <v>-4.6688729999999998E-2</v>
      </c>
      <c r="W4466">
        <v>3.0510289999999999E-2</v>
      </c>
      <c r="X4466">
        <v>0.99844339999999998</v>
      </c>
      <c r="Y4466">
        <v>-8.7249350000000003E-2</v>
      </c>
      <c r="Z4466">
        <v>5.3931430000000002E-2</v>
      </c>
      <c r="AA4466">
        <v>0.99472559999999999</v>
      </c>
      <c r="AB4466">
        <v>24</v>
      </c>
      <c r="AC4466">
        <v>-2.1724000000000299</v>
      </c>
      <c r="AD4466">
        <v>-1.10375191447899</v>
      </c>
      <c r="AE4466">
        <v>-19.488289999999999</v>
      </c>
      <c r="AF4466">
        <v>-1.72441644734792</v>
      </c>
      <c r="AG4466">
        <v>-1.10375191447899</v>
      </c>
      <c r="AH4466">
        <v>19.470853889156299</v>
      </c>
      <c r="AI4466">
        <v>93.231852998384397</v>
      </c>
      <c r="AJ4466">
        <v>95.0611377470278</v>
      </c>
      <c r="AK4466">
        <v>19.578202970279801</v>
      </c>
    </row>
    <row r="4467" spans="1:37" x14ac:dyDescent="0.2">
      <c r="A4467" t="str">
        <f>"20200111155941964"</f>
        <v>20200111155941964</v>
      </c>
      <c r="B4467" t="str">
        <f>"1578729581954494"</f>
        <v>1578729581954494</v>
      </c>
      <c r="C4467" t="s">
        <v>37</v>
      </c>
      <c r="D4467">
        <v>5.6096209999999997</v>
      </c>
      <c r="E4467">
        <v>0.48641769999999901</v>
      </c>
      <c r="F4467" t="s">
        <v>39</v>
      </c>
      <c r="G4467">
        <v>-422.90339999999998</v>
      </c>
      <c r="H4467" s="1">
        <v>-2.8796439999999999E-6</v>
      </c>
      <c r="I4467">
        <v>84.500889999999998</v>
      </c>
      <c r="J4467">
        <v>-420.71820000000002</v>
      </c>
      <c r="K4467">
        <v>1.1040379999999901</v>
      </c>
      <c r="L4467">
        <v>103.87799999999901</v>
      </c>
      <c r="M4467">
        <v>-0.1987999</v>
      </c>
      <c r="N4467">
        <v>0</v>
      </c>
      <c r="O4467">
        <v>-0.97994230000000004</v>
      </c>
      <c r="P4467">
        <v>-0.15318879999999899</v>
      </c>
      <c r="Q4467">
        <v>1.5795920000000001E-2</v>
      </c>
      <c r="R4467">
        <v>-0.98807049999999996</v>
      </c>
      <c r="S4467">
        <v>-0.34005740000000001</v>
      </c>
      <c r="T4467">
        <v>-0.16810600000000001</v>
      </c>
      <c r="U4467">
        <v>-2.9862060000000001</v>
      </c>
      <c r="V4467">
        <v>-4.6281889999999999E-2</v>
      </c>
      <c r="W4467">
        <v>2.9671909999999999E-2</v>
      </c>
      <c r="X4467">
        <v>0.99848769999999998</v>
      </c>
      <c r="Y4467">
        <v>-8.6825680000000002E-2</v>
      </c>
      <c r="Z4467">
        <v>5.4248900000000003E-2</v>
      </c>
      <c r="AA4467">
        <v>0.9947454</v>
      </c>
      <c r="AB4467">
        <v>24</v>
      </c>
      <c r="AC4467">
        <v>-2.1851999999999498</v>
      </c>
      <c r="AD4467">
        <v>-1.10404087964399</v>
      </c>
      <c r="AE4467">
        <v>-19.377109999999899</v>
      </c>
      <c r="AF4467">
        <v>-1.7054945443463301</v>
      </c>
      <c r="AG4467">
        <v>-1.10404087964399</v>
      </c>
      <c r="AH4467">
        <v>19.362660942029301</v>
      </c>
      <c r="AI4467">
        <v>93.250859187674394</v>
      </c>
      <c r="AJ4467">
        <v>95.033714096960296</v>
      </c>
      <c r="AK4467">
        <v>19.4689562293593</v>
      </c>
    </row>
    <row r="4468" spans="1:37" x14ac:dyDescent="0.2">
      <c r="A4468" t="str">
        <f>"20200111155941987"</f>
        <v>20200111155941987</v>
      </c>
      <c r="B4468" t="str">
        <f>"1578729581984750"</f>
        <v>1578729581984750</v>
      </c>
      <c r="C4468" t="s">
        <v>37</v>
      </c>
      <c r="D4468">
        <v>5.5933519999999897</v>
      </c>
      <c r="E4468">
        <v>0.48631849999999999</v>
      </c>
      <c r="F4468" t="s">
        <v>39</v>
      </c>
      <c r="G4468">
        <v>-422.90980000000002</v>
      </c>
      <c r="H4468" s="1">
        <v>-3.0078609999999899E-6</v>
      </c>
      <c r="I4468">
        <v>84.795760000000001</v>
      </c>
      <c r="J4468">
        <v>-420.765999999999</v>
      </c>
      <c r="K4468">
        <v>1.104325</v>
      </c>
      <c r="L4468">
        <v>103.6456</v>
      </c>
      <c r="M4468">
        <v>-0.1991926</v>
      </c>
      <c r="N4468">
        <v>0</v>
      </c>
      <c r="O4468">
        <v>-0.97986269999999998</v>
      </c>
      <c r="P4468">
        <v>-0.154465299999999</v>
      </c>
      <c r="Q4468">
        <v>1.442734E-2</v>
      </c>
      <c r="R4468">
        <v>-0.98789309999999997</v>
      </c>
      <c r="S4468">
        <v>-0.34292600000000001</v>
      </c>
      <c r="T4468">
        <v>-0.17274990000000001</v>
      </c>
      <c r="U4468">
        <v>-2.9858090000000002</v>
      </c>
      <c r="V4468">
        <v>-4.5416720000000001E-2</v>
      </c>
      <c r="W4468">
        <v>2.8264879999999999E-2</v>
      </c>
      <c r="X4468">
        <v>0.99856819999999902</v>
      </c>
      <c r="Y4468">
        <v>-8.6276229999999995E-2</v>
      </c>
      <c r="Z4468">
        <v>5.5741590000000001E-2</v>
      </c>
      <c r="AA4468">
        <v>0.99471069999999995</v>
      </c>
      <c r="AB4468">
        <v>24</v>
      </c>
      <c r="AC4468">
        <v>-2.1438000000000499</v>
      </c>
      <c r="AD4468">
        <v>-1.104328007861</v>
      </c>
      <c r="AE4468">
        <v>-18.84984</v>
      </c>
      <c r="AF4468">
        <v>-1.6486908174275099</v>
      </c>
      <c r="AG4468">
        <v>-1.104328007861</v>
      </c>
      <c r="AH4468">
        <v>18.835270786244799</v>
      </c>
      <c r="AI4468">
        <v>93.342707000527298</v>
      </c>
      <c r="AJ4468">
        <v>95.002469847182297</v>
      </c>
      <c r="AK4468">
        <v>18.939512859405401</v>
      </c>
    </row>
    <row r="4469" spans="1:37" x14ac:dyDescent="0.2">
      <c r="A4469" t="str">
        <f>"20200111155942009"</f>
        <v>20200111155942009</v>
      </c>
      <c r="B4469" t="str">
        <f>"1578729582004270"</f>
        <v>1578729582004270</v>
      </c>
      <c r="C4469" t="s">
        <v>37</v>
      </c>
      <c r="D4469">
        <v>5.6513369999999998</v>
      </c>
      <c r="E4469">
        <v>0.48622700000000002</v>
      </c>
      <c r="F4469" t="s">
        <v>39</v>
      </c>
      <c r="G4469">
        <v>-422.88369999999998</v>
      </c>
      <c r="H4469" s="1">
        <v>-3.24632299999999E-6</v>
      </c>
      <c r="I4469">
        <v>85.367809999999906</v>
      </c>
      <c r="J4469">
        <v>-420.8141</v>
      </c>
      <c r="K4469">
        <v>1.1045959999999999</v>
      </c>
      <c r="L4469">
        <v>103.4102</v>
      </c>
      <c r="M4469">
        <v>-0.19919389999999901</v>
      </c>
      <c r="N4469">
        <v>0</v>
      </c>
      <c r="O4469">
        <v>-0.97986260000000003</v>
      </c>
      <c r="P4469">
        <v>-0.15618080000000001</v>
      </c>
      <c r="Q4469">
        <v>1.2733629999999999E-2</v>
      </c>
      <c r="R4469">
        <v>-0.98764629999999998</v>
      </c>
      <c r="S4469">
        <v>-0.34588619999999998</v>
      </c>
      <c r="T4469">
        <v>-0.18037030000000001</v>
      </c>
      <c r="U4469">
        <v>-2.9853209999999999</v>
      </c>
      <c r="V4469">
        <v>-4.3705510000000003E-2</v>
      </c>
      <c r="W4469">
        <v>2.6537470000000001E-2</v>
      </c>
      <c r="X4469">
        <v>0.99869189999999997</v>
      </c>
      <c r="Y4469">
        <v>-8.5302059999999999E-2</v>
      </c>
      <c r="Z4469">
        <v>5.8200639999999998E-2</v>
      </c>
      <c r="AA4469">
        <v>0.99465380000000003</v>
      </c>
      <c r="AB4469">
        <v>24</v>
      </c>
      <c r="AC4469">
        <v>-2.0695999999999799</v>
      </c>
      <c r="AD4469">
        <v>-1.1045992463230001</v>
      </c>
      <c r="AE4469">
        <v>-18.042390000000001</v>
      </c>
      <c r="AF4469">
        <v>-1.5603873577579701</v>
      </c>
      <c r="AG4469">
        <v>-1.1045992463230001</v>
      </c>
      <c r="AH4469">
        <v>18.026354835134999</v>
      </c>
      <c r="AI4469">
        <v>93.493492426905107</v>
      </c>
      <c r="AJ4469">
        <v>94.947273722247104</v>
      </c>
      <c r="AK4469">
        <v>18.127449264676599</v>
      </c>
    </row>
    <row r="4470" spans="1:37" x14ac:dyDescent="0.2">
      <c r="A4470" t="str">
        <f>"20200111155942031"</f>
        <v>20200111155942031</v>
      </c>
      <c r="B4470" t="str">
        <f>"1578729582024766"</f>
        <v>1578729582024766</v>
      </c>
      <c r="C4470" t="s">
        <v>37</v>
      </c>
      <c r="D4470">
        <v>5.6074799999999998</v>
      </c>
      <c r="E4470">
        <v>0.48616899999999902</v>
      </c>
      <c r="F4470" t="s">
        <v>39</v>
      </c>
      <c r="G4470">
        <v>-422.88240000000002</v>
      </c>
      <c r="H4470" s="1">
        <v>-3.4073910000000002E-6</v>
      </c>
      <c r="I4470">
        <v>85.74409</v>
      </c>
      <c r="J4470">
        <v>-420.86189999999999</v>
      </c>
      <c r="K4470">
        <v>1.104808</v>
      </c>
      <c r="L4470">
        <v>103.1746</v>
      </c>
      <c r="M4470">
        <v>-0.19887659999999999</v>
      </c>
      <c r="N4470">
        <v>0</v>
      </c>
      <c r="O4470">
        <v>-0.979927399999999</v>
      </c>
      <c r="P4470">
        <v>-0.15776999999999999</v>
      </c>
      <c r="Q4470">
        <v>9.9719730000000003E-3</v>
      </c>
      <c r="R4470">
        <v>-0.98742600000000003</v>
      </c>
      <c r="S4470">
        <v>-0.34942629999999902</v>
      </c>
      <c r="T4470">
        <v>-0.186619799999999</v>
      </c>
      <c r="U4470">
        <v>-2.9846499999999998</v>
      </c>
      <c r="V4470">
        <v>-4.1793039999999997E-2</v>
      </c>
      <c r="W4470">
        <v>2.374981E-2</v>
      </c>
      <c r="X4470">
        <v>0.99884399999999995</v>
      </c>
      <c r="Y4470">
        <v>-8.3803959999999997E-2</v>
      </c>
      <c r="Z4470">
        <v>6.022893E-2</v>
      </c>
      <c r="AA4470">
        <v>0.994660399999999</v>
      </c>
      <c r="AB4470">
        <v>24</v>
      </c>
      <c r="AC4470">
        <v>-2.0205000000000202</v>
      </c>
      <c r="AD4470">
        <v>-1.104811407391</v>
      </c>
      <c r="AE4470">
        <v>-17.430509999999899</v>
      </c>
      <c r="AF4470">
        <v>-1.48084835608756</v>
      </c>
      <c r="AG4470">
        <v>-1.104811407391</v>
      </c>
      <c r="AH4470">
        <v>17.415091465434301</v>
      </c>
      <c r="AI4470">
        <v>93.616955302091597</v>
      </c>
      <c r="AJ4470">
        <v>94.860310333757994</v>
      </c>
      <c r="AK4470">
        <v>17.512821898514002</v>
      </c>
    </row>
    <row r="4471" spans="1:37" x14ac:dyDescent="0.2">
      <c r="A4471" t="str">
        <f>"20200111155942054"</f>
        <v>20200111155942054</v>
      </c>
      <c r="B4471" t="str">
        <f>"1578729582044286"</f>
        <v>1578729582044286</v>
      </c>
      <c r="C4471" t="s">
        <v>37</v>
      </c>
      <c r="D4471">
        <v>5.8819929999999996</v>
      </c>
      <c r="E4471">
        <v>0.48621520000000001</v>
      </c>
      <c r="F4471" t="s">
        <v>39</v>
      </c>
      <c r="G4471">
        <v>-422.84699999999998</v>
      </c>
      <c r="H4471" s="1">
        <v>-3.6856130000000001E-6</v>
      </c>
      <c r="I4471">
        <v>86.414580000000001</v>
      </c>
      <c r="J4471">
        <v>-420.90969999999999</v>
      </c>
      <c r="K4471">
        <v>1.1049770000000001</v>
      </c>
      <c r="L4471">
        <v>102.9366</v>
      </c>
      <c r="M4471">
        <v>-0.19826179999999999</v>
      </c>
      <c r="N4471">
        <v>0</v>
      </c>
      <c r="O4471">
        <v>-0.98005189999999998</v>
      </c>
      <c r="P4471">
        <v>-0.1591099</v>
      </c>
      <c r="Q4471">
        <v>5.6048280000000001E-3</v>
      </c>
      <c r="R4471">
        <v>-0.98724509999999899</v>
      </c>
      <c r="S4471">
        <v>-0.35339359999999997</v>
      </c>
      <c r="T4471">
        <v>-0.19668659999999999</v>
      </c>
      <c r="U4471">
        <v>-2.9837340000000001</v>
      </c>
      <c r="V4471">
        <v>-3.982252E-2</v>
      </c>
      <c r="W4471">
        <v>1.9363450000000001E-2</v>
      </c>
      <c r="X4471">
        <v>0.99901909999999905</v>
      </c>
      <c r="Y4471">
        <v>-8.1863190000000002E-2</v>
      </c>
      <c r="Z4471">
        <v>6.3496410000000003E-2</v>
      </c>
      <c r="AA4471">
        <v>0.99461880000000003</v>
      </c>
      <c r="AB4471">
        <v>24</v>
      </c>
      <c r="AC4471">
        <v>-1.93729999999999</v>
      </c>
      <c r="AD4471">
        <v>-1.104980685613</v>
      </c>
      <c r="AE4471">
        <v>-16.522019999999898</v>
      </c>
      <c r="AF4471">
        <v>-1.37111249409684</v>
      </c>
      <c r="AG4471">
        <v>-1.104980685613</v>
      </c>
      <c r="AH4471">
        <v>16.5052848831604</v>
      </c>
      <c r="AI4471">
        <v>93.816961788956306</v>
      </c>
      <c r="AJ4471">
        <v>94.748721237433799</v>
      </c>
      <c r="AK4471">
        <v>16.598956619659202</v>
      </c>
    </row>
    <row r="4472" spans="1:37" x14ac:dyDescent="0.2">
      <c r="A4472" t="str">
        <f>"20200111155942075"</f>
        <v>20200111155942075</v>
      </c>
      <c r="B4472" t="str">
        <f>"1578729582064782"</f>
        <v>1578729582064782</v>
      </c>
      <c r="C4472" t="s">
        <v>37</v>
      </c>
      <c r="D4472">
        <v>5.5745879999999897</v>
      </c>
      <c r="E4472">
        <v>0.48612</v>
      </c>
      <c r="F4472" t="s">
        <v>39</v>
      </c>
      <c r="G4472">
        <v>-422.7817</v>
      </c>
      <c r="H4472" s="1">
        <v>-4.0187519999999999E-6</v>
      </c>
      <c r="I4472">
        <v>87.346080000000001</v>
      </c>
      <c r="J4472">
        <v>-420.95389999999998</v>
      </c>
      <c r="K4472">
        <v>1.1051139999999999</v>
      </c>
      <c r="L4472">
        <v>102.7146</v>
      </c>
      <c r="M4472">
        <v>-0.19744239999999999</v>
      </c>
      <c r="N4472">
        <v>0</v>
      </c>
      <c r="O4472">
        <v>-0.98021729999999996</v>
      </c>
      <c r="P4472">
        <v>-0.1591099</v>
      </c>
      <c r="Q4472">
        <v>2.7414179999999998E-3</v>
      </c>
      <c r="R4472">
        <v>-0.98725689999999999</v>
      </c>
      <c r="S4472">
        <v>-0.3580933</v>
      </c>
      <c r="T4472">
        <v>-0.2113688</v>
      </c>
      <c r="U4472">
        <v>-2.9822690000000001</v>
      </c>
      <c r="V4472">
        <v>-3.8992300000000001E-2</v>
      </c>
      <c r="W4472">
        <v>1.6482859999999998E-2</v>
      </c>
      <c r="X4472">
        <v>0.99910350000000003</v>
      </c>
      <c r="Y4472">
        <v>-7.9465419999999995E-2</v>
      </c>
      <c r="Z4472">
        <v>6.8265019999999996E-2</v>
      </c>
      <c r="AA4472">
        <v>0.99449739999999998</v>
      </c>
      <c r="AB4472">
        <v>24</v>
      </c>
      <c r="AC4472">
        <v>-1.8278000000000201</v>
      </c>
      <c r="AD4472">
        <v>-1.105118018752</v>
      </c>
      <c r="AE4472">
        <v>-15.36852</v>
      </c>
      <c r="AF4472">
        <v>-1.2365698991288501</v>
      </c>
      <c r="AG4472">
        <v>-1.105118018752</v>
      </c>
      <c r="AH4472">
        <v>15.3485874757302</v>
      </c>
      <c r="AI4472">
        <v>94.105007717266901</v>
      </c>
      <c r="AJ4472">
        <v>94.606126672558005</v>
      </c>
      <c r="AK4472">
        <v>15.437925004706599</v>
      </c>
    </row>
    <row r="4473" spans="1:37" x14ac:dyDescent="0.2">
      <c r="A4473" t="str">
        <f>"20200111155942097"</f>
        <v>20200111155942097</v>
      </c>
      <c r="B4473" t="str">
        <f>"1578729582095038"</f>
        <v>1578729582095038</v>
      </c>
      <c r="C4473" t="s">
        <v>37</v>
      </c>
      <c r="D4473">
        <v>5.5559209999999997</v>
      </c>
      <c r="E4473">
        <v>0.48587239999999998</v>
      </c>
      <c r="F4473" t="s">
        <v>39</v>
      </c>
      <c r="G4473">
        <v>-422.7362</v>
      </c>
      <c r="H4473" s="1">
        <v>-4.1804930000000001E-6</v>
      </c>
      <c r="I4473">
        <v>87.845100000000002</v>
      </c>
      <c r="J4473">
        <v>-420.99970000000002</v>
      </c>
      <c r="K4473">
        <v>1.10527999999999</v>
      </c>
      <c r="L4473">
        <v>102.48260000000001</v>
      </c>
      <c r="M4473">
        <v>-0.1963625</v>
      </c>
      <c r="N4473">
        <v>0</v>
      </c>
      <c r="O4473">
        <v>-0.98043409999999998</v>
      </c>
      <c r="P4473">
        <v>-0.15824460000000001</v>
      </c>
      <c r="Q4473">
        <v>1.7521729999999899E-3</v>
      </c>
      <c r="R4473">
        <v>-0.98739829999999995</v>
      </c>
      <c r="S4473">
        <v>-0.35739140000000003</v>
      </c>
      <c r="T4473">
        <v>-0.22160540000000001</v>
      </c>
      <c r="U4473">
        <v>-2.9817200000000001</v>
      </c>
      <c r="V4473">
        <v>-3.8772340000000002E-2</v>
      </c>
      <c r="W4473">
        <v>1.5474959999999999E-2</v>
      </c>
      <c r="X4473">
        <v>0.99912819999999902</v>
      </c>
      <c r="Y4473">
        <v>-7.8604660000000007E-2</v>
      </c>
      <c r="Z4473">
        <v>7.1594160000000004E-2</v>
      </c>
      <c r="AA4473">
        <v>0.99433169999999904</v>
      </c>
      <c r="AB4473">
        <v>24</v>
      </c>
      <c r="AC4473">
        <v>-1.73649999999997</v>
      </c>
      <c r="AD4473">
        <v>-1.10528418049299</v>
      </c>
      <c r="AE4473">
        <v>-14.637499999999999</v>
      </c>
      <c r="AF4473">
        <v>-1.16529196518244</v>
      </c>
      <c r="AG4473">
        <v>-1.10528418049299</v>
      </c>
      <c r="AH4473">
        <v>14.611333971692099</v>
      </c>
      <c r="AI4473">
        <v>94.312298410240004</v>
      </c>
      <c r="AJ4473">
        <v>94.559836506687105</v>
      </c>
      <c r="AK4473">
        <v>14.699341444979501</v>
      </c>
    </row>
    <row r="4474" spans="1:37" x14ac:dyDescent="0.2">
      <c r="A4474" t="str">
        <f>"20200111155942121"</f>
        <v>20200111155942121</v>
      </c>
      <c r="B4474" t="str">
        <f>"1578729582114882"</f>
        <v>1578729582114882</v>
      </c>
      <c r="C4474" t="s">
        <v>37</v>
      </c>
      <c r="D4474">
        <v>5.577515</v>
      </c>
      <c r="E4474">
        <v>0.48573069999999902</v>
      </c>
      <c r="F4474" t="s">
        <v>39</v>
      </c>
      <c r="G4474">
        <v>-422.71870000000001</v>
      </c>
      <c r="H4474" s="1">
        <v>-4.2217149999999999E-6</v>
      </c>
      <c r="I4474">
        <v>87.975359999999995</v>
      </c>
      <c r="J4474">
        <v>-421.04689999999999</v>
      </c>
      <c r="K4474">
        <v>1.105461</v>
      </c>
      <c r="L4474">
        <v>102.2396</v>
      </c>
      <c r="M4474">
        <v>-0.19501289999999999</v>
      </c>
      <c r="N4474">
        <v>0</v>
      </c>
      <c r="O4474">
        <v>-0.98070380000000001</v>
      </c>
      <c r="P4474">
        <v>-0.1569574</v>
      </c>
      <c r="Q4474">
        <v>3.162439E-3</v>
      </c>
      <c r="R4474">
        <v>-0.9876007</v>
      </c>
      <c r="S4474">
        <v>-0.35336299999999998</v>
      </c>
      <c r="T4474">
        <v>-0.22719789999999901</v>
      </c>
      <c r="U4474">
        <v>-2.982056</v>
      </c>
      <c r="V4474">
        <v>-3.8708119999999999E-2</v>
      </c>
      <c r="W4474">
        <v>1.6867139999999999E-2</v>
      </c>
      <c r="X4474">
        <v>0.9991082</v>
      </c>
      <c r="Y4474">
        <v>-7.8585829999999995E-2</v>
      </c>
      <c r="Z4474">
        <v>7.3418839999999999E-2</v>
      </c>
      <c r="AA4474">
        <v>0.99420019999999998</v>
      </c>
      <c r="AB4474">
        <v>24</v>
      </c>
      <c r="AC4474">
        <v>-1.6718000000000099</v>
      </c>
      <c r="AD4474">
        <v>-1.1054652217150001</v>
      </c>
      <c r="AE4474">
        <v>-14.264239999999999</v>
      </c>
      <c r="AF4474">
        <v>-1.1355509101982799</v>
      </c>
      <c r="AG4474">
        <v>-1.1054652217150001</v>
      </c>
      <c r="AH4474">
        <v>14.2320562844353</v>
      </c>
      <c r="AI4474">
        <v>94.427478004723696</v>
      </c>
      <c r="AJ4474">
        <v>94.561866010767801</v>
      </c>
      <c r="AK4474">
        <v>14.3200193892818</v>
      </c>
    </row>
    <row r="4475" spans="1:37" x14ac:dyDescent="0.2">
      <c r="A4475" t="str">
        <f>"20200111155942143"</f>
        <v>20200111155942143</v>
      </c>
      <c r="B4475" t="str">
        <f>"1578729582134402"</f>
        <v>1578729582134402</v>
      </c>
      <c r="C4475" t="s">
        <v>37</v>
      </c>
      <c r="D4475">
        <v>5.5847489999999897</v>
      </c>
      <c r="E4475">
        <v>0.48558129999999999</v>
      </c>
      <c r="F4475" t="s">
        <v>39</v>
      </c>
      <c r="G4475">
        <v>-422.7654</v>
      </c>
      <c r="H4475" s="1">
        <v>-4.0790219999999996E-6</v>
      </c>
      <c r="I4475">
        <v>87.531710000000004</v>
      </c>
      <c r="J4475">
        <v>-421.09059999999999</v>
      </c>
      <c r="K4475">
        <v>1.105629</v>
      </c>
      <c r="L4475">
        <v>102.01179999999999</v>
      </c>
      <c r="M4475">
        <v>-0.193542299999999</v>
      </c>
      <c r="N4475">
        <v>0</v>
      </c>
      <c r="O4475">
        <v>-0.9809949</v>
      </c>
      <c r="P4475">
        <v>-0.1557885</v>
      </c>
      <c r="Q4475">
        <v>5.7086239999999998E-3</v>
      </c>
      <c r="R4475">
        <v>-0.98777399999999904</v>
      </c>
      <c r="S4475">
        <v>-0.3485413</v>
      </c>
      <c r="T4475">
        <v>-0.2242065</v>
      </c>
      <c r="U4475">
        <v>-2.9830019999999999</v>
      </c>
      <c r="V4475">
        <v>-3.8403819999999998E-2</v>
      </c>
      <c r="W4475">
        <v>1.9397770000000002E-2</v>
      </c>
      <c r="X4475">
        <v>0.99907400000000002</v>
      </c>
      <c r="Y4475">
        <v>-7.870489E-2</v>
      </c>
      <c r="Z4475">
        <v>7.2473529999999994E-2</v>
      </c>
      <c r="AA4475">
        <v>0.99426009999999998</v>
      </c>
      <c r="AB4475">
        <v>24</v>
      </c>
      <c r="AC4475">
        <v>-1.6748000000000001</v>
      </c>
      <c r="AD4475">
        <v>-1.1056330790219999</v>
      </c>
      <c r="AE4475">
        <v>-14.480089999999899</v>
      </c>
      <c r="AF4475">
        <v>-1.15301654442276</v>
      </c>
      <c r="AG4475">
        <v>-1.1056330790219999</v>
      </c>
      <c r="AH4475">
        <v>14.447304353784901</v>
      </c>
      <c r="AI4475">
        <v>94.362422995007194</v>
      </c>
      <c r="AJ4475">
        <v>94.563014214904399</v>
      </c>
      <c r="AK4475">
        <v>14.5353525842352</v>
      </c>
    </row>
    <row r="4476" spans="1:37" x14ac:dyDescent="0.2">
      <c r="A4476" t="str">
        <f>"20200111155942165"</f>
        <v>20200111155942165</v>
      </c>
      <c r="B4476" t="str">
        <f>"1578729582154898"</f>
        <v>1578729582154898</v>
      </c>
      <c r="C4476" t="s">
        <v>37</v>
      </c>
      <c r="D4476">
        <v>5.5981680000000003</v>
      </c>
      <c r="E4476">
        <v>0.48542489999999999</v>
      </c>
      <c r="F4476" t="s">
        <v>39</v>
      </c>
      <c r="G4476">
        <v>-422.83429999999998</v>
      </c>
      <c r="H4476" s="1">
        <v>-3.8546899999999998E-6</v>
      </c>
      <c r="I4476">
        <v>86.836609999999993</v>
      </c>
      <c r="J4476">
        <v>-421.13299999999998</v>
      </c>
      <c r="K4476">
        <v>1.1057779999999999</v>
      </c>
      <c r="L4476">
        <v>101.7877</v>
      </c>
      <c r="M4476">
        <v>-0.1918927</v>
      </c>
      <c r="N4476">
        <v>0</v>
      </c>
      <c r="O4476">
        <v>-0.98131900000000005</v>
      </c>
      <c r="P4476">
        <v>-0.15484999999999999</v>
      </c>
      <c r="Q4476">
        <v>7.3572289999999999E-3</v>
      </c>
      <c r="R4476">
        <v>-0.98791090000000004</v>
      </c>
      <c r="S4476">
        <v>-0.34289550000000002</v>
      </c>
      <c r="T4476">
        <v>-0.2174304</v>
      </c>
      <c r="U4476">
        <v>-2.9843139999999999</v>
      </c>
      <c r="V4476">
        <v>-3.7682260000000002E-2</v>
      </c>
      <c r="W4476">
        <v>2.1034899999999999E-2</v>
      </c>
      <c r="X4476">
        <v>0.99906839999999997</v>
      </c>
      <c r="Y4476">
        <v>-7.8917080000000001E-2</v>
      </c>
      <c r="Z4476">
        <v>7.0305939999999997E-2</v>
      </c>
      <c r="AA4476">
        <v>0.99439889999999997</v>
      </c>
      <c r="AB4476">
        <v>24</v>
      </c>
      <c r="AC4476">
        <v>-1.7012999999999401</v>
      </c>
      <c r="AD4476">
        <v>-1.10578185469</v>
      </c>
      <c r="AE4476">
        <v>-14.951090000000001</v>
      </c>
      <c r="AF4476">
        <v>-1.19315787558544</v>
      </c>
      <c r="AG4476">
        <v>-1.10578185469</v>
      </c>
      <c r="AH4476">
        <v>14.919116884997599</v>
      </c>
      <c r="AI4476">
        <v>94.225481119985304</v>
      </c>
      <c r="AJ4476">
        <v>94.572503705974199</v>
      </c>
      <c r="AK4476">
        <v>15.007545697230199</v>
      </c>
    </row>
    <row r="4477" spans="1:37" x14ac:dyDescent="0.2">
      <c r="A4477" t="str">
        <f>"20200111155942188"</f>
        <v>20200111155942188</v>
      </c>
      <c r="B4477" t="str">
        <f>"1578729582185155"</f>
        <v>1578729582185155</v>
      </c>
      <c r="C4477" t="s">
        <v>37</v>
      </c>
      <c r="D4477">
        <v>5.6008199999999997</v>
      </c>
      <c r="E4477">
        <v>0.48513240000000002</v>
      </c>
      <c r="F4477" t="s">
        <v>39</v>
      </c>
      <c r="G4477">
        <v>-422.89170000000001</v>
      </c>
      <c r="H4477" s="1">
        <v>-3.6454840000000001E-6</v>
      </c>
      <c r="I4477">
        <v>86.293300000000002</v>
      </c>
      <c r="J4477">
        <v>-421.1764</v>
      </c>
      <c r="K4477">
        <v>1.1059060000000001</v>
      </c>
      <c r="L4477">
        <v>101.55410000000001</v>
      </c>
      <c r="M4477">
        <v>-0.18995390000000001</v>
      </c>
      <c r="N4477">
        <v>0</v>
      </c>
      <c r="O4477">
        <v>-0.98169609999999996</v>
      </c>
      <c r="P4477">
        <v>-0.1537897</v>
      </c>
      <c r="Q4477">
        <v>8.63009E-3</v>
      </c>
      <c r="R4477">
        <v>-0.988066</v>
      </c>
      <c r="S4477">
        <v>-0.33883669999999999</v>
      </c>
      <c r="T4477">
        <v>-0.213041799999999</v>
      </c>
      <c r="U4477">
        <v>-2.9851679999999998</v>
      </c>
      <c r="V4477">
        <v>-3.6789429999999998E-2</v>
      </c>
      <c r="W4477">
        <v>2.2300130000000001E-2</v>
      </c>
      <c r="X4477">
        <v>0.99907420000000002</v>
      </c>
      <c r="Y4477">
        <v>-7.8303659999999997E-2</v>
      </c>
      <c r="Z4477">
        <v>6.892131E-2</v>
      </c>
      <c r="AA4477">
        <v>0.99454430000000005</v>
      </c>
      <c r="AB4477">
        <v>24</v>
      </c>
      <c r="AC4477">
        <v>-1.71530000000001</v>
      </c>
      <c r="AD4477">
        <v>-1.1059096454840001</v>
      </c>
      <c r="AE4477">
        <v>-15.2608</v>
      </c>
      <c r="AF4477">
        <v>-1.20879197186853</v>
      </c>
      <c r="AG4477">
        <v>-1.1059096454840001</v>
      </c>
      <c r="AH4477">
        <v>15.2297707690109</v>
      </c>
      <c r="AI4477">
        <v>94.140267587722207</v>
      </c>
      <c r="AJ4477">
        <v>94.538071613878301</v>
      </c>
      <c r="AK4477">
        <v>15.317641197385701</v>
      </c>
    </row>
    <row r="4478" spans="1:37" x14ac:dyDescent="0.2">
      <c r="A4478" t="str">
        <f>"20200111155942211"</f>
        <v>20200111155942211</v>
      </c>
      <c r="B4478" t="str">
        <f>"1578729582204674"</f>
        <v>1578729582204674</v>
      </c>
      <c r="C4478" t="s">
        <v>37</v>
      </c>
      <c r="D4478">
        <v>5.6200349999999997</v>
      </c>
      <c r="E4478">
        <v>0.48499369999999897</v>
      </c>
      <c r="F4478" t="s">
        <v>39</v>
      </c>
      <c r="G4478">
        <v>-422.93549999999999</v>
      </c>
      <c r="H4478" s="1">
        <v>-3.4258650000000002E-6</v>
      </c>
      <c r="I4478">
        <v>85.754170000000002</v>
      </c>
      <c r="J4478">
        <v>-421.2199</v>
      </c>
      <c r="K4478">
        <v>1.1059999999999901</v>
      </c>
      <c r="L4478">
        <v>101.3167</v>
      </c>
      <c r="M4478">
        <v>-0.18781970000000001</v>
      </c>
      <c r="N4478">
        <v>0</v>
      </c>
      <c r="O4478">
        <v>-0.9821069</v>
      </c>
      <c r="P4478">
        <v>-0.15311540000000001</v>
      </c>
      <c r="Q4478">
        <v>9.7758789999999995E-3</v>
      </c>
      <c r="R4478">
        <v>-0.9881605</v>
      </c>
      <c r="S4478">
        <v>-0.33248899999999998</v>
      </c>
      <c r="T4478">
        <v>-0.2090246</v>
      </c>
      <c r="U4478">
        <v>-2.9862980000000001</v>
      </c>
      <c r="V4478">
        <v>-3.5306869999999997E-2</v>
      </c>
      <c r="W4478">
        <v>2.3443289999999999E-2</v>
      </c>
      <c r="X4478">
        <v>0.99910149999999998</v>
      </c>
      <c r="Y4478">
        <v>-7.8256619999999999E-2</v>
      </c>
      <c r="Z4478">
        <v>6.7653229999999995E-2</v>
      </c>
      <c r="AA4478">
        <v>0.99463509999999999</v>
      </c>
      <c r="AB4478">
        <v>24</v>
      </c>
      <c r="AC4478">
        <v>-1.71559999999999</v>
      </c>
      <c r="AD4478">
        <v>-1.10600342586499</v>
      </c>
      <c r="AE4478">
        <v>-15.562529999999899</v>
      </c>
      <c r="AF4478">
        <v>-1.2320167756732701</v>
      </c>
      <c r="AG4478">
        <v>-1.10600342586499</v>
      </c>
      <c r="AH4478">
        <v>15.530275657372901</v>
      </c>
      <c r="AI4478">
        <v>94.060781625793496</v>
      </c>
      <c r="AJ4478">
        <v>94.535775212058695</v>
      </c>
      <c r="AK4478">
        <v>15.618276822605999</v>
      </c>
    </row>
    <row r="4479" spans="1:37" x14ac:dyDescent="0.2">
      <c r="A4479" t="str">
        <f>"20200111155942232"</f>
        <v>20200111155942232</v>
      </c>
      <c r="B4479" t="str">
        <f>"1578729582225170"</f>
        <v>1578729582225170</v>
      </c>
      <c r="C4479" t="s">
        <v>37</v>
      </c>
      <c r="D4479">
        <v>5.6538250000000003</v>
      </c>
      <c r="E4479">
        <v>0.48485339999999999</v>
      </c>
      <c r="F4479" t="s">
        <v>39</v>
      </c>
      <c r="G4479">
        <v>-422.98270000000002</v>
      </c>
      <c r="H4479" s="1">
        <v>-3.2485529999999999E-6</v>
      </c>
      <c r="I4479">
        <v>85.311639999999997</v>
      </c>
      <c r="J4479">
        <v>-421.26069999999999</v>
      </c>
      <c r="K4479">
        <v>1.1060620000000001</v>
      </c>
      <c r="L4479">
        <v>101.0903</v>
      </c>
      <c r="M4479">
        <v>-0.18566769999999999</v>
      </c>
      <c r="N4479">
        <v>0</v>
      </c>
      <c r="O4479">
        <v>-0.9825159</v>
      </c>
      <c r="P4479">
        <v>-0.15293119999999999</v>
      </c>
      <c r="Q4479">
        <v>1.0853460000000001E-2</v>
      </c>
      <c r="R4479">
        <v>-0.98817770000000005</v>
      </c>
      <c r="S4479">
        <v>-0.32897949999999998</v>
      </c>
      <c r="T4479">
        <v>-0.20641229999999999</v>
      </c>
      <c r="U4479">
        <v>-2.9870000000000001</v>
      </c>
      <c r="V4479">
        <v>-3.3308839999999999E-2</v>
      </c>
      <c r="W4479">
        <v>2.452348E-2</v>
      </c>
      <c r="X4479">
        <v>0.99914419999999904</v>
      </c>
      <c r="Y4479">
        <v>-7.7246549999999997E-2</v>
      </c>
      <c r="Z4479">
        <v>6.6844990000000007E-2</v>
      </c>
      <c r="AA4479">
        <v>0.99476869999999995</v>
      </c>
      <c r="AB4479">
        <v>24</v>
      </c>
      <c r="AC4479">
        <v>-1.72200000000003</v>
      </c>
      <c r="AD4479">
        <v>-1.106065248553</v>
      </c>
      <c r="AE4479">
        <v>-15.77866</v>
      </c>
      <c r="AF4479">
        <v>-1.23183095799024</v>
      </c>
      <c r="AG4479">
        <v>-1.106065248553</v>
      </c>
      <c r="AH4479">
        <v>15.7475374185276</v>
      </c>
      <c r="AI4479">
        <v>94.005509326273994</v>
      </c>
      <c r="AJ4479">
        <v>94.472780945107004</v>
      </c>
      <c r="AK4479">
        <v>15.834321033471699</v>
      </c>
    </row>
    <row r="4480" spans="1:37" x14ac:dyDescent="0.2">
      <c r="A4480" t="str">
        <f>"20200111155942255"</f>
        <v>20200111155942255</v>
      </c>
      <c r="B4480" t="str">
        <f>"1578729582244690"</f>
        <v>1578729582244690</v>
      </c>
      <c r="C4480" t="s">
        <v>37</v>
      </c>
      <c r="D4480">
        <v>5.6376379999999999</v>
      </c>
      <c r="E4480">
        <v>0.48473100000000002</v>
      </c>
      <c r="F4480" t="s">
        <v>39</v>
      </c>
      <c r="G4480">
        <v>-423.0446</v>
      </c>
      <c r="H4480" s="1">
        <v>-3.0521989999999999E-6</v>
      </c>
      <c r="I4480">
        <v>84.815539999999999</v>
      </c>
      <c r="J4480">
        <v>-421.30119999999999</v>
      </c>
      <c r="K4480">
        <v>1.1060950000000001</v>
      </c>
      <c r="L4480">
        <v>100.86150000000001</v>
      </c>
      <c r="M4480">
        <v>-0.18341070000000001</v>
      </c>
      <c r="N4480">
        <v>0</v>
      </c>
      <c r="O4480">
        <v>-0.98293980000000003</v>
      </c>
      <c r="P4480">
        <v>-0.1528632</v>
      </c>
      <c r="Q4480">
        <v>1.2790660000000001E-2</v>
      </c>
      <c r="R4480">
        <v>-0.98816510000000002</v>
      </c>
      <c r="S4480">
        <v>-0.32745359999999901</v>
      </c>
      <c r="T4480">
        <v>-0.2030332</v>
      </c>
      <c r="U4480">
        <v>-2.987457</v>
      </c>
      <c r="V4480">
        <v>-3.108706E-2</v>
      </c>
      <c r="W4480">
        <v>2.6466440000000001E-2</v>
      </c>
      <c r="X4480">
        <v>0.9991662</v>
      </c>
      <c r="Y4480">
        <v>-7.5467419999999993E-2</v>
      </c>
      <c r="Z4480">
        <v>6.5794829999999999E-2</v>
      </c>
      <c r="AA4480">
        <v>0.99497519999999995</v>
      </c>
      <c r="AB4480">
        <v>24</v>
      </c>
      <c r="AC4480">
        <v>-1.7434000000000001</v>
      </c>
      <c r="AD4480">
        <v>-1.106098052199</v>
      </c>
      <c r="AE4480">
        <v>-16.045960000000001</v>
      </c>
      <c r="AF4480">
        <v>-1.22371326220393</v>
      </c>
      <c r="AG4480">
        <v>-1.106098052199</v>
      </c>
      <c r="AH4480">
        <v>16.018271625223701</v>
      </c>
      <c r="AI4480">
        <v>93.938692919003898</v>
      </c>
      <c r="AJ4480">
        <v>94.368616302969002</v>
      </c>
      <c r="AK4480">
        <v>16.102979628274301</v>
      </c>
    </row>
    <row r="4481" spans="1:37" x14ac:dyDescent="0.2">
      <c r="A4481" t="str">
        <f>"20200111155942276"</f>
        <v>20200111155942276</v>
      </c>
      <c r="B4481" t="str">
        <f>"1578729582274946"</f>
        <v>1578729582274946</v>
      </c>
      <c r="C4481" t="s">
        <v>37</v>
      </c>
      <c r="D4481">
        <v>5.648828</v>
      </c>
      <c r="E4481">
        <v>0.4845933</v>
      </c>
      <c r="F4481" t="s">
        <v>39</v>
      </c>
      <c r="G4481">
        <v>-423.12389999999999</v>
      </c>
      <c r="H4481" s="1">
        <v>-2.7939299999999899E-6</v>
      </c>
      <c r="I4481">
        <v>84.164299999999997</v>
      </c>
      <c r="J4481">
        <v>-421.34059999999999</v>
      </c>
      <c r="K4481">
        <v>1.106088</v>
      </c>
      <c r="L4481">
        <v>100.63630000000001</v>
      </c>
      <c r="M4481">
        <v>-0.18114630000000001</v>
      </c>
      <c r="N4481">
        <v>0</v>
      </c>
      <c r="O4481">
        <v>-0.9833596</v>
      </c>
      <c r="P4481">
        <v>-0.1526652</v>
      </c>
      <c r="Q4481">
        <v>1.3456920000000001E-2</v>
      </c>
      <c r="R4481">
        <v>-0.98818669999999997</v>
      </c>
      <c r="S4481">
        <v>-0.32617190000000001</v>
      </c>
      <c r="T4481">
        <v>-0.19794049999999999</v>
      </c>
      <c r="U4481">
        <v>-2.9880369999999998</v>
      </c>
      <c r="V4481">
        <v>-2.8987269999999999E-2</v>
      </c>
      <c r="W4481">
        <v>2.713902E-2</v>
      </c>
      <c r="X4481">
        <v>0.99921130000000002</v>
      </c>
      <c r="Y4481">
        <v>-7.3601630000000001E-2</v>
      </c>
      <c r="Z4481">
        <v>6.4186649999999998E-2</v>
      </c>
      <c r="AA4481">
        <v>0.99521999999999999</v>
      </c>
      <c r="AB4481">
        <v>24</v>
      </c>
      <c r="AC4481">
        <v>-1.7832999999999899</v>
      </c>
      <c r="AD4481">
        <v>-1.10609079393</v>
      </c>
      <c r="AE4481">
        <v>-16.472000000000001</v>
      </c>
      <c r="AF4481">
        <v>-1.22487442974151</v>
      </c>
      <c r="AG4481">
        <v>-1.10609079393</v>
      </c>
      <c r="AH4481">
        <v>16.449194910247002</v>
      </c>
      <c r="AI4481">
        <v>93.836350995966001</v>
      </c>
      <c r="AJ4481">
        <v>94.258618826474105</v>
      </c>
      <c r="AK4481">
        <v>16.531780527467301</v>
      </c>
    </row>
    <row r="4482" spans="1:37" x14ac:dyDescent="0.2">
      <c r="A4482" t="str">
        <f>"20200111155942300"</f>
        <v>20200111155942300</v>
      </c>
      <c r="B4482" t="str">
        <f>"1578729582294466"</f>
        <v>1578729582294466</v>
      </c>
      <c r="C4482" t="s">
        <v>37</v>
      </c>
      <c r="D4482">
        <v>5.6359190000000003</v>
      </c>
      <c r="E4482">
        <v>0.48447010000000001</v>
      </c>
      <c r="F4482" t="s">
        <v>39</v>
      </c>
      <c r="G4482">
        <v>-423.15839999999997</v>
      </c>
      <c r="H4482" s="1">
        <v>-2.6848929999999999E-6</v>
      </c>
      <c r="I4482">
        <v>83.888689999999997</v>
      </c>
      <c r="J4482">
        <v>-421.3809</v>
      </c>
      <c r="K4482">
        <v>1.1060760000000001</v>
      </c>
      <c r="L4482">
        <v>100.4027</v>
      </c>
      <c r="M4482">
        <v>-0.17878579999999999</v>
      </c>
      <c r="N4482">
        <v>0</v>
      </c>
      <c r="O4482">
        <v>-0.98379130000000004</v>
      </c>
      <c r="P4482">
        <v>-0.15098900000000001</v>
      </c>
      <c r="Q4482">
        <v>1.319497E-2</v>
      </c>
      <c r="R4482">
        <v>-0.98844769999999904</v>
      </c>
      <c r="S4482">
        <v>-0.32437129999999997</v>
      </c>
      <c r="T4482">
        <v>-0.19736989999999999</v>
      </c>
      <c r="U4482">
        <v>-2.9884339999999998</v>
      </c>
      <c r="V4482">
        <v>-2.8283249999999999E-2</v>
      </c>
      <c r="W4482">
        <v>2.6879239999999999E-2</v>
      </c>
      <c r="X4482">
        <v>0.99923850000000003</v>
      </c>
      <c r="Y4482">
        <v>-7.1813950000000001E-2</v>
      </c>
      <c r="Z4482">
        <v>6.4042660000000001E-2</v>
      </c>
      <c r="AA4482">
        <v>0.99535989999999996</v>
      </c>
      <c r="AB4482">
        <v>23</v>
      </c>
      <c r="AC4482">
        <v>-1.7774999999999701</v>
      </c>
      <c r="AD4482">
        <v>-1.106078684893</v>
      </c>
      <c r="AE4482">
        <v>-16.514009999999999</v>
      </c>
      <c r="AF4482">
        <v>-1.19858067170862</v>
      </c>
      <c r="AG4482">
        <v>-1.106078684893</v>
      </c>
      <c r="AH4482">
        <v>16.4925679459915</v>
      </c>
      <c r="AI4482">
        <v>93.826749934762205</v>
      </c>
      <c r="AJ4482">
        <v>94.156605309188805</v>
      </c>
      <c r="AK4482">
        <v>16.573014304492499</v>
      </c>
    </row>
    <row r="4483" spans="1:37" x14ac:dyDescent="0.2">
      <c r="A4483" t="str">
        <f>"20200111155942322"</f>
        <v>20200111155942322</v>
      </c>
      <c r="B4483" t="str">
        <f>"1578729582314962"</f>
        <v>1578729582314962</v>
      </c>
      <c r="C4483" t="s">
        <v>37</v>
      </c>
      <c r="D4483">
        <v>5.7437339999999999</v>
      </c>
      <c r="E4483">
        <v>0.48440850000000002</v>
      </c>
      <c r="F4483" t="s">
        <v>39</v>
      </c>
      <c r="G4483">
        <v>-423.14679999999998</v>
      </c>
      <c r="H4483" s="1">
        <v>-2.644506E-6</v>
      </c>
      <c r="I4483">
        <v>83.8018</v>
      </c>
      <c r="J4483">
        <v>-421.4205</v>
      </c>
      <c r="K4483">
        <v>1.10605</v>
      </c>
      <c r="L4483">
        <v>100.1695</v>
      </c>
      <c r="M4483">
        <v>-0.1764394</v>
      </c>
      <c r="N4483">
        <v>0</v>
      </c>
      <c r="O4483">
        <v>-0.98421499999999995</v>
      </c>
      <c r="P4483">
        <v>-0.1477377</v>
      </c>
      <c r="Q4483">
        <v>1.157242E-2</v>
      </c>
      <c r="R4483">
        <v>-0.98895929999999999</v>
      </c>
      <c r="S4483">
        <v>-0.31796259999999998</v>
      </c>
      <c r="T4483">
        <v>-0.19916120000000001</v>
      </c>
      <c r="U4483">
        <v>-2.989166</v>
      </c>
      <c r="V4483">
        <v>-2.9182630000000001E-2</v>
      </c>
      <c r="W4483">
        <v>2.5252819999999999E-2</v>
      </c>
      <c r="X4483">
        <v>0.99925509999999995</v>
      </c>
      <c r="Y4483">
        <v>-7.1575429999999995E-2</v>
      </c>
      <c r="Z4483">
        <v>6.4655389999999993E-2</v>
      </c>
      <c r="AA4483">
        <v>0.99533739999999904</v>
      </c>
      <c r="AB4483">
        <v>23</v>
      </c>
      <c r="AC4483">
        <v>-1.72629999999998</v>
      </c>
      <c r="AD4483">
        <v>-1.1060526445059999</v>
      </c>
      <c r="AE4483">
        <v>-16.367699999999999</v>
      </c>
      <c r="AF4483">
        <v>-1.18362428517704</v>
      </c>
      <c r="AG4483">
        <v>-1.1060526445059999</v>
      </c>
      <c r="AH4483">
        <v>16.3416804229654</v>
      </c>
      <c r="AI4483">
        <v>93.8619542141914</v>
      </c>
      <c r="AJ4483">
        <v>94.142686419</v>
      </c>
      <c r="AK4483">
        <v>16.4217793782285</v>
      </c>
    </row>
    <row r="4484" spans="1:37" x14ac:dyDescent="0.2">
      <c r="A4484" t="str">
        <f>"20200111155942344"</f>
        <v>20200111155942344</v>
      </c>
      <c r="B4484" t="str">
        <f>"1578729582334482"</f>
        <v>1578729582334482</v>
      </c>
      <c r="C4484" t="s">
        <v>37</v>
      </c>
      <c r="D4484">
        <v>5.7143990000000002</v>
      </c>
      <c r="E4484">
        <v>0.48425950000000001</v>
      </c>
      <c r="F4484" t="s">
        <v>39</v>
      </c>
      <c r="G4484">
        <v>-423.07900000000001</v>
      </c>
      <c r="H4484" s="1">
        <v>-2.729051E-6</v>
      </c>
      <c r="I4484">
        <v>84.040890000000005</v>
      </c>
      <c r="J4484">
        <v>-421.45819999999998</v>
      </c>
      <c r="K4484">
        <v>1.1060179999999999</v>
      </c>
      <c r="L4484">
        <v>99.944580000000002</v>
      </c>
      <c r="M4484">
        <v>-0.1741936</v>
      </c>
      <c r="N4484">
        <v>0</v>
      </c>
      <c r="O4484">
        <v>-0.98461480000000001</v>
      </c>
      <c r="P4484">
        <v>-0.14237249999999901</v>
      </c>
      <c r="Q4484">
        <v>8.7976659999999905E-3</v>
      </c>
      <c r="R4484">
        <v>-0.98977420000000005</v>
      </c>
      <c r="S4484">
        <v>-0.30746459999999998</v>
      </c>
      <c r="T4484">
        <v>-0.20504220000000001</v>
      </c>
      <c r="U4484">
        <v>-2.98996</v>
      </c>
      <c r="V4484">
        <v>-3.2316549999999999E-2</v>
      </c>
      <c r="W4484">
        <v>2.246507E-2</v>
      </c>
      <c r="X4484">
        <v>0.99922520000000004</v>
      </c>
      <c r="Y4484">
        <v>-7.2797669999999995E-2</v>
      </c>
      <c r="Z4484">
        <v>6.6588019999999998E-2</v>
      </c>
      <c r="AA4484">
        <v>0.99512140000000004</v>
      </c>
      <c r="AB4484">
        <v>23</v>
      </c>
      <c r="AC4484">
        <v>-1.62080000000003</v>
      </c>
      <c r="AD4484">
        <v>-1.106020729051</v>
      </c>
      <c r="AE4484">
        <v>-15.9036899999999</v>
      </c>
      <c r="AF4484">
        <v>-1.16897348729082</v>
      </c>
      <c r="AG4484">
        <v>-1.106020729051</v>
      </c>
      <c r="AH4484">
        <v>15.866907096860301</v>
      </c>
      <c r="AI4484">
        <v>93.976674338254398</v>
      </c>
      <c r="AJ4484">
        <v>94.213578609754194</v>
      </c>
      <c r="AK4484">
        <v>15.948307800123301</v>
      </c>
    </row>
    <row r="4485" spans="1:37" x14ac:dyDescent="0.2">
      <c r="A4485" t="str">
        <f>"20200111155942378"</f>
        <v>20200111155942378</v>
      </c>
      <c r="B4485" t="str">
        <f>"1578729582374499"</f>
        <v>1578729582374499</v>
      </c>
      <c r="C4485" t="s">
        <v>37</v>
      </c>
      <c r="D4485">
        <v>5.6371199999999897</v>
      </c>
      <c r="E4485">
        <v>0.48407549999999999</v>
      </c>
      <c r="F4485" t="s">
        <v>39</v>
      </c>
      <c r="G4485">
        <v>-422.95359999999999</v>
      </c>
      <c r="H4485" s="1">
        <v>-2.8965390000000002E-6</v>
      </c>
      <c r="I4485">
        <v>84.509100000000004</v>
      </c>
      <c r="J4485">
        <v>-421.5145</v>
      </c>
      <c r="K4485">
        <v>1.1059920000000001</v>
      </c>
      <c r="L4485">
        <v>99.601039999999998</v>
      </c>
      <c r="M4485">
        <v>-0.17079</v>
      </c>
      <c r="N4485">
        <v>0</v>
      </c>
      <c r="O4485">
        <v>-0.98521099999999995</v>
      </c>
      <c r="P4485">
        <v>-0.13193869999999999</v>
      </c>
      <c r="Q4485">
        <v>6.2552249999999997E-3</v>
      </c>
      <c r="R4485">
        <v>-0.99123819999999996</v>
      </c>
      <c r="S4485">
        <v>-0.28979490000000002</v>
      </c>
      <c r="T4485">
        <v>-0.21433369999999999</v>
      </c>
      <c r="U4485">
        <v>-2.9912109999999998</v>
      </c>
      <c r="V4485">
        <v>-3.9381939999999997E-2</v>
      </c>
      <c r="W4485">
        <v>1.989312E-2</v>
      </c>
      <c r="X4485">
        <v>0.99902619999999898</v>
      </c>
      <c r="Y4485">
        <v>-7.5233679999999997E-2</v>
      </c>
      <c r="Z4485">
        <v>6.9638710000000006E-2</v>
      </c>
      <c r="AA4485">
        <v>0.99473129999999998</v>
      </c>
      <c r="AB4485">
        <v>23</v>
      </c>
      <c r="AC4485">
        <v>-1.4390999999999901</v>
      </c>
      <c r="AD4485">
        <v>-1.1059948965390001</v>
      </c>
      <c r="AE4485">
        <v>-15.0919399999999</v>
      </c>
      <c r="AF4485">
        <v>-1.1537053448710599</v>
      </c>
      <c r="AG4485">
        <v>-1.1059948965390001</v>
      </c>
      <c r="AH4485">
        <v>15.0359425749363</v>
      </c>
      <c r="AI4485">
        <v>94.194628741267294</v>
      </c>
      <c r="AJ4485">
        <v>94.387698193221198</v>
      </c>
      <c r="AK4485">
        <v>15.1206425078677</v>
      </c>
    </row>
    <row r="4486" spans="1:37" x14ac:dyDescent="0.2">
      <c r="A4486" t="str">
        <f>"20200111155942400"</f>
        <v>20200111155942400</v>
      </c>
      <c r="B4486" t="str">
        <f>"1578729582394994"</f>
        <v>1578729582394994</v>
      </c>
      <c r="C4486" t="s">
        <v>37</v>
      </c>
      <c r="D4486">
        <v>5.8697689999999998</v>
      </c>
      <c r="E4486">
        <v>0.48399579999999998</v>
      </c>
      <c r="F4486" t="s">
        <v>39</v>
      </c>
      <c r="G4486">
        <v>-422.786</v>
      </c>
      <c r="H4486" s="1">
        <v>-2.97910599999999E-6</v>
      </c>
      <c r="I4486">
        <v>84.805530000000005</v>
      </c>
      <c r="J4486">
        <v>-421.55160000000001</v>
      </c>
      <c r="K4486">
        <v>1.105998</v>
      </c>
      <c r="L4486">
        <v>99.371399999999994</v>
      </c>
      <c r="M4486">
        <v>-0.16852049999999999</v>
      </c>
      <c r="N4486">
        <v>0</v>
      </c>
      <c r="O4486">
        <v>-0.98560179999999997</v>
      </c>
      <c r="P4486">
        <v>-0.1246514</v>
      </c>
      <c r="Q4486">
        <v>7.4812180000000004E-3</v>
      </c>
      <c r="R4486">
        <v>-0.99217269999999902</v>
      </c>
      <c r="S4486">
        <v>-0.25726320000000003</v>
      </c>
      <c r="T4486">
        <v>-0.22378400000000001</v>
      </c>
      <c r="U4486">
        <v>-2.9936829999999999</v>
      </c>
      <c r="V4486">
        <v>-4.442463E-2</v>
      </c>
      <c r="W4486">
        <v>2.109687E-2</v>
      </c>
      <c r="X4486">
        <v>0.99878999999999996</v>
      </c>
      <c r="Y4486">
        <v>-8.3751549999999994E-2</v>
      </c>
      <c r="Z4486">
        <v>7.2686520000000004E-2</v>
      </c>
      <c r="AA4486">
        <v>0.99383220000000005</v>
      </c>
      <c r="AB4486">
        <v>23</v>
      </c>
      <c r="AC4486">
        <v>-1.2343999999999899</v>
      </c>
      <c r="AD4486">
        <v>-1.1060009791059999</v>
      </c>
      <c r="AE4486">
        <v>-14.565869999999901</v>
      </c>
      <c r="AF4486">
        <v>-1.2310911578364301</v>
      </c>
      <c r="AG4486">
        <v>-1.1060009791059999</v>
      </c>
      <c r="AH4486">
        <v>14.482648175557101</v>
      </c>
      <c r="AI4486">
        <v>94.351416321719597</v>
      </c>
      <c r="AJ4486">
        <v>94.858722400124904</v>
      </c>
      <c r="AK4486">
        <v>14.5768968502097</v>
      </c>
    </row>
    <row r="4487" spans="1:37" x14ac:dyDescent="0.2">
      <c r="A4487" t="str">
        <f>"20200111155942423"</f>
        <v>20200111155942423</v>
      </c>
      <c r="B4487" t="str">
        <f>"1578729582415198"</f>
        <v>1578729582415198</v>
      </c>
      <c r="C4487" t="s">
        <v>37</v>
      </c>
      <c r="D4487">
        <v>5.7514139999999996</v>
      </c>
      <c r="E4487">
        <v>0.48395549999999998</v>
      </c>
      <c r="F4487" t="s">
        <v>39</v>
      </c>
      <c r="G4487">
        <v>-422.73500000000001</v>
      </c>
      <c r="H4487" s="1">
        <v>-2.7396279999999999E-6</v>
      </c>
      <c r="I4487">
        <v>84.278940000000006</v>
      </c>
      <c r="J4487">
        <v>-421.58879999999999</v>
      </c>
      <c r="K4487">
        <v>1.106007</v>
      </c>
      <c r="L4487">
        <v>99.137879999999996</v>
      </c>
      <c r="M4487">
        <v>-0.16620750000000001</v>
      </c>
      <c r="N4487">
        <v>0</v>
      </c>
      <c r="O4487">
        <v>-0.98599459999999906</v>
      </c>
      <c r="P4487">
        <v>-0.1187882</v>
      </c>
      <c r="Q4487">
        <v>1.053692E-2</v>
      </c>
      <c r="R4487">
        <v>-0.99286399999999997</v>
      </c>
      <c r="S4487">
        <v>-0.23489380000000001</v>
      </c>
      <c r="T4487">
        <v>-0.21953639999999999</v>
      </c>
      <c r="U4487">
        <v>-2.9957889999999998</v>
      </c>
      <c r="V4487">
        <v>-4.798823E-2</v>
      </c>
      <c r="W4487">
        <v>2.4135460000000001E-2</v>
      </c>
      <c r="X4487">
        <v>0.99855629999999995</v>
      </c>
      <c r="Y4487">
        <v>-8.8834960000000004E-2</v>
      </c>
      <c r="Z4487">
        <v>7.1312479999999998E-2</v>
      </c>
      <c r="AA4487">
        <v>0.99349030000000005</v>
      </c>
      <c r="AB4487">
        <v>23</v>
      </c>
      <c r="AC4487">
        <v>-1.1462000000000201</v>
      </c>
      <c r="AD4487">
        <v>-1.106009739628</v>
      </c>
      <c r="AE4487">
        <v>-14.85894</v>
      </c>
      <c r="AF4487">
        <v>-1.3323094584417401</v>
      </c>
      <c r="AG4487">
        <v>-1.106009739628</v>
      </c>
      <c r="AH4487">
        <v>14.7614488843261</v>
      </c>
      <c r="AI4487">
        <v>94.267629105984298</v>
      </c>
      <c r="AJ4487">
        <v>95.157314583259307</v>
      </c>
      <c r="AK4487">
        <v>14.8626605694195</v>
      </c>
    </row>
    <row r="4488" spans="1:37" x14ac:dyDescent="0.2">
      <c r="A4488" t="str">
        <f>"20200111155942444"</f>
        <v>20200111155942444</v>
      </c>
      <c r="B4488" t="str">
        <f>"1578729582434714"</f>
        <v>1578729582434714</v>
      </c>
      <c r="C4488" t="s">
        <v>37</v>
      </c>
      <c r="D4488">
        <v>5.9009970000000003</v>
      </c>
      <c r="E4488">
        <v>0.48387609999999998</v>
      </c>
      <c r="F4488" t="s">
        <v>39</v>
      </c>
      <c r="G4488">
        <v>-422.72149999999999</v>
      </c>
      <c r="H4488" s="1">
        <v>-2.3796360000000002E-6</v>
      </c>
      <c r="I4488">
        <v>83.448160000000001</v>
      </c>
      <c r="J4488">
        <v>-421.62349999999998</v>
      </c>
      <c r="K4488">
        <v>1.1060179999999999</v>
      </c>
      <c r="L4488">
        <v>98.916139999999999</v>
      </c>
      <c r="M4488">
        <v>-0.1639958</v>
      </c>
      <c r="N4488">
        <v>0</v>
      </c>
      <c r="O4488">
        <v>-0.98636489999999999</v>
      </c>
      <c r="P4488">
        <v>-0.115178399999999</v>
      </c>
      <c r="Q4488">
        <v>1.3634459999999999E-2</v>
      </c>
      <c r="R4488">
        <v>-0.99325129999999995</v>
      </c>
      <c r="S4488">
        <v>-0.2164307</v>
      </c>
      <c r="T4488">
        <v>-0.2113295</v>
      </c>
      <c r="U4488">
        <v>-2.9978940000000001</v>
      </c>
      <c r="V4488">
        <v>-4.9383669999999998E-2</v>
      </c>
      <c r="W4488">
        <v>2.722434E-2</v>
      </c>
      <c r="X4488">
        <v>0.99840879999999999</v>
      </c>
      <c r="Y4488">
        <v>-9.2725219999999997E-2</v>
      </c>
      <c r="Z4488">
        <v>6.8653930000000002E-2</v>
      </c>
      <c r="AA4488">
        <v>0.99332199999999904</v>
      </c>
      <c r="AB4488">
        <v>23</v>
      </c>
      <c r="AC4488">
        <v>-1.0980000000000101</v>
      </c>
      <c r="AD4488">
        <v>-1.106020379636</v>
      </c>
      <c r="AE4488">
        <v>-15.467979999999899</v>
      </c>
      <c r="AF4488">
        <v>-1.44643470723067</v>
      </c>
      <c r="AG4488">
        <v>-1.106020379636</v>
      </c>
      <c r="AH4488">
        <v>15.360462787322501</v>
      </c>
      <c r="AI4488">
        <v>94.100361482182393</v>
      </c>
      <c r="AJ4488">
        <v>95.379456569233895</v>
      </c>
      <c r="AK4488">
        <v>15.4680079998419</v>
      </c>
    </row>
    <row r="4489" spans="1:37" x14ac:dyDescent="0.2">
      <c r="A4489" t="str">
        <f>"20200111155942466"</f>
        <v>20200111155942466</v>
      </c>
      <c r="B4489" t="str">
        <f>"1578729582455211"</f>
        <v>1578729582455211</v>
      </c>
      <c r="C4489" t="s">
        <v>37</v>
      </c>
      <c r="D4489">
        <v>8.5279699999999998</v>
      </c>
      <c r="E4489">
        <v>0.483824799999999</v>
      </c>
      <c r="F4489" t="s">
        <v>39</v>
      </c>
      <c r="G4489">
        <v>-422.74900000000002</v>
      </c>
      <c r="H4489" s="1">
        <v>-1.9567639999999999E-6</v>
      </c>
      <c r="I4489">
        <v>82.445369999999997</v>
      </c>
      <c r="J4489">
        <v>-421.65800000000002</v>
      </c>
      <c r="K4489">
        <v>1.106025</v>
      </c>
      <c r="L4489">
        <v>98.692539999999994</v>
      </c>
      <c r="M4489">
        <v>-0.16174050000000001</v>
      </c>
      <c r="N4489">
        <v>0</v>
      </c>
      <c r="O4489">
        <v>-0.98673719999999998</v>
      </c>
      <c r="P4489">
        <v>-0.112710899999999</v>
      </c>
      <c r="Q4489">
        <v>1.533761E-2</v>
      </c>
      <c r="R4489">
        <v>-0.99350989999999995</v>
      </c>
      <c r="S4489">
        <v>-0.2049561</v>
      </c>
      <c r="T4489">
        <v>-0.20141039999999999</v>
      </c>
      <c r="U4489">
        <v>-2.99939</v>
      </c>
      <c r="V4489">
        <v>-4.9583629999999997E-2</v>
      </c>
      <c r="W4489">
        <v>2.8923600000000001E-2</v>
      </c>
      <c r="X4489">
        <v>0.99835110000000005</v>
      </c>
      <c r="Y4489">
        <v>-9.4251059999999998E-2</v>
      </c>
      <c r="Z4489">
        <v>6.5454819999999997E-2</v>
      </c>
      <c r="AA4489">
        <v>0.99339439999999901</v>
      </c>
      <c r="AB4489">
        <v>23</v>
      </c>
      <c r="AC4489">
        <v>-1.091</v>
      </c>
      <c r="AD4489">
        <v>-1.106026956764</v>
      </c>
      <c r="AE4489">
        <v>-16.247170000000001</v>
      </c>
      <c r="AF4489">
        <v>-1.5443177110623001</v>
      </c>
      <c r="AG4489">
        <v>-1.106026956764</v>
      </c>
      <c r="AH4489">
        <v>16.135245046323899</v>
      </c>
      <c r="AI4489">
        <v>93.903551953170094</v>
      </c>
      <c r="AJ4489">
        <v>95.467173125394694</v>
      </c>
      <c r="AK4489">
        <v>16.246671829230401</v>
      </c>
    </row>
    <row r="4490" spans="1:37" x14ac:dyDescent="0.2">
      <c r="A4490" t="str">
        <f>"20200111155942489"</f>
        <v>20200111155942489</v>
      </c>
      <c r="B4490" t="str">
        <f>"1578729582484491"</f>
        <v>1578729582484491</v>
      </c>
      <c r="C4490" t="s">
        <v>37</v>
      </c>
      <c r="D4490">
        <v>5.6387289999999997</v>
      </c>
      <c r="E4490">
        <v>0.48299899999999901</v>
      </c>
      <c r="F4490" t="s">
        <v>39</v>
      </c>
      <c r="G4490">
        <v>-422.76220000000001</v>
      </c>
      <c r="H4490" s="1">
        <v>-1.7004239999999899E-6</v>
      </c>
      <c r="I4490">
        <v>81.83963</v>
      </c>
      <c r="J4490">
        <v>-421.6927</v>
      </c>
      <c r="K4490">
        <v>1.106033</v>
      </c>
      <c r="L4490">
        <v>98.463040000000007</v>
      </c>
      <c r="M4490">
        <v>-0.15940270000000001</v>
      </c>
      <c r="N4490">
        <v>0</v>
      </c>
      <c r="O4490">
        <v>-0.98711749999999998</v>
      </c>
      <c r="P4490">
        <v>-0.1109676</v>
      </c>
      <c r="Q4490">
        <v>1.5795569999999998E-2</v>
      </c>
      <c r="R4490">
        <v>-0.99369850000000004</v>
      </c>
      <c r="S4490">
        <v>-0.1965942</v>
      </c>
      <c r="T4490">
        <v>-0.19690679999999999</v>
      </c>
      <c r="U4490">
        <v>-3.0003359999999999</v>
      </c>
      <c r="V4490">
        <v>-4.8971239999999999E-2</v>
      </c>
      <c r="W4490">
        <v>2.9381640000000001E-2</v>
      </c>
      <c r="X4490">
        <v>0.99836800000000003</v>
      </c>
      <c r="Y4490">
        <v>-9.4664120000000004E-2</v>
      </c>
      <c r="Z4490">
        <v>6.401917E-2</v>
      </c>
      <c r="AA4490">
        <v>0.99344869999999996</v>
      </c>
      <c r="AB4490">
        <v>23</v>
      </c>
      <c r="AC4490">
        <v>-1.0694999999999999</v>
      </c>
      <c r="AD4490">
        <v>-1.1060347004240001</v>
      </c>
      <c r="AE4490">
        <v>-16.62341</v>
      </c>
      <c r="AF4490">
        <v>-1.58724800433316</v>
      </c>
      <c r="AG4490">
        <v>-1.1060347004240001</v>
      </c>
      <c r="AH4490">
        <v>16.508533954834899</v>
      </c>
      <c r="AI4490">
        <v>93.815417923192896</v>
      </c>
      <c r="AJ4490">
        <v>95.491942738549199</v>
      </c>
      <c r="AK4490">
        <v>16.621503010369999</v>
      </c>
    </row>
    <row r="4491" spans="1:37" x14ac:dyDescent="0.2">
      <c r="A4491" t="str">
        <f>"20200111155942512"</f>
        <v>20200111155942512</v>
      </c>
      <c r="B4491" t="str">
        <f>"1578729582504986"</f>
        <v>1578729582504986</v>
      </c>
      <c r="C4491" t="s">
        <v>37</v>
      </c>
      <c r="D4491">
        <v>5.5944760000000002</v>
      </c>
      <c r="E4491">
        <v>0.48223649999999901</v>
      </c>
      <c r="F4491" t="s">
        <v>39</v>
      </c>
      <c r="G4491">
        <v>-422.74130000000002</v>
      </c>
      <c r="H4491" s="1">
        <v>-1.5133199999999999E-6</v>
      </c>
      <c r="I4491">
        <v>81.416439999999994</v>
      </c>
      <c r="J4491">
        <v>-421.7276</v>
      </c>
      <c r="K4491">
        <v>1.1060299999999901</v>
      </c>
      <c r="L4491">
        <v>98.229249999999993</v>
      </c>
      <c r="M4491">
        <v>-0.157001</v>
      </c>
      <c r="N4491">
        <v>0</v>
      </c>
      <c r="O4491">
        <v>-0.98750249999999995</v>
      </c>
      <c r="P4491">
        <v>-0.1097983</v>
      </c>
      <c r="Q4491">
        <v>1.4942479999999999E-2</v>
      </c>
      <c r="R4491">
        <v>-0.9938418</v>
      </c>
      <c r="S4491">
        <v>-0.1846313</v>
      </c>
      <c r="T4491">
        <v>-0.1947479</v>
      </c>
      <c r="U4491">
        <v>-3.0015259999999899</v>
      </c>
      <c r="V4491">
        <v>-4.7716059999999998E-2</v>
      </c>
      <c r="W4491">
        <v>2.85318E-2</v>
      </c>
      <c r="X4491">
        <v>0.99845339999999905</v>
      </c>
      <c r="Y4491">
        <v>-9.6208799999999997E-2</v>
      </c>
      <c r="Z4491">
        <v>6.333548E-2</v>
      </c>
      <c r="AA4491">
        <v>0.99334409999999895</v>
      </c>
      <c r="AB4491">
        <v>23</v>
      </c>
      <c r="AC4491">
        <v>-1.01370000000002</v>
      </c>
      <c r="AD4491">
        <v>-1.1060315133199901</v>
      </c>
      <c r="AE4491">
        <v>-16.812809999999899</v>
      </c>
      <c r="AF4491">
        <v>-1.63171602149633</v>
      </c>
      <c r="AG4491">
        <v>-1.1060315133199901</v>
      </c>
      <c r="AH4491">
        <v>16.6914586951948</v>
      </c>
      <c r="AI4491">
        <v>93.773132719987402</v>
      </c>
      <c r="AJ4491">
        <v>95.583353989784797</v>
      </c>
      <c r="AK4491">
        <v>16.807456567150702</v>
      </c>
    </row>
    <row r="4492" spans="1:37" x14ac:dyDescent="0.2">
      <c r="A4492" t="str">
        <f>"20200111155942534"</f>
        <v>20200111155942534</v>
      </c>
      <c r="B4492" t="str">
        <f>"1578729582524506"</f>
        <v>1578729582524506</v>
      </c>
      <c r="C4492" t="s">
        <v>37</v>
      </c>
      <c r="D4492">
        <v>5.6841039999999996</v>
      </c>
      <c r="E4492">
        <v>0.48149979999999998</v>
      </c>
      <c r="F4492" t="s">
        <v>39</v>
      </c>
      <c r="G4492">
        <v>-422.7054</v>
      </c>
      <c r="H4492" s="1">
        <v>-1.530701E-6</v>
      </c>
      <c r="I4492">
        <v>81.479240000000004</v>
      </c>
      <c r="J4492">
        <v>-421.76069999999999</v>
      </c>
      <c r="K4492">
        <v>1.106025</v>
      </c>
      <c r="L4492">
        <v>98.003419999999906</v>
      </c>
      <c r="M4492">
        <v>-0.154668</v>
      </c>
      <c r="N4492">
        <v>0</v>
      </c>
      <c r="O4492">
        <v>-0.98787080000000005</v>
      </c>
      <c r="P4492">
        <v>-0.10837960000000001</v>
      </c>
      <c r="Q4492">
        <v>1.347023E-2</v>
      </c>
      <c r="R4492">
        <v>-0.99401870000000003</v>
      </c>
      <c r="S4492">
        <v>-0.17526249999999999</v>
      </c>
      <c r="T4492">
        <v>-0.19824029999999901</v>
      </c>
      <c r="U4492">
        <v>-3.0021969999999998</v>
      </c>
      <c r="V4492">
        <v>-4.6780519999999999E-2</v>
      </c>
      <c r="W4492">
        <v>2.70618E-2</v>
      </c>
      <c r="X4492">
        <v>0.99853860000000005</v>
      </c>
      <c r="Y4492">
        <v>-9.6964369999999994E-2</v>
      </c>
      <c r="Z4492">
        <v>6.4491789999999993E-2</v>
      </c>
      <c r="AA4492">
        <v>0.99319619999999997</v>
      </c>
      <c r="AB4492">
        <v>23</v>
      </c>
      <c r="AC4492">
        <v>-0.94470000000001098</v>
      </c>
      <c r="AD4492">
        <v>-1.106026530701</v>
      </c>
      <c r="AE4492">
        <v>-16.524179999999902</v>
      </c>
      <c r="AF4492">
        <v>-1.6154598501017701</v>
      </c>
      <c r="AG4492">
        <v>-1.106026530701</v>
      </c>
      <c r="AH4492">
        <v>16.3982003233942</v>
      </c>
      <c r="AI4492">
        <v>93.840110709113304</v>
      </c>
      <c r="AJ4492">
        <v>95.626308354531801</v>
      </c>
      <c r="AK4492">
        <v>16.514659519955998</v>
      </c>
    </row>
    <row r="4493" spans="1:37" x14ac:dyDescent="0.2">
      <c r="A4493" t="str">
        <f>"20200111155942556"</f>
        <v>20200111155942556</v>
      </c>
      <c r="B4493" t="str">
        <f>"1578729582545003"</f>
        <v>1578729582545003</v>
      </c>
      <c r="C4493" t="s">
        <v>37</v>
      </c>
      <c r="D4493">
        <v>5.677975</v>
      </c>
      <c r="E4493">
        <v>0.4807979</v>
      </c>
      <c r="F4493" t="s">
        <v>39</v>
      </c>
      <c r="G4493">
        <v>-422.65890000000002</v>
      </c>
      <c r="H4493" s="1">
        <v>-1.606424E-6</v>
      </c>
      <c r="I4493">
        <v>81.684569999999994</v>
      </c>
      <c r="J4493">
        <v>-421.79270000000002</v>
      </c>
      <c r="K4493">
        <v>1.1060190000000001</v>
      </c>
      <c r="L4493">
        <v>97.781400000000005</v>
      </c>
      <c r="M4493">
        <v>-0.15236559999999999</v>
      </c>
      <c r="N4493">
        <v>0</v>
      </c>
      <c r="O4493">
        <v>-0.98822840000000001</v>
      </c>
      <c r="P4493">
        <v>-0.1065625</v>
      </c>
      <c r="Q4493">
        <v>1.306482E-2</v>
      </c>
      <c r="R4493">
        <v>-0.99422029999999995</v>
      </c>
      <c r="S4493">
        <v>-0.16528319999999999</v>
      </c>
      <c r="T4493">
        <v>-0.20351830000000001</v>
      </c>
      <c r="U4493">
        <v>-3.0028079999999999</v>
      </c>
      <c r="V4493">
        <v>-4.6277730000000003E-2</v>
      </c>
      <c r="W4493">
        <v>2.6656639999999999E-2</v>
      </c>
      <c r="X4493">
        <v>0.99857289999999999</v>
      </c>
      <c r="Y4493">
        <v>-9.7953159999999997E-2</v>
      </c>
      <c r="Z4493">
        <v>6.6226740000000006E-2</v>
      </c>
      <c r="AA4493">
        <v>0.99298500000000001</v>
      </c>
      <c r="AB4493">
        <v>23</v>
      </c>
      <c r="AC4493">
        <v>-0.86619999999999198</v>
      </c>
      <c r="AD4493">
        <v>-1.1060206064239999</v>
      </c>
      <c r="AE4493">
        <v>-16.096830000000001</v>
      </c>
      <c r="AF4493">
        <v>-1.5892694239738701</v>
      </c>
      <c r="AG4493">
        <v>-1.1060206064239999</v>
      </c>
      <c r="AH4493">
        <v>15.9656840129845</v>
      </c>
      <c r="AI4493">
        <v>93.943399250536501</v>
      </c>
      <c r="AJ4493">
        <v>95.684657592880598</v>
      </c>
      <c r="AK4493">
        <v>16.082665353923201</v>
      </c>
    </row>
    <row r="4494" spans="1:37" x14ac:dyDescent="0.2">
      <c r="A4494" t="str">
        <f>"20200111155942578"</f>
        <v>20200111155942578</v>
      </c>
      <c r="B4494" t="str">
        <f>"1578729582575259"</f>
        <v>1578729582575259</v>
      </c>
      <c r="C4494" t="s">
        <v>37</v>
      </c>
      <c r="D4494">
        <v>5.6873399999999998</v>
      </c>
      <c r="E4494">
        <v>0.47979139999999998</v>
      </c>
      <c r="F4494" t="s">
        <v>39</v>
      </c>
      <c r="G4494">
        <v>-422.6225</v>
      </c>
      <c r="H4494" s="1">
        <v>-1.5642359999999999E-6</v>
      </c>
      <c r="I4494">
        <v>81.608819999999994</v>
      </c>
      <c r="J4494">
        <v>-421.8245</v>
      </c>
      <c r="K4494">
        <v>1.1060140000000001</v>
      </c>
      <c r="L4494">
        <v>97.557339999999996</v>
      </c>
      <c r="M4494">
        <v>-0.15003910000000001</v>
      </c>
      <c r="N4494">
        <v>0</v>
      </c>
      <c r="O4494">
        <v>-0.98858429999999997</v>
      </c>
      <c r="P4494">
        <v>-0.10321039999999999</v>
      </c>
      <c r="Q4494">
        <v>1.481507E-2</v>
      </c>
      <c r="R4494">
        <v>-0.99454949999999998</v>
      </c>
      <c r="S4494">
        <v>-0.1541138</v>
      </c>
      <c r="T4494">
        <v>-0.20541419999999999</v>
      </c>
      <c r="U4494">
        <v>-3.0036320000000001</v>
      </c>
      <c r="V4494">
        <v>-4.7295839999999999E-2</v>
      </c>
      <c r="W4494">
        <v>2.8400249999999998E-2</v>
      </c>
      <c r="X4494">
        <v>0.99847710000000001</v>
      </c>
      <c r="Y4494">
        <v>-9.9309700000000001E-2</v>
      </c>
      <c r="Z4494">
        <v>6.686077E-2</v>
      </c>
      <c r="AA4494">
        <v>0.99280769999999996</v>
      </c>
      <c r="AB4494">
        <v>23</v>
      </c>
      <c r="AC4494">
        <v>-0.79800000000000104</v>
      </c>
      <c r="AD4494">
        <v>-1.1060155642359999</v>
      </c>
      <c r="AE4494">
        <v>-15.94852</v>
      </c>
      <c r="AF4494">
        <v>-1.5965043068653499</v>
      </c>
      <c r="AG4494">
        <v>-1.1060155642359999</v>
      </c>
      <c r="AH4494">
        <v>15.8118379872324</v>
      </c>
      <c r="AI4494">
        <v>93.981065075143505</v>
      </c>
      <c r="AJ4494">
        <v>95.765553587292104</v>
      </c>
      <c r="AK4494">
        <v>15.9306722069302</v>
      </c>
    </row>
    <row r="4495" spans="1:37" x14ac:dyDescent="0.2">
      <c r="A4495" t="str">
        <f>"20200111155942601"</f>
        <v>20200111155942601</v>
      </c>
      <c r="B4495" t="str">
        <f>"1578729582594782"</f>
        <v>1578729582594782</v>
      </c>
      <c r="C4495" t="s">
        <v>37</v>
      </c>
      <c r="D4495">
        <v>5.8422299999999998</v>
      </c>
      <c r="E4495">
        <v>0.47913149999999899</v>
      </c>
      <c r="F4495" t="s">
        <v>39</v>
      </c>
      <c r="G4495">
        <v>-422.5727</v>
      </c>
      <c r="H4495" s="1">
        <v>-1.292749E-6</v>
      </c>
      <c r="I4495">
        <v>81.006869999999907</v>
      </c>
      <c r="J4495">
        <v>-421.85680000000002</v>
      </c>
      <c r="K4495">
        <v>1.10602</v>
      </c>
      <c r="L4495">
        <v>97.325710000000001</v>
      </c>
      <c r="M4495">
        <v>-0.14763519999999999</v>
      </c>
      <c r="N4495">
        <v>0</v>
      </c>
      <c r="O4495">
        <v>-0.98894609999999905</v>
      </c>
      <c r="P4495">
        <v>-9.8311739999999995E-2</v>
      </c>
      <c r="Q4495">
        <v>1.730346E-2</v>
      </c>
      <c r="R4495">
        <v>-0.99500519999999903</v>
      </c>
      <c r="S4495">
        <v>-0.13586429999999999</v>
      </c>
      <c r="T4495">
        <v>-0.2008374</v>
      </c>
      <c r="U4495">
        <v>-3.005341</v>
      </c>
      <c r="V4495">
        <v>-4.9788279999999997E-2</v>
      </c>
      <c r="W4495">
        <v>3.0875369999999999E-2</v>
      </c>
      <c r="X4495">
        <v>0.99828240000000001</v>
      </c>
      <c r="Y4495">
        <v>-0.1029288</v>
      </c>
      <c r="Z4495">
        <v>6.5373870000000001E-2</v>
      </c>
      <c r="AA4495">
        <v>0.99253809999999998</v>
      </c>
      <c r="AB4495">
        <v>23</v>
      </c>
      <c r="AC4495">
        <v>-0.715899999999976</v>
      </c>
      <c r="AD4495">
        <v>-1.1060212927490001</v>
      </c>
      <c r="AE4495">
        <v>-16.318840000000002</v>
      </c>
      <c r="AF4495">
        <v>-1.6936449772087101</v>
      </c>
      <c r="AG4495">
        <v>-1.1060212927490001</v>
      </c>
      <c r="AH4495">
        <v>16.171542141507999</v>
      </c>
      <c r="AI4495">
        <v>93.891324360984896</v>
      </c>
      <c r="AJ4495">
        <v>95.978789142950205</v>
      </c>
      <c r="AK4495">
        <v>16.2975609108667</v>
      </c>
    </row>
    <row r="4496" spans="1:37" x14ac:dyDescent="0.2">
      <c r="A4496" t="str">
        <f>"20200111155942624"</f>
        <v>20200111155942624</v>
      </c>
      <c r="B4496" t="str">
        <f>"1578729582614300"</f>
        <v>1578729582614300</v>
      </c>
      <c r="C4496" t="s">
        <v>37</v>
      </c>
      <c r="D4496">
        <v>5.6770990000000001</v>
      </c>
      <c r="E4496">
        <v>0.4785063</v>
      </c>
      <c r="F4496" t="s">
        <v>39</v>
      </c>
      <c r="G4496">
        <v>-422.51929999999999</v>
      </c>
      <c r="H4496" s="1">
        <v>-9.2875129999999995E-7</v>
      </c>
      <c r="I4496">
        <v>80.191509999999994</v>
      </c>
      <c r="J4496">
        <v>-421.88839999999999</v>
      </c>
      <c r="K4496">
        <v>1.1060289999999999</v>
      </c>
      <c r="L4496">
        <v>97.094819999999999</v>
      </c>
      <c r="M4496">
        <v>-0.1452466</v>
      </c>
      <c r="N4496">
        <v>0</v>
      </c>
      <c r="O4496">
        <v>-0.98929979999999995</v>
      </c>
      <c r="P4496">
        <v>-9.3034619999999998E-2</v>
      </c>
      <c r="Q4496">
        <v>1.839847E-2</v>
      </c>
      <c r="R4496">
        <v>-0.99549310000000002</v>
      </c>
      <c r="S4496">
        <v>-0.116272</v>
      </c>
      <c r="T4496">
        <v>-0.19409849999999901</v>
      </c>
      <c r="U4496">
        <v>-3.0069270000000001</v>
      </c>
      <c r="V4496">
        <v>-5.2671900000000001E-2</v>
      </c>
      <c r="W4496">
        <v>3.19563E-2</v>
      </c>
      <c r="X4496">
        <v>0.9981004</v>
      </c>
      <c r="Y4496">
        <v>-0.1069997</v>
      </c>
      <c r="Z4496">
        <v>6.3184969999999993E-2</v>
      </c>
      <c r="AA4496">
        <v>0.9922493</v>
      </c>
      <c r="AB4496">
        <v>23</v>
      </c>
      <c r="AC4496">
        <v>-0.63089999999999602</v>
      </c>
      <c r="AD4496">
        <v>-1.1060299287513</v>
      </c>
      <c r="AE4496">
        <v>-16.903310000000001</v>
      </c>
      <c r="AF4496">
        <v>-1.8233765952683501</v>
      </c>
      <c r="AG4496">
        <v>-1.1060299287513</v>
      </c>
      <c r="AH4496">
        <v>16.744080112699699</v>
      </c>
      <c r="AI4496">
        <v>93.7570350173458</v>
      </c>
      <c r="AJ4496">
        <v>96.214837502538302</v>
      </c>
      <c r="AK4496">
        <v>16.879343092430201</v>
      </c>
    </row>
    <row r="4497" spans="1:37" x14ac:dyDescent="0.2">
      <c r="A4497" t="str">
        <f>"20200111155942646"</f>
        <v>20200111155942646</v>
      </c>
      <c r="B4497" t="str">
        <f>"1578729582634796"</f>
        <v>1578729582634796</v>
      </c>
      <c r="C4497" t="s">
        <v>37</v>
      </c>
      <c r="D4497">
        <v>5.7272879999999997</v>
      </c>
      <c r="E4497">
        <v>0.47790359999999998</v>
      </c>
      <c r="F4497" t="s">
        <v>39</v>
      </c>
      <c r="G4497">
        <v>-422.43900000000002</v>
      </c>
      <c r="H4497" s="1">
        <v>-6.985414E-7</v>
      </c>
      <c r="I4497">
        <v>79.704689999999999</v>
      </c>
      <c r="J4497">
        <v>-421.91809999999998</v>
      </c>
      <c r="K4497">
        <v>1.1060129999999999</v>
      </c>
      <c r="L4497">
        <v>96.873750000000001</v>
      </c>
      <c r="M4497">
        <v>-0.14297650000000001</v>
      </c>
      <c r="N4497">
        <v>0</v>
      </c>
      <c r="O4497">
        <v>-0.98963049999999997</v>
      </c>
      <c r="P4497">
        <v>-8.8723990000000003E-2</v>
      </c>
      <c r="Q4497">
        <v>1.6744820000000001E-2</v>
      </c>
      <c r="R4497">
        <v>-0.99591549999999995</v>
      </c>
      <c r="S4497">
        <v>-9.5245360000000001E-2</v>
      </c>
      <c r="T4497">
        <v>-0.1913251</v>
      </c>
      <c r="U4497">
        <v>-3.0082089999999999</v>
      </c>
      <c r="V4497">
        <v>-5.4701130000000001E-2</v>
      </c>
      <c r="W4497">
        <v>3.0293899999999999E-2</v>
      </c>
      <c r="X4497">
        <v>0.99804309999999996</v>
      </c>
      <c r="Y4497">
        <v>-0.11165889999999901</v>
      </c>
      <c r="Z4497">
        <v>6.2281919999999998E-2</v>
      </c>
      <c r="AA4497">
        <v>0.99179300000000004</v>
      </c>
      <c r="AB4497">
        <v>23</v>
      </c>
      <c r="AC4497">
        <v>-0.52090000000004</v>
      </c>
      <c r="AD4497">
        <v>-1.10601369854139</v>
      </c>
      <c r="AE4497">
        <v>-17.169060000000002</v>
      </c>
      <c r="AF4497">
        <v>-1.93144928291145</v>
      </c>
      <c r="AG4497">
        <v>-1.10601369854139</v>
      </c>
      <c r="AH4497">
        <v>16.996648506067402</v>
      </c>
      <c r="AI4497">
        <v>93.699385612611593</v>
      </c>
      <c r="AJ4497">
        <v>96.483113471747799</v>
      </c>
      <c r="AK4497">
        <v>17.141756709060601</v>
      </c>
    </row>
    <row r="4498" spans="1:37" x14ac:dyDescent="0.2">
      <c r="A4498" t="str">
        <f>"20200111155942691"</f>
        <v>20200111155942691</v>
      </c>
      <c r="B4498" t="str">
        <f>"1578729582684571"</f>
        <v>1578729582684571</v>
      </c>
      <c r="C4498" t="s">
        <v>37</v>
      </c>
      <c r="D4498">
        <v>5.3597460000000003</v>
      </c>
      <c r="E4498">
        <v>0.47697619999999902</v>
      </c>
      <c r="F4498" t="s">
        <v>39</v>
      </c>
      <c r="G4498">
        <v>-422.3526</v>
      </c>
      <c r="H4498" s="1">
        <v>-7.8640469999999905E-7</v>
      </c>
      <c r="I4498">
        <v>79.96311</v>
      </c>
      <c r="J4498">
        <v>-421.9778</v>
      </c>
      <c r="K4498">
        <v>1.105963</v>
      </c>
      <c r="L4498">
        <v>96.418400000000005</v>
      </c>
      <c r="M4498">
        <v>-0.13838149999999999</v>
      </c>
      <c r="N4498">
        <v>0</v>
      </c>
      <c r="O4498">
        <v>-0.99028359999999904</v>
      </c>
      <c r="P4498">
        <v>-8.3699259999999998E-2</v>
      </c>
      <c r="Q4498">
        <v>1.335571E-2</v>
      </c>
      <c r="R4498">
        <v>-0.99640200000000001</v>
      </c>
      <c r="S4498">
        <v>-7.7301030000000007E-2</v>
      </c>
      <c r="T4498">
        <v>-0.19678119999999999</v>
      </c>
      <c r="U4498">
        <v>-3.0087280000000001</v>
      </c>
      <c r="V4498">
        <v>-5.5094820000000003E-2</v>
      </c>
      <c r="W4498">
        <v>2.6903549999999998E-2</v>
      </c>
      <c r="X4498">
        <v>0.99811859999999997</v>
      </c>
      <c r="Y4498">
        <v>-0.1129646</v>
      </c>
      <c r="Z4498">
        <v>6.410391E-2</v>
      </c>
      <c r="AA4498">
        <v>0.99152899999999999</v>
      </c>
      <c r="AB4498">
        <v>23</v>
      </c>
      <c r="AC4498">
        <v>-0.37479999999999303</v>
      </c>
      <c r="AD4498">
        <v>-1.1059637864047001</v>
      </c>
      <c r="AE4498">
        <v>-16.455290000000002</v>
      </c>
      <c r="AF4498">
        <v>-1.89756226032075</v>
      </c>
      <c r="AG4498">
        <v>-1.1059637864047001</v>
      </c>
      <c r="AH4498">
        <v>16.275332798606701</v>
      </c>
      <c r="AI4498">
        <v>93.861388817505301</v>
      </c>
      <c r="AJ4498">
        <v>96.650164981793395</v>
      </c>
      <c r="AK4498">
        <v>16.422860778014201</v>
      </c>
    </row>
    <row r="4499" spans="1:37" x14ac:dyDescent="0.2">
      <c r="A4499" t="str">
        <f>"20200111155942892"</f>
        <v>20200111155942892</v>
      </c>
      <c r="B4499" t="str">
        <f>"1578729582884651"</f>
        <v>1578729582884651</v>
      </c>
      <c r="C4499" t="s">
        <v>37</v>
      </c>
      <c r="D4499">
        <v>5.5912249999999997</v>
      </c>
      <c r="E4499">
        <v>0.38295649999999998</v>
      </c>
      <c r="F4499" t="s">
        <v>39</v>
      </c>
      <c r="G4499">
        <v>-422.26929999999999</v>
      </c>
      <c r="H4499" s="1">
        <v>-9.2025730000000001E-7</v>
      </c>
      <c r="I4499">
        <v>80.326790000000003</v>
      </c>
      <c r="J4499">
        <v>-422.221</v>
      </c>
      <c r="K4499">
        <v>1.1055649999999999</v>
      </c>
      <c r="L4499">
        <v>94.396730000000005</v>
      </c>
      <c r="M4499">
        <v>-0.1204432</v>
      </c>
      <c r="N4499">
        <v>0</v>
      </c>
      <c r="O4499">
        <v>-0.99262549999999905</v>
      </c>
      <c r="P4499">
        <v>-6.0192860000000001E-2</v>
      </c>
      <c r="Q4499">
        <v>1.410924E-2</v>
      </c>
      <c r="R4499">
        <v>-0.99808730000000001</v>
      </c>
      <c r="S4499">
        <v>-5.450439E-2</v>
      </c>
      <c r="T4499">
        <v>-0.20680870000000001</v>
      </c>
      <c r="U4499">
        <v>-3.0090330000000001</v>
      </c>
      <c r="V4499">
        <v>-6.0538439999999999E-2</v>
      </c>
      <c r="W4499">
        <v>2.765428E-2</v>
      </c>
      <c r="X4499">
        <v>0.99778269999999902</v>
      </c>
      <c r="Y4499">
        <v>-0.102497</v>
      </c>
      <c r="Z4499">
        <v>6.7633509999999994E-2</v>
      </c>
      <c r="AA4499">
        <v>0.99243139999999996</v>
      </c>
      <c r="AB4499">
        <v>23</v>
      </c>
      <c r="AC4499">
        <v>-4.8299999999983301E-2</v>
      </c>
      <c r="AD4499">
        <v>-1.1055659202572901</v>
      </c>
      <c r="AE4499">
        <v>-14.069940000000001</v>
      </c>
      <c r="AF4499">
        <v>-1.6367341387813701</v>
      </c>
      <c r="AG4499">
        <v>-1.1055659202572901</v>
      </c>
      <c r="AH4499">
        <v>13.8875681302882</v>
      </c>
      <c r="AI4499">
        <v>94.520466002324497</v>
      </c>
      <c r="AJ4499">
        <v>96.721648235910394</v>
      </c>
      <c r="AK4499">
        <v>14.0273206001176</v>
      </c>
    </row>
    <row r="4500" spans="1:37" x14ac:dyDescent="0.2">
      <c r="A4500" t="str">
        <f>"20200111155942914"</f>
        <v>20200111155942914</v>
      </c>
      <c r="B4500" t="str">
        <f>"1578729582905147"</f>
        <v>1578729582905147</v>
      </c>
      <c r="C4500" t="s">
        <v>37</v>
      </c>
      <c r="D4500">
        <v>5.6151470000000003</v>
      </c>
      <c r="E4500">
        <v>0.44652179999999903</v>
      </c>
      <c r="F4500" t="s">
        <v>39</v>
      </c>
      <c r="G4500">
        <v>-419.20749999999998</v>
      </c>
      <c r="H4500" s="1">
        <v>-1.327624E-6</v>
      </c>
      <c r="I4500">
        <v>82.399799999999999</v>
      </c>
      <c r="J4500">
        <v>-422.24560000000002</v>
      </c>
      <c r="K4500">
        <v>1.1055360000000001</v>
      </c>
      <c r="L4500">
        <v>94.177369999999996</v>
      </c>
      <c r="M4500">
        <v>-0.1188081</v>
      </c>
      <c r="N4500">
        <v>0</v>
      </c>
      <c r="O4500">
        <v>-0.99282280000000001</v>
      </c>
      <c r="P4500">
        <v>-5.7094909999999999E-2</v>
      </c>
      <c r="Q4500">
        <v>1.496989E-2</v>
      </c>
      <c r="R4500">
        <v>-0.998256699999999</v>
      </c>
      <c r="S4500">
        <v>0.76763919999999997</v>
      </c>
      <c r="T4500">
        <v>-0.28162569999999998</v>
      </c>
      <c r="U4500">
        <v>-3.0560299999999998</v>
      </c>
      <c r="V4500">
        <v>-6.1989910000000002E-2</v>
      </c>
      <c r="W4500">
        <v>2.85113E-2</v>
      </c>
      <c r="X4500">
        <v>0.99766949999999999</v>
      </c>
      <c r="Y4500">
        <v>-0.35620009999999902</v>
      </c>
      <c r="Z4500">
        <v>8.6442859999999996E-2</v>
      </c>
      <c r="AA4500">
        <v>0.93040259999999997</v>
      </c>
      <c r="AB4500">
        <v>23</v>
      </c>
      <c r="AC4500">
        <v>3.03810000000004</v>
      </c>
      <c r="AD4500">
        <v>-1.1055373276239999</v>
      </c>
      <c r="AE4500">
        <v>-11.7775699999999</v>
      </c>
      <c r="AF4500">
        <v>-4.3797961493053004</v>
      </c>
      <c r="AG4500">
        <v>-1.1055373276239999</v>
      </c>
      <c r="AH4500">
        <v>11.240290406572299</v>
      </c>
      <c r="AI4500">
        <v>95.236163839189601</v>
      </c>
      <c r="AJ4500">
        <v>111.28845069387501</v>
      </c>
      <c r="AK4500">
        <v>12.113998329053899</v>
      </c>
    </row>
    <row r="4501" spans="1:37" x14ac:dyDescent="0.2">
      <c r="A4501" t="str">
        <f>"20200111155942936"</f>
        <v>20200111155942936</v>
      </c>
      <c r="B4501" t="str">
        <f>"1578729582925175"</f>
        <v>1578729582925175</v>
      </c>
      <c r="C4501" t="s">
        <v>37</v>
      </c>
      <c r="D4501">
        <v>5.551418</v>
      </c>
      <c r="E4501">
        <v>0.44630690000000001</v>
      </c>
      <c r="F4501" t="s">
        <v>39</v>
      </c>
      <c r="G4501">
        <v>-420.4545</v>
      </c>
      <c r="H4501" s="1">
        <v>-1.901471E-6</v>
      </c>
      <c r="I4501">
        <v>73.739609999999999</v>
      </c>
      <c r="J4501">
        <v>-422.2697</v>
      </c>
      <c r="K4501">
        <v>1.105515</v>
      </c>
      <c r="L4501">
        <v>93.960480000000004</v>
      </c>
      <c r="M4501">
        <v>-0.11723789999999901</v>
      </c>
      <c r="N4501">
        <v>0</v>
      </c>
      <c r="O4501">
        <v>-0.99300929999999998</v>
      </c>
      <c r="P4501">
        <v>-5.5095829999999998E-2</v>
      </c>
      <c r="Q4501">
        <v>1.530374E-2</v>
      </c>
      <c r="R4501">
        <v>-0.99836399999999903</v>
      </c>
      <c r="S4501">
        <v>0.26492309999999902</v>
      </c>
      <c r="T4501">
        <v>-0.1635151</v>
      </c>
      <c r="U4501">
        <v>-3.0228579999999998</v>
      </c>
      <c r="V4501">
        <v>-6.2408419999999999E-2</v>
      </c>
      <c r="W4501">
        <v>2.8844470000000001E-2</v>
      </c>
      <c r="X4501">
        <v>0.99763380000000002</v>
      </c>
      <c r="Y4501">
        <v>-0.20338000000000001</v>
      </c>
      <c r="Z4501">
        <v>5.2788870000000002E-2</v>
      </c>
      <c r="AA4501">
        <v>0.97767579999999998</v>
      </c>
      <c r="AB4501">
        <v>23</v>
      </c>
      <c r="AC4501">
        <v>1.8151999999999999</v>
      </c>
      <c r="AD4501">
        <v>-1.105516901471</v>
      </c>
      <c r="AE4501">
        <v>-20.220870000000001</v>
      </c>
      <c r="AF4501">
        <v>-4.1612161476910803</v>
      </c>
      <c r="AG4501">
        <v>-1.105516901471</v>
      </c>
      <c r="AH4501">
        <v>19.809828580952502</v>
      </c>
      <c r="AI4501">
        <v>93.126078879527398</v>
      </c>
      <c r="AJ4501">
        <v>101.862970674517</v>
      </c>
      <c r="AK4501">
        <v>20.272325861971598</v>
      </c>
    </row>
    <row r="4502" spans="1:37" x14ac:dyDescent="0.2">
      <c r="A4502" t="str">
        <f>"20200111155942958"</f>
        <v>20200111155942958</v>
      </c>
      <c r="B4502" t="str">
        <f>"1578729582954455"</f>
        <v>1578729582954455</v>
      </c>
      <c r="C4502" t="s">
        <v>37</v>
      </c>
      <c r="D4502">
        <v>5.5031480000000004</v>
      </c>
      <c r="E4502">
        <v>0.44663269999999999</v>
      </c>
      <c r="F4502" t="s">
        <v>39</v>
      </c>
      <c r="G4502">
        <v>-420.54079999999999</v>
      </c>
      <c r="H4502" s="1">
        <v>-2.4174259999999998E-6</v>
      </c>
      <c r="I4502">
        <v>74.888769999999994</v>
      </c>
      <c r="J4502">
        <v>-422.2937</v>
      </c>
      <c r="K4502">
        <v>1.1054979999999901</v>
      </c>
      <c r="L4502">
        <v>93.740880000000004</v>
      </c>
      <c r="M4502">
        <v>-0.1156837</v>
      </c>
      <c r="N4502">
        <v>0</v>
      </c>
      <c r="O4502">
        <v>-0.9931915</v>
      </c>
      <c r="P4502">
        <v>-5.442549E-2</v>
      </c>
      <c r="Q4502">
        <v>1.6081439999999999E-2</v>
      </c>
      <c r="R4502">
        <v>-0.99838850000000001</v>
      </c>
      <c r="S4502">
        <v>0.27401729999999902</v>
      </c>
      <c r="T4502">
        <v>-0.17521689999999901</v>
      </c>
      <c r="U4502">
        <v>-3.0227360000000001</v>
      </c>
      <c r="V4502">
        <v>-6.1515510000000002E-2</v>
      </c>
      <c r="W4502">
        <v>2.962424E-2</v>
      </c>
      <c r="X4502">
        <v>0.99766639999999995</v>
      </c>
      <c r="Y4502">
        <v>-0.20475019999999999</v>
      </c>
      <c r="Z4502">
        <v>5.6556780000000001E-2</v>
      </c>
      <c r="AA4502">
        <v>0.97717889999999996</v>
      </c>
      <c r="AB4502">
        <v>23</v>
      </c>
      <c r="AC4502">
        <v>1.7529000000000099</v>
      </c>
      <c r="AD4502">
        <v>-1.1055004174259999</v>
      </c>
      <c r="AE4502">
        <v>-18.85211</v>
      </c>
      <c r="AF4502">
        <v>-3.9088893832432001</v>
      </c>
      <c r="AG4502">
        <v>-1.1055004174259999</v>
      </c>
      <c r="AH4502">
        <v>18.459779911815499</v>
      </c>
      <c r="AI4502">
        <v>93.353005075256405</v>
      </c>
      <c r="AJ4502">
        <v>101.955869869484</v>
      </c>
      <c r="AK4502">
        <v>18.9014555464924</v>
      </c>
    </row>
    <row r="4503" spans="1:37" x14ac:dyDescent="0.2">
      <c r="A4503" t="str">
        <f>"20200111155942981"</f>
        <v>20200111155942981</v>
      </c>
      <c r="B4503" t="str">
        <f>"1578729582974950"</f>
        <v>1578729582974950</v>
      </c>
      <c r="C4503" t="s">
        <v>37</v>
      </c>
      <c r="D4503">
        <v>5.5106489999999999</v>
      </c>
      <c r="E4503">
        <v>0.44667429999999902</v>
      </c>
      <c r="F4503" t="s">
        <v>39</v>
      </c>
      <c r="G4503">
        <v>-420.51499999999999</v>
      </c>
      <c r="H4503" s="1">
        <v>-2.0811689999999999E-6</v>
      </c>
      <c r="I4503">
        <v>74.120949999999993</v>
      </c>
      <c r="J4503">
        <v>-422.3184</v>
      </c>
      <c r="K4503">
        <v>1.105486</v>
      </c>
      <c r="L4503">
        <v>93.511930000000007</v>
      </c>
      <c r="M4503">
        <v>-0.114085899999999</v>
      </c>
      <c r="N4503">
        <v>0</v>
      </c>
      <c r="O4503">
        <v>-0.99337640000000005</v>
      </c>
      <c r="P4503">
        <v>-5.3107759999999997E-2</v>
      </c>
      <c r="Q4503">
        <v>1.7562599999999901E-2</v>
      </c>
      <c r="R4503">
        <v>-0.99843470000000001</v>
      </c>
      <c r="S4503">
        <v>0.27401729999999902</v>
      </c>
      <c r="T4503">
        <v>-0.1703064</v>
      </c>
      <c r="U4503">
        <v>-3.0225219999999999</v>
      </c>
      <c r="V4503">
        <v>-6.1226370000000002E-2</v>
      </c>
      <c r="W4503">
        <v>3.11051E-2</v>
      </c>
      <c r="X4503">
        <v>0.9976391</v>
      </c>
      <c r="Y4503">
        <v>-0.2031897</v>
      </c>
      <c r="Z4503">
        <v>5.5005409999999998E-2</v>
      </c>
      <c r="AA4503">
        <v>0.97759309999999999</v>
      </c>
      <c r="AB4503">
        <v>22</v>
      </c>
      <c r="AC4503">
        <v>1.8034000000000101</v>
      </c>
      <c r="AD4503">
        <v>-1.105488081169</v>
      </c>
      <c r="AE4503">
        <v>-19.390979999999999</v>
      </c>
      <c r="AF4503">
        <v>-3.9912073361404898</v>
      </c>
      <c r="AG4503">
        <v>-1.105488081169</v>
      </c>
      <c r="AH4503">
        <v>18.9973728866043</v>
      </c>
      <c r="AI4503">
        <v>93.259381387930603</v>
      </c>
      <c r="AJ4503">
        <v>101.864860155347</v>
      </c>
      <c r="AK4503">
        <v>19.4435597689918</v>
      </c>
    </row>
    <row r="4504" spans="1:37" x14ac:dyDescent="0.2">
      <c r="A4504" t="str">
        <f>"20200111155943004"</f>
        <v>20200111155943004</v>
      </c>
      <c r="B4504" t="str">
        <f>"1578729582994470"</f>
        <v>1578729582994470</v>
      </c>
      <c r="C4504" t="s">
        <v>37</v>
      </c>
      <c r="D4504">
        <v>5.488588</v>
      </c>
      <c r="E4504">
        <v>0.44687769999999999</v>
      </c>
      <c r="F4504" t="s">
        <v>39</v>
      </c>
      <c r="G4504">
        <v>-420.51119999999997</v>
      </c>
      <c r="H4504" s="1">
        <v>-1.9599180000000001E-6</v>
      </c>
      <c r="I4504">
        <v>73.840689999999995</v>
      </c>
      <c r="J4504">
        <v>-422.34280000000001</v>
      </c>
      <c r="K4504">
        <v>1.1054660000000001</v>
      </c>
      <c r="L4504">
        <v>93.282929999999993</v>
      </c>
      <c r="M4504">
        <v>-0.1124984</v>
      </c>
      <c r="N4504">
        <v>0</v>
      </c>
      <c r="O4504">
        <v>-0.99355749999999998</v>
      </c>
      <c r="P4504">
        <v>-5.2974210000000001E-2</v>
      </c>
      <c r="Q4504">
        <v>1.8870020000000001E-2</v>
      </c>
      <c r="R4504">
        <v>-0.99841769999999996</v>
      </c>
      <c r="S4504">
        <v>0.27767940000000002</v>
      </c>
      <c r="T4504">
        <v>-0.1698567</v>
      </c>
      <c r="U4504">
        <v>-3.0224609999999998</v>
      </c>
      <c r="V4504">
        <v>-5.9763860000000002E-2</v>
      </c>
      <c r="W4504">
        <v>3.2414779999999997E-2</v>
      </c>
      <c r="X4504">
        <v>0.99768609999999902</v>
      </c>
      <c r="Y4504">
        <v>-0.20280239999999999</v>
      </c>
      <c r="Z4504">
        <v>5.4876199999999903E-2</v>
      </c>
      <c r="AA4504">
        <v>0.97768080000000002</v>
      </c>
      <c r="AB4504">
        <v>22</v>
      </c>
      <c r="AC4504">
        <v>1.8316000000000301</v>
      </c>
      <c r="AD4504">
        <v>-1.105467959918</v>
      </c>
      <c r="AE4504">
        <v>-19.442239999999899</v>
      </c>
      <c r="AF4504">
        <v>-3.9945959850892301</v>
      </c>
      <c r="AG4504">
        <v>-1.105467959918</v>
      </c>
      <c r="AH4504">
        <v>19.0516728189552</v>
      </c>
      <c r="AI4504">
        <v>93.2503270429672</v>
      </c>
      <c r="AJ4504">
        <v>101.84176036886301</v>
      </c>
      <c r="AK4504">
        <v>19.497309909190399</v>
      </c>
    </row>
    <row r="4505" spans="1:37" x14ac:dyDescent="0.2">
      <c r="A4505" t="str">
        <f>"20200111155943026"</f>
        <v>20200111155943026</v>
      </c>
      <c r="B4505" t="str">
        <f>"1578729583014499"</f>
        <v>1578729583014499</v>
      </c>
      <c r="C4505" t="s">
        <v>37</v>
      </c>
      <c r="D4505">
        <v>5.4996269999999896</v>
      </c>
      <c r="E4505">
        <v>0.44668909999999901</v>
      </c>
      <c r="F4505" t="s">
        <v>39</v>
      </c>
      <c r="G4505">
        <v>-420.48480000000001</v>
      </c>
      <c r="H4505" s="1">
        <v>-1.5886469999999999E-6</v>
      </c>
      <c r="I4505">
        <v>72.991609999999994</v>
      </c>
      <c r="J4505">
        <v>-422.3648</v>
      </c>
      <c r="K4505">
        <v>1.105464</v>
      </c>
      <c r="L4505">
        <v>93.072779999999995</v>
      </c>
      <c r="M4505">
        <v>-0.1110421</v>
      </c>
      <c r="N4505">
        <v>0</v>
      </c>
      <c r="O4505">
        <v>-0.99372119999999997</v>
      </c>
      <c r="P4505">
        <v>-5.309879E-2</v>
      </c>
      <c r="Q4505">
        <v>1.9847259999999999E-2</v>
      </c>
      <c r="R4505">
        <v>-0.9983919</v>
      </c>
      <c r="S4505">
        <v>0.27676390000000001</v>
      </c>
      <c r="T4505">
        <v>-0.16466819999999999</v>
      </c>
      <c r="U4505">
        <v>-3.0225520000000001</v>
      </c>
      <c r="V4505">
        <v>-5.8176770000000003E-2</v>
      </c>
      <c r="W4505">
        <v>3.339367E-2</v>
      </c>
      <c r="X4505">
        <v>0.99774759999999996</v>
      </c>
      <c r="Y4505">
        <v>-0.20107900000000001</v>
      </c>
      <c r="Z4505">
        <v>5.3227089999999998E-2</v>
      </c>
      <c r="AA4505">
        <v>0.97812790000000005</v>
      </c>
      <c r="AB4505">
        <v>22</v>
      </c>
      <c r="AC4505">
        <v>1.8799999999999899</v>
      </c>
      <c r="AD4505">
        <v>-1.105465588647</v>
      </c>
      <c r="AE4505">
        <v>-20.08117</v>
      </c>
      <c r="AF4505">
        <v>-4.0861605974839197</v>
      </c>
      <c r="AG4505">
        <v>-1.105465588647</v>
      </c>
      <c r="AH4505">
        <v>19.689030996472201</v>
      </c>
      <c r="AI4505">
        <v>93.146659124084294</v>
      </c>
      <c r="AJ4505">
        <v>101.724436693974</v>
      </c>
      <c r="AK4505">
        <v>20.138935030833998</v>
      </c>
    </row>
    <row r="4506" spans="1:37" x14ac:dyDescent="0.2">
      <c r="A4506" t="str">
        <f>"20200111155943048"</f>
        <v>20200111155943048</v>
      </c>
      <c r="B4506" t="str">
        <f>"1578729583044756"</f>
        <v>1578729583044756</v>
      </c>
      <c r="C4506" t="s">
        <v>37</v>
      </c>
      <c r="D4506">
        <v>5.4979649999999998</v>
      </c>
      <c r="E4506">
        <v>0.4480807</v>
      </c>
      <c r="F4506" t="s">
        <v>39</v>
      </c>
      <c r="G4506">
        <v>-420.56380000000001</v>
      </c>
      <c r="H4506" s="1">
        <v>-1.828733E-6</v>
      </c>
      <c r="I4506">
        <v>73.502219999999994</v>
      </c>
      <c r="J4506">
        <v>-422.38799999999998</v>
      </c>
      <c r="K4506">
        <v>1.105467</v>
      </c>
      <c r="L4506">
        <v>92.848819999999904</v>
      </c>
      <c r="M4506">
        <v>-0.10947850000000001</v>
      </c>
      <c r="N4506">
        <v>0</v>
      </c>
      <c r="O4506">
        <v>-0.99389499999999997</v>
      </c>
      <c r="P4506">
        <v>-5.2702039999999999E-2</v>
      </c>
      <c r="Q4506">
        <v>1.9622250000000001E-2</v>
      </c>
      <c r="R4506">
        <v>-0.99841789999999997</v>
      </c>
      <c r="S4506">
        <v>0.27819820000000001</v>
      </c>
      <c r="T4506">
        <v>-0.17075989999999999</v>
      </c>
      <c r="U4506">
        <v>-3.0230410000000001</v>
      </c>
      <c r="V4506">
        <v>-5.7003449999999997E-2</v>
      </c>
      <c r="W4506">
        <v>3.3167780000000001E-2</v>
      </c>
      <c r="X4506">
        <v>0.99782289999999996</v>
      </c>
      <c r="Y4506">
        <v>-0.1999736</v>
      </c>
      <c r="Z4506">
        <v>5.5201020000000003E-2</v>
      </c>
      <c r="AA4506">
        <v>0.97824509999999898</v>
      </c>
      <c r="AB4506">
        <v>22</v>
      </c>
      <c r="AC4506">
        <v>1.82420000000001</v>
      </c>
      <c r="AD4506">
        <v>-1.1054688287329999</v>
      </c>
      <c r="AE4506">
        <v>-19.346599999999899</v>
      </c>
      <c r="AF4506">
        <v>-3.91878588584223</v>
      </c>
      <c r="AG4506">
        <v>-1.1054688287329999</v>
      </c>
      <c r="AH4506">
        <v>18.969170918867999</v>
      </c>
      <c r="AI4506">
        <v>93.2664406072156</v>
      </c>
      <c r="AJ4506">
        <v>101.672365306633</v>
      </c>
      <c r="AK4506">
        <v>19.401247111966899</v>
      </c>
    </row>
    <row r="4507" spans="1:37" x14ac:dyDescent="0.2">
      <c r="A4507" t="str">
        <f>"20200111155943071"</f>
        <v>20200111155943071</v>
      </c>
      <c r="B4507" t="str">
        <f>"1578729583065251"</f>
        <v>1578729583065251</v>
      </c>
      <c r="C4507" t="s">
        <v>37</v>
      </c>
      <c r="D4507">
        <v>5.5161030000000002</v>
      </c>
      <c r="E4507">
        <v>0.44863690000000001</v>
      </c>
      <c r="F4507" t="s">
        <v>39</v>
      </c>
      <c r="G4507">
        <v>-420.6798</v>
      </c>
      <c r="H4507" s="1">
        <v>-1.897943E-6</v>
      </c>
      <c r="I4507">
        <v>73.591639999999998</v>
      </c>
      <c r="J4507">
        <v>-422.41109999999998</v>
      </c>
      <c r="K4507">
        <v>1.105475</v>
      </c>
      <c r="L4507">
        <v>92.620909999999995</v>
      </c>
      <c r="M4507">
        <v>-0.10786989999999901</v>
      </c>
      <c r="N4507">
        <v>0</v>
      </c>
      <c r="O4507">
        <v>-0.99407080000000003</v>
      </c>
      <c r="P4507">
        <v>-5.1618379999999998E-2</v>
      </c>
      <c r="Q4507">
        <v>1.8324739999999999E-2</v>
      </c>
      <c r="R4507">
        <v>-0.99849889999999997</v>
      </c>
      <c r="S4507">
        <v>0.26809690000000003</v>
      </c>
      <c r="T4507">
        <v>-0.17349899999999999</v>
      </c>
      <c r="U4507">
        <v>-3.0223390000000001</v>
      </c>
      <c r="V4507">
        <v>-5.6471970000000003E-2</v>
      </c>
      <c r="W4507">
        <v>3.1868130000000001E-2</v>
      </c>
      <c r="X4507">
        <v>0.99789550000000005</v>
      </c>
      <c r="Y4507">
        <v>-0.19515869999999999</v>
      </c>
      <c r="Z4507">
        <v>5.6147849999999999E-2</v>
      </c>
      <c r="AA4507">
        <v>0.97916320000000001</v>
      </c>
      <c r="AB4507">
        <v>22</v>
      </c>
      <c r="AC4507">
        <v>1.7312999999999701</v>
      </c>
      <c r="AD4507">
        <v>-1.1054768979430001</v>
      </c>
      <c r="AE4507">
        <v>-19.02927</v>
      </c>
      <c r="AF4507">
        <v>-3.7614834973851901</v>
      </c>
      <c r="AG4507">
        <v>-1.1054768979430001</v>
      </c>
      <c r="AH4507">
        <v>18.668953288345001</v>
      </c>
      <c r="AI4507">
        <v>93.322188461596198</v>
      </c>
      <c r="AJ4507">
        <v>101.391630704778</v>
      </c>
      <c r="AK4507">
        <v>19.0761802821056</v>
      </c>
    </row>
    <row r="4508" spans="1:37" x14ac:dyDescent="0.2">
      <c r="A4508" t="str">
        <f>"20200111155943093"</f>
        <v>20200111155943093</v>
      </c>
      <c r="B4508" t="str">
        <f>"1578729583084771"</f>
        <v>1578729583084771</v>
      </c>
      <c r="C4508" t="s">
        <v>37</v>
      </c>
      <c r="D4508">
        <v>5.4828460000000003</v>
      </c>
      <c r="E4508">
        <v>0.44884940000000001</v>
      </c>
      <c r="F4508" t="s">
        <v>39</v>
      </c>
      <c r="G4508">
        <v>-420.74470000000002</v>
      </c>
      <c r="H4508" s="1">
        <v>-1.9756809999999899E-6</v>
      </c>
      <c r="I4508">
        <v>73.732579999999999</v>
      </c>
      <c r="J4508">
        <v>-422.43279999999999</v>
      </c>
      <c r="K4508">
        <v>1.105478</v>
      </c>
      <c r="L4508">
        <v>92.403869999999998</v>
      </c>
      <c r="M4508">
        <v>-0.106310899999999</v>
      </c>
      <c r="N4508">
        <v>0</v>
      </c>
      <c r="O4508">
        <v>-0.99423869999999903</v>
      </c>
      <c r="P4508">
        <v>-4.9774499999999999E-2</v>
      </c>
      <c r="Q4508">
        <v>1.686646E-2</v>
      </c>
      <c r="R4508">
        <v>-0.99861840000000002</v>
      </c>
      <c r="S4508">
        <v>0.266571</v>
      </c>
      <c r="T4508">
        <v>-0.1768419</v>
      </c>
      <c r="U4508">
        <v>-3.0215450000000001</v>
      </c>
      <c r="V4508">
        <v>-5.6751019999999999E-2</v>
      </c>
      <c r="W4508">
        <v>3.0404480000000001E-2</v>
      </c>
      <c r="X4508">
        <v>0.99792530000000002</v>
      </c>
      <c r="Y4508">
        <v>-0.1931467</v>
      </c>
      <c r="Z4508">
        <v>5.7268550000000001E-2</v>
      </c>
      <c r="AA4508">
        <v>0.97949710000000001</v>
      </c>
      <c r="AB4508">
        <v>22</v>
      </c>
      <c r="AC4508">
        <v>1.68809999999996</v>
      </c>
      <c r="AD4508">
        <v>-1.1054799756810001</v>
      </c>
      <c r="AE4508">
        <v>-18.671289999999999</v>
      </c>
      <c r="AF4508">
        <v>-3.6509844485734702</v>
      </c>
      <c r="AG4508">
        <v>-1.1054799756810001</v>
      </c>
      <c r="AH4508">
        <v>18.322270099167302</v>
      </c>
      <c r="AI4508">
        <v>93.3863571080024</v>
      </c>
      <c r="AJ4508">
        <v>101.269425937154</v>
      </c>
      <c r="AK4508">
        <v>18.715163771850801</v>
      </c>
    </row>
    <row r="4509" spans="1:37" x14ac:dyDescent="0.2">
      <c r="A4509" t="str">
        <f>"20200111155943116"</f>
        <v>20200111155943116</v>
      </c>
      <c r="B4509" t="str">
        <f>"1578729583105267"</f>
        <v>1578729583105267</v>
      </c>
      <c r="C4509" t="s">
        <v>37</v>
      </c>
      <c r="D4509">
        <v>8.7280449999999998</v>
      </c>
      <c r="E4509">
        <v>0.44898640000000001</v>
      </c>
      <c r="F4509" t="s">
        <v>39</v>
      </c>
      <c r="G4509">
        <v>-420.76799999999997</v>
      </c>
      <c r="H4509" s="1">
        <v>-2.0030900000000001E-6</v>
      </c>
      <c r="I4509">
        <v>73.782030000000006</v>
      </c>
      <c r="J4509">
        <v>-422.45440000000002</v>
      </c>
      <c r="K4509">
        <v>1.105497</v>
      </c>
      <c r="L4509">
        <v>92.183840000000004</v>
      </c>
      <c r="M4509">
        <v>-0.104694699999999</v>
      </c>
      <c r="N4509">
        <v>0</v>
      </c>
      <c r="O4509">
        <v>-0.99441029999999997</v>
      </c>
      <c r="P4509">
        <v>-4.7633580000000002E-2</v>
      </c>
      <c r="Q4509">
        <v>1.573567E-2</v>
      </c>
      <c r="R4509">
        <v>-0.9987412</v>
      </c>
      <c r="S4509">
        <v>0.27005000000000001</v>
      </c>
      <c r="T4509">
        <v>-0.1793206</v>
      </c>
      <c r="U4509">
        <v>-3.0206599999999999</v>
      </c>
      <c r="V4509">
        <v>-5.7269720000000003E-2</v>
      </c>
      <c r="W4509">
        <v>2.9267250000000002E-2</v>
      </c>
      <c r="X4509">
        <v>0.99792959999999997</v>
      </c>
      <c r="Y4509">
        <v>-0.19269210000000001</v>
      </c>
      <c r="Z4509">
        <v>5.8100300000000001E-2</v>
      </c>
      <c r="AA4509">
        <v>0.97953769999999996</v>
      </c>
      <c r="AB4509">
        <v>22</v>
      </c>
      <c r="AC4509">
        <v>1.6863999999999899</v>
      </c>
      <c r="AD4509">
        <v>-1.10549900309</v>
      </c>
      <c r="AE4509">
        <v>-18.401810000000001</v>
      </c>
      <c r="AF4509">
        <v>-3.5910304517944902</v>
      </c>
      <c r="AG4509">
        <v>-1.10549900309</v>
      </c>
      <c r="AH4509">
        <v>18.059453483999299</v>
      </c>
      <c r="AI4509">
        <v>93.435855657875805</v>
      </c>
      <c r="AJ4509">
        <v>101.246282182459</v>
      </c>
      <c r="AK4509">
        <v>18.4461781378225</v>
      </c>
    </row>
    <row r="4510" spans="1:37" x14ac:dyDescent="0.2">
      <c r="A4510" t="str">
        <f>"20200111155943137"</f>
        <v>20200111155943137</v>
      </c>
      <c r="B4510" t="str">
        <f>"1578729583134548"</f>
        <v>1578729583134548</v>
      </c>
      <c r="C4510" t="s">
        <v>37</v>
      </c>
      <c r="D4510">
        <v>7.5272069999999998</v>
      </c>
      <c r="E4510">
        <v>0.56495699999999904</v>
      </c>
      <c r="F4510" t="s">
        <v>39</v>
      </c>
      <c r="G4510">
        <v>-420.74950000000001</v>
      </c>
      <c r="H4510" s="1">
        <v>-1.853855E-6</v>
      </c>
      <c r="I4510">
        <v>73.445629999999994</v>
      </c>
      <c r="J4510">
        <v>-422.47500000000002</v>
      </c>
      <c r="K4510">
        <v>1.105526</v>
      </c>
      <c r="L4510">
        <v>91.970029999999994</v>
      </c>
      <c r="M4510">
        <v>-0.1030843</v>
      </c>
      <c r="N4510">
        <v>0</v>
      </c>
      <c r="O4510">
        <v>-0.99457830000000003</v>
      </c>
      <c r="P4510">
        <v>-4.5269259999999999E-2</v>
      </c>
      <c r="Q4510">
        <v>1.5031330000000001E-2</v>
      </c>
      <c r="R4510">
        <v>-0.99886160000000002</v>
      </c>
      <c r="S4510">
        <v>0.27474979999999999</v>
      </c>
      <c r="T4510">
        <v>-0.17815239999999999</v>
      </c>
      <c r="U4510">
        <v>-3.0196839999999998</v>
      </c>
      <c r="V4510">
        <v>-5.8017050000000001E-2</v>
      </c>
      <c r="W4510">
        <v>2.8554679999999999E-2</v>
      </c>
      <c r="X4510">
        <v>0.99790719999999999</v>
      </c>
      <c r="Y4510">
        <v>-0.19264529999999999</v>
      </c>
      <c r="Z4510">
        <v>5.775276E-2</v>
      </c>
      <c r="AA4510">
        <v>0.97956749999999904</v>
      </c>
      <c r="AB4510">
        <v>22</v>
      </c>
      <c r="AC4510">
        <v>1.72550000000001</v>
      </c>
      <c r="AD4510">
        <v>-1.105527853855</v>
      </c>
      <c r="AE4510">
        <v>-18.5244</v>
      </c>
      <c r="AF4510">
        <v>-3.61330125215424</v>
      </c>
      <c r="AG4510">
        <v>-1.105527853855</v>
      </c>
      <c r="AH4510">
        <v>18.1835998096285</v>
      </c>
      <c r="AI4510">
        <v>93.412628705334996</v>
      </c>
      <c r="AJ4510">
        <v>101.238961666412</v>
      </c>
      <c r="AK4510">
        <v>18.5720607314102</v>
      </c>
    </row>
    <row r="4511" spans="1:37" x14ac:dyDescent="0.2">
      <c r="A4511" t="str">
        <f>"20200111155943159"</f>
        <v>20200111155943159</v>
      </c>
      <c r="B4511" t="str">
        <f>"1578729583155044"</f>
        <v>1578729583155044</v>
      </c>
      <c r="C4511" t="s">
        <v>37</v>
      </c>
      <c r="D4511">
        <v>5.6359089999999998</v>
      </c>
      <c r="E4511">
        <v>0.64923229999999998</v>
      </c>
      <c r="F4511" t="s">
        <v>39</v>
      </c>
      <c r="G4511">
        <v>-426.78640000000001</v>
      </c>
      <c r="H4511" s="1">
        <v>-2.8546839999999999E-6</v>
      </c>
      <c r="I4511">
        <v>72.034319999999994</v>
      </c>
      <c r="J4511">
        <v>-422.49590000000001</v>
      </c>
      <c r="K4511">
        <v>1.1055569999999999</v>
      </c>
      <c r="L4511">
        <v>91.748409999999893</v>
      </c>
      <c r="M4511">
        <v>-0.101371899999999</v>
      </c>
      <c r="N4511">
        <v>0</v>
      </c>
      <c r="O4511">
        <v>-0.99475469999999899</v>
      </c>
      <c r="P4511">
        <v>-4.3869779999999997E-2</v>
      </c>
      <c r="Q4511">
        <v>1.3788679999999999E-2</v>
      </c>
      <c r="R4511">
        <v>-0.99894229999999995</v>
      </c>
      <c r="S4511">
        <v>-0.64376829999999996</v>
      </c>
      <c r="T4511">
        <v>-0.16507459999999999</v>
      </c>
      <c r="U4511">
        <v>-2.9767459999999999</v>
      </c>
      <c r="V4511">
        <v>-5.7698340000000001E-2</v>
      </c>
      <c r="W4511">
        <v>2.7307749999999999E-2</v>
      </c>
      <c r="X4511">
        <v>0.99796049999999903</v>
      </c>
      <c r="Y4511">
        <v>0.11088820000000001</v>
      </c>
      <c r="Z4511">
        <v>5.414919E-2</v>
      </c>
      <c r="AA4511">
        <v>0.99235669999999898</v>
      </c>
      <c r="AB4511">
        <v>22</v>
      </c>
      <c r="AC4511">
        <v>-4.2904999999999998</v>
      </c>
      <c r="AD4511">
        <v>-1.105559854684</v>
      </c>
      <c r="AE4511">
        <v>-19.714089999999999</v>
      </c>
      <c r="AF4511">
        <v>2.26295731813694</v>
      </c>
      <c r="AG4511">
        <v>-1.105559854684</v>
      </c>
      <c r="AH4511">
        <v>19.987476082251401</v>
      </c>
      <c r="AI4511">
        <v>93.145896252221604</v>
      </c>
      <c r="AJ4511">
        <v>83.540549132177901</v>
      </c>
      <c r="AK4511">
        <v>20.1455314785828</v>
      </c>
    </row>
    <row r="4512" spans="1:37" x14ac:dyDescent="0.2">
      <c r="A4512" t="str">
        <f>"20200111155943183"</f>
        <v>20200111155943183</v>
      </c>
      <c r="B4512" t="str">
        <f>"1578729583174566"</f>
        <v>1578729583174566</v>
      </c>
      <c r="C4512" t="s">
        <v>37</v>
      </c>
      <c r="D4512">
        <v>5.5777580000000002</v>
      </c>
      <c r="E4512">
        <v>0.5629478</v>
      </c>
      <c r="F4512" t="s">
        <v>41</v>
      </c>
      <c r="G4512">
        <v>-439.29469999999998</v>
      </c>
      <c r="H4512">
        <v>-0.05</v>
      </c>
      <c r="I4512">
        <v>54.114569999999901</v>
      </c>
      <c r="J4512">
        <v>-422.51710000000003</v>
      </c>
      <c r="K4512">
        <v>1.105585</v>
      </c>
      <c r="L4512">
        <v>91.520169999999993</v>
      </c>
      <c r="M4512">
        <v>-9.9565299999999995E-2</v>
      </c>
      <c r="N4512">
        <v>0</v>
      </c>
      <c r="O4512">
        <v>-0.99493719999999997</v>
      </c>
      <c r="P4512">
        <v>-4.2735160000000001E-2</v>
      </c>
      <c r="Q4512">
        <v>1.2778360000000001E-2</v>
      </c>
      <c r="R4512">
        <v>-0.99900499999999903</v>
      </c>
      <c r="S4512">
        <v>-1.3153079999999999</v>
      </c>
      <c r="T4512">
        <v>-9.047782E-2</v>
      </c>
      <c r="U4512">
        <v>-2.9466549999999998</v>
      </c>
      <c r="V4512">
        <v>-5.7019859999999999E-2</v>
      </c>
      <c r="W4512">
        <v>2.6294370000000001E-2</v>
      </c>
      <c r="X4512">
        <v>0.99802669999999905</v>
      </c>
      <c r="Y4512">
        <v>0.3144921</v>
      </c>
      <c r="Z4512">
        <v>2.8338840000000001E-2</v>
      </c>
      <c r="AA4512">
        <v>0.94883700000000004</v>
      </c>
      <c r="AB4512">
        <v>22</v>
      </c>
      <c r="AC4512">
        <v>-16.7775999999999</v>
      </c>
      <c r="AD4512">
        <v>-1.1555850000000001</v>
      </c>
      <c r="AE4512">
        <v>-37.4056</v>
      </c>
      <c r="AF4512">
        <v>12.9592726581739</v>
      </c>
      <c r="AG4512">
        <v>-1.1555850000000001</v>
      </c>
      <c r="AH4512">
        <v>38.859444818672102</v>
      </c>
      <c r="AI4512">
        <v>91.615896303063806</v>
      </c>
      <c r="AJ4512">
        <v>71.556924546496205</v>
      </c>
      <c r="AK4512">
        <v>40.9796849199276</v>
      </c>
    </row>
    <row r="4513" spans="1:37" x14ac:dyDescent="0.2">
      <c r="A4513" t="str">
        <f>"20200111155943204"</f>
        <v>20200111155943204</v>
      </c>
      <c r="B4513" t="str">
        <f>"1578729583195059"</f>
        <v>1578729583195059</v>
      </c>
      <c r="C4513" t="s">
        <v>37</v>
      </c>
      <c r="D4513">
        <v>5.6836190000000002</v>
      </c>
      <c r="E4513">
        <v>0.56151879999999998</v>
      </c>
      <c r="F4513" t="s">
        <v>38</v>
      </c>
      <c r="G4513">
        <v>-422.66820000000001</v>
      </c>
      <c r="H4513">
        <v>1.0357190000000001</v>
      </c>
      <c r="I4513">
        <v>90.789469999999994</v>
      </c>
      <c r="J4513">
        <v>-422.53649999999999</v>
      </c>
      <c r="K4513">
        <v>1.10561</v>
      </c>
      <c r="L4513">
        <v>91.305790000000002</v>
      </c>
      <c r="M4513">
        <v>-9.7831230000000005E-2</v>
      </c>
      <c r="N4513">
        <v>0</v>
      </c>
      <c r="O4513">
        <v>-0.99510900000000002</v>
      </c>
      <c r="P4513">
        <v>-4.1705230000000003E-2</v>
      </c>
      <c r="Q4513">
        <v>1.2656799999999999E-2</v>
      </c>
      <c r="R4513">
        <v>-0.99905010000000005</v>
      </c>
      <c r="S4513">
        <v>-0.61444089999999996</v>
      </c>
      <c r="T4513">
        <v>-0.28535060000000001</v>
      </c>
      <c r="U4513">
        <v>-2.9803470000000001</v>
      </c>
      <c r="V4513">
        <v>-5.6310470000000001E-2</v>
      </c>
      <c r="W4513">
        <v>2.6169950000000001E-2</v>
      </c>
      <c r="X4513">
        <v>0.99807029999999997</v>
      </c>
      <c r="Y4513">
        <v>0.1042382</v>
      </c>
      <c r="Z4513">
        <v>9.3394899999999906E-2</v>
      </c>
      <c r="AA4513">
        <v>0.99015739999999997</v>
      </c>
      <c r="AB4513">
        <v>22</v>
      </c>
      <c r="AC4513">
        <v>-0.13170000000002299</v>
      </c>
      <c r="AD4513">
        <v>-6.9890999999999898E-2</v>
      </c>
      <c r="AE4513">
        <v>-0.516320000000007</v>
      </c>
      <c r="AF4513">
        <v>7.9188807733397301E-2</v>
      </c>
      <c r="AG4513">
        <v>-6.9890999999999898E-2</v>
      </c>
      <c r="AH4513">
        <v>0.517819767747844</v>
      </c>
      <c r="AI4513">
        <v>97.599553203748897</v>
      </c>
      <c r="AJ4513">
        <v>81.305270905058094</v>
      </c>
      <c r="AK4513">
        <v>0.52848172250482595</v>
      </c>
    </row>
    <row r="4514" spans="1:37" x14ac:dyDescent="0.2">
      <c r="A4514" t="str">
        <f>"20200111155943226"</f>
        <v>20200111155943226</v>
      </c>
      <c r="B4514" t="str">
        <f>"1578729583214579"</f>
        <v>1578729583214579</v>
      </c>
      <c r="C4514" t="s">
        <v>37</v>
      </c>
      <c r="D4514">
        <v>5.6422559999999997</v>
      </c>
      <c r="E4514">
        <v>0.56237340000000002</v>
      </c>
      <c r="F4514" t="s">
        <v>38</v>
      </c>
      <c r="G4514">
        <v>-422.68</v>
      </c>
      <c r="H4514">
        <v>1.0347329999999999</v>
      </c>
      <c r="I4514">
        <v>90.593040000000002</v>
      </c>
      <c r="J4514">
        <v>-422.55520000000001</v>
      </c>
      <c r="K4514">
        <v>1.1056250000000001</v>
      </c>
      <c r="L4514">
        <v>91.094880000000003</v>
      </c>
      <c r="M4514">
        <v>-9.609442E-2</v>
      </c>
      <c r="N4514">
        <v>0</v>
      </c>
      <c r="O4514">
        <v>-0.99527840000000001</v>
      </c>
      <c r="P4514">
        <v>-4.0115030000000003E-2</v>
      </c>
      <c r="Q4514">
        <v>1.3883339999999999E-2</v>
      </c>
      <c r="R4514">
        <v>-0.99909899999999996</v>
      </c>
      <c r="S4514">
        <v>-0.59936519999999904</v>
      </c>
      <c r="T4514">
        <v>-0.29668889999999998</v>
      </c>
      <c r="U4514">
        <v>-2.981598</v>
      </c>
      <c r="V4514">
        <v>-5.6159670000000002E-2</v>
      </c>
      <c r="W4514">
        <v>2.7393069999999999E-2</v>
      </c>
      <c r="X4514">
        <v>0.99804590000000004</v>
      </c>
      <c r="Y4514">
        <v>0.101013399999999</v>
      </c>
      <c r="Z4514">
        <v>9.7120529999999997E-2</v>
      </c>
      <c r="AA4514">
        <v>0.99013329999999999</v>
      </c>
      <c r="AB4514">
        <v>22</v>
      </c>
      <c r="AC4514">
        <v>-0.124799999999993</v>
      </c>
      <c r="AD4514">
        <v>-7.0892000000000094E-2</v>
      </c>
      <c r="AE4514">
        <v>-0.50184000000000095</v>
      </c>
      <c r="AF4514">
        <v>7.4591987689157604E-2</v>
      </c>
      <c r="AG4514">
        <v>-7.0892000000000094E-2</v>
      </c>
      <c r="AH4514">
        <v>0.50207521335211602</v>
      </c>
      <c r="AI4514">
        <v>97.950785518386795</v>
      </c>
      <c r="AJ4514">
        <v>81.549529326959203</v>
      </c>
      <c r="AK4514">
        <v>0.51251259511741998</v>
      </c>
    </row>
    <row r="4515" spans="1:37" x14ac:dyDescent="0.2">
      <c r="A4515" t="str">
        <f>"20200111155943248"</f>
        <v>20200111155943248</v>
      </c>
      <c r="B4515" t="str">
        <f>"1578729583244835"</f>
        <v>1578729583244835</v>
      </c>
      <c r="C4515" t="s">
        <v>37</v>
      </c>
      <c r="D4515">
        <v>5.6218159999999999</v>
      </c>
      <c r="E4515">
        <v>0.56223909999999999</v>
      </c>
      <c r="F4515" t="s">
        <v>38</v>
      </c>
      <c r="G4515">
        <v>-422.7337</v>
      </c>
      <c r="H4515">
        <v>1.020332</v>
      </c>
      <c r="I4515">
        <v>90.209829999999997</v>
      </c>
      <c r="J4515">
        <v>-422.57420000000002</v>
      </c>
      <c r="K4515">
        <v>1.105639</v>
      </c>
      <c r="L4515">
        <v>90.875579999999999</v>
      </c>
      <c r="M4515">
        <v>-9.426872E-2</v>
      </c>
      <c r="N4515">
        <v>0</v>
      </c>
      <c r="O4515">
        <v>-0.99545309999999898</v>
      </c>
      <c r="P4515">
        <v>-3.8133489999999999E-2</v>
      </c>
      <c r="Q4515">
        <v>1.4806410000000001E-2</v>
      </c>
      <c r="R4515">
        <v>-0.99916329999999998</v>
      </c>
      <c r="S4515">
        <v>-0.60147090000000003</v>
      </c>
      <c r="T4515">
        <v>-0.28743340000000001</v>
      </c>
      <c r="U4515">
        <v>-2.9825439999999999</v>
      </c>
      <c r="V4515">
        <v>-5.6311E-2</v>
      </c>
      <c r="W4515">
        <v>2.831206E-2</v>
      </c>
      <c r="X4515">
        <v>0.9980118</v>
      </c>
      <c r="Y4515">
        <v>0.10350669999999999</v>
      </c>
      <c r="Z4515">
        <v>9.4095429999999994E-2</v>
      </c>
      <c r="AA4515">
        <v>0.99016789999999999</v>
      </c>
      <c r="AB4515">
        <v>22</v>
      </c>
      <c r="AC4515">
        <v>-0.15949999999997999</v>
      </c>
      <c r="AD4515">
        <v>-8.5306999999999994E-2</v>
      </c>
      <c r="AE4515">
        <v>-0.66574999999998796</v>
      </c>
      <c r="AF4515">
        <v>9.4556082725848603E-2</v>
      </c>
      <c r="AG4515">
        <v>-8.5306999999999994E-2</v>
      </c>
      <c r="AH4515">
        <v>0.66745786822975595</v>
      </c>
      <c r="AI4515">
        <v>97.212176135863999</v>
      </c>
      <c r="AJ4515">
        <v>81.936791585856596</v>
      </c>
      <c r="AK4515">
        <v>0.67949844951351301</v>
      </c>
    </row>
    <row r="4516" spans="1:37" x14ac:dyDescent="0.2">
      <c r="A4516" t="str">
        <f>"20200111155943272"</f>
        <v>20200111155943272</v>
      </c>
      <c r="B4516" t="str">
        <f>"1578729583265331"</f>
        <v>1578729583265331</v>
      </c>
      <c r="C4516" t="s">
        <v>37</v>
      </c>
      <c r="D4516">
        <v>5.6240500000000004</v>
      </c>
      <c r="E4516">
        <v>0.56221199999999905</v>
      </c>
      <c r="F4516" t="s">
        <v>38</v>
      </c>
      <c r="G4516">
        <v>-422.74639999999999</v>
      </c>
      <c r="H4516">
        <v>1.0227740000000001</v>
      </c>
      <c r="I4516">
        <v>90.012550000000005</v>
      </c>
      <c r="J4516">
        <v>-422.5933</v>
      </c>
      <c r="K4516">
        <v>1.105645</v>
      </c>
      <c r="L4516">
        <v>90.649839999999998</v>
      </c>
      <c r="M4516">
        <v>-9.237687E-2</v>
      </c>
      <c r="N4516">
        <v>0</v>
      </c>
      <c r="O4516">
        <v>-0.99563020000000002</v>
      </c>
      <c r="P4516">
        <v>-3.5514320000000002E-2</v>
      </c>
      <c r="Q4516">
        <v>1.5492809999999999E-2</v>
      </c>
      <c r="R4516">
        <v>-0.99924930000000001</v>
      </c>
      <c r="S4516">
        <v>-0.59530640000000001</v>
      </c>
      <c r="T4516">
        <v>-0.28652830000000001</v>
      </c>
      <c r="U4516">
        <v>-2.9840390000000001</v>
      </c>
      <c r="V4516">
        <v>-5.7031310000000002E-2</v>
      </c>
      <c r="W4516">
        <v>2.8993189999999999E-2</v>
      </c>
      <c r="X4516">
        <v>0.99795129999999999</v>
      </c>
      <c r="Y4516">
        <v>0.1033395</v>
      </c>
      <c r="Z4516">
        <v>9.3800590000000003E-2</v>
      </c>
      <c r="AA4516">
        <v>0.99021329999999996</v>
      </c>
      <c r="AB4516">
        <v>22</v>
      </c>
      <c r="AC4516">
        <v>-0.15309999999999399</v>
      </c>
      <c r="AD4516">
        <v>-8.2870999999999903E-2</v>
      </c>
      <c r="AE4516">
        <v>-0.63728999999999203</v>
      </c>
      <c r="AF4516">
        <v>9.2096544233482694E-2</v>
      </c>
      <c r="AG4516">
        <v>-8.2870999999999903E-2</v>
      </c>
      <c r="AH4516">
        <v>0.63850110900401702</v>
      </c>
      <c r="AI4516">
        <v>97.320153616786101</v>
      </c>
      <c r="AJ4516">
        <v>81.792340706230902</v>
      </c>
      <c r="AK4516">
        <v>0.650409903291847</v>
      </c>
    </row>
    <row r="4517" spans="1:37" x14ac:dyDescent="0.2">
      <c r="A4517" t="str">
        <f>"20200111155943316"</f>
        <v>20200111155943316</v>
      </c>
      <c r="B4517" t="str">
        <f>"1578729583304371"</f>
        <v>1578729583304371</v>
      </c>
      <c r="C4517" t="s">
        <v>37</v>
      </c>
      <c r="D4517">
        <v>5.6488050000000003</v>
      </c>
      <c r="E4517">
        <v>0.562357199999999</v>
      </c>
      <c r="F4517" t="s">
        <v>38</v>
      </c>
      <c r="G4517">
        <v>-422.75729999999999</v>
      </c>
      <c r="H4517">
        <v>1.0253680000000001</v>
      </c>
      <c r="I4517">
        <v>89.81532</v>
      </c>
      <c r="J4517">
        <v>-422.62869999999998</v>
      </c>
      <c r="K4517">
        <v>1.1056360000000001</v>
      </c>
      <c r="L4517">
        <v>90.217380000000006</v>
      </c>
      <c r="M4517">
        <v>-8.8747599999999996E-2</v>
      </c>
      <c r="N4517">
        <v>0</v>
      </c>
      <c r="O4517">
        <v>-0.99596039999999997</v>
      </c>
      <c r="P4517">
        <v>-3.2290569999999998E-2</v>
      </c>
      <c r="Q4517">
        <v>1.5902980000000001E-2</v>
      </c>
      <c r="R4517">
        <v>-0.99935219999999902</v>
      </c>
      <c r="S4517">
        <v>-0.58685299999999996</v>
      </c>
      <c r="T4517">
        <v>-0.28721570000000002</v>
      </c>
      <c r="U4517">
        <v>-2.98584</v>
      </c>
      <c r="V4517">
        <v>-5.6613770000000001E-2</v>
      </c>
      <c r="W4517">
        <v>2.9401179999999999E-2</v>
      </c>
      <c r="X4517">
        <v>0.99796309999999999</v>
      </c>
      <c r="Y4517">
        <v>0.104148</v>
      </c>
      <c r="Z4517">
        <v>9.4036399999999895E-2</v>
      </c>
      <c r="AA4517">
        <v>0.99010619999999905</v>
      </c>
      <c r="AB4517">
        <v>22</v>
      </c>
      <c r="AC4517">
        <v>-0.12860000000000499</v>
      </c>
      <c r="AD4517">
        <v>-8.0267999999999895E-2</v>
      </c>
      <c r="AE4517">
        <v>-0.40206000000000502</v>
      </c>
      <c r="AF4517">
        <v>8.9182635171766805E-2</v>
      </c>
      <c r="AG4517">
        <v>-8.0267999999999895E-2</v>
      </c>
      <c r="AH4517">
        <v>0.39751403849849498</v>
      </c>
      <c r="AI4517">
        <v>101.146066767842</v>
      </c>
      <c r="AJ4517">
        <v>77.355019665613398</v>
      </c>
      <c r="AK4517">
        <v>0.41522753406242602</v>
      </c>
    </row>
    <row r="4518" spans="1:37" x14ac:dyDescent="0.2">
      <c r="A4518" t="str">
        <f>"20200111155943338"</f>
        <v>20200111155943338</v>
      </c>
      <c r="B4518" t="str">
        <f>"1578729583334629"</f>
        <v>1578729583334629</v>
      </c>
      <c r="C4518" t="s">
        <v>37</v>
      </c>
      <c r="D4518">
        <v>5.6854269999999998</v>
      </c>
      <c r="E4518">
        <v>0.56288209999999905</v>
      </c>
      <c r="F4518" t="s">
        <v>38</v>
      </c>
      <c r="G4518">
        <v>-422.78269999999998</v>
      </c>
      <c r="H4518">
        <v>1.0300419999999999</v>
      </c>
      <c r="I4518">
        <v>89.422190000000001</v>
      </c>
      <c r="J4518">
        <v>-422.64580000000001</v>
      </c>
      <c r="K4518">
        <v>1.1056349999999999</v>
      </c>
      <c r="L4518">
        <v>90.001559999999998</v>
      </c>
      <c r="M4518">
        <v>-8.6943399999999907E-2</v>
      </c>
      <c r="N4518">
        <v>0</v>
      </c>
      <c r="O4518">
        <v>-0.99611970000000005</v>
      </c>
      <c r="P4518">
        <v>-3.1509460000000003E-2</v>
      </c>
      <c r="Q4518">
        <v>1.5940699999999999E-2</v>
      </c>
      <c r="R4518">
        <v>-0.999376499999999</v>
      </c>
      <c r="S4518">
        <v>-0.57864380000000004</v>
      </c>
      <c r="T4518">
        <v>-0.28396459999999901</v>
      </c>
      <c r="U4518">
        <v>-2.987762</v>
      </c>
      <c r="V4518">
        <v>-5.5584849999999998E-2</v>
      </c>
      <c r="W4518">
        <v>2.944169E-2</v>
      </c>
      <c r="X4518">
        <v>0.99801980000000001</v>
      </c>
      <c r="Y4518">
        <v>0.1032271</v>
      </c>
      <c r="Z4518">
        <v>9.2973810000000004E-2</v>
      </c>
      <c r="AA4518">
        <v>0.99030300000000004</v>
      </c>
      <c r="AB4518">
        <v>22</v>
      </c>
      <c r="AC4518">
        <v>-0.13689999999996799</v>
      </c>
      <c r="AD4518">
        <v>-7.5593000000000202E-2</v>
      </c>
      <c r="AE4518">
        <v>-0.57936999999999705</v>
      </c>
      <c r="AF4518">
        <v>8.4639727445476695E-2</v>
      </c>
      <c r="AG4518">
        <v>-7.5593000000000202E-2</v>
      </c>
      <c r="AH4518">
        <v>0.57973209064960995</v>
      </c>
      <c r="AI4518">
        <v>97.3519774882039</v>
      </c>
      <c r="AJ4518">
        <v>81.693616853188104</v>
      </c>
      <c r="AK4518">
        <v>0.590734696830999</v>
      </c>
    </row>
    <row r="4519" spans="1:37" x14ac:dyDescent="0.2">
      <c r="A4519" t="str">
        <f>"20200111155943360"</f>
        <v>20200111155943360</v>
      </c>
      <c r="B4519" t="str">
        <f>"1578729583355126"</f>
        <v>1578729583355126</v>
      </c>
      <c r="C4519" t="s">
        <v>37</v>
      </c>
      <c r="D4519">
        <v>5.693276</v>
      </c>
      <c r="E4519">
        <v>0.56299160000000004</v>
      </c>
      <c r="F4519" t="s">
        <v>38</v>
      </c>
      <c r="G4519">
        <v>-422.79680000000002</v>
      </c>
      <c r="H4519">
        <v>1.0330889999999999</v>
      </c>
      <c r="I4519">
        <v>89.225769999999997</v>
      </c>
      <c r="J4519">
        <v>-422.6628</v>
      </c>
      <c r="K4519">
        <v>1.1056319999999999</v>
      </c>
      <c r="L4519">
        <v>89.78125</v>
      </c>
      <c r="M4519">
        <v>-8.5108439999999994E-2</v>
      </c>
      <c r="N4519">
        <v>0</v>
      </c>
      <c r="O4519">
        <v>-0.996278</v>
      </c>
      <c r="P4519">
        <v>-3.0719090000000001E-2</v>
      </c>
      <c r="Q4519">
        <v>1.574424E-2</v>
      </c>
      <c r="R4519">
        <v>-0.99940439999999997</v>
      </c>
      <c r="S4519">
        <v>-0.58056640000000004</v>
      </c>
      <c r="T4519">
        <v>-0.27956809999999999</v>
      </c>
      <c r="U4519">
        <v>-2.9880369999999998</v>
      </c>
      <c r="V4519">
        <v>-5.4534840000000001E-2</v>
      </c>
      <c r="W4519">
        <v>2.9248179999999999E-2</v>
      </c>
      <c r="X4519">
        <v>0.99808339999999995</v>
      </c>
      <c r="Y4519">
        <v>0.105681399999999</v>
      </c>
      <c r="Z4519">
        <v>9.1542830000000006E-2</v>
      </c>
      <c r="AA4519">
        <v>0.99017749999999904</v>
      </c>
      <c r="AB4519">
        <v>22</v>
      </c>
      <c r="AC4519">
        <v>-0.134000000000014</v>
      </c>
      <c r="AD4519">
        <v>-7.2542999999999996E-2</v>
      </c>
      <c r="AE4519">
        <v>-0.55548000000000197</v>
      </c>
      <c r="AF4519">
        <v>8.4865473517758194E-2</v>
      </c>
      <c r="AG4519">
        <v>-7.2542999999999996E-2</v>
      </c>
      <c r="AH4519">
        <v>0.55591006249133601</v>
      </c>
      <c r="AI4519">
        <v>97.350539167903904</v>
      </c>
      <c r="AJ4519">
        <v>81.320215274633995</v>
      </c>
      <c r="AK4519">
        <v>0.567010258305363</v>
      </c>
    </row>
    <row r="4520" spans="1:37" x14ac:dyDescent="0.2">
      <c r="A4520" t="str">
        <f>"20200111155943383"</f>
        <v>20200111155943383</v>
      </c>
      <c r="B4520" t="str">
        <f>"1578729583374646"</f>
        <v>1578729583374646</v>
      </c>
      <c r="C4520" t="s">
        <v>37</v>
      </c>
      <c r="D4520">
        <v>5.6380419999999898</v>
      </c>
      <c r="E4520">
        <v>0.56312099999999998</v>
      </c>
      <c r="F4520" t="s">
        <v>38</v>
      </c>
      <c r="G4520">
        <v>-422.8082</v>
      </c>
      <c r="H4520">
        <v>1.035096</v>
      </c>
      <c r="I4520">
        <v>89.029910000000001</v>
      </c>
      <c r="J4520">
        <v>-422.67959999999999</v>
      </c>
      <c r="K4520">
        <v>1.105623</v>
      </c>
      <c r="L4520">
        <v>89.559880000000007</v>
      </c>
      <c r="M4520">
        <v>-8.3272399999999996E-2</v>
      </c>
      <c r="N4520">
        <v>0</v>
      </c>
      <c r="O4520">
        <v>-0.99643340000000002</v>
      </c>
      <c r="P4520">
        <v>-3.0571930000000001E-2</v>
      </c>
      <c r="Q4520">
        <v>1.477142E-2</v>
      </c>
      <c r="R4520">
        <v>-0.99942389999999903</v>
      </c>
      <c r="S4520">
        <v>-0.57897949999999998</v>
      </c>
      <c r="T4520">
        <v>-0.28036620000000001</v>
      </c>
      <c r="U4520">
        <v>-2.9884029999999999</v>
      </c>
      <c r="V4520">
        <v>-5.2840039999999998E-2</v>
      </c>
      <c r="W4520">
        <v>2.827965E-2</v>
      </c>
      <c r="X4520">
        <v>0.99820249999999999</v>
      </c>
      <c r="Y4520">
        <v>0.10697950000000001</v>
      </c>
      <c r="Z4520">
        <v>9.1810520000000007E-2</v>
      </c>
      <c r="AA4520">
        <v>0.99001319999999904</v>
      </c>
      <c r="AB4520">
        <v>22</v>
      </c>
      <c r="AC4520">
        <v>-0.12860000000000499</v>
      </c>
      <c r="AD4520">
        <v>-7.0526999999999895E-2</v>
      </c>
      <c r="AE4520">
        <v>-0.52997000000000505</v>
      </c>
      <c r="AF4520">
        <v>8.2635225834891399E-2</v>
      </c>
      <c r="AG4520">
        <v>-7.0526999999999895E-2</v>
      </c>
      <c r="AH4520">
        <v>0.52997507858558901</v>
      </c>
      <c r="AI4520">
        <v>97.490696592133503</v>
      </c>
      <c r="AJ4520">
        <v>81.137639235881494</v>
      </c>
      <c r="AK4520">
        <v>0.54099558426994998</v>
      </c>
    </row>
    <row r="4521" spans="1:37" x14ac:dyDescent="0.2">
      <c r="A4521" t="str">
        <f>"20200111155943416"</f>
        <v>20200111155943416</v>
      </c>
      <c r="B4521" t="str">
        <f>"1578729583404899"</f>
        <v>1578729583404899</v>
      </c>
      <c r="C4521" t="s">
        <v>37</v>
      </c>
      <c r="D4521">
        <v>5.695004</v>
      </c>
      <c r="E4521">
        <v>0.56341989999999997</v>
      </c>
      <c r="F4521" t="s">
        <v>38</v>
      </c>
      <c r="G4521">
        <v>-422.82080000000002</v>
      </c>
      <c r="H4521">
        <v>1.036859</v>
      </c>
      <c r="I4521">
        <v>88.834530000000001</v>
      </c>
      <c r="J4521">
        <v>-422.70280000000002</v>
      </c>
      <c r="K4521">
        <v>1.1056049999999999</v>
      </c>
      <c r="L4521">
        <v>89.243560000000002</v>
      </c>
      <c r="M4521">
        <v>-8.0656389999999994E-2</v>
      </c>
      <c r="N4521">
        <v>0</v>
      </c>
      <c r="O4521">
        <v>-0.99664839999999999</v>
      </c>
      <c r="P4521">
        <v>-2.9554E-2</v>
      </c>
      <c r="Q4521">
        <v>1.265635E-2</v>
      </c>
      <c r="R4521">
        <v>-0.99948309999999996</v>
      </c>
      <c r="S4521">
        <v>-0.57989499999999905</v>
      </c>
      <c r="T4521">
        <v>-0.28367750000000003</v>
      </c>
      <c r="U4521">
        <v>-2.9881899999999999</v>
      </c>
      <c r="V4521">
        <v>-5.123221E-2</v>
      </c>
      <c r="W4521">
        <v>2.6168520000000001E-2</v>
      </c>
      <c r="X4521">
        <v>0.99834389999999995</v>
      </c>
      <c r="Y4521">
        <v>0.10987519999999899</v>
      </c>
      <c r="Z4521">
        <v>9.2904470000000003E-2</v>
      </c>
      <c r="AA4521">
        <v>0.98959399999999997</v>
      </c>
      <c r="AB4521">
        <v>22</v>
      </c>
      <c r="AC4521">
        <v>-0.117999999999994</v>
      </c>
      <c r="AD4521">
        <v>-6.8745999999999904E-2</v>
      </c>
      <c r="AE4521">
        <v>-0.409030000000001</v>
      </c>
      <c r="AF4521">
        <v>8.2470885753057097E-2</v>
      </c>
      <c r="AG4521">
        <v>-6.8745999999999904E-2</v>
      </c>
      <c r="AH4521">
        <v>0.40661203557026199</v>
      </c>
      <c r="AI4521">
        <v>99.408224619477394</v>
      </c>
      <c r="AJ4521">
        <v>78.534544361140604</v>
      </c>
      <c r="AK4521">
        <v>0.42054822194783498</v>
      </c>
    </row>
    <row r="4522" spans="1:37" x14ac:dyDescent="0.2">
      <c r="A4522" t="str">
        <f>"20200111155943439"</f>
        <v>20200111155943439</v>
      </c>
      <c r="B4522" t="str">
        <f>"1578729583435156"</f>
        <v>1578729583435156</v>
      </c>
      <c r="C4522" t="s">
        <v>37</v>
      </c>
      <c r="D4522">
        <v>5.6064239999999996</v>
      </c>
      <c r="E4522">
        <v>0.56351589999999996</v>
      </c>
      <c r="F4522" t="s">
        <v>38</v>
      </c>
      <c r="G4522">
        <v>-422.85669999999999</v>
      </c>
      <c r="H4522">
        <v>1.028608</v>
      </c>
      <c r="I4522">
        <v>88.451169999999905</v>
      </c>
      <c r="J4522">
        <v>-422.71839999999997</v>
      </c>
      <c r="K4522">
        <v>1.1055969999999999</v>
      </c>
      <c r="L4522">
        <v>89.022639999999996</v>
      </c>
      <c r="M4522">
        <v>-7.883126E-2</v>
      </c>
      <c r="N4522">
        <v>0</v>
      </c>
      <c r="O4522">
        <v>-0.99679459999999998</v>
      </c>
      <c r="P4522">
        <v>-2.8982810000000001E-2</v>
      </c>
      <c r="Q4522">
        <v>1.2423750000000001E-2</v>
      </c>
      <c r="R4522">
        <v>-0.99950309999999898</v>
      </c>
      <c r="S4522">
        <v>-0.5795593</v>
      </c>
      <c r="T4522">
        <v>-0.29056729999999997</v>
      </c>
      <c r="U4522">
        <v>-2.9880979999999999</v>
      </c>
      <c r="V4522">
        <v>-4.9973320000000002E-2</v>
      </c>
      <c r="W4522">
        <v>2.5938289999999999E-2</v>
      </c>
      <c r="X4522">
        <v>0.99841369999999896</v>
      </c>
      <c r="Y4522">
        <v>0.111553</v>
      </c>
      <c r="Z4522">
        <v>9.515622E-2</v>
      </c>
      <c r="AA4522">
        <v>0.98919219999999897</v>
      </c>
      <c r="AB4522">
        <v>22</v>
      </c>
      <c r="AC4522">
        <v>-0.13830000000001499</v>
      </c>
      <c r="AD4522">
        <v>-7.6988999999999905E-2</v>
      </c>
      <c r="AE4522">
        <v>-0.57147000000000503</v>
      </c>
      <c r="AF4522">
        <v>9.1251080971432794E-2</v>
      </c>
      <c r="AG4522">
        <v>-7.6988999999999905E-2</v>
      </c>
      <c r="AH4522">
        <v>0.57080779297901696</v>
      </c>
      <c r="AI4522">
        <v>97.586357320665698</v>
      </c>
      <c r="AJ4522">
        <v>80.917373430222298</v>
      </c>
      <c r="AK4522">
        <v>0.58316001442574195</v>
      </c>
    </row>
    <row r="4523" spans="1:37" x14ac:dyDescent="0.2">
      <c r="A4523" t="str">
        <f>"20200111155943462"</f>
        <v>20200111155943462</v>
      </c>
      <c r="B4523" t="str">
        <f>"1578729583454675"</f>
        <v>1578729583454675</v>
      </c>
      <c r="C4523" t="s">
        <v>37</v>
      </c>
      <c r="D4523">
        <v>5.5673000000000004</v>
      </c>
      <c r="E4523">
        <v>0.56335539999999995</v>
      </c>
      <c r="F4523" t="s">
        <v>38</v>
      </c>
      <c r="G4523">
        <v>-422.866999999999</v>
      </c>
      <c r="H4523">
        <v>1.031207</v>
      </c>
      <c r="I4523">
        <v>88.255969999999905</v>
      </c>
      <c r="J4523">
        <v>-422.7337</v>
      </c>
      <c r="K4523">
        <v>1.105588</v>
      </c>
      <c r="L4523">
        <v>88.801940000000002</v>
      </c>
      <c r="M4523">
        <v>-7.7007350000000002E-2</v>
      </c>
      <c r="N4523">
        <v>0</v>
      </c>
      <c r="O4523">
        <v>-0.99693719999999997</v>
      </c>
      <c r="P4523">
        <v>-2.7589949999999999E-2</v>
      </c>
      <c r="Q4523">
        <v>1.302146E-2</v>
      </c>
      <c r="R4523">
        <v>-0.99953479999999995</v>
      </c>
      <c r="S4523">
        <v>-0.5786133</v>
      </c>
      <c r="T4523">
        <v>-0.29006309999999902</v>
      </c>
      <c r="U4523">
        <v>-2.9883419999999998</v>
      </c>
      <c r="V4523">
        <v>-4.9538829999999999E-2</v>
      </c>
      <c r="W4523">
        <v>2.653604E-2</v>
      </c>
      <c r="X4523">
        <v>0.99841959999999996</v>
      </c>
      <c r="Y4523">
        <v>0.11305699999999901</v>
      </c>
      <c r="Z4523">
        <v>9.5000050000000003E-2</v>
      </c>
      <c r="AA4523">
        <v>0.98903639999999904</v>
      </c>
      <c r="AB4523">
        <v>22</v>
      </c>
      <c r="AC4523">
        <v>-0.133299999999962</v>
      </c>
      <c r="AD4523">
        <v>-7.4381000000000003E-2</v>
      </c>
      <c r="AE4523">
        <v>-0.54597000000001095</v>
      </c>
      <c r="AF4523">
        <v>8.9292414944345894E-2</v>
      </c>
      <c r="AG4523">
        <v>-7.4381000000000003E-2</v>
      </c>
      <c r="AH4523">
        <v>0.54506697935681703</v>
      </c>
      <c r="AI4523">
        <v>97.669713481493801</v>
      </c>
      <c r="AJ4523">
        <v>80.696491345634101</v>
      </c>
      <c r="AK4523">
        <v>0.557318293718013</v>
      </c>
    </row>
    <row r="4524" spans="1:37" x14ac:dyDescent="0.2">
      <c r="A4524" t="str">
        <f>"20200111155943483"</f>
        <v>20200111155943483</v>
      </c>
      <c r="B4524" t="str">
        <f>"1578729583475172"</f>
        <v>1578729583475172</v>
      </c>
      <c r="C4524" t="s">
        <v>37</v>
      </c>
      <c r="D4524">
        <v>5.591056</v>
      </c>
      <c r="E4524">
        <v>0.56291559999999996</v>
      </c>
      <c r="F4524" t="s">
        <v>38</v>
      </c>
      <c r="G4524">
        <v>-422.87610000000001</v>
      </c>
      <c r="H4524">
        <v>1.033998</v>
      </c>
      <c r="I4524">
        <v>88.060839999999999</v>
      </c>
      <c r="J4524">
        <v>-422.7482</v>
      </c>
      <c r="K4524">
        <v>1.105585</v>
      </c>
      <c r="L4524">
        <v>88.587009999999907</v>
      </c>
      <c r="M4524">
        <v>-7.522943E-2</v>
      </c>
      <c r="N4524">
        <v>0</v>
      </c>
      <c r="O4524">
        <v>-0.99707289999999904</v>
      </c>
      <c r="P4524">
        <v>-2.5318589999999998E-2</v>
      </c>
      <c r="Q4524">
        <v>1.3743190000000001E-2</v>
      </c>
      <c r="R4524">
        <v>-0.99958499999999995</v>
      </c>
      <c r="S4524">
        <v>-0.57235719999999901</v>
      </c>
      <c r="T4524">
        <v>-0.28911729999999902</v>
      </c>
      <c r="U4524">
        <v>-2.9893489999999998</v>
      </c>
      <c r="V4524">
        <v>-5.0027269999999999E-2</v>
      </c>
      <c r="W4524">
        <v>2.7253889999999999E-2</v>
      </c>
      <c r="X4524">
        <v>0.99837600000000004</v>
      </c>
      <c r="Y4524">
        <v>0.112776</v>
      </c>
      <c r="Z4524">
        <v>9.4701220000000003E-2</v>
      </c>
      <c r="AA4524">
        <v>0.98909720000000001</v>
      </c>
      <c r="AB4524">
        <v>22</v>
      </c>
      <c r="AC4524">
        <v>-0.127900000000011</v>
      </c>
      <c r="AD4524">
        <v>-7.1586999999999998E-2</v>
      </c>
      <c r="AE4524">
        <v>-0.52616999999999303</v>
      </c>
      <c r="AF4524">
        <v>8.6439575349133504E-2</v>
      </c>
      <c r="AG4524">
        <v>-7.1586999999999998E-2</v>
      </c>
      <c r="AH4524">
        <v>0.52512346917052899</v>
      </c>
      <c r="AI4524">
        <v>97.661094566833498</v>
      </c>
      <c r="AJ4524">
        <v>80.652475505476602</v>
      </c>
      <c r="AK4524">
        <v>0.53698338580372296</v>
      </c>
    </row>
    <row r="4525" spans="1:37" x14ac:dyDescent="0.2">
      <c r="A4525" t="str">
        <f>"20200111155943617"</f>
        <v>20200111155943617</v>
      </c>
      <c r="B4525" t="str">
        <f>"1578729583614740"</f>
        <v>1578729583614740</v>
      </c>
      <c r="C4525" t="s">
        <v>37</v>
      </c>
      <c r="D4525">
        <v>5.325882</v>
      </c>
      <c r="E4525">
        <v>0.55179590000000001</v>
      </c>
      <c r="F4525" t="s">
        <v>38</v>
      </c>
      <c r="G4525">
        <v>-422.93299999999999</v>
      </c>
      <c r="H4525">
        <v>1.0346139999999999</v>
      </c>
      <c r="I4525">
        <v>86.711190000000002</v>
      </c>
      <c r="J4525">
        <v>-422.82659999999998</v>
      </c>
      <c r="K4525">
        <v>1.105591</v>
      </c>
      <c r="L4525">
        <v>87.304169999999999</v>
      </c>
      <c r="M4525">
        <v>-6.4599920000000005E-2</v>
      </c>
      <c r="N4525">
        <v>0</v>
      </c>
      <c r="O4525">
        <v>-0.99781810000000004</v>
      </c>
      <c r="P4525">
        <v>-1.770793E-2</v>
      </c>
      <c r="Q4525">
        <v>1.6615649999999999E-2</v>
      </c>
      <c r="R4525">
        <v>-0.99970539999999997</v>
      </c>
      <c r="S4525">
        <v>-0.43994139999999998</v>
      </c>
      <c r="T4525">
        <v>-0.26289069999999998</v>
      </c>
      <c r="U4525">
        <v>-2.9967959999999998</v>
      </c>
      <c r="V4525">
        <v>-4.6991129999999999E-2</v>
      </c>
      <c r="W4525">
        <v>3.0123750000000001E-2</v>
      </c>
      <c r="X4525">
        <v>0.99844100000000002</v>
      </c>
      <c r="Y4525">
        <v>8.0477569999999998E-2</v>
      </c>
      <c r="Z4525">
        <v>8.6514190000000005E-2</v>
      </c>
      <c r="AA4525">
        <v>0.99299479999999996</v>
      </c>
      <c r="AB4525">
        <v>22</v>
      </c>
      <c r="AC4525">
        <v>-0.106400000000064</v>
      </c>
      <c r="AD4525">
        <v>-7.0976999999999998E-2</v>
      </c>
      <c r="AE4525">
        <v>-0.59297999999999695</v>
      </c>
      <c r="AF4525">
        <v>6.6938578543688801E-2</v>
      </c>
      <c r="AG4525">
        <v>-7.0976999999999998E-2</v>
      </c>
      <c r="AH4525">
        <v>0.59042015127295699</v>
      </c>
      <c r="AI4525">
        <v>96.811658482706605</v>
      </c>
      <c r="AJ4525">
        <v>83.5317401912517</v>
      </c>
      <c r="AK4525">
        <v>0.59842665620410895</v>
      </c>
    </row>
    <row r="4526" spans="1:37" x14ac:dyDescent="0.2">
      <c r="A4526" t="str">
        <f>"20200111155943641"</f>
        <v>20200111155943641</v>
      </c>
      <c r="B4526" t="str">
        <f>"1578729583634260"</f>
        <v>1578729583634260</v>
      </c>
      <c r="C4526" t="s">
        <v>37</v>
      </c>
      <c r="D4526">
        <v>5.3282360000000004</v>
      </c>
      <c r="E4526">
        <v>0.55256609999999995</v>
      </c>
      <c r="F4526" t="s">
        <v>38</v>
      </c>
      <c r="G4526">
        <v>-422.94560000000001</v>
      </c>
      <c r="H4526">
        <v>1.0421119999999999</v>
      </c>
      <c r="I4526">
        <v>86.516040000000004</v>
      </c>
      <c r="J4526">
        <v>-422.83870000000002</v>
      </c>
      <c r="K4526">
        <v>1.10558</v>
      </c>
      <c r="L4526">
        <v>87.082819999999998</v>
      </c>
      <c r="M4526">
        <v>-6.2763849999999996E-2</v>
      </c>
      <c r="N4526">
        <v>0</v>
      </c>
      <c r="O4526">
        <v>-0.99793519999999902</v>
      </c>
      <c r="P4526">
        <v>-1.584437E-2</v>
      </c>
      <c r="Q4526">
        <v>1.733181E-2</v>
      </c>
      <c r="R4526">
        <v>-0.99972459999999996</v>
      </c>
      <c r="S4526">
        <v>-0.45144649999999997</v>
      </c>
      <c r="T4526">
        <v>-0.24160090000000001</v>
      </c>
      <c r="U4526">
        <v>-2.9968870000000001</v>
      </c>
      <c r="V4526">
        <v>-4.7016290000000002E-2</v>
      </c>
      <c r="W4526">
        <v>3.0837719999999999E-2</v>
      </c>
      <c r="X4526">
        <v>0.99841800000000003</v>
      </c>
      <c r="Y4526">
        <v>8.6122420000000005E-2</v>
      </c>
      <c r="Z4526">
        <v>7.9525120000000005E-2</v>
      </c>
      <c r="AA4526">
        <v>0.99310560000000003</v>
      </c>
      <c r="AB4526">
        <v>22</v>
      </c>
      <c r="AC4526">
        <v>-0.106899999999996</v>
      </c>
      <c r="AD4526">
        <v>-6.3467999999999802E-2</v>
      </c>
      <c r="AE4526">
        <v>-0.56677999999999396</v>
      </c>
      <c r="AF4526">
        <v>7.0261809636159397E-2</v>
      </c>
      <c r="AG4526">
        <v>-6.3467999999999802E-2</v>
      </c>
      <c r="AH4526">
        <v>0.56552460978284602</v>
      </c>
      <c r="AI4526">
        <v>96.354971389307906</v>
      </c>
      <c r="AJ4526">
        <v>82.917759547748304</v>
      </c>
      <c r="AK4526">
        <v>0.573396017763804</v>
      </c>
    </row>
    <row r="4527" spans="1:37" x14ac:dyDescent="0.2">
      <c r="A4527" t="str">
        <f>"20200111155943663"</f>
        <v>20200111155943663</v>
      </c>
      <c r="B4527" t="str">
        <f>"1578729583654754"</f>
        <v>1578729583654754</v>
      </c>
      <c r="C4527" t="s">
        <v>37</v>
      </c>
      <c r="D4527">
        <v>5.3059310000000002</v>
      </c>
      <c r="E4527">
        <v>0.55315300000000001</v>
      </c>
      <c r="F4527" t="s">
        <v>38</v>
      </c>
      <c r="G4527">
        <v>-422.95339999999999</v>
      </c>
      <c r="H4527">
        <v>1.0443799999999901</v>
      </c>
      <c r="I4527">
        <v>86.323430000000002</v>
      </c>
      <c r="J4527">
        <v>-422.85019999999997</v>
      </c>
      <c r="K4527">
        <v>1.1055779999999999</v>
      </c>
      <c r="L4527">
        <v>86.867769999999993</v>
      </c>
      <c r="M4527">
        <v>-6.0979319999999997E-2</v>
      </c>
      <c r="N4527">
        <v>0</v>
      </c>
      <c r="O4527">
        <v>-0.99804579999999998</v>
      </c>
      <c r="P4527">
        <v>-1.435196E-2</v>
      </c>
      <c r="Q4527">
        <v>1.8102750000000001E-2</v>
      </c>
      <c r="R4527">
        <v>-0.99973310000000004</v>
      </c>
      <c r="S4527">
        <v>-0.45223999999999998</v>
      </c>
      <c r="T4527">
        <v>-0.24170510000000001</v>
      </c>
      <c r="U4527">
        <v>-2.9978639999999999</v>
      </c>
      <c r="V4527">
        <v>-4.6721899999999997E-2</v>
      </c>
      <c r="W4527">
        <v>3.1606960000000003E-2</v>
      </c>
      <c r="X4527">
        <v>0.99840779999999996</v>
      </c>
      <c r="Y4527">
        <v>8.8112880000000005E-2</v>
      </c>
      <c r="Z4527">
        <v>7.9538399999999995E-2</v>
      </c>
      <c r="AA4527">
        <v>0.99292990000000003</v>
      </c>
      <c r="AB4527">
        <v>22</v>
      </c>
      <c r="AC4527">
        <v>-0.103200000000015</v>
      </c>
      <c r="AD4527">
        <v>-6.1198000000000301E-2</v>
      </c>
      <c r="AE4527">
        <v>-0.54433999999999105</v>
      </c>
      <c r="AF4527">
        <v>6.8969834067587402E-2</v>
      </c>
      <c r="AG4527">
        <v>-6.1198000000000301E-2</v>
      </c>
      <c r="AH4527">
        <v>0.542995337682733</v>
      </c>
      <c r="AI4527">
        <v>96.379526913792404</v>
      </c>
      <c r="AJ4527">
        <v>82.761204109316495</v>
      </c>
      <c r="AK4527">
        <v>0.55076852666115195</v>
      </c>
    </row>
    <row r="4528" spans="1:37" x14ac:dyDescent="0.2">
      <c r="A4528" t="str">
        <f>"20200111155943685"</f>
        <v>20200111155943685</v>
      </c>
      <c r="B4528" t="str">
        <f>"1578729583674275"</f>
        <v>1578729583674275</v>
      </c>
      <c r="C4528" t="s">
        <v>37</v>
      </c>
      <c r="D4528">
        <v>5.3375879999999896</v>
      </c>
      <c r="E4528">
        <v>0.55337499999999995</v>
      </c>
      <c r="F4528" t="s">
        <v>38</v>
      </c>
      <c r="G4528">
        <v>-422.96190000000001</v>
      </c>
      <c r="H4528">
        <v>1.0475049999999999</v>
      </c>
      <c r="I4528">
        <v>86.129710000000003</v>
      </c>
      <c r="J4528">
        <v>-422.86070000000001</v>
      </c>
      <c r="K4528">
        <v>1.105577</v>
      </c>
      <c r="L4528">
        <v>86.661439999999999</v>
      </c>
      <c r="M4528">
        <v>-5.9267029999999998E-2</v>
      </c>
      <c r="N4528">
        <v>0</v>
      </c>
      <c r="O4528">
        <v>-0.99814899999999995</v>
      </c>
      <c r="P4528">
        <v>-1.264563E-2</v>
      </c>
      <c r="Q4528">
        <v>1.8490220000000002E-2</v>
      </c>
      <c r="R4528">
        <v>-0.9997492</v>
      </c>
      <c r="S4528">
        <v>-0.45269779999999998</v>
      </c>
      <c r="T4528">
        <v>-0.23621880000000001</v>
      </c>
      <c r="U4528">
        <v>-2.9985659999999998</v>
      </c>
      <c r="V4528">
        <v>-4.6713709999999999E-2</v>
      </c>
      <c r="W4528">
        <v>3.1992520000000003E-2</v>
      </c>
      <c r="X4528">
        <v>0.9983959</v>
      </c>
      <c r="Y4528">
        <v>8.9956850000000005E-2</v>
      </c>
      <c r="Z4528">
        <v>7.7730980000000005E-2</v>
      </c>
      <c r="AA4528">
        <v>0.99290769999999995</v>
      </c>
      <c r="AB4528">
        <v>21</v>
      </c>
      <c r="AC4528">
        <v>-0.10120000000000499</v>
      </c>
      <c r="AD4528">
        <v>-5.8072000000000103E-2</v>
      </c>
      <c r="AE4528">
        <v>-0.53172999999999604</v>
      </c>
      <c r="AF4528">
        <v>6.8714143492483504E-2</v>
      </c>
      <c r="AG4528">
        <v>-5.8072000000000103E-2</v>
      </c>
      <c r="AH4528">
        <v>0.53068500708303201</v>
      </c>
      <c r="AI4528">
        <v>96.193639235722102</v>
      </c>
      <c r="AJ4528">
        <v>82.622277110075601</v>
      </c>
      <c r="AK4528">
        <v>0.53825697156899299</v>
      </c>
    </row>
    <row r="4529" spans="1:37" x14ac:dyDescent="0.2">
      <c r="A4529" t="str">
        <f>"20200111155943707"</f>
        <v>20200111155943707</v>
      </c>
      <c r="B4529" t="str">
        <f>"1578729583704531"</f>
        <v>1578729583704531</v>
      </c>
      <c r="C4529" t="s">
        <v>37</v>
      </c>
      <c r="D4529">
        <v>5.3158000000000003</v>
      </c>
      <c r="E4529">
        <v>0.52356990000000003</v>
      </c>
      <c r="F4529" t="s">
        <v>38</v>
      </c>
      <c r="G4529">
        <v>-422.96899999999999</v>
      </c>
      <c r="H4529">
        <v>1.048241</v>
      </c>
      <c r="I4529">
        <v>85.937960000000004</v>
      </c>
      <c r="J4529">
        <v>-422.87099999999998</v>
      </c>
      <c r="K4529">
        <v>1.1055809999999999</v>
      </c>
      <c r="L4529">
        <v>86.453829999999996</v>
      </c>
      <c r="M4529">
        <v>-5.7543669999999998E-2</v>
      </c>
      <c r="N4529">
        <v>0</v>
      </c>
      <c r="O4529">
        <v>-0.99825010000000003</v>
      </c>
      <c r="P4529">
        <v>-1.132791E-2</v>
      </c>
      <c r="Q4529">
        <v>1.8973710000000001E-2</v>
      </c>
      <c r="R4529">
        <v>-0.99975599999999998</v>
      </c>
      <c r="S4529">
        <v>-0.44869999999999999</v>
      </c>
      <c r="T4529">
        <v>-0.23765529999999899</v>
      </c>
      <c r="U4529">
        <v>-2.9994809999999998</v>
      </c>
      <c r="V4529">
        <v>-4.6305939999999997E-2</v>
      </c>
      <c r="W4529">
        <v>3.2471970000000003E-2</v>
      </c>
      <c r="X4529">
        <v>0.99839940000000005</v>
      </c>
      <c r="Y4529">
        <v>9.0332049999999997E-2</v>
      </c>
      <c r="Z4529">
        <v>7.8195470000000003E-2</v>
      </c>
      <c r="AA4529">
        <v>0.99283709999999903</v>
      </c>
      <c r="AB4529">
        <v>21</v>
      </c>
      <c r="AC4529">
        <v>-9.8000000000013202E-2</v>
      </c>
      <c r="AD4529">
        <v>-5.7339999999999898E-2</v>
      </c>
      <c r="AE4529">
        <v>-0.51587000000000605</v>
      </c>
      <c r="AF4529">
        <v>6.7346705171044796E-2</v>
      </c>
      <c r="AG4529">
        <v>-5.7339999999999898E-2</v>
      </c>
      <c r="AH4529">
        <v>0.51451948713164297</v>
      </c>
      <c r="AI4529">
        <v>96.305670709359205</v>
      </c>
      <c r="AJ4529">
        <v>82.542811011043398</v>
      </c>
      <c r="AK4529">
        <v>0.52206681271232303</v>
      </c>
    </row>
    <row r="4530" spans="1:37" x14ac:dyDescent="0.2">
      <c r="A4530" t="str">
        <f>"20200111155943728"</f>
        <v>20200111155943728</v>
      </c>
      <c r="B4530" t="str">
        <f>"1578729583725028"</f>
        <v>1578729583725028</v>
      </c>
      <c r="C4530" t="s">
        <v>37</v>
      </c>
      <c r="D4530">
        <v>5.305955</v>
      </c>
      <c r="E4530">
        <v>0.52167280000000005</v>
      </c>
      <c r="F4530" t="s">
        <v>38</v>
      </c>
      <c r="G4530">
        <v>-422.93180000000001</v>
      </c>
      <c r="H4530">
        <v>1.0275749999999999</v>
      </c>
      <c r="I4530">
        <v>85.564790000000002</v>
      </c>
      <c r="J4530">
        <v>-422.8811</v>
      </c>
      <c r="K4530">
        <v>1.10558</v>
      </c>
      <c r="L4530">
        <v>86.242310000000003</v>
      </c>
      <c r="M4530">
        <v>-5.5784840000000002E-2</v>
      </c>
      <c r="N4530">
        <v>0</v>
      </c>
      <c r="O4530">
        <v>-0.99835030000000002</v>
      </c>
      <c r="P4530">
        <v>-9.7978579999999996E-3</v>
      </c>
      <c r="Q4530">
        <v>1.9386980000000002E-2</v>
      </c>
      <c r="R4530">
        <v>-0.99976430000000005</v>
      </c>
      <c r="S4530">
        <v>-0.2052612</v>
      </c>
      <c r="T4530">
        <v>-0.26357900000000001</v>
      </c>
      <c r="U4530">
        <v>-3.0034179999999999</v>
      </c>
      <c r="V4530">
        <v>-4.6074940000000002E-2</v>
      </c>
      <c r="W4530">
        <v>3.286087E-2</v>
      </c>
      <c r="X4530">
        <v>0.99839739999999999</v>
      </c>
      <c r="Y4530">
        <v>1.215752E-2</v>
      </c>
      <c r="Z4530">
        <v>8.7116059999999995E-2</v>
      </c>
      <c r="AA4530">
        <v>0.99612400000000001</v>
      </c>
      <c r="AB4530">
        <v>21</v>
      </c>
      <c r="AC4530">
        <v>-5.0700000000006101E-2</v>
      </c>
      <c r="AD4530">
        <v>-7.8005000000000102E-2</v>
      </c>
      <c r="AE4530">
        <v>-0.67752000000000101</v>
      </c>
      <c r="AF4530">
        <v>1.2655378830010999E-2</v>
      </c>
      <c r="AG4530">
        <v>-7.8005000000000102E-2</v>
      </c>
      <c r="AH4530">
        <v>0.67045550682798005</v>
      </c>
      <c r="AI4530">
        <v>96.6351423395339</v>
      </c>
      <c r="AJ4530">
        <v>88.918625189121798</v>
      </c>
      <c r="AK4530">
        <v>0.67509667846486598</v>
      </c>
    </row>
    <row r="4531" spans="1:37" x14ac:dyDescent="0.2">
      <c r="A4531" t="str">
        <f>"20200111155943752"</f>
        <v>20200111155943752</v>
      </c>
      <c r="B4531" t="str">
        <f>"1578729583744550"</f>
        <v>1578729583744550</v>
      </c>
      <c r="C4531" t="s">
        <v>37</v>
      </c>
      <c r="D4531">
        <v>5.2960269999999996</v>
      </c>
      <c r="E4531">
        <v>0.52175579999999999</v>
      </c>
      <c r="F4531" t="s">
        <v>38</v>
      </c>
      <c r="G4531">
        <v>-422.93520000000001</v>
      </c>
      <c r="H4531">
        <v>1.0322899999999999</v>
      </c>
      <c r="I4531">
        <v>85.371889999999993</v>
      </c>
      <c r="J4531">
        <v>-422.89109999999999</v>
      </c>
      <c r="K4531">
        <v>1.1055729999999999</v>
      </c>
      <c r="L4531">
        <v>86.024050000000003</v>
      </c>
      <c r="M4531">
        <v>-5.3969900000000001E-2</v>
      </c>
      <c r="N4531">
        <v>0</v>
      </c>
      <c r="O4531">
        <v>-0.99845030000000001</v>
      </c>
      <c r="P4531">
        <v>-8.476585E-3</v>
      </c>
      <c r="Q4531">
        <v>1.9874320000000001E-2</v>
      </c>
      <c r="R4531">
        <v>-0.99976640000000006</v>
      </c>
      <c r="S4531">
        <v>-0.18560789999999999</v>
      </c>
      <c r="T4531">
        <v>-0.25315559999999998</v>
      </c>
      <c r="U4531">
        <v>-3.003784</v>
      </c>
      <c r="V4531">
        <v>-4.5580570000000001E-2</v>
      </c>
      <c r="W4531">
        <v>3.330694E-2</v>
      </c>
      <c r="X4531">
        <v>0.99840529999999905</v>
      </c>
      <c r="Y4531">
        <v>7.4948879999999999E-3</v>
      </c>
      <c r="Z4531">
        <v>8.3717659999999999E-2</v>
      </c>
      <c r="AA4531">
        <v>0.99646129999999999</v>
      </c>
      <c r="AB4531">
        <v>21</v>
      </c>
      <c r="AC4531">
        <v>-4.4100000000014399E-2</v>
      </c>
      <c r="AD4531">
        <v>-7.3282999999999904E-2</v>
      </c>
      <c r="AE4531">
        <v>-0.65215999999999497</v>
      </c>
      <c r="AF4531">
        <v>8.7257838047784999E-3</v>
      </c>
      <c r="AG4531">
        <v>-7.3282999999999904E-2</v>
      </c>
      <c r="AH4531">
        <v>0.64547634181489999</v>
      </c>
      <c r="AI4531">
        <v>96.476651875868896</v>
      </c>
      <c r="AJ4531">
        <v>89.225502003359395</v>
      </c>
      <c r="AK4531">
        <v>0.64968164914422</v>
      </c>
    </row>
    <row r="4532" spans="1:37" x14ac:dyDescent="0.2">
      <c r="A4532" t="str">
        <f>"20200111155943773"</f>
        <v>20200111155943773</v>
      </c>
      <c r="B4532" t="str">
        <f>"1578729583765043"</f>
        <v>1578729583765043</v>
      </c>
      <c r="C4532" t="s">
        <v>37</v>
      </c>
      <c r="D4532">
        <v>5.286842</v>
      </c>
      <c r="E4532">
        <v>0.52216700000000005</v>
      </c>
      <c r="F4532" t="s">
        <v>38</v>
      </c>
      <c r="G4532">
        <v>-422.94240000000002</v>
      </c>
      <c r="H4532">
        <v>1.036535</v>
      </c>
      <c r="I4532">
        <v>85.178929999999994</v>
      </c>
      <c r="J4532">
        <v>-422.90050000000002</v>
      </c>
      <c r="K4532">
        <v>1.105556</v>
      </c>
      <c r="L4532">
        <v>85.812259999999995</v>
      </c>
      <c r="M4532">
        <v>-5.2208549999999999E-2</v>
      </c>
      <c r="N4532">
        <v>0</v>
      </c>
      <c r="O4532">
        <v>-0.99854509999999996</v>
      </c>
      <c r="P4532">
        <v>-7.406869E-3</v>
      </c>
      <c r="Q4532">
        <v>1.9679889999999998E-2</v>
      </c>
      <c r="R4532">
        <v>-0.99977909999999903</v>
      </c>
      <c r="S4532">
        <v>-0.18252560000000001</v>
      </c>
      <c r="T4532">
        <v>-0.24533669999999999</v>
      </c>
      <c r="U4532">
        <v>-3.0040279999999999</v>
      </c>
      <c r="V4532">
        <v>-4.4886809999999999E-2</v>
      </c>
      <c r="W4532">
        <v>3.305864E-2</v>
      </c>
      <c r="X4532">
        <v>0.99844489999999997</v>
      </c>
      <c r="Y4532">
        <v>8.2482030000000008E-3</v>
      </c>
      <c r="Z4532">
        <v>8.1156450000000005E-2</v>
      </c>
      <c r="AA4532">
        <v>0.99666730000000003</v>
      </c>
      <c r="AB4532">
        <v>21</v>
      </c>
      <c r="AC4532">
        <v>-4.1899999999998203E-2</v>
      </c>
      <c r="AD4532">
        <v>-6.9020999999999999E-2</v>
      </c>
      <c r="AE4532">
        <v>-0.63332999999998596</v>
      </c>
      <c r="AF4532">
        <v>8.6720489838522305E-3</v>
      </c>
      <c r="AG4532">
        <v>-6.9020999999999999E-2</v>
      </c>
      <c r="AH4532">
        <v>0.62723669603932997</v>
      </c>
      <c r="AI4532">
        <v>96.278956239035097</v>
      </c>
      <c r="AJ4532">
        <v>89.207890492051504</v>
      </c>
      <c r="AK4532">
        <v>0.63108238426762697</v>
      </c>
    </row>
    <row r="4533" spans="1:37" x14ac:dyDescent="0.2">
      <c r="A4533" t="str">
        <f>"20200111155943796"</f>
        <v>20200111155943796</v>
      </c>
      <c r="B4533" t="str">
        <f>"1578729583784563"</f>
        <v>1578729583784563</v>
      </c>
      <c r="C4533" t="s">
        <v>37</v>
      </c>
      <c r="D4533">
        <v>5.285514</v>
      </c>
      <c r="E4533">
        <v>0.52246680000000001</v>
      </c>
      <c r="F4533" t="s">
        <v>38</v>
      </c>
      <c r="G4533">
        <v>-422.950999999999</v>
      </c>
      <c r="H4533">
        <v>1.0387759999999999</v>
      </c>
      <c r="I4533">
        <v>84.987189999999998</v>
      </c>
      <c r="J4533">
        <v>-422.90929999999997</v>
      </c>
      <c r="K4533">
        <v>1.105542</v>
      </c>
      <c r="L4533">
        <v>85.602419999999995</v>
      </c>
      <c r="M4533">
        <v>-5.0460669999999999E-2</v>
      </c>
      <c r="N4533">
        <v>0</v>
      </c>
      <c r="O4533">
        <v>-0.99863590000000002</v>
      </c>
      <c r="P4533">
        <v>-6.2756579999999999E-3</v>
      </c>
      <c r="Q4533">
        <v>1.9858830000000001E-2</v>
      </c>
      <c r="R4533">
        <v>-0.99978349999999905</v>
      </c>
      <c r="S4533">
        <v>-0.18313599999999999</v>
      </c>
      <c r="T4533">
        <v>-0.24338170000000001</v>
      </c>
      <c r="U4533">
        <v>-3.004089</v>
      </c>
      <c r="V4533">
        <v>-4.4268670000000003E-2</v>
      </c>
      <c r="W4533">
        <v>3.316873E-2</v>
      </c>
      <c r="X4533">
        <v>0.99846889999999999</v>
      </c>
      <c r="Y4533">
        <v>1.02022E-2</v>
      </c>
      <c r="Z4533">
        <v>8.0521969999999998E-2</v>
      </c>
      <c r="AA4533">
        <v>0.99670059999999905</v>
      </c>
      <c r="AB4533">
        <v>21</v>
      </c>
      <c r="AC4533">
        <v>-4.1699999999991598E-2</v>
      </c>
      <c r="AD4533">
        <v>-6.6766000000000103E-2</v>
      </c>
      <c r="AE4533">
        <v>-0.61522999999999595</v>
      </c>
      <c r="AF4533">
        <v>1.04763374158717E-2</v>
      </c>
      <c r="AG4533">
        <v>-6.6766000000000103E-2</v>
      </c>
      <c r="AH4533">
        <v>0.60940631085771602</v>
      </c>
      <c r="AI4533">
        <v>96.251420586842599</v>
      </c>
      <c r="AJ4533">
        <v>89.015122115771305</v>
      </c>
      <c r="AK4533">
        <v>0.61314231962478605</v>
      </c>
    </row>
    <row r="4534" spans="1:37" x14ac:dyDescent="0.2">
      <c r="A4534" t="str">
        <f>"20200111155943818"</f>
        <v>20200111155943818</v>
      </c>
      <c r="B4534" t="str">
        <f>"1578729583814820"</f>
        <v>1578729583814820</v>
      </c>
      <c r="C4534" t="s">
        <v>37</v>
      </c>
      <c r="D4534">
        <v>5.3458119999999996</v>
      </c>
      <c r="E4534">
        <v>0.52284529999999996</v>
      </c>
      <c r="F4534" t="s">
        <v>38</v>
      </c>
      <c r="G4534">
        <v>-422.95819999999998</v>
      </c>
      <c r="H4534">
        <v>1.0399419999999999</v>
      </c>
      <c r="I4534">
        <v>84.796329999999998</v>
      </c>
      <c r="J4534">
        <v>-422.91800000000001</v>
      </c>
      <c r="K4534">
        <v>1.105526</v>
      </c>
      <c r="L4534">
        <v>85.389250000000004</v>
      </c>
      <c r="M4534">
        <v>-4.8681740000000001E-2</v>
      </c>
      <c r="N4534">
        <v>0</v>
      </c>
      <c r="O4534">
        <v>-0.99872499999999997</v>
      </c>
      <c r="P4534">
        <v>-5.2050580000000003E-3</v>
      </c>
      <c r="Q4534">
        <v>2.042279E-2</v>
      </c>
      <c r="R4534">
        <v>-0.99977799999999994</v>
      </c>
      <c r="S4534">
        <v>-0.18212890000000001</v>
      </c>
      <c r="T4534">
        <v>-0.24453169999999999</v>
      </c>
      <c r="U4534">
        <v>-3.0043950000000001</v>
      </c>
      <c r="V4534">
        <v>-4.3559510000000003E-2</v>
      </c>
      <c r="W4534">
        <v>3.3651979999999998E-2</v>
      </c>
      <c r="X4534">
        <v>0.99848389999999998</v>
      </c>
      <c r="Y4534">
        <v>1.164254E-2</v>
      </c>
      <c r="Z4534">
        <v>8.0902689999999999E-2</v>
      </c>
      <c r="AA4534">
        <v>0.99665400000000004</v>
      </c>
      <c r="AB4534">
        <v>21</v>
      </c>
      <c r="AC4534">
        <v>-4.0199999999970197E-2</v>
      </c>
      <c r="AD4534">
        <v>-6.5584000000000003E-2</v>
      </c>
      <c r="AE4534">
        <v>-0.59291999999999201</v>
      </c>
      <c r="AF4534">
        <v>1.1149583939280601E-2</v>
      </c>
      <c r="AG4534">
        <v>-6.5584000000000003E-2</v>
      </c>
      <c r="AH4534">
        <v>0.58702467801471003</v>
      </c>
      <c r="AI4534">
        <v>96.373665202275703</v>
      </c>
      <c r="AJ4534">
        <v>88.911890206150602</v>
      </c>
      <c r="AK4534">
        <v>0.59078214840691801</v>
      </c>
    </row>
    <row r="4535" spans="1:37" x14ac:dyDescent="0.2">
      <c r="A4535" t="str">
        <f>"20200111155943842"</f>
        <v>20200111155943842</v>
      </c>
      <c r="B4535" t="str">
        <f>"1578729583834339"</f>
        <v>1578729583834339</v>
      </c>
      <c r="C4535" t="s">
        <v>37</v>
      </c>
      <c r="D4535">
        <v>5.403143</v>
      </c>
      <c r="E4535">
        <v>0.52275369999999999</v>
      </c>
      <c r="F4535" t="s">
        <v>38</v>
      </c>
      <c r="G4535">
        <v>-422.96559999999999</v>
      </c>
      <c r="H4535">
        <v>1.0419909999999999</v>
      </c>
      <c r="I4535">
        <v>84.604830000000007</v>
      </c>
      <c r="J4535">
        <v>-422.9264</v>
      </c>
      <c r="K4535">
        <v>1.105515</v>
      </c>
      <c r="L4535">
        <v>85.174409999999995</v>
      </c>
      <c r="M4535">
        <v>-4.6885629999999998E-2</v>
      </c>
      <c r="N4535">
        <v>0</v>
      </c>
      <c r="O4535">
        <v>-0.99881229999999999</v>
      </c>
      <c r="P4535">
        <v>-3.8370370000000002E-3</v>
      </c>
      <c r="Q4535">
        <v>2.0971500000000001E-2</v>
      </c>
      <c r="R4535">
        <v>-0.99977320000000003</v>
      </c>
      <c r="S4535">
        <v>-0.18188479999999899</v>
      </c>
      <c r="T4535">
        <v>-0.24352679999999999</v>
      </c>
      <c r="U4535">
        <v>-3.0046689999999998</v>
      </c>
      <c r="V4535">
        <v>-4.313032E-2</v>
      </c>
      <c r="W4535">
        <v>3.4111860000000001E-2</v>
      </c>
      <c r="X4535">
        <v>0.99848689999999996</v>
      </c>
      <c r="Y4535">
        <v>1.335622E-2</v>
      </c>
      <c r="Z4535">
        <v>8.0574770000000004E-2</v>
      </c>
      <c r="AA4535">
        <v>0.99665910000000002</v>
      </c>
      <c r="AB4535">
        <v>21</v>
      </c>
      <c r="AC4535">
        <v>-3.9199999999993899E-2</v>
      </c>
      <c r="AD4535">
        <v>-6.3524000000000094E-2</v>
      </c>
      <c r="AE4535">
        <v>-0.56957999999998699</v>
      </c>
      <c r="AF4535">
        <v>1.22971821342431E-2</v>
      </c>
      <c r="AG4535">
        <v>-6.3524000000000094E-2</v>
      </c>
      <c r="AH4535">
        <v>0.56381169833936096</v>
      </c>
      <c r="AI4535">
        <v>96.426822779958698</v>
      </c>
      <c r="AJ4535">
        <v>88.750531524558198</v>
      </c>
      <c r="AK4535">
        <v>0.56751224695926805</v>
      </c>
    </row>
    <row r="4536" spans="1:37" x14ac:dyDescent="0.2">
      <c r="A4536" t="str">
        <f>"20200111155943863"</f>
        <v>20200111155943863</v>
      </c>
      <c r="B4536" t="str">
        <f>"1578729583854835"</f>
        <v>1578729583854835</v>
      </c>
      <c r="C4536" t="s">
        <v>37</v>
      </c>
      <c r="D4536">
        <v>5.3582739999999998</v>
      </c>
      <c r="E4536">
        <v>0.52289470000000005</v>
      </c>
      <c r="F4536" t="s">
        <v>38</v>
      </c>
      <c r="G4536">
        <v>-422.97109999999998</v>
      </c>
      <c r="H4536">
        <v>1.044109</v>
      </c>
      <c r="I4536">
        <v>84.413060000000002</v>
      </c>
      <c r="J4536">
        <v>-422.93419999999998</v>
      </c>
      <c r="K4536">
        <v>1.105502</v>
      </c>
      <c r="L4536">
        <v>84.963200000000001</v>
      </c>
      <c r="M4536">
        <v>-4.5118199999999997E-2</v>
      </c>
      <c r="N4536">
        <v>0</v>
      </c>
      <c r="O4536">
        <v>-0.99889499999999998</v>
      </c>
      <c r="P4536">
        <v>-2.3380919999999999E-3</v>
      </c>
      <c r="Q4536">
        <v>2.0611250000000001E-2</v>
      </c>
      <c r="R4536">
        <v>-0.99978509999999998</v>
      </c>
      <c r="S4536">
        <v>-0.17715449999999999</v>
      </c>
      <c r="T4536">
        <v>-0.2422395</v>
      </c>
      <c r="U4536">
        <v>-3.005096</v>
      </c>
      <c r="V4536">
        <v>-4.2859120000000001E-2</v>
      </c>
      <c r="W4536">
        <v>3.3662459999999998E-2</v>
      </c>
      <c r="X4536">
        <v>0.99851389999999995</v>
      </c>
      <c r="Y4536">
        <v>1.355582E-2</v>
      </c>
      <c r="Z4536">
        <v>8.0153710000000003E-2</v>
      </c>
      <c r="AA4536">
        <v>0.99669030000000003</v>
      </c>
      <c r="AB4536">
        <v>21</v>
      </c>
      <c r="AC4536">
        <v>-3.6900000000002799E-2</v>
      </c>
      <c r="AD4536">
        <v>-6.1393000000000003E-2</v>
      </c>
      <c r="AE4536">
        <v>-0.55013999999999896</v>
      </c>
      <c r="AF4536">
        <v>1.1891513483388899E-2</v>
      </c>
      <c r="AG4536">
        <v>-6.1393000000000003E-2</v>
      </c>
      <c r="AH4536">
        <v>0.54449419046260805</v>
      </c>
      <c r="AI4536">
        <v>96.431543486286799</v>
      </c>
      <c r="AJ4536">
        <v>88.748884279855503</v>
      </c>
      <c r="AK4536">
        <v>0.54807338193845601</v>
      </c>
    </row>
    <row r="4537" spans="1:37" x14ac:dyDescent="0.2">
      <c r="A4537" t="str">
        <f>"20200111155943886"</f>
        <v>20200111155943886</v>
      </c>
      <c r="B4537" t="str">
        <f>"1578729583874355"</f>
        <v>1578729583874355</v>
      </c>
      <c r="C4537" t="s">
        <v>37</v>
      </c>
      <c r="D4537">
        <v>5.3798379999999897</v>
      </c>
      <c r="E4537">
        <v>0.52292059999999996</v>
      </c>
      <c r="F4537" t="s">
        <v>38</v>
      </c>
      <c r="G4537">
        <v>-422.97750000000002</v>
      </c>
      <c r="H4537">
        <v>1.0452410000000001</v>
      </c>
      <c r="I4537">
        <v>84.216909999999999</v>
      </c>
      <c r="J4537">
        <v>-422.94170000000003</v>
      </c>
      <c r="K4537">
        <v>1.1054889999999999</v>
      </c>
      <c r="L4537">
        <v>84.753230000000002</v>
      </c>
      <c r="M4537">
        <v>-4.336127E-2</v>
      </c>
      <c r="N4537">
        <v>0</v>
      </c>
      <c r="O4537">
        <v>-0.99897380000000002</v>
      </c>
      <c r="P4537">
        <v>-6.0377169999999895E-4</v>
      </c>
      <c r="Q4537">
        <v>2.0232920000000001E-2</v>
      </c>
      <c r="R4537">
        <v>-0.9997954</v>
      </c>
      <c r="S4537">
        <v>-0.17358399999999999</v>
      </c>
      <c r="T4537">
        <v>-0.24285019999999999</v>
      </c>
      <c r="U4537">
        <v>-3.0052490000000001</v>
      </c>
      <c r="V4537">
        <v>-4.2834560000000001E-2</v>
      </c>
      <c r="W4537">
        <v>3.319018E-2</v>
      </c>
      <c r="X4537">
        <v>0.99853069999999899</v>
      </c>
      <c r="Y4537">
        <v>1.4130419999999999E-2</v>
      </c>
      <c r="Z4537">
        <v>8.0362249999999996E-2</v>
      </c>
      <c r="AA4537">
        <v>0.99666549999999998</v>
      </c>
      <c r="AB4537">
        <v>21</v>
      </c>
      <c r="AC4537">
        <v>-3.5799999999994697E-2</v>
      </c>
      <c r="AD4537">
        <v>-6.0247999999999802E-2</v>
      </c>
      <c r="AE4537">
        <v>-0.53632000000000302</v>
      </c>
      <c r="AF4537">
        <v>1.23536130517633E-2</v>
      </c>
      <c r="AG4537">
        <v>-6.0247999999999802E-2</v>
      </c>
      <c r="AH4537">
        <v>0.53070055574362396</v>
      </c>
      <c r="AI4537">
        <v>96.475058524173505</v>
      </c>
      <c r="AJ4537">
        <v>88.666513388127896</v>
      </c>
      <c r="AK4537">
        <v>0.53425229351498704</v>
      </c>
    </row>
    <row r="4538" spans="1:37" x14ac:dyDescent="0.2">
      <c r="A4538" t="str">
        <f>"20200111155943908"</f>
        <v>20200111155943908</v>
      </c>
      <c r="B4538" t="str">
        <f>"1578729583904611"</f>
        <v>1578729583904611</v>
      </c>
      <c r="C4538" t="s">
        <v>37</v>
      </c>
      <c r="D4538">
        <v>5.4178480000000002</v>
      </c>
      <c r="E4538">
        <v>0.52333589999999997</v>
      </c>
      <c r="F4538" t="s">
        <v>38</v>
      </c>
      <c r="G4538">
        <v>-422.99220000000003</v>
      </c>
      <c r="H4538">
        <v>1.031814</v>
      </c>
      <c r="I4538">
        <v>83.853740000000002</v>
      </c>
      <c r="J4538">
        <v>-422.94850000000002</v>
      </c>
      <c r="K4538">
        <v>1.105472</v>
      </c>
      <c r="L4538">
        <v>84.545929999999998</v>
      </c>
      <c r="M4538">
        <v>-4.1623649999999998E-2</v>
      </c>
      <c r="N4538">
        <v>0</v>
      </c>
      <c r="O4538">
        <v>-0.99904919999999997</v>
      </c>
      <c r="P4538">
        <v>8.6507800000000003E-4</v>
      </c>
      <c r="Q4538">
        <v>1.9634619999999998E-2</v>
      </c>
      <c r="R4538">
        <v>-0.99980689999999905</v>
      </c>
      <c r="S4538">
        <v>-0.1681213</v>
      </c>
      <c r="T4538">
        <v>-0.24635650000000001</v>
      </c>
      <c r="U4538">
        <v>-3.005493</v>
      </c>
      <c r="V4538">
        <v>-4.2563190000000001E-2</v>
      </c>
      <c r="W4538">
        <v>3.2485310000000003E-2</v>
      </c>
      <c r="X4538">
        <v>0.99856549999999999</v>
      </c>
      <c r="Y4538">
        <v>1.405407E-2</v>
      </c>
      <c r="Z4538">
        <v>8.1521549999999998E-2</v>
      </c>
      <c r="AA4538">
        <v>0.99657249999999997</v>
      </c>
      <c r="AB4538">
        <v>21</v>
      </c>
      <c r="AC4538">
        <v>-4.3700000000001099E-2</v>
      </c>
      <c r="AD4538">
        <v>-7.3658000000000001E-2</v>
      </c>
      <c r="AE4538">
        <v>-0.69218999999999598</v>
      </c>
      <c r="AF4538">
        <v>1.46826224100167E-2</v>
      </c>
      <c r="AG4538">
        <v>-7.3658000000000001E-2</v>
      </c>
      <c r="AH4538">
        <v>0.68567555107419398</v>
      </c>
      <c r="AI4538">
        <v>96.130033168476203</v>
      </c>
      <c r="AJ4538">
        <v>88.773291901870707</v>
      </c>
      <c r="AK4538">
        <v>0.68977680571742495</v>
      </c>
    </row>
    <row r="4539" spans="1:37" x14ac:dyDescent="0.2">
      <c r="A4539" t="str">
        <f>"20200111155943930"</f>
        <v>20200111155943930</v>
      </c>
      <c r="B4539" t="str">
        <f>"1578729583925107"</f>
        <v>1578729583925107</v>
      </c>
      <c r="C4539" t="s">
        <v>37</v>
      </c>
      <c r="D4539">
        <v>5.4399040000000003</v>
      </c>
      <c r="E4539">
        <v>0.52363149999999903</v>
      </c>
      <c r="F4539" t="s">
        <v>38</v>
      </c>
      <c r="G4539">
        <v>-422.99779999999998</v>
      </c>
      <c r="H4539">
        <v>1.0332159999999999</v>
      </c>
      <c r="I4539">
        <v>83.663340000000005</v>
      </c>
      <c r="J4539">
        <v>-422.9556</v>
      </c>
      <c r="K4539">
        <v>1.1054489999999999</v>
      </c>
      <c r="L4539">
        <v>84.324370000000002</v>
      </c>
      <c r="M4539">
        <v>-3.9764050000000002E-2</v>
      </c>
      <c r="N4539">
        <v>0</v>
      </c>
      <c r="O4539">
        <v>-0.99912659999999998</v>
      </c>
      <c r="P4539">
        <v>2.015232E-3</v>
      </c>
      <c r="Q4539">
        <v>1.8476349999999999E-2</v>
      </c>
      <c r="R4539">
        <v>-0.99982749999999998</v>
      </c>
      <c r="S4539">
        <v>-0.1670837</v>
      </c>
      <c r="T4539">
        <v>-0.246210399999999</v>
      </c>
      <c r="U4539">
        <v>-3.0055540000000001</v>
      </c>
      <c r="V4539">
        <v>-4.1850180000000001E-2</v>
      </c>
      <c r="W4539">
        <v>3.120757E-2</v>
      </c>
      <c r="X4539">
        <v>0.99863639999999998</v>
      </c>
      <c r="Y4539">
        <v>1.557132E-2</v>
      </c>
      <c r="Z4539">
        <v>8.148097E-2</v>
      </c>
      <c r="AA4539">
        <v>0.99655319999999903</v>
      </c>
      <c r="AB4539">
        <v>21</v>
      </c>
      <c r="AC4539">
        <v>-4.2199999999979802E-2</v>
      </c>
      <c r="AD4539">
        <v>-7.2232999999999895E-2</v>
      </c>
      <c r="AE4539">
        <v>-0.66102999999999601</v>
      </c>
      <c r="AF4539">
        <v>1.56926017829285E-2</v>
      </c>
      <c r="AG4539">
        <v>-7.2232999999999895E-2</v>
      </c>
      <c r="AH4539">
        <v>0.65440298658699103</v>
      </c>
      <c r="AI4539">
        <v>96.297013842011296</v>
      </c>
      <c r="AJ4539">
        <v>88.626308886430706</v>
      </c>
      <c r="AK4539">
        <v>0.65856444854979101</v>
      </c>
    </row>
    <row r="4540" spans="1:37" x14ac:dyDescent="0.2">
      <c r="A4540" t="str">
        <f>"20200111155943954"</f>
        <v>20200111155943954</v>
      </c>
      <c r="B4540" t="str">
        <f>"1578729583944627"</f>
        <v>1578729583944627</v>
      </c>
      <c r="C4540" t="s">
        <v>37</v>
      </c>
      <c r="D4540">
        <v>5.4796329999999998</v>
      </c>
      <c r="E4540">
        <v>0.52388190000000001</v>
      </c>
      <c r="F4540" t="s">
        <v>38</v>
      </c>
      <c r="G4540">
        <v>-423.00290000000001</v>
      </c>
      <c r="H4540">
        <v>1.034786</v>
      </c>
      <c r="I4540">
        <v>83.472809999999996</v>
      </c>
      <c r="J4540">
        <v>-422.9622</v>
      </c>
      <c r="K4540">
        <v>1.105429</v>
      </c>
      <c r="L4540">
        <v>84.103549999999998</v>
      </c>
      <c r="M4540">
        <v>-3.7902690000000003E-2</v>
      </c>
      <c r="N4540">
        <v>0</v>
      </c>
      <c r="O4540">
        <v>-0.9992008</v>
      </c>
      <c r="P4540">
        <v>3.4681970000000001E-3</v>
      </c>
      <c r="Q4540">
        <v>1.7926299999999999E-2</v>
      </c>
      <c r="R4540">
        <v>-0.99983359999999899</v>
      </c>
      <c r="S4540">
        <v>-0.16586300000000001</v>
      </c>
      <c r="T4540">
        <v>-0.24962670000000001</v>
      </c>
      <c r="U4540">
        <v>-3.0054630000000002</v>
      </c>
      <c r="V4540">
        <v>-4.1440100000000001E-2</v>
      </c>
      <c r="W4540">
        <v>3.0526009999999999E-2</v>
      </c>
      <c r="X4540">
        <v>0.99867459999999997</v>
      </c>
      <c r="Y4540">
        <v>1.702708E-2</v>
      </c>
      <c r="Z4540">
        <v>8.2615270000000005E-2</v>
      </c>
      <c r="AA4540">
        <v>0.99643609999999905</v>
      </c>
      <c r="AB4540">
        <v>21</v>
      </c>
      <c r="AC4540">
        <v>-4.0700000000015203E-2</v>
      </c>
      <c r="AD4540">
        <v>-7.0642999999999997E-2</v>
      </c>
      <c r="AE4540">
        <v>-0.63074000000000197</v>
      </c>
      <c r="AF4540">
        <v>1.6555271581627801E-2</v>
      </c>
      <c r="AG4540">
        <v>-7.0642999999999997E-2</v>
      </c>
      <c r="AH4540">
        <v>0.62403401227385102</v>
      </c>
      <c r="AI4540">
        <v>96.456350012936994</v>
      </c>
      <c r="AJ4540">
        <v>88.480331627891204</v>
      </c>
      <c r="AK4540">
        <v>0.62823797954337501</v>
      </c>
    </row>
    <row r="4541" spans="1:37" x14ac:dyDescent="0.2">
      <c r="A4541" t="str">
        <f>"20200111155943974"</f>
        <v>20200111155943974</v>
      </c>
      <c r="B4541" t="str">
        <f>"1578729583965123"</f>
        <v>1578729583965123</v>
      </c>
      <c r="C4541" t="s">
        <v>37</v>
      </c>
      <c r="D4541">
        <v>5.5337949999999996</v>
      </c>
      <c r="E4541">
        <v>0.52427699999999999</v>
      </c>
      <c r="F4541" t="s">
        <v>38</v>
      </c>
      <c r="G4541">
        <v>-423.0068</v>
      </c>
      <c r="H4541">
        <v>1.036629</v>
      </c>
      <c r="I4541">
        <v>83.282039999999995</v>
      </c>
      <c r="J4541">
        <v>-422.96769999999998</v>
      </c>
      <c r="K4541">
        <v>1.1054139999999999</v>
      </c>
      <c r="L4541">
        <v>83.9071</v>
      </c>
      <c r="M4541">
        <v>-3.6235509999999999E-2</v>
      </c>
      <c r="N4541">
        <v>0</v>
      </c>
      <c r="O4541">
        <v>-0.99926440000000005</v>
      </c>
      <c r="P4541">
        <v>5.0950199999999996E-3</v>
      </c>
      <c r="Q4541">
        <v>1.8095139999999999E-2</v>
      </c>
      <c r="R4541">
        <v>-0.99982369999999898</v>
      </c>
      <c r="S4541">
        <v>-0.16305539999999999</v>
      </c>
      <c r="T4541">
        <v>-0.25178420000000001</v>
      </c>
      <c r="U4541">
        <v>-3.005585</v>
      </c>
      <c r="V4541">
        <v>-4.1399110000000003E-2</v>
      </c>
      <c r="W4541">
        <v>3.056176E-2</v>
      </c>
      <c r="X4541">
        <v>0.99867519999999999</v>
      </c>
      <c r="Y4541">
        <v>1.7761900000000001E-2</v>
      </c>
      <c r="Z4541">
        <v>8.3330299999999996E-2</v>
      </c>
      <c r="AA4541">
        <v>0.99636369999999896</v>
      </c>
      <c r="AB4541">
        <v>21</v>
      </c>
      <c r="AC4541">
        <v>-3.9100000000019002E-2</v>
      </c>
      <c r="AD4541">
        <v>-6.8784999999999805E-2</v>
      </c>
      <c r="AE4541">
        <v>-0.62505999999998996</v>
      </c>
      <c r="AF4541">
        <v>1.6227416719343E-2</v>
      </c>
      <c r="AG4541">
        <v>-6.8784999999999805E-2</v>
      </c>
      <c r="AH4541">
        <v>0.618604267717899</v>
      </c>
      <c r="AI4541">
        <v>96.342711230804397</v>
      </c>
      <c r="AJ4541">
        <v>88.497344166686503</v>
      </c>
      <c r="AK4541">
        <v>0.62262825611851402</v>
      </c>
    </row>
    <row r="4542" spans="1:37" x14ac:dyDescent="0.2">
      <c r="A4542" t="str">
        <f>"20200111155943997"</f>
        <v>20200111155943997</v>
      </c>
      <c r="B4542" t="str">
        <f>"1578729583994403"</f>
        <v>1578729583994403</v>
      </c>
      <c r="C4542" t="s">
        <v>37</v>
      </c>
      <c r="D4542">
        <v>5.5250839999999997</v>
      </c>
      <c r="E4542">
        <v>0.52461759999999902</v>
      </c>
      <c r="F4542" t="s">
        <v>38</v>
      </c>
      <c r="G4542">
        <v>-423.01170000000002</v>
      </c>
      <c r="H4542">
        <v>1.0374099999999999</v>
      </c>
      <c r="I4542">
        <v>83.091709999999907</v>
      </c>
      <c r="J4542">
        <v>-422.97320000000002</v>
      </c>
      <c r="K4542">
        <v>1.1053949999999999</v>
      </c>
      <c r="L4542">
        <v>83.696039999999996</v>
      </c>
      <c r="M4542">
        <v>-3.442837E-2</v>
      </c>
      <c r="N4542">
        <v>0</v>
      </c>
      <c r="O4542">
        <v>-0.99932989999999999</v>
      </c>
      <c r="P4542">
        <v>6.7178059999999998E-3</v>
      </c>
      <c r="Q4542">
        <v>1.7495409999999999E-2</v>
      </c>
      <c r="R4542">
        <v>-0.9998245</v>
      </c>
      <c r="S4542">
        <v>-0.16156010000000001</v>
      </c>
      <c r="T4542">
        <v>-0.25088060000000001</v>
      </c>
      <c r="U4542">
        <v>-3.00589</v>
      </c>
      <c r="V4542">
        <v>-4.1213369999999999E-2</v>
      </c>
      <c r="W4542">
        <v>2.9804890000000001E-2</v>
      </c>
      <c r="X4542">
        <v>0.99870569999999903</v>
      </c>
      <c r="Y4542">
        <v>1.90717E-2</v>
      </c>
      <c r="Z4542">
        <v>8.3032999999999996E-2</v>
      </c>
      <c r="AA4542">
        <v>0.99636429999999998</v>
      </c>
      <c r="AB4542">
        <v>21</v>
      </c>
      <c r="AC4542">
        <v>-3.8499999999999E-2</v>
      </c>
      <c r="AD4542">
        <v>-6.7985000000000101E-2</v>
      </c>
      <c r="AE4542">
        <v>-0.60433000000000403</v>
      </c>
      <c r="AF4542">
        <v>1.7449529616749698E-2</v>
      </c>
      <c r="AG4542">
        <v>-6.7985000000000101E-2</v>
      </c>
      <c r="AH4542">
        <v>0.59776288826249102</v>
      </c>
      <c r="AI4542">
        <v>96.485765977747405</v>
      </c>
      <c r="AJ4542">
        <v>88.327931389265899</v>
      </c>
      <c r="AK4542">
        <v>0.60186951816216805</v>
      </c>
    </row>
    <row r="4543" spans="1:37" x14ac:dyDescent="0.2">
      <c r="A4543" t="str">
        <f>"20200111155944020"</f>
        <v>20200111155944020</v>
      </c>
      <c r="B4543" t="str">
        <f>"1578729584014899"</f>
        <v>1578729584014899</v>
      </c>
      <c r="C4543" t="s">
        <v>37</v>
      </c>
      <c r="D4543">
        <v>5.5568999999999997</v>
      </c>
      <c r="E4543">
        <v>0.52456159999999996</v>
      </c>
      <c r="F4543" t="s">
        <v>38</v>
      </c>
      <c r="G4543">
        <v>-423.01530000000002</v>
      </c>
      <c r="H4543">
        <v>1.038203</v>
      </c>
      <c r="I4543">
        <v>82.900859999999994</v>
      </c>
      <c r="J4543">
        <v>-422.97859999999997</v>
      </c>
      <c r="K4543">
        <v>1.1053770000000001</v>
      </c>
      <c r="L4543">
        <v>83.47278</v>
      </c>
      <c r="M4543">
        <v>-3.249606E-2</v>
      </c>
      <c r="N4543">
        <v>0</v>
      </c>
      <c r="O4543">
        <v>-0.99939690000000003</v>
      </c>
      <c r="P4543">
        <v>8.6079329999999999E-3</v>
      </c>
      <c r="Q4543">
        <v>1.6565650000000001E-2</v>
      </c>
      <c r="R4543">
        <v>-0.99982599999999999</v>
      </c>
      <c r="S4543">
        <v>-0.1592102</v>
      </c>
      <c r="T4543">
        <v>-0.25406309999999999</v>
      </c>
      <c r="U4543">
        <v>-3.0060419999999999</v>
      </c>
      <c r="V4543">
        <v>-4.1168999999999997E-2</v>
      </c>
      <c r="W4543">
        <v>2.8694330000000001E-2</v>
      </c>
      <c r="X4543">
        <v>0.99874010000000002</v>
      </c>
      <c r="Y4543">
        <v>2.0220930000000002E-2</v>
      </c>
      <c r="Z4543">
        <v>8.4083610000000003E-2</v>
      </c>
      <c r="AA4543">
        <v>0.99625350000000001</v>
      </c>
      <c r="AB4543">
        <v>21</v>
      </c>
      <c r="AC4543">
        <v>-3.6700000000053003E-2</v>
      </c>
      <c r="AD4543">
        <v>-6.7173999999999998E-2</v>
      </c>
      <c r="AE4543">
        <v>-0.57192000000000498</v>
      </c>
      <c r="AF4543">
        <v>1.7848854338739999E-2</v>
      </c>
      <c r="AG4543">
        <v>-6.7173999999999998E-2</v>
      </c>
      <c r="AH4543">
        <v>0.56504755101596804</v>
      </c>
      <c r="AI4543">
        <v>96.776270987528505</v>
      </c>
      <c r="AJ4543">
        <v>88.190729115239606</v>
      </c>
      <c r="AK4543">
        <v>0.56930629961941304</v>
      </c>
    </row>
    <row r="4544" spans="1:37" x14ac:dyDescent="0.2">
      <c r="A4544" t="str">
        <f>"20200111155944042"</f>
        <v>20200111155944042</v>
      </c>
      <c r="B4544" t="str">
        <f>"1578729584034419"</f>
        <v>1578729584034419</v>
      </c>
      <c r="C4544" t="s">
        <v>37</v>
      </c>
      <c r="D4544">
        <v>5.5617919999999996</v>
      </c>
      <c r="E4544">
        <v>0.52463169999999903</v>
      </c>
      <c r="F4544" t="s">
        <v>38</v>
      </c>
      <c r="G4544">
        <v>-423.01780000000002</v>
      </c>
      <c r="H4544">
        <v>1.039595</v>
      </c>
      <c r="I4544">
        <v>82.70917</v>
      </c>
      <c r="J4544">
        <v>-422.98329999999999</v>
      </c>
      <c r="K4544">
        <v>1.1053729999999999</v>
      </c>
      <c r="L4544">
        <v>83.264650000000003</v>
      </c>
      <c r="M4544">
        <v>-3.067566E-2</v>
      </c>
      <c r="N4544">
        <v>0</v>
      </c>
      <c r="O4544">
        <v>-0.99945629999999996</v>
      </c>
      <c r="P4544">
        <v>1.051172E-2</v>
      </c>
      <c r="Q4544">
        <v>1.5768830000000001E-2</v>
      </c>
      <c r="R4544">
        <v>-0.9998205</v>
      </c>
      <c r="S4544">
        <v>-0.15292359999999999</v>
      </c>
      <c r="T4544">
        <v>-0.2592489</v>
      </c>
      <c r="U4544">
        <v>-3.0061339999999999</v>
      </c>
      <c r="V4544">
        <v>-4.1250599999999998E-2</v>
      </c>
      <c r="W4544">
        <v>2.772674E-2</v>
      </c>
      <c r="X4544">
        <v>0.99876399999999999</v>
      </c>
      <c r="Y4544">
        <v>1.9955210000000001E-2</v>
      </c>
      <c r="Z4544">
        <v>8.579697E-2</v>
      </c>
      <c r="AA4544">
        <v>0.99611280000000002</v>
      </c>
      <c r="AB4544">
        <v>21</v>
      </c>
      <c r="AC4544">
        <v>-3.45000000000368E-2</v>
      </c>
      <c r="AD4544">
        <v>-6.5777999999999795E-2</v>
      </c>
      <c r="AE4544">
        <v>-0.55548000000000197</v>
      </c>
      <c r="AF4544">
        <v>1.72025063705234E-2</v>
      </c>
      <c r="AG4544">
        <v>-6.5777999999999795E-2</v>
      </c>
      <c r="AH4544">
        <v>0.54861358000722604</v>
      </c>
      <c r="AI4544">
        <v>96.833719095376594</v>
      </c>
      <c r="AJ4544">
        <v>88.204003313125298</v>
      </c>
      <c r="AK4544">
        <v>0.55281057486065899</v>
      </c>
    </row>
    <row r="4545" spans="1:37" x14ac:dyDescent="0.2">
      <c r="A4545" t="str">
        <f>"20200111155944064"</f>
        <v>20200111155944064</v>
      </c>
      <c r="B4545" t="str">
        <f>"1578729584054915"</f>
        <v>1578729584054915</v>
      </c>
      <c r="C4545" t="s">
        <v>37</v>
      </c>
      <c r="D4545">
        <v>5.5813990000000002</v>
      </c>
      <c r="E4545">
        <v>0.52496009999999904</v>
      </c>
      <c r="F4545" t="s">
        <v>38</v>
      </c>
      <c r="G4545">
        <v>-423.02</v>
      </c>
      <c r="H4545">
        <v>1.0400670000000001</v>
      </c>
      <c r="I4545">
        <v>82.518140000000002</v>
      </c>
      <c r="J4545">
        <v>-422.98750000000001</v>
      </c>
      <c r="K4545">
        <v>1.1053679999999999</v>
      </c>
      <c r="L4545">
        <v>83.056150000000002</v>
      </c>
      <c r="M4545">
        <v>-2.883461E-2</v>
      </c>
      <c r="N4545">
        <v>0</v>
      </c>
      <c r="O4545">
        <v>-0.9995134</v>
      </c>
      <c r="P4545">
        <v>1.2433720000000001E-2</v>
      </c>
      <c r="Q4545">
        <v>1.62717E-2</v>
      </c>
      <c r="R4545">
        <v>-0.99979050000000003</v>
      </c>
      <c r="S4545">
        <v>-0.1481934</v>
      </c>
      <c r="T4545">
        <v>-0.26291129999999902</v>
      </c>
      <c r="U4545">
        <v>-3.006256</v>
      </c>
      <c r="V4545">
        <v>-4.1332130000000002E-2</v>
      </c>
      <c r="W4545">
        <v>2.8062779999999999E-2</v>
      </c>
      <c r="X4545">
        <v>0.99875130000000001</v>
      </c>
      <c r="Y4545">
        <v>2.0226270000000001E-2</v>
      </c>
      <c r="Z4545">
        <v>8.7006710000000001E-2</v>
      </c>
      <c r="AA4545">
        <v>0.99600239999999995</v>
      </c>
      <c r="AB4545">
        <v>21</v>
      </c>
      <c r="AC4545">
        <v>-3.24999999999704E-2</v>
      </c>
      <c r="AD4545">
        <v>-6.5300999999999998E-2</v>
      </c>
      <c r="AE4545">
        <v>-0.53800999999999899</v>
      </c>
      <c r="AF4545">
        <v>1.6726559830109101E-2</v>
      </c>
      <c r="AG4545">
        <v>-6.5300999999999998E-2</v>
      </c>
      <c r="AH4545">
        <v>0.53093027553337402</v>
      </c>
      <c r="AI4545">
        <v>97.008353626678499</v>
      </c>
      <c r="AJ4545">
        <v>88.195536300441503</v>
      </c>
      <c r="AK4545">
        <v>0.53519244752023098</v>
      </c>
    </row>
    <row r="4546" spans="1:37" x14ac:dyDescent="0.2">
      <c r="A4546" t="str">
        <f>"20200111155944087"</f>
        <v>20200111155944087</v>
      </c>
      <c r="B4546" t="str">
        <f>"1578729584074435"</f>
        <v>1578729584074435</v>
      </c>
      <c r="C4546" t="s">
        <v>37</v>
      </c>
      <c r="D4546">
        <v>5.5551510000000004</v>
      </c>
      <c r="E4546">
        <v>0.52513269999999901</v>
      </c>
      <c r="F4546" t="s">
        <v>38</v>
      </c>
      <c r="G4546">
        <v>-423.02300000000002</v>
      </c>
      <c r="H4546">
        <v>1.0416889999999901</v>
      </c>
      <c r="I4546">
        <v>82.326040000000006</v>
      </c>
      <c r="J4546">
        <v>-422.9914</v>
      </c>
      <c r="K4546">
        <v>1.105369</v>
      </c>
      <c r="L4546">
        <v>82.846069999999997</v>
      </c>
      <c r="M4546">
        <v>-2.6967870000000001E-2</v>
      </c>
      <c r="N4546">
        <v>0</v>
      </c>
      <c r="O4546">
        <v>-0.99956730000000005</v>
      </c>
      <c r="P4546">
        <v>1.523072E-2</v>
      </c>
      <c r="Q4546">
        <v>1.7393539999999999E-2</v>
      </c>
      <c r="R4546">
        <v>-0.99973289999999904</v>
      </c>
      <c r="S4546">
        <v>-0.14505000000000001</v>
      </c>
      <c r="T4546">
        <v>-0.26251639999999998</v>
      </c>
      <c r="U4546">
        <v>-3.0067140000000001</v>
      </c>
      <c r="V4546">
        <v>-4.2263910000000002E-2</v>
      </c>
      <c r="W4546">
        <v>2.9023210000000001E-2</v>
      </c>
      <c r="X4546">
        <v>0.99868480000000004</v>
      </c>
      <c r="Y4546">
        <v>2.1047860000000002E-2</v>
      </c>
      <c r="Z4546">
        <v>8.6872119999999997E-2</v>
      </c>
      <c r="AA4546">
        <v>0.99599709999999997</v>
      </c>
      <c r="AB4546">
        <v>21</v>
      </c>
      <c r="AC4546">
        <v>-3.1600000000025802E-2</v>
      </c>
      <c r="AD4546">
        <v>-6.3680000000000098E-2</v>
      </c>
      <c r="AE4546">
        <v>-0.520029999999991</v>
      </c>
      <c r="AF4546">
        <v>1.7304902612366099E-2</v>
      </c>
      <c r="AG4546">
        <v>-6.3680000000000098E-2</v>
      </c>
      <c r="AH4546">
        <v>0.51302847199190904</v>
      </c>
      <c r="AI4546">
        <v>97.071704926307007</v>
      </c>
      <c r="AJ4546">
        <v>88.068095315928304</v>
      </c>
      <c r="AK4546">
        <v>0.51725507743160504</v>
      </c>
    </row>
    <row r="4547" spans="1:37" x14ac:dyDescent="0.2">
      <c r="A4547" t="str">
        <f>"20200111155944109"</f>
        <v>20200111155944109</v>
      </c>
      <c r="B4547" t="str">
        <f>"1578729584104691"</f>
        <v>1578729584104691</v>
      </c>
      <c r="C4547" t="s">
        <v>37</v>
      </c>
      <c r="D4547">
        <v>5.5580449999999999</v>
      </c>
      <c r="E4547">
        <v>0.52547129999999997</v>
      </c>
      <c r="F4547" t="s">
        <v>38</v>
      </c>
      <c r="G4547">
        <v>-423.03280000000001</v>
      </c>
      <c r="H4547">
        <v>1.0279020000000001</v>
      </c>
      <c r="I4547">
        <v>81.952550000000002</v>
      </c>
      <c r="J4547">
        <v>-422.995</v>
      </c>
      <c r="K4547">
        <v>1.1053740000000001</v>
      </c>
      <c r="L4547">
        <v>82.62885</v>
      </c>
      <c r="M4547">
        <v>-2.5028720000000001E-2</v>
      </c>
      <c r="N4547">
        <v>0</v>
      </c>
      <c r="O4547">
        <v>-0.99961929999999999</v>
      </c>
      <c r="P4547">
        <v>1.7843939999999999E-2</v>
      </c>
      <c r="Q4547">
        <v>1.904718E-2</v>
      </c>
      <c r="R4547">
        <v>-0.99965930000000003</v>
      </c>
      <c r="S4547">
        <v>-0.13836670000000001</v>
      </c>
      <c r="T4547">
        <v>-0.2609611</v>
      </c>
      <c r="U4547">
        <v>-3.0074459999999998</v>
      </c>
      <c r="V4547">
        <v>-4.2941050000000001E-2</v>
      </c>
      <c r="W4547">
        <v>3.0524579999999999E-2</v>
      </c>
      <c r="X4547">
        <v>0.99861119999999903</v>
      </c>
      <c r="Y4547">
        <v>2.0769349999999999E-2</v>
      </c>
      <c r="Z4547">
        <v>8.6351689999999995E-2</v>
      </c>
      <c r="AA4547">
        <v>0.99604820000000005</v>
      </c>
      <c r="AB4547">
        <v>21</v>
      </c>
      <c r="AC4547">
        <v>-3.7800000000004198E-2</v>
      </c>
      <c r="AD4547">
        <v>-7.7471999999999902E-2</v>
      </c>
      <c r="AE4547">
        <v>-0.67629999999999701</v>
      </c>
      <c r="AF4547">
        <v>2.05907355646733E-2</v>
      </c>
      <c r="AG4547">
        <v>-7.7471999999999902E-2</v>
      </c>
      <c r="AH4547">
        <v>0.66829202383308495</v>
      </c>
      <c r="AI4547">
        <v>96.609409942957001</v>
      </c>
      <c r="AJ4547">
        <v>88.235218897344595</v>
      </c>
      <c r="AK4547">
        <v>0.67308254939050005</v>
      </c>
    </row>
    <row r="4548" spans="1:37" x14ac:dyDescent="0.2">
      <c r="A4548" t="str">
        <f>"20200111155944198"</f>
        <v>20200111155944198</v>
      </c>
      <c r="B4548" t="str">
        <f>"1578729584194483"</f>
        <v>1578729584194483</v>
      </c>
      <c r="C4548" t="s">
        <v>37</v>
      </c>
      <c r="D4548">
        <v>5.7420200000000001</v>
      </c>
      <c r="E4548">
        <v>0.50128019999999995</v>
      </c>
      <c r="F4548" t="s">
        <v>38</v>
      </c>
      <c r="G4548">
        <v>-423.03359999999998</v>
      </c>
      <c r="H4548">
        <v>1.031107</v>
      </c>
      <c r="I4548">
        <v>81.759540000000001</v>
      </c>
      <c r="J4548">
        <v>-423.00510000000003</v>
      </c>
      <c r="K4548">
        <v>1.105362</v>
      </c>
      <c r="L4548">
        <v>81.775759999999906</v>
      </c>
      <c r="M4548">
        <v>-1.7405960000000002E-2</v>
      </c>
      <c r="N4548">
        <v>0</v>
      </c>
      <c r="O4548">
        <v>-0.99978639999999996</v>
      </c>
      <c r="P4548">
        <v>2.5796510000000002E-2</v>
      </c>
      <c r="Q4548">
        <v>2.0417689999999999E-2</v>
      </c>
      <c r="R4548">
        <v>-0.99945899999999999</v>
      </c>
      <c r="S4548">
        <v>-0.133300799999999</v>
      </c>
      <c r="T4548">
        <v>-0.25706010000000001</v>
      </c>
      <c r="U4548">
        <v>-3.0083009999999999</v>
      </c>
      <c r="V4548">
        <v>-4.3274569999999998E-2</v>
      </c>
      <c r="W4548">
        <v>3.1445389999999997E-2</v>
      </c>
      <c r="X4548">
        <v>0.99856819999999902</v>
      </c>
      <c r="Y4548">
        <v>2.6710399999999999E-2</v>
      </c>
      <c r="Z4548">
        <v>8.5064109999999998E-2</v>
      </c>
      <c r="AA4548">
        <v>0.99601740000000005</v>
      </c>
      <c r="AB4548">
        <v>22</v>
      </c>
      <c r="AC4548">
        <v>-2.84999999999513E-2</v>
      </c>
      <c r="AD4548">
        <v>-7.4255000000000099E-2</v>
      </c>
      <c r="AE4548">
        <v>-1.6219999999989899E-2</v>
      </c>
      <c r="AF4548">
        <v>4.6043750390493202E-3</v>
      </c>
      <c r="AG4548">
        <v>-7.4255000000000099E-2</v>
      </c>
      <c r="AH4548">
        <v>2.7276416794858099E-3</v>
      </c>
      <c r="AI4548">
        <v>175.87773945367601</v>
      </c>
      <c r="AJ4548">
        <v>30.642591686724401</v>
      </c>
      <c r="AK4548">
        <v>7.4447601194611399E-2</v>
      </c>
    </row>
    <row r="4549" spans="1:37" x14ac:dyDescent="0.2">
      <c r="A4549" t="str">
        <f>"20200111155944221"</f>
        <v>20200111155944221</v>
      </c>
      <c r="B4549" t="str">
        <f>"1578729584214979"</f>
        <v>1578729584214979</v>
      </c>
      <c r="C4549" t="s">
        <v>37</v>
      </c>
      <c r="D4549">
        <v>5.509417</v>
      </c>
      <c r="E4549">
        <v>0.49402689999999999</v>
      </c>
      <c r="F4549" t="s">
        <v>39</v>
      </c>
      <c r="G4549">
        <v>-422.61880000000002</v>
      </c>
      <c r="H4549" s="1">
        <v>-4.1886489999999999E-6</v>
      </c>
      <c r="I4549">
        <v>67.930289999999999</v>
      </c>
      <c r="J4549">
        <v>-423.00670000000002</v>
      </c>
      <c r="K4549">
        <v>1.105361</v>
      </c>
      <c r="L4549">
        <v>81.550419999999903</v>
      </c>
      <c r="M4549">
        <v>-1.54007E-2</v>
      </c>
      <c r="N4549">
        <v>0</v>
      </c>
      <c r="O4549">
        <v>-0.9998205</v>
      </c>
      <c r="P4549">
        <v>2.7878759999999999E-2</v>
      </c>
      <c r="Q4549">
        <v>2.101666E-2</v>
      </c>
      <c r="R4549">
        <v>-0.99939089999999997</v>
      </c>
      <c r="S4549">
        <v>8.3831790000000003E-2</v>
      </c>
      <c r="T4549">
        <v>-0.23985619999999999</v>
      </c>
      <c r="U4549">
        <v>-3.0043639999999998</v>
      </c>
      <c r="V4549">
        <v>-4.3353379999999997E-2</v>
      </c>
      <c r="W4549">
        <v>3.1957739999999998E-2</v>
      </c>
      <c r="X4549">
        <v>0.99854859999999901</v>
      </c>
      <c r="Y4549">
        <v>-4.3196459999999999E-2</v>
      </c>
      <c r="Z4549">
        <v>7.9516039999999996E-2</v>
      </c>
      <c r="AA4549">
        <v>0.99589719999999904</v>
      </c>
      <c r="AB4549">
        <v>22</v>
      </c>
      <c r="AC4549">
        <v>0.38790000000000102</v>
      </c>
      <c r="AD4549">
        <v>-1.1053651886489999</v>
      </c>
      <c r="AE4549">
        <v>-13.6201299999999</v>
      </c>
      <c r="AF4549">
        <v>-0.59371899032428799</v>
      </c>
      <c r="AG4549">
        <v>-1.1053651886489999</v>
      </c>
      <c r="AH4549">
        <v>13.5235407329368</v>
      </c>
      <c r="AI4549">
        <v>94.668284924694106</v>
      </c>
      <c r="AJ4549">
        <v>92.513821094794594</v>
      </c>
      <c r="AK4549">
        <v>13.581623187054999</v>
      </c>
    </row>
    <row r="4550" spans="1:37" x14ac:dyDescent="0.2">
      <c r="A4550" t="str">
        <f>"20200111155944400"</f>
        <v>20200111155944400</v>
      </c>
      <c r="B4550" t="str">
        <f>"1578729584394563"</f>
        <v>1578729584394563</v>
      </c>
      <c r="C4550" t="s">
        <v>37</v>
      </c>
      <c r="D4550">
        <v>5.4943970000000002</v>
      </c>
      <c r="E4550">
        <v>0.48734300000000003</v>
      </c>
      <c r="F4550" t="s">
        <v>39</v>
      </c>
      <c r="G4550">
        <v>-422.29489999999998</v>
      </c>
      <c r="H4550" s="1">
        <v>-3.8106150000000002E-6</v>
      </c>
      <c r="I4550">
        <v>67.048389999999998</v>
      </c>
      <c r="J4550">
        <v>-423.00389999999999</v>
      </c>
      <c r="K4550">
        <v>1.105367</v>
      </c>
      <c r="L4550">
        <v>79.82996</v>
      </c>
      <c r="M4550">
        <v>-1.408565E-4</v>
      </c>
      <c r="N4550">
        <v>0</v>
      </c>
      <c r="O4550">
        <v>-0.99994269999999996</v>
      </c>
      <c r="P4550">
        <v>4.2795489999999999E-2</v>
      </c>
      <c r="Q4550">
        <v>2.2804189999999998E-2</v>
      </c>
      <c r="R4550">
        <v>-0.99882359999999903</v>
      </c>
      <c r="S4550">
        <v>0.14736939999999901</v>
      </c>
      <c r="T4550">
        <v>-0.22885729999999899</v>
      </c>
      <c r="U4550">
        <v>-3.0025330000000001</v>
      </c>
      <c r="V4550">
        <v>-4.302711E-2</v>
      </c>
      <c r="W4550">
        <v>3.338414E-2</v>
      </c>
      <c r="X4550">
        <v>0.99851599999999996</v>
      </c>
      <c r="Y4550">
        <v>-4.9021929999999998E-2</v>
      </c>
      <c r="Z4550">
        <v>7.5909850000000001E-2</v>
      </c>
      <c r="AA4550">
        <v>0.99590889999999999</v>
      </c>
      <c r="AB4550">
        <v>22</v>
      </c>
      <c r="AC4550">
        <v>0.70900000000000296</v>
      </c>
      <c r="AD4550">
        <v>-1.105370810615</v>
      </c>
      <c r="AE4550">
        <v>-12.78157</v>
      </c>
      <c r="AF4550">
        <v>-0.70553986822868497</v>
      </c>
      <c r="AG4550">
        <v>-1.105370810615</v>
      </c>
      <c r="AH4550">
        <v>12.6868750443336</v>
      </c>
      <c r="AI4550">
        <v>94.971797919645894</v>
      </c>
      <c r="AJ4550">
        <v>93.183042361216494</v>
      </c>
      <c r="AK4550">
        <v>12.7544670419878</v>
      </c>
    </row>
    <row r="4551" spans="1:37" x14ac:dyDescent="0.2">
      <c r="A4551" t="str">
        <f>"20200111155944422"</f>
        <v>20200111155944422</v>
      </c>
      <c r="B4551" t="str">
        <f>"1578729584415059"</f>
        <v>1578729584415059</v>
      </c>
      <c r="C4551" t="s">
        <v>37</v>
      </c>
      <c r="D4551">
        <v>5.4875169999999898</v>
      </c>
      <c r="E4551">
        <v>0.48335489999999998</v>
      </c>
      <c r="F4551" t="s">
        <v>39</v>
      </c>
      <c r="G4551">
        <v>-421.78129999999999</v>
      </c>
      <c r="H4551" s="1">
        <v>-2.7539870000000001E-6</v>
      </c>
      <c r="I4551">
        <v>64.903909999999996</v>
      </c>
      <c r="J4551">
        <v>-423.0016</v>
      </c>
      <c r="K4551">
        <v>1.105369</v>
      </c>
      <c r="L4551">
        <v>79.607879999999994</v>
      </c>
      <c r="M4551">
        <v>1.8299200000000001E-3</v>
      </c>
      <c r="N4551">
        <v>0</v>
      </c>
      <c r="O4551">
        <v>-0.99994150000000004</v>
      </c>
      <c r="P4551">
        <v>4.4994399999999997E-2</v>
      </c>
      <c r="Q4551">
        <v>2.3548260000000001E-2</v>
      </c>
      <c r="R4551">
        <v>-0.99871010000000005</v>
      </c>
      <c r="S4551">
        <v>0.24557499999999999</v>
      </c>
      <c r="T4551">
        <v>-0.2220268</v>
      </c>
      <c r="U4551">
        <v>-2.9980769999999999</v>
      </c>
      <c r="V4551">
        <v>-4.3259369999999998E-2</v>
      </c>
      <c r="W4551">
        <v>3.4104710000000003E-2</v>
      </c>
      <c r="X4551">
        <v>0.99848159999999897</v>
      </c>
      <c r="Y4551">
        <v>-7.9591869999999995E-2</v>
      </c>
      <c r="Z4551">
        <v>7.3614250000000006E-2</v>
      </c>
      <c r="AA4551">
        <v>0.99410569999999898</v>
      </c>
      <c r="AB4551">
        <v>22</v>
      </c>
      <c r="AC4551">
        <v>1.2202999999999999</v>
      </c>
      <c r="AD4551">
        <v>-1.105371753987</v>
      </c>
      <c r="AE4551">
        <v>-14.70397</v>
      </c>
      <c r="AF4551">
        <v>-1.1867286678094</v>
      </c>
      <c r="AG4551">
        <v>-1.105371753987</v>
      </c>
      <c r="AH4551">
        <v>14.624098875824201</v>
      </c>
      <c r="AI4551">
        <v>94.308409553232707</v>
      </c>
      <c r="AJ4551">
        <v>94.639320380930499</v>
      </c>
      <c r="AK4551">
        <v>14.713750017429099</v>
      </c>
    </row>
    <row r="4552" spans="1:37" x14ac:dyDescent="0.2">
      <c r="A4552" t="str">
        <f>"20200111155944456"</f>
        <v>20200111155944456</v>
      </c>
      <c r="B4552" t="str">
        <f>"1578729584444339"</f>
        <v>1578729584444339</v>
      </c>
      <c r="C4552" t="s">
        <v>37</v>
      </c>
      <c r="D4552">
        <v>5.4950910000000004</v>
      </c>
      <c r="E4552">
        <v>0.4809369</v>
      </c>
      <c r="F4552" t="s">
        <v>39</v>
      </c>
      <c r="G4552">
        <v>-421.6103</v>
      </c>
      <c r="H4552" s="1">
        <v>-2.731583E-6</v>
      </c>
      <c r="I4552">
        <v>64.957750000000004</v>
      </c>
      <c r="J4552">
        <v>-422.99759999999998</v>
      </c>
      <c r="K4552">
        <v>1.105375</v>
      </c>
      <c r="L4552">
        <v>79.287379999999999</v>
      </c>
      <c r="M4552">
        <v>4.6730749999999996E-3</v>
      </c>
      <c r="N4552">
        <v>0</v>
      </c>
      <c r="O4552">
        <v>-0.9999323</v>
      </c>
      <c r="P4552">
        <v>4.9116479999999997E-2</v>
      </c>
      <c r="Q4552">
        <v>2.3385159999999999E-2</v>
      </c>
      <c r="R4552">
        <v>-0.9985195</v>
      </c>
      <c r="S4552">
        <v>0.28457640000000001</v>
      </c>
      <c r="T4552">
        <v>-0.22608239999999999</v>
      </c>
      <c r="U4552">
        <v>-2.9963989999999998</v>
      </c>
      <c r="V4552">
        <v>-4.4541799999999999E-2</v>
      </c>
      <c r="W4552">
        <v>3.3911230000000001E-2</v>
      </c>
      <c r="X4552">
        <v>0.99843179999999998</v>
      </c>
      <c r="Y4552">
        <v>-8.9628260000000001E-2</v>
      </c>
      <c r="Z4552">
        <v>7.4917289999999997E-2</v>
      </c>
      <c r="AA4552">
        <v>0.99315359999999997</v>
      </c>
      <c r="AB4552">
        <v>22</v>
      </c>
      <c r="AC4552">
        <v>1.38729999999998</v>
      </c>
      <c r="AD4552">
        <v>-1.105377731583</v>
      </c>
      <c r="AE4552">
        <v>-14.3296299999999</v>
      </c>
      <c r="AF4552">
        <v>-1.31257966929506</v>
      </c>
      <c r="AG4552">
        <v>-1.105377731583</v>
      </c>
      <c r="AH4552">
        <v>14.251938561397401</v>
      </c>
      <c r="AI4552">
        <v>94.416355412752793</v>
      </c>
      <c r="AJ4552">
        <v>95.262001215338401</v>
      </c>
      <c r="AK4552">
        <v>14.354876456297699</v>
      </c>
    </row>
    <row r="4553" spans="1:37" x14ac:dyDescent="0.2">
      <c r="A4553" t="str">
        <f>"20200111155944477"</f>
        <v>20200111155944477</v>
      </c>
      <c r="B4553" t="str">
        <f>"1578729584474595"</f>
        <v>1578729584474595</v>
      </c>
      <c r="C4553" t="s">
        <v>37</v>
      </c>
      <c r="D4553">
        <v>5.5022970000000004</v>
      </c>
      <c r="E4553">
        <v>0.47931170000000001</v>
      </c>
      <c r="F4553" t="s">
        <v>39</v>
      </c>
      <c r="G4553">
        <v>-421.50959999999998</v>
      </c>
      <c r="H4553" s="1">
        <v>-2.811452E-6</v>
      </c>
      <c r="I4553">
        <v>65.206409999999906</v>
      </c>
      <c r="J4553">
        <v>-422.99439999999998</v>
      </c>
      <c r="K4553">
        <v>1.1053740000000001</v>
      </c>
      <c r="L4553">
        <v>79.072479999999999</v>
      </c>
      <c r="M4553">
        <v>6.57911E-3</v>
      </c>
      <c r="N4553">
        <v>0</v>
      </c>
      <c r="O4553">
        <v>-0.99992190000000003</v>
      </c>
      <c r="P4553">
        <v>5.1944120000000003E-2</v>
      </c>
      <c r="Q4553">
        <v>2.253575E-2</v>
      </c>
      <c r="R4553">
        <v>-0.9983959</v>
      </c>
      <c r="S4553">
        <v>0.31643680000000002</v>
      </c>
      <c r="T4553">
        <v>-0.23506359999999901</v>
      </c>
      <c r="U4553">
        <v>-2.9943849999999999</v>
      </c>
      <c r="V4553">
        <v>-4.5464329999999997E-2</v>
      </c>
      <c r="W4553">
        <v>3.3043870000000003E-2</v>
      </c>
      <c r="X4553">
        <v>0.99841930000000001</v>
      </c>
      <c r="Y4553">
        <v>-9.8227309999999998E-2</v>
      </c>
      <c r="Z4553">
        <v>7.7853539999999999E-2</v>
      </c>
      <c r="AA4553">
        <v>0.99211399999999905</v>
      </c>
      <c r="AB4553">
        <v>22</v>
      </c>
      <c r="AC4553">
        <v>1.4847999999999999</v>
      </c>
      <c r="AD4553">
        <v>-1.105376811452</v>
      </c>
      <c r="AE4553">
        <v>-13.866070000000001</v>
      </c>
      <c r="AF4553">
        <v>-1.38483548232325</v>
      </c>
      <c r="AG4553">
        <v>-1.105376811452</v>
      </c>
      <c r="AH4553">
        <v>13.788904318579799</v>
      </c>
      <c r="AI4553">
        <v>94.560426654584106</v>
      </c>
      <c r="AJ4553">
        <v>95.735050435825798</v>
      </c>
      <c r="AK4553">
        <v>13.9022843272373</v>
      </c>
    </row>
    <row r="4554" spans="1:37" x14ac:dyDescent="0.2">
      <c r="A4554" t="str">
        <f>"20200111155944499"</f>
        <v>20200111155944499</v>
      </c>
      <c r="B4554" t="str">
        <f>"1578729584495091"</f>
        <v>1578729584495091</v>
      </c>
      <c r="C4554" t="s">
        <v>37</v>
      </c>
      <c r="D4554">
        <v>5.4327269999999999</v>
      </c>
      <c r="E4554">
        <v>0.4789988</v>
      </c>
      <c r="F4554" t="s">
        <v>39</v>
      </c>
      <c r="G4554">
        <v>-421.4554</v>
      </c>
      <c r="H4554" s="1">
        <v>-2.9112030000000001E-6</v>
      </c>
      <c r="I4554">
        <v>65.472519999999903</v>
      </c>
      <c r="J4554">
        <v>-422.99059999999997</v>
      </c>
      <c r="K4554">
        <v>1.1053770000000001</v>
      </c>
      <c r="L4554">
        <v>78.850740000000002</v>
      </c>
      <c r="M4554">
        <v>8.5439230000000001E-3</v>
      </c>
      <c r="N4554">
        <v>0</v>
      </c>
      <c r="O4554">
        <v>-0.99990709999999905</v>
      </c>
      <c r="P4554">
        <v>5.480906E-2</v>
      </c>
      <c r="Q4554">
        <v>2.2155640000000001E-2</v>
      </c>
      <c r="R4554">
        <v>-0.998251</v>
      </c>
      <c r="S4554">
        <v>0.338653599999999</v>
      </c>
      <c r="T4554">
        <v>-0.24324109999999999</v>
      </c>
      <c r="U4554">
        <v>-2.9927060000000001</v>
      </c>
      <c r="V4554">
        <v>-4.6367569999999997E-2</v>
      </c>
      <c r="W4554">
        <v>3.264831E-2</v>
      </c>
      <c r="X4554">
        <v>0.99839080000000002</v>
      </c>
      <c r="Y4554">
        <v>-0.10358249999999999</v>
      </c>
      <c r="Z4554">
        <v>8.0533279999999999E-2</v>
      </c>
      <c r="AA4554">
        <v>0.99135519999999999</v>
      </c>
      <c r="AB4554">
        <v>22</v>
      </c>
      <c r="AC4554">
        <v>1.5351999999999699</v>
      </c>
      <c r="AD4554">
        <v>-1.1053799112030001</v>
      </c>
      <c r="AE4554">
        <v>-13.378220000000001</v>
      </c>
      <c r="AF4554">
        <v>-1.4113252185787799</v>
      </c>
      <c r="AG4554">
        <v>-1.1053799112030001</v>
      </c>
      <c r="AH4554">
        <v>13.3012225207278</v>
      </c>
      <c r="AI4554">
        <v>94.724173816872707</v>
      </c>
      <c r="AJ4554">
        <v>96.056702926875303</v>
      </c>
      <c r="AK4554">
        <v>13.421483679780099</v>
      </c>
    </row>
    <row r="4555" spans="1:37" x14ac:dyDescent="0.2">
      <c r="A4555" t="str">
        <f>"20200111155944522"</f>
        <v>20200111155944522</v>
      </c>
      <c r="B4555" t="str">
        <f>"1578729584514611"</f>
        <v>1578729584514611</v>
      </c>
      <c r="C4555" t="s">
        <v>37</v>
      </c>
      <c r="D4555">
        <v>5.4189819999999997</v>
      </c>
      <c r="E4555">
        <v>0.47886390000000001</v>
      </c>
      <c r="F4555" t="s">
        <v>39</v>
      </c>
      <c r="G4555">
        <v>-421.4341</v>
      </c>
      <c r="H4555" s="1">
        <v>-2.9304529999999999E-6</v>
      </c>
      <c r="I4555">
        <v>65.530590000000004</v>
      </c>
      <c r="J4555">
        <v>-422.9864</v>
      </c>
      <c r="K4555">
        <v>1.1053770000000001</v>
      </c>
      <c r="L4555">
        <v>78.628019999999907</v>
      </c>
      <c r="M4555">
        <v>1.051213E-2</v>
      </c>
      <c r="N4555">
        <v>0</v>
      </c>
      <c r="O4555">
        <v>-0.99988840000000001</v>
      </c>
      <c r="P4555">
        <v>5.8100359999999997E-2</v>
      </c>
      <c r="Q4555">
        <v>2.3086780000000001E-2</v>
      </c>
      <c r="R4555">
        <v>-0.99804380000000004</v>
      </c>
      <c r="S4555">
        <v>0.34957890000000003</v>
      </c>
      <c r="T4555">
        <v>-0.24825759999999999</v>
      </c>
      <c r="U4555">
        <v>-2.9915769999999999</v>
      </c>
      <c r="V4555">
        <v>-4.7697160000000002E-2</v>
      </c>
      <c r="W4555">
        <v>3.3563799999999998E-2</v>
      </c>
      <c r="X4555">
        <v>0.99829780000000001</v>
      </c>
      <c r="Y4555">
        <v>-0.105224</v>
      </c>
      <c r="Z4555">
        <v>8.2187250000000003E-2</v>
      </c>
      <c r="AA4555">
        <v>0.99104650000000005</v>
      </c>
      <c r="AB4555">
        <v>22</v>
      </c>
      <c r="AC4555">
        <v>1.5523</v>
      </c>
      <c r="AD4555">
        <v>-1.1053799304530001</v>
      </c>
      <c r="AE4555">
        <v>-13.0974299999999</v>
      </c>
      <c r="AF4555">
        <v>-1.4046580646722799</v>
      </c>
      <c r="AG4555">
        <v>-1.1053799304530001</v>
      </c>
      <c r="AH4555">
        <v>13.021559915408901</v>
      </c>
      <c r="AI4555">
        <v>94.824263003048202</v>
      </c>
      <c r="AJ4555">
        <v>96.156787179510701</v>
      </c>
      <c r="AK4555">
        <v>13.1436658394788</v>
      </c>
    </row>
    <row r="4556" spans="1:37" x14ac:dyDescent="0.2">
      <c r="A4556" t="str">
        <f>"20200111155944544"</f>
        <v>20200111155944544</v>
      </c>
      <c r="B4556" t="str">
        <f>"1578729584535106"</f>
        <v>1578729584535106</v>
      </c>
      <c r="C4556" t="s">
        <v>37</v>
      </c>
      <c r="D4556">
        <v>5.4187250000000002</v>
      </c>
      <c r="E4556">
        <v>0.47927209999999998</v>
      </c>
      <c r="F4556" t="s">
        <v>39</v>
      </c>
      <c r="G4556">
        <v>-421.38869999999997</v>
      </c>
      <c r="H4556" s="1">
        <v>-2.8622349999999998E-6</v>
      </c>
      <c r="I4556">
        <v>65.399730000000005</v>
      </c>
      <c r="J4556">
        <v>-422.9819</v>
      </c>
      <c r="K4556">
        <v>1.105369</v>
      </c>
      <c r="L4556">
        <v>78.411439999999999</v>
      </c>
      <c r="M4556">
        <v>1.241164E-2</v>
      </c>
      <c r="N4556">
        <v>0</v>
      </c>
      <c r="O4556">
        <v>-0.9998669</v>
      </c>
      <c r="P4556">
        <v>6.1735760000000001E-2</v>
      </c>
      <c r="Q4556">
        <v>2.4491200000000001E-2</v>
      </c>
      <c r="R4556">
        <v>-0.99779219999999902</v>
      </c>
      <c r="S4556">
        <v>0.36120609999999997</v>
      </c>
      <c r="T4556">
        <v>-0.2499024</v>
      </c>
      <c r="U4556">
        <v>-2.990631</v>
      </c>
      <c r="V4556">
        <v>-4.944175E-2</v>
      </c>
      <c r="W4556">
        <v>3.4953930000000001E-2</v>
      </c>
      <c r="X4556">
        <v>0.99816519999999997</v>
      </c>
      <c r="Y4556">
        <v>-0.10716489999999999</v>
      </c>
      <c r="Z4556">
        <v>8.2723740000000004E-2</v>
      </c>
      <c r="AA4556">
        <v>0.99079390000000001</v>
      </c>
      <c r="AB4556">
        <v>22</v>
      </c>
      <c r="AC4556">
        <v>1.5932000000000199</v>
      </c>
      <c r="AD4556">
        <v>-1.1053718622349999</v>
      </c>
      <c r="AE4556">
        <v>-13.0117099999999</v>
      </c>
      <c r="AF4556">
        <v>-1.42146457305687</v>
      </c>
      <c r="AG4556">
        <v>-1.1053718622349999</v>
      </c>
      <c r="AH4556">
        <v>12.938487003940899</v>
      </c>
      <c r="AI4556">
        <v>94.854019589211703</v>
      </c>
      <c r="AJ4556">
        <v>96.269558340020694</v>
      </c>
      <c r="AK4556">
        <v>13.0631869938933</v>
      </c>
    </row>
    <row r="4557" spans="1:37" x14ac:dyDescent="0.2">
      <c r="A4557" t="str">
        <f>"20200111155944567"</f>
        <v>20200111155944567</v>
      </c>
      <c r="B4557" t="str">
        <f>"1578729584554627"</f>
        <v>1578729584554627</v>
      </c>
      <c r="C4557" t="s">
        <v>37</v>
      </c>
      <c r="D4557">
        <v>5.380369</v>
      </c>
      <c r="E4557">
        <v>0.47959160000000001</v>
      </c>
      <c r="F4557" t="s">
        <v>39</v>
      </c>
      <c r="G4557">
        <v>-421.31760000000003</v>
      </c>
      <c r="H4557" s="1">
        <v>-2.6504679999999998E-6</v>
      </c>
      <c r="I4557">
        <v>64.950209999999998</v>
      </c>
      <c r="J4557">
        <v>-422.97710000000001</v>
      </c>
      <c r="K4557">
        <v>1.105361</v>
      </c>
      <c r="L4557">
        <v>78.198580000000007</v>
      </c>
      <c r="M4557">
        <v>1.425426E-2</v>
      </c>
      <c r="N4557">
        <v>0</v>
      </c>
      <c r="O4557">
        <v>-0.99984229999999996</v>
      </c>
      <c r="P4557">
        <v>6.5566070000000004E-2</v>
      </c>
      <c r="Q4557">
        <v>2.575144E-2</v>
      </c>
      <c r="R4557">
        <v>-0.99751630000000002</v>
      </c>
      <c r="S4557">
        <v>0.36965940000000003</v>
      </c>
      <c r="T4557">
        <v>-0.2455087</v>
      </c>
      <c r="U4557">
        <v>-2.9898069999999999</v>
      </c>
      <c r="V4557">
        <v>-5.1437450000000003E-2</v>
      </c>
      <c r="W4557">
        <v>3.6206259999999997E-2</v>
      </c>
      <c r="X4557">
        <v>0.99801969999999995</v>
      </c>
      <c r="Y4557">
        <v>-0.108139899999999</v>
      </c>
      <c r="Z4557">
        <v>8.1280080000000005E-2</v>
      </c>
      <c r="AA4557">
        <v>0.9908074</v>
      </c>
      <c r="AB4557">
        <v>22</v>
      </c>
      <c r="AC4557">
        <v>1.65949999999998</v>
      </c>
      <c r="AD4557">
        <v>-1.105363650468</v>
      </c>
      <c r="AE4557">
        <v>-13.24837</v>
      </c>
      <c r="AF4557">
        <v>-1.4604655043313699</v>
      </c>
      <c r="AG4557">
        <v>-1.105363650468</v>
      </c>
      <c r="AH4557">
        <v>13.1803461748296</v>
      </c>
      <c r="AI4557">
        <v>94.764839574856595</v>
      </c>
      <c r="AJ4557">
        <v>96.322940240298195</v>
      </c>
      <c r="AK4557">
        <v>13.3070024264469</v>
      </c>
    </row>
    <row r="4558" spans="1:37" x14ac:dyDescent="0.2">
      <c r="A4558" t="str">
        <f>"20200111155944589"</f>
        <v>20200111155944589</v>
      </c>
      <c r="B4558" t="str">
        <f>"1578729584584886"</f>
        <v>1578729584584886</v>
      </c>
      <c r="C4558" t="s">
        <v>37</v>
      </c>
      <c r="D4558">
        <v>5.3683439999999996</v>
      </c>
      <c r="E4558">
        <v>0.47996299999999997</v>
      </c>
      <c r="F4558" t="s">
        <v>39</v>
      </c>
      <c r="G4558">
        <v>-421.2577</v>
      </c>
      <c r="H4558" s="1">
        <v>-2.4910069999999999E-6</v>
      </c>
      <c r="I4558">
        <v>64.615659999999906</v>
      </c>
      <c r="J4558">
        <v>-422.97160000000002</v>
      </c>
      <c r="K4558">
        <v>1.1053389999999901</v>
      </c>
      <c r="L4558">
        <v>77.971040000000002</v>
      </c>
      <c r="M4558">
        <v>1.618673E-2</v>
      </c>
      <c r="N4558">
        <v>0</v>
      </c>
      <c r="O4558">
        <v>-0.99981279999999995</v>
      </c>
      <c r="P4558">
        <v>6.8667259999999994E-2</v>
      </c>
      <c r="Q4558">
        <v>2.5765989999999999E-2</v>
      </c>
      <c r="R4558">
        <v>-0.9973071</v>
      </c>
      <c r="S4558">
        <v>0.3783569</v>
      </c>
      <c r="T4558">
        <v>-0.24323029999999901</v>
      </c>
      <c r="U4558">
        <v>-2.988861</v>
      </c>
      <c r="V4558">
        <v>-5.2609980000000001E-2</v>
      </c>
      <c r="W4558">
        <v>3.6223419999999999E-2</v>
      </c>
      <c r="X4558">
        <v>0.99795789999999995</v>
      </c>
      <c r="Y4558">
        <v>-0.10910299999999901</v>
      </c>
      <c r="Z4558">
        <v>8.0533679999999996E-2</v>
      </c>
      <c r="AA4558">
        <v>0.99076280000000005</v>
      </c>
      <c r="AB4558">
        <v>22</v>
      </c>
      <c r="AC4558">
        <v>1.71390000000002</v>
      </c>
      <c r="AD4558">
        <v>-1.1053414910070001</v>
      </c>
      <c r="AE4558">
        <v>-13.35538</v>
      </c>
      <c r="AF4558">
        <v>-1.48745957266546</v>
      </c>
      <c r="AG4558">
        <v>-1.1053414910070001</v>
      </c>
      <c r="AH4558">
        <v>13.2918024616779</v>
      </c>
      <c r="AI4558">
        <v>94.724402185258697</v>
      </c>
      <c r="AJ4558">
        <v>96.385291663679695</v>
      </c>
      <c r="AK4558">
        <v>13.420369908177801</v>
      </c>
    </row>
    <row r="4559" spans="1:37" x14ac:dyDescent="0.2">
      <c r="A4559" t="str">
        <f>"20200111155944613"</f>
        <v>20200111155944613</v>
      </c>
      <c r="B4559" t="str">
        <f>"1578729584605379"</f>
        <v>1578729584605379</v>
      </c>
      <c r="C4559" t="s">
        <v>37</v>
      </c>
      <c r="D4559">
        <v>5.3948479999999996</v>
      </c>
      <c r="E4559">
        <v>0.48017919999999997</v>
      </c>
      <c r="F4559" t="s">
        <v>39</v>
      </c>
      <c r="G4559">
        <v>-421.24829999999997</v>
      </c>
      <c r="H4559" s="1">
        <v>-2.4716810000000001E-6</v>
      </c>
      <c r="I4559">
        <v>64.576419999999999</v>
      </c>
      <c r="J4559">
        <v>-422.9658</v>
      </c>
      <c r="K4559">
        <v>1.105308</v>
      </c>
      <c r="L4559">
        <v>77.747990000000001</v>
      </c>
      <c r="M4559">
        <v>1.8044999999999999E-2</v>
      </c>
      <c r="N4559">
        <v>0</v>
      </c>
      <c r="O4559">
        <v>-0.99978089999999997</v>
      </c>
      <c r="P4559">
        <v>7.0654720000000004E-2</v>
      </c>
      <c r="Q4559">
        <v>2.4815130000000001E-2</v>
      </c>
      <c r="R4559">
        <v>-0.99719230000000003</v>
      </c>
      <c r="S4559">
        <v>0.38442989999999999</v>
      </c>
      <c r="T4559">
        <v>-0.2465743</v>
      </c>
      <c r="U4559">
        <v>-2.9880070000000001</v>
      </c>
      <c r="V4559">
        <v>-5.2739279999999999E-2</v>
      </c>
      <c r="W4559">
        <v>3.528179E-2</v>
      </c>
      <c r="X4559">
        <v>0.99798480000000001</v>
      </c>
      <c r="Y4559">
        <v>-0.1092607</v>
      </c>
      <c r="Z4559">
        <v>8.1641530000000004E-2</v>
      </c>
      <c r="AA4559">
        <v>0.990654699999999</v>
      </c>
      <c r="AB4559">
        <v>22</v>
      </c>
      <c r="AC4559">
        <v>1.71750000000002</v>
      </c>
      <c r="AD4559">
        <v>-1.1053104716810001</v>
      </c>
      <c r="AE4559">
        <v>-13.171569999999999</v>
      </c>
      <c r="AF4559">
        <v>-1.46935183567911</v>
      </c>
      <c r="AG4559">
        <v>-1.1053104716810001</v>
      </c>
      <c r="AH4559">
        <v>13.1096449667369</v>
      </c>
      <c r="AI4559">
        <v>94.789518670581998</v>
      </c>
      <c r="AJ4559">
        <v>96.395120683094902</v>
      </c>
      <c r="AK4559">
        <v>13.237956685595799</v>
      </c>
    </row>
    <row r="4560" spans="1:37" x14ac:dyDescent="0.2">
      <c r="A4560" t="str">
        <f>"20200111155944634"</f>
        <v>20200111155944634</v>
      </c>
      <c r="B4560" t="str">
        <f>"1578729584624899"</f>
        <v>1578729584624899</v>
      </c>
      <c r="C4560" t="s">
        <v>37</v>
      </c>
      <c r="D4560">
        <v>5.3459599999999998</v>
      </c>
      <c r="E4560">
        <v>0.4802632</v>
      </c>
      <c r="F4560" t="s">
        <v>39</v>
      </c>
      <c r="G4560">
        <v>-421.25779999999997</v>
      </c>
      <c r="H4560" s="1">
        <v>-2.4865229999999998E-6</v>
      </c>
      <c r="I4560">
        <v>64.605099999999993</v>
      </c>
      <c r="J4560">
        <v>-422.9597</v>
      </c>
      <c r="K4560">
        <v>1.105281</v>
      </c>
      <c r="L4560">
        <v>77.529480000000007</v>
      </c>
      <c r="M4560">
        <v>1.9822849999999999E-2</v>
      </c>
      <c r="N4560">
        <v>0</v>
      </c>
      <c r="O4560">
        <v>-0.9997471</v>
      </c>
      <c r="P4560">
        <v>7.152501E-2</v>
      </c>
      <c r="Q4560">
        <v>2.4866539999999999E-2</v>
      </c>
      <c r="R4560">
        <v>-0.99712909999999899</v>
      </c>
      <c r="S4560">
        <v>0.38818359999999902</v>
      </c>
      <c r="T4560">
        <v>-0.25122080000000002</v>
      </c>
      <c r="U4560">
        <v>-2.9871829999999999</v>
      </c>
      <c r="V4560">
        <v>-5.1833070000000002E-2</v>
      </c>
      <c r="W4560">
        <v>3.535042E-2</v>
      </c>
      <c r="X4560">
        <v>0.99802990000000003</v>
      </c>
      <c r="Y4560">
        <v>-0.10873569999999901</v>
      </c>
      <c r="Z4560">
        <v>8.3183560000000004E-2</v>
      </c>
      <c r="AA4560">
        <v>0.99058419999999903</v>
      </c>
      <c r="AB4560">
        <v>22</v>
      </c>
      <c r="AC4560">
        <v>1.70190000000002</v>
      </c>
      <c r="AD4560">
        <v>-1.1052834865229999</v>
      </c>
      <c r="AE4560">
        <v>-12.924379999999999</v>
      </c>
      <c r="AF4560">
        <v>-1.4350367362257801</v>
      </c>
      <c r="AG4560">
        <v>-1.1052834865229999</v>
      </c>
      <c r="AH4560">
        <v>12.8631071306066</v>
      </c>
      <c r="AI4560">
        <v>94.881036683433905</v>
      </c>
      <c r="AJ4560">
        <v>96.365721686764601</v>
      </c>
      <c r="AK4560">
        <v>12.9900156687111</v>
      </c>
    </row>
    <row r="4561" spans="1:37" x14ac:dyDescent="0.2">
      <c r="A4561" t="str">
        <f>"20200111155944656"</f>
        <v>20200111155944656</v>
      </c>
      <c r="B4561" t="str">
        <f>"1578729584645396"</f>
        <v>1578729584645396</v>
      </c>
      <c r="C4561" t="s">
        <v>37</v>
      </c>
      <c r="D4561">
        <v>5.4228339999999999</v>
      </c>
      <c r="E4561">
        <v>0.48048079999999999</v>
      </c>
      <c r="F4561" t="s">
        <v>39</v>
      </c>
      <c r="G4561">
        <v>-421.25799999999998</v>
      </c>
      <c r="H4561" s="1">
        <v>-2.438829E-6</v>
      </c>
      <c r="I4561">
        <v>64.493809999999996</v>
      </c>
      <c r="J4561">
        <v>-422.95350000000002</v>
      </c>
      <c r="K4561">
        <v>1.1052469999999901</v>
      </c>
      <c r="L4561">
        <v>77.316040000000001</v>
      </c>
      <c r="M4561">
        <v>2.150699E-2</v>
      </c>
      <c r="N4561">
        <v>0</v>
      </c>
      <c r="O4561">
        <v>-0.99971209999999899</v>
      </c>
      <c r="P4561">
        <v>7.1568039999999999E-2</v>
      </c>
      <c r="Q4561">
        <v>2.5184370000000001E-2</v>
      </c>
      <c r="R4561">
        <v>-0.99711779999999905</v>
      </c>
      <c r="S4561">
        <v>0.38992309999999902</v>
      </c>
      <c r="T4561">
        <v>-0.25326279999999901</v>
      </c>
      <c r="U4561">
        <v>-2.98696899999999</v>
      </c>
      <c r="V4561">
        <v>-5.0192929999999997E-2</v>
      </c>
      <c r="W4561">
        <v>3.5690659999999999E-2</v>
      </c>
      <c r="X4561">
        <v>0.99810159999999903</v>
      </c>
      <c r="Y4561">
        <v>-0.10763010000000001</v>
      </c>
      <c r="Z4561">
        <v>8.38584E-2</v>
      </c>
      <c r="AA4561">
        <v>0.99064799999999997</v>
      </c>
      <c r="AB4561">
        <v>22</v>
      </c>
      <c r="AC4561">
        <v>1.69549999999998</v>
      </c>
      <c r="AD4561">
        <v>-1.105249438829</v>
      </c>
      <c r="AE4561">
        <v>-12.822229999999999</v>
      </c>
      <c r="AF4561">
        <v>-1.4090352710505301</v>
      </c>
      <c r="AG4561">
        <v>-1.105249438829</v>
      </c>
      <c r="AH4561">
        <v>12.762533936631201</v>
      </c>
      <c r="AI4561">
        <v>94.919783714304103</v>
      </c>
      <c r="AJ4561">
        <v>96.300170346659598</v>
      </c>
      <c r="AK4561">
        <v>12.8875610260732</v>
      </c>
    </row>
    <row r="4562" spans="1:37" x14ac:dyDescent="0.2">
      <c r="A4562" t="str">
        <f>"20200111155945193"</f>
        <v>20200111155945193</v>
      </c>
      <c r="B4562" t="str">
        <f>"1578729585184656"</f>
        <v>1578729585184656</v>
      </c>
      <c r="C4562" t="s">
        <v>37</v>
      </c>
      <c r="D4562">
        <v>5.4223419999999898</v>
      </c>
      <c r="E4562">
        <v>0.5010346</v>
      </c>
      <c r="F4562" t="s">
        <v>39</v>
      </c>
      <c r="G4562">
        <v>-421.2491</v>
      </c>
      <c r="H4562" s="1">
        <v>-2.3150010000000001E-6</v>
      </c>
      <c r="I4562">
        <v>64.210700000000003</v>
      </c>
      <c r="J4562">
        <v>-422.7353</v>
      </c>
      <c r="K4562">
        <v>1.1047400000000001</v>
      </c>
      <c r="L4562">
        <v>72.011319999999998</v>
      </c>
      <c r="M4562">
        <v>4.5773050000000003E-2</v>
      </c>
      <c r="N4562">
        <v>0</v>
      </c>
      <c r="O4562">
        <v>-0.99887099999999995</v>
      </c>
      <c r="P4562">
        <v>8.2097610000000001E-2</v>
      </c>
      <c r="Q4562">
        <v>2.0777E-2</v>
      </c>
      <c r="R4562">
        <v>-0.99640799999999996</v>
      </c>
      <c r="S4562">
        <v>0.38848879999999902</v>
      </c>
      <c r="T4562">
        <v>-0.25192389999999998</v>
      </c>
      <c r="U4562">
        <v>-2.987152</v>
      </c>
      <c r="V4562">
        <v>-3.6418869999999999E-2</v>
      </c>
      <c r="W4562">
        <v>3.3468980000000002E-2</v>
      </c>
      <c r="X4562">
        <v>0.998776</v>
      </c>
      <c r="Y4562">
        <v>-8.2987850000000002E-2</v>
      </c>
      <c r="Z4562">
        <v>8.341237E-2</v>
      </c>
      <c r="AA4562">
        <v>0.99305359999999998</v>
      </c>
      <c r="AB4562">
        <v>22</v>
      </c>
      <c r="AC4562">
        <v>1.48619999999999</v>
      </c>
      <c r="AD4562">
        <v>-1.1047423150010001</v>
      </c>
      <c r="AE4562">
        <v>-7.8006199999999897</v>
      </c>
      <c r="AF4562">
        <v>-1.1061462525569401</v>
      </c>
      <c r="AG4562">
        <v>-1.1047423150010001</v>
      </c>
      <c r="AH4562">
        <v>7.7112301257603404</v>
      </c>
      <c r="AI4562">
        <v>98.071436630796995</v>
      </c>
      <c r="AJ4562">
        <v>98.163172143375405</v>
      </c>
      <c r="AK4562">
        <v>7.8681055640499196</v>
      </c>
    </row>
    <row r="4563" spans="1:37" x14ac:dyDescent="0.2">
      <c r="A4563" t="str">
        <f>"20200111155945214"</f>
        <v>20200111155945214</v>
      </c>
      <c r="B4563" t="str">
        <f>"1578729585205149"</f>
        <v>1578729585205149</v>
      </c>
      <c r="C4563" t="s">
        <v>37</v>
      </c>
      <c r="D4563">
        <v>5.2521559999999896</v>
      </c>
      <c r="E4563">
        <v>0.49873709999999999</v>
      </c>
      <c r="F4563" t="s">
        <v>39</v>
      </c>
      <c r="G4563">
        <v>-421.46769999999998</v>
      </c>
      <c r="H4563" s="1">
        <v>-3.5767E-6</v>
      </c>
      <c r="I4563">
        <v>57.016179999999999</v>
      </c>
      <c r="J4563">
        <v>-422.72489999999999</v>
      </c>
      <c r="K4563">
        <v>1.1047169999999999</v>
      </c>
      <c r="L4563">
        <v>71.796109999999999</v>
      </c>
      <c r="M4563">
        <v>4.618597E-2</v>
      </c>
      <c r="N4563">
        <v>0</v>
      </c>
      <c r="O4563">
        <v>-0.99885020000000002</v>
      </c>
      <c r="P4563">
        <v>8.3303970000000005E-2</v>
      </c>
      <c r="Q4563">
        <v>2.1023119999999999E-2</v>
      </c>
      <c r="R4563">
        <v>-0.99630249999999998</v>
      </c>
      <c r="S4563">
        <v>0.25314330000000002</v>
      </c>
      <c r="T4563">
        <v>-0.22062019999999999</v>
      </c>
      <c r="U4563">
        <v>-2.9945680000000001</v>
      </c>
      <c r="V4563">
        <v>-3.721327E-2</v>
      </c>
      <c r="W4563">
        <v>3.383212E-2</v>
      </c>
      <c r="X4563">
        <v>0.99873449999999997</v>
      </c>
      <c r="Y4563">
        <v>-3.7892040000000002E-2</v>
      </c>
      <c r="Z4563">
        <v>7.3200860000000006E-2</v>
      </c>
      <c r="AA4563">
        <v>0.99659709999999901</v>
      </c>
      <c r="AB4563">
        <v>22</v>
      </c>
      <c r="AC4563">
        <v>1.2572000000000101</v>
      </c>
      <c r="AD4563">
        <v>-1.1047205766999999</v>
      </c>
      <c r="AE4563">
        <v>-14.779929999999901</v>
      </c>
      <c r="AF4563">
        <v>-0.57001473487991305</v>
      </c>
      <c r="AG4563">
        <v>-1.1047205766999999</v>
      </c>
      <c r="AH4563">
        <v>14.740465021061899</v>
      </c>
      <c r="AI4563">
        <v>94.282816772867093</v>
      </c>
      <c r="AJ4563">
        <v>92.214528086840005</v>
      </c>
      <c r="AK4563">
        <v>14.792789912241499</v>
      </c>
    </row>
    <row r="4564" spans="1:37" x14ac:dyDescent="0.2">
      <c r="A4564" t="str">
        <f>"20200111155945236"</f>
        <v>20200111155945236</v>
      </c>
      <c r="B4564" t="str">
        <f>"1578729585234939"</f>
        <v>1578729585234939</v>
      </c>
      <c r="C4564" t="s">
        <v>37</v>
      </c>
      <c r="D4564">
        <v>5.3452219999999997</v>
      </c>
      <c r="E4564">
        <v>0.49970799999999999</v>
      </c>
      <c r="F4564" t="s">
        <v>39</v>
      </c>
      <c r="G4564">
        <v>-421.30549999999999</v>
      </c>
      <c r="H4564" s="1">
        <v>-3.2392599999999998E-6</v>
      </c>
      <c r="I4564">
        <v>56.330199999999998</v>
      </c>
      <c r="J4564">
        <v>-422.71440000000001</v>
      </c>
      <c r="K4564">
        <v>1.104679</v>
      </c>
      <c r="L4564">
        <v>71.580659999999995</v>
      </c>
      <c r="M4564">
        <v>4.6545599999999999E-2</v>
      </c>
      <c r="N4564">
        <v>0</v>
      </c>
      <c r="O4564">
        <v>-0.99883230000000001</v>
      </c>
      <c r="P4564">
        <v>8.419625E-2</v>
      </c>
      <c r="Q4564">
        <v>2.1169449999999999E-2</v>
      </c>
      <c r="R4564">
        <v>-0.99622449999999996</v>
      </c>
      <c r="S4564">
        <v>0.27465820000000002</v>
      </c>
      <c r="T4564">
        <v>-0.21376709999999999</v>
      </c>
      <c r="U4564">
        <v>-2.9927060000000001</v>
      </c>
      <c r="V4564">
        <v>-3.7745359999999999E-2</v>
      </c>
      <c r="W4564">
        <v>3.4082790000000002E-2</v>
      </c>
      <c r="X4564">
        <v>0.99870599999999998</v>
      </c>
      <c r="Y4564">
        <v>-4.4707530000000002E-2</v>
      </c>
      <c r="Z4564">
        <v>7.0948430000000007E-2</v>
      </c>
      <c r="AA4564">
        <v>0.99647759999999996</v>
      </c>
      <c r="AB4564">
        <v>22</v>
      </c>
      <c r="AC4564">
        <v>1.40890000000001</v>
      </c>
      <c r="AD4564">
        <v>-1.10468223926</v>
      </c>
      <c r="AE4564">
        <v>-15.250459999999901</v>
      </c>
      <c r="AF4564">
        <v>-0.69386158370194295</v>
      </c>
      <c r="AG4564">
        <v>-1.10468223926</v>
      </c>
      <c r="AH4564">
        <v>15.220327033422199</v>
      </c>
      <c r="AI4564">
        <v>94.146922545417596</v>
      </c>
      <c r="AJ4564">
        <v>92.6101826858512</v>
      </c>
      <c r="AK4564">
        <v>15.276129148164401</v>
      </c>
    </row>
    <row r="4565" spans="1:37" x14ac:dyDescent="0.2">
      <c r="A4565" t="str">
        <f>"20200111155945260"</f>
        <v>20200111155945260</v>
      </c>
      <c r="B4565" t="str">
        <f>"1578729585255436"</f>
        <v>1578729585255436</v>
      </c>
      <c r="C4565" t="s">
        <v>37</v>
      </c>
      <c r="D4565">
        <v>5.307086</v>
      </c>
      <c r="E4565">
        <v>0.49880790000000003</v>
      </c>
      <c r="F4565" t="s">
        <v>39</v>
      </c>
      <c r="G4565">
        <v>-421.18400000000003</v>
      </c>
      <c r="H4565" s="1">
        <v>-2.4351580000000001E-6</v>
      </c>
      <c r="I4565">
        <v>54.531169999999904</v>
      </c>
      <c r="J4565">
        <v>-422.70389999999998</v>
      </c>
      <c r="K4565">
        <v>1.104646</v>
      </c>
      <c r="L4565">
        <v>71.362399999999994</v>
      </c>
      <c r="M4565">
        <v>4.6849099999999998E-2</v>
      </c>
      <c r="N4565">
        <v>0</v>
      </c>
      <c r="O4565">
        <v>-0.99881710000000001</v>
      </c>
      <c r="P4565">
        <v>8.4985399999999905E-2</v>
      </c>
      <c r="Q4565">
        <v>2.1380969999999999E-2</v>
      </c>
      <c r="R4565">
        <v>-0.99615290000000001</v>
      </c>
      <c r="S4565">
        <v>0.2686462</v>
      </c>
      <c r="T4565">
        <v>-0.19390929999999901</v>
      </c>
      <c r="U4565">
        <v>-2.99276699999999</v>
      </c>
      <c r="V4565">
        <v>-3.8230710000000001E-2</v>
      </c>
      <c r="W4565">
        <v>3.4387790000000001E-2</v>
      </c>
      <c r="X4565">
        <v>0.99867709999999998</v>
      </c>
      <c r="Y4565">
        <v>-4.2456349999999997E-2</v>
      </c>
      <c r="Z4565">
        <v>6.4392779999999997E-2</v>
      </c>
      <c r="AA4565">
        <v>0.99702109999999899</v>
      </c>
      <c r="AB4565">
        <v>22</v>
      </c>
      <c r="AC4565">
        <v>1.5198999999999401</v>
      </c>
      <c r="AD4565">
        <v>-1.1046484351579999</v>
      </c>
      <c r="AE4565">
        <v>-16.831229999999898</v>
      </c>
      <c r="AF4565">
        <v>-0.72653183568555002</v>
      </c>
      <c r="AG4565">
        <v>-1.1046484351579999</v>
      </c>
      <c r="AH4565">
        <v>16.8121267735138</v>
      </c>
      <c r="AI4565">
        <v>93.755746381855403</v>
      </c>
      <c r="AJ4565">
        <v>92.474483108890198</v>
      </c>
      <c r="AK4565">
        <v>16.864035795806998</v>
      </c>
    </row>
    <row r="4566" spans="1:37" x14ac:dyDescent="0.2">
      <c r="A4566" t="str">
        <f>"20200111155945273"</f>
        <v>20200111155945273</v>
      </c>
      <c r="B4566" t="str">
        <f>"1578729585265195"</f>
        <v>1578729585265195</v>
      </c>
      <c r="C4566" t="s">
        <v>37</v>
      </c>
      <c r="D4566">
        <v>5.3190229999999996</v>
      </c>
      <c r="E4566">
        <v>0.49875249999999999</v>
      </c>
      <c r="F4566" t="s">
        <v>39</v>
      </c>
      <c r="G4566">
        <v>-421.125</v>
      </c>
      <c r="H4566" s="1">
        <v>-2.3496490000000002E-6</v>
      </c>
      <c r="I4566">
        <v>54.368429999999996</v>
      </c>
      <c r="J4566">
        <v>-422.6968</v>
      </c>
      <c r="K4566">
        <v>1.1046209999999901</v>
      </c>
      <c r="L4566">
        <v>71.215909999999994</v>
      </c>
      <c r="M4566">
        <v>4.7015080000000001E-2</v>
      </c>
      <c r="N4566">
        <v>0</v>
      </c>
      <c r="O4566">
        <v>-0.99880869999999999</v>
      </c>
      <c r="P4566">
        <v>8.5242109999999996E-2</v>
      </c>
      <c r="Q4566">
        <v>2.146195E-2</v>
      </c>
      <c r="R4566">
        <v>-0.9961295</v>
      </c>
      <c r="S4566">
        <v>0.27798459999999903</v>
      </c>
      <c r="T4566">
        <v>-0.19448950000000001</v>
      </c>
      <c r="U4566">
        <v>-2.992035</v>
      </c>
      <c r="V4566">
        <v>-3.8320060000000003E-2</v>
      </c>
      <c r="W4566">
        <v>3.4525989999999999E-2</v>
      </c>
      <c r="X4566">
        <v>0.99866880000000002</v>
      </c>
      <c r="Y4566">
        <v>-4.539671E-2</v>
      </c>
      <c r="Z4566">
        <v>6.4586299999999999E-2</v>
      </c>
      <c r="AA4566">
        <v>0.99687899999999996</v>
      </c>
      <c r="AB4566">
        <v>22</v>
      </c>
      <c r="AC4566">
        <v>1.5717999999999901</v>
      </c>
      <c r="AD4566">
        <v>-1.1046233496490001</v>
      </c>
      <c r="AE4566">
        <v>-16.847479999999901</v>
      </c>
      <c r="AF4566">
        <v>-0.77460708325070904</v>
      </c>
      <c r="AG4566">
        <v>-1.1046233496490001</v>
      </c>
      <c r="AH4566">
        <v>16.831020423626601</v>
      </c>
      <c r="AI4566">
        <v>93.750989780318804</v>
      </c>
      <c r="AJ4566">
        <v>92.635040576527302</v>
      </c>
      <c r="AK4566">
        <v>16.885006881211101</v>
      </c>
    </row>
    <row r="4567" spans="1:37" x14ac:dyDescent="0.2">
      <c r="A4567" t="str">
        <f>"20200111155945293"</f>
        <v>20200111155945293</v>
      </c>
      <c r="B4567" t="str">
        <f>"1578729585284715"</f>
        <v>1578729585284715</v>
      </c>
      <c r="C4567" t="s">
        <v>37</v>
      </c>
      <c r="D4567">
        <v>5.3197429999999999</v>
      </c>
      <c r="E4567">
        <v>0.49901719999999999</v>
      </c>
      <c r="F4567" t="s">
        <v>39</v>
      </c>
      <c r="G4567">
        <v>-421.11849999999998</v>
      </c>
      <c r="H4567" s="1">
        <v>-2.3205099999999999E-6</v>
      </c>
      <c r="I4567">
        <v>54.304569999999998</v>
      </c>
      <c r="J4567">
        <v>-422.68779999999998</v>
      </c>
      <c r="K4567">
        <v>1.1045830000000001</v>
      </c>
      <c r="L4567">
        <v>71.029330000000002</v>
      </c>
      <c r="M4567">
        <v>4.7185909999999998E-2</v>
      </c>
      <c r="N4567">
        <v>0</v>
      </c>
      <c r="O4567">
        <v>-0.99879979999999902</v>
      </c>
      <c r="P4567">
        <v>8.5417989999999999E-2</v>
      </c>
      <c r="Q4567">
        <v>2.1384810000000001E-2</v>
      </c>
      <c r="R4567">
        <v>-0.9961158</v>
      </c>
      <c r="S4567">
        <v>0.27923579999999998</v>
      </c>
      <c r="T4567">
        <v>-0.1954312</v>
      </c>
      <c r="U4567">
        <v>-2.9919739999999999</v>
      </c>
      <c r="V4567">
        <v>-3.8321969999999997E-2</v>
      </c>
      <c r="W4567">
        <v>3.4514080000000003E-2</v>
      </c>
      <c r="X4567">
        <v>0.99866919999999904</v>
      </c>
      <c r="Y4567">
        <v>-4.5639109999999997E-2</v>
      </c>
      <c r="Z4567">
        <v>6.4896609999999993E-2</v>
      </c>
      <c r="AA4567">
        <v>0.99684779999999995</v>
      </c>
      <c r="AB4567">
        <v>22</v>
      </c>
      <c r="AC4567">
        <v>1.5692999999999899</v>
      </c>
      <c r="AD4567">
        <v>-1.10458532051</v>
      </c>
      <c r="AE4567">
        <v>-16.72476</v>
      </c>
      <c r="AF4567">
        <v>-0.77495979912771096</v>
      </c>
      <c r="AG4567">
        <v>-1.10458532051</v>
      </c>
      <c r="AH4567">
        <v>16.7079398906587</v>
      </c>
      <c r="AI4567">
        <v>93.778349763513503</v>
      </c>
      <c r="AJ4567">
        <v>92.655631133601204</v>
      </c>
      <c r="AK4567">
        <v>16.762336555815001</v>
      </c>
    </row>
    <row r="4568" spans="1:37" x14ac:dyDescent="0.2">
      <c r="A4568" t="str">
        <f>"20200111155945314"</f>
        <v>20200111155945314</v>
      </c>
      <c r="B4568" t="str">
        <f>"1578729585305211"</f>
        <v>1578729585305211</v>
      </c>
      <c r="C4568" t="s">
        <v>37</v>
      </c>
      <c r="D4568">
        <v>5.6019860000000001</v>
      </c>
      <c r="E4568">
        <v>0.49932939999999998</v>
      </c>
      <c r="F4568" t="s">
        <v>39</v>
      </c>
      <c r="G4568">
        <v>-421.10829999999999</v>
      </c>
      <c r="H4568" s="1">
        <v>-2.202611E-6</v>
      </c>
      <c r="I4568">
        <v>54.036059999999999</v>
      </c>
      <c r="J4568">
        <v>-422.67770000000002</v>
      </c>
      <c r="K4568">
        <v>1.104541</v>
      </c>
      <c r="L4568">
        <v>70.820709999999906</v>
      </c>
      <c r="M4568">
        <v>4.7322250000000003E-2</v>
      </c>
      <c r="N4568">
        <v>0</v>
      </c>
      <c r="O4568">
        <v>-0.99879240000000002</v>
      </c>
      <c r="P4568">
        <v>8.4964040000000005E-2</v>
      </c>
      <c r="Q4568">
        <v>2.03412E-2</v>
      </c>
      <c r="R4568">
        <v>-0.99617659999999997</v>
      </c>
      <c r="S4568">
        <v>0.27810669999999998</v>
      </c>
      <c r="T4568">
        <v>-0.194486299999999</v>
      </c>
      <c r="U4568">
        <v>-2.992035</v>
      </c>
      <c r="V4568">
        <v>-3.772607E-2</v>
      </c>
      <c r="W4568">
        <v>3.3535699999999898E-2</v>
      </c>
      <c r="X4568">
        <v>0.99872519999999998</v>
      </c>
      <c r="Y4568">
        <v>-4.5129740000000002E-2</v>
      </c>
      <c r="Z4568">
        <v>6.458411E-2</v>
      </c>
      <c r="AA4568">
        <v>0.99689130000000004</v>
      </c>
      <c r="AB4568">
        <v>22</v>
      </c>
      <c r="AC4568">
        <v>1.5694000000000301</v>
      </c>
      <c r="AD4568">
        <v>-1.104543202611</v>
      </c>
      <c r="AE4568">
        <v>-16.7846499999999</v>
      </c>
      <c r="AF4568">
        <v>-0.76997928396041404</v>
      </c>
      <c r="AG4568">
        <v>-1.104543202611</v>
      </c>
      <c r="AH4568">
        <v>16.768130951891401</v>
      </c>
      <c r="AI4568">
        <v>93.764763026463797</v>
      </c>
      <c r="AJ4568">
        <v>92.629129919509197</v>
      </c>
      <c r="AK4568">
        <v>16.8221015156828</v>
      </c>
    </row>
    <row r="4569" spans="1:37" x14ac:dyDescent="0.2">
      <c r="A4569" t="str">
        <f>"20200111155945337"</f>
        <v>20200111155945337</v>
      </c>
      <c r="B4569" t="str">
        <f>"1578729585335001"</f>
        <v>1578729585335001</v>
      </c>
      <c r="C4569" t="s">
        <v>37</v>
      </c>
      <c r="D4569">
        <v>5.2481159999999996</v>
      </c>
      <c r="E4569">
        <v>0.49871209999999999</v>
      </c>
      <c r="F4569" t="s">
        <v>39</v>
      </c>
      <c r="G4569">
        <v>-421.12380000000002</v>
      </c>
      <c r="H4569" s="1">
        <v>-2.13550199999999E-6</v>
      </c>
      <c r="I4569">
        <v>53.870019999999997</v>
      </c>
      <c r="J4569">
        <v>-422.66699999999997</v>
      </c>
      <c r="K4569">
        <v>1.104501</v>
      </c>
      <c r="L4569">
        <v>70.598690000000005</v>
      </c>
      <c r="M4569">
        <v>4.7410729999999998E-2</v>
      </c>
      <c r="N4569">
        <v>0</v>
      </c>
      <c r="O4569">
        <v>-0.99878769999999994</v>
      </c>
      <c r="P4569">
        <v>8.457945E-2</v>
      </c>
      <c r="Q4569">
        <v>1.9274099999999999E-2</v>
      </c>
      <c r="R4569">
        <v>-0.99623059999999997</v>
      </c>
      <c r="S4569">
        <v>0.27429199999999998</v>
      </c>
      <c r="T4569">
        <v>-0.19497139999999999</v>
      </c>
      <c r="U4569">
        <v>-2.9920960000000001</v>
      </c>
      <c r="V4569">
        <v>-3.7247740000000001E-2</v>
      </c>
      <c r="W4569">
        <v>3.2528689999999999E-2</v>
      </c>
      <c r="X4569">
        <v>0.99877649999999996</v>
      </c>
      <c r="Y4569">
        <v>-4.3778110000000002E-2</v>
      </c>
      <c r="Z4569">
        <v>6.4748529999999999E-2</v>
      </c>
      <c r="AA4569">
        <v>0.99694090000000002</v>
      </c>
      <c r="AB4569">
        <v>22</v>
      </c>
      <c r="AC4569">
        <v>1.5431999999999499</v>
      </c>
      <c r="AD4569">
        <v>-1.1045031355020001</v>
      </c>
      <c r="AE4569">
        <v>-16.728670000000001</v>
      </c>
      <c r="AF4569">
        <v>-0.74505585734560598</v>
      </c>
      <c r="AG4569">
        <v>-1.1045031355020001</v>
      </c>
      <c r="AH4569">
        <v>16.7107938830713</v>
      </c>
      <c r="AI4569">
        <v>93.777733378687898</v>
      </c>
      <c r="AJ4569">
        <v>92.552859186315899</v>
      </c>
      <c r="AK4569">
        <v>16.763820197359301</v>
      </c>
    </row>
    <row r="4570" spans="1:37" x14ac:dyDescent="0.2">
      <c r="A4570" t="str">
        <f>"20200111155945360"</f>
        <v>20200111155945360</v>
      </c>
      <c r="B4570" t="str">
        <f>"1578729585354523"</f>
        <v>1578729585354523</v>
      </c>
      <c r="C4570" t="s">
        <v>37</v>
      </c>
      <c r="D4570">
        <v>5.308154</v>
      </c>
      <c r="E4570">
        <v>0.49752420000000003</v>
      </c>
      <c r="F4570" t="s">
        <v>39</v>
      </c>
      <c r="G4570">
        <v>-421.13029999999998</v>
      </c>
      <c r="H4570" s="1">
        <v>-2.2106549999999899E-6</v>
      </c>
      <c r="I4570">
        <v>54.041150000000002</v>
      </c>
      <c r="J4570">
        <v>-422.65660000000003</v>
      </c>
      <c r="K4570">
        <v>1.104473</v>
      </c>
      <c r="L4570">
        <v>70.381410000000002</v>
      </c>
      <c r="M4570">
        <v>4.7446410000000001E-2</v>
      </c>
      <c r="N4570">
        <v>0</v>
      </c>
      <c r="O4570">
        <v>-0.99878509999999998</v>
      </c>
      <c r="P4570">
        <v>8.390657E-2</v>
      </c>
      <c r="Q4570">
        <v>1.889128E-2</v>
      </c>
      <c r="R4570">
        <v>-0.99629460000000003</v>
      </c>
      <c r="S4570">
        <v>0.27764889999999998</v>
      </c>
      <c r="T4570">
        <v>-0.19956299999999999</v>
      </c>
      <c r="U4570">
        <v>-2.991638</v>
      </c>
      <c r="V4570">
        <v>-3.6535169999999999E-2</v>
      </c>
      <c r="W4570">
        <v>3.2196509999999998E-2</v>
      </c>
      <c r="X4570">
        <v>0.99881359999999997</v>
      </c>
      <c r="Y4570">
        <v>-4.4856189999999997E-2</v>
      </c>
      <c r="Z4570">
        <v>6.62716E-2</v>
      </c>
      <c r="AA4570">
        <v>0.99679289999999998</v>
      </c>
      <c r="AB4570">
        <v>22</v>
      </c>
      <c r="AC4570">
        <v>1.52630000000004</v>
      </c>
      <c r="AD4570">
        <v>-1.104475210655</v>
      </c>
      <c r="AE4570">
        <v>-16.340260000000001</v>
      </c>
      <c r="AF4570">
        <v>-0.74584730300983904</v>
      </c>
      <c r="AG4570">
        <v>-1.104475210655</v>
      </c>
      <c r="AH4570">
        <v>16.3203598269134</v>
      </c>
      <c r="AI4570">
        <v>93.8675462476712</v>
      </c>
      <c r="AJ4570">
        <v>92.616620587929503</v>
      </c>
      <c r="AK4570">
        <v>16.3746846861333</v>
      </c>
    </row>
    <row r="4571" spans="1:37" x14ac:dyDescent="0.2">
      <c r="A4571" t="str">
        <f>"20200111155945375"</f>
        <v>20200111155945375</v>
      </c>
      <c r="B4571" t="str">
        <f>"1578729585365257"</f>
        <v>1578729585365257</v>
      </c>
      <c r="C4571" t="s">
        <v>37</v>
      </c>
      <c r="D4571">
        <v>5.256119</v>
      </c>
      <c r="E4571">
        <v>0.497174</v>
      </c>
      <c r="F4571" t="s">
        <v>39</v>
      </c>
      <c r="G4571">
        <v>-421.10930000000002</v>
      </c>
      <c r="H4571" s="1">
        <v>-2.2566729999999998E-6</v>
      </c>
      <c r="I4571">
        <v>54.161479999999997</v>
      </c>
      <c r="J4571">
        <v>-422.64980000000003</v>
      </c>
      <c r="K4571">
        <v>1.1044590000000001</v>
      </c>
      <c r="L4571">
        <v>70.237179999999995</v>
      </c>
      <c r="M4571">
        <v>4.7446139999999998E-2</v>
      </c>
      <c r="N4571">
        <v>0</v>
      </c>
      <c r="O4571">
        <v>-0.99878489999999998</v>
      </c>
      <c r="P4571">
        <v>8.3511059999999998E-2</v>
      </c>
      <c r="Q4571">
        <v>1.8759040000000001E-2</v>
      </c>
      <c r="R4571">
        <v>-0.99633039999999995</v>
      </c>
      <c r="S4571">
        <v>0.28533940000000002</v>
      </c>
      <c r="T4571">
        <v>-0.20366809999999999</v>
      </c>
      <c r="U4571">
        <v>-2.9909970000000001</v>
      </c>
      <c r="V4571">
        <v>-3.6137130000000003E-2</v>
      </c>
      <c r="W4571">
        <v>3.209356E-2</v>
      </c>
      <c r="X4571">
        <v>0.99883140000000004</v>
      </c>
      <c r="Y4571">
        <v>-4.7407749999999999E-2</v>
      </c>
      <c r="Z4571">
        <v>6.7630949999999995E-2</v>
      </c>
      <c r="AA4571">
        <v>0.99658349999999996</v>
      </c>
      <c r="AB4571">
        <v>22</v>
      </c>
      <c r="AC4571">
        <v>1.5405</v>
      </c>
      <c r="AD4571">
        <v>-1.1044612566730001</v>
      </c>
      <c r="AE4571">
        <v>-16.075700000000001</v>
      </c>
      <c r="AF4571">
        <v>-0.77235462829422497</v>
      </c>
      <c r="AG4571">
        <v>-1.1044612566730001</v>
      </c>
      <c r="AH4571">
        <v>16.055593419486399</v>
      </c>
      <c r="AI4571">
        <v>93.930635580691103</v>
      </c>
      <c r="AJ4571">
        <v>92.754091470058597</v>
      </c>
      <c r="AK4571">
        <v>16.112059036361401</v>
      </c>
    </row>
    <row r="4572" spans="1:37" x14ac:dyDescent="0.2">
      <c r="A4572" t="str">
        <f>"20200111155945394"</f>
        <v>20200111155945394</v>
      </c>
      <c r="B4572" t="str">
        <f>"1578729585384777"</f>
        <v>1578729585384777</v>
      </c>
      <c r="C4572" t="s">
        <v>37</v>
      </c>
      <c r="D4572">
        <v>5.2804169999999999</v>
      </c>
      <c r="E4572">
        <v>0.49642629999999999</v>
      </c>
      <c r="F4572" t="s">
        <v>39</v>
      </c>
      <c r="G4572">
        <v>-421.0985</v>
      </c>
      <c r="H4572" s="1">
        <v>-2.2112410000000002E-6</v>
      </c>
      <c r="I4572">
        <v>54.062219999999897</v>
      </c>
      <c r="J4572">
        <v>-422.64089999999999</v>
      </c>
      <c r="K4572">
        <v>1.104452</v>
      </c>
      <c r="L4572">
        <v>70.050629999999998</v>
      </c>
      <c r="M4572">
        <v>4.7428919999999999E-2</v>
      </c>
      <c r="N4572">
        <v>0</v>
      </c>
      <c r="O4572">
        <v>-0.99878509999999998</v>
      </c>
      <c r="P4572">
        <v>8.2956340000000003E-2</v>
      </c>
      <c r="Q4572">
        <v>1.8823280000000001E-2</v>
      </c>
      <c r="R4572">
        <v>-0.99637509999999996</v>
      </c>
      <c r="S4572">
        <v>0.2868347</v>
      </c>
      <c r="T4572">
        <v>-0.20422129999999999</v>
      </c>
      <c r="U4572">
        <v>-2.9908450000000002</v>
      </c>
      <c r="V4572">
        <v>-3.5596910000000002E-2</v>
      </c>
      <c r="W4572">
        <v>3.2191740000000003E-2</v>
      </c>
      <c r="X4572">
        <v>0.99884759999999995</v>
      </c>
      <c r="Y4572">
        <v>-4.7922289999999999E-2</v>
      </c>
      <c r="Z4572">
        <v>6.7814869999999999E-2</v>
      </c>
      <c r="AA4572">
        <v>0.9965463</v>
      </c>
      <c r="AB4572">
        <v>22</v>
      </c>
      <c r="AC4572">
        <v>1.54239999999998</v>
      </c>
      <c r="AD4572">
        <v>-1.1044542112410001</v>
      </c>
      <c r="AE4572">
        <v>-15.98841</v>
      </c>
      <c r="AF4572">
        <v>-0.77860196949205696</v>
      </c>
      <c r="AG4572">
        <v>-1.1044542112410001</v>
      </c>
      <c r="AH4572">
        <v>15.968080213995799</v>
      </c>
      <c r="AI4572">
        <v>93.951959595829507</v>
      </c>
      <c r="AJ4572">
        <v>92.791525481173494</v>
      </c>
      <c r="AK4572">
        <v>16.025156032071202</v>
      </c>
    </row>
    <row r="4573" spans="1:37" x14ac:dyDescent="0.2">
      <c r="A4573" t="str">
        <f>"20200111155945416"</f>
        <v>20200111155945416</v>
      </c>
      <c r="B4573" t="str">
        <f>"1578729585405272"</f>
        <v>1578729585405272</v>
      </c>
      <c r="C4573" t="s">
        <v>37</v>
      </c>
      <c r="D4573">
        <v>5.3195860000000001</v>
      </c>
      <c r="E4573">
        <v>0.496121599999999</v>
      </c>
      <c r="F4573" t="s">
        <v>39</v>
      </c>
      <c r="G4573">
        <v>-421.08190000000002</v>
      </c>
      <c r="H4573" s="1">
        <v>-2.1998009999999999E-6</v>
      </c>
      <c r="I4573">
        <v>54.045839999999998</v>
      </c>
      <c r="J4573">
        <v>-422.63099999999997</v>
      </c>
      <c r="K4573">
        <v>1.1044449999999999</v>
      </c>
      <c r="L4573">
        <v>69.843869999999995</v>
      </c>
      <c r="M4573">
        <v>4.7396630000000002E-2</v>
      </c>
      <c r="N4573">
        <v>0</v>
      </c>
      <c r="O4573">
        <v>-0.99878630000000002</v>
      </c>
      <c r="P4573">
        <v>8.3243010000000006E-2</v>
      </c>
      <c r="Q4573">
        <v>1.8506539999999998E-2</v>
      </c>
      <c r="R4573">
        <v>-0.99635750000000001</v>
      </c>
      <c r="S4573">
        <v>0.2912903</v>
      </c>
      <c r="T4573">
        <v>-0.20637240000000001</v>
      </c>
      <c r="U4573">
        <v>-2.99057</v>
      </c>
      <c r="V4573">
        <v>-3.5915870000000003E-2</v>
      </c>
      <c r="W4573">
        <v>3.1906259999999999E-2</v>
      </c>
      <c r="X4573">
        <v>0.99884530000000005</v>
      </c>
      <c r="Y4573">
        <v>-4.9429479999999998E-2</v>
      </c>
      <c r="Z4573">
        <v>6.8524829999999995E-2</v>
      </c>
      <c r="AA4573">
        <v>0.99642410000000003</v>
      </c>
      <c r="AB4573">
        <v>22</v>
      </c>
      <c r="AC4573">
        <v>1.54909999999995</v>
      </c>
      <c r="AD4573">
        <v>-1.1044471998009999</v>
      </c>
      <c r="AE4573">
        <v>-15.798029999999899</v>
      </c>
      <c r="AF4573">
        <v>-0.79467119701729505</v>
      </c>
      <c r="AG4573">
        <v>-1.1044471998009999</v>
      </c>
      <c r="AH4573">
        <v>15.7773240576128</v>
      </c>
      <c r="AI4573">
        <v>93.999244470427101</v>
      </c>
      <c r="AJ4573">
        <v>92.883433261618606</v>
      </c>
      <c r="AK4573">
        <v>15.8358852088364</v>
      </c>
    </row>
    <row r="4574" spans="1:37" x14ac:dyDescent="0.2">
      <c r="A4574" t="str">
        <f>"20200111155945438"</f>
        <v>20200111155945438</v>
      </c>
      <c r="B4574" t="str">
        <f>"1578729585434552"</f>
        <v>1578729585434552</v>
      </c>
      <c r="C4574" t="s">
        <v>37</v>
      </c>
      <c r="D4574">
        <v>5.2192150000000002</v>
      </c>
      <c r="E4574">
        <v>0.4952222</v>
      </c>
      <c r="F4574" t="s">
        <v>39</v>
      </c>
      <c r="G4574">
        <v>-421.05</v>
      </c>
      <c r="H4574" s="1">
        <v>-2.0845979999999999E-6</v>
      </c>
      <c r="I4574">
        <v>53.797130000000003</v>
      </c>
      <c r="J4574">
        <v>-422.62079999999997</v>
      </c>
      <c r="K4574">
        <v>1.104447</v>
      </c>
      <c r="L4574">
        <v>69.626589999999993</v>
      </c>
      <c r="M4574">
        <v>4.735839E-2</v>
      </c>
      <c r="N4574">
        <v>0</v>
      </c>
      <c r="O4574">
        <v>-0.9987878</v>
      </c>
      <c r="P4574">
        <v>8.4011379999999997E-2</v>
      </c>
      <c r="Q4574">
        <v>1.808477E-2</v>
      </c>
      <c r="R4574">
        <v>-0.99630069999999904</v>
      </c>
      <c r="S4574">
        <v>0.29461670000000001</v>
      </c>
      <c r="T4574">
        <v>-0.20580419999999999</v>
      </c>
      <c r="U4574">
        <v>-2.990173</v>
      </c>
      <c r="V4574">
        <v>-3.6724569999999998E-2</v>
      </c>
      <c r="W4574">
        <v>3.1512119999999998E-2</v>
      </c>
      <c r="X4574">
        <v>0.99882850000000001</v>
      </c>
      <c r="Y4574">
        <v>-5.0579619999999999E-2</v>
      </c>
      <c r="Z4574">
        <v>6.8340570000000003E-2</v>
      </c>
      <c r="AA4574">
        <v>0.99637909999999996</v>
      </c>
      <c r="AB4574">
        <v>22</v>
      </c>
      <c r="AC4574">
        <v>1.57079999999996</v>
      </c>
      <c r="AD4574">
        <v>-1.104449084598</v>
      </c>
      <c r="AE4574">
        <v>-15.829459999999999</v>
      </c>
      <c r="AF4574">
        <v>-0.815381274635265</v>
      </c>
      <c r="AG4574">
        <v>-1.104449084598</v>
      </c>
      <c r="AH4574">
        <v>15.809879264485501</v>
      </c>
      <c r="AI4574">
        <v>93.990798834274301</v>
      </c>
      <c r="AJ4574">
        <v>92.952366009165203</v>
      </c>
      <c r="AK4574">
        <v>15.869371026008</v>
      </c>
    </row>
    <row r="4575" spans="1:37" x14ac:dyDescent="0.2">
      <c r="A4575" t="str">
        <f>"20200111155945472"</f>
        <v>20200111155945472</v>
      </c>
      <c r="B4575" t="str">
        <f>"1578729585464811"</f>
        <v>1578729585464811</v>
      </c>
      <c r="C4575" t="s">
        <v>37</v>
      </c>
      <c r="D4575">
        <v>5.3941359999999996</v>
      </c>
      <c r="E4575">
        <v>0.49456719999999998</v>
      </c>
      <c r="F4575" t="s">
        <v>39</v>
      </c>
      <c r="G4575">
        <v>-421.01260000000002</v>
      </c>
      <c r="H4575" s="1">
        <v>-2.0820839999999999E-6</v>
      </c>
      <c r="I4575">
        <v>53.814430000000002</v>
      </c>
      <c r="J4575">
        <v>-422.6053</v>
      </c>
      <c r="K4575">
        <v>1.1044590000000001</v>
      </c>
      <c r="L4575">
        <v>69.298490000000001</v>
      </c>
      <c r="M4575">
        <v>4.7303360000000003E-2</v>
      </c>
      <c r="N4575">
        <v>0</v>
      </c>
      <c r="O4575">
        <v>-0.99878989999999901</v>
      </c>
      <c r="P4575">
        <v>8.5732450000000002E-2</v>
      </c>
      <c r="Q4575">
        <v>1.782311E-2</v>
      </c>
      <c r="R4575">
        <v>-0.99615900000000002</v>
      </c>
      <c r="S4575">
        <v>0.30401609999999901</v>
      </c>
      <c r="T4575">
        <v>-0.20879610000000001</v>
      </c>
      <c r="U4575">
        <v>-2.9892880000000002</v>
      </c>
      <c r="V4575">
        <v>-3.8506070000000003E-2</v>
      </c>
      <c r="W4575">
        <v>3.1283819999999997E-2</v>
      </c>
      <c r="X4575">
        <v>0.99876860000000001</v>
      </c>
      <c r="Y4575">
        <v>-5.3758090000000001E-2</v>
      </c>
      <c r="Z4575">
        <v>6.9333389999999995E-2</v>
      </c>
      <c r="AA4575">
        <v>0.99614409999999898</v>
      </c>
      <c r="AB4575">
        <v>22</v>
      </c>
      <c r="AC4575">
        <v>1.59269999999997</v>
      </c>
      <c r="AD4575">
        <v>-1.104461082084</v>
      </c>
      <c r="AE4575">
        <v>-15.484059999999999</v>
      </c>
      <c r="AF4575">
        <v>-0.85410233558090598</v>
      </c>
      <c r="AG4575">
        <v>-1.104461082084</v>
      </c>
      <c r="AH4575">
        <v>15.464215112459501</v>
      </c>
      <c r="AI4575">
        <v>94.078957813163598</v>
      </c>
      <c r="AJ4575">
        <v>93.161284953494501</v>
      </c>
      <c r="AK4575">
        <v>15.5271141596211</v>
      </c>
    </row>
    <row r="4576" spans="1:37" x14ac:dyDescent="0.2">
      <c r="A4576" t="str">
        <f>"20200111155945494"</f>
        <v>20200111155945494</v>
      </c>
      <c r="B4576" t="str">
        <f>"1578729585485304"</f>
        <v>1578729585485304</v>
      </c>
      <c r="C4576" t="s">
        <v>37</v>
      </c>
      <c r="D4576">
        <v>5.3207449999999996</v>
      </c>
      <c r="E4576">
        <v>0.49424790000000002</v>
      </c>
      <c r="F4576" t="s">
        <v>39</v>
      </c>
      <c r="G4576">
        <v>-420.95190000000002</v>
      </c>
      <c r="H4576" s="1">
        <v>-1.9734780000000001E-6</v>
      </c>
      <c r="I4576">
        <v>53.5989199999999</v>
      </c>
      <c r="J4576">
        <v>-422.59539999999998</v>
      </c>
      <c r="K4576">
        <v>1.1044769999999999</v>
      </c>
      <c r="L4576">
        <v>69.089109999999906</v>
      </c>
      <c r="M4576">
        <v>4.7274789999999997E-2</v>
      </c>
      <c r="N4576">
        <v>0</v>
      </c>
      <c r="O4576">
        <v>-0.99879089999999904</v>
      </c>
      <c r="P4576">
        <v>8.6530049999999997E-2</v>
      </c>
      <c r="Q4576">
        <v>1.7939150000000001E-2</v>
      </c>
      <c r="R4576">
        <v>-0.99608759999999996</v>
      </c>
      <c r="S4576">
        <v>0.31469730000000001</v>
      </c>
      <c r="T4576">
        <v>-0.21022249999999901</v>
      </c>
      <c r="U4576">
        <v>-2.988251</v>
      </c>
      <c r="V4576">
        <v>-3.9335050000000003E-2</v>
      </c>
      <c r="W4576">
        <v>3.1416800000000002E-2</v>
      </c>
      <c r="X4576">
        <v>0.99873210000000001</v>
      </c>
      <c r="Y4576">
        <v>-5.7340479999999999E-2</v>
      </c>
      <c r="Z4576">
        <v>6.980915E-2</v>
      </c>
      <c r="AA4576">
        <v>0.99591099999999999</v>
      </c>
      <c r="AB4576">
        <v>22</v>
      </c>
      <c r="AC4576">
        <v>1.64349999999996</v>
      </c>
      <c r="AD4576">
        <v>-1.1044789734780001</v>
      </c>
      <c r="AE4576">
        <v>-15.490189999999901</v>
      </c>
      <c r="AF4576">
        <v>-0.90475152855813701</v>
      </c>
      <c r="AG4576">
        <v>-1.1044789734780001</v>
      </c>
      <c r="AH4576">
        <v>15.472783564193699</v>
      </c>
      <c r="AI4576">
        <v>94.076025829024303</v>
      </c>
      <c r="AJ4576">
        <v>93.346487925900007</v>
      </c>
      <c r="AK4576">
        <v>15.5385160281047</v>
      </c>
    </row>
    <row r="4577" spans="1:37" x14ac:dyDescent="0.2">
      <c r="A4577" t="str">
        <f>"20200111155945516"</f>
        <v>20200111155945516</v>
      </c>
      <c r="B4577" t="str">
        <f>"1578729585504824"</f>
        <v>1578729585504824</v>
      </c>
      <c r="C4577" t="s">
        <v>37</v>
      </c>
      <c r="D4577">
        <v>5.3002580000000004</v>
      </c>
      <c r="E4577">
        <v>0.49400479999999902</v>
      </c>
      <c r="F4577" t="s">
        <v>39</v>
      </c>
      <c r="G4577">
        <v>-420.91180000000003</v>
      </c>
      <c r="H4577" s="1">
        <v>-1.847794E-6</v>
      </c>
      <c r="I4577">
        <v>53.330829999999999</v>
      </c>
      <c r="J4577">
        <v>-422.58539999999999</v>
      </c>
      <c r="K4577">
        <v>1.1044849999999999</v>
      </c>
      <c r="L4577">
        <v>68.876980000000003</v>
      </c>
      <c r="M4577">
        <v>4.7251830000000002E-2</v>
      </c>
      <c r="N4577">
        <v>0</v>
      </c>
      <c r="O4577">
        <v>-0.99879209999999996</v>
      </c>
      <c r="P4577">
        <v>8.7058360000000001E-2</v>
      </c>
      <c r="Q4577">
        <v>1.812132E-2</v>
      </c>
      <c r="R4577">
        <v>-0.9960386</v>
      </c>
      <c r="S4577">
        <v>0.31921389999999999</v>
      </c>
      <c r="T4577">
        <v>-0.20941279999999901</v>
      </c>
      <c r="U4577">
        <v>-2.9878230000000001</v>
      </c>
      <c r="V4577">
        <v>-3.9888659999999999E-2</v>
      </c>
      <c r="W4577">
        <v>3.1614110000000001E-2</v>
      </c>
      <c r="X4577">
        <v>0.99870389999999998</v>
      </c>
      <c r="Y4577">
        <v>-5.8868899999999898E-2</v>
      </c>
      <c r="Z4577">
        <v>6.9542919999999994E-2</v>
      </c>
      <c r="AA4577">
        <v>0.99584050000000002</v>
      </c>
      <c r="AB4577">
        <v>22</v>
      </c>
      <c r="AC4577">
        <v>1.67359999999996</v>
      </c>
      <c r="AD4577">
        <v>-1.104486847794</v>
      </c>
      <c r="AE4577">
        <v>-15.5461499999999</v>
      </c>
      <c r="AF4577">
        <v>-0.93242701889349999</v>
      </c>
      <c r="AG4577">
        <v>-1.104486847794</v>
      </c>
      <c r="AH4577">
        <v>15.530378425735799</v>
      </c>
      <c r="AI4577">
        <v>94.060615240165802</v>
      </c>
      <c r="AJ4577">
        <v>93.435851835858799</v>
      </c>
      <c r="AK4577">
        <v>15.597498690144899</v>
      </c>
    </row>
    <row r="4578" spans="1:37" x14ac:dyDescent="0.2">
      <c r="A4578" t="str">
        <f>"20200111155945539"</f>
        <v>20200111155945539</v>
      </c>
      <c r="B4578" t="str">
        <f>"1578729585535081"</f>
        <v>1578729585535081</v>
      </c>
      <c r="C4578" t="s">
        <v>37</v>
      </c>
      <c r="D4578">
        <v>5.2759320000000001</v>
      </c>
      <c r="E4578">
        <v>0.49371729999999903</v>
      </c>
      <c r="F4578" t="s">
        <v>39</v>
      </c>
      <c r="G4578">
        <v>-420.87369999999999</v>
      </c>
      <c r="H4578" s="1">
        <v>-1.7213069999999999E-6</v>
      </c>
      <c r="I4578">
        <v>53.05959</v>
      </c>
      <c r="J4578">
        <v>-422.57499999999999</v>
      </c>
      <c r="K4578">
        <v>1.1044860000000001</v>
      </c>
      <c r="L4578">
        <v>68.656490000000005</v>
      </c>
      <c r="M4578">
        <v>4.7232580000000003E-2</v>
      </c>
      <c r="N4578">
        <v>0</v>
      </c>
      <c r="O4578">
        <v>-0.99879280000000004</v>
      </c>
      <c r="P4578">
        <v>8.7057380000000004E-2</v>
      </c>
      <c r="Q4578">
        <v>1.8496430000000001E-2</v>
      </c>
      <c r="R4578">
        <v>-0.99603189999999997</v>
      </c>
      <c r="S4578">
        <v>0.32327270000000002</v>
      </c>
      <c r="T4578">
        <v>-0.20860619999999999</v>
      </c>
      <c r="U4578">
        <v>-2.987457</v>
      </c>
      <c r="V4578">
        <v>-3.990722E-2</v>
      </c>
      <c r="W4578">
        <v>3.2002059999999999E-2</v>
      </c>
      <c r="X4578">
        <v>0.99869079999999999</v>
      </c>
      <c r="Y4578">
        <v>-6.0240490000000001E-2</v>
      </c>
      <c r="Z4578">
        <v>6.9277030000000003E-2</v>
      </c>
      <c r="AA4578">
        <v>0.99577700000000002</v>
      </c>
      <c r="AB4578">
        <v>22</v>
      </c>
      <c r="AC4578">
        <v>1.7013</v>
      </c>
      <c r="AD4578">
        <v>-1.1044877213069999</v>
      </c>
      <c r="AE4578">
        <v>-15.5969</v>
      </c>
      <c r="AF4578">
        <v>-0.95790485599101405</v>
      </c>
      <c r="AG4578">
        <v>-1.1044877213069999</v>
      </c>
      <c r="AH4578">
        <v>15.582630093952</v>
      </c>
      <c r="AI4578">
        <v>94.046697656632503</v>
      </c>
      <c r="AJ4578">
        <v>93.517694263927595</v>
      </c>
      <c r="AK4578">
        <v>15.651064995219601</v>
      </c>
    </row>
    <row r="4579" spans="1:37" x14ac:dyDescent="0.2">
      <c r="A4579" t="str">
        <f>"20200111155945561"</f>
        <v>20200111155945561</v>
      </c>
      <c r="B4579" t="str">
        <f>"1578729585554600"</f>
        <v>1578729585554600</v>
      </c>
      <c r="C4579" t="s">
        <v>37</v>
      </c>
      <c r="D4579">
        <v>5.2893660000000002</v>
      </c>
      <c r="E4579">
        <v>0.49363439999999997</v>
      </c>
      <c r="F4579" t="s">
        <v>39</v>
      </c>
      <c r="G4579">
        <v>-420.85230000000001</v>
      </c>
      <c r="H4579" s="1">
        <v>-1.6131169999999999E-6</v>
      </c>
      <c r="I4579">
        <v>52.820689999999999</v>
      </c>
      <c r="J4579">
        <v>-422.56479999999999</v>
      </c>
      <c r="K4579">
        <v>1.1044929999999999</v>
      </c>
      <c r="L4579">
        <v>68.441040000000001</v>
      </c>
      <c r="M4579">
        <v>4.7215340000000001E-2</v>
      </c>
      <c r="N4579">
        <v>0</v>
      </c>
      <c r="O4579">
        <v>-0.99879319999999905</v>
      </c>
      <c r="P4579">
        <v>8.7202509999999997E-2</v>
      </c>
      <c r="Q4579">
        <v>1.837635E-2</v>
      </c>
      <c r="R4579">
        <v>-0.99602099999999905</v>
      </c>
      <c r="S4579">
        <v>0.32498169999999998</v>
      </c>
      <c r="T4579">
        <v>-0.20836189999999999</v>
      </c>
      <c r="U4579">
        <v>-2.9874269999999998</v>
      </c>
      <c r="V4579">
        <v>-4.0070210000000002E-2</v>
      </c>
      <c r="W4579">
        <v>3.1892909999999997E-2</v>
      </c>
      <c r="X4579">
        <v>0.99868769999999996</v>
      </c>
      <c r="Y4579">
        <v>-6.0822420000000002E-2</v>
      </c>
      <c r="Z4579">
        <v>6.919372E-2</v>
      </c>
      <c r="AA4579">
        <v>0.99574739999999995</v>
      </c>
      <c r="AB4579">
        <v>22</v>
      </c>
      <c r="AC4579">
        <v>1.7124999999999699</v>
      </c>
      <c r="AD4579">
        <v>-1.1044946131169999</v>
      </c>
      <c r="AE4579">
        <v>-15.62035</v>
      </c>
      <c r="AF4579">
        <v>-0.96821885140171404</v>
      </c>
      <c r="AG4579">
        <v>-1.1044946131169999</v>
      </c>
      <c r="AH4579">
        <v>15.6066872797995</v>
      </c>
      <c r="AI4579">
        <v>94.040365358585902</v>
      </c>
      <c r="AJ4579">
        <v>93.550006875668203</v>
      </c>
      <c r="AK4579">
        <v>15.6756513084487</v>
      </c>
    </row>
    <row r="4580" spans="1:37" x14ac:dyDescent="0.2">
      <c r="A4580" t="str">
        <f>"20200111155945583"</f>
        <v>20200111155945583</v>
      </c>
      <c r="B4580" t="str">
        <f>"1578729585575096"</f>
        <v>1578729585575096</v>
      </c>
      <c r="C4580" t="s">
        <v>37</v>
      </c>
      <c r="D4580">
        <v>5.2975839999999996</v>
      </c>
      <c r="E4580">
        <v>0.49344919999999998</v>
      </c>
      <c r="F4580" t="s">
        <v>39</v>
      </c>
      <c r="G4580">
        <v>-420.84190000000001</v>
      </c>
      <c r="H4580" s="1">
        <v>-1.5354280000000001E-6</v>
      </c>
      <c r="I4580">
        <v>52.646069999999902</v>
      </c>
      <c r="J4580">
        <v>-422.55489999999998</v>
      </c>
      <c r="K4580">
        <v>1.104501</v>
      </c>
      <c r="L4580">
        <v>68.229339999999993</v>
      </c>
      <c r="M4580">
        <v>4.7197610000000001E-2</v>
      </c>
      <c r="N4580">
        <v>0</v>
      </c>
      <c r="O4580">
        <v>-0.99879390000000001</v>
      </c>
      <c r="P4580">
        <v>8.6234500000000006E-2</v>
      </c>
      <c r="Q4580">
        <v>1.8461829999999999E-2</v>
      </c>
      <c r="R4580">
        <v>-0.99610379999999998</v>
      </c>
      <c r="S4580">
        <v>0.32586670000000001</v>
      </c>
      <c r="T4580">
        <v>-0.2088932</v>
      </c>
      <c r="U4580">
        <v>-2.9873050000000001</v>
      </c>
      <c r="V4580">
        <v>-3.9117649999999997E-2</v>
      </c>
      <c r="W4580">
        <v>3.1987759999999997E-2</v>
      </c>
      <c r="X4580">
        <v>0.99872249999999996</v>
      </c>
      <c r="Y4580">
        <v>-6.1134710000000002E-2</v>
      </c>
      <c r="Z4580">
        <v>6.9370429999999997E-2</v>
      </c>
      <c r="AA4580">
        <v>0.99571599999999905</v>
      </c>
      <c r="AB4580">
        <v>21</v>
      </c>
      <c r="AC4580">
        <v>1.7129999999999601</v>
      </c>
      <c r="AD4580">
        <v>-1.104502535428</v>
      </c>
      <c r="AE4580">
        <v>-15.583270000000001</v>
      </c>
      <c r="AF4580">
        <v>-0.97071191998253104</v>
      </c>
      <c r="AG4580">
        <v>-1.104502535428</v>
      </c>
      <c r="AH4580">
        <v>15.5694760951307</v>
      </c>
      <c r="AI4580">
        <v>94.049941602374702</v>
      </c>
      <c r="AJ4580">
        <v>93.567608723488206</v>
      </c>
      <c r="AK4580">
        <v>15.6387593292822</v>
      </c>
    </row>
    <row r="4581" spans="1:37" x14ac:dyDescent="0.2">
      <c r="A4581" t="str">
        <f>"20200111155945606"</f>
        <v>20200111155945606</v>
      </c>
      <c r="B4581" t="str">
        <f>"1578729585594616"</f>
        <v>1578729585594616</v>
      </c>
      <c r="C4581" t="s">
        <v>37</v>
      </c>
      <c r="D4581">
        <v>5.3795289999999998</v>
      </c>
      <c r="E4581">
        <v>0.49343700000000001</v>
      </c>
      <c r="F4581" t="s">
        <v>39</v>
      </c>
      <c r="G4581">
        <v>-420.8485</v>
      </c>
      <c r="H4581" s="1">
        <v>-1.476218E-6</v>
      </c>
      <c r="I4581">
        <v>52.503959999999999</v>
      </c>
      <c r="J4581">
        <v>-422.54489999999998</v>
      </c>
      <c r="K4581">
        <v>1.104508</v>
      </c>
      <c r="L4581">
        <v>68.01746</v>
      </c>
      <c r="M4581">
        <v>4.7177419999999998E-2</v>
      </c>
      <c r="N4581">
        <v>0</v>
      </c>
      <c r="O4581">
        <v>-0.99879490000000004</v>
      </c>
      <c r="P4581">
        <v>8.5671890000000001E-2</v>
      </c>
      <c r="Q4581">
        <v>1.8667010000000001E-2</v>
      </c>
      <c r="R4581">
        <v>-0.99614849999999999</v>
      </c>
      <c r="S4581">
        <v>0.32418819999999998</v>
      </c>
      <c r="T4581">
        <v>-0.20983840000000001</v>
      </c>
      <c r="U4581">
        <v>-2.9875790000000002</v>
      </c>
      <c r="V4581">
        <v>-3.8574009999999999E-2</v>
      </c>
      <c r="W4581">
        <v>3.2200310000000003E-2</v>
      </c>
      <c r="X4581">
        <v>0.99873679999999998</v>
      </c>
      <c r="Y4581">
        <v>-6.0589820000000003E-2</v>
      </c>
      <c r="Z4581">
        <v>6.9679820000000003E-2</v>
      </c>
      <c r="AA4581">
        <v>0.99572769999999999</v>
      </c>
      <c r="AB4581">
        <v>21</v>
      </c>
      <c r="AC4581">
        <v>1.6963999999999799</v>
      </c>
      <c r="AD4581">
        <v>-1.1045094762180001</v>
      </c>
      <c r="AE4581">
        <v>-15.513500000000001</v>
      </c>
      <c r="AF4581">
        <v>-0.95775937631051</v>
      </c>
      <c r="AG4581">
        <v>-1.1045094762180001</v>
      </c>
      <c r="AH4581">
        <v>15.4986283411587</v>
      </c>
      <c r="AI4581">
        <v>94.068556339761003</v>
      </c>
      <c r="AJ4581">
        <v>93.536175951777295</v>
      </c>
      <c r="AK4581">
        <v>15.567425113464701</v>
      </c>
    </row>
    <row r="4582" spans="1:37" x14ac:dyDescent="0.2">
      <c r="A4582" t="str">
        <f>"20200111155945628"</f>
        <v>20200111155945628</v>
      </c>
      <c r="B4582" t="str">
        <f>"1578729585624873"</f>
        <v>1578729585624873</v>
      </c>
      <c r="C4582" t="s">
        <v>37</v>
      </c>
      <c r="D4582">
        <v>5.3213220000000003</v>
      </c>
      <c r="E4582">
        <v>0.4932204</v>
      </c>
      <c r="F4582" t="s">
        <v>39</v>
      </c>
      <c r="G4582">
        <v>-420.83920000000001</v>
      </c>
      <c r="H4582" s="1">
        <v>-1.357281E-6</v>
      </c>
      <c r="I4582">
        <v>52.232479999999903</v>
      </c>
      <c r="J4582">
        <v>-422.53469999999999</v>
      </c>
      <c r="K4582">
        <v>1.1045100000000001</v>
      </c>
      <c r="L4582">
        <v>67.802490000000006</v>
      </c>
      <c r="M4582">
        <v>4.7155099999999998E-2</v>
      </c>
      <c r="N4582">
        <v>0</v>
      </c>
      <c r="O4582">
        <v>-0.99879560000000001</v>
      </c>
      <c r="P4582">
        <v>8.5015980000000005E-2</v>
      </c>
      <c r="Q4582">
        <v>1.8495009999999999E-2</v>
      </c>
      <c r="R4582">
        <v>-0.99620799999999998</v>
      </c>
      <c r="S4582">
        <v>0.32284550000000001</v>
      </c>
      <c r="T4582">
        <v>-0.20905799999999999</v>
      </c>
      <c r="U4582">
        <v>-2.9877319999999998</v>
      </c>
      <c r="V4582">
        <v>-3.7938430000000002E-2</v>
      </c>
      <c r="W4582">
        <v>3.2034460000000001E-2</v>
      </c>
      <c r="X4582">
        <v>0.9987665</v>
      </c>
      <c r="Y4582">
        <v>-6.0166249999999998E-2</v>
      </c>
      <c r="Z4582">
        <v>6.9421099999999999E-2</v>
      </c>
      <c r="AA4582">
        <v>0.99577139999999997</v>
      </c>
      <c r="AB4582">
        <v>21</v>
      </c>
      <c r="AC4582">
        <v>1.69549999999998</v>
      </c>
      <c r="AD4582">
        <v>-1.1045113572809999</v>
      </c>
      <c r="AE4582">
        <v>-15.57001</v>
      </c>
      <c r="AF4582">
        <v>-0.954593242939339</v>
      </c>
      <c r="AG4582">
        <v>-1.1045113572809999</v>
      </c>
      <c r="AH4582">
        <v>15.555284444723901</v>
      </c>
      <c r="AI4582">
        <v>94.053900291608997</v>
      </c>
      <c r="AJ4582">
        <v>93.511710725052296</v>
      </c>
      <c r="AK4582">
        <v>15.6236381087792</v>
      </c>
    </row>
    <row r="4583" spans="1:37" x14ac:dyDescent="0.2">
      <c r="A4583" t="str">
        <f>"20200111155945651"</f>
        <v>20200111155945651</v>
      </c>
      <c r="B4583" t="str">
        <f>"1578729585645369"</f>
        <v>1578729585645369</v>
      </c>
      <c r="C4583" t="s">
        <v>37</v>
      </c>
      <c r="D4583">
        <v>5.2617099999999999</v>
      </c>
      <c r="E4583">
        <v>0.49305840000000001</v>
      </c>
      <c r="F4583" t="s">
        <v>39</v>
      </c>
      <c r="G4583">
        <v>-420.8485</v>
      </c>
      <c r="H4583" s="1">
        <v>-1.3402750000000001E-6</v>
      </c>
      <c r="I4583">
        <v>52.187049999999999</v>
      </c>
      <c r="J4583">
        <v>-422.5247</v>
      </c>
      <c r="K4583">
        <v>1.1045129999999901</v>
      </c>
      <c r="L4583">
        <v>67.587549999999993</v>
      </c>
      <c r="M4583">
        <v>4.7130999999999999E-2</v>
      </c>
      <c r="N4583">
        <v>0</v>
      </c>
      <c r="O4583">
        <v>-0.99879680000000004</v>
      </c>
      <c r="P4583">
        <v>8.5121779999999994E-2</v>
      </c>
      <c r="Q4583">
        <v>1.821911E-2</v>
      </c>
      <c r="R4583">
        <v>-0.99620399999999998</v>
      </c>
      <c r="S4583">
        <v>0.32263179999999902</v>
      </c>
      <c r="T4583">
        <v>-0.21133260000000001</v>
      </c>
      <c r="U4583">
        <v>-2.9877929999999999</v>
      </c>
      <c r="V4583">
        <v>-3.8068299999999999E-2</v>
      </c>
      <c r="W4583">
        <v>3.176375E-2</v>
      </c>
      <c r="X4583">
        <v>0.99877019999999905</v>
      </c>
      <c r="Y4583">
        <v>-6.0112159999999998E-2</v>
      </c>
      <c r="Z4583">
        <v>7.0171769999999994E-2</v>
      </c>
      <c r="AA4583">
        <v>0.99572209999999906</v>
      </c>
      <c r="AB4583">
        <v>21</v>
      </c>
      <c r="AC4583">
        <v>1.6761999999999899</v>
      </c>
      <c r="AD4583">
        <v>-1.104514340275</v>
      </c>
      <c r="AE4583">
        <v>-15.4004999999999</v>
      </c>
      <c r="AF4583">
        <v>-0.943632402587396</v>
      </c>
      <c r="AG4583">
        <v>-1.104514340275</v>
      </c>
      <c r="AH4583">
        <v>15.3841860399277</v>
      </c>
      <c r="AI4583">
        <v>94.098852266494902</v>
      </c>
      <c r="AJ4583">
        <v>93.510000576267899</v>
      </c>
      <c r="AK4583">
        <v>15.452623536157001</v>
      </c>
    </row>
    <row r="4584" spans="1:37" x14ac:dyDescent="0.2">
      <c r="A4584" t="str">
        <f>"20200111155945673"</f>
        <v>20200111155945673</v>
      </c>
      <c r="B4584" t="str">
        <f>"1578729585664888"</f>
        <v>1578729585664888</v>
      </c>
      <c r="C4584" t="s">
        <v>37</v>
      </c>
      <c r="D4584">
        <v>5.2830009999999996</v>
      </c>
      <c r="E4584">
        <v>0.49292200000000003</v>
      </c>
      <c r="F4584" t="s">
        <v>39</v>
      </c>
      <c r="G4584">
        <v>-420.84660000000002</v>
      </c>
      <c r="H4584" s="1">
        <v>-1.317442E-6</v>
      </c>
      <c r="I4584">
        <v>52.134990000000002</v>
      </c>
      <c r="J4584">
        <v>-422.5145</v>
      </c>
      <c r="K4584">
        <v>1.1045119999999999</v>
      </c>
      <c r="L4584">
        <v>67.372339999999994</v>
      </c>
      <c r="M4584">
        <v>4.7103579999999999E-2</v>
      </c>
      <c r="N4584">
        <v>0</v>
      </c>
      <c r="O4584">
        <v>-0.99879799999999996</v>
      </c>
      <c r="P4584">
        <v>8.4985530000000004E-2</v>
      </c>
      <c r="Q4584">
        <v>1.7966200000000002E-2</v>
      </c>
      <c r="R4584">
        <v>-0.996220199999999</v>
      </c>
      <c r="S4584">
        <v>0.32443240000000001</v>
      </c>
      <c r="T4584">
        <v>-0.21354970000000001</v>
      </c>
      <c r="U4584">
        <v>-2.9876399999999999</v>
      </c>
      <c r="V4584">
        <v>-3.7959060000000003E-2</v>
      </c>
      <c r="W4584">
        <v>3.1514979999999998E-2</v>
      </c>
      <c r="X4584">
        <v>0.99878219999999995</v>
      </c>
      <c r="Y4584">
        <v>-6.0732500000000002E-2</v>
      </c>
      <c r="Z4584">
        <v>7.0904339999999996E-2</v>
      </c>
      <c r="AA4584">
        <v>0.99563250000000003</v>
      </c>
      <c r="AB4584">
        <v>21</v>
      </c>
      <c r="AC4584">
        <v>1.66789999999997</v>
      </c>
      <c r="AD4584">
        <v>-1.1045133174420001</v>
      </c>
      <c r="AE4584">
        <v>-15.237349999999999</v>
      </c>
      <c r="AF4584">
        <v>-0.94335054873563495</v>
      </c>
      <c r="AG4584">
        <v>-1.1045133174420001</v>
      </c>
      <c r="AH4584">
        <v>15.219979886771601</v>
      </c>
      <c r="AI4584">
        <v>94.142754082293195</v>
      </c>
      <c r="AJ4584">
        <v>93.546716274967807</v>
      </c>
      <c r="AK4584">
        <v>15.289134955252999</v>
      </c>
    </row>
    <row r="4585" spans="1:37" x14ac:dyDescent="0.2">
      <c r="A4585" t="str">
        <f>"20200111155945695"</f>
        <v>20200111155945695</v>
      </c>
      <c r="B4585" t="str">
        <f>"1578729585684409"</f>
        <v>1578729585684409</v>
      </c>
      <c r="C4585" t="s">
        <v>37</v>
      </c>
      <c r="D4585">
        <v>5.2942739999999997</v>
      </c>
      <c r="E4585">
        <v>0.49290529999999999</v>
      </c>
      <c r="F4585" t="s">
        <v>39</v>
      </c>
      <c r="G4585">
        <v>-420.84570000000002</v>
      </c>
      <c r="H4585" s="1">
        <v>-1.2688649999999999E-6</v>
      </c>
      <c r="I4585">
        <v>52.022320000000001</v>
      </c>
      <c r="J4585">
        <v>-422.50479999999999</v>
      </c>
      <c r="K4585">
        <v>1.1045149999999999</v>
      </c>
      <c r="L4585">
        <v>67.165989999999994</v>
      </c>
      <c r="M4585">
        <v>4.7072219999999998E-2</v>
      </c>
      <c r="N4585">
        <v>0</v>
      </c>
      <c r="O4585">
        <v>-0.99879959999999901</v>
      </c>
      <c r="P4585">
        <v>8.5429889999999994E-2</v>
      </c>
      <c r="Q4585">
        <v>1.8039679999999999E-2</v>
      </c>
      <c r="R4585">
        <v>-0.99618130000000005</v>
      </c>
      <c r="S4585">
        <v>0.32479859999999999</v>
      </c>
      <c r="T4585">
        <v>-0.21496959999999901</v>
      </c>
      <c r="U4585">
        <v>-2.987549</v>
      </c>
      <c r="V4585">
        <v>-3.8436169999999999E-2</v>
      </c>
      <c r="W4585">
        <v>3.1591710000000002E-2</v>
      </c>
      <c r="X4585">
        <v>0.99876149999999997</v>
      </c>
      <c r="Y4585">
        <v>-6.0884109999999998E-2</v>
      </c>
      <c r="Z4585">
        <v>7.1374919999999994E-2</v>
      </c>
      <c r="AA4585">
        <v>0.99558969999999902</v>
      </c>
      <c r="AB4585">
        <v>21</v>
      </c>
      <c r="AC4585">
        <v>1.6590999999999601</v>
      </c>
      <c r="AD4585">
        <v>-1.1045162688650001</v>
      </c>
      <c r="AE4585">
        <v>-15.14367</v>
      </c>
      <c r="AF4585">
        <v>-0.93941087536460399</v>
      </c>
      <c r="AG4585">
        <v>-1.1045162688650001</v>
      </c>
      <c r="AH4585">
        <v>15.125476951552599</v>
      </c>
      <c r="AI4585">
        <v>94.168525311536598</v>
      </c>
      <c r="AJ4585">
        <v>93.553952797804698</v>
      </c>
      <c r="AK4585">
        <v>15.1948182612655</v>
      </c>
    </row>
    <row r="4586" spans="1:37" x14ac:dyDescent="0.2">
      <c r="A4586" t="str">
        <f>"20200111155945717"</f>
        <v>20200111155945717</v>
      </c>
      <c r="B4586" t="str">
        <f>"1578729585714664"</f>
        <v>1578729585714664</v>
      </c>
      <c r="C4586" t="s">
        <v>37</v>
      </c>
      <c r="D4586">
        <v>5.5571510000000002</v>
      </c>
      <c r="E4586">
        <v>0.4929829</v>
      </c>
      <c r="F4586" t="s">
        <v>39</v>
      </c>
      <c r="G4586">
        <v>-420.84120000000001</v>
      </c>
      <c r="H4586" s="1">
        <v>-1.22946E-6</v>
      </c>
      <c r="I4586">
        <v>51.93327</v>
      </c>
      <c r="J4586">
        <v>-422.49489999999997</v>
      </c>
      <c r="K4586">
        <v>1.1045129999999901</v>
      </c>
      <c r="L4586">
        <v>66.954619999999906</v>
      </c>
      <c r="M4586">
        <v>4.7032930000000001E-2</v>
      </c>
      <c r="N4586">
        <v>0</v>
      </c>
      <c r="O4586">
        <v>-0.9988013</v>
      </c>
      <c r="P4586">
        <v>8.5514610000000005E-2</v>
      </c>
      <c r="Q4586">
        <v>1.8021479999999999E-2</v>
      </c>
      <c r="R4586">
        <v>-0.99617409999999995</v>
      </c>
      <c r="S4586">
        <v>0.32626339999999998</v>
      </c>
      <c r="T4586">
        <v>-0.216618899999999</v>
      </c>
      <c r="U4586">
        <v>-2.987457</v>
      </c>
      <c r="V4586">
        <v>-3.8559530000000002E-2</v>
      </c>
      <c r="W4586">
        <v>3.1575979999999997E-2</v>
      </c>
      <c r="X4586">
        <v>0.99875729999999996</v>
      </c>
      <c r="Y4586">
        <v>-6.1404840000000002E-2</v>
      </c>
      <c r="Z4586">
        <v>7.1919049999999998E-2</v>
      </c>
      <c r="AA4586">
        <v>0.99551849999999997</v>
      </c>
      <c r="AB4586">
        <v>21</v>
      </c>
      <c r="AC4586">
        <v>1.65369999999995</v>
      </c>
      <c r="AD4586">
        <v>-1.1045142294600001</v>
      </c>
      <c r="AE4586">
        <v>-15.021349999999901</v>
      </c>
      <c r="AF4586">
        <v>-0.94028364909606199</v>
      </c>
      <c r="AG4586">
        <v>-1.1045142294600001</v>
      </c>
      <c r="AH4586">
        <v>15.002368310618101</v>
      </c>
      <c r="AI4586">
        <v>94.202454436654904</v>
      </c>
      <c r="AJ4586">
        <v>93.586360873345996</v>
      </c>
      <c r="AK4586">
        <v>15.072330276081299</v>
      </c>
    </row>
    <row r="4587" spans="1:37" x14ac:dyDescent="0.2">
      <c r="A4587" t="str">
        <f>"20200111155945918"</f>
        <v>20200111155945918</v>
      </c>
      <c r="B4587" t="str">
        <f>"1578729585914745"</f>
        <v>1578729585914745</v>
      </c>
      <c r="C4587" t="s">
        <v>37</v>
      </c>
      <c r="D4587">
        <v>5.5001850000000001</v>
      </c>
      <c r="E4587">
        <v>0.63418629999999998</v>
      </c>
      <c r="F4587" t="s">
        <v>39</v>
      </c>
      <c r="G4587">
        <v>-420.851</v>
      </c>
      <c r="H4587" s="1">
        <v>-1.212438E-6</v>
      </c>
      <c r="I4587">
        <v>51.887540000000001</v>
      </c>
      <c r="J4587">
        <v>-422.40710000000001</v>
      </c>
      <c r="K4587">
        <v>1.1044849999999999</v>
      </c>
      <c r="L4587">
        <v>65.063050000000004</v>
      </c>
      <c r="M4587">
        <v>4.6238670000000003E-2</v>
      </c>
      <c r="N4587">
        <v>0</v>
      </c>
      <c r="O4587">
        <v>-0.99883840000000002</v>
      </c>
      <c r="P4587">
        <v>8.2942699999999994E-2</v>
      </c>
      <c r="Q4587">
        <v>1.883193E-2</v>
      </c>
      <c r="R4587">
        <v>-0.9963767</v>
      </c>
      <c r="S4587">
        <v>0.32595829999999998</v>
      </c>
      <c r="T4587">
        <v>-0.21900429999999901</v>
      </c>
      <c r="U4587">
        <v>-2.9875180000000001</v>
      </c>
      <c r="V4587">
        <v>-3.6772119999999998E-2</v>
      </c>
      <c r="W4587">
        <v>3.239239E-2</v>
      </c>
      <c r="X4587">
        <v>0.99879850000000003</v>
      </c>
      <c r="Y4587">
        <v>-6.2089619999999998E-2</v>
      </c>
      <c r="Z4587">
        <v>7.2708259999999997E-2</v>
      </c>
      <c r="AA4587">
        <v>0.99541869999999999</v>
      </c>
      <c r="AB4587">
        <v>21</v>
      </c>
      <c r="AC4587">
        <v>1.55610000000001</v>
      </c>
      <c r="AD4587">
        <v>-1.1044862124379999</v>
      </c>
      <c r="AE4587">
        <v>-13.175509999999999</v>
      </c>
      <c r="AF4587">
        <v>-0.93865582619845001</v>
      </c>
      <c r="AG4587">
        <v>-1.1044862124379999</v>
      </c>
      <c r="AH4587">
        <v>13.142290055125301</v>
      </c>
      <c r="AI4587">
        <v>94.7917352705946</v>
      </c>
      <c r="AJ4587">
        <v>94.085273344849</v>
      </c>
      <c r="AK4587">
        <v>13.221979898886801</v>
      </c>
    </row>
    <row r="4588" spans="1:37" x14ac:dyDescent="0.2">
      <c r="A4588" t="str">
        <f>"20200111155945942"</f>
        <v>20200111155945942</v>
      </c>
      <c r="B4588" t="str">
        <f>"1578729585935241"</f>
        <v>1578729585935241</v>
      </c>
      <c r="C4588" t="s">
        <v>37</v>
      </c>
      <c r="D4588">
        <v>5.526065</v>
      </c>
      <c r="E4588">
        <v>0.63456579999999996</v>
      </c>
      <c r="F4588" t="s">
        <v>39</v>
      </c>
      <c r="G4588">
        <v>-426.20310000000001</v>
      </c>
      <c r="H4588" s="1">
        <v>-2.0505589999999998E-6</v>
      </c>
      <c r="I4588">
        <v>50.521700000000003</v>
      </c>
      <c r="J4588">
        <v>-422.39699999999999</v>
      </c>
      <c r="K4588">
        <v>1.104482</v>
      </c>
      <c r="L4588">
        <v>64.841489999999993</v>
      </c>
      <c r="M4588">
        <v>4.6120109999999999E-2</v>
      </c>
      <c r="N4588">
        <v>0</v>
      </c>
      <c r="O4588">
        <v>-0.99884390000000001</v>
      </c>
      <c r="P4588">
        <v>8.2479769999999994E-2</v>
      </c>
      <c r="Q4588">
        <v>1.9061950000000001E-2</v>
      </c>
      <c r="R4588">
        <v>-0.99641080000000004</v>
      </c>
      <c r="S4588">
        <v>-0.80462650000000002</v>
      </c>
      <c r="T4588">
        <v>-0.23411850000000001</v>
      </c>
      <c r="U4588">
        <v>-3.0823360000000002</v>
      </c>
      <c r="V4588">
        <v>-3.6426559999999997E-2</v>
      </c>
      <c r="W4588">
        <v>3.2621150000000002E-2</v>
      </c>
      <c r="X4588">
        <v>0.99880380000000002</v>
      </c>
      <c r="Y4588">
        <v>0.29626839999999999</v>
      </c>
      <c r="Z4588">
        <v>7.2703660000000003E-2</v>
      </c>
      <c r="AA4588">
        <v>0.952333599999999</v>
      </c>
      <c r="AB4588">
        <v>21</v>
      </c>
      <c r="AC4588">
        <v>-3.80610000000001</v>
      </c>
      <c r="AD4588">
        <v>-1.1044840505589999</v>
      </c>
      <c r="AE4588">
        <v>-14.319789999999999</v>
      </c>
      <c r="AF4588">
        <v>4.4378811848213298</v>
      </c>
      <c r="AG4588">
        <v>-1.1044840505589999</v>
      </c>
      <c r="AH4588">
        <v>14.0509219837319</v>
      </c>
      <c r="AI4588">
        <v>94.286645745884897</v>
      </c>
      <c r="AJ4588">
        <v>72.471658389427205</v>
      </c>
      <c r="AK4588">
        <v>14.7764367498207</v>
      </c>
    </row>
    <row r="4589" spans="1:37" x14ac:dyDescent="0.2">
      <c r="A4589" t="str">
        <f>"20200111155945963"</f>
        <v>20200111155945963</v>
      </c>
      <c r="B4589" t="str">
        <f>"1578729585954760"</f>
        <v>1578729585954760</v>
      </c>
      <c r="C4589" t="s">
        <v>37</v>
      </c>
      <c r="D4589">
        <v>5.4781279999999999</v>
      </c>
      <c r="E4589">
        <v>0.63554169999999999</v>
      </c>
      <c r="F4589" t="s">
        <v>39</v>
      </c>
      <c r="G4589">
        <v>-426.3</v>
      </c>
      <c r="H4589" s="1">
        <v>-1.846953E-6</v>
      </c>
      <c r="I4589">
        <v>49.986979999999903</v>
      </c>
      <c r="J4589">
        <v>-422.3877</v>
      </c>
      <c r="K4589">
        <v>1.1044860000000001</v>
      </c>
      <c r="L4589">
        <v>64.637180000000001</v>
      </c>
      <c r="M4589">
        <v>4.601272E-2</v>
      </c>
      <c r="N4589">
        <v>0</v>
      </c>
      <c r="O4589">
        <v>-0.99884869999999903</v>
      </c>
      <c r="P4589">
        <v>8.2439180000000001E-2</v>
      </c>
      <c r="Q4589">
        <v>1.9147870000000001E-2</v>
      </c>
      <c r="R4589">
        <v>-0.99641229999999903</v>
      </c>
      <c r="S4589">
        <v>-0.80984500000000004</v>
      </c>
      <c r="T4589">
        <v>-0.2291754</v>
      </c>
      <c r="U4589">
        <v>-3.0822449999999999</v>
      </c>
      <c r="V4589">
        <v>-3.6493610000000003E-2</v>
      </c>
      <c r="W4589">
        <v>3.2705980000000003E-2</v>
      </c>
      <c r="X4589">
        <v>0.99879850000000003</v>
      </c>
      <c r="Y4589">
        <v>0.29770979999999903</v>
      </c>
      <c r="Z4589">
        <v>7.114819E-2</v>
      </c>
      <c r="AA4589">
        <v>0.95200149999999994</v>
      </c>
      <c r="AB4589">
        <v>21</v>
      </c>
      <c r="AC4589">
        <v>-3.9123000000000099</v>
      </c>
      <c r="AD4589">
        <v>-1.104487846953</v>
      </c>
      <c r="AE4589">
        <v>-14.6502</v>
      </c>
      <c r="AF4589">
        <v>4.5581304614871403</v>
      </c>
      <c r="AG4589">
        <v>-1.104487846953</v>
      </c>
      <c r="AH4589">
        <v>14.378365374083801</v>
      </c>
      <c r="AI4589">
        <v>94.187985371182094</v>
      </c>
      <c r="AJ4589">
        <v>72.410701859678795</v>
      </c>
      <c r="AK4589">
        <v>15.123949138325401</v>
      </c>
    </row>
    <row r="4590" spans="1:37" x14ac:dyDescent="0.2">
      <c r="A4590" t="str">
        <f>"20200111155945985"</f>
        <v>20200111155945985</v>
      </c>
      <c r="B4590" t="str">
        <f>"1578729585975257"</f>
        <v>1578729585975257</v>
      </c>
      <c r="C4590" t="s">
        <v>37</v>
      </c>
      <c r="D4590">
        <v>5.5203480000000003</v>
      </c>
      <c r="E4590">
        <v>0.63630259999999905</v>
      </c>
      <c r="F4590" t="s">
        <v>39</v>
      </c>
      <c r="G4590">
        <v>-426.44630000000001</v>
      </c>
      <c r="H4590" s="1">
        <v>-5.348597E-6</v>
      </c>
      <c r="I4590">
        <v>49.343739999999997</v>
      </c>
      <c r="J4590">
        <v>-422.37849999999997</v>
      </c>
      <c r="K4590">
        <v>1.1044860000000001</v>
      </c>
      <c r="L4590">
        <v>64.434690000000003</v>
      </c>
      <c r="M4590">
        <v>4.5907990000000003E-2</v>
      </c>
      <c r="N4590">
        <v>0</v>
      </c>
      <c r="O4590">
        <v>-0.99885369999999996</v>
      </c>
      <c r="P4590">
        <v>8.2758639999999994E-2</v>
      </c>
      <c r="Q4590">
        <v>1.9121160000000002E-2</v>
      </c>
      <c r="R4590">
        <v>-0.99638640000000001</v>
      </c>
      <c r="S4590">
        <v>-0.81811519999999904</v>
      </c>
      <c r="T4590">
        <v>-0.22263720000000001</v>
      </c>
      <c r="U4590">
        <v>-3.0827640000000001</v>
      </c>
      <c r="V4590">
        <v>-3.6918470000000002E-2</v>
      </c>
      <c r="W4590">
        <v>3.2677390000000001E-2</v>
      </c>
      <c r="X4590">
        <v>0.99878389999999995</v>
      </c>
      <c r="Y4590">
        <v>0.2999947</v>
      </c>
      <c r="Z4590">
        <v>6.9069560000000002E-2</v>
      </c>
      <c r="AA4590">
        <v>0.95143709999999904</v>
      </c>
      <c r="AB4590">
        <v>21</v>
      </c>
      <c r="AC4590">
        <v>-4.0678000000000303</v>
      </c>
      <c r="AD4590">
        <v>-1.104491348597</v>
      </c>
      <c r="AE4590">
        <v>-15.090949999999999</v>
      </c>
      <c r="AF4590">
        <v>4.7327349850631002</v>
      </c>
      <c r="AG4590">
        <v>-1.104491348597</v>
      </c>
      <c r="AH4590">
        <v>14.814295152762</v>
      </c>
      <c r="AI4590">
        <v>94.062304275964806</v>
      </c>
      <c r="AJ4590">
        <v>72.282836150880399</v>
      </c>
      <c r="AK4590">
        <v>15.5910879174968</v>
      </c>
    </row>
    <row r="4591" spans="1:37" x14ac:dyDescent="0.2">
      <c r="A4591" t="str">
        <f>"20200111155946008"</f>
        <v>20200111155946008</v>
      </c>
      <c r="B4591" t="str">
        <f>"1578729586004537"</f>
        <v>1578729586004537</v>
      </c>
      <c r="C4591" t="s">
        <v>37</v>
      </c>
      <c r="D4591">
        <v>5.543965</v>
      </c>
      <c r="E4591">
        <v>0.63623609999999997</v>
      </c>
      <c r="F4591" t="s">
        <v>39</v>
      </c>
      <c r="G4591">
        <v>-426.56819999999999</v>
      </c>
      <c r="H4591" s="1">
        <v>-5.1631499999999999E-6</v>
      </c>
      <c r="I4591">
        <v>48.735250000000001</v>
      </c>
      <c r="J4591">
        <v>-422.36900000000003</v>
      </c>
      <c r="K4591">
        <v>1.104487</v>
      </c>
      <c r="L4591">
        <v>64.225740000000002</v>
      </c>
      <c r="M4591">
        <v>4.5802309999999999E-2</v>
      </c>
      <c r="N4591">
        <v>0</v>
      </c>
      <c r="O4591">
        <v>-0.99885869999999999</v>
      </c>
      <c r="P4591">
        <v>8.3959480000000003E-2</v>
      </c>
      <c r="Q4591">
        <v>1.8774430000000002E-2</v>
      </c>
      <c r="R4591">
        <v>-0.99629279999999998</v>
      </c>
      <c r="S4591">
        <v>-0.82287600000000005</v>
      </c>
      <c r="T4591">
        <v>-0.21692449999999999</v>
      </c>
      <c r="U4591">
        <v>-3.083405</v>
      </c>
      <c r="V4591">
        <v>-3.8228110000000003E-2</v>
      </c>
      <c r="W4591">
        <v>3.2328999999999997E-2</v>
      </c>
      <c r="X4591">
        <v>0.99874589999999996</v>
      </c>
      <c r="Y4591">
        <v>0.30124829999999903</v>
      </c>
      <c r="Z4591">
        <v>6.7266229999999996E-2</v>
      </c>
      <c r="AA4591">
        <v>0.95117019999999997</v>
      </c>
      <c r="AB4591">
        <v>21</v>
      </c>
      <c r="AC4591">
        <v>-4.1991999999999603</v>
      </c>
      <c r="AD4591">
        <v>-1.10449216315</v>
      </c>
      <c r="AE4591">
        <v>-15.490489999999999</v>
      </c>
      <c r="AF4591">
        <v>4.8812406762548397</v>
      </c>
      <c r="AG4591">
        <v>-1.10449216315</v>
      </c>
      <c r="AH4591">
        <v>15.2098477220769</v>
      </c>
      <c r="AI4591">
        <v>93.955334538811499</v>
      </c>
      <c r="AJ4591">
        <v>72.207196325312196</v>
      </c>
      <c r="AK4591">
        <v>16.012054246933801</v>
      </c>
    </row>
    <row r="4592" spans="1:37" x14ac:dyDescent="0.2">
      <c r="A4592" t="str">
        <f>"20200111155946030"</f>
        <v>20200111155946030</v>
      </c>
      <c r="B4592" t="str">
        <f>"1578729586025032"</f>
        <v>1578729586025032</v>
      </c>
      <c r="C4592" t="s">
        <v>37</v>
      </c>
      <c r="D4592">
        <v>5.5487099999999998</v>
      </c>
      <c r="E4592">
        <v>0.63585639999999999</v>
      </c>
      <c r="F4592" t="s">
        <v>39</v>
      </c>
      <c r="G4592">
        <v>-426.55450000000002</v>
      </c>
      <c r="H4592" s="1">
        <v>-5.0686110000000001E-6</v>
      </c>
      <c r="I4592">
        <v>48.464579999999998</v>
      </c>
      <c r="J4592">
        <v>-422.35930000000002</v>
      </c>
      <c r="K4592">
        <v>1.1044860000000001</v>
      </c>
      <c r="L4592">
        <v>64.012819999999905</v>
      </c>
      <c r="M4592">
        <v>4.5695510000000002E-2</v>
      </c>
      <c r="N4592">
        <v>0</v>
      </c>
      <c r="O4592">
        <v>-0.99886369999999902</v>
      </c>
      <c r="P4592">
        <v>8.4942770000000001E-2</v>
      </c>
      <c r="Q4592">
        <v>1.912968E-2</v>
      </c>
      <c r="R4592">
        <v>-0.9962027</v>
      </c>
      <c r="S4592">
        <v>-0.81906129999999999</v>
      </c>
      <c r="T4592">
        <v>-0.2161351</v>
      </c>
      <c r="U4592">
        <v>-3.0842589999999999</v>
      </c>
      <c r="V4592">
        <v>-3.9321549999999997E-2</v>
      </c>
      <c r="W4592">
        <v>3.2681670000000003E-2</v>
      </c>
      <c r="X4592">
        <v>0.99869200000000002</v>
      </c>
      <c r="Y4592">
        <v>0.29998590000000003</v>
      </c>
      <c r="Z4592">
        <v>6.7029359999999996E-2</v>
      </c>
      <c r="AA4592">
        <v>0.95158580000000004</v>
      </c>
      <c r="AB4592">
        <v>21</v>
      </c>
      <c r="AC4592">
        <v>-4.1951999999999998</v>
      </c>
      <c r="AD4592">
        <v>-1.1044910686110001</v>
      </c>
      <c r="AE4592">
        <v>-15.5482399999999</v>
      </c>
      <c r="AF4592">
        <v>4.8784200364208798</v>
      </c>
      <c r="AG4592">
        <v>-1.1044910686110001</v>
      </c>
      <c r="AH4592">
        <v>15.2684574847253</v>
      </c>
      <c r="AI4592">
        <v>93.941811951719998</v>
      </c>
      <c r="AJ4592">
        <v>72.280815490183997</v>
      </c>
      <c r="AK4592">
        <v>16.066881356855099</v>
      </c>
    </row>
    <row r="4593" spans="1:37" x14ac:dyDescent="0.2">
      <c r="A4593" t="str">
        <f>"20200111155946053"</f>
        <v>20200111155946053</v>
      </c>
      <c r="B4593" t="str">
        <f>"1578729586044552"</f>
        <v>1578729586044552</v>
      </c>
      <c r="C4593" t="s">
        <v>37</v>
      </c>
      <c r="D4593">
        <v>5.6931010000000004</v>
      </c>
      <c r="E4593">
        <v>0.63513900000000001</v>
      </c>
      <c r="F4593" t="s">
        <v>39</v>
      </c>
      <c r="G4593">
        <v>-426.50889999999998</v>
      </c>
      <c r="H4593" s="1">
        <v>-4.9964960000000002E-6</v>
      </c>
      <c r="I4593">
        <v>48.276490000000003</v>
      </c>
      <c r="J4593">
        <v>-422.35</v>
      </c>
      <c r="K4593">
        <v>1.1044929999999999</v>
      </c>
      <c r="L4593">
        <v>63.805759999999999</v>
      </c>
      <c r="M4593">
        <v>4.5592149999999998E-2</v>
      </c>
      <c r="N4593">
        <v>0</v>
      </c>
      <c r="O4593">
        <v>-0.99886849999999905</v>
      </c>
      <c r="P4593">
        <v>8.611771E-2</v>
      </c>
      <c r="Q4593">
        <v>1.933466E-2</v>
      </c>
      <c r="R4593">
        <v>-0.99609789999999998</v>
      </c>
      <c r="S4593">
        <v>-0.81347659999999999</v>
      </c>
      <c r="T4593">
        <v>-0.2165252</v>
      </c>
      <c r="U4593">
        <v>-3.0849609999999998</v>
      </c>
      <c r="V4593">
        <v>-4.0603689999999998E-2</v>
      </c>
      <c r="W4593">
        <v>3.2884690000000001E-2</v>
      </c>
      <c r="X4593">
        <v>0.99863400000000002</v>
      </c>
      <c r="Y4593">
        <v>0.29822070000000001</v>
      </c>
      <c r="Z4593">
        <v>6.7169809999999996E-2</v>
      </c>
      <c r="AA4593">
        <v>0.95213060000000005</v>
      </c>
      <c r="AB4593">
        <v>21</v>
      </c>
      <c r="AC4593">
        <v>-4.1588999999999601</v>
      </c>
      <c r="AD4593">
        <v>-1.104497996496</v>
      </c>
      <c r="AE4593">
        <v>-15.529269999999901</v>
      </c>
      <c r="AF4593">
        <v>4.8398080719035503</v>
      </c>
      <c r="AG4593">
        <v>-1.104497996496</v>
      </c>
      <c r="AH4593">
        <v>15.251500522658899</v>
      </c>
      <c r="AI4593">
        <v>93.948681369256306</v>
      </c>
      <c r="AJ4593">
        <v>72.394036808799598</v>
      </c>
      <c r="AK4593">
        <v>16.039074979243299</v>
      </c>
    </row>
    <row r="4594" spans="1:37" x14ac:dyDescent="0.2">
      <c r="A4594" t="str">
        <f>"20200111155946074"</f>
        <v>20200111155946074</v>
      </c>
      <c r="B4594" t="str">
        <f>"1578729586065048"</f>
        <v>1578729586065048</v>
      </c>
      <c r="C4594" t="s">
        <v>37</v>
      </c>
      <c r="D4594">
        <v>5.512232</v>
      </c>
      <c r="E4594">
        <v>0.63522389999999995</v>
      </c>
      <c r="F4594" t="s">
        <v>39</v>
      </c>
      <c r="G4594">
        <v>-426.38990000000001</v>
      </c>
      <c r="H4594" s="1">
        <v>-4.9812130000000004E-6</v>
      </c>
      <c r="I4594">
        <v>48.293590000000002</v>
      </c>
      <c r="J4594">
        <v>-422.34089999999998</v>
      </c>
      <c r="K4594">
        <v>1.104498</v>
      </c>
      <c r="L4594">
        <v>63.603879999999997</v>
      </c>
      <c r="M4594">
        <v>4.5491360000000002E-2</v>
      </c>
      <c r="N4594">
        <v>0</v>
      </c>
      <c r="O4594">
        <v>-0.99887280000000001</v>
      </c>
      <c r="P4594">
        <v>8.6886820000000003E-2</v>
      </c>
      <c r="Q4594">
        <v>2.0543039999999999E-2</v>
      </c>
      <c r="R4594">
        <v>-0.99600650000000002</v>
      </c>
      <c r="S4594">
        <v>-0.80355829999999995</v>
      </c>
      <c r="T4594">
        <v>-0.21969250000000001</v>
      </c>
      <c r="U4594">
        <v>-3.08548</v>
      </c>
      <c r="V4594">
        <v>-4.147675E-2</v>
      </c>
      <c r="W4594">
        <v>3.4090410000000002E-2</v>
      </c>
      <c r="X4594">
        <v>0.99855769999999899</v>
      </c>
      <c r="Y4594">
        <v>0.29520190000000002</v>
      </c>
      <c r="Z4594">
        <v>6.8196980000000004E-2</v>
      </c>
      <c r="AA4594">
        <v>0.95299789999999995</v>
      </c>
      <c r="AB4594">
        <v>21</v>
      </c>
      <c r="AC4594">
        <v>-4.0490000000000297</v>
      </c>
      <c r="AD4594">
        <v>-1.1045029812130001</v>
      </c>
      <c r="AE4594">
        <v>-15.31029</v>
      </c>
      <c r="AF4594">
        <v>4.7184062582502104</v>
      </c>
      <c r="AG4594">
        <v>-1.1045029812130001</v>
      </c>
      <c r="AH4594">
        <v>15.0370827149278</v>
      </c>
      <c r="AI4594">
        <v>94.008889931697695</v>
      </c>
      <c r="AJ4594">
        <v>72.578941567792398</v>
      </c>
      <c r="AK4594">
        <v>15.7986436452305</v>
      </c>
    </row>
    <row r="4595" spans="1:37" x14ac:dyDescent="0.2">
      <c r="A4595" t="str">
        <f>"20200111155946097"</f>
        <v>20200111155946097</v>
      </c>
      <c r="B4595" t="str">
        <f>"1578729586095305"</f>
        <v>1578729586095305</v>
      </c>
      <c r="C4595" t="s">
        <v>37</v>
      </c>
      <c r="D4595">
        <v>5.4425429999999997</v>
      </c>
      <c r="E4595">
        <v>0.63513319999999995</v>
      </c>
      <c r="F4595" t="s">
        <v>39</v>
      </c>
      <c r="G4595">
        <v>-426.4624</v>
      </c>
      <c r="H4595" s="1">
        <v>-4.8094360000000002E-6</v>
      </c>
      <c r="I4595">
        <v>47.750990000000002</v>
      </c>
      <c r="J4595">
        <v>-422.33179999999999</v>
      </c>
      <c r="K4595">
        <v>1.1045020000000001</v>
      </c>
      <c r="L4595">
        <v>63.399630000000002</v>
      </c>
      <c r="M4595">
        <v>4.5389270000000002E-2</v>
      </c>
      <c r="N4595">
        <v>0</v>
      </c>
      <c r="O4595">
        <v>-0.99887749999999997</v>
      </c>
      <c r="P4595">
        <v>8.748947E-2</v>
      </c>
      <c r="Q4595">
        <v>2.162671E-2</v>
      </c>
      <c r="R4595">
        <v>-0.99593099999999901</v>
      </c>
      <c r="S4595">
        <v>-0.80242919999999995</v>
      </c>
      <c r="T4595">
        <v>-0.21503949999999999</v>
      </c>
      <c r="U4595">
        <v>-3.0864560000000001</v>
      </c>
      <c r="V4595">
        <v>-4.2184140000000002E-2</v>
      </c>
      <c r="W4595">
        <v>3.5171710000000002E-2</v>
      </c>
      <c r="X4595">
        <v>0.99849059999999901</v>
      </c>
      <c r="Y4595">
        <v>0.29472890000000002</v>
      </c>
      <c r="Z4595">
        <v>6.6747580000000001E-2</v>
      </c>
      <c r="AA4595">
        <v>0.95324690000000001</v>
      </c>
      <c r="AB4595">
        <v>21</v>
      </c>
      <c r="AC4595">
        <v>-4.13060000000001</v>
      </c>
      <c r="AD4595">
        <v>-1.104506809436</v>
      </c>
      <c r="AE4595">
        <v>-15.64864</v>
      </c>
      <c r="AF4595">
        <v>4.8142662967055996</v>
      </c>
      <c r="AG4595">
        <v>-1.104506809436</v>
      </c>
      <c r="AH4595">
        <v>15.3734088330167</v>
      </c>
      <c r="AI4595">
        <v>93.922179326884802</v>
      </c>
      <c r="AJ4595">
        <v>72.611769957988997</v>
      </c>
      <c r="AK4595">
        <v>16.147408287857299</v>
      </c>
    </row>
    <row r="4596" spans="1:37" x14ac:dyDescent="0.2">
      <c r="A4596" t="str">
        <f>"20200111155946120"</f>
        <v>20200111155946120</v>
      </c>
      <c r="B4596" t="str">
        <f>"1578729586114825"</f>
        <v>1578729586114825</v>
      </c>
      <c r="C4596" t="s">
        <v>37</v>
      </c>
      <c r="D4596">
        <v>5.5175900000000002</v>
      </c>
      <c r="E4596">
        <v>0.63515080000000002</v>
      </c>
      <c r="F4596" t="s">
        <v>39</v>
      </c>
      <c r="G4596">
        <v>-426.49149999999997</v>
      </c>
      <c r="H4596" s="1">
        <v>-4.6739189999999997E-6</v>
      </c>
      <c r="I4596">
        <v>47.337620000000001</v>
      </c>
      <c r="J4596">
        <v>-422.32199999999898</v>
      </c>
      <c r="K4596">
        <v>1.1045020000000001</v>
      </c>
      <c r="L4596">
        <v>63.181240000000003</v>
      </c>
      <c r="M4596">
        <v>4.5279970000000003E-2</v>
      </c>
      <c r="N4596">
        <v>0</v>
      </c>
      <c r="O4596">
        <v>-0.99888250000000001</v>
      </c>
      <c r="P4596">
        <v>8.7216799999999997E-2</v>
      </c>
      <c r="Q4596">
        <v>2.0932059999999999E-2</v>
      </c>
      <c r="R4596">
        <v>-0.99596969999999996</v>
      </c>
      <c r="S4596">
        <v>-0.79949950000000003</v>
      </c>
      <c r="T4596">
        <v>-0.21228469999999999</v>
      </c>
      <c r="U4596">
        <v>-3.087097</v>
      </c>
      <c r="V4596">
        <v>-4.2019470000000003E-2</v>
      </c>
      <c r="W4596">
        <v>3.4475470000000001E-2</v>
      </c>
      <c r="X4596">
        <v>0.99852180000000001</v>
      </c>
      <c r="Y4596">
        <v>0.29374270000000002</v>
      </c>
      <c r="Z4596">
        <v>6.5901699999999994E-2</v>
      </c>
      <c r="AA4596">
        <v>0.95361010000000002</v>
      </c>
      <c r="AB4596">
        <v>21</v>
      </c>
      <c r="AC4596">
        <v>-4.1695000000000197</v>
      </c>
      <c r="AD4596">
        <v>-1.1045066739189999</v>
      </c>
      <c r="AE4596">
        <v>-15.84362</v>
      </c>
      <c r="AF4596">
        <v>4.8605951459050498</v>
      </c>
      <c r="AG4596">
        <v>-1.1045066739189999</v>
      </c>
      <c r="AH4596">
        <v>15.5677970130309</v>
      </c>
      <c r="AI4596">
        <v>93.874382136923501</v>
      </c>
      <c r="AJ4596">
        <v>72.660533154044202</v>
      </c>
      <c r="AK4596">
        <v>16.346303068402399</v>
      </c>
    </row>
    <row r="4597" spans="1:37" x14ac:dyDescent="0.2">
      <c r="A4597" t="str">
        <f>"20200111155946143"</f>
        <v>20200111155946143</v>
      </c>
      <c r="B4597" t="str">
        <f>"1578729586135320"</f>
        <v>1578729586135320</v>
      </c>
      <c r="C4597" t="s">
        <v>37</v>
      </c>
      <c r="D4597">
        <v>5.4071809999999996</v>
      </c>
      <c r="E4597">
        <v>0.614479</v>
      </c>
      <c r="F4597" t="s">
        <v>39</v>
      </c>
      <c r="G4597">
        <v>-426.46409999999997</v>
      </c>
      <c r="H4597" s="1">
        <v>-4.6238300000000001E-6</v>
      </c>
      <c r="I4597">
        <v>47.204740000000001</v>
      </c>
      <c r="J4597">
        <v>-422.31290000000001</v>
      </c>
      <c r="K4597">
        <v>1.104506</v>
      </c>
      <c r="L4597">
        <v>62.978700000000003</v>
      </c>
      <c r="M4597">
        <v>4.5178580000000003E-2</v>
      </c>
      <c r="N4597">
        <v>0</v>
      </c>
      <c r="O4597">
        <v>-0.99888729999999903</v>
      </c>
      <c r="P4597">
        <v>8.6234950000000005E-2</v>
      </c>
      <c r="Q4597">
        <v>2.0648949999999999E-2</v>
      </c>
      <c r="R4597">
        <v>-0.99606130000000004</v>
      </c>
      <c r="S4597">
        <v>-0.80026249999999999</v>
      </c>
      <c r="T4597">
        <v>-0.21339330000000001</v>
      </c>
      <c r="U4597">
        <v>-3.0867</v>
      </c>
      <c r="V4597">
        <v>-4.1135680000000001E-2</v>
      </c>
      <c r="W4597">
        <v>3.4190489999999997E-2</v>
      </c>
      <c r="X4597">
        <v>0.99856840000000002</v>
      </c>
      <c r="Y4597">
        <v>0.2938905</v>
      </c>
      <c r="Z4597">
        <v>6.6249409999999995E-2</v>
      </c>
      <c r="AA4597">
        <v>0.95354039999999995</v>
      </c>
      <c r="AB4597">
        <v>21</v>
      </c>
      <c r="AC4597">
        <v>-4.1511999999999603</v>
      </c>
      <c r="AD4597">
        <v>-1.10451062382999</v>
      </c>
      <c r="AE4597">
        <v>-15.773960000000001</v>
      </c>
      <c r="AF4597">
        <v>4.8374891300493896</v>
      </c>
      <c r="AG4597">
        <v>-1.10451062382999</v>
      </c>
      <c r="AH4597">
        <v>15.4992182619405</v>
      </c>
      <c r="AI4597">
        <v>93.891606906034298</v>
      </c>
      <c r="AJ4597">
        <v>72.666240238764601</v>
      </c>
      <c r="AK4597">
        <v>16.274120914285099</v>
      </c>
    </row>
    <row r="4598" spans="1:37" x14ac:dyDescent="0.2">
      <c r="A4598" t="str">
        <f>"20200111155946208"</f>
        <v>20200111155946208</v>
      </c>
      <c r="B4598" t="str">
        <f>"1578729586204617"</f>
        <v>1578729586204617</v>
      </c>
      <c r="C4598" t="s">
        <v>37</v>
      </c>
      <c r="D4598">
        <v>5.3203930000000001</v>
      </c>
      <c r="E4598">
        <v>0.60948930000000001</v>
      </c>
      <c r="F4598" t="s">
        <v>39</v>
      </c>
      <c r="G4598">
        <v>-425.52</v>
      </c>
      <c r="H4598" s="1">
        <v>-4.5745970000000003E-6</v>
      </c>
      <c r="I4598">
        <v>47.55218</v>
      </c>
      <c r="J4598">
        <v>-422.28579999999999</v>
      </c>
      <c r="K4598">
        <v>1.104509</v>
      </c>
      <c r="L4598">
        <v>62.370419999999903</v>
      </c>
      <c r="M4598">
        <v>4.487269E-2</v>
      </c>
      <c r="N4598">
        <v>0</v>
      </c>
      <c r="O4598">
        <v>-0.99890089999999998</v>
      </c>
      <c r="P4598">
        <v>8.3469779999999993E-2</v>
      </c>
      <c r="Q4598">
        <v>2.118716E-2</v>
      </c>
      <c r="R4598">
        <v>-0.99628499999999998</v>
      </c>
      <c r="S4598">
        <v>-0.63858029999999999</v>
      </c>
      <c r="T4598">
        <v>-0.21992919999999999</v>
      </c>
      <c r="U4598">
        <v>-3.0717159999999999</v>
      </c>
      <c r="V4598">
        <v>-3.866932E-2</v>
      </c>
      <c r="W4598">
        <v>3.4723289999999997E-2</v>
      </c>
      <c r="X4598">
        <v>0.998648599999999</v>
      </c>
      <c r="Y4598">
        <v>0.2467771</v>
      </c>
      <c r="Z4598">
        <v>6.9463730000000001E-2</v>
      </c>
      <c r="AA4598">
        <v>0.96657939999999998</v>
      </c>
      <c r="AB4598">
        <v>21</v>
      </c>
      <c r="AC4598">
        <v>-3.23419999999998</v>
      </c>
      <c r="AD4598">
        <v>-1.1045135745970001</v>
      </c>
      <c r="AE4598">
        <v>-14.8182399999999</v>
      </c>
      <c r="AF4598">
        <v>3.8753849685356698</v>
      </c>
      <c r="AG4598">
        <v>-1.1045135745970001</v>
      </c>
      <c r="AH4598">
        <v>14.580845304874099</v>
      </c>
      <c r="AI4598">
        <v>94.1871133805178</v>
      </c>
      <c r="AJ4598">
        <v>75.115700149175495</v>
      </c>
      <c r="AK4598">
        <v>15.127445544291</v>
      </c>
    </row>
    <row r="4599" spans="1:37" x14ac:dyDescent="0.2">
      <c r="A4599" t="str">
        <f>"20200111155946231"</f>
        <v>20200111155946231</v>
      </c>
      <c r="B4599" t="str">
        <f>"1578729586225112"</f>
        <v>1578729586225112</v>
      </c>
      <c r="C4599" t="s">
        <v>37</v>
      </c>
      <c r="D4599">
        <v>5.3284419999999999</v>
      </c>
      <c r="E4599">
        <v>0.60850479999999996</v>
      </c>
      <c r="F4599" t="s">
        <v>39</v>
      </c>
      <c r="G4599">
        <v>-425.14150000000001</v>
      </c>
      <c r="H4599" s="1">
        <v>-4.6380429999999996E-6</v>
      </c>
      <c r="I4599">
        <v>47.935859999999998</v>
      </c>
      <c r="J4599">
        <v>-422.2765</v>
      </c>
      <c r="K4599">
        <v>1.1045100000000001</v>
      </c>
      <c r="L4599">
        <v>62.160369999999901</v>
      </c>
      <c r="M4599">
        <v>4.4767099999999997E-2</v>
      </c>
      <c r="N4599">
        <v>0</v>
      </c>
      <c r="O4599">
        <v>-0.99890569999999901</v>
      </c>
      <c r="P4599">
        <v>8.3305019999999994E-2</v>
      </c>
      <c r="Q4599">
        <v>2.1438390000000002E-2</v>
      </c>
      <c r="R4599">
        <v>-0.99629349999999905</v>
      </c>
      <c r="S4599">
        <v>-0.60678100000000001</v>
      </c>
      <c r="T4599">
        <v>-0.23468409999999901</v>
      </c>
      <c r="U4599">
        <v>-3.0670169999999999</v>
      </c>
      <c r="V4599">
        <v>-3.8609940000000002E-2</v>
      </c>
      <c r="W4599">
        <v>3.4972509999999998E-2</v>
      </c>
      <c r="X4599">
        <v>0.99864209999999998</v>
      </c>
      <c r="Y4599">
        <v>0.23726449999999999</v>
      </c>
      <c r="Z4599">
        <v>7.4374430000000005E-2</v>
      </c>
      <c r="AA4599">
        <v>0.96859379999999995</v>
      </c>
      <c r="AB4599">
        <v>21</v>
      </c>
      <c r="AC4599">
        <v>-2.8650000000000002</v>
      </c>
      <c r="AD4599">
        <v>-1.104514638043</v>
      </c>
      <c r="AE4599">
        <v>-14.224509999999899</v>
      </c>
      <c r="AF4599">
        <v>3.47881841522761</v>
      </c>
      <c r="AG4599">
        <v>-1.104514638043</v>
      </c>
      <c r="AH4599">
        <v>14.000852492878</v>
      </c>
      <c r="AI4599">
        <v>94.378087961339403</v>
      </c>
      <c r="AJ4599">
        <v>76.046189598843199</v>
      </c>
      <c r="AK4599">
        <v>14.468794029880501</v>
      </c>
    </row>
    <row r="4600" spans="1:37" x14ac:dyDescent="0.2">
      <c r="A4600" t="str">
        <f>"20200111155946254"</f>
        <v>20200111155946254</v>
      </c>
      <c r="B4600" t="str">
        <f>"1578729586244632"</f>
        <v>1578729586244632</v>
      </c>
      <c r="C4600" t="s">
        <v>37</v>
      </c>
      <c r="D4600">
        <v>5.3162750000000001</v>
      </c>
      <c r="E4600">
        <v>0.60740349999999999</v>
      </c>
      <c r="F4600" t="s">
        <v>39</v>
      </c>
      <c r="G4600">
        <v>-425.10730000000001</v>
      </c>
      <c r="H4600" s="1">
        <v>-4.5460030000000001E-6</v>
      </c>
      <c r="I4600">
        <v>47.683259999999997</v>
      </c>
      <c r="J4600">
        <v>-422.26740000000001</v>
      </c>
      <c r="K4600">
        <v>1.1045069999999999</v>
      </c>
      <c r="L4600">
        <v>61.954769999999897</v>
      </c>
      <c r="M4600">
        <v>4.466353E-2</v>
      </c>
      <c r="N4600">
        <v>0</v>
      </c>
      <c r="O4600">
        <v>-0.99891070000000004</v>
      </c>
      <c r="P4600">
        <v>8.3179539999999996E-2</v>
      </c>
      <c r="Q4600">
        <v>2.165982E-2</v>
      </c>
      <c r="R4600">
        <v>-0.99629969999999901</v>
      </c>
      <c r="S4600">
        <v>-0.59957890000000003</v>
      </c>
      <c r="T4600">
        <v>-0.23394329999999999</v>
      </c>
      <c r="U4600">
        <v>-3.0663450000000001</v>
      </c>
      <c r="V4600">
        <v>-3.8587740000000002E-2</v>
      </c>
      <c r="W4600">
        <v>3.5191720000000003E-2</v>
      </c>
      <c r="X4600">
        <v>0.99863539999999995</v>
      </c>
      <c r="Y4600">
        <v>0.2350159</v>
      </c>
      <c r="Z4600">
        <v>7.4194510000000005E-2</v>
      </c>
      <c r="AA4600">
        <v>0.96915569999999895</v>
      </c>
      <c r="AB4600">
        <v>21</v>
      </c>
      <c r="AC4600">
        <v>-2.8399000000000001</v>
      </c>
      <c r="AD4600">
        <v>-1.1045115460029999</v>
      </c>
      <c r="AE4600">
        <v>-14.271509999999999</v>
      </c>
      <c r="AF4600">
        <v>3.4546358402005501</v>
      </c>
      <c r="AG4600">
        <v>-1.1045115460029999</v>
      </c>
      <c r="AH4600">
        <v>14.0494681292625</v>
      </c>
      <c r="AI4600">
        <v>94.365598695704307</v>
      </c>
      <c r="AJ4600">
        <v>76.185556903755497</v>
      </c>
      <c r="AK4600">
        <v>14.5100657909885</v>
      </c>
    </row>
    <row r="4601" spans="1:37" x14ac:dyDescent="0.2">
      <c r="A4601" t="str">
        <f>"20200111155946275"</f>
        <v>20200111155946275</v>
      </c>
      <c r="B4601" t="str">
        <f>"1578729586265129"</f>
        <v>1578729586265129</v>
      </c>
      <c r="C4601" t="s">
        <v>37</v>
      </c>
      <c r="D4601">
        <v>5.3491419999999996</v>
      </c>
      <c r="E4601">
        <v>0.60651949999999999</v>
      </c>
      <c r="F4601" t="s">
        <v>39</v>
      </c>
      <c r="G4601">
        <v>-424.9939</v>
      </c>
      <c r="H4601" s="1">
        <v>-4.5695809999999999E-6</v>
      </c>
      <c r="I4601">
        <v>47.811639999999997</v>
      </c>
      <c r="J4601">
        <v>-422.25850000000003</v>
      </c>
      <c r="K4601">
        <v>1.104511</v>
      </c>
      <c r="L4601">
        <v>61.754429999999999</v>
      </c>
      <c r="M4601">
        <v>4.4562600000000001E-2</v>
      </c>
      <c r="N4601">
        <v>0</v>
      </c>
      <c r="O4601">
        <v>-0.998915</v>
      </c>
      <c r="P4601">
        <v>8.3365300000000003E-2</v>
      </c>
      <c r="Q4601">
        <v>2.143741E-2</v>
      </c>
      <c r="R4601">
        <v>-0.99628869999999903</v>
      </c>
      <c r="S4601">
        <v>-0.59100339999999996</v>
      </c>
      <c r="T4601">
        <v>-0.23941709999999999</v>
      </c>
      <c r="U4601">
        <v>-3.0657040000000002</v>
      </c>
      <c r="V4601">
        <v>-3.8874699999999998E-2</v>
      </c>
      <c r="W4601">
        <v>3.4967749999999999E-2</v>
      </c>
      <c r="X4601">
        <v>0.99863210000000002</v>
      </c>
      <c r="Y4601">
        <v>0.232317</v>
      </c>
      <c r="Z4601">
        <v>7.5981240000000005E-2</v>
      </c>
      <c r="AA4601">
        <v>0.96966779999999997</v>
      </c>
      <c r="AB4601">
        <v>21</v>
      </c>
      <c r="AC4601">
        <v>-2.7353999999999701</v>
      </c>
      <c r="AD4601">
        <v>-1.1045155695810001</v>
      </c>
      <c r="AE4601">
        <v>-13.94279</v>
      </c>
      <c r="AF4601">
        <v>3.3339195776203798</v>
      </c>
      <c r="AG4601">
        <v>-1.1045155695810001</v>
      </c>
      <c r="AH4601">
        <v>13.724096191733</v>
      </c>
      <c r="AI4601">
        <v>94.4717462788972</v>
      </c>
      <c r="AJ4601">
        <v>76.345935115482007</v>
      </c>
      <c r="AK4601">
        <v>14.1663612361618</v>
      </c>
    </row>
    <row r="4602" spans="1:37" x14ac:dyDescent="0.2">
      <c r="A4602" t="str">
        <f>"20200111155946298"</f>
        <v>20200111155946298</v>
      </c>
      <c r="B4602" t="str">
        <f>"1578729586295385"</f>
        <v>1578729586295385</v>
      </c>
      <c r="C4602" t="s">
        <v>37</v>
      </c>
      <c r="D4602">
        <v>5.3637079999999999</v>
      </c>
      <c r="E4602">
        <v>0.67636629999999998</v>
      </c>
      <c r="F4602" t="s">
        <v>39</v>
      </c>
      <c r="G4602">
        <v>-424.90980000000002</v>
      </c>
      <c r="H4602" s="1">
        <v>-4.5615280000000002E-6</v>
      </c>
      <c r="I4602">
        <v>47.831809999999997</v>
      </c>
      <c r="J4602">
        <v>-422.24959999999999</v>
      </c>
      <c r="K4602">
        <v>1.1045149999999999</v>
      </c>
      <c r="L4602">
        <v>61.550780000000003</v>
      </c>
      <c r="M4602">
        <v>4.4459730000000003E-2</v>
      </c>
      <c r="N4602">
        <v>0</v>
      </c>
      <c r="O4602">
        <v>-0.99891949999999996</v>
      </c>
      <c r="P4602">
        <v>8.3439799999999995E-2</v>
      </c>
      <c r="Q4602">
        <v>2.137648E-2</v>
      </c>
      <c r="R4602">
        <v>-0.99628369999999999</v>
      </c>
      <c r="S4602">
        <v>-0.5837097</v>
      </c>
      <c r="T4602">
        <v>-0.24317369999999999</v>
      </c>
      <c r="U4602">
        <v>-3.0652469999999998</v>
      </c>
      <c r="V4602">
        <v>-3.9052410000000003E-2</v>
      </c>
      <c r="W4602">
        <v>3.4904369999999997E-2</v>
      </c>
      <c r="X4602">
        <v>0.99862739999999905</v>
      </c>
      <c r="Y4602">
        <v>0.2299997</v>
      </c>
      <c r="Z4602">
        <v>7.7216549999999995E-2</v>
      </c>
      <c r="AA4602">
        <v>0.9701225</v>
      </c>
      <c r="AB4602">
        <v>20</v>
      </c>
      <c r="AC4602">
        <v>-2.6602000000000299</v>
      </c>
      <c r="AD4602">
        <v>-1.1045195615279999</v>
      </c>
      <c r="AE4602">
        <v>-13.718970000000001</v>
      </c>
      <c r="AF4602">
        <v>3.24728074542457</v>
      </c>
      <c r="AG4602">
        <v>-1.1045195615279999</v>
      </c>
      <c r="AH4602">
        <v>13.5027670215452</v>
      </c>
      <c r="AI4602">
        <v>94.5472729778228</v>
      </c>
      <c r="AJ4602">
        <v>76.477722562697807</v>
      </c>
      <c r="AK4602">
        <v>13.931601233868699</v>
      </c>
    </row>
    <row r="4603" spans="1:37" x14ac:dyDescent="0.2">
      <c r="A4603" t="str">
        <f>"20200111155946321"</f>
        <v>20200111155946321</v>
      </c>
      <c r="B4603" t="str">
        <f>"1578729586314907"</f>
        <v>1578729586314907</v>
      </c>
      <c r="C4603" t="s">
        <v>37</v>
      </c>
      <c r="D4603">
        <v>5.3183069999999999</v>
      </c>
      <c r="E4603">
        <v>0.67690740000000005</v>
      </c>
      <c r="F4603" t="s">
        <v>60</v>
      </c>
      <c r="G4603">
        <v>-441.79950000000002</v>
      </c>
      <c r="H4603">
        <v>2.0847180000000001</v>
      </c>
      <c r="I4603">
        <v>8.8459970000000006</v>
      </c>
      <c r="J4603">
        <v>-422.24029999999999</v>
      </c>
      <c r="K4603">
        <v>1.104517</v>
      </c>
      <c r="L4603">
        <v>61.338469999999901</v>
      </c>
      <c r="M4603">
        <v>4.4352049999999997E-2</v>
      </c>
      <c r="N4603">
        <v>0</v>
      </c>
      <c r="O4603">
        <v>-0.99892449999999999</v>
      </c>
      <c r="P4603">
        <v>8.3231070000000004E-2</v>
      </c>
      <c r="Q4603">
        <v>2.1737929999999999E-2</v>
      </c>
      <c r="R4603">
        <v>-0.99629349999999905</v>
      </c>
      <c r="S4603">
        <v>-1.1522829999999999</v>
      </c>
      <c r="T4603">
        <v>5.7773709999999999E-2</v>
      </c>
      <c r="U4603">
        <v>-3.1064449999999999</v>
      </c>
      <c r="V4603">
        <v>-3.895096E-2</v>
      </c>
      <c r="W4603">
        <v>3.5263679999999999E-2</v>
      </c>
      <c r="X4603">
        <v>0.99861869999999997</v>
      </c>
      <c r="Y4603">
        <v>0.38897100000000001</v>
      </c>
      <c r="Z4603">
        <v>-1.726068E-2</v>
      </c>
      <c r="AA4603">
        <v>0.92108829999999997</v>
      </c>
      <c r="AB4603">
        <v>20</v>
      </c>
      <c r="AC4603">
        <v>-19.559200000000001</v>
      </c>
      <c r="AD4603">
        <v>0.98020099999999999</v>
      </c>
      <c r="AE4603">
        <v>-52.492472999999897</v>
      </c>
      <c r="AF4603">
        <v>21.861617503878001</v>
      </c>
      <c r="AG4603">
        <v>0.98020099999999999</v>
      </c>
      <c r="AH4603">
        <v>51.5574533949409</v>
      </c>
      <c r="AI4603">
        <v>88.997236803900094</v>
      </c>
      <c r="AJ4603">
        <v>67.021871216694905</v>
      </c>
      <c r="AK4603">
        <v>56.009482361987402</v>
      </c>
    </row>
    <row r="4604" spans="1:37" x14ac:dyDescent="0.2">
      <c r="A4604" t="str">
        <f>"20200111155946343"</f>
        <v>20200111155946343</v>
      </c>
      <c r="B4604" t="str">
        <f>"1578729586335400"</f>
        <v>1578729586335400</v>
      </c>
      <c r="C4604" t="s">
        <v>37</v>
      </c>
      <c r="D4604">
        <v>5.28254</v>
      </c>
      <c r="E4604">
        <v>0.60902149999999999</v>
      </c>
      <c r="F4604" t="s">
        <v>60</v>
      </c>
      <c r="G4604">
        <v>-441.79539999999997</v>
      </c>
      <c r="H4604">
        <v>2.1894529999999999</v>
      </c>
      <c r="I4604">
        <v>8.8459970000000006</v>
      </c>
      <c r="J4604">
        <v>-422.23149999999998</v>
      </c>
      <c r="K4604">
        <v>1.1045119999999999</v>
      </c>
      <c r="L4604">
        <v>61.136659999999999</v>
      </c>
      <c r="M4604">
        <v>4.4249940000000001E-2</v>
      </c>
      <c r="N4604">
        <v>0</v>
      </c>
      <c r="O4604">
        <v>-0.99892899999999996</v>
      </c>
      <c r="P4604">
        <v>8.3107600000000004E-2</v>
      </c>
      <c r="Q4604">
        <v>2.2187999999999999E-2</v>
      </c>
      <c r="R4604">
        <v>-0.99629400000000001</v>
      </c>
      <c r="S4604">
        <v>-1.157257</v>
      </c>
      <c r="T4604">
        <v>6.4205410000000004E-2</v>
      </c>
      <c r="U4604">
        <v>-3.1064449999999999</v>
      </c>
      <c r="V4604">
        <v>-3.8929390000000001E-2</v>
      </c>
      <c r="W4604">
        <v>3.5711140000000002E-2</v>
      </c>
      <c r="X4604">
        <v>0.99860360000000004</v>
      </c>
      <c r="Y4604">
        <v>0.39016009999999901</v>
      </c>
      <c r="Z4604">
        <v>-1.9171440000000001E-2</v>
      </c>
      <c r="AA4604">
        <v>0.92054740000000002</v>
      </c>
      <c r="AB4604">
        <v>20</v>
      </c>
      <c r="AC4604">
        <v>-19.563899999999901</v>
      </c>
      <c r="AD4604">
        <v>1.0849409999999899</v>
      </c>
      <c r="AE4604">
        <v>-52.290663000000002</v>
      </c>
      <c r="AF4604">
        <v>21.850552266820401</v>
      </c>
      <c r="AG4604">
        <v>1.0849409999999899</v>
      </c>
      <c r="AH4604">
        <v>51.354261018242703</v>
      </c>
      <c r="AI4604">
        <v>88.886307047792101</v>
      </c>
      <c r="AJ4604">
        <v>66.950895190077105</v>
      </c>
      <c r="AK4604">
        <v>55.8201026160677</v>
      </c>
    </row>
    <row r="4605" spans="1:37" x14ac:dyDescent="0.2">
      <c r="A4605" t="str">
        <f>"20200111155946365"</f>
        <v>20200111155946365</v>
      </c>
      <c r="B4605" t="str">
        <f>"1578729586354921"</f>
        <v>1578729586354921</v>
      </c>
      <c r="C4605" t="s">
        <v>37</v>
      </c>
      <c r="D4605">
        <v>5.3340439999999996</v>
      </c>
      <c r="E4605">
        <v>0.60644779999999998</v>
      </c>
      <c r="F4605" t="s">
        <v>39</v>
      </c>
      <c r="G4605">
        <v>-425.28570000000002</v>
      </c>
      <c r="H4605" s="1">
        <v>-3.8883499999999998E-6</v>
      </c>
      <c r="I4605">
        <v>45.657690000000002</v>
      </c>
      <c r="J4605">
        <v>-422.22280000000001</v>
      </c>
      <c r="K4605">
        <v>1.1045149999999999</v>
      </c>
      <c r="L4605">
        <v>60.937869999999997</v>
      </c>
      <c r="M4605">
        <v>4.4149000000000001E-2</v>
      </c>
      <c r="N4605">
        <v>0</v>
      </c>
      <c r="O4605">
        <v>-0.99893330000000002</v>
      </c>
      <c r="P4605">
        <v>8.3006640000000007E-2</v>
      </c>
      <c r="Q4605">
        <v>2.21821E-2</v>
      </c>
      <c r="R4605">
        <v>-0.99630219999999903</v>
      </c>
      <c r="S4605">
        <v>-0.60507200000000005</v>
      </c>
      <c r="T4605">
        <v>-0.2188127</v>
      </c>
      <c r="U4605">
        <v>-3.0664980000000002</v>
      </c>
      <c r="V4605">
        <v>-3.8929400000000003E-2</v>
      </c>
      <c r="W4605">
        <v>3.5704E-2</v>
      </c>
      <c r="X4605">
        <v>0.99860389999999999</v>
      </c>
      <c r="Y4605">
        <v>0.23624479999999901</v>
      </c>
      <c r="Z4605">
        <v>6.9397329999999993E-2</v>
      </c>
      <c r="AA4605">
        <v>0.96921219999999997</v>
      </c>
      <c r="AB4605">
        <v>20</v>
      </c>
      <c r="AC4605">
        <v>-3.0629000000000102</v>
      </c>
      <c r="AD4605">
        <v>-1.1045188883499999</v>
      </c>
      <c r="AE4605">
        <v>-15.2801799999999</v>
      </c>
      <c r="AF4605">
        <v>3.7159136439860698</v>
      </c>
      <c r="AG4605">
        <v>-1.1045188883499999</v>
      </c>
      <c r="AH4605">
        <v>15.0544206490314</v>
      </c>
      <c r="AI4605">
        <v>94.074330692091706</v>
      </c>
      <c r="AJ4605">
        <v>76.134716075532694</v>
      </c>
      <c r="AK4605">
        <v>15.5455317458834</v>
      </c>
    </row>
    <row r="4606" spans="1:37" x14ac:dyDescent="0.2">
      <c r="A4606" t="str">
        <f>"20200111155946388"</f>
        <v>20200111155946388</v>
      </c>
      <c r="B4606" t="str">
        <f>"1578729586385177"</f>
        <v>1578729586385177</v>
      </c>
      <c r="C4606" t="s">
        <v>37</v>
      </c>
      <c r="D4606">
        <v>5.3892179999999996</v>
      </c>
      <c r="E4606">
        <v>0.60709690000000005</v>
      </c>
      <c r="F4606" t="s">
        <v>39</v>
      </c>
      <c r="G4606">
        <v>-425.01319999999998</v>
      </c>
      <c r="H4606" s="1">
        <v>-4.0607300000000003E-6</v>
      </c>
      <c r="I4606">
        <v>46.3063</v>
      </c>
      <c r="J4606">
        <v>-422.214</v>
      </c>
      <c r="K4606">
        <v>1.1045149999999999</v>
      </c>
      <c r="L4606">
        <v>60.735869999999998</v>
      </c>
      <c r="M4606">
        <v>4.4047500000000003E-2</v>
      </c>
      <c r="N4606">
        <v>0</v>
      </c>
      <c r="O4606">
        <v>-0.99893779999999999</v>
      </c>
      <c r="P4606">
        <v>8.2237679999999994E-2</v>
      </c>
      <c r="Q4606">
        <v>2.2057529999999999E-2</v>
      </c>
      <c r="R4606">
        <v>-0.9963689</v>
      </c>
      <c r="S4606">
        <v>-0.58453369999999905</v>
      </c>
      <c r="T4606">
        <v>-0.231373299999999</v>
      </c>
      <c r="U4606">
        <v>-3.0650019999999998</v>
      </c>
      <c r="V4606">
        <v>-3.826007E-2</v>
      </c>
      <c r="W4606">
        <v>3.5577249999999998E-2</v>
      </c>
      <c r="X4606">
        <v>0.99863429999999997</v>
      </c>
      <c r="Y4606">
        <v>0.22991689999999901</v>
      </c>
      <c r="Z4606">
        <v>7.3497580000000007E-2</v>
      </c>
      <c r="AA4606">
        <v>0.97043099999999904</v>
      </c>
      <c r="AB4606">
        <v>20</v>
      </c>
      <c r="AC4606">
        <v>-2.7991999999999799</v>
      </c>
      <c r="AD4606">
        <v>-1.1045190607299999</v>
      </c>
      <c r="AE4606">
        <v>-14.429569999999901</v>
      </c>
      <c r="AF4606">
        <v>3.4128559442542601</v>
      </c>
      <c r="AG4606">
        <v>-1.1045190607299999</v>
      </c>
      <c r="AH4606">
        <v>14.2120024087152</v>
      </c>
      <c r="AI4606">
        <v>94.321569348450893</v>
      </c>
      <c r="AJ4606">
        <v>76.496736981855904</v>
      </c>
      <c r="AK4606">
        <v>14.657713345439401</v>
      </c>
    </row>
    <row r="4607" spans="1:37" x14ac:dyDescent="0.2">
      <c r="A4607" t="str">
        <f>"20200111155946410"</f>
        <v>20200111155946410</v>
      </c>
      <c r="B4607" t="str">
        <f>"1578729586404699"</f>
        <v>1578729586404699</v>
      </c>
      <c r="C4607" t="s">
        <v>37</v>
      </c>
      <c r="D4607">
        <v>5.4099309999999896</v>
      </c>
      <c r="E4607">
        <v>0.60718109999999903</v>
      </c>
      <c r="F4607" t="s">
        <v>39</v>
      </c>
      <c r="G4607">
        <v>-425.09449999999998</v>
      </c>
      <c r="H4607" s="1">
        <v>-3.9104809999999998E-6</v>
      </c>
      <c r="I4607">
        <v>45.822379999999903</v>
      </c>
      <c r="J4607">
        <v>-422.20510000000002</v>
      </c>
      <c r="K4607">
        <v>1.104514</v>
      </c>
      <c r="L4607">
        <v>60.533569999999997</v>
      </c>
      <c r="M4607">
        <v>4.3945690000000003E-2</v>
      </c>
      <c r="N4607">
        <v>0</v>
      </c>
      <c r="O4607">
        <v>-0.99894259999999901</v>
      </c>
      <c r="P4607">
        <v>8.1955570000000005E-2</v>
      </c>
      <c r="Q4607">
        <v>2.1721560000000001E-2</v>
      </c>
      <c r="R4607">
        <v>-0.99639959999999905</v>
      </c>
      <c r="S4607">
        <v>-0.59197999999999995</v>
      </c>
      <c r="T4607">
        <v>-0.22698579999999899</v>
      </c>
      <c r="U4607">
        <v>-3.064819</v>
      </c>
      <c r="V4607">
        <v>-3.8078620000000001E-2</v>
      </c>
      <c r="W4607">
        <v>3.5239850000000003E-2</v>
      </c>
      <c r="X4607">
        <v>0.99865319999999902</v>
      </c>
      <c r="Y4607">
        <v>0.23212150000000001</v>
      </c>
      <c r="Z4607">
        <v>7.2080690000000003E-2</v>
      </c>
      <c r="AA4607">
        <v>0.9700124</v>
      </c>
      <c r="AB4607">
        <v>20</v>
      </c>
      <c r="AC4607">
        <v>-2.8893999999999598</v>
      </c>
      <c r="AD4607">
        <v>-1.1045179104809999</v>
      </c>
      <c r="AE4607">
        <v>-14.71119</v>
      </c>
      <c r="AF4607">
        <v>3.5140872627562199</v>
      </c>
      <c r="AG4607">
        <v>-1.1045179104809999</v>
      </c>
      <c r="AH4607">
        <v>14.4913331477819</v>
      </c>
      <c r="AI4607">
        <v>94.236301118512699</v>
      </c>
      <c r="AJ4607">
        <v>76.369133438638201</v>
      </c>
      <c r="AK4607">
        <v>14.952173939091301</v>
      </c>
    </row>
    <row r="4608" spans="1:37" x14ac:dyDescent="0.2">
      <c r="A4608" t="str">
        <f>"20200111155946433"</f>
        <v>20200111155946433</v>
      </c>
      <c r="B4608" t="str">
        <f>"1578729586425192"</f>
        <v>1578729586425192</v>
      </c>
      <c r="C4608" t="s">
        <v>37</v>
      </c>
      <c r="D4608">
        <v>5.468451</v>
      </c>
      <c r="E4608">
        <v>0.68812769999999901</v>
      </c>
      <c r="F4608" t="s">
        <v>39</v>
      </c>
      <c r="G4608">
        <v>-425.08780000000002</v>
      </c>
      <c r="H4608" s="1">
        <v>-3.8502150000000002E-6</v>
      </c>
      <c r="I4608">
        <v>45.648800000000001</v>
      </c>
      <c r="J4608">
        <v>-422.195999999999</v>
      </c>
      <c r="K4608">
        <v>1.1045119999999999</v>
      </c>
      <c r="L4608">
        <v>60.323790000000002</v>
      </c>
      <c r="M4608">
        <v>4.3840440000000001E-2</v>
      </c>
      <c r="N4608">
        <v>0</v>
      </c>
      <c r="O4608">
        <v>-0.99894709999999998</v>
      </c>
      <c r="P4608">
        <v>8.1764030000000001E-2</v>
      </c>
      <c r="Q4608">
        <v>2.1812109999999999E-2</v>
      </c>
      <c r="R4608">
        <v>-0.99641349999999995</v>
      </c>
      <c r="S4608">
        <v>-0.59350590000000003</v>
      </c>
      <c r="T4608">
        <v>-0.22740779999999999</v>
      </c>
      <c r="U4608">
        <v>-3.0646059999999999</v>
      </c>
      <c r="V4608">
        <v>-3.7991839999999999E-2</v>
      </c>
      <c r="W4608">
        <v>3.5328020000000002E-2</v>
      </c>
      <c r="X4608">
        <v>0.99865339999999903</v>
      </c>
      <c r="Y4608">
        <v>0.23249529999999999</v>
      </c>
      <c r="Z4608">
        <v>7.2212780000000004E-2</v>
      </c>
      <c r="AA4608">
        <v>0.96991299999999903</v>
      </c>
      <c r="AB4608">
        <v>20</v>
      </c>
      <c r="AC4608">
        <v>-2.8918000000000399</v>
      </c>
      <c r="AD4608">
        <v>-1.1045158502150001</v>
      </c>
      <c r="AE4608">
        <v>-14.674989999999999</v>
      </c>
      <c r="AF4608">
        <v>3.5132777107988602</v>
      </c>
      <c r="AG4608">
        <v>-1.1045158502150001</v>
      </c>
      <c r="AH4608">
        <v>14.455262758641201</v>
      </c>
      <c r="AI4608">
        <v>94.246292866830501</v>
      </c>
      <c r="AJ4608">
        <v>76.339423434565006</v>
      </c>
      <c r="AK4608">
        <v>14.917027081759</v>
      </c>
    </row>
    <row r="4609" spans="1:37" x14ac:dyDescent="0.2">
      <c r="A4609" t="str">
        <f>"20200111155946957"</f>
        <v>20200111155946957</v>
      </c>
      <c r="B4609" t="str">
        <f>"1578729586944680"</f>
        <v>1578729586944680</v>
      </c>
      <c r="C4609" t="s">
        <v>37</v>
      </c>
      <c r="D4609">
        <v>6.0868310000000001</v>
      </c>
      <c r="E4609">
        <v>0.68311449999999996</v>
      </c>
      <c r="F4609" t="s">
        <v>60</v>
      </c>
      <c r="G4609">
        <v>-442.32560000000001</v>
      </c>
      <c r="H4609">
        <v>1.444267</v>
      </c>
      <c r="I4609">
        <v>10.183160000000001</v>
      </c>
      <c r="J4609">
        <v>-421.99950000000001</v>
      </c>
      <c r="K4609">
        <v>1.1044209999999901</v>
      </c>
      <c r="L4609">
        <v>55.660369999999901</v>
      </c>
      <c r="M4609">
        <v>4.1393729999999997E-2</v>
      </c>
      <c r="N4609">
        <v>0</v>
      </c>
      <c r="O4609">
        <v>-0.9990523</v>
      </c>
      <c r="P4609">
        <v>8.445954E-2</v>
      </c>
      <c r="Q4609">
        <v>7.7712900000000001E-3</v>
      </c>
      <c r="R4609">
        <v>-0.99639699999999998</v>
      </c>
      <c r="S4609">
        <v>-1.249725</v>
      </c>
      <c r="T4609">
        <v>2.109337E-2</v>
      </c>
      <c r="U4609">
        <v>-3.1129150000000001</v>
      </c>
      <c r="V4609">
        <v>-4.3135229999999997E-2</v>
      </c>
      <c r="W4609">
        <v>2.1241320000000001E-2</v>
      </c>
      <c r="X4609">
        <v>0.99884340000000005</v>
      </c>
      <c r="Y4609">
        <v>0.41065269999999998</v>
      </c>
      <c r="Z4609">
        <v>-6.2268230000000003E-3</v>
      </c>
      <c r="AA4609">
        <v>0.91177059999999999</v>
      </c>
      <c r="AB4609">
        <v>20</v>
      </c>
      <c r="AC4609">
        <v>-20.3261</v>
      </c>
      <c r="AD4609">
        <v>0.33984599999999998</v>
      </c>
      <c r="AE4609">
        <v>-45.4772099999999</v>
      </c>
      <c r="AF4609">
        <v>22.1902845245801</v>
      </c>
      <c r="AG4609">
        <v>0.33984599999999998</v>
      </c>
      <c r="AH4609">
        <v>44.594700008311499</v>
      </c>
      <c r="AI4609">
        <v>89.609090457252606</v>
      </c>
      <c r="AJ4609">
        <v>63.545101631823698</v>
      </c>
      <c r="AK4609">
        <v>49.811760573350902</v>
      </c>
    </row>
    <row r="4610" spans="1:37" x14ac:dyDescent="0.2">
      <c r="A4610" t="str">
        <f>"20200111155946978"</f>
        <v>20200111155946978</v>
      </c>
      <c r="B4610" t="str">
        <f>"1578729586974936"</f>
        <v>1578729586974936</v>
      </c>
      <c r="C4610" t="s">
        <v>37</v>
      </c>
      <c r="D4610">
        <v>5.6113720000000002</v>
      </c>
      <c r="E4610">
        <v>0.46821590000000002</v>
      </c>
      <c r="F4610" t="s">
        <v>60</v>
      </c>
      <c r="G4610">
        <v>-441.459</v>
      </c>
      <c r="H4610">
        <v>1.108738</v>
      </c>
      <c r="I4610">
        <v>5.2679599999999898</v>
      </c>
      <c r="J4610">
        <v>-421.99180000000001</v>
      </c>
      <c r="K4610">
        <v>1.104419</v>
      </c>
      <c r="L4610">
        <v>55.470669999999998</v>
      </c>
      <c r="M4610">
        <v>4.1289649999999997E-2</v>
      </c>
      <c r="N4610">
        <v>0</v>
      </c>
      <c r="O4610">
        <v>-0.99905659999999896</v>
      </c>
      <c r="P4610">
        <v>8.7795299999999896E-2</v>
      </c>
      <c r="Q4610">
        <v>6.7125809999999996E-3</v>
      </c>
      <c r="R4610">
        <v>-0.996116</v>
      </c>
      <c r="S4610">
        <v>-1.202026</v>
      </c>
      <c r="T4610">
        <v>2.6667119999999899E-4</v>
      </c>
      <c r="U4610">
        <v>-3.112762</v>
      </c>
      <c r="V4610">
        <v>-4.6583819999999998E-2</v>
      </c>
      <c r="W4610">
        <v>2.017963E-2</v>
      </c>
      <c r="X4610">
        <v>0.99871049999999995</v>
      </c>
      <c r="Y4610">
        <v>0.39844829999999998</v>
      </c>
      <c r="Z4610" s="1">
        <v>-7.9164489999999997E-5</v>
      </c>
      <c r="AA4610">
        <v>0.91719079999999997</v>
      </c>
      <c r="AB4610">
        <v>20</v>
      </c>
      <c r="AC4610">
        <v>-19.467199999999899</v>
      </c>
      <c r="AD4610">
        <v>4.31899999999996E-3</v>
      </c>
      <c r="AE4610">
        <v>-50.202709999999897</v>
      </c>
      <c r="AF4610">
        <v>21.523635612225</v>
      </c>
      <c r="AG4610">
        <v>4.31899999999996E-3</v>
      </c>
      <c r="AH4610">
        <v>49.356023339697202</v>
      </c>
      <c r="AI4610">
        <v>89.995404206978407</v>
      </c>
      <c r="AJ4610">
        <v>66.438497314106996</v>
      </c>
      <c r="AK4610">
        <v>53.844999289909303</v>
      </c>
    </row>
    <row r="4611" spans="1:37" x14ac:dyDescent="0.2">
      <c r="A4611" t="str">
        <f>"20200111155947002"</f>
        <v>20200111155947002</v>
      </c>
      <c r="B4611" t="str">
        <f>"1578729586995432"</f>
        <v>1578729586995432</v>
      </c>
      <c r="C4611" t="s">
        <v>37</v>
      </c>
      <c r="D4611">
        <v>5.4079430000000004</v>
      </c>
      <c r="E4611">
        <v>0.46696909999999903</v>
      </c>
      <c r="F4611" t="s">
        <v>39</v>
      </c>
      <c r="G4611">
        <v>-420.1234</v>
      </c>
      <c r="H4611" s="1">
        <v>-2.3487629999999999E-6</v>
      </c>
      <c r="I4611">
        <v>44.987580000000001</v>
      </c>
      <c r="J4611">
        <v>-421.98360000000002</v>
      </c>
      <c r="K4611">
        <v>1.104417</v>
      </c>
      <c r="L4611">
        <v>55.268590000000003</v>
      </c>
      <c r="M4611">
        <v>4.1173250000000002E-2</v>
      </c>
      <c r="N4611">
        <v>0</v>
      </c>
      <c r="O4611">
        <v>-0.99906130000000004</v>
      </c>
      <c r="P4611">
        <v>8.8853399999999999E-2</v>
      </c>
      <c r="Q4611">
        <v>7.4150479999999996E-3</v>
      </c>
      <c r="R4611">
        <v>-0.996017499999999</v>
      </c>
      <c r="S4611">
        <v>0.52883910000000001</v>
      </c>
      <c r="T4611">
        <v>-0.31260139999999997</v>
      </c>
      <c r="U4611">
        <v>-2.9671939999999899</v>
      </c>
      <c r="V4611">
        <v>-4.7761280000000003E-2</v>
      </c>
      <c r="W4611">
        <v>2.0879479999999999E-2</v>
      </c>
      <c r="X4611">
        <v>0.99864050000000004</v>
      </c>
      <c r="Y4611">
        <v>-0.13383709999999999</v>
      </c>
      <c r="Z4611">
        <v>0.103364</v>
      </c>
      <c r="AA4611">
        <v>0.98559799999999997</v>
      </c>
      <c r="AB4611">
        <v>20</v>
      </c>
      <c r="AC4611">
        <v>1.8602000000000201</v>
      </c>
      <c r="AD4611">
        <v>-1.1044193487630001</v>
      </c>
      <c r="AE4611">
        <v>-10.28101</v>
      </c>
      <c r="AF4611">
        <v>-1.4194208101955399</v>
      </c>
      <c r="AG4611">
        <v>-1.1044193487630001</v>
      </c>
      <c r="AH4611">
        <v>10.234527748497801</v>
      </c>
      <c r="AI4611">
        <v>96.101068546632007</v>
      </c>
      <c r="AJ4611">
        <v>97.895950471763598</v>
      </c>
      <c r="AK4611">
        <v>10.391345233852499</v>
      </c>
    </row>
    <row r="4612" spans="1:37" x14ac:dyDescent="0.2">
      <c r="A4612" t="str">
        <f>"20200111155947024"</f>
        <v>20200111155947024</v>
      </c>
      <c r="B4612" t="str">
        <f>"1578729587014955"</f>
        <v>1578729587014955</v>
      </c>
      <c r="C4612" t="s">
        <v>37</v>
      </c>
      <c r="D4612">
        <v>5.3034140000000001</v>
      </c>
      <c r="E4612">
        <v>0.46814830000000002</v>
      </c>
      <c r="F4612" t="s">
        <v>39</v>
      </c>
      <c r="G4612">
        <v>-420.09399999999999</v>
      </c>
      <c r="H4612" s="1">
        <v>-2.3155940000000002E-6</v>
      </c>
      <c r="I4612">
        <v>44.928539999999998</v>
      </c>
      <c r="J4612">
        <v>-421.97570000000002</v>
      </c>
      <c r="K4612">
        <v>1.1044129999999901</v>
      </c>
      <c r="L4612">
        <v>55.0760199999999</v>
      </c>
      <c r="M4612">
        <v>4.1052739999999997E-2</v>
      </c>
      <c r="N4612">
        <v>0</v>
      </c>
      <c r="O4612">
        <v>-0.99906640000000002</v>
      </c>
      <c r="P4612">
        <v>8.9737209999999998E-2</v>
      </c>
      <c r="Q4612">
        <v>8.8915899999999996E-3</v>
      </c>
      <c r="R4612">
        <v>-0.99592610000000004</v>
      </c>
      <c r="S4612">
        <v>0.54202269999999997</v>
      </c>
      <c r="T4612">
        <v>-0.31679839999999998</v>
      </c>
      <c r="U4612">
        <v>-2.96600299999999</v>
      </c>
      <c r="V4612">
        <v>-4.8767789999999998E-2</v>
      </c>
      <c r="W4612">
        <v>2.2353999999999999E-2</v>
      </c>
      <c r="X4612">
        <v>0.99856</v>
      </c>
      <c r="Y4612">
        <v>-0.138241</v>
      </c>
      <c r="Z4612">
        <v>0.1047058</v>
      </c>
      <c r="AA4612">
        <v>0.98484830000000001</v>
      </c>
      <c r="AB4612">
        <v>20</v>
      </c>
      <c r="AC4612">
        <v>1.8817000000000199</v>
      </c>
      <c r="AD4612">
        <v>-1.104415315594</v>
      </c>
      <c r="AE4612">
        <v>-10.1474799999999</v>
      </c>
      <c r="AF4612">
        <v>-1.44692425936915</v>
      </c>
      <c r="AG4612">
        <v>-1.104415315594</v>
      </c>
      <c r="AH4612">
        <v>10.100512952891</v>
      </c>
      <c r="AI4612">
        <v>96.177505817917705</v>
      </c>
      <c r="AJ4612">
        <v>98.152303306735902</v>
      </c>
      <c r="AK4612">
        <v>10.2632200070538</v>
      </c>
    </row>
    <row r="4613" spans="1:37" x14ac:dyDescent="0.2">
      <c r="A4613" t="str">
        <f>"20200111155947046"</f>
        <v>20200111155947046</v>
      </c>
      <c r="B4613" t="str">
        <f>"1578729587035448"</f>
        <v>1578729587035448</v>
      </c>
      <c r="C4613" t="s">
        <v>37</v>
      </c>
      <c r="D4613">
        <v>5.4544819999999996</v>
      </c>
      <c r="E4613">
        <v>0.46775839999999902</v>
      </c>
      <c r="F4613" t="s">
        <v>39</v>
      </c>
      <c r="G4613">
        <v>-420.08319999999998</v>
      </c>
      <c r="H4613" s="1">
        <v>-2.163096E-6</v>
      </c>
      <c r="I4613">
        <v>44.579729999999998</v>
      </c>
      <c r="J4613">
        <v>-421.96809999999999</v>
      </c>
      <c r="K4613">
        <v>1.1044099999999999</v>
      </c>
      <c r="L4613">
        <v>54.887269999999901</v>
      </c>
      <c r="M4613">
        <v>4.091989E-2</v>
      </c>
      <c r="N4613">
        <v>0</v>
      </c>
      <c r="O4613">
        <v>-0.99907159999999995</v>
      </c>
      <c r="P4613">
        <v>8.9797150000000006E-2</v>
      </c>
      <c r="Q4613">
        <v>8.9547689999999996E-3</v>
      </c>
      <c r="R4613">
        <v>-0.99591980000000002</v>
      </c>
      <c r="S4613">
        <v>0.53494259999999905</v>
      </c>
      <c r="T4613">
        <v>-0.31217159999999999</v>
      </c>
      <c r="U4613">
        <v>-2.9668580000000002</v>
      </c>
      <c r="V4613">
        <v>-4.8960080000000003E-2</v>
      </c>
      <c r="W4613">
        <v>2.241549E-2</v>
      </c>
      <c r="X4613">
        <v>0.99854920000000003</v>
      </c>
      <c r="Y4613">
        <v>-0.13607469999999999</v>
      </c>
      <c r="Z4613">
        <v>0.10320219999999999</v>
      </c>
      <c r="AA4613">
        <v>0.98530859999999998</v>
      </c>
      <c r="AB4613">
        <v>20</v>
      </c>
      <c r="AC4613">
        <v>1.88490000000001</v>
      </c>
      <c r="AD4613">
        <v>-1.104412163096</v>
      </c>
      <c r="AE4613">
        <v>-10.3075399999999</v>
      </c>
      <c r="AF4613">
        <v>-1.44544216992553</v>
      </c>
      <c r="AG4613">
        <v>-1.104412163096</v>
      </c>
      <c r="AH4613">
        <v>10.2620430998539</v>
      </c>
      <c r="AI4613">
        <v>96.083002279141596</v>
      </c>
      <c r="AJ4613">
        <v>98.0175528733525</v>
      </c>
      <c r="AK4613">
        <v>10.4220227343761</v>
      </c>
    </row>
    <row r="4614" spans="1:37" x14ac:dyDescent="0.2">
      <c r="A4614" t="str">
        <f>"20200111155947069"</f>
        <v>20200111155947069</v>
      </c>
      <c r="B4614" t="str">
        <f>"1578729587064729"</f>
        <v>1578729587064729</v>
      </c>
      <c r="C4614" t="s">
        <v>37</v>
      </c>
      <c r="D4614">
        <v>5.4396269999999998</v>
      </c>
      <c r="E4614">
        <v>0.46834129999999902</v>
      </c>
      <c r="F4614" t="s">
        <v>39</v>
      </c>
      <c r="G4614">
        <v>-420.0951</v>
      </c>
      <c r="H4614" s="1">
        <v>-2.1565110000000001E-6</v>
      </c>
      <c r="I4614">
        <v>44.556979999999903</v>
      </c>
      <c r="J4614">
        <v>-421.96019999999999</v>
      </c>
      <c r="K4614">
        <v>1.1043940000000001</v>
      </c>
      <c r="L4614">
        <v>54.689609999999902</v>
      </c>
      <c r="M4614">
        <v>4.0760640000000001E-2</v>
      </c>
      <c r="N4614">
        <v>0</v>
      </c>
      <c r="O4614">
        <v>-0.99907829999999997</v>
      </c>
      <c r="P4614">
        <v>8.8361330000000002E-2</v>
      </c>
      <c r="Q4614">
        <v>8.9379790000000004E-3</v>
      </c>
      <c r="R4614">
        <v>-0.9960485</v>
      </c>
      <c r="S4614">
        <v>0.53787229999999997</v>
      </c>
      <c r="T4614">
        <v>-0.31716420000000001</v>
      </c>
      <c r="U4614">
        <v>-2.9666440000000001</v>
      </c>
      <c r="V4614">
        <v>-4.7678760000000001E-2</v>
      </c>
      <c r="W4614">
        <v>2.2399289999999999E-2</v>
      </c>
      <c r="X4614">
        <v>0.99861160000000004</v>
      </c>
      <c r="Y4614">
        <v>-0.1371569</v>
      </c>
      <c r="Z4614">
        <v>0.104826</v>
      </c>
      <c r="AA4614">
        <v>0.98498709999999901</v>
      </c>
      <c r="AB4614">
        <v>19</v>
      </c>
      <c r="AC4614">
        <v>1.86509999999998</v>
      </c>
      <c r="AD4614">
        <v>-1.1043961565110001</v>
      </c>
      <c r="AE4614">
        <v>-10.132630000000001</v>
      </c>
      <c r="AF4614">
        <v>-1.4340223428610199</v>
      </c>
      <c r="AG4614">
        <v>-1.1043961565110001</v>
      </c>
      <c r="AH4614">
        <v>10.0843639393378</v>
      </c>
      <c r="AI4614">
        <v>96.188116989813395</v>
      </c>
      <c r="AJ4614">
        <v>98.093344111462301</v>
      </c>
      <c r="AK4614">
        <v>10.245511554400601</v>
      </c>
    </row>
    <row r="4615" spans="1:37" x14ac:dyDescent="0.2">
      <c r="A4615" t="str">
        <f>"20200111155947084"</f>
        <v>20200111155947084</v>
      </c>
      <c r="B4615" t="str">
        <f>"1578729587075465"</f>
        <v>1578729587075465</v>
      </c>
      <c r="C4615" t="s">
        <v>37</v>
      </c>
      <c r="D4615">
        <v>5.4926620000000002</v>
      </c>
      <c r="E4615">
        <v>0.46843849999999998</v>
      </c>
      <c r="F4615" t="s">
        <v>39</v>
      </c>
      <c r="G4615">
        <v>-420.12299999999999</v>
      </c>
      <c r="H4615" s="1">
        <v>-2.0842369999999998E-6</v>
      </c>
      <c r="I4615">
        <v>44.371200000000002</v>
      </c>
      <c r="J4615">
        <v>-421.95490000000001</v>
      </c>
      <c r="K4615">
        <v>1.104385</v>
      </c>
      <c r="L4615">
        <v>54.556459999999902</v>
      </c>
      <c r="M4615">
        <v>4.0644270000000003E-2</v>
      </c>
      <c r="N4615">
        <v>0</v>
      </c>
      <c r="O4615">
        <v>-0.9990831</v>
      </c>
      <c r="P4615">
        <v>8.7576169999999995E-2</v>
      </c>
      <c r="Q4615">
        <v>8.9221609999999996E-3</v>
      </c>
      <c r="R4615">
        <v>-0.99611810000000001</v>
      </c>
      <c r="S4615">
        <v>0.52841190000000005</v>
      </c>
      <c r="T4615">
        <v>-0.31765539999999998</v>
      </c>
      <c r="U4615">
        <v>-2.9678650000000002</v>
      </c>
      <c r="V4615">
        <v>-4.700783E-2</v>
      </c>
      <c r="W4615">
        <v>2.238308E-2</v>
      </c>
      <c r="X4615">
        <v>0.99864370000000002</v>
      </c>
      <c r="Y4615">
        <v>-0.13415569999999999</v>
      </c>
      <c r="Z4615">
        <v>0.10499600000000001</v>
      </c>
      <c r="AA4615">
        <v>0.98538219999999999</v>
      </c>
      <c r="AB4615">
        <v>19</v>
      </c>
      <c r="AC4615">
        <v>1.8318999999999599</v>
      </c>
      <c r="AD4615">
        <v>-1.104387084237</v>
      </c>
      <c r="AE4615">
        <v>-10.1852599999999</v>
      </c>
      <c r="AF4615">
        <v>-1.4004271014895</v>
      </c>
      <c r="AG4615">
        <v>-1.104387084237</v>
      </c>
      <c r="AH4615">
        <v>10.135871370685299</v>
      </c>
      <c r="AI4615">
        <v>96.160254711529504</v>
      </c>
      <c r="AJ4615">
        <v>97.866492441493804</v>
      </c>
      <c r="AK4615">
        <v>10.291586628965099</v>
      </c>
    </row>
    <row r="4616" spans="1:37" x14ac:dyDescent="0.2">
      <c r="A4616" t="str">
        <f>"20200111155947102"</f>
        <v>20200111155947102</v>
      </c>
      <c r="B4616" t="str">
        <f>"1578729587094987"</f>
        <v>1578729587094987</v>
      </c>
      <c r="C4616" t="s">
        <v>37</v>
      </c>
      <c r="D4616">
        <v>5.5142350000000002</v>
      </c>
      <c r="E4616">
        <v>0.46890169999999998</v>
      </c>
      <c r="F4616" t="s">
        <v>39</v>
      </c>
      <c r="G4616">
        <v>-420.12810000000002</v>
      </c>
      <c r="H4616" s="1">
        <v>-2.0249619999999999E-6</v>
      </c>
      <c r="I4616">
        <v>44.229909999999997</v>
      </c>
      <c r="J4616">
        <v>-421.94850000000002</v>
      </c>
      <c r="K4616">
        <v>1.104374</v>
      </c>
      <c r="L4616">
        <v>54.396479999999997</v>
      </c>
      <c r="M4616">
        <v>4.0490930000000001E-2</v>
      </c>
      <c r="N4616">
        <v>0</v>
      </c>
      <c r="O4616">
        <v>-0.99908929999999996</v>
      </c>
      <c r="P4616">
        <v>8.580554E-2</v>
      </c>
      <c r="Q4616">
        <v>8.9540969999999994E-3</v>
      </c>
      <c r="R4616">
        <v>-0.99627199999999905</v>
      </c>
      <c r="S4616">
        <v>0.52511600000000003</v>
      </c>
      <c r="T4616">
        <v>-0.31745780000000001</v>
      </c>
      <c r="U4616">
        <v>-2.9683839999999999</v>
      </c>
      <c r="V4616">
        <v>-4.5384880000000002E-2</v>
      </c>
      <c r="W4616">
        <v>2.2415020000000001E-2</v>
      </c>
      <c r="X4616">
        <v>0.99871810000000005</v>
      </c>
      <c r="Y4616">
        <v>-0.13321849999999999</v>
      </c>
      <c r="Z4616">
        <v>0.104931199999999</v>
      </c>
      <c r="AA4616">
        <v>0.98551630000000001</v>
      </c>
      <c r="AB4616">
        <v>19</v>
      </c>
      <c r="AC4616">
        <v>1.8204</v>
      </c>
      <c r="AD4616">
        <v>-1.104376024962</v>
      </c>
      <c r="AE4616">
        <v>-10.16657</v>
      </c>
      <c r="AF4616">
        <v>-1.3913081550161801</v>
      </c>
      <c r="AG4616">
        <v>-1.104376024962</v>
      </c>
      <c r="AH4616">
        <v>10.1162827300833</v>
      </c>
      <c r="AI4616">
        <v>96.172554983284002</v>
      </c>
      <c r="AJ4616">
        <v>97.830851258523396</v>
      </c>
      <c r="AK4616">
        <v>10.2710545253011</v>
      </c>
    </row>
    <row r="4617" spans="1:37" x14ac:dyDescent="0.2">
      <c r="A4617" t="str">
        <f>"20200111155947126"</f>
        <v>20200111155947126</v>
      </c>
      <c r="B4617" t="str">
        <f>"1578729587115480"</f>
        <v>1578729587115480</v>
      </c>
      <c r="C4617" t="s">
        <v>37</v>
      </c>
      <c r="D4617">
        <v>5.4623160000000004</v>
      </c>
      <c r="E4617">
        <v>0.46893879999999999</v>
      </c>
      <c r="F4617" t="s">
        <v>39</v>
      </c>
      <c r="G4617">
        <v>-420.14659999999998</v>
      </c>
      <c r="H4617" s="1">
        <v>-1.9408429999999998E-6</v>
      </c>
      <c r="I4617">
        <v>44.022309999999997</v>
      </c>
      <c r="J4617">
        <v>-421.94080000000002</v>
      </c>
      <c r="K4617">
        <v>1.1043620000000001</v>
      </c>
      <c r="L4617">
        <v>54.199829999999999</v>
      </c>
      <c r="M4617">
        <v>4.0285719999999997E-2</v>
      </c>
      <c r="N4617">
        <v>0</v>
      </c>
      <c r="O4617">
        <v>-0.99909760000000003</v>
      </c>
      <c r="P4617">
        <v>8.3479090000000006E-2</v>
      </c>
      <c r="Q4617">
        <v>9.2461869999999995E-3</v>
      </c>
      <c r="R4617">
        <v>-0.99646699999999999</v>
      </c>
      <c r="S4617">
        <v>0.51580809999999999</v>
      </c>
      <c r="T4617">
        <v>-0.31613390000000002</v>
      </c>
      <c r="U4617">
        <v>-2.9696660000000001</v>
      </c>
      <c r="V4617">
        <v>-4.3257190000000001E-2</v>
      </c>
      <c r="W4617">
        <v>2.2706290000000001E-2</v>
      </c>
      <c r="X4617">
        <v>0.99880590000000002</v>
      </c>
      <c r="Y4617">
        <v>-0.13035930000000001</v>
      </c>
      <c r="Z4617">
        <v>0.1045035</v>
      </c>
      <c r="AA4617">
        <v>0.98594400000000004</v>
      </c>
      <c r="AB4617">
        <v>19</v>
      </c>
      <c r="AC4617">
        <v>1.79420000000004</v>
      </c>
      <c r="AD4617">
        <v>-1.1043639408429999</v>
      </c>
      <c r="AE4617">
        <v>-10.177519999999999</v>
      </c>
      <c r="AF4617">
        <v>-1.3670858646594799</v>
      </c>
      <c r="AG4617">
        <v>-1.1043639408429999</v>
      </c>
      <c r="AH4617">
        <v>10.1259102843884</v>
      </c>
      <c r="AI4617">
        <v>96.168730200255197</v>
      </c>
      <c r="AJ4617">
        <v>97.688936658413894</v>
      </c>
      <c r="AK4617">
        <v>10.277285758539</v>
      </c>
    </row>
    <row r="4618" spans="1:37" x14ac:dyDescent="0.2">
      <c r="A4618" t="str">
        <f>"20200111155947146"</f>
        <v>20200111155947146</v>
      </c>
      <c r="B4618" t="str">
        <f>"1578729587135000"</f>
        <v>1578729587135000</v>
      </c>
      <c r="C4618" t="s">
        <v>37</v>
      </c>
      <c r="D4618">
        <v>5.4207359999999998</v>
      </c>
      <c r="E4618">
        <v>0.46833419999999998</v>
      </c>
      <c r="F4618" t="s">
        <v>39</v>
      </c>
      <c r="G4618">
        <v>-420.15789999999998</v>
      </c>
      <c r="H4618" s="1">
        <v>-1.8403559999999901E-6</v>
      </c>
      <c r="I4618">
        <v>43.781079999999903</v>
      </c>
      <c r="J4618">
        <v>-421.93360000000001</v>
      </c>
      <c r="K4618">
        <v>1.1043529999999999</v>
      </c>
      <c r="L4618">
        <v>54.016390000000001</v>
      </c>
      <c r="M4618">
        <v>4.0077450000000001E-2</v>
      </c>
      <c r="N4618">
        <v>0</v>
      </c>
      <c r="O4618">
        <v>-0.99910599999999905</v>
      </c>
      <c r="P4618">
        <v>8.1450839999999997E-2</v>
      </c>
      <c r="Q4618">
        <v>9.6765879999999999E-3</v>
      </c>
      <c r="R4618">
        <v>-0.99663069999999898</v>
      </c>
      <c r="S4618">
        <v>0.50839230000000002</v>
      </c>
      <c r="T4618">
        <v>-0.314916799999999</v>
      </c>
      <c r="U4618">
        <v>-2.9709779999999899</v>
      </c>
      <c r="V4618">
        <v>-4.1431179999999998E-2</v>
      </c>
      <c r="W4618">
        <v>2.313629E-2</v>
      </c>
      <c r="X4618">
        <v>0.99887349999999997</v>
      </c>
      <c r="Y4618">
        <v>-0.12810930000000001</v>
      </c>
      <c r="Z4618">
        <v>0.1040991</v>
      </c>
      <c r="AA4618">
        <v>0.98628159999999898</v>
      </c>
      <c r="AB4618">
        <v>19</v>
      </c>
      <c r="AC4618">
        <v>1.77570000000002</v>
      </c>
      <c r="AD4618">
        <v>-1.104354840356</v>
      </c>
      <c r="AE4618">
        <v>-10.23531</v>
      </c>
      <c r="AF4618">
        <v>-1.34878750396733</v>
      </c>
      <c r="AG4618">
        <v>-1.104354840356</v>
      </c>
      <c r="AH4618">
        <v>10.1831718978182</v>
      </c>
      <c r="AI4618">
        <v>96.136302130943207</v>
      </c>
      <c r="AJ4618">
        <v>97.545056295942899</v>
      </c>
      <c r="AK4618">
        <v>10.331302785457</v>
      </c>
    </row>
    <row r="4619" spans="1:37" x14ac:dyDescent="0.2">
      <c r="A4619" t="str">
        <f>"20200111155947169"</f>
        <v>20200111155947169</v>
      </c>
      <c r="B4619" t="str">
        <f>"1578729587165256"</f>
        <v>1578729587165256</v>
      </c>
      <c r="C4619" t="s">
        <v>37</v>
      </c>
      <c r="D4619">
        <v>5.5206879999999998</v>
      </c>
      <c r="E4619">
        <v>0.46733739999999901</v>
      </c>
      <c r="F4619" t="s">
        <v>39</v>
      </c>
      <c r="G4619">
        <v>-420.12939999999998</v>
      </c>
      <c r="H4619" s="1">
        <v>-1.689181E-6</v>
      </c>
      <c r="I4619">
        <v>43.446359999999999</v>
      </c>
      <c r="J4619">
        <v>-421.92610000000002</v>
      </c>
      <c r="K4619">
        <v>1.1043430000000001</v>
      </c>
      <c r="L4619">
        <v>53.823360000000001</v>
      </c>
      <c r="M4619">
        <v>3.9847819999999999E-2</v>
      </c>
      <c r="N4619">
        <v>0</v>
      </c>
      <c r="O4619">
        <v>-0.99911530000000004</v>
      </c>
      <c r="P4619">
        <v>8.0378099999999994E-2</v>
      </c>
      <c r="Q4619">
        <v>9.6095E-3</v>
      </c>
      <c r="R4619">
        <v>-0.996718199999999</v>
      </c>
      <c r="S4619">
        <v>0.50723269999999998</v>
      </c>
      <c r="T4619">
        <v>-0.31048359999999903</v>
      </c>
      <c r="U4619">
        <v>-2.9717099999999999</v>
      </c>
      <c r="V4619">
        <v>-4.0585320000000001E-2</v>
      </c>
      <c r="W4619">
        <v>2.3068109999999999E-2</v>
      </c>
      <c r="X4619">
        <v>0.99890979999999996</v>
      </c>
      <c r="Y4619">
        <v>-0.12794849999999999</v>
      </c>
      <c r="Z4619">
        <v>0.102630399999999</v>
      </c>
      <c r="AA4619">
        <v>0.98645640000000001</v>
      </c>
      <c r="AB4619">
        <v>19</v>
      </c>
      <c r="AC4619">
        <v>1.7967000000000399</v>
      </c>
      <c r="AD4619">
        <v>-1.104344689181</v>
      </c>
      <c r="AE4619">
        <v>-10.377000000000001</v>
      </c>
      <c r="AF4619">
        <v>-1.36670612526215</v>
      </c>
      <c r="AG4619">
        <v>-1.104344689181</v>
      </c>
      <c r="AH4619">
        <v>10.326803459722299</v>
      </c>
      <c r="AI4619">
        <v>96.051620859738307</v>
      </c>
      <c r="AJ4619">
        <v>97.539026992433406</v>
      </c>
      <c r="AK4619">
        <v>10.475224700267001</v>
      </c>
    </row>
    <row r="4620" spans="1:37" x14ac:dyDescent="0.2">
      <c r="A4620" t="str">
        <f>"20200111155947192"</f>
        <v>20200111155947192</v>
      </c>
      <c r="B4620" t="str">
        <f>"1578729587184776"</f>
        <v>1578729587184776</v>
      </c>
      <c r="C4620" t="s">
        <v>37</v>
      </c>
      <c r="D4620">
        <v>5.3556980000000003</v>
      </c>
      <c r="E4620">
        <v>0.466110999999999</v>
      </c>
      <c r="F4620" t="s">
        <v>39</v>
      </c>
      <c r="G4620">
        <v>-420.0761</v>
      </c>
      <c r="H4620" s="1">
        <v>-1.518109E-6</v>
      </c>
      <c r="I4620">
        <v>43.080649999999999</v>
      </c>
      <c r="J4620">
        <v>-421.91840000000002</v>
      </c>
      <c r="K4620">
        <v>1.1043339999999999</v>
      </c>
      <c r="L4620">
        <v>53.624180000000003</v>
      </c>
      <c r="M4620">
        <v>3.9606420000000003E-2</v>
      </c>
      <c r="N4620">
        <v>0</v>
      </c>
      <c r="O4620">
        <v>-0.99912479999999904</v>
      </c>
      <c r="P4620">
        <v>8.1182959999999998E-2</v>
      </c>
      <c r="Q4620">
        <v>8.7831880000000008E-3</v>
      </c>
      <c r="R4620">
        <v>-0.99666030000000005</v>
      </c>
      <c r="S4620">
        <v>0.51171880000000003</v>
      </c>
      <c r="T4620">
        <v>-0.30547429999999998</v>
      </c>
      <c r="U4620">
        <v>-2.9715579999999999</v>
      </c>
      <c r="V4620">
        <v>-4.1633509999999999E-2</v>
      </c>
      <c r="W4620">
        <v>2.2239109999999999E-2</v>
      </c>
      <c r="X4620">
        <v>0.99888539999999904</v>
      </c>
      <c r="Y4620">
        <v>-0.1296718</v>
      </c>
      <c r="Z4620">
        <v>0.1009743</v>
      </c>
      <c r="AA4620">
        <v>0.98640229999999995</v>
      </c>
      <c r="AB4620">
        <v>19</v>
      </c>
      <c r="AC4620">
        <v>1.84230000000002</v>
      </c>
      <c r="AD4620">
        <v>-1.104335518109</v>
      </c>
      <c r="AE4620">
        <v>-10.543530000000001</v>
      </c>
      <c r="AF4620">
        <v>-1.4082334835421799</v>
      </c>
      <c r="AG4620">
        <v>-1.104335518109</v>
      </c>
      <c r="AH4620">
        <v>10.4964880686596</v>
      </c>
      <c r="AI4620">
        <v>95.953044709607198</v>
      </c>
      <c r="AJ4620">
        <v>97.641307646231695</v>
      </c>
      <c r="AK4620">
        <v>10.6479547452193</v>
      </c>
    </row>
    <row r="4621" spans="1:37" x14ac:dyDescent="0.2">
      <c r="A4621" t="str">
        <f>"20200111155947214"</f>
        <v>20200111155947214</v>
      </c>
      <c r="B4621" t="str">
        <f>"1578729587205272"</f>
        <v>1578729587205272</v>
      </c>
      <c r="C4621" t="s">
        <v>37</v>
      </c>
      <c r="D4621">
        <v>5.3892220000000002</v>
      </c>
      <c r="E4621">
        <v>0.46525470000000002</v>
      </c>
      <c r="F4621" t="s">
        <v>39</v>
      </c>
      <c r="G4621">
        <v>-420.05509999999998</v>
      </c>
      <c r="H4621" s="1">
        <v>-1.49439E-6</v>
      </c>
      <c r="I4621">
        <v>43.03837</v>
      </c>
      <c r="J4621">
        <v>-421.91109999999998</v>
      </c>
      <c r="K4621">
        <v>1.104333</v>
      </c>
      <c r="L4621">
        <v>53.434449999999998</v>
      </c>
      <c r="M4621">
        <v>3.9376559999999998E-2</v>
      </c>
      <c r="N4621">
        <v>0</v>
      </c>
      <c r="O4621">
        <v>-0.99913390000000002</v>
      </c>
      <c r="P4621">
        <v>8.290749E-2</v>
      </c>
      <c r="Q4621">
        <v>8.158027E-3</v>
      </c>
      <c r="R4621">
        <v>-0.99652399999999997</v>
      </c>
      <c r="S4621">
        <v>0.52279659999999994</v>
      </c>
      <c r="T4621">
        <v>-0.30985629999999997</v>
      </c>
      <c r="U4621">
        <v>-2.9701840000000002</v>
      </c>
      <c r="V4621">
        <v>-4.3592100000000002E-2</v>
      </c>
      <c r="W4621">
        <v>2.1612220000000001E-2</v>
      </c>
      <c r="X4621">
        <v>0.99881559999999903</v>
      </c>
      <c r="Y4621">
        <v>-0.13352069999999999</v>
      </c>
      <c r="Z4621">
        <v>0.1023966</v>
      </c>
      <c r="AA4621">
        <v>0.98574189999999995</v>
      </c>
      <c r="AB4621">
        <v>19</v>
      </c>
      <c r="AC4621">
        <v>1.8559999999999901</v>
      </c>
      <c r="AD4621">
        <v>-1.10433449439</v>
      </c>
      <c r="AE4621">
        <v>-10.3960799999999</v>
      </c>
      <c r="AF4621">
        <v>-1.4295288799547301</v>
      </c>
      <c r="AG4621">
        <v>-1.10433449439</v>
      </c>
      <c r="AH4621">
        <v>10.3479460178457</v>
      </c>
      <c r="AI4621">
        <v>96.034675909272096</v>
      </c>
      <c r="AJ4621">
        <v>97.865407927939899</v>
      </c>
      <c r="AK4621">
        <v>10.5044321256493</v>
      </c>
    </row>
    <row r="4622" spans="1:37" x14ac:dyDescent="0.2">
      <c r="A4622" t="str">
        <f>"20200111155947236"</f>
        <v>20200111155947236</v>
      </c>
      <c r="B4622" t="str">
        <f>"1578729587224792"</f>
        <v>1578729587224792</v>
      </c>
      <c r="C4622" t="s">
        <v>37</v>
      </c>
      <c r="D4622">
        <v>5.3126689999999996</v>
      </c>
      <c r="E4622">
        <v>0.46455169999999901</v>
      </c>
      <c r="F4622" t="s">
        <v>39</v>
      </c>
      <c r="G4622">
        <v>-420.0206</v>
      </c>
      <c r="H4622" s="1">
        <v>-1.4369839999999999E-6</v>
      </c>
      <c r="I4622">
        <v>42.92597</v>
      </c>
      <c r="J4622">
        <v>-421.904</v>
      </c>
      <c r="K4622">
        <v>1.104341</v>
      </c>
      <c r="L4622">
        <v>53.246669999999902</v>
      </c>
      <c r="M4622">
        <v>3.9151569999999997E-2</v>
      </c>
      <c r="N4622">
        <v>0</v>
      </c>
      <c r="O4622">
        <v>-0.99914289999999994</v>
      </c>
      <c r="P4622">
        <v>8.5335170000000002E-2</v>
      </c>
      <c r="Q4622">
        <v>7.7550769999999896E-3</v>
      </c>
      <c r="R4622">
        <v>-0.99632219999999905</v>
      </c>
      <c r="S4622">
        <v>0.53405760000000002</v>
      </c>
      <c r="T4622">
        <v>-0.31196950000000001</v>
      </c>
      <c r="U4622">
        <v>-2.9685969999999999</v>
      </c>
      <c r="V4622">
        <v>-4.6251390000000003E-2</v>
      </c>
      <c r="W4622">
        <v>2.120557E-2</v>
      </c>
      <c r="X4622">
        <v>0.998704699999999</v>
      </c>
      <c r="Y4622">
        <v>-0.1374447</v>
      </c>
      <c r="Z4622">
        <v>0.10308109999999999</v>
      </c>
      <c r="AA4622">
        <v>0.98513109999999904</v>
      </c>
      <c r="AB4622">
        <v>19</v>
      </c>
      <c r="AC4622">
        <v>1.88339999999999</v>
      </c>
      <c r="AD4622">
        <v>-1.104342436984</v>
      </c>
      <c r="AE4622">
        <v>-10.320699999999899</v>
      </c>
      <c r="AF4622">
        <v>-1.4616516678234399</v>
      </c>
      <c r="AG4622">
        <v>-1.104342436984</v>
      </c>
      <c r="AH4622">
        <v>10.272702853341</v>
      </c>
      <c r="AI4622">
        <v>96.075158272701998</v>
      </c>
      <c r="AJ4622">
        <v>98.097974818593997</v>
      </c>
      <c r="AK4622">
        <v>10.4347698455316</v>
      </c>
    </row>
    <row r="4623" spans="1:37" x14ac:dyDescent="0.2">
      <c r="A4623" t="str">
        <f>"20200111155947258"</f>
        <v>20200111155947258</v>
      </c>
      <c r="B4623" t="str">
        <f>"1578729587255048"</f>
        <v>1578729587255048</v>
      </c>
      <c r="C4623" t="s">
        <v>37</v>
      </c>
      <c r="D4623">
        <v>5.2682859999999998</v>
      </c>
      <c r="E4623">
        <v>0.46362740000000002</v>
      </c>
      <c r="F4623" t="s">
        <v>39</v>
      </c>
      <c r="G4623">
        <v>-419.97019999999998</v>
      </c>
      <c r="H4623" s="1">
        <v>-1.3464979999999899E-6</v>
      </c>
      <c r="I4623">
        <v>42.746319999999997</v>
      </c>
      <c r="J4623">
        <v>-421.89670000000001</v>
      </c>
      <c r="K4623">
        <v>1.1043419999999999</v>
      </c>
      <c r="L4623">
        <v>53.055269999999901</v>
      </c>
      <c r="M4623">
        <v>3.8925969999999997E-2</v>
      </c>
      <c r="N4623">
        <v>0</v>
      </c>
      <c r="O4623">
        <v>-0.99915180000000003</v>
      </c>
      <c r="P4623">
        <v>8.7601129999999999E-2</v>
      </c>
      <c r="Q4623">
        <v>7.5012769999999998E-3</v>
      </c>
      <c r="R4623">
        <v>-0.99612769999999995</v>
      </c>
      <c r="S4623">
        <v>0.54635619999999996</v>
      </c>
      <c r="T4623">
        <v>-0.31201390000000001</v>
      </c>
      <c r="U4623">
        <v>-2.9667050000000001</v>
      </c>
      <c r="V4623">
        <v>-4.8748800000000002E-2</v>
      </c>
      <c r="W4623">
        <v>2.094909E-2</v>
      </c>
      <c r="X4623">
        <v>0.99859140000000002</v>
      </c>
      <c r="Y4623">
        <v>-0.1417292</v>
      </c>
      <c r="Z4623">
        <v>0.10309210000000001</v>
      </c>
      <c r="AA4623">
        <v>0.98452260000000003</v>
      </c>
      <c r="AB4623">
        <v>19</v>
      </c>
      <c r="AC4623">
        <v>1.9265000000000301</v>
      </c>
      <c r="AD4623">
        <v>-1.1043433464979999</v>
      </c>
      <c r="AE4623">
        <v>-10.3089499999999</v>
      </c>
      <c r="AF4623">
        <v>-1.5070071520307899</v>
      </c>
      <c r="AG4623">
        <v>-1.1043433464979999</v>
      </c>
      <c r="AH4623">
        <v>10.2623394680377</v>
      </c>
      <c r="AI4623">
        <v>96.077353296519206</v>
      </c>
      <c r="AJ4623">
        <v>98.354079251016799</v>
      </c>
      <c r="AK4623">
        <v>10.431023734057501</v>
      </c>
    </row>
    <row r="4624" spans="1:37" x14ac:dyDescent="0.2">
      <c r="A4624" t="str">
        <f>"20200111155947273"</f>
        <v>20200111155947273</v>
      </c>
      <c r="B4624" t="str">
        <f>"1578729587264809"</f>
        <v>1578729587264809</v>
      </c>
      <c r="C4624" t="s">
        <v>37</v>
      </c>
      <c r="D4624">
        <v>5.197012</v>
      </c>
      <c r="E4624">
        <v>0.4632867</v>
      </c>
      <c r="F4624" t="s">
        <v>39</v>
      </c>
      <c r="G4624">
        <v>-419.90989999999999</v>
      </c>
      <c r="H4624" s="1">
        <v>-1.261871E-6</v>
      </c>
      <c r="I4624">
        <v>42.53698</v>
      </c>
      <c r="J4624">
        <v>-421.89170000000001</v>
      </c>
      <c r="K4624">
        <v>1.104344</v>
      </c>
      <c r="L4624">
        <v>52.922669999999997</v>
      </c>
      <c r="M4624">
        <v>3.8772649999999999E-2</v>
      </c>
      <c r="N4624">
        <v>0</v>
      </c>
      <c r="O4624">
        <v>-0.99915769999999904</v>
      </c>
      <c r="P4624">
        <v>8.8623199999999999E-2</v>
      </c>
      <c r="Q4624">
        <v>7.4932779999999999E-3</v>
      </c>
      <c r="R4624">
        <v>-0.99603719999999996</v>
      </c>
      <c r="S4624">
        <v>0.55999759999999998</v>
      </c>
      <c r="T4624">
        <v>-0.31127719999999998</v>
      </c>
      <c r="U4624">
        <v>-2.9647519999999998</v>
      </c>
      <c r="V4624">
        <v>-4.9927279999999997E-2</v>
      </c>
      <c r="W4624">
        <v>2.0939079999999999E-2</v>
      </c>
      <c r="X4624">
        <v>0.99853329999999996</v>
      </c>
      <c r="Y4624">
        <v>-0.14637749999999999</v>
      </c>
      <c r="Z4624">
        <v>0.1028405</v>
      </c>
      <c r="AA4624">
        <v>0.98386859999999998</v>
      </c>
      <c r="AB4624">
        <v>19</v>
      </c>
      <c r="AC4624">
        <v>1.98180000000002</v>
      </c>
      <c r="AD4624">
        <v>-1.1043452618709999</v>
      </c>
      <c r="AE4624">
        <v>-10.385689999999901</v>
      </c>
      <c r="AF4624">
        <v>-1.5605673750479201</v>
      </c>
      <c r="AG4624">
        <v>-1.1043452618709999</v>
      </c>
      <c r="AH4624">
        <v>10.341900352335401</v>
      </c>
      <c r="AI4624">
        <v>96.027426597731505</v>
      </c>
      <c r="AJ4624">
        <v>98.581052909559403</v>
      </c>
      <c r="AK4624">
        <v>10.517121844265001</v>
      </c>
    </row>
    <row r="4625" spans="1:37" x14ac:dyDescent="0.2">
      <c r="A4625" t="str">
        <f>"20200111155947293"</f>
        <v>20200111155947293</v>
      </c>
      <c r="B4625" t="str">
        <f>"1578729587285304"</f>
        <v>1578729587285304</v>
      </c>
      <c r="C4625" t="s">
        <v>37</v>
      </c>
      <c r="D4625">
        <v>5.2265079999999999</v>
      </c>
      <c r="E4625">
        <v>0.46306570000000002</v>
      </c>
      <c r="F4625" t="s">
        <v>39</v>
      </c>
      <c r="G4625">
        <v>-419.89569999999998</v>
      </c>
      <c r="H4625" s="1">
        <v>-1.23506E-6</v>
      </c>
      <c r="I4625">
        <v>42.468589999999999</v>
      </c>
      <c r="J4625">
        <v>-421.88569999999999</v>
      </c>
      <c r="K4625">
        <v>1.1043499999999999</v>
      </c>
      <c r="L4625">
        <v>52.7611699999999</v>
      </c>
      <c r="M4625">
        <v>3.8588490000000003E-2</v>
      </c>
      <c r="N4625">
        <v>0</v>
      </c>
      <c r="O4625">
        <v>-0.99916489999999902</v>
      </c>
      <c r="P4625">
        <v>9.0280830000000006E-2</v>
      </c>
      <c r="Q4625">
        <v>7.3141459999999997E-3</v>
      </c>
      <c r="R4625">
        <v>-0.99588999999999905</v>
      </c>
      <c r="S4625">
        <v>0.56591800000000003</v>
      </c>
      <c r="T4625">
        <v>-0.31310250000000001</v>
      </c>
      <c r="U4625">
        <v>-2.9639279999999899</v>
      </c>
      <c r="V4625">
        <v>-5.1773380000000001E-2</v>
      </c>
      <c r="W4625">
        <v>2.0757439999999999E-2</v>
      </c>
      <c r="X4625">
        <v>0.99844310000000003</v>
      </c>
      <c r="Y4625">
        <v>-0.14849479999999901</v>
      </c>
      <c r="Z4625">
        <v>0.1034308</v>
      </c>
      <c r="AA4625">
        <v>0.98348939999999996</v>
      </c>
      <c r="AB4625">
        <v>19</v>
      </c>
      <c r="AC4625">
        <v>1.99</v>
      </c>
      <c r="AD4625">
        <v>-1.10435123506</v>
      </c>
      <c r="AE4625">
        <v>-10.2925799999999</v>
      </c>
      <c r="AF4625">
        <v>-1.57384080860884</v>
      </c>
      <c r="AG4625">
        <v>-1.10435123506</v>
      </c>
      <c r="AH4625">
        <v>10.247983009166701</v>
      </c>
      <c r="AI4625">
        <v>96.079880246422107</v>
      </c>
      <c r="AJ4625">
        <v>98.731022127139795</v>
      </c>
      <c r="AK4625">
        <v>10.426779095070099</v>
      </c>
    </row>
    <row r="4626" spans="1:37" x14ac:dyDescent="0.2">
      <c r="A4626" t="str">
        <f>"20200111155947307"</f>
        <v>20200111155947307</v>
      </c>
      <c r="B4626" t="str">
        <f>"1578729587304825"</f>
        <v>1578729587304825</v>
      </c>
      <c r="C4626" t="s">
        <v>37</v>
      </c>
      <c r="D4626">
        <v>4.4495979999999999</v>
      </c>
      <c r="E4626">
        <v>0.39430500000000002</v>
      </c>
      <c r="F4626" t="s">
        <v>39</v>
      </c>
      <c r="G4626">
        <v>-419.8732</v>
      </c>
      <c r="H4626" s="1">
        <v>-1.1795169999999999E-6</v>
      </c>
      <c r="I4626">
        <v>42.329839999999997</v>
      </c>
      <c r="J4626">
        <v>-421.88080000000002</v>
      </c>
      <c r="K4626">
        <v>1.1043529999999999</v>
      </c>
      <c r="L4626">
        <v>52.630309999999902</v>
      </c>
      <c r="M4626">
        <v>3.8441000000000003E-2</v>
      </c>
      <c r="N4626">
        <v>0</v>
      </c>
      <c r="O4626">
        <v>-0.99917060000000002</v>
      </c>
      <c r="P4626">
        <v>9.076033E-2</v>
      </c>
      <c r="Q4626">
        <v>7.5899139999999997E-3</v>
      </c>
      <c r="R4626">
        <v>-0.99584430000000002</v>
      </c>
      <c r="S4626">
        <v>0.57159419999999905</v>
      </c>
      <c r="T4626">
        <v>-0.31367410000000001</v>
      </c>
      <c r="U4626">
        <v>-2.96286</v>
      </c>
      <c r="V4626">
        <v>-5.240152E-2</v>
      </c>
      <c r="W4626">
        <v>2.1031089999999999E-2</v>
      </c>
      <c r="X4626">
        <v>0.99840459999999998</v>
      </c>
      <c r="Y4626">
        <v>-0.15051919999999999</v>
      </c>
      <c r="Z4626">
        <v>0.1036204</v>
      </c>
      <c r="AA4626">
        <v>0.98316159999999997</v>
      </c>
      <c r="AB4626">
        <v>19</v>
      </c>
      <c r="AC4626">
        <v>2.00760000000002</v>
      </c>
      <c r="AD4626">
        <v>-1.104354179517</v>
      </c>
      <c r="AE4626">
        <v>-10.300469999999899</v>
      </c>
      <c r="AF4626">
        <v>-1.59248435263851</v>
      </c>
      <c r="AG4626">
        <v>-1.104354179517</v>
      </c>
      <c r="AH4626">
        <v>10.256454807393</v>
      </c>
      <c r="AI4626">
        <v>96.073374440328493</v>
      </c>
      <c r="AJ4626">
        <v>98.825646264999094</v>
      </c>
      <c r="AK4626">
        <v>10.4379341722062</v>
      </c>
    </row>
    <row r="4627" spans="1:37" x14ac:dyDescent="0.2">
      <c r="A4627" t="str">
        <f>"20200111155947325"</f>
        <v>20200111155947325</v>
      </c>
      <c r="B4627" t="str">
        <f>"1578729587315561"</f>
        <v>1578729587315561</v>
      </c>
      <c r="C4627" t="s">
        <v>37</v>
      </c>
      <c r="D4627">
        <v>4.7858900000000002</v>
      </c>
      <c r="E4627">
        <v>0.38677299999999998</v>
      </c>
      <c r="F4627" t="s">
        <v>39</v>
      </c>
      <c r="G4627">
        <v>-417.2475</v>
      </c>
      <c r="H4627" s="1">
        <v>-1.0434349999999999E-6</v>
      </c>
      <c r="I4627">
        <v>40.562159999999999</v>
      </c>
      <c r="J4627">
        <v>-421.87529999999998</v>
      </c>
      <c r="K4627">
        <v>1.1043639999999999</v>
      </c>
      <c r="L4627">
        <v>52.483309999999904</v>
      </c>
      <c r="M4627">
        <v>3.827742E-2</v>
      </c>
      <c r="N4627">
        <v>0</v>
      </c>
      <c r="O4627">
        <v>-0.99917679999999998</v>
      </c>
      <c r="P4627">
        <v>9.1536549999999994E-2</v>
      </c>
      <c r="Q4627">
        <v>7.8480389999999994E-3</v>
      </c>
      <c r="R4627">
        <v>-0.99577099999999996</v>
      </c>
      <c r="S4627">
        <v>1.118225</v>
      </c>
      <c r="T4627">
        <v>-0.2665341</v>
      </c>
      <c r="U4627">
        <v>-2.91262799999999</v>
      </c>
      <c r="V4627">
        <v>-5.3343359999999999E-2</v>
      </c>
      <c r="W4627">
        <v>2.1287090000000002E-2</v>
      </c>
      <c r="X4627">
        <v>0.9983493</v>
      </c>
      <c r="Y4627">
        <v>-0.32110290000000002</v>
      </c>
      <c r="Z4627">
        <v>8.5596359999999996E-2</v>
      </c>
      <c r="AA4627">
        <v>0.94316819999999901</v>
      </c>
      <c r="AB4627">
        <v>19</v>
      </c>
      <c r="AC4627">
        <v>4.6277999999999704</v>
      </c>
      <c r="AD4627">
        <v>-1.1043650434350001</v>
      </c>
      <c r="AE4627">
        <v>-11.9211499999999</v>
      </c>
      <c r="AF4627">
        <v>-4.1372002782718003</v>
      </c>
      <c r="AG4627">
        <v>-1.1043650434350001</v>
      </c>
      <c r="AH4627">
        <v>12.000070790849801</v>
      </c>
      <c r="AI4627">
        <v>94.972454640373499</v>
      </c>
      <c r="AJ4627">
        <v>109.02238351078501</v>
      </c>
      <c r="AK4627">
        <v>12.7411831192044</v>
      </c>
    </row>
    <row r="4628" spans="1:37" x14ac:dyDescent="0.2">
      <c r="A4628" t="str">
        <f>"20200111155947348"</f>
        <v>20200111155947348</v>
      </c>
      <c r="B4628" t="str">
        <f>"1578729587345349"</f>
        <v>1578729587345349</v>
      </c>
      <c r="C4628" t="s">
        <v>37</v>
      </c>
      <c r="D4628">
        <v>4.431495</v>
      </c>
      <c r="E4628">
        <v>0.33654809999999902</v>
      </c>
      <c r="F4628" t="s">
        <v>39</v>
      </c>
      <c r="G4628">
        <v>-416.93239999999997</v>
      </c>
      <c r="H4628" s="1">
        <v>-1.041489E-6</v>
      </c>
      <c r="I4628">
        <v>40.310029999999998</v>
      </c>
      <c r="J4628">
        <v>-421.86829999999998</v>
      </c>
      <c r="K4628">
        <v>1.104368</v>
      </c>
      <c r="L4628">
        <v>52.293209999999902</v>
      </c>
      <c r="M4628">
        <v>3.8066530000000001E-2</v>
      </c>
      <c r="N4628">
        <v>0</v>
      </c>
      <c r="O4628">
        <v>-0.99918490000000004</v>
      </c>
      <c r="P4628">
        <v>9.1675690000000004E-2</v>
      </c>
      <c r="Q4628">
        <v>8.2187660000000006E-3</v>
      </c>
      <c r="R4628">
        <v>-0.99575519999999995</v>
      </c>
      <c r="S4628">
        <v>1.180115</v>
      </c>
      <c r="T4628">
        <v>-0.26366450000000002</v>
      </c>
      <c r="U4628">
        <v>-2.906342</v>
      </c>
      <c r="V4628">
        <v>-5.3694260000000001E-2</v>
      </c>
      <c r="W4628">
        <v>2.1655130000000002E-2</v>
      </c>
      <c r="X4628">
        <v>0.99832259999999995</v>
      </c>
      <c r="Y4628">
        <v>-0.33933590000000002</v>
      </c>
      <c r="Z4628">
        <v>8.4258150000000004E-2</v>
      </c>
      <c r="AA4628">
        <v>0.93688400000000005</v>
      </c>
      <c r="AB4628">
        <v>19</v>
      </c>
      <c r="AC4628">
        <v>4.9359000000000002</v>
      </c>
      <c r="AD4628">
        <v>-1.1043690414889999</v>
      </c>
      <c r="AE4628">
        <v>-11.9831799999999</v>
      </c>
      <c r="AF4628">
        <v>-4.4438537788724304</v>
      </c>
      <c r="AG4628">
        <v>-1.1043690414889999</v>
      </c>
      <c r="AH4628">
        <v>12.0747226592655</v>
      </c>
      <c r="AI4628">
        <v>94.905839929189696</v>
      </c>
      <c r="AJ4628">
        <v>110.20510226203299</v>
      </c>
      <c r="AK4628">
        <v>12.913806359318601</v>
      </c>
    </row>
    <row r="4629" spans="1:37" x14ac:dyDescent="0.2">
      <c r="A4629" t="str">
        <f>"20200111155947370"</f>
        <v>20200111155947370</v>
      </c>
      <c r="B4629" t="str">
        <f>"1578729587364868"</f>
        <v>1578729587364868</v>
      </c>
      <c r="C4629" t="s">
        <v>37</v>
      </c>
      <c r="D4629">
        <v>4.3525919999999996</v>
      </c>
      <c r="E4629">
        <v>0.33677099999999999</v>
      </c>
      <c r="F4629" t="s">
        <v>75</v>
      </c>
      <c r="G4629">
        <v>-406.36500000000001</v>
      </c>
      <c r="H4629" s="1">
        <v>-3.9181860000000001E-6</v>
      </c>
      <c r="I4629">
        <v>24.074069999999999</v>
      </c>
      <c r="J4629">
        <v>-421.86099999999999</v>
      </c>
      <c r="K4629">
        <v>1.1043689999999999</v>
      </c>
      <c r="L4629">
        <v>52.095790000000001</v>
      </c>
      <c r="M4629">
        <v>3.7847529999999997E-2</v>
      </c>
      <c r="N4629">
        <v>0</v>
      </c>
      <c r="O4629">
        <v>-0.99919349999999996</v>
      </c>
      <c r="P4629">
        <v>9.1813149999999996E-2</v>
      </c>
      <c r="Q4629">
        <v>8.3796719999999995E-3</v>
      </c>
      <c r="R4629">
        <v>-0.99574149999999995</v>
      </c>
      <c r="S4629">
        <v>1.5759889999999901</v>
      </c>
      <c r="T4629">
        <v>-0.1122652</v>
      </c>
      <c r="U4629">
        <v>-2.8686219999999998</v>
      </c>
      <c r="V4629">
        <v>-5.4050620000000001E-2</v>
      </c>
      <c r="W4629">
        <v>2.1813880000000001E-2</v>
      </c>
      <c r="X4629">
        <v>0.99829990000000002</v>
      </c>
      <c r="Y4629">
        <v>-0.44770149999999997</v>
      </c>
      <c r="Z4629">
        <v>3.4562139999999998E-2</v>
      </c>
      <c r="AA4629">
        <v>0.893514899999999</v>
      </c>
      <c r="AB4629">
        <v>19</v>
      </c>
      <c r="AC4629">
        <v>15.495999999999899</v>
      </c>
      <c r="AD4629">
        <v>-1.104372918186</v>
      </c>
      <c r="AE4629">
        <v>-28.021719999999998</v>
      </c>
      <c r="AF4629">
        <v>-14.407110031336799</v>
      </c>
      <c r="AG4629">
        <v>-1.104372918186</v>
      </c>
      <c r="AH4629">
        <v>28.554212554181301</v>
      </c>
      <c r="AI4629">
        <v>91.977641659420996</v>
      </c>
      <c r="AJ4629">
        <v>116.773359304973</v>
      </c>
      <c r="AK4629">
        <v>32.001992337772201</v>
      </c>
    </row>
    <row r="4630" spans="1:37" x14ac:dyDescent="0.2">
      <c r="A4630" t="str">
        <f>"20200111155947386"</f>
        <v>20200111155947386</v>
      </c>
      <c r="B4630" t="str">
        <f>"1578729587374629"</f>
        <v>1578729587374629</v>
      </c>
      <c r="C4630" t="s">
        <v>37</v>
      </c>
      <c r="D4630">
        <v>4.3292679999999999</v>
      </c>
      <c r="E4630">
        <v>0.33689859999999999</v>
      </c>
      <c r="F4630" t="s">
        <v>75</v>
      </c>
      <c r="G4630">
        <v>-405.7586</v>
      </c>
      <c r="H4630" s="1">
        <v>-3.988822E-6</v>
      </c>
      <c r="I4630">
        <v>22.756679999999999</v>
      </c>
      <c r="J4630">
        <v>-421.8562</v>
      </c>
      <c r="K4630">
        <v>1.1043670000000001</v>
      </c>
      <c r="L4630">
        <v>51.963470000000001</v>
      </c>
      <c r="M4630">
        <v>3.7700480000000001E-2</v>
      </c>
      <c r="N4630">
        <v>0</v>
      </c>
      <c r="O4630">
        <v>-0.99919899999999995</v>
      </c>
      <c r="P4630">
        <v>9.1498869999999996E-2</v>
      </c>
      <c r="Q4630">
        <v>8.5935009999999999E-3</v>
      </c>
      <c r="R4630">
        <v>-0.99576849999999995</v>
      </c>
      <c r="S4630">
        <v>1.574371</v>
      </c>
      <c r="T4630">
        <v>-0.107977399999999</v>
      </c>
      <c r="U4630">
        <v>-2.8685610000000001</v>
      </c>
      <c r="V4630">
        <v>-5.3882799999999897E-2</v>
      </c>
      <c r="W4630">
        <v>2.2026009999999999E-2</v>
      </c>
      <c r="X4630">
        <v>0.99830429999999903</v>
      </c>
      <c r="Y4630">
        <v>-0.44747529999999902</v>
      </c>
      <c r="Z4630">
        <v>3.325086E-2</v>
      </c>
      <c r="AA4630">
        <v>0.89367790000000003</v>
      </c>
      <c r="AB4630">
        <v>19</v>
      </c>
      <c r="AC4630">
        <v>16.0976</v>
      </c>
      <c r="AD4630">
        <v>-1.1043709888219999</v>
      </c>
      <c r="AE4630">
        <v>-29.206790000000002</v>
      </c>
      <c r="AF4630">
        <v>-14.9685298679503</v>
      </c>
      <c r="AG4630">
        <v>-1.1043709888219999</v>
      </c>
      <c r="AH4630">
        <v>29.760328585078302</v>
      </c>
      <c r="AI4630">
        <v>91.898755922402302</v>
      </c>
      <c r="AJ4630">
        <v>116.700989431384</v>
      </c>
      <c r="AK4630">
        <v>33.330971770719501</v>
      </c>
    </row>
    <row r="4631" spans="1:37" x14ac:dyDescent="0.2">
      <c r="A4631" t="str">
        <f>"20200111155947402"</f>
        <v>20200111155947402</v>
      </c>
      <c r="B4631" t="str">
        <f>"1578729587395124"</f>
        <v>1578729587395124</v>
      </c>
      <c r="C4631" t="s">
        <v>37</v>
      </c>
      <c r="D4631">
        <v>4.3172600000000001</v>
      </c>
      <c r="E4631">
        <v>0.33678000000000002</v>
      </c>
      <c r="F4631" t="s">
        <v>75</v>
      </c>
      <c r="G4631">
        <v>-405.65260000000001</v>
      </c>
      <c r="H4631" s="1">
        <v>-3.9777699999999999E-6</v>
      </c>
      <c r="I4631">
        <v>22.39498</v>
      </c>
      <c r="J4631">
        <v>-421.85070000000002</v>
      </c>
      <c r="K4631">
        <v>1.104366</v>
      </c>
      <c r="L4631">
        <v>51.81512</v>
      </c>
      <c r="M4631">
        <v>3.7535069999999997E-2</v>
      </c>
      <c r="N4631">
        <v>0</v>
      </c>
      <c r="O4631">
        <v>-0.99920520000000002</v>
      </c>
      <c r="P4631">
        <v>9.1348479999999996E-2</v>
      </c>
      <c r="Q4631">
        <v>8.7607759999999996E-3</v>
      </c>
      <c r="R4631">
        <v>-0.99578060000000002</v>
      </c>
      <c r="S4631">
        <v>1.572327</v>
      </c>
      <c r="T4631">
        <v>-0.10716349999999999</v>
      </c>
      <c r="U4631">
        <v>-2.869202</v>
      </c>
      <c r="V4631">
        <v>-5.3896890000000003E-2</v>
      </c>
      <c r="W4631">
        <v>2.219144E-2</v>
      </c>
      <c r="X4631">
        <v>0.99829990000000002</v>
      </c>
      <c r="Y4631">
        <v>-0.44705339999999999</v>
      </c>
      <c r="Z4631">
        <v>3.3003379999999999E-2</v>
      </c>
      <c r="AA4631">
        <v>0.89389819999999998</v>
      </c>
      <c r="AB4631">
        <v>19</v>
      </c>
      <c r="AC4631">
        <v>16.1981</v>
      </c>
      <c r="AD4631">
        <v>-1.10436997777</v>
      </c>
      <c r="AE4631">
        <v>-29.42014</v>
      </c>
      <c r="AF4631">
        <v>-15.0660058550447</v>
      </c>
      <c r="AG4631">
        <v>-1.10436997777</v>
      </c>
      <c r="AH4631">
        <v>29.975043509773901</v>
      </c>
      <c r="AI4631">
        <v>91.885428356209005</v>
      </c>
      <c r="AJ4631">
        <v>116.684940149235</v>
      </c>
      <c r="AK4631">
        <v>33.5664624124271</v>
      </c>
    </row>
    <row r="4632" spans="1:37" x14ac:dyDescent="0.2">
      <c r="A4632" t="str">
        <f>"20200111155947449"</f>
        <v>20200111155947449</v>
      </c>
      <c r="B4632" t="str">
        <f>"1578729587445408"</f>
        <v>1578729587445408</v>
      </c>
      <c r="C4632" t="s">
        <v>37</v>
      </c>
      <c r="D4632">
        <v>4.2084919999999997</v>
      </c>
      <c r="E4632">
        <v>0.33727259999999998</v>
      </c>
      <c r="F4632" t="s">
        <v>75</v>
      </c>
      <c r="G4632">
        <v>-405.49779999999998</v>
      </c>
      <c r="H4632" s="1">
        <v>-3.9820089999999998E-6</v>
      </c>
      <c r="I4632">
        <v>21.981110000000001</v>
      </c>
      <c r="J4632">
        <v>-421.83699999999999</v>
      </c>
      <c r="K4632">
        <v>1.1043639999999999</v>
      </c>
      <c r="L4632">
        <v>51.435270000000003</v>
      </c>
      <c r="M4632">
        <v>3.7109129999999997E-2</v>
      </c>
      <c r="N4632">
        <v>0</v>
      </c>
      <c r="O4632">
        <v>-0.99922089999999997</v>
      </c>
      <c r="P4632">
        <v>8.8983889999999996E-2</v>
      </c>
      <c r="Q4632">
        <v>8.9031070000000004E-3</v>
      </c>
      <c r="R4632">
        <v>-0.99599329999999997</v>
      </c>
      <c r="S4632">
        <v>1.572784</v>
      </c>
      <c r="T4632">
        <v>-0.1062153</v>
      </c>
      <c r="U4632">
        <v>-2.869354</v>
      </c>
      <c r="V4632">
        <v>-5.1951589999999999E-2</v>
      </c>
      <c r="W4632">
        <v>2.2330160000000002E-2</v>
      </c>
      <c r="X4632">
        <v>0.99839990000000001</v>
      </c>
      <c r="Y4632">
        <v>-0.44752879999999901</v>
      </c>
      <c r="Z4632">
        <v>3.2705720000000001E-2</v>
      </c>
      <c r="AA4632">
        <v>0.8936712</v>
      </c>
      <c r="AB4632">
        <v>19</v>
      </c>
      <c r="AC4632">
        <v>16.339200000000002</v>
      </c>
      <c r="AD4632">
        <v>-1.104367982009</v>
      </c>
      <c r="AE4632">
        <v>-29.454160000000002</v>
      </c>
      <c r="AF4632">
        <v>-15.2184667651689</v>
      </c>
      <c r="AG4632">
        <v>-1.104367982009</v>
      </c>
      <c r="AH4632">
        <v>30.007997896050998</v>
      </c>
      <c r="AI4632">
        <v>91.879929977845194</v>
      </c>
      <c r="AJ4632">
        <v>116.891709126292</v>
      </c>
      <c r="AK4632">
        <v>33.664540648160397</v>
      </c>
    </row>
    <row r="4633" spans="1:37" x14ac:dyDescent="0.2">
      <c r="A4633" t="str">
        <f>"20200111155947462"</f>
        <v>20200111155947462</v>
      </c>
      <c r="B4633" t="str">
        <f>"1578729587455169"</f>
        <v>1578729587455169</v>
      </c>
      <c r="C4633" t="s">
        <v>37</v>
      </c>
      <c r="D4633">
        <v>4.192062</v>
      </c>
      <c r="E4633">
        <v>0.33658139999999998</v>
      </c>
      <c r="F4633" t="s">
        <v>75</v>
      </c>
      <c r="G4633">
        <v>-406.23410000000001</v>
      </c>
      <c r="H4633" s="1">
        <v>-3.74522299999999E-6</v>
      </c>
      <c r="I4633">
        <v>22.73237</v>
      </c>
      <c r="J4633">
        <v>-421.83249999999998</v>
      </c>
      <c r="K4633">
        <v>1.1043620000000001</v>
      </c>
      <c r="L4633">
        <v>51.308320000000002</v>
      </c>
      <c r="M4633">
        <v>3.696613E-2</v>
      </c>
      <c r="N4633">
        <v>0</v>
      </c>
      <c r="O4633">
        <v>-0.99922619999999895</v>
      </c>
      <c r="P4633">
        <v>8.7989139999999993E-2</v>
      </c>
      <c r="Q4633">
        <v>8.8040849999999997E-3</v>
      </c>
      <c r="R4633">
        <v>-0.99608220000000003</v>
      </c>
      <c r="S4633">
        <v>1.5620419999999999</v>
      </c>
      <c r="T4633">
        <v>-0.11056050000000001</v>
      </c>
      <c r="U4633">
        <v>-2.87350499999999</v>
      </c>
      <c r="V4633">
        <v>-5.10976E-2</v>
      </c>
      <c r="W4633">
        <v>2.2230050000000001E-2</v>
      </c>
      <c r="X4633">
        <v>0.99844619999999995</v>
      </c>
      <c r="Y4633">
        <v>-0.44451390000000002</v>
      </c>
      <c r="Z4633">
        <v>3.405466E-2</v>
      </c>
      <c r="AA4633">
        <v>0.89512440000000004</v>
      </c>
      <c r="AB4633">
        <v>19</v>
      </c>
      <c r="AC4633">
        <v>15.5983999999999</v>
      </c>
      <c r="AD4633">
        <v>-1.104365745223</v>
      </c>
      <c r="AE4633">
        <v>-28.575949999999999</v>
      </c>
      <c r="AF4633">
        <v>-14.514597249846</v>
      </c>
      <c r="AG4633">
        <v>-1.104365745223</v>
      </c>
      <c r="AH4633">
        <v>29.099594912302098</v>
      </c>
      <c r="AI4633">
        <v>91.945076616606698</v>
      </c>
      <c r="AJ4633">
        <v>116.509578268562</v>
      </c>
      <c r="AK4633">
        <v>32.537356700945097</v>
      </c>
    </row>
    <row r="4634" spans="1:37" x14ac:dyDescent="0.2">
      <c r="A4634" t="str">
        <f>"20200111155947477"</f>
        <v>20200111155947477</v>
      </c>
      <c r="B4634" t="str">
        <f>"1578729587474689"</f>
        <v>1578729587474689</v>
      </c>
      <c r="C4634" t="s">
        <v>37</v>
      </c>
      <c r="D4634">
        <v>4.1145639999999997</v>
      </c>
      <c r="E4634">
        <v>0.33534979999999998</v>
      </c>
      <c r="F4634" t="s">
        <v>75</v>
      </c>
      <c r="G4634">
        <v>-405.87790000000001</v>
      </c>
      <c r="H4634" s="1">
        <v>-3.7926229999999999E-6</v>
      </c>
      <c r="I4634">
        <v>21.991720000000001</v>
      </c>
      <c r="J4634">
        <v>-421.82819999999998</v>
      </c>
      <c r="K4634">
        <v>1.1043590000000001</v>
      </c>
      <c r="L4634">
        <v>51.190280000000001</v>
      </c>
      <c r="M4634">
        <v>3.6833850000000001E-2</v>
      </c>
      <c r="N4634">
        <v>0</v>
      </c>
      <c r="O4634">
        <v>-0.99923139999999999</v>
      </c>
      <c r="P4634">
        <v>8.7074029999999997E-2</v>
      </c>
      <c r="Q4634">
        <v>8.4956479999999997E-3</v>
      </c>
      <c r="R4634">
        <v>-0.99616569999999904</v>
      </c>
      <c r="S4634">
        <v>1.564392</v>
      </c>
      <c r="T4634">
        <v>-0.1082861</v>
      </c>
      <c r="U4634">
        <v>-2.8745729999999998</v>
      </c>
      <c r="V4634">
        <v>-5.0312370000000002E-2</v>
      </c>
      <c r="W4634">
        <v>2.1921610000000001E-2</v>
      </c>
      <c r="X4634">
        <v>0.99849290000000002</v>
      </c>
      <c r="Y4634">
        <v>-0.4450692</v>
      </c>
      <c r="Z4634">
        <v>3.3333429999999997E-2</v>
      </c>
      <c r="AA4634">
        <v>0.89487559999999999</v>
      </c>
      <c r="AB4634">
        <v>19</v>
      </c>
      <c r="AC4634">
        <v>15.950299999999899</v>
      </c>
      <c r="AD4634">
        <v>-1.104362792623</v>
      </c>
      <c r="AE4634">
        <v>-29.198560000000001</v>
      </c>
      <c r="AF4634">
        <v>-14.8475236504856</v>
      </c>
      <c r="AG4634">
        <v>-1.104362792623</v>
      </c>
      <c r="AH4634">
        <v>29.733546854228599</v>
      </c>
      <c r="AI4634">
        <v>91.903203925293099</v>
      </c>
      <c r="AJ4634">
        <v>116.535368433684</v>
      </c>
      <c r="AK4634">
        <v>33.252855279841299</v>
      </c>
    </row>
    <row r="4635" spans="1:37" x14ac:dyDescent="0.2">
      <c r="A4635" t="str">
        <f>"20200111155947493"</f>
        <v>20200111155947493</v>
      </c>
      <c r="B4635" t="str">
        <f>"1578729587485425"</f>
        <v>1578729587485425</v>
      </c>
      <c r="C4635" t="s">
        <v>37</v>
      </c>
      <c r="D4635">
        <v>4.1437049999999997</v>
      </c>
      <c r="E4635">
        <v>0.33499129999999999</v>
      </c>
      <c r="F4635" t="s">
        <v>75</v>
      </c>
      <c r="G4635">
        <v>-404.6069</v>
      </c>
      <c r="H4635" s="1">
        <v>-4.0091710000000003E-6</v>
      </c>
      <c r="I4635">
        <v>19.689039999999999</v>
      </c>
      <c r="J4635">
        <v>-421.8236</v>
      </c>
      <c r="K4635">
        <v>1.1043510000000001</v>
      </c>
      <c r="L4635">
        <v>51.059600000000003</v>
      </c>
      <c r="M4635">
        <v>3.6689550000000001E-2</v>
      </c>
      <c r="N4635">
        <v>0</v>
      </c>
      <c r="O4635">
        <v>-0.99923660000000003</v>
      </c>
      <c r="P4635">
        <v>8.4580660000000002E-2</v>
      </c>
      <c r="Q4635">
        <v>6.8591169999999996E-3</v>
      </c>
      <c r="R4635">
        <v>-0.99639299999999997</v>
      </c>
      <c r="S4635">
        <v>1.571747</v>
      </c>
      <c r="T4635">
        <v>-0.1007922</v>
      </c>
      <c r="U4635">
        <v>-2.8750309999999999</v>
      </c>
      <c r="V4635">
        <v>-4.7957099999999898E-2</v>
      </c>
      <c r="W4635">
        <v>2.028452E-2</v>
      </c>
      <c r="X4635">
        <v>0.99864339999999996</v>
      </c>
      <c r="Y4635">
        <v>-0.446938</v>
      </c>
      <c r="Z4635">
        <v>3.099207E-2</v>
      </c>
      <c r="AA4635">
        <v>0.89402789999999999</v>
      </c>
      <c r="AB4635">
        <v>19</v>
      </c>
      <c r="AC4635">
        <v>17.216699999999999</v>
      </c>
      <c r="AD4635">
        <v>-1.1043550091709999</v>
      </c>
      <c r="AE4635">
        <v>-31.370560000000001</v>
      </c>
      <c r="AF4635">
        <v>-16.0387550857488</v>
      </c>
      <c r="AG4635">
        <v>-1.1043550091709999</v>
      </c>
      <c r="AH4635">
        <v>31.950734095268899</v>
      </c>
      <c r="AI4635">
        <v>91.769344312035898</v>
      </c>
      <c r="AJ4635">
        <v>116.655915672121</v>
      </c>
      <c r="AK4635">
        <v>35.767452717708203</v>
      </c>
    </row>
    <row r="4636" spans="1:37" x14ac:dyDescent="0.2">
      <c r="A4636" t="str">
        <f>"20200111155947527"</f>
        <v>20200111155947527</v>
      </c>
      <c r="B4636" t="str">
        <f>"1578729587514707"</f>
        <v>1578729587514707</v>
      </c>
      <c r="C4636" t="s">
        <v>37</v>
      </c>
      <c r="D4636">
        <v>4.6387169999999998</v>
      </c>
      <c r="E4636">
        <v>0.3359801</v>
      </c>
      <c r="F4636" t="s">
        <v>75</v>
      </c>
      <c r="G4636">
        <v>-404.9282</v>
      </c>
      <c r="H4636" s="1">
        <v>-3.9206049999999997E-6</v>
      </c>
      <c r="I4636">
        <v>20.03229</v>
      </c>
      <c r="J4636">
        <v>-421.81369999999998</v>
      </c>
      <c r="K4636">
        <v>1.1043540000000001</v>
      </c>
      <c r="L4636">
        <v>50.778840000000002</v>
      </c>
      <c r="M4636">
        <v>3.6392439999999998E-2</v>
      </c>
      <c r="N4636">
        <v>0</v>
      </c>
      <c r="O4636">
        <v>-0.99924760000000001</v>
      </c>
      <c r="P4636">
        <v>8.3632919999999999E-2</v>
      </c>
      <c r="Q4636">
        <v>5.7559050000000004E-3</v>
      </c>
      <c r="R4636">
        <v>-0.99648019999999904</v>
      </c>
      <c r="S4636">
        <v>1.5674440000000001</v>
      </c>
      <c r="T4636">
        <v>-0.1024548</v>
      </c>
      <c r="U4636">
        <v>-2.8785099999999999</v>
      </c>
      <c r="V4636">
        <v>-4.7304310000000002E-2</v>
      </c>
      <c r="W4636">
        <v>1.917752E-2</v>
      </c>
      <c r="X4636">
        <v>0.99869640000000004</v>
      </c>
      <c r="Y4636">
        <v>-0.44571109999999903</v>
      </c>
      <c r="Z4636">
        <v>3.1490610000000002E-2</v>
      </c>
      <c r="AA4636">
        <v>0.89462280000000005</v>
      </c>
      <c r="AB4636">
        <v>19</v>
      </c>
      <c r="AC4636">
        <v>16.885499999999901</v>
      </c>
      <c r="AD4636">
        <v>-1.104357920605</v>
      </c>
      <c r="AE4636">
        <v>-30.746549999999999</v>
      </c>
      <c r="AF4636">
        <v>-15.7396693257219</v>
      </c>
      <c r="AG4636">
        <v>-1.104357920605</v>
      </c>
      <c r="AH4636">
        <v>31.3097056128608</v>
      </c>
      <c r="AI4636">
        <v>91.805025852287997</v>
      </c>
      <c r="AJ4636">
        <v>116.68908583809601</v>
      </c>
      <c r="AK4636">
        <v>35.060725355643797</v>
      </c>
    </row>
    <row r="4637" spans="1:37" x14ac:dyDescent="0.2">
      <c r="A4637" t="str">
        <f>"20200111155947549"</f>
        <v>20200111155947549</v>
      </c>
      <c r="B4637" t="str">
        <f>"1578729587545468"</f>
        <v>1578729587545468</v>
      </c>
      <c r="C4637" t="s">
        <v>37</v>
      </c>
      <c r="D4637">
        <v>7.6579550000000003</v>
      </c>
      <c r="E4637">
        <v>0.33764569999999999</v>
      </c>
      <c r="F4637" t="s">
        <v>75</v>
      </c>
      <c r="G4637">
        <v>-407.6343</v>
      </c>
      <c r="H4637" s="1">
        <v>-3.3425129999999999E-6</v>
      </c>
      <c r="I4637">
        <v>24.536269999999998</v>
      </c>
      <c r="J4637">
        <v>-421.80709999999999</v>
      </c>
      <c r="K4637">
        <v>1.104363</v>
      </c>
      <c r="L4637">
        <v>50.592100000000002</v>
      </c>
      <c r="M4637">
        <v>3.6207429999999999E-2</v>
      </c>
      <c r="N4637">
        <v>0</v>
      </c>
      <c r="O4637">
        <v>-0.99925419999999998</v>
      </c>
      <c r="P4637">
        <v>8.3884509999999995E-2</v>
      </c>
      <c r="Q4637">
        <v>5.4273300000000002E-3</v>
      </c>
      <c r="R4637">
        <v>-0.99646060000000003</v>
      </c>
      <c r="S4637">
        <v>1.5564879999999901</v>
      </c>
      <c r="T4637">
        <v>-0.1212265</v>
      </c>
      <c r="U4637">
        <v>-2.8806759999999998</v>
      </c>
      <c r="V4637">
        <v>-4.7741779999999998E-2</v>
      </c>
      <c r="W4637">
        <v>1.8846180000000001E-2</v>
      </c>
      <c r="X4637">
        <v>0.99868189999999901</v>
      </c>
      <c r="Y4637">
        <v>-0.44286809999999899</v>
      </c>
      <c r="Z4637">
        <v>3.7287189999999998E-2</v>
      </c>
      <c r="AA4637">
        <v>0.89581109999999897</v>
      </c>
      <c r="AB4637">
        <v>19</v>
      </c>
      <c r="AC4637">
        <v>14.172799999999899</v>
      </c>
      <c r="AD4637">
        <v>-1.1043663425129999</v>
      </c>
      <c r="AE4637">
        <v>-26.05583</v>
      </c>
      <c r="AF4637">
        <v>-13.2017041478418</v>
      </c>
      <c r="AG4637">
        <v>-1.1043663425129999</v>
      </c>
      <c r="AH4637">
        <v>26.5151910665804</v>
      </c>
      <c r="AI4637">
        <v>92.135259294056894</v>
      </c>
      <c r="AJ4637">
        <v>116.46835069136</v>
      </c>
      <c r="AK4637">
        <v>29.640512389681898</v>
      </c>
    </row>
    <row r="4638" spans="1:37" x14ac:dyDescent="0.2">
      <c r="A4638" t="str">
        <f>"20200111155947750"</f>
        <v>20200111155947750</v>
      </c>
      <c r="B4638" t="str">
        <f>"1578729587745586"</f>
        <v>1578729587745586</v>
      </c>
      <c r="C4638" t="s">
        <v>37</v>
      </c>
      <c r="D4638">
        <v>4.8839420000000002</v>
      </c>
      <c r="E4638">
        <v>0.6590859</v>
      </c>
      <c r="F4638" t="s">
        <v>75</v>
      </c>
      <c r="G4638">
        <v>-407.09879999999998</v>
      </c>
      <c r="H4638" s="1">
        <v>-3.3495369999999998E-6</v>
      </c>
      <c r="I4638">
        <v>23.142379999999999</v>
      </c>
      <c r="J4638">
        <v>-421.74829999999997</v>
      </c>
      <c r="K4638">
        <v>1.104525</v>
      </c>
      <c r="L4638">
        <v>48.912869999999998</v>
      </c>
      <c r="M4638">
        <v>3.5470450000000001E-2</v>
      </c>
      <c r="N4638">
        <v>0</v>
      </c>
      <c r="O4638">
        <v>-0.99928079999999997</v>
      </c>
      <c r="P4638">
        <v>4.1000729999999999E-2</v>
      </c>
      <c r="Q4638">
        <v>6.5154169999999999E-3</v>
      </c>
      <c r="R4638">
        <v>-0.99913779999999996</v>
      </c>
      <c r="S4638">
        <v>1.543884</v>
      </c>
      <c r="T4638">
        <v>-0.1159221</v>
      </c>
      <c r="U4638">
        <v>-2.8813169999999899</v>
      </c>
      <c r="V4638">
        <v>-5.5347769999999899E-3</v>
      </c>
      <c r="W4638">
        <v>1.9919329999999999E-2</v>
      </c>
      <c r="X4638">
        <v>0.99978630000000002</v>
      </c>
      <c r="Y4638">
        <v>-0.4404323</v>
      </c>
      <c r="Z4638">
        <v>3.5709650000000003E-2</v>
      </c>
      <c r="AA4638">
        <v>0.89707539999999997</v>
      </c>
      <c r="AB4638">
        <v>19</v>
      </c>
      <c r="AC4638">
        <v>14.6494999999999</v>
      </c>
      <c r="AD4638">
        <v>-1.104528349537</v>
      </c>
      <c r="AE4638">
        <v>-25.770489999999999</v>
      </c>
      <c r="AF4638">
        <v>-13.707076477913199</v>
      </c>
      <c r="AG4638">
        <v>-1.104528349537</v>
      </c>
      <c r="AH4638">
        <v>26.237514472292201</v>
      </c>
      <c r="AI4638">
        <v>92.136849200246402</v>
      </c>
      <c r="AJ4638">
        <v>117.58359413385099</v>
      </c>
      <c r="AK4638">
        <v>29.622813744309202</v>
      </c>
    </row>
    <row r="4639" spans="1:37" x14ac:dyDescent="0.2">
      <c r="A4639" t="str">
        <f>"20200111155947773"</f>
        <v>20200111155947773</v>
      </c>
      <c r="B4639" t="str">
        <f>"1578729587765105"</f>
        <v>1578729587765105</v>
      </c>
      <c r="C4639" t="s">
        <v>37</v>
      </c>
      <c r="D4639">
        <v>4.891222</v>
      </c>
      <c r="E4639">
        <v>0.65939230000000004</v>
      </c>
      <c r="F4639" t="s">
        <v>75</v>
      </c>
      <c r="G4639">
        <v>-428.86320000000001</v>
      </c>
      <c r="H4639" s="1">
        <v>-6.0937499999999999E-6</v>
      </c>
      <c r="I4639">
        <v>29.905539999999998</v>
      </c>
      <c r="J4639">
        <v>-421.74130000000002</v>
      </c>
      <c r="K4639">
        <v>1.1045529999999999</v>
      </c>
      <c r="L4639">
        <v>48.719180000000001</v>
      </c>
      <c r="M4639">
        <v>3.561156E-2</v>
      </c>
      <c r="N4639">
        <v>0</v>
      </c>
      <c r="O4639">
        <v>-0.99927579999999905</v>
      </c>
      <c r="P4639">
        <v>4.1266379999999998E-2</v>
      </c>
      <c r="Q4639">
        <v>6.1430510000000001E-3</v>
      </c>
      <c r="R4639">
        <v>-0.99912909999999899</v>
      </c>
      <c r="S4639">
        <v>-1.141907</v>
      </c>
      <c r="T4639">
        <v>-0.1772726</v>
      </c>
      <c r="U4639">
        <v>-3.0505979999999999</v>
      </c>
      <c r="V4639">
        <v>-5.6606779999999997E-3</v>
      </c>
      <c r="W4639">
        <v>1.954461E-2</v>
      </c>
      <c r="X4639">
        <v>0.99979289999999998</v>
      </c>
      <c r="Y4639">
        <v>0.38318679999999999</v>
      </c>
      <c r="Z4639">
        <v>5.3922240000000003E-2</v>
      </c>
      <c r="AA4639">
        <v>0.92209560000000002</v>
      </c>
      <c r="AB4639">
        <v>19</v>
      </c>
      <c r="AC4639">
        <v>-7.1218999999999797</v>
      </c>
      <c r="AD4639">
        <v>-1.1045590937500001</v>
      </c>
      <c r="AE4639">
        <v>-18.813639999999999</v>
      </c>
      <c r="AF4639">
        <v>7.7640174011523904</v>
      </c>
      <c r="AG4639">
        <v>-1.1045590937500001</v>
      </c>
      <c r="AH4639">
        <v>18.492307391192998</v>
      </c>
      <c r="AI4639">
        <v>93.1522999503498</v>
      </c>
      <c r="AJ4639">
        <v>67.224841985462007</v>
      </c>
      <c r="AK4639">
        <v>20.086449403698801</v>
      </c>
    </row>
    <row r="4640" spans="1:37" x14ac:dyDescent="0.2">
      <c r="A4640" t="str">
        <f>"20200111155947794"</f>
        <v>20200111155947794</v>
      </c>
      <c r="B4640" t="str">
        <f>"1578729587784626"</f>
        <v>1578729587784626</v>
      </c>
      <c r="C4640" t="s">
        <v>37</v>
      </c>
      <c r="D4640">
        <v>4.858276</v>
      </c>
      <c r="E4640">
        <v>0.65915990000000002</v>
      </c>
      <c r="F4640" t="s">
        <v>75</v>
      </c>
      <c r="G4640">
        <v>-429.09379999999999</v>
      </c>
      <c r="H4640" s="1">
        <v>-6.461667E-6</v>
      </c>
      <c r="I4640">
        <v>29.107690000000002</v>
      </c>
      <c r="J4640">
        <v>-421.73489999999998</v>
      </c>
      <c r="K4640">
        <v>1.1045940000000001</v>
      </c>
      <c r="L4640">
        <v>48.544220000000003</v>
      </c>
      <c r="M4640">
        <v>3.5804099999999998E-2</v>
      </c>
      <c r="N4640">
        <v>0</v>
      </c>
      <c r="O4640">
        <v>-0.99926890000000002</v>
      </c>
      <c r="P4640">
        <v>4.3126579999999998E-2</v>
      </c>
      <c r="Q4640">
        <v>5.8234860000000001E-3</v>
      </c>
      <c r="R4640">
        <v>-0.99905250000000001</v>
      </c>
      <c r="S4640">
        <v>-1.143799</v>
      </c>
      <c r="T4640">
        <v>-0.17183299999999899</v>
      </c>
      <c r="U4640">
        <v>-3.0509029999999999</v>
      </c>
      <c r="V4640">
        <v>-7.3312059999999998E-3</v>
      </c>
      <c r="W4640">
        <v>1.922281E-2</v>
      </c>
      <c r="X4640">
        <v>0.99978829999999996</v>
      </c>
      <c r="Y4640">
        <v>0.38386709999999902</v>
      </c>
      <c r="Z4640">
        <v>5.2254040000000002E-2</v>
      </c>
      <c r="AA4640">
        <v>0.92190869999999903</v>
      </c>
      <c r="AB4640">
        <v>19</v>
      </c>
      <c r="AC4640">
        <v>-7.3589000000000002</v>
      </c>
      <c r="AD4640">
        <v>-1.104600461667</v>
      </c>
      <c r="AE4640">
        <v>-19.436530000000001</v>
      </c>
      <c r="AF4640">
        <v>8.0274744507479507</v>
      </c>
      <c r="AG4640">
        <v>-1.104600461667</v>
      </c>
      <c r="AH4640">
        <v>19.1065899252166</v>
      </c>
      <c r="AI4640">
        <v>93.050945486067405</v>
      </c>
      <c r="AJ4640">
        <v>67.210695053752303</v>
      </c>
      <c r="AK4640">
        <v>20.753849445529699</v>
      </c>
    </row>
    <row r="4641" spans="1:37" x14ac:dyDescent="0.2">
      <c r="A4641" t="str">
        <f>"20200111155947816"</f>
        <v>20200111155947816</v>
      </c>
      <c r="B4641" t="str">
        <f>"1578729587805122"</f>
        <v>1578729587805122</v>
      </c>
      <c r="C4641" t="s">
        <v>37</v>
      </c>
      <c r="D4641">
        <v>4.9380550000000003</v>
      </c>
      <c r="E4641">
        <v>0.65819249999999996</v>
      </c>
      <c r="F4641" t="s">
        <v>75</v>
      </c>
      <c r="G4641">
        <v>-428.98430000000002</v>
      </c>
      <c r="H4641" s="1">
        <v>-6.4722499999999997E-6</v>
      </c>
      <c r="I4641">
        <v>29.066109999999998</v>
      </c>
      <c r="J4641">
        <v>-421.72809999999998</v>
      </c>
      <c r="K4641">
        <v>1.104649</v>
      </c>
      <c r="L4641">
        <v>48.362580000000001</v>
      </c>
      <c r="M4641">
        <v>3.6087359999999999E-2</v>
      </c>
      <c r="N4641">
        <v>0</v>
      </c>
      <c r="O4641">
        <v>-0.999258599999999</v>
      </c>
      <c r="P4641">
        <v>4.731958E-2</v>
      </c>
      <c r="Q4641">
        <v>5.6729090000000003E-3</v>
      </c>
      <c r="R4641">
        <v>-0.99886359999999996</v>
      </c>
      <c r="S4641">
        <v>-1.1362299999999901</v>
      </c>
      <c r="T4641">
        <v>-0.1731287</v>
      </c>
      <c r="U4641">
        <v>-3.0528869999999899</v>
      </c>
      <c r="V4641">
        <v>-1.124756E-2</v>
      </c>
      <c r="W4641">
        <v>1.9066909999999999E-2</v>
      </c>
      <c r="X4641">
        <v>0.99975499999999995</v>
      </c>
      <c r="Y4641">
        <v>0.38191779999999997</v>
      </c>
      <c r="Z4641">
        <v>5.2658240000000002E-2</v>
      </c>
      <c r="AA4641">
        <v>0.92269489999999998</v>
      </c>
      <c r="AB4641">
        <v>19</v>
      </c>
      <c r="AC4641">
        <v>-7.25620000000003</v>
      </c>
      <c r="AD4641">
        <v>-1.1046554722499999</v>
      </c>
      <c r="AE4641">
        <v>-19.296469999999999</v>
      </c>
      <c r="AF4641">
        <v>7.9251396692298801</v>
      </c>
      <c r="AG4641">
        <v>-1.1046554722499999</v>
      </c>
      <c r="AH4641">
        <v>18.967559077228199</v>
      </c>
      <c r="AI4641">
        <v>93.075951509768004</v>
      </c>
      <c r="AJ4641">
        <v>67.323558770037096</v>
      </c>
      <c r="AK4641">
        <v>20.586315839346099</v>
      </c>
    </row>
    <row r="4642" spans="1:37" x14ac:dyDescent="0.2">
      <c r="A4642" t="str">
        <f>"20200111155947839"</f>
        <v>20200111155947839</v>
      </c>
      <c r="B4642" t="str">
        <f>"1578729587835379"</f>
        <v>1578729587835379</v>
      </c>
      <c r="C4642" t="s">
        <v>37</v>
      </c>
      <c r="D4642">
        <v>4.9966530000000002</v>
      </c>
      <c r="E4642">
        <v>0.65807930000000003</v>
      </c>
      <c r="F4642" t="s">
        <v>75</v>
      </c>
      <c r="G4642">
        <v>-428.51479999999998</v>
      </c>
      <c r="H4642" s="1">
        <v>-6.14468399999999E-6</v>
      </c>
      <c r="I4642">
        <v>29.765899999999998</v>
      </c>
      <c r="J4642">
        <v>-421.72089999999997</v>
      </c>
      <c r="K4642">
        <v>1.104719</v>
      </c>
      <c r="L4642">
        <v>48.17557</v>
      </c>
      <c r="M4642">
        <v>3.648353E-2</v>
      </c>
      <c r="N4642">
        <v>0</v>
      </c>
      <c r="O4642">
        <v>-0.99924460000000004</v>
      </c>
      <c r="P4642">
        <v>5.2283759999999999E-2</v>
      </c>
      <c r="Q4642">
        <v>5.6806829999999997E-3</v>
      </c>
      <c r="R4642">
        <v>-0.99861630000000001</v>
      </c>
      <c r="S4642">
        <v>-1.115753</v>
      </c>
      <c r="T4642">
        <v>-0.181606399999999</v>
      </c>
      <c r="U4642">
        <v>-3.057312</v>
      </c>
      <c r="V4642">
        <v>-1.5823469999999999E-2</v>
      </c>
      <c r="W4642">
        <v>1.9068350000000001E-2</v>
      </c>
      <c r="X4642">
        <v>0.99969300000000005</v>
      </c>
      <c r="Y4642">
        <v>0.37635000000000002</v>
      </c>
      <c r="Z4642">
        <v>5.5279689999999999E-2</v>
      </c>
      <c r="AA4642">
        <v>0.92482690000000001</v>
      </c>
      <c r="AB4642">
        <v>18</v>
      </c>
      <c r="AC4642">
        <v>-6.7938999999999998</v>
      </c>
      <c r="AD4642">
        <v>-1.1047251446840001</v>
      </c>
      <c r="AE4642">
        <v>-18.409669999999998</v>
      </c>
      <c r="AF4642">
        <v>7.4375142854330702</v>
      </c>
      <c r="AG4642">
        <v>-1.1047251446840001</v>
      </c>
      <c r="AH4642">
        <v>18.092184155173999</v>
      </c>
      <c r="AI4642">
        <v>93.232350745594601</v>
      </c>
      <c r="AJ4642">
        <v>67.652930962667597</v>
      </c>
      <c r="AK4642">
        <v>19.592451707125601</v>
      </c>
    </row>
    <row r="4643" spans="1:37" x14ac:dyDescent="0.2">
      <c r="A4643" t="str">
        <f>"20200111155947861"</f>
        <v>20200111155947861</v>
      </c>
      <c r="B4643" t="str">
        <f>"1578729587854901"</f>
        <v>1578729587854901</v>
      </c>
      <c r="C4643" t="s">
        <v>37</v>
      </c>
      <c r="D4643">
        <v>4.9545779999999997</v>
      </c>
      <c r="E4643">
        <v>0.65780349999999999</v>
      </c>
      <c r="F4643" t="s">
        <v>75</v>
      </c>
      <c r="G4643">
        <v>-428.41789999999997</v>
      </c>
      <c r="H4643" s="1">
        <v>-6.2572829999999902E-6</v>
      </c>
      <c r="I4643">
        <v>29.513179999999998</v>
      </c>
      <c r="J4643">
        <v>-421.71359999999999</v>
      </c>
      <c r="K4643">
        <v>1.1048</v>
      </c>
      <c r="L4643">
        <v>47.991729999999997</v>
      </c>
      <c r="M4643">
        <v>3.6988970000000003E-2</v>
      </c>
      <c r="N4643">
        <v>0</v>
      </c>
      <c r="O4643">
        <v>-0.99922610000000001</v>
      </c>
      <c r="P4643">
        <v>5.7616729999999998E-2</v>
      </c>
      <c r="Q4643">
        <v>6.1185639999999999E-3</v>
      </c>
      <c r="R4643">
        <v>-0.99832030000000005</v>
      </c>
      <c r="S4643">
        <v>-1.0990599999999999</v>
      </c>
      <c r="T4643">
        <v>-0.1812983</v>
      </c>
      <c r="U4643">
        <v>-3.0627140000000002</v>
      </c>
      <c r="V4643">
        <v>-2.066198E-2</v>
      </c>
      <c r="W4643">
        <v>1.9496940000000001E-2</v>
      </c>
      <c r="X4643">
        <v>0.99959639999999905</v>
      </c>
      <c r="Y4643">
        <v>0.37183240000000001</v>
      </c>
      <c r="Z4643">
        <v>5.5195019999999997E-2</v>
      </c>
      <c r="AA4643">
        <v>0.92665750000000002</v>
      </c>
      <c r="AB4643">
        <v>18</v>
      </c>
      <c r="AC4643">
        <v>-6.7042999999999804</v>
      </c>
      <c r="AD4643">
        <v>-1.104806257283</v>
      </c>
      <c r="AE4643">
        <v>-18.478549999999998</v>
      </c>
      <c r="AF4643">
        <v>7.3600256923152596</v>
      </c>
      <c r="AG4643">
        <v>-1.104806257283</v>
      </c>
      <c r="AH4643">
        <v>18.160528495043899</v>
      </c>
      <c r="AI4643">
        <v>93.226991777551405</v>
      </c>
      <c r="AJ4643">
        <v>67.938470308095802</v>
      </c>
      <c r="AK4643">
        <v>19.626394734565299</v>
      </c>
    </row>
    <row r="4644" spans="1:37" x14ac:dyDescent="0.2">
      <c r="A4644" t="str">
        <f>"20200111155948420"</f>
        <v>20200111155948420</v>
      </c>
      <c r="B4644" t="str">
        <f>"1578729588415121"</f>
        <v>1578729588415121</v>
      </c>
      <c r="C4644" t="s">
        <v>37</v>
      </c>
      <c r="D4644">
        <v>3.6530300000000002</v>
      </c>
      <c r="E4644">
        <v>0.65748759999999995</v>
      </c>
      <c r="F4644" t="s">
        <v>75</v>
      </c>
      <c r="G4644">
        <v>-428.32029999999997</v>
      </c>
      <c r="H4644" s="1">
        <v>-6.3659999999999997E-6</v>
      </c>
      <c r="I4644">
        <v>29.23235</v>
      </c>
      <c r="J4644">
        <v>-421.39760000000001</v>
      </c>
      <c r="K4644">
        <v>1.105634</v>
      </c>
      <c r="L4644">
        <v>43.515720000000002</v>
      </c>
      <c r="M4644">
        <v>8.8095279999999998E-2</v>
      </c>
      <c r="N4644">
        <v>0</v>
      </c>
      <c r="O4644">
        <v>-0.99602190000000002</v>
      </c>
      <c r="P4644">
        <v>0.1347131</v>
      </c>
      <c r="Q4644">
        <v>-6.8824200000000002E-3</v>
      </c>
      <c r="R4644">
        <v>-0.99086109999999905</v>
      </c>
      <c r="S4644">
        <v>-1.0806879999999901</v>
      </c>
      <c r="T4644">
        <v>-0.1807175</v>
      </c>
      <c r="U4644">
        <v>-3.0685419999999999</v>
      </c>
      <c r="V4644">
        <v>-4.6910050000000002E-2</v>
      </c>
      <c r="W4644">
        <v>6.3708039999999999E-3</v>
      </c>
      <c r="X4644">
        <v>0.99887879999999996</v>
      </c>
      <c r="Y4644">
        <v>0.41349669999999999</v>
      </c>
      <c r="Z4644">
        <v>5.4189950000000001E-2</v>
      </c>
      <c r="AA4644">
        <v>0.90889159999999902</v>
      </c>
      <c r="AB4644">
        <v>18</v>
      </c>
      <c r="AC4644">
        <v>-6.9226999999999599</v>
      </c>
      <c r="AD4644">
        <v>-1.105640366</v>
      </c>
      <c r="AE4644">
        <v>-14.28337</v>
      </c>
      <c r="AF4644">
        <v>8.1148163239616906</v>
      </c>
      <c r="AG4644">
        <v>-1.105640366</v>
      </c>
      <c r="AH4644">
        <v>13.5521580779837</v>
      </c>
      <c r="AI4644">
        <v>94.003904559297197</v>
      </c>
      <c r="AJ4644">
        <v>59.0874973143628</v>
      </c>
      <c r="AK4644">
        <v>15.8345720864576</v>
      </c>
    </row>
    <row r="4645" spans="1:37" x14ac:dyDescent="0.2">
      <c r="A4645" t="str">
        <f>"20200111155948436"</f>
        <v>20200111155948436</v>
      </c>
      <c r="B4645" t="str">
        <f>"1578729588424882"</f>
        <v>1578729588424882</v>
      </c>
      <c r="C4645" t="s">
        <v>37</v>
      </c>
      <c r="D4645">
        <v>3.6438760000000001</v>
      </c>
      <c r="E4645">
        <v>0.31148229999999999</v>
      </c>
      <c r="F4645" t="s">
        <v>75</v>
      </c>
      <c r="G4645">
        <v>-426.21210000000002</v>
      </c>
      <c r="H4645" s="1">
        <v>-7.7545750000000002E-6</v>
      </c>
      <c r="I4645">
        <v>25.546429999999901</v>
      </c>
      <c r="J4645">
        <v>-421.38470000000001</v>
      </c>
      <c r="K4645">
        <v>1.1056219999999899</v>
      </c>
      <c r="L4645">
        <v>43.393679999999897</v>
      </c>
      <c r="M4645">
        <v>8.9842690000000003E-2</v>
      </c>
      <c r="N4645">
        <v>0</v>
      </c>
      <c r="O4645">
        <v>-0.99586580000000002</v>
      </c>
      <c r="P4645">
        <v>0.13889119999999999</v>
      </c>
      <c r="Q4645">
        <v>-7.1898069999999899E-3</v>
      </c>
      <c r="R4645">
        <v>-0.99028179999999999</v>
      </c>
      <c r="S4645">
        <v>-0.84149169999999995</v>
      </c>
      <c r="T4645">
        <v>-0.1932487</v>
      </c>
      <c r="U4645">
        <v>-3.1407470000000002</v>
      </c>
      <c r="V4645">
        <v>-4.9369639999999999E-2</v>
      </c>
      <c r="W4645">
        <v>6.053714E-3</v>
      </c>
      <c r="X4645">
        <v>0.99876219999999905</v>
      </c>
      <c r="Y4645">
        <v>0.34409790000000001</v>
      </c>
      <c r="Z4645">
        <v>5.8142149999999997E-2</v>
      </c>
      <c r="AA4645">
        <v>0.93713189999999902</v>
      </c>
      <c r="AB4645">
        <v>18</v>
      </c>
      <c r="AC4645">
        <v>-4.8274000000000097</v>
      </c>
      <c r="AD4645">
        <v>-1.10562975457499</v>
      </c>
      <c r="AE4645">
        <v>-17.847249999999999</v>
      </c>
      <c r="AF4645">
        <v>6.3886168480796499</v>
      </c>
      <c r="AG4645">
        <v>-1.10562975457499</v>
      </c>
      <c r="AH4645">
        <v>17.279523027180598</v>
      </c>
      <c r="AI4645">
        <v>93.4344577564556</v>
      </c>
      <c r="AJ4645">
        <v>69.709546431992194</v>
      </c>
      <c r="AK4645">
        <v>18.455859731603699</v>
      </c>
    </row>
    <row r="4646" spans="1:37" x14ac:dyDescent="0.2">
      <c r="A4646" t="str">
        <f>"20200111155948454"</f>
        <v>20200111155948454</v>
      </c>
      <c r="B4646" t="str">
        <f>"1578729588445378"</f>
        <v>1578729588445378</v>
      </c>
      <c r="C4646" t="s">
        <v>37</v>
      </c>
      <c r="D4646">
        <v>4.6641240000000002</v>
      </c>
      <c r="E4646">
        <v>0.31165559999999998</v>
      </c>
      <c r="F4646" t="s">
        <v>74</v>
      </c>
      <c r="G4646">
        <v>-391.97410000000002</v>
      </c>
      <c r="H4646">
        <v>2.6765409999999998</v>
      </c>
      <c r="I4646">
        <v>0.76241680000000001</v>
      </c>
      <c r="J4646">
        <v>-421.36959999999999</v>
      </c>
      <c r="K4646">
        <v>1.105615</v>
      </c>
      <c r="L4646">
        <v>43.253599999999999</v>
      </c>
      <c r="M4646">
        <v>9.1849390000000003E-2</v>
      </c>
      <c r="N4646">
        <v>0</v>
      </c>
      <c r="O4646">
        <v>-0.99568269999999903</v>
      </c>
      <c r="P4646">
        <v>0.14555460000000001</v>
      </c>
      <c r="Q4646">
        <v>-7.6890519999999896E-3</v>
      </c>
      <c r="R4646">
        <v>-0.98932030000000004</v>
      </c>
      <c r="S4646">
        <v>1.9060360000000001</v>
      </c>
      <c r="T4646">
        <v>0.10180639999999901</v>
      </c>
      <c r="U4646">
        <v>-2.762848</v>
      </c>
      <c r="V4646">
        <v>-5.4078840000000003E-2</v>
      </c>
      <c r="W4646">
        <v>5.5368300000000004E-3</v>
      </c>
      <c r="X4646">
        <v>0.99852129999999995</v>
      </c>
      <c r="Y4646">
        <v>-0.4895777</v>
      </c>
      <c r="Z4646">
        <v>-3.091733E-2</v>
      </c>
      <c r="AA4646">
        <v>0.87141139999999995</v>
      </c>
      <c r="AB4646">
        <v>18</v>
      </c>
      <c r="AC4646">
        <v>29.395499999999899</v>
      </c>
      <c r="AD4646">
        <v>1.5709259999999901</v>
      </c>
      <c r="AE4646">
        <v>-42.491183200000002</v>
      </c>
      <c r="AF4646">
        <v>-25.3446514292445</v>
      </c>
      <c r="AG4646">
        <v>1.5709259999999901</v>
      </c>
      <c r="AH4646">
        <v>44.970167136847401</v>
      </c>
      <c r="AI4646">
        <v>88.256897809708903</v>
      </c>
      <c r="AJ4646">
        <v>119.40509077563</v>
      </c>
      <c r="AK4646">
        <v>51.644313306339697</v>
      </c>
    </row>
    <row r="4647" spans="1:37" x14ac:dyDescent="0.2">
      <c r="A4647" t="str">
        <f>"20200111155948475"</f>
        <v>20200111155948475</v>
      </c>
      <c r="B4647" t="str">
        <f>"1578729588464898"</f>
        <v>1578729588464898</v>
      </c>
      <c r="C4647" t="s">
        <v>37</v>
      </c>
      <c r="D4647">
        <v>4.6802269999999897</v>
      </c>
      <c r="E4647">
        <v>0.36663259999999998</v>
      </c>
      <c r="F4647" t="s">
        <v>74</v>
      </c>
      <c r="G4647">
        <v>-391.65010000000001</v>
      </c>
      <c r="H4647">
        <v>2.666992</v>
      </c>
      <c r="I4647">
        <v>0.76571269999999902</v>
      </c>
      <c r="J4647">
        <v>-421.35090000000002</v>
      </c>
      <c r="K4647">
        <v>1.1056059999999901</v>
      </c>
      <c r="L4647">
        <v>43.083100000000002</v>
      </c>
      <c r="M4647">
        <v>9.4294630000000004E-2</v>
      </c>
      <c r="N4647">
        <v>0</v>
      </c>
      <c r="O4647">
        <v>-0.99545419999999996</v>
      </c>
      <c r="P4647">
        <v>0.1542317</v>
      </c>
      <c r="Q4647">
        <v>-8.7344169999999995E-3</v>
      </c>
      <c r="R4647">
        <v>-0.98799619999999999</v>
      </c>
      <c r="S4647">
        <v>1.9236759999999999</v>
      </c>
      <c r="T4647">
        <v>0.1010631</v>
      </c>
      <c r="U4647">
        <v>-2.7501530000000001</v>
      </c>
      <c r="V4647">
        <v>-6.0386790000000003E-2</v>
      </c>
      <c r="W4647">
        <v>4.4672979999999998E-3</v>
      </c>
      <c r="X4647">
        <v>0.99816510000000003</v>
      </c>
      <c r="Y4647">
        <v>-0.49307780000000001</v>
      </c>
      <c r="Z4647">
        <v>-3.07135999999999E-2</v>
      </c>
      <c r="AA4647">
        <v>0.86944290000000002</v>
      </c>
      <c r="AB4647">
        <v>18</v>
      </c>
      <c r="AC4647">
        <v>29.700800000000001</v>
      </c>
      <c r="AD4647">
        <v>1.5613859999999999</v>
      </c>
      <c r="AE4647">
        <v>-42.317387299999901</v>
      </c>
      <c r="AF4647">
        <v>-25.5544709063191</v>
      </c>
      <c r="AG4647">
        <v>1.5613859999999999</v>
      </c>
      <c r="AH4647">
        <v>44.888735953252898</v>
      </c>
      <c r="AI4647">
        <v>88.2685683003088</v>
      </c>
      <c r="AJ4647">
        <v>119.65219756678501</v>
      </c>
      <c r="AK4647">
        <v>51.676566498014999</v>
      </c>
    </row>
    <row r="4648" spans="1:37" x14ac:dyDescent="0.2">
      <c r="A4648" t="str">
        <f>"20200111155948509"</f>
        <v>20200111155948509</v>
      </c>
      <c r="B4648" t="str">
        <f>"1578729588504914"</f>
        <v>1578729588504914</v>
      </c>
      <c r="C4648" t="s">
        <v>37</v>
      </c>
      <c r="D4648">
        <v>4.61632</v>
      </c>
      <c r="E4648">
        <v>0.3672725</v>
      </c>
      <c r="F4648" t="s">
        <v>75</v>
      </c>
      <c r="G4648">
        <v>-411.0668</v>
      </c>
      <c r="H4648" s="1">
        <v>-9.8374350000000008E-6</v>
      </c>
      <c r="I4648">
        <v>24.0471</v>
      </c>
      <c r="J4648">
        <v>-421.32159999999999</v>
      </c>
      <c r="K4648">
        <v>1.1056029999999999</v>
      </c>
      <c r="L4648">
        <v>42.823120000000003</v>
      </c>
      <c r="M4648">
        <v>9.8036390000000001E-2</v>
      </c>
      <c r="N4648">
        <v>0</v>
      </c>
      <c r="O4648">
        <v>-0.9950928</v>
      </c>
      <c r="P4648">
        <v>0.16329749999999901</v>
      </c>
      <c r="Q4648">
        <v>-9.3500470000000002E-3</v>
      </c>
      <c r="R4648">
        <v>-0.98653289999999905</v>
      </c>
      <c r="S4648">
        <v>1.5121149999999901</v>
      </c>
      <c r="T4648">
        <v>-0.16256379999999901</v>
      </c>
      <c r="U4648">
        <v>-2.79895</v>
      </c>
      <c r="V4648">
        <v>-6.5797270000000005E-2</v>
      </c>
      <c r="W4648">
        <v>3.8288179999999999E-3</v>
      </c>
      <c r="X4648">
        <v>0.99782569999999904</v>
      </c>
      <c r="Y4648">
        <v>-0.386127</v>
      </c>
      <c r="Z4648">
        <v>5.1793569999999997E-2</v>
      </c>
      <c r="AA4648">
        <v>0.92099039999999999</v>
      </c>
      <c r="AB4648">
        <v>18</v>
      </c>
      <c r="AC4648">
        <v>10.2547999999999</v>
      </c>
      <c r="AD4648">
        <v>-1.1056128374350001</v>
      </c>
      <c r="AE4648">
        <v>-18.776019999999999</v>
      </c>
      <c r="AF4648">
        <v>-8.34221429266778</v>
      </c>
      <c r="AG4648">
        <v>-1.1056128374350001</v>
      </c>
      <c r="AH4648">
        <v>19.638541451917298</v>
      </c>
      <c r="AI4648">
        <v>92.966233974613303</v>
      </c>
      <c r="AJ4648">
        <v>113.015196790555</v>
      </c>
      <c r="AK4648">
        <v>21.3655617620919</v>
      </c>
    </row>
    <row r="4649" spans="1:37" x14ac:dyDescent="0.2">
      <c r="A4649" t="str">
        <f>"20200111155948777"</f>
        <v>20200111155948777</v>
      </c>
      <c r="B4649" t="str">
        <f>"1578729588775266"</f>
        <v>1578729588775266</v>
      </c>
      <c r="C4649" t="s">
        <v>37</v>
      </c>
      <c r="D4649">
        <v>4.7376809999999896</v>
      </c>
      <c r="E4649">
        <v>0.3672725</v>
      </c>
      <c r="F4649" t="s">
        <v>75</v>
      </c>
      <c r="G4649">
        <v>-411.04390000000001</v>
      </c>
      <c r="H4649" s="1">
        <v>-9.8553259999999998E-6</v>
      </c>
      <c r="I4649">
        <v>24.142669999999999</v>
      </c>
      <c r="J4649">
        <v>-421.05329999999998</v>
      </c>
      <c r="K4649">
        <v>1.105672</v>
      </c>
      <c r="L4649">
        <v>40.763640000000002</v>
      </c>
      <c r="M4649">
        <v>0.1281669</v>
      </c>
      <c r="N4649">
        <v>0</v>
      </c>
      <c r="O4649">
        <v>-0.99166259999999995</v>
      </c>
      <c r="P4649">
        <v>0.204018899999999</v>
      </c>
      <c r="Q4649">
        <v>-3.805063E-3</v>
      </c>
      <c r="R4649">
        <v>-0.97895969999999999</v>
      </c>
      <c r="S4649">
        <v>1.532654</v>
      </c>
      <c r="T4649">
        <v>-0.16487349999999901</v>
      </c>
      <c r="U4649">
        <v>-2.7857059999999998</v>
      </c>
      <c r="V4649">
        <v>-7.6882539999999999E-2</v>
      </c>
      <c r="W4649">
        <v>9.3032619999999996E-3</v>
      </c>
      <c r="X4649">
        <v>0.99699680000000002</v>
      </c>
      <c r="Y4649">
        <v>-0.36509639999999999</v>
      </c>
      <c r="Z4649">
        <v>5.2615130000000003E-2</v>
      </c>
      <c r="AA4649">
        <v>0.92948169999999897</v>
      </c>
      <c r="AB4649">
        <v>17</v>
      </c>
      <c r="AC4649">
        <v>10.0093999999999</v>
      </c>
      <c r="AD4649">
        <v>-1.1056818553259999</v>
      </c>
      <c r="AE4649">
        <v>-16.62097</v>
      </c>
      <c r="AF4649">
        <v>-7.7711480343453898</v>
      </c>
      <c r="AG4649">
        <v>-1.1056818553259999</v>
      </c>
      <c r="AH4649">
        <v>17.709341744619799</v>
      </c>
      <c r="AI4649">
        <v>93.272184607325897</v>
      </c>
      <c r="AJ4649">
        <v>113.69264973423699</v>
      </c>
      <c r="AK4649">
        <v>19.3709591699699</v>
      </c>
    </row>
    <row r="4650" spans="1:37" x14ac:dyDescent="0.2">
      <c r="A4650" t="str">
        <f>"20200111155948800"</f>
        <v>20200111155948800</v>
      </c>
      <c r="B4650" t="str">
        <f>"1578729588794789"</f>
        <v>1578729588794789</v>
      </c>
      <c r="C4650" t="s">
        <v>37</v>
      </c>
      <c r="D4650">
        <v>4.7371530000000002</v>
      </c>
      <c r="E4650">
        <v>0.396957</v>
      </c>
      <c r="F4650" t="s">
        <v>75</v>
      </c>
      <c r="G4650">
        <v>-406.8793</v>
      </c>
      <c r="H4650" s="1">
        <v>-4.6854930000000003E-6</v>
      </c>
      <c r="I4650">
        <v>17.382839999999899</v>
      </c>
      <c r="J4650">
        <v>-421.02809999999999</v>
      </c>
      <c r="K4650">
        <v>1.105693</v>
      </c>
      <c r="L4650">
        <v>40.593139999999998</v>
      </c>
      <c r="M4650">
        <v>0.1307806</v>
      </c>
      <c r="N4650">
        <v>0</v>
      </c>
      <c r="O4650">
        <v>-0.99132129999999996</v>
      </c>
      <c r="P4650">
        <v>0.20549299999999901</v>
      </c>
      <c r="Q4650">
        <v>-2.1155290000000001E-3</v>
      </c>
      <c r="R4650">
        <v>-0.97865650000000004</v>
      </c>
      <c r="S4650">
        <v>1.6491089999999999</v>
      </c>
      <c r="T4650">
        <v>-0.12864320000000001</v>
      </c>
      <c r="U4650">
        <v>-2.7203059999999999</v>
      </c>
      <c r="V4650">
        <v>-7.5760190000000005E-2</v>
      </c>
      <c r="W4650">
        <v>1.099261E-2</v>
      </c>
      <c r="X4650">
        <v>0.99706550000000005</v>
      </c>
      <c r="Y4650">
        <v>-0.40166499999999999</v>
      </c>
      <c r="Z4650">
        <v>4.1168120000000002E-2</v>
      </c>
      <c r="AA4650">
        <v>0.91486080000000003</v>
      </c>
      <c r="AB4650">
        <v>17</v>
      </c>
      <c r="AC4650">
        <v>14.1487999999999</v>
      </c>
      <c r="AD4650">
        <v>-1.1056976854930001</v>
      </c>
      <c r="AE4650">
        <v>-23.2103</v>
      </c>
      <c r="AF4650">
        <v>-10.973374830126399</v>
      </c>
      <c r="AG4650">
        <v>-1.1056976854930001</v>
      </c>
      <c r="AH4650">
        <v>24.820405570981599</v>
      </c>
      <c r="AI4650">
        <v>92.333146988363495</v>
      </c>
      <c r="AJ4650">
        <v>113.850749833216</v>
      </c>
      <c r="AK4650">
        <v>27.160450203230599</v>
      </c>
    </row>
    <row r="4651" spans="1:37" x14ac:dyDescent="0.2">
      <c r="A4651" t="str">
        <f>"20200111155948823"</f>
        <v>20200111155948823</v>
      </c>
      <c r="B4651" t="str">
        <f>"1578729588815281"</f>
        <v>1578729588815281</v>
      </c>
      <c r="C4651" t="s">
        <v>37</v>
      </c>
      <c r="D4651">
        <v>4.5642269999999998</v>
      </c>
      <c r="E4651">
        <v>0.39491769999999998</v>
      </c>
      <c r="F4651" t="s">
        <v>75</v>
      </c>
      <c r="G4651">
        <v>-412.49270000000001</v>
      </c>
      <c r="H4651" s="1">
        <v>-9.3133590000000008E-6</v>
      </c>
      <c r="I4651">
        <v>23.99071</v>
      </c>
      <c r="J4651">
        <v>-421.0018</v>
      </c>
      <c r="K4651">
        <v>1.105715</v>
      </c>
      <c r="L4651">
        <v>40.419280000000001</v>
      </c>
      <c r="M4651">
        <v>0.13349069999999999</v>
      </c>
      <c r="N4651">
        <v>0</v>
      </c>
      <c r="O4651">
        <v>-0.99095979999999995</v>
      </c>
      <c r="P4651">
        <v>0.20536750000000001</v>
      </c>
      <c r="Q4651">
        <v>-1.542571E-3</v>
      </c>
      <c r="R4651">
        <v>-0.97868369999999905</v>
      </c>
      <c r="S4651">
        <v>1.4222109999999999</v>
      </c>
      <c r="T4651">
        <v>-0.18423809999999999</v>
      </c>
      <c r="U4651">
        <v>-2.7663880000000001</v>
      </c>
      <c r="V4651">
        <v>-7.2907730000000004E-2</v>
      </c>
      <c r="W4651">
        <v>1.1572880000000001E-2</v>
      </c>
      <c r="X4651">
        <v>0.99727149999999998</v>
      </c>
      <c r="Y4651">
        <v>-0.33357290000000001</v>
      </c>
      <c r="Z4651">
        <v>5.9954670000000002E-2</v>
      </c>
      <c r="AA4651">
        <v>0.94081589999999904</v>
      </c>
      <c r="AB4651">
        <v>17</v>
      </c>
      <c r="AC4651">
        <v>8.5090999999999894</v>
      </c>
      <c r="AD4651">
        <v>-1.105724313359</v>
      </c>
      <c r="AE4651">
        <v>-16.428570000000001</v>
      </c>
      <c r="AF4651">
        <v>-6.2174655603112896</v>
      </c>
      <c r="AG4651">
        <v>-1.105724313359</v>
      </c>
      <c r="AH4651">
        <v>17.355506424483799</v>
      </c>
      <c r="AI4651">
        <v>93.432359837378101</v>
      </c>
      <c r="AJ4651">
        <v>109.709639951062</v>
      </c>
      <c r="AK4651">
        <v>18.468706167490701</v>
      </c>
    </row>
    <row r="4652" spans="1:37" x14ac:dyDescent="0.2">
      <c r="A4652" t="str">
        <f>"20200111155948844"</f>
        <v>20200111155948844</v>
      </c>
      <c r="B4652" t="str">
        <f>"1578729588834802"</f>
        <v>1578729588834802</v>
      </c>
      <c r="C4652" t="s">
        <v>37</v>
      </c>
      <c r="D4652">
        <v>4.6895910000000001</v>
      </c>
      <c r="E4652">
        <v>0.3958777</v>
      </c>
      <c r="F4652" t="s">
        <v>75</v>
      </c>
      <c r="G4652">
        <v>-412.26280000000003</v>
      </c>
      <c r="H4652" s="1">
        <v>-9.3607160000000005E-6</v>
      </c>
      <c r="I4652">
        <v>23.627829999999999</v>
      </c>
      <c r="J4652">
        <v>-420.9769</v>
      </c>
      <c r="K4652">
        <v>1.1057319999999999</v>
      </c>
      <c r="L4652">
        <v>40.257080000000002</v>
      </c>
      <c r="M4652">
        <v>0.1360614</v>
      </c>
      <c r="N4652">
        <v>0</v>
      </c>
      <c r="O4652">
        <v>-0.990610199999999</v>
      </c>
      <c r="P4652">
        <v>0.20522559999999901</v>
      </c>
      <c r="Q4652">
        <v>-1.467508E-3</v>
      </c>
      <c r="R4652">
        <v>-0.97871379999999997</v>
      </c>
      <c r="S4652">
        <v>1.4381409999999999</v>
      </c>
      <c r="T4652">
        <v>-0.18196279999999901</v>
      </c>
      <c r="U4652">
        <v>-2.7632750000000001</v>
      </c>
      <c r="V4652">
        <v>-7.0176390000000005E-2</v>
      </c>
      <c r="W4652">
        <v>1.165442E-2</v>
      </c>
      <c r="X4652">
        <v>0.99746650000000003</v>
      </c>
      <c r="Y4652">
        <v>-0.33585759999999998</v>
      </c>
      <c r="Z4652">
        <v>5.914577E-2</v>
      </c>
      <c r="AA4652">
        <v>0.9400539</v>
      </c>
      <c r="AB4652">
        <v>17</v>
      </c>
      <c r="AC4652">
        <v>8.71409999999997</v>
      </c>
      <c r="AD4652">
        <v>-1.105741360716</v>
      </c>
      <c r="AE4652">
        <v>-16.629249999999999</v>
      </c>
      <c r="AF4652">
        <v>-6.3482254316479896</v>
      </c>
      <c r="AG4652">
        <v>-1.105741360716</v>
      </c>
      <c r="AH4652">
        <v>17.599285937782099</v>
      </c>
      <c r="AI4652">
        <v>93.382327520540201</v>
      </c>
      <c r="AJ4652">
        <v>109.834843506939</v>
      </c>
      <c r="AK4652">
        <v>18.7418647846909</v>
      </c>
    </row>
    <row r="4653" spans="1:37" x14ac:dyDescent="0.2">
      <c r="A4653" t="str">
        <f>"20200111155948867"</f>
        <v>20200111155948867</v>
      </c>
      <c r="B4653" t="str">
        <f>"1578729588865060"</f>
        <v>1578729588865060</v>
      </c>
      <c r="C4653" t="s">
        <v>37</v>
      </c>
      <c r="D4653">
        <v>4.6318619999999999</v>
      </c>
      <c r="E4653">
        <v>0.39545259999999999</v>
      </c>
      <c r="F4653" t="s">
        <v>75</v>
      </c>
      <c r="G4653">
        <v>-412.8109</v>
      </c>
      <c r="H4653" s="1">
        <v>-9.2457319999999995E-6</v>
      </c>
      <c r="I4653">
        <v>24.471689999999999</v>
      </c>
      <c r="J4653">
        <v>-420.95010000000002</v>
      </c>
      <c r="K4653">
        <v>1.1057539999999999</v>
      </c>
      <c r="L4653">
        <v>40.086759999999998</v>
      </c>
      <c r="M4653">
        <v>0.13880689999999901</v>
      </c>
      <c r="N4653">
        <v>0</v>
      </c>
      <c r="O4653">
        <v>-0.99022919999999903</v>
      </c>
      <c r="P4653">
        <v>0.20604600000000001</v>
      </c>
      <c r="Q4653">
        <v>-2.1554959999999998E-3</v>
      </c>
      <c r="R4653">
        <v>-0.97854010000000002</v>
      </c>
      <c r="S4653">
        <v>1.4303889999999999</v>
      </c>
      <c r="T4653">
        <v>-0.19368489999999999</v>
      </c>
      <c r="U4653">
        <v>-2.765015</v>
      </c>
      <c r="V4653">
        <v>-6.8246219999999996E-2</v>
      </c>
      <c r="W4653">
        <v>1.097067E-2</v>
      </c>
      <c r="X4653">
        <v>0.99760819999999995</v>
      </c>
      <c r="Y4653">
        <v>-0.330816099999999</v>
      </c>
      <c r="Z4653">
        <v>6.2965010000000002E-2</v>
      </c>
      <c r="AA4653">
        <v>0.94159230000000005</v>
      </c>
      <c r="AB4653">
        <v>17</v>
      </c>
      <c r="AC4653">
        <v>8.1392000000000095</v>
      </c>
      <c r="AD4653">
        <v>-1.1057632457319999</v>
      </c>
      <c r="AE4653">
        <v>-15.615069999999999</v>
      </c>
      <c r="AF4653">
        <v>-5.8695755786582797</v>
      </c>
      <c r="AG4653">
        <v>-1.1057632457319999</v>
      </c>
      <c r="AH4653">
        <v>16.528582343343299</v>
      </c>
      <c r="AI4653">
        <v>93.607321195933594</v>
      </c>
      <c r="AJ4653">
        <v>109.550800060694</v>
      </c>
      <c r="AK4653">
        <v>17.574659715336601</v>
      </c>
    </row>
    <row r="4654" spans="1:37" x14ac:dyDescent="0.2">
      <c r="A4654" t="str">
        <f>"20200111155948889"</f>
        <v>20200111155948889</v>
      </c>
      <c r="B4654" t="str">
        <f>"1578729588884578"</f>
        <v>1578729588884578</v>
      </c>
      <c r="C4654" t="s">
        <v>37</v>
      </c>
      <c r="D4654">
        <v>4.5934489999999997</v>
      </c>
      <c r="E4654">
        <v>0.3946209</v>
      </c>
      <c r="F4654" t="s">
        <v>75</v>
      </c>
      <c r="G4654">
        <v>-413.01859999999999</v>
      </c>
      <c r="H4654" s="1">
        <v>-9.2058309999999905E-6</v>
      </c>
      <c r="I4654">
        <v>24.82836</v>
      </c>
      <c r="J4654">
        <v>-420.92349999999999</v>
      </c>
      <c r="K4654">
        <v>1.1057619999999999</v>
      </c>
      <c r="L4654">
        <v>39.920679999999997</v>
      </c>
      <c r="M4654">
        <v>0.14152210000000001</v>
      </c>
      <c r="N4654">
        <v>0</v>
      </c>
      <c r="O4654">
        <v>-0.98984490000000003</v>
      </c>
      <c r="P4654">
        <v>0.2070815</v>
      </c>
      <c r="Q4654">
        <v>-3.617894E-3</v>
      </c>
      <c r="R4654">
        <v>-0.97831729999999995</v>
      </c>
      <c r="S4654">
        <v>1.436218</v>
      </c>
      <c r="T4654">
        <v>-0.20022799999999999</v>
      </c>
      <c r="U4654">
        <v>-2.7629389999999998</v>
      </c>
      <c r="V4654">
        <v>-6.6562189999999993E-2</v>
      </c>
      <c r="W4654">
        <v>9.5121059999999993E-3</v>
      </c>
      <c r="X4654">
        <v>0.99773690000000004</v>
      </c>
      <c r="Y4654">
        <v>-0.33001999999999998</v>
      </c>
      <c r="Z4654">
        <v>6.506729E-2</v>
      </c>
      <c r="AA4654">
        <v>0.94172880000000003</v>
      </c>
      <c r="AB4654">
        <v>17</v>
      </c>
      <c r="AC4654">
        <v>7.9048999999999898</v>
      </c>
      <c r="AD4654">
        <v>-1.1057712058310001</v>
      </c>
      <c r="AE4654">
        <v>-15.0923199999999</v>
      </c>
      <c r="AF4654">
        <v>-5.6653710062982396</v>
      </c>
      <c r="AG4654">
        <v>-1.1057712058310001</v>
      </c>
      <c r="AH4654">
        <v>15.991843051281499</v>
      </c>
      <c r="AI4654">
        <v>93.729081861463001</v>
      </c>
      <c r="AJ4654">
        <v>109.50752047841701</v>
      </c>
      <c r="AK4654">
        <v>17.0017117601572</v>
      </c>
    </row>
    <row r="4655" spans="1:37" x14ac:dyDescent="0.2">
      <c r="A4655" t="str">
        <f>"20200111155948911"</f>
        <v>20200111155948911</v>
      </c>
      <c r="B4655" t="str">
        <f>"1578729588905076"</f>
        <v>1578729588905076</v>
      </c>
      <c r="C4655" t="s">
        <v>37</v>
      </c>
      <c r="D4655">
        <v>4.6305550000000002</v>
      </c>
      <c r="E4655">
        <v>0.39382200000000001</v>
      </c>
      <c r="F4655" t="s">
        <v>75</v>
      </c>
      <c r="G4655">
        <v>-413.0385</v>
      </c>
      <c r="H4655" s="1">
        <v>-9.2025069999999995E-6</v>
      </c>
      <c r="I4655">
        <v>24.867599999999999</v>
      </c>
      <c r="J4655">
        <v>-420.89550000000003</v>
      </c>
      <c r="K4655">
        <v>1.1057649999999899</v>
      </c>
      <c r="L4655">
        <v>39.748869999999997</v>
      </c>
      <c r="M4655">
        <v>0.14436070000000001</v>
      </c>
      <c r="N4655">
        <v>0</v>
      </c>
      <c r="O4655">
        <v>-0.98943499999999995</v>
      </c>
      <c r="P4655">
        <v>0.2095871</v>
      </c>
      <c r="Q4655">
        <v>-4.0811570000000002E-3</v>
      </c>
      <c r="R4655">
        <v>-0.97778159999999903</v>
      </c>
      <c r="S4655">
        <v>1.445587</v>
      </c>
      <c r="T4655">
        <v>-0.20272479999999901</v>
      </c>
      <c r="U4655">
        <v>-2.759735</v>
      </c>
      <c r="V4655">
        <v>-6.6255120000000001E-2</v>
      </c>
      <c r="W4655">
        <v>9.0481650000000004E-3</v>
      </c>
      <c r="X4655">
        <v>0.99776169999999997</v>
      </c>
      <c r="Y4655">
        <v>-0.33024880000000001</v>
      </c>
      <c r="Z4655">
        <v>6.5849850000000001E-2</v>
      </c>
      <c r="AA4655">
        <v>0.94159409999999899</v>
      </c>
      <c r="AB4655">
        <v>17</v>
      </c>
      <c r="AC4655">
        <v>7.8570000000000197</v>
      </c>
      <c r="AD4655">
        <v>-1.1057742025069901</v>
      </c>
      <c r="AE4655">
        <v>-14.881270000000001</v>
      </c>
      <c r="AF4655">
        <v>-5.6020335368342602</v>
      </c>
      <c r="AG4655">
        <v>-1.1057742025069901</v>
      </c>
      <c r="AH4655">
        <v>15.7915211685799</v>
      </c>
      <c r="AI4655">
        <v>93.7756880771353</v>
      </c>
      <c r="AJ4655">
        <v>109.53211281093699</v>
      </c>
      <c r="AK4655">
        <v>16.792190361964501</v>
      </c>
    </row>
    <row r="4656" spans="1:37" x14ac:dyDescent="0.2">
      <c r="A4656" t="str">
        <f>"20200111155948934"</f>
        <v>20200111155948934</v>
      </c>
      <c r="B4656" t="str">
        <f>"1578729588924597"</f>
        <v>1578729588924597</v>
      </c>
      <c r="C4656" t="s">
        <v>37</v>
      </c>
      <c r="D4656">
        <v>4.5264419999999896</v>
      </c>
      <c r="E4656">
        <v>0.39292840000000001</v>
      </c>
      <c r="F4656" t="s">
        <v>75</v>
      </c>
      <c r="G4656">
        <v>-413.084</v>
      </c>
      <c r="H4656" s="1">
        <v>-9.199331E-6</v>
      </c>
      <c r="I4656">
        <v>25.001300000000001</v>
      </c>
      <c r="J4656">
        <v>-420.8682</v>
      </c>
      <c r="K4656">
        <v>1.105772</v>
      </c>
      <c r="L4656">
        <v>39.58484</v>
      </c>
      <c r="M4656">
        <v>0.1470909</v>
      </c>
      <c r="N4656">
        <v>0</v>
      </c>
      <c r="O4656">
        <v>-0.98903269999999999</v>
      </c>
      <c r="P4656">
        <v>0.215415</v>
      </c>
      <c r="Q4656">
        <v>-2.056581E-3</v>
      </c>
      <c r="R4656">
        <v>-0.97652050000000001</v>
      </c>
      <c r="S4656">
        <v>1.4590449999999999</v>
      </c>
      <c r="T4656">
        <v>-0.20653840000000001</v>
      </c>
      <c r="U4656">
        <v>-2.754578</v>
      </c>
      <c r="V4656">
        <v>-6.9457210000000005E-2</v>
      </c>
      <c r="W4656">
        <v>1.1058409999999999E-2</v>
      </c>
      <c r="X4656">
        <v>0.99752369999999901</v>
      </c>
      <c r="Y4656">
        <v>-0.33193030000000001</v>
      </c>
      <c r="Z4656">
        <v>6.7059820000000006E-2</v>
      </c>
      <c r="AA4656">
        <v>0.94091729999999996</v>
      </c>
      <c r="AB4656">
        <v>17</v>
      </c>
      <c r="AC4656">
        <v>7.7841999999999896</v>
      </c>
      <c r="AD4656">
        <v>-1.1057811993310001</v>
      </c>
      <c r="AE4656">
        <v>-14.583539999999999</v>
      </c>
      <c r="AF4656">
        <v>-5.5294768472955296</v>
      </c>
      <c r="AG4656">
        <v>-1.1057811993310001</v>
      </c>
      <c r="AH4656">
        <v>15.500616321572901</v>
      </c>
      <c r="AI4656">
        <v>93.843968040181096</v>
      </c>
      <c r="AJ4656">
        <v>109.632652015804</v>
      </c>
      <c r="AK4656">
        <v>16.494452783108201</v>
      </c>
    </row>
    <row r="4657" spans="1:37" x14ac:dyDescent="0.2">
      <c r="A4657" t="str">
        <f>"20200111155948955"</f>
        <v>20200111155948955</v>
      </c>
      <c r="B4657" t="str">
        <f>"1578729588945090"</f>
        <v>1578729588945090</v>
      </c>
      <c r="C4657" t="s">
        <v>37</v>
      </c>
      <c r="D4657">
        <v>4.6412309999999897</v>
      </c>
      <c r="E4657">
        <v>0.3927929</v>
      </c>
      <c r="F4657" t="s">
        <v>75</v>
      </c>
      <c r="G4657">
        <v>-412.83019999999999</v>
      </c>
      <c r="H4657" s="1">
        <v>-9.2614540000000002E-6</v>
      </c>
      <c r="I4657">
        <v>24.699579999999902</v>
      </c>
      <c r="J4657">
        <v>-420.84050000000002</v>
      </c>
      <c r="K4657">
        <v>1.105788</v>
      </c>
      <c r="L4657">
        <v>39.421140000000001</v>
      </c>
      <c r="M4657">
        <v>0.14982619999999999</v>
      </c>
      <c r="N4657">
        <v>0</v>
      </c>
      <c r="O4657">
        <v>-0.988621999999999</v>
      </c>
      <c r="P4657">
        <v>0.2231078</v>
      </c>
      <c r="Q4657">
        <v>9.9991979999999999E-4</v>
      </c>
      <c r="R4657">
        <v>-0.97479359999999904</v>
      </c>
      <c r="S4657">
        <v>1.4821469999999899</v>
      </c>
      <c r="T4657">
        <v>-0.20389939999999901</v>
      </c>
      <c r="U4657">
        <v>-2.7447509999999999</v>
      </c>
      <c r="V4657">
        <v>-7.4572440000000004E-2</v>
      </c>
      <c r="W4657">
        <v>1.409324E-2</v>
      </c>
      <c r="X4657">
        <v>0.997116</v>
      </c>
      <c r="Y4657">
        <v>-0.33689049999999998</v>
      </c>
      <c r="Z4657">
        <v>6.618976E-2</v>
      </c>
      <c r="AA4657">
        <v>0.9392144</v>
      </c>
      <c r="AB4657">
        <v>17</v>
      </c>
      <c r="AC4657">
        <v>8.0103000000000293</v>
      </c>
      <c r="AD4657">
        <v>-1.1057972614539999</v>
      </c>
      <c r="AE4657">
        <v>-14.72156</v>
      </c>
      <c r="AF4657">
        <v>-5.6892270817422004</v>
      </c>
      <c r="AG4657">
        <v>-1.1057972614539999</v>
      </c>
      <c r="AH4657">
        <v>15.6873271198138</v>
      </c>
      <c r="AI4657">
        <v>93.791251550318293</v>
      </c>
      <c r="AJ4657">
        <v>109.93387982534701</v>
      </c>
      <c r="AK4657">
        <v>16.723705466645701</v>
      </c>
    </row>
    <row r="4658" spans="1:37" x14ac:dyDescent="0.2">
      <c r="A4658" t="str">
        <f>"20200111155948978"</f>
        <v>20200111155948978</v>
      </c>
      <c r="B4658" t="str">
        <f>"1578729588975346"</f>
        <v>1578729588975346</v>
      </c>
      <c r="C4658" t="s">
        <v>37</v>
      </c>
      <c r="D4658">
        <v>4.6681010000000001</v>
      </c>
      <c r="E4658">
        <v>0.39239479999999999</v>
      </c>
      <c r="F4658" t="s">
        <v>75</v>
      </c>
      <c r="G4658">
        <v>-412.6807</v>
      </c>
      <c r="H4658" s="1">
        <v>-9.3051289999999994E-6</v>
      </c>
      <c r="I4658">
        <v>24.592449999999999</v>
      </c>
      <c r="J4658">
        <v>-420.81169999999997</v>
      </c>
      <c r="K4658">
        <v>1.1057999999999999</v>
      </c>
      <c r="L4658">
        <v>39.254359999999998</v>
      </c>
      <c r="M4658">
        <v>0.15261520000000001</v>
      </c>
      <c r="N4658">
        <v>0</v>
      </c>
      <c r="O4658">
        <v>-0.9881955</v>
      </c>
      <c r="P4658">
        <v>0.23165089999999999</v>
      </c>
      <c r="Q4658">
        <v>3.7754199999999998E-3</v>
      </c>
      <c r="R4658">
        <v>-0.97279189999999904</v>
      </c>
      <c r="S4658">
        <v>1.504181</v>
      </c>
      <c r="T4658">
        <v>-0.20384249999999901</v>
      </c>
      <c r="U4658">
        <v>-2.7335210000000001</v>
      </c>
      <c r="V4658">
        <v>-8.0514740000000001E-2</v>
      </c>
      <c r="W4658">
        <v>1.684283E-2</v>
      </c>
      <c r="X4658">
        <v>0.99661109999999897</v>
      </c>
      <c r="Y4658">
        <v>-0.341673</v>
      </c>
      <c r="Z4658">
        <v>6.6186830000000002E-2</v>
      </c>
      <c r="AA4658">
        <v>0.93748539999999903</v>
      </c>
      <c r="AB4658">
        <v>17</v>
      </c>
      <c r="AC4658">
        <v>8.13099999999997</v>
      </c>
      <c r="AD4658">
        <v>-1.1058093051289899</v>
      </c>
      <c r="AE4658">
        <v>-14.661910000000001</v>
      </c>
      <c r="AF4658">
        <v>-5.7727904581886502</v>
      </c>
      <c r="AG4658">
        <v>-1.1058093051289899</v>
      </c>
      <c r="AH4658">
        <v>15.6630103951509</v>
      </c>
      <c r="AI4658">
        <v>93.789966631565903</v>
      </c>
      <c r="AJ4658">
        <v>110.23196971943101</v>
      </c>
      <c r="AK4658">
        <v>16.729549262669</v>
      </c>
    </row>
    <row r="4659" spans="1:37" x14ac:dyDescent="0.2">
      <c r="A4659" t="str">
        <f>"20200111155949001"</f>
        <v>20200111155949001</v>
      </c>
      <c r="B4659" t="str">
        <f>"1578729588994865"</f>
        <v>1578729588994865</v>
      </c>
      <c r="C4659" t="s">
        <v>37</v>
      </c>
      <c r="D4659">
        <v>6.460712</v>
      </c>
      <c r="E4659">
        <v>0.39239479999999999</v>
      </c>
      <c r="F4659" t="s">
        <v>75</v>
      </c>
      <c r="G4659">
        <v>-412.54309999999998</v>
      </c>
      <c r="H4659" s="1">
        <v>-9.3517510000000001E-6</v>
      </c>
      <c r="I4659">
        <v>24.558540000000001</v>
      </c>
      <c r="J4659">
        <v>-420.78210000000001</v>
      </c>
      <c r="K4659">
        <v>1.1057969999999999</v>
      </c>
      <c r="L4659">
        <v>39.085359999999902</v>
      </c>
      <c r="M4659">
        <v>0.15543870000000001</v>
      </c>
      <c r="N4659">
        <v>0</v>
      </c>
      <c r="O4659">
        <v>-0.98775519999999895</v>
      </c>
      <c r="P4659">
        <v>0.23697080000000001</v>
      </c>
      <c r="Q4659">
        <v>2.6709099999999999E-3</v>
      </c>
      <c r="R4659">
        <v>-0.97151309999999902</v>
      </c>
      <c r="S4659">
        <v>1.530548</v>
      </c>
      <c r="T4659">
        <v>-0.20468910000000001</v>
      </c>
      <c r="U4659">
        <v>-2.7202449999999998</v>
      </c>
      <c r="V4659">
        <v>-8.3115910000000001E-2</v>
      </c>
      <c r="W4659">
        <v>1.572813E-2</v>
      </c>
      <c r="X4659">
        <v>0.99641569999999902</v>
      </c>
      <c r="Y4659">
        <v>-0.34783229999999998</v>
      </c>
      <c r="Z4659">
        <v>6.6473009999999999E-2</v>
      </c>
      <c r="AA4659">
        <v>0.93519739999999996</v>
      </c>
      <c r="AB4659">
        <v>17</v>
      </c>
      <c r="AC4659">
        <v>8.2390000000000292</v>
      </c>
      <c r="AD4659">
        <v>-1.1058063517509999</v>
      </c>
      <c r="AE4659">
        <v>-14.526819999999899</v>
      </c>
      <c r="AF4659">
        <v>-5.8549403881375204</v>
      </c>
      <c r="AG4659">
        <v>-1.1058063517509999</v>
      </c>
      <c r="AH4659">
        <v>15.562765427257901</v>
      </c>
      <c r="AI4659">
        <v>93.804791112380798</v>
      </c>
      <c r="AJ4659">
        <v>110.617035166812</v>
      </c>
      <c r="AK4659">
        <v>16.6644172529396</v>
      </c>
    </row>
    <row r="4660" spans="1:37" x14ac:dyDescent="0.2">
      <c r="A4660" t="str">
        <f>"20200111155949025"</f>
        <v>20200111155949025</v>
      </c>
      <c r="B4660" t="str">
        <f>"1578729589015362"</f>
        <v>1578729589015362</v>
      </c>
      <c r="C4660" t="s">
        <v>37</v>
      </c>
      <c r="D4660">
        <v>4.6155169999999996</v>
      </c>
      <c r="E4660">
        <v>0.3277928</v>
      </c>
      <c r="F4660" t="s">
        <v>75</v>
      </c>
      <c r="G4660">
        <v>-412.56299999999999</v>
      </c>
      <c r="H4660" s="1">
        <v>-9.3549590000000006E-6</v>
      </c>
      <c r="I4660">
        <v>24.66309</v>
      </c>
      <c r="J4660">
        <v>-420.75130000000001</v>
      </c>
      <c r="K4660">
        <v>1.1057779999999999</v>
      </c>
      <c r="L4660">
        <v>38.912109999999998</v>
      </c>
      <c r="M4660">
        <v>0.15832479999999999</v>
      </c>
      <c r="N4660">
        <v>0</v>
      </c>
      <c r="O4660">
        <v>-0.98729659999999997</v>
      </c>
      <c r="P4660">
        <v>0.24221190000000001</v>
      </c>
      <c r="Q4660">
        <v>1.162111E-3</v>
      </c>
      <c r="R4660">
        <v>-0.97022260000000005</v>
      </c>
      <c r="S4660">
        <v>1.5453190000000001</v>
      </c>
      <c r="T4660">
        <v>-0.2079085</v>
      </c>
      <c r="U4660">
        <v>-2.7116090000000002</v>
      </c>
      <c r="V4660">
        <v>-8.5577340000000002E-2</v>
      </c>
      <c r="W4660">
        <v>1.4209569999999999E-2</v>
      </c>
      <c r="X4660">
        <v>0.99623019999999995</v>
      </c>
      <c r="Y4660">
        <v>-0.35018290000000002</v>
      </c>
      <c r="Z4660">
        <v>6.7536910000000006E-2</v>
      </c>
      <c r="AA4660">
        <v>0.93424339999999995</v>
      </c>
      <c r="AB4660">
        <v>17</v>
      </c>
      <c r="AC4660">
        <v>8.1882999999999697</v>
      </c>
      <c r="AD4660">
        <v>-1.105787354959</v>
      </c>
      <c r="AE4660">
        <v>-14.2490199999999</v>
      </c>
      <c r="AF4660">
        <v>-5.8025579392136803</v>
      </c>
      <c r="AG4660">
        <v>-1.105787354959</v>
      </c>
      <c r="AH4660">
        <v>15.2965396715684</v>
      </c>
      <c r="AI4660">
        <v>93.866762467743996</v>
      </c>
      <c r="AJ4660">
        <v>110.77363718600699</v>
      </c>
      <c r="AK4660">
        <v>16.3974562123576</v>
      </c>
    </row>
    <row r="4661" spans="1:37" x14ac:dyDescent="0.2">
      <c r="A4661" t="str">
        <f>"20200111155949045"</f>
        <v>20200111155949045</v>
      </c>
      <c r="B4661" t="str">
        <f>"1578729589034882"</f>
        <v>1578729589034882</v>
      </c>
      <c r="C4661" t="s">
        <v>37</v>
      </c>
      <c r="D4661">
        <v>4.580978</v>
      </c>
      <c r="E4661">
        <v>0.31746429999999998</v>
      </c>
      <c r="F4661" t="s">
        <v>41</v>
      </c>
      <c r="G4661">
        <v>-389.31119999999999</v>
      </c>
      <c r="H4661">
        <v>-0.05</v>
      </c>
      <c r="I4661">
        <v>-0.44497680000000001</v>
      </c>
      <c r="J4661">
        <v>-420.72340000000003</v>
      </c>
      <c r="K4661">
        <v>1.1057600000000001</v>
      </c>
      <c r="L4661">
        <v>38.758000000000003</v>
      </c>
      <c r="M4661">
        <v>0.1608839</v>
      </c>
      <c r="N4661">
        <v>0</v>
      </c>
      <c r="O4661">
        <v>-0.98688290000000001</v>
      </c>
      <c r="P4661">
        <v>0.245576499999999</v>
      </c>
      <c r="Q4661">
        <v>4.3053440000000002E-4</v>
      </c>
      <c r="R4661">
        <v>-0.9693773</v>
      </c>
      <c r="S4661">
        <v>2.0594480000000002</v>
      </c>
      <c r="T4661">
        <v>-7.5707670000000005E-2</v>
      </c>
      <c r="U4661">
        <v>-2.578033</v>
      </c>
      <c r="V4661">
        <v>-8.6447979999999994E-2</v>
      </c>
      <c r="W4661">
        <v>1.3475310000000001E-2</v>
      </c>
      <c r="X4661">
        <v>0.99616519999999997</v>
      </c>
      <c r="Y4661">
        <v>-0.4901276</v>
      </c>
      <c r="Z4661">
        <v>2.360611E-2</v>
      </c>
      <c r="AA4661">
        <v>0.87133099999999997</v>
      </c>
      <c r="AB4661">
        <v>17</v>
      </c>
      <c r="AC4661">
        <v>31.412199999999999</v>
      </c>
      <c r="AD4661">
        <v>-1.1557599999999999</v>
      </c>
      <c r="AE4661">
        <v>-39.202976800000002</v>
      </c>
      <c r="AF4661">
        <v>-24.682174868925699</v>
      </c>
      <c r="AG4661">
        <v>-1.1557599999999999</v>
      </c>
      <c r="AH4661">
        <v>43.723226091633599</v>
      </c>
      <c r="AI4661">
        <v>91.318661076162897</v>
      </c>
      <c r="AJ4661">
        <v>119.445139081428</v>
      </c>
      <c r="AK4661">
        <v>50.222166792144002</v>
      </c>
    </row>
    <row r="4662" spans="1:37" x14ac:dyDescent="0.2">
      <c r="A4662" t="str">
        <f>"20200111155949061"</f>
        <v>20200111155949061</v>
      </c>
      <c r="B4662" t="str">
        <f>"1578729589055379"</f>
        <v>1578729589055379</v>
      </c>
      <c r="C4662" t="s">
        <v>37</v>
      </c>
      <c r="D4662">
        <v>4.5649239999999898</v>
      </c>
      <c r="E4662">
        <v>0.31347750000000002</v>
      </c>
      <c r="F4662" t="s">
        <v>39</v>
      </c>
      <c r="G4662">
        <v>-399.10590000000002</v>
      </c>
      <c r="H4662" s="1">
        <v>-2.062556E-6</v>
      </c>
      <c r="I4662">
        <v>13.09562</v>
      </c>
      <c r="J4662">
        <v>-420.70119999999997</v>
      </c>
      <c r="K4662">
        <v>1.105747</v>
      </c>
      <c r="L4662">
        <v>38.636290000000002</v>
      </c>
      <c r="M4662">
        <v>0.16289919999999999</v>
      </c>
      <c r="N4662">
        <v>0</v>
      </c>
      <c r="O4662">
        <v>-0.98655249999999906</v>
      </c>
      <c r="P4662">
        <v>0.24793879999999999</v>
      </c>
      <c r="Q4662" s="1">
        <v>5.6508169999999898E-5</v>
      </c>
      <c r="R4662">
        <v>-0.96877619999999898</v>
      </c>
      <c r="S4662">
        <v>2.1485289999999999</v>
      </c>
      <c r="T4662">
        <v>-0.1098996</v>
      </c>
      <c r="U4662">
        <v>-2.5505369999999998</v>
      </c>
      <c r="V4662">
        <v>-8.6840760000000003E-2</v>
      </c>
      <c r="W4662">
        <v>1.3099599999999999E-2</v>
      </c>
      <c r="X4662">
        <v>0.99613609999999897</v>
      </c>
      <c r="Y4662">
        <v>-0.51068440000000004</v>
      </c>
      <c r="Z4662">
        <v>3.3970970000000003E-2</v>
      </c>
      <c r="AA4662">
        <v>0.85909679999999999</v>
      </c>
      <c r="AB4662">
        <v>17</v>
      </c>
      <c r="AC4662">
        <v>21.595299999999899</v>
      </c>
      <c r="AD4662">
        <v>-1.105749062556</v>
      </c>
      <c r="AE4662">
        <v>-25.540669999999999</v>
      </c>
      <c r="AF4662">
        <v>-17.127149302671601</v>
      </c>
      <c r="AG4662">
        <v>-1.105749062556</v>
      </c>
      <c r="AH4662">
        <v>28.6862720500921</v>
      </c>
      <c r="AI4662">
        <v>91.895577942064094</v>
      </c>
      <c r="AJ4662">
        <v>120.839329053418</v>
      </c>
      <c r="AK4662">
        <v>33.428492762271603</v>
      </c>
    </row>
    <row r="4663" spans="1:37" x14ac:dyDescent="0.2">
      <c r="A4663" t="str">
        <f>"20200111155949079"</f>
        <v>20200111155949079</v>
      </c>
      <c r="B4663" t="str">
        <f>"1578729589074898"</f>
        <v>1578729589074898</v>
      </c>
      <c r="C4663" t="s">
        <v>37</v>
      </c>
      <c r="D4663">
        <v>4.6485760000000003</v>
      </c>
      <c r="E4663">
        <v>0.31142069999999999</v>
      </c>
      <c r="F4663" t="s">
        <v>75</v>
      </c>
      <c r="G4663">
        <v>-401.91480000000001</v>
      </c>
      <c r="H4663" s="1">
        <v>-6.7550300000000001E-6</v>
      </c>
      <c r="I4663">
        <v>16.82798</v>
      </c>
      <c r="J4663">
        <v>-420.6773</v>
      </c>
      <c r="K4663">
        <v>1.1057330000000001</v>
      </c>
      <c r="L4663">
        <v>38.508000000000003</v>
      </c>
      <c r="M4663">
        <v>0.16502059999999999</v>
      </c>
      <c r="N4663">
        <v>0</v>
      </c>
      <c r="O4663">
        <v>-0.98619959999999995</v>
      </c>
      <c r="P4663">
        <v>0.2492886</v>
      </c>
      <c r="Q4663">
        <v>-3.022171E-4</v>
      </c>
      <c r="R4663">
        <v>-0.9684296</v>
      </c>
      <c r="S4663">
        <v>2.1856990000000001</v>
      </c>
      <c r="T4663">
        <v>-0.12864909999999999</v>
      </c>
      <c r="U4663">
        <v>-2.5372919999999999</v>
      </c>
      <c r="V4663">
        <v>-8.6084949999999993E-2</v>
      </c>
      <c r="W4663">
        <v>1.274439E-2</v>
      </c>
      <c r="X4663">
        <v>0.99620629999999999</v>
      </c>
      <c r="Y4663">
        <v>-0.51816179999999901</v>
      </c>
      <c r="Z4663">
        <v>3.9631340000000001E-2</v>
      </c>
      <c r="AA4663">
        <v>0.85436389999999995</v>
      </c>
      <c r="AB4663">
        <v>17</v>
      </c>
      <c r="AC4663">
        <v>18.7624999999999</v>
      </c>
      <c r="AD4663">
        <v>-1.1057397550300001</v>
      </c>
      <c r="AE4663">
        <v>-21.680019999999999</v>
      </c>
      <c r="AF4663">
        <v>-14.905084113713199</v>
      </c>
      <c r="AG4663">
        <v>-1.1057397550300001</v>
      </c>
      <c r="AH4663">
        <v>24.442857134020599</v>
      </c>
      <c r="AI4663">
        <v>92.211845806411802</v>
      </c>
      <c r="AJ4663">
        <v>121.37454800592501</v>
      </c>
      <c r="AK4663">
        <v>28.6502610409899</v>
      </c>
    </row>
    <row r="4664" spans="1:37" x14ac:dyDescent="0.2">
      <c r="A4664" t="str">
        <f>"20200111155949095"</f>
        <v>20200111155949095</v>
      </c>
      <c r="B4664" t="str">
        <f>"1578729589084659"</f>
        <v>1578729589084659</v>
      </c>
      <c r="C4664" t="s">
        <v>37</v>
      </c>
      <c r="D4664">
        <v>4.7276720000000001</v>
      </c>
      <c r="E4664">
        <v>0.31092540000000002</v>
      </c>
      <c r="F4664" t="s">
        <v>38</v>
      </c>
      <c r="G4664">
        <v>-420.06699999999898</v>
      </c>
      <c r="H4664">
        <v>1.066891</v>
      </c>
      <c r="I4664">
        <v>37.807989999999997</v>
      </c>
      <c r="J4664">
        <v>-420.65530000000001</v>
      </c>
      <c r="K4664">
        <v>1.105726</v>
      </c>
      <c r="L4664">
        <v>38.3902</v>
      </c>
      <c r="M4664">
        <v>0.16696539999999899</v>
      </c>
      <c r="N4664">
        <v>0</v>
      </c>
      <c r="O4664">
        <v>-0.98587239999999998</v>
      </c>
      <c r="P4664">
        <v>0.250058</v>
      </c>
      <c r="Q4664">
        <v>-5.9052339999999897E-4</v>
      </c>
      <c r="R4664">
        <v>-0.96823099999999995</v>
      </c>
      <c r="S4664">
        <v>2.205597</v>
      </c>
      <c r="T4664">
        <v>-0.1403847</v>
      </c>
      <c r="U4664">
        <v>-2.5299990000000001</v>
      </c>
      <c r="V4664">
        <v>-8.4910440000000004E-2</v>
      </c>
      <c r="W4664">
        <v>1.2461170000000001E-2</v>
      </c>
      <c r="X4664">
        <v>0.99631069999999999</v>
      </c>
      <c r="Y4664">
        <v>-0.52142449999999996</v>
      </c>
      <c r="Z4664">
        <v>4.3167499999999998E-2</v>
      </c>
      <c r="AA4664">
        <v>0.85220490000000004</v>
      </c>
      <c r="AB4664">
        <v>17</v>
      </c>
      <c r="AC4664">
        <v>0.58830000000006</v>
      </c>
      <c r="AD4664">
        <v>-3.8834999999999897E-2</v>
      </c>
      <c r="AE4664">
        <v>-0.58220999999999601</v>
      </c>
      <c r="AF4664">
        <v>-0.48176223106807298</v>
      </c>
      <c r="AG4664">
        <v>-3.8834999999999897E-2</v>
      </c>
      <c r="AH4664">
        <v>0.67079366703931897</v>
      </c>
      <c r="AI4664">
        <v>92.6922487100978</v>
      </c>
      <c r="AJ4664">
        <v>125.685807166071</v>
      </c>
      <c r="AK4664">
        <v>0.82678119732414301</v>
      </c>
    </row>
    <row r="4665" spans="1:37" x14ac:dyDescent="0.2">
      <c r="A4665" t="str">
        <f>"20200111155949112"</f>
        <v>20200111155949112</v>
      </c>
      <c r="B4665" t="str">
        <f>"1578729589105153"</f>
        <v>1578729589105153</v>
      </c>
      <c r="C4665" t="s">
        <v>37</v>
      </c>
      <c r="D4665">
        <v>4.773968</v>
      </c>
      <c r="E4665">
        <v>0.31033929999999998</v>
      </c>
      <c r="F4665" t="s">
        <v>38</v>
      </c>
      <c r="G4665">
        <v>-420.04649999999998</v>
      </c>
      <c r="H4665">
        <v>1.064854</v>
      </c>
      <c r="I4665">
        <v>37.694400000000002</v>
      </c>
      <c r="J4665">
        <v>-420.6302</v>
      </c>
      <c r="K4665">
        <v>1.105712</v>
      </c>
      <c r="L4665">
        <v>38.258330000000001</v>
      </c>
      <c r="M4665">
        <v>0.16914019999999999</v>
      </c>
      <c r="N4665">
        <v>0</v>
      </c>
      <c r="O4665">
        <v>-0.98550149999999903</v>
      </c>
      <c r="P4665">
        <v>0.24943289999999901</v>
      </c>
      <c r="Q4665">
        <v>-2.0891529999999998E-3</v>
      </c>
      <c r="R4665">
        <v>-0.96838999999999997</v>
      </c>
      <c r="S4665">
        <v>2.211487</v>
      </c>
      <c r="T4665">
        <v>-0.1484549</v>
      </c>
      <c r="U4665">
        <v>-2.5272220000000001</v>
      </c>
      <c r="V4665">
        <v>-8.2063910000000004E-2</v>
      </c>
      <c r="W4665">
        <v>1.0974009999999999E-2</v>
      </c>
      <c r="X4665">
        <v>0.99656669999999903</v>
      </c>
      <c r="Y4665">
        <v>-0.52106030000000003</v>
      </c>
      <c r="Z4665">
        <v>4.5629330000000003E-2</v>
      </c>
      <c r="AA4665">
        <v>0.85229929999999998</v>
      </c>
      <c r="AB4665">
        <v>17</v>
      </c>
      <c r="AC4665">
        <v>0.58370000000002098</v>
      </c>
      <c r="AD4665">
        <v>-4.0857999999999797E-2</v>
      </c>
      <c r="AE4665">
        <v>-0.56392999999999904</v>
      </c>
      <c r="AF4665">
        <v>-0.47868368796337502</v>
      </c>
      <c r="AG4665">
        <v>-4.0857999999999797E-2</v>
      </c>
      <c r="AH4665">
        <v>0.65288479734948901</v>
      </c>
      <c r="AI4665">
        <v>92.889211311028205</v>
      </c>
      <c r="AJ4665">
        <v>126.24821632199099</v>
      </c>
      <c r="AK4665">
        <v>0.81059608184119802</v>
      </c>
    </row>
    <row r="4666" spans="1:37" x14ac:dyDescent="0.2">
      <c r="A4666" t="str">
        <f>"20200111155949135"</f>
        <v>20200111155949135</v>
      </c>
      <c r="B4666" t="str">
        <f>"1578729589124674"</f>
        <v>1578729589124674</v>
      </c>
      <c r="C4666" t="s">
        <v>37</v>
      </c>
      <c r="D4666">
        <v>4.7918339999999997</v>
      </c>
      <c r="E4666">
        <v>0.31008579999999902</v>
      </c>
      <c r="F4666" t="s">
        <v>38</v>
      </c>
      <c r="G4666">
        <v>-420.01139999999998</v>
      </c>
      <c r="H4666">
        <v>1.0600259999999999</v>
      </c>
      <c r="I4666">
        <v>37.552209999999903</v>
      </c>
      <c r="J4666">
        <v>-420.59910000000002</v>
      </c>
      <c r="K4666">
        <v>1.105688</v>
      </c>
      <c r="L4666">
        <v>38.095950000000002</v>
      </c>
      <c r="M4666">
        <v>0.17181859999999999</v>
      </c>
      <c r="N4666">
        <v>0</v>
      </c>
      <c r="O4666">
        <v>-0.98503809999999903</v>
      </c>
      <c r="P4666">
        <v>0.24920639999999999</v>
      </c>
      <c r="Q4666">
        <v>-4.2119280000000002E-3</v>
      </c>
      <c r="R4666">
        <v>-0.9684412</v>
      </c>
      <c r="S4666">
        <v>2.2147220000000001</v>
      </c>
      <c r="T4666">
        <v>-0.16350479999999901</v>
      </c>
      <c r="U4666">
        <v>-2.5271300000000001</v>
      </c>
      <c r="V4666">
        <v>-7.9116110000000003E-2</v>
      </c>
      <c r="W4666">
        <v>8.8631590000000007E-3</v>
      </c>
      <c r="X4666">
        <v>0.99682599999999999</v>
      </c>
      <c r="Y4666">
        <v>-0.51922800000000002</v>
      </c>
      <c r="Z4666">
        <v>5.0218840000000001E-2</v>
      </c>
      <c r="AA4666">
        <v>0.85315909999999995</v>
      </c>
      <c r="AB4666">
        <v>17</v>
      </c>
      <c r="AC4666">
        <v>0.58770000000003997</v>
      </c>
      <c r="AD4666">
        <v>-4.5662000000000001E-2</v>
      </c>
      <c r="AE4666">
        <v>-0.543740000000006</v>
      </c>
      <c r="AF4666">
        <v>-0.48395146676346801</v>
      </c>
      <c r="AG4666">
        <v>-4.5662000000000001E-2</v>
      </c>
      <c r="AH4666">
        <v>0.634575193203049</v>
      </c>
      <c r="AI4666">
        <v>93.274692280706802</v>
      </c>
      <c r="AJ4666">
        <v>127.33053774483101</v>
      </c>
      <c r="AK4666">
        <v>0.79936206831147505</v>
      </c>
    </row>
    <row r="4667" spans="1:37" x14ac:dyDescent="0.2">
      <c r="A4667" t="str">
        <f>"20200111155949157"</f>
        <v>20200111155949157</v>
      </c>
      <c r="B4667" t="str">
        <f>"1578729589154691"</f>
        <v>1578729589154691</v>
      </c>
      <c r="C4667" t="s">
        <v>37</v>
      </c>
      <c r="D4667">
        <v>4.8548559999999998</v>
      </c>
      <c r="E4667">
        <v>0.31003520000000001</v>
      </c>
      <c r="F4667" t="s">
        <v>38</v>
      </c>
      <c r="G4667">
        <v>-419.99130000000002</v>
      </c>
      <c r="H4667">
        <v>1.056219</v>
      </c>
      <c r="I4667">
        <v>37.403019999999998</v>
      </c>
      <c r="J4667">
        <v>-420.56709999999998</v>
      </c>
      <c r="K4667">
        <v>1.1056729999999999</v>
      </c>
      <c r="L4667">
        <v>37.931950000000001</v>
      </c>
      <c r="M4667">
        <v>0.17452770000000001</v>
      </c>
      <c r="N4667">
        <v>0</v>
      </c>
      <c r="O4667">
        <v>-0.98456180000000004</v>
      </c>
      <c r="P4667">
        <v>0.2494267</v>
      </c>
      <c r="Q4667">
        <v>-6.9453229999999998E-3</v>
      </c>
      <c r="R4667">
        <v>-0.96836889999999998</v>
      </c>
      <c r="S4667">
        <v>2.2161869999999899</v>
      </c>
      <c r="T4667">
        <v>-0.180382399999999</v>
      </c>
      <c r="U4667">
        <v>-2.526672</v>
      </c>
      <c r="V4667">
        <v>-7.6594410000000002E-2</v>
      </c>
      <c r="W4667">
        <v>6.1385889999999999E-3</v>
      </c>
      <c r="X4667">
        <v>0.99704340000000002</v>
      </c>
      <c r="Y4667">
        <v>-0.51705290000000004</v>
      </c>
      <c r="Z4667">
        <v>5.538125E-2</v>
      </c>
      <c r="AA4667">
        <v>0.85416000000000003</v>
      </c>
      <c r="AB4667">
        <v>17</v>
      </c>
      <c r="AC4667">
        <v>0.57579999999995801</v>
      </c>
      <c r="AD4667">
        <v>-4.9453999999999797E-2</v>
      </c>
      <c r="AE4667">
        <v>-0.52893000000000201</v>
      </c>
      <c r="AF4667">
        <v>-0.472748686053097</v>
      </c>
      <c r="AG4667">
        <v>-4.9453999999999797E-2</v>
      </c>
      <c r="AH4667">
        <v>0.61883686578291297</v>
      </c>
      <c r="AI4667">
        <v>93.633654470284498</v>
      </c>
      <c r="AJ4667">
        <v>127.377332334781</v>
      </c>
      <c r="AK4667">
        <v>0.78031793823604201</v>
      </c>
    </row>
    <row r="4668" spans="1:37" x14ac:dyDescent="0.2">
      <c r="A4668" t="str">
        <f>"20200111155949181"</f>
        <v>20200111155949181</v>
      </c>
      <c r="B4668" t="str">
        <f>"1578729589175187"</f>
        <v>1578729589175187</v>
      </c>
      <c r="C4668" t="s">
        <v>37</v>
      </c>
      <c r="D4668">
        <v>4.6862550000000001</v>
      </c>
      <c r="E4668">
        <v>0.30962509999999999</v>
      </c>
      <c r="F4668" t="s">
        <v>38</v>
      </c>
      <c r="G4668">
        <v>-419.97160000000002</v>
      </c>
      <c r="H4668">
        <v>1.05071</v>
      </c>
      <c r="I4668">
        <v>37.253839999999997</v>
      </c>
      <c r="J4668">
        <v>-420.53359999999998</v>
      </c>
      <c r="K4668">
        <v>1.105664</v>
      </c>
      <c r="L4668">
        <v>37.762630000000001</v>
      </c>
      <c r="M4668">
        <v>0.17733650000000001</v>
      </c>
      <c r="N4668">
        <v>0</v>
      </c>
      <c r="O4668">
        <v>-0.98405980000000004</v>
      </c>
      <c r="P4668">
        <v>0.25097960000000002</v>
      </c>
      <c r="Q4668">
        <v>-9.7831979999999999E-3</v>
      </c>
      <c r="R4668">
        <v>-0.96794279999999999</v>
      </c>
      <c r="S4668">
        <v>2.21698</v>
      </c>
      <c r="T4668">
        <v>-0.20468449999999999</v>
      </c>
      <c r="U4668">
        <v>-2.5254819999999998</v>
      </c>
      <c r="V4668">
        <v>-7.5344510000000003E-2</v>
      </c>
      <c r="W4668">
        <v>3.3038239999999999E-3</v>
      </c>
      <c r="X4668">
        <v>0.99715209999999999</v>
      </c>
      <c r="Y4668">
        <v>-0.51467079999999998</v>
      </c>
      <c r="Z4668">
        <v>6.2825779999999998E-2</v>
      </c>
      <c r="AA4668">
        <v>0.85508289999999998</v>
      </c>
      <c r="AB4668">
        <v>17</v>
      </c>
      <c r="AC4668">
        <v>0.56199999999995398</v>
      </c>
      <c r="AD4668">
        <v>-5.4953999999999899E-2</v>
      </c>
      <c r="AE4668">
        <v>-0.50878999999999697</v>
      </c>
      <c r="AF4668">
        <v>-0.46043632308079302</v>
      </c>
      <c r="AG4668">
        <v>-5.4953999999999899E-2</v>
      </c>
      <c r="AH4668">
        <v>0.59725794064513704</v>
      </c>
      <c r="AI4668">
        <v>94.167794092836203</v>
      </c>
      <c r="AJ4668">
        <v>127.62924193842299</v>
      </c>
      <c r="AK4668">
        <v>0.75613398111170105</v>
      </c>
    </row>
    <row r="4669" spans="1:37" x14ac:dyDescent="0.2">
      <c r="A4669" t="str">
        <f>"20200111155949194"</f>
        <v>20200111155949194</v>
      </c>
      <c r="B4669" t="str">
        <f>"1578729589184948"</f>
        <v>1578729589184948</v>
      </c>
      <c r="C4669" t="s">
        <v>37</v>
      </c>
      <c r="D4669">
        <v>4.7420470000000003</v>
      </c>
      <c r="E4669">
        <v>0.3092009</v>
      </c>
      <c r="F4669" t="s">
        <v>38</v>
      </c>
      <c r="G4669">
        <v>-419.9529</v>
      </c>
      <c r="H4669">
        <v>1.0488580000000001</v>
      </c>
      <c r="I4669">
        <v>37.10425</v>
      </c>
      <c r="J4669">
        <v>-420.51249999999999</v>
      </c>
      <c r="K4669">
        <v>1.105664</v>
      </c>
      <c r="L4669">
        <v>37.657200000000003</v>
      </c>
      <c r="M4669">
        <v>0.17910079999999901</v>
      </c>
      <c r="N4669">
        <v>0</v>
      </c>
      <c r="O4669">
        <v>-0.98374030000000001</v>
      </c>
      <c r="P4669">
        <v>0.2521275</v>
      </c>
      <c r="Q4669">
        <v>-1.1414789999999999E-2</v>
      </c>
      <c r="R4669">
        <v>-0.96762689999999996</v>
      </c>
      <c r="S4669">
        <v>2.2241520000000001</v>
      </c>
      <c r="T4669">
        <v>-0.217477799999999</v>
      </c>
      <c r="U4669">
        <v>-2.5204469999999999</v>
      </c>
      <c r="V4669">
        <v>-7.4737150000000002E-2</v>
      </c>
      <c r="W4669">
        <v>1.6730460000000001E-3</v>
      </c>
      <c r="X4669">
        <v>0.99720189999999997</v>
      </c>
      <c r="Y4669">
        <v>-0.5151829</v>
      </c>
      <c r="Z4669">
        <v>6.6733260000000003E-2</v>
      </c>
      <c r="AA4669">
        <v>0.85447839999999997</v>
      </c>
      <c r="AB4669">
        <v>17</v>
      </c>
      <c r="AC4669">
        <v>0.559599999999989</v>
      </c>
      <c r="AD4669">
        <v>-5.6805999999999898E-2</v>
      </c>
      <c r="AE4669">
        <v>-0.55295000000000205</v>
      </c>
      <c r="AF4669">
        <v>-0.44916554337961001</v>
      </c>
      <c r="AG4669">
        <v>-5.6805999999999898E-2</v>
      </c>
      <c r="AH4669">
        <v>0.640899726882452</v>
      </c>
      <c r="AI4669">
        <v>94.151471757417497</v>
      </c>
      <c r="AJ4669">
        <v>125.024151282658</v>
      </c>
      <c r="AK4669">
        <v>0.78468405547296705</v>
      </c>
    </row>
    <row r="4670" spans="1:37" x14ac:dyDescent="0.2">
      <c r="A4670" t="str">
        <f>"20200111155949209"</f>
        <v>20200111155949209</v>
      </c>
      <c r="B4670" t="str">
        <f>"1578729589205444"</f>
        <v>1578729589205444</v>
      </c>
      <c r="C4670" t="s">
        <v>37</v>
      </c>
      <c r="D4670">
        <v>4.7263199999999896</v>
      </c>
      <c r="E4670">
        <v>0.30893589999999999</v>
      </c>
      <c r="F4670" t="s">
        <v>38</v>
      </c>
      <c r="G4670">
        <v>-419.90179999999998</v>
      </c>
      <c r="H4670">
        <v>1.04499599999999</v>
      </c>
      <c r="I4670">
        <v>36.968179999999997</v>
      </c>
      <c r="J4670">
        <v>-420.49149999999997</v>
      </c>
      <c r="K4670">
        <v>1.1056680000000001</v>
      </c>
      <c r="L4670">
        <v>37.553379999999997</v>
      </c>
      <c r="M4670">
        <v>0.18085109999999999</v>
      </c>
      <c r="N4670">
        <v>0</v>
      </c>
      <c r="O4670">
        <v>-0.98341990000000001</v>
      </c>
      <c r="P4670">
        <v>0.25374170000000001</v>
      </c>
      <c r="Q4670">
        <v>-1.3154010000000001E-2</v>
      </c>
      <c r="R4670">
        <v>-0.96718249999999995</v>
      </c>
      <c r="S4670">
        <v>2.2304689999999998</v>
      </c>
      <c r="T4670">
        <v>-0.22158229999999901</v>
      </c>
      <c r="U4670">
        <v>-2.5165709999999999</v>
      </c>
      <c r="V4670">
        <v>-7.4625499999999997E-2</v>
      </c>
      <c r="W4670" s="1">
        <v>-6.8527590000000004E-5</v>
      </c>
      <c r="X4670">
        <v>0.99721159999999998</v>
      </c>
      <c r="Y4670">
        <v>-0.51545859999999899</v>
      </c>
      <c r="Z4670">
        <v>6.797483E-2</v>
      </c>
      <c r="AA4670">
        <v>0.85421420000000003</v>
      </c>
      <c r="AB4670">
        <v>17</v>
      </c>
      <c r="AC4670">
        <v>0.58969999999999301</v>
      </c>
      <c r="AD4670">
        <v>-6.0672000000000198E-2</v>
      </c>
      <c r="AE4670">
        <v>-0.58520000000000005</v>
      </c>
      <c r="AF4670">
        <v>-0.47161561189799101</v>
      </c>
      <c r="AG4670">
        <v>-6.0672000000000198E-2</v>
      </c>
      <c r="AH4670">
        <v>0.67858687197799705</v>
      </c>
      <c r="AI4670">
        <v>94.199072894762807</v>
      </c>
      <c r="AJ4670">
        <v>124.799171604802</v>
      </c>
      <c r="AK4670">
        <v>0.82860275149844898</v>
      </c>
    </row>
    <row r="4671" spans="1:37" x14ac:dyDescent="0.2">
      <c r="A4671" t="str">
        <f>"20200111155949223"</f>
        <v>20200111155949223</v>
      </c>
      <c r="B4671" t="str">
        <f>"1578729589215203"</f>
        <v>1578729589215203</v>
      </c>
      <c r="C4671" t="s">
        <v>37</v>
      </c>
      <c r="D4671">
        <v>4.4085419999999997</v>
      </c>
      <c r="E4671">
        <v>0.30870320000000001</v>
      </c>
      <c r="F4671" t="s">
        <v>38</v>
      </c>
      <c r="G4671">
        <v>-419.8501</v>
      </c>
      <c r="H4671">
        <v>1.041145</v>
      </c>
      <c r="I4671">
        <v>36.83267</v>
      </c>
      <c r="J4671">
        <v>-420.46870000000001</v>
      </c>
      <c r="K4671">
        <v>1.1056779999999999</v>
      </c>
      <c r="L4671">
        <v>37.44162</v>
      </c>
      <c r="M4671">
        <v>0.1827568</v>
      </c>
      <c r="N4671">
        <v>0</v>
      </c>
      <c r="O4671">
        <v>-0.98306759999999904</v>
      </c>
      <c r="P4671">
        <v>0.25633990000000001</v>
      </c>
      <c r="Q4671">
        <v>-1.551983E-2</v>
      </c>
      <c r="R4671">
        <v>-0.9664623</v>
      </c>
      <c r="S4671">
        <v>2.2366329999999999</v>
      </c>
      <c r="T4671">
        <v>-0.22490869999999999</v>
      </c>
      <c r="U4671">
        <v>-2.5119630000000002</v>
      </c>
      <c r="V4671">
        <v>-7.5371320000000006E-2</v>
      </c>
      <c r="W4671">
        <v>-2.4412190000000001E-3</v>
      </c>
      <c r="X4671">
        <v>0.99715259999999994</v>
      </c>
      <c r="Y4671">
        <v>-0.51570090000000002</v>
      </c>
      <c r="Z4671">
        <v>6.8991520000000001E-2</v>
      </c>
      <c r="AA4671">
        <v>0.85398639999999904</v>
      </c>
      <c r="AB4671">
        <v>17</v>
      </c>
      <c r="AC4671">
        <v>0.61860000000001403</v>
      </c>
      <c r="AD4671">
        <v>-6.4533000000000104E-2</v>
      </c>
      <c r="AE4671">
        <v>-0.60894999999999999</v>
      </c>
      <c r="AF4671">
        <v>-0.49414894463095699</v>
      </c>
      <c r="AG4671">
        <v>-6.4533000000000104E-2</v>
      </c>
      <c r="AH4671">
        <v>0.70784349472529096</v>
      </c>
      <c r="AI4671">
        <v>94.275171851072798</v>
      </c>
      <c r="AJ4671">
        <v>124.91907831818099</v>
      </c>
      <c r="AK4671">
        <v>0.86567320658190805</v>
      </c>
    </row>
    <row r="4672" spans="1:37" x14ac:dyDescent="0.2">
      <c r="A4672" t="str">
        <f>"20200111155949239"</f>
        <v>20200111155949239</v>
      </c>
      <c r="B4672" t="str">
        <f>"1578729589234724"</f>
        <v>1578729589234724</v>
      </c>
      <c r="C4672" t="s">
        <v>37</v>
      </c>
      <c r="D4672">
        <v>4.3447680000000002</v>
      </c>
      <c r="E4672">
        <v>0.30799690000000002</v>
      </c>
      <c r="F4672" t="s">
        <v>38</v>
      </c>
      <c r="G4672">
        <v>-419.90320000000003</v>
      </c>
      <c r="H4672">
        <v>1.0487739999999901</v>
      </c>
      <c r="I4672">
        <v>36.810490000000001</v>
      </c>
      <c r="J4672">
        <v>-420.44639999999998</v>
      </c>
      <c r="K4672">
        <v>1.1056969999999999</v>
      </c>
      <c r="L4672">
        <v>37.334009999999999</v>
      </c>
      <c r="M4672">
        <v>0.18462770000000001</v>
      </c>
      <c r="N4672">
        <v>0</v>
      </c>
      <c r="O4672">
        <v>-0.98271799999999998</v>
      </c>
      <c r="P4672">
        <v>0.25865779999999999</v>
      </c>
      <c r="Q4672">
        <v>-1.5723850000000001E-2</v>
      </c>
      <c r="R4672">
        <v>-0.96584099999999995</v>
      </c>
      <c r="S4672">
        <v>2.2453609999999999</v>
      </c>
      <c r="T4672">
        <v>-0.22587280000000001</v>
      </c>
      <c r="U4672">
        <v>-2.5049440000000001</v>
      </c>
      <c r="V4672">
        <v>-7.5865310000000005E-2</v>
      </c>
      <c r="W4672">
        <v>-2.65166599999999E-3</v>
      </c>
      <c r="X4672">
        <v>0.99711450000000001</v>
      </c>
      <c r="Y4672">
        <v>-0.51689689999999999</v>
      </c>
      <c r="Z4672">
        <v>6.9294919999999996E-2</v>
      </c>
      <c r="AA4672">
        <v>0.85323839999999995</v>
      </c>
      <c r="AB4672">
        <v>17</v>
      </c>
      <c r="AC4672">
        <v>0.54319999999995605</v>
      </c>
      <c r="AD4672">
        <v>-5.6923000000000001E-2</v>
      </c>
      <c r="AE4672">
        <v>-0.52351999999999699</v>
      </c>
      <c r="AF4672">
        <v>-0.43472007327216</v>
      </c>
      <c r="AG4672">
        <v>-5.6923000000000001E-2</v>
      </c>
      <c r="AH4672">
        <v>0.61133653347602401</v>
      </c>
      <c r="AI4672">
        <v>94.3394538825615</v>
      </c>
      <c r="AJ4672">
        <v>125.416549320277</v>
      </c>
      <c r="AK4672">
        <v>0.75229922716777697</v>
      </c>
    </row>
    <row r="4673" spans="1:37" x14ac:dyDescent="0.2">
      <c r="A4673" t="str">
        <f>"20200111155949257"</f>
        <v>20200111155949257</v>
      </c>
      <c r="B4673" t="str">
        <f>"1578729589255219"</f>
        <v>1578729589255219</v>
      </c>
      <c r="C4673" t="s">
        <v>37</v>
      </c>
      <c r="D4673">
        <v>4.6036339999999996</v>
      </c>
      <c r="E4673">
        <v>0.30766369999999998</v>
      </c>
      <c r="F4673" t="s">
        <v>38</v>
      </c>
      <c r="G4673">
        <v>-419.85120000000001</v>
      </c>
      <c r="H4673">
        <v>1.0474379999999901</v>
      </c>
      <c r="I4673">
        <v>36.675190000000001</v>
      </c>
      <c r="J4673">
        <v>-420.4187</v>
      </c>
      <c r="K4673">
        <v>1.105737</v>
      </c>
      <c r="L4673">
        <v>37.201779999999999</v>
      </c>
      <c r="M4673">
        <v>0.1869767</v>
      </c>
      <c r="N4673">
        <v>0</v>
      </c>
      <c r="O4673">
        <v>-0.98227379999999997</v>
      </c>
      <c r="P4673">
        <v>0.26235199999999997</v>
      </c>
      <c r="Q4673">
        <v>-1.485701E-2</v>
      </c>
      <c r="R4673">
        <v>-0.96485810000000005</v>
      </c>
      <c r="S4673">
        <v>2.2568359999999998</v>
      </c>
      <c r="T4673">
        <v>-0.22090570000000001</v>
      </c>
      <c r="U4673">
        <v>-2.4981080000000002</v>
      </c>
      <c r="V4673">
        <v>-7.7296989999999996E-2</v>
      </c>
      <c r="W4673">
        <v>-1.7976089999999999E-3</v>
      </c>
      <c r="X4673">
        <v>0.99700650000000002</v>
      </c>
      <c r="Y4673">
        <v>-0.51824490000000001</v>
      </c>
      <c r="Z4673">
        <v>6.7749630000000005E-2</v>
      </c>
      <c r="AA4673">
        <v>0.85254449999999904</v>
      </c>
      <c r="AB4673">
        <v>17</v>
      </c>
      <c r="AC4673">
        <v>0.56749999999999501</v>
      </c>
      <c r="AD4673">
        <v>-5.8299000000000101E-2</v>
      </c>
      <c r="AE4673">
        <v>-0.526589999999998</v>
      </c>
      <c r="AF4673">
        <v>-0.45643284222621899</v>
      </c>
      <c r="AG4673">
        <v>-5.8299000000000101E-2</v>
      </c>
      <c r="AH4673">
        <v>0.61990497526552601</v>
      </c>
      <c r="AI4673">
        <v>94.330817708294802</v>
      </c>
      <c r="AJ4673">
        <v>126.364024678153</v>
      </c>
      <c r="AK4673">
        <v>0.77201806405203799</v>
      </c>
    </row>
    <row r="4674" spans="1:37" x14ac:dyDescent="0.2">
      <c r="A4674" t="str">
        <f>"20200111155949280"</f>
        <v>20200111155949280</v>
      </c>
      <c r="B4674" t="str">
        <f>"1578729589274742"</f>
        <v>1578729589274742</v>
      </c>
      <c r="C4674" t="s">
        <v>37</v>
      </c>
      <c r="D4674">
        <v>4.6035129999999898</v>
      </c>
      <c r="E4674">
        <v>0.3074482</v>
      </c>
      <c r="F4674" t="s">
        <v>38</v>
      </c>
      <c r="G4674">
        <v>-419.81119999999999</v>
      </c>
      <c r="H4674">
        <v>1.0486629999999999</v>
      </c>
      <c r="I4674">
        <v>36.535109999999897</v>
      </c>
      <c r="J4674">
        <v>-420.3845</v>
      </c>
      <c r="K4674">
        <v>1.105804</v>
      </c>
      <c r="L4674">
        <v>37.040859999999903</v>
      </c>
      <c r="M4674">
        <v>0.18993180000000001</v>
      </c>
      <c r="N4674">
        <v>0</v>
      </c>
      <c r="O4674">
        <v>-0.98170659999999899</v>
      </c>
      <c r="P4674">
        <v>0.26620179999999999</v>
      </c>
      <c r="Q4674">
        <v>-1.363963E-2</v>
      </c>
      <c r="R4674">
        <v>-0.96382109999999999</v>
      </c>
      <c r="S4674">
        <v>2.2693789999999998</v>
      </c>
      <c r="T4674">
        <v>-0.21310019999999999</v>
      </c>
      <c r="U4674">
        <v>-2.4889220000000001</v>
      </c>
      <c r="V4674">
        <v>-7.8276879999999993E-2</v>
      </c>
      <c r="W4674">
        <v>-5.948158E-4</v>
      </c>
      <c r="X4674">
        <v>0.99693149999999997</v>
      </c>
      <c r="Y4674">
        <v>-0.51969509999999997</v>
      </c>
      <c r="Z4674">
        <v>6.5360959999999996E-2</v>
      </c>
      <c r="AA4674">
        <v>0.85184799999999905</v>
      </c>
      <c r="AB4674">
        <v>17</v>
      </c>
      <c r="AC4674">
        <v>0.57330000000001702</v>
      </c>
      <c r="AD4674">
        <v>-5.7141000000000101E-2</v>
      </c>
      <c r="AE4674">
        <v>-0.50574999999999803</v>
      </c>
      <c r="AF4674">
        <v>-0.464202654775976</v>
      </c>
      <c r="AG4674">
        <v>-5.7141000000000101E-2</v>
      </c>
      <c r="AH4674">
        <v>0.602076388103014</v>
      </c>
      <c r="AI4674">
        <v>94.298314909416305</v>
      </c>
      <c r="AJ4674">
        <v>127.63232825804999</v>
      </c>
      <c r="AK4674">
        <v>0.76239437018726397</v>
      </c>
    </row>
    <row r="4675" spans="1:37" x14ac:dyDescent="0.2">
      <c r="A4675" t="str">
        <f>"20200111155949304"</f>
        <v>20200111155949304</v>
      </c>
      <c r="B4675" t="str">
        <f>"1578729589295235"</f>
        <v>1578729589295235</v>
      </c>
      <c r="C4675" t="s">
        <v>37</v>
      </c>
      <c r="D4675">
        <v>4.6046469999999999</v>
      </c>
      <c r="E4675">
        <v>0.30725799999999998</v>
      </c>
      <c r="F4675" t="s">
        <v>38</v>
      </c>
      <c r="G4675">
        <v>-419.78519999999997</v>
      </c>
      <c r="H4675">
        <v>1.051472</v>
      </c>
      <c r="I4675">
        <v>36.38935</v>
      </c>
      <c r="J4675">
        <v>-420.34750000000003</v>
      </c>
      <c r="K4675">
        <v>1.105891</v>
      </c>
      <c r="L4675">
        <v>36.870480000000001</v>
      </c>
      <c r="M4675">
        <v>0.19320019999999999</v>
      </c>
      <c r="N4675">
        <v>0</v>
      </c>
      <c r="O4675">
        <v>-0.98106839999999995</v>
      </c>
      <c r="P4675">
        <v>0.27006019999999997</v>
      </c>
      <c r="Q4675">
        <v>-1.170888E-2</v>
      </c>
      <c r="R4675">
        <v>-0.96277209999999902</v>
      </c>
      <c r="S4675">
        <v>2.2814329999999998</v>
      </c>
      <c r="T4675">
        <v>-0.20679989999999901</v>
      </c>
      <c r="U4675">
        <v>-2.479584</v>
      </c>
      <c r="V4675">
        <v>-7.8952309999999998E-2</v>
      </c>
      <c r="W4675">
        <v>1.320664E-3</v>
      </c>
      <c r="X4675">
        <v>0.99687749999999997</v>
      </c>
      <c r="Y4675">
        <v>-0.52077879999999999</v>
      </c>
      <c r="Z4675">
        <v>6.3437279999999999E-2</v>
      </c>
      <c r="AA4675">
        <v>0.85133139999999996</v>
      </c>
      <c r="AB4675">
        <v>17</v>
      </c>
      <c r="AC4675">
        <v>0.56230000000004998</v>
      </c>
      <c r="AD4675">
        <v>-5.4419000000000002E-2</v>
      </c>
      <c r="AE4675">
        <v>-0.48113</v>
      </c>
      <c r="AF4675">
        <v>-0.45627405615559802</v>
      </c>
      <c r="AG4675">
        <v>-5.4419000000000002E-2</v>
      </c>
      <c r="AH4675">
        <v>0.57758652496601304</v>
      </c>
      <c r="AI4675">
        <v>94.228315621632007</v>
      </c>
      <c r="AJ4675">
        <v>128.30755680865201</v>
      </c>
      <c r="AK4675">
        <v>0.73807427519457403</v>
      </c>
    </row>
    <row r="4676" spans="1:37" x14ac:dyDescent="0.2">
      <c r="A4676" t="str">
        <f>"20200111155949324"</f>
        <v>20200111155949324</v>
      </c>
      <c r="B4676" t="str">
        <f>"1578729589314758"</f>
        <v>1578729589314758</v>
      </c>
      <c r="C4676" t="s">
        <v>37</v>
      </c>
      <c r="D4676">
        <v>4.5353240000000001</v>
      </c>
      <c r="E4676">
        <v>0.30695879999999998</v>
      </c>
      <c r="F4676" t="s">
        <v>38</v>
      </c>
      <c r="G4676">
        <v>-419.76420000000002</v>
      </c>
      <c r="H4676">
        <v>1.055016</v>
      </c>
      <c r="I4676">
        <v>36.241579999999999</v>
      </c>
      <c r="J4676">
        <v>-420.31369999999998</v>
      </c>
      <c r="K4676">
        <v>1.105985</v>
      </c>
      <c r="L4676">
        <v>36.717350000000003</v>
      </c>
      <c r="M4676">
        <v>0.19629369999999999</v>
      </c>
      <c r="N4676">
        <v>0</v>
      </c>
      <c r="O4676">
        <v>-0.9804543</v>
      </c>
      <c r="P4676">
        <v>0.27302459999999901</v>
      </c>
      <c r="Q4676">
        <v>-1.0072899999999999E-2</v>
      </c>
      <c r="R4676">
        <v>-0.96195459999999999</v>
      </c>
      <c r="S4676">
        <v>2.292694</v>
      </c>
      <c r="T4676">
        <v>-0.19986609999999999</v>
      </c>
      <c r="U4676">
        <v>-2.470459</v>
      </c>
      <c r="V4676">
        <v>-7.8881690000000004E-2</v>
      </c>
      <c r="W4676">
        <v>2.943813E-3</v>
      </c>
      <c r="X4676">
        <v>0.99687959999999998</v>
      </c>
      <c r="Y4676">
        <v>-0.52183179999999996</v>
      </c>
      <c r="Z4676">
        <v>6.132336E-2</v>
      </c>
      <c r="AA4676">
        <v>0.85084139999999997</v>
      </c>
      <c r="AB4676">
        <v>17</v>
      </c>
      <c r="AC4676">
        <v>0.54949999999996602</v>
      </c>
      <c r="AD4676">
        <v>-5.0969E-2</v>
      </c>
      <c r="AE4676">
        <v>-0.47577000000000402</v>
      </c>
      <c r="AF4676">
        <v>-0.44322917533866901</v>
      </c>
      <c r="AG4676">
        <v>-5.0969E-2</v>
      </c>
      <c r="AH4676">
        <v>0.571574698830425</v>
      </c>
      <c r="AI4676">
        <v>94.030866484661601</v>
      </c>
      <c r="AJ4676">
        <v>127.791887544574</v>
      </c>
      <c r="AK4676">
        <v>0.72508453105516502</v>
      </c>
    </row>
    <row r="4677" spans="1:37" x14ac:dyDescent="0.2">
      <c r="A4677" t="str">
        <f>"20200111155949362"</f>
        <v>20200111155949362</v>
      </c>
      <c r="B4677" t="str">
        <f>"1578729589354772"</f>
        <v>1578729589354772</v>
      </c>
      <c r="C4677" t="s">
        <v>37</v>
      </c>
      <c r="D4677">
        <v>4.7269480000000001</v>
      </c>
      <c r="E4677">
        <v>0.3065541</v>
      </c>
      <c r="F4677" t="s">
        <v>38</v>
      </c>
      <c r="G4677">
        <v>-419.73450000000003</v>
      </c>
      <c r="H4677">
        <v>1.057285</v>
      </c>
      <c r="I4677">
        <v>36.097740000000002</v>
      </c>
      <c r="J4677">
        <v>-420.25240000000002</v>
      </c>
      <c r="K4677">
        <v>1.1061840000000001</v>
      </c>
      <c r="L4677">
        <v>36.448609999999903</v>
      </c>
      <c r="M4677">
        <v>0.2021683</v>
      </c>
      <c r="N4677">
        <v>0</v>
      </c>
      <c r="O4677">
        <v>-0.97925960000000001</v>
      </c>
      <c r="P4677">
        <v>0.27876259999999897</v>
      </c>
      <c r="Q4677">
        <v>-8.0990430000000002E-3</v>
      </c>
      <c r="R4677">
        <v>-0.96032629999999997</v>
      </c>
      <c r="S4677">
        <v>2.3025820000000001</v>
      </c>
      <c r="T4677">
        <v>-0.1936032</v>
      </c>
      <c r="U4677">
        <v>-2.4631349999999999</v>
      </c>
      <c r="V4677">
        <v>-7.8862070000000006E-2</v>
      </c>
      <c r="W4677">
        <v>4.8950159999999899E-3</v>
      </c>
      <c r="X4677">
        <v>0.99687349999999997</v>
      </c>
      <c r="Y4677">
        <v>-0.5198855</v>
      </c>
      <c r="Z4677">
        <v>5.9395900000000001E-2</v>
      </c>
      <c r="AA4677">
        <v>0.8521685</v>
      </c>
      <c r="AB4677">
        <v>17</v>
      </c>
      <c r="AC4677">
        <v>0.51789999999999703</v>
      </c>
      <c r="AD4677">
        <v>-4.8898999999999998E-2</v>
      </c>
      <c r="AE4677">
        <v>-0.35086999999999302</v>
      </c>
      <c r="AF4677">
        <v>-0.43361324754014402</v>
      </c>
      <c r="AG4677">
        <v>-4.8898999999999998E-2</v>
      </c>
      <c r="AH4677">
        <v>0.44561302754680598</v>
      </c>
      <c r="AI4677">
        <v>94.496799345312795</v>
      </c>
      <c r="AJ4677">
        <v>134.21806924527601</v>
      </c>
      <c r="AK4677">
        <v>0.62368464063398399</v>
      </c>
    </row>
    <row r="4678" spans="1:37" x14ac:dyDescent="0.2">
      <c r="A4678" t="str">
        <f>"20200111155949375"</f>
        <v>20200111155949375</v>
      </c>
      <c r="B4678" t="str">
        <f>"1578729589365508"</f>
        <v>1578729589365508</v>
      </c>
      <c r="C4678" t="s">
        <v>37</v>
      </c>
      <c r="D4678">
        <v>4.7154669999999896</v>
      </c>
      <c r="E4678">
        <v>0.41243259999999998</v>
      </c>
      <c r="F4678" t="s">
        <v>38</v>
      </c>
      <c r="G4678">
        <v>-419.65609999999998</v>
      </c>
      <c r="H4678">
        <v>1.056519</v>
      </c>
      <c r="I4678">
        <v>35.81908</v>
      </c>
      <c r="J4678">
        <v>-420.23</v>
      </c>
      <c r="K4678">
        <v>1.106252</v>
      </c>
      <c r="L4678">
        <v>36.353209999999997</v>
      </c>
      <c r="M4678">
        <v>0.2043925</v>
      </c>
      <c r="N4678">
        <v>0</v>
      </c>
      <c r="O4678">
        <v>-0.97879769999999899</v>
      </c>
      <c r="P4678">
        <v>0.28042590000000001</v>
      </c>
      <c r="Q4678">
        <v>-7.7555660000000002E-3</v>
      </c>
      <c r="R4678">
        <v>-0.95984459999999905</v>
      </c>
      <c r="S4678">
        <v>2.3192750000000002</v>
      </c>
      <c r="T4678">
        <v>-0.19320419999999999</v>
      </c>
      <c r="U4678">
        <v>-2.4490660000000002</v>
      </c>
      <c r="V4678">
        <v>-7.8326199999999999E-2</v>
      </c>
      <c r="W4678">
        <v>5.2345200000000003E-3</v>
      </c>
      <c r="X4678">
        <v>0.99691399999999997</v>
      </c>
      <c r="Y4678">
        <v>-0.52345459999999999</v>
      </c>
      <c r="Z4678">
        <v>5.9288760000000003E-2</v>
      </c>
      <c r="AA4678">
        <v>0.84998830000000003</v>
      </c>
      <c r="AB4678">
        <v>17</v>
      </c>
      <c r="AC4678">
        <v>0.57390000000003705</v>
      </c>
      <c r="AD4678">
        <v>-4.9732999999999999E-2</v>
      </c>
      <c r="AE4678">
        <v>-0.534129999999997</v>
      </c>
      <c r="AF4678">
        <v>-0.45078633040352201</v>
      </c>
      <c r="AG4678">
        <v>-4.9732999999999999E-2</v>
      </c>
      <c r="AH4678">
        <v>0.63759760643063201</v>
      </c>
      <c r="AI4678">
        <v>93.644257817200995</v>
      </c>
      <c r="AJ4678">
        <v>125.260599680271</v>
      </c>
      <c r="AK4678">
        <v>0.78244002625999698</v>
      </c>
    </row>
    <row r="4679" spans="1:37" x14ac:dyDescent="0.2">
      <c r="A4679" t="str">
        <f>"20200111155949390"</f>
        <v>20200111155949390</v>
      </c>
      <c r="B4679" t="str">
        <f>"1578729589385027"</f>
        <v>1578729589385027</v>
      </c>
      <c r="C4679" t="s">
        <v>37</v>
      </c>
      <c r="D4679">
        <v>4.6327220000000002</v>
      </c>
      <c r="E4679">
        <v>0.41186830000000002</v>
      </c>
      <c r="F4679" t="s">
        <v>75</v>
      </c>
      <c r="G4679">
        <v>-408.24040000000002</v>
      </c>
      <c r="H4679" s="1">
        <v>-3.5438139999999998E-6</v>
      </c>
      <c r="I4679">
        <v>15.089179999999899</v>
      </c>
      <c r="J4679">
        <v>-420.20499999999998</v>
      </c>
      <c r="K4679">
        <v>1.106325</v>
      </c>
      <c r="L4679">
        <v>36.247439999999997</v>
      </c>
      <c r="M4679">
        <v>0.2069259</v>
      </c>
      <c r="N4679">
        <v>0</v>
      </c>
      <c r="O4679">
        <v>-0.9782651</v>
      </c>
      <c r="P4679">
        <v>0.2820916</v>
      </c>
      <c r="Q4679">
        <v>-8.6856350000000006E-3</v>
      </c>
      <c r="R4679">
        <v>-0.95934819999999998</v>
      </c>
      <c r="S4679">
        <v>1.5125120000000001</v>
      </c>
      <c r="T4679">
        <v>-0.13955619999999999</v>
      </c>
      <c r="U4679">
        <v>-2.6824949999999999</v>
      </c>
      <c r="V4679">
        <v>-7.7473710000000001E-2</v>
      </c>
      <c r="W4679">
        <v>4.3023139999999998E-3</v>
      </c>
      <c r="X4679">
        <v>0.99698509999999996</v>
      </c>
      <c r="Y4679">
        <v>-0.29973470000000002</v>
      </c>
      <c r="Z4679">
        <v>4.5729909999999999E-2</v>
      </c>
      <c r="AA4679">
        <v>0.95292589999999999</v>
      </c>
      <c r="AB4679">
        <v>17</v>
      </c>
      <c r="AC4679">
        <v>11.9645999999999</v>
      </c>
      <c r="AD4679">
        <v>-1.106328543814</v>
      </c>
      <c r="AE4679">
        <v>-21.158259999999999</v>
      </c>
      <c r="AF4679">
        <v>-7.3118672410460803</v>
      </c>
      <c r="AG4679">
        <v>-1.106328543814</v>
      </c>
      <c r="AH4679">
        <v>23.128334936808599</v>
      </c>
      <c r="AI4679">
        <v>92.611413939599501</v>
      </c>
      <c r="AJ4679">
        <v>107.54399891637701</v>
      </c>
      <c r="AK4679">
        <v>24.281829468694099</v>
      </c>
    </row>
    <row r="4680" spans="1:37" x14ac:dyDescent="0.2">
      <c r="A4680" t="str">
        <f>"20200111155949402"</f>
        <v>20200111155949402</v>
      </c>
      <c r="B4680" t="str">
        <f>"1578729589394788"</f>
        <v>1578729589394788</v>
      </c>
      <c r="C4680" t="s">
        <v>37</v>
      </c>
      <c r="D4680">
        <v>4.58324</v>
      </c>
      <c r="E4680">
        <v>0.4090317</v>
      </c>
      <c r="F4680" t="s">
        <v>75</v>
      </c>
      <c r="G4680">
        <v>-405.83690000000001</v>
      </c>
      <c r="H4680" s="1">
        <v>-4.0449879999999999E-6</v>
      </c>
      <c r="I4680">
        <v>10.94505</v>
      </c>
      <c r="J4680">
        <v>-420.18329999999997</v>
      </c>
      <c r="K4680">
        <v>1.1063889999999901</v>
      </c>
      <c r="L4680">
        <v>36.1571</v>
      </c>
      <c r="M4680">
        <v>0.2091565</v>
      </c>
      <c r="N4680">
        <v>0</v>
      </c>
      <c r="O4680">
        <v>-0.97779059999999995</v>
      </c>
      <c r="P4680">
        <v>0.28053410000000001</v>
      </c>
      <c r="Q4680">
        <v>-1.135272E-2</v>
      </c>
      <c r="R4680">
        <v>-0.95977699999999999</v>
      </c>
      <c r="S4680">
        <v>1.5211490000000001</v>
      </c>
      <c r="T4680">
        <v>-0.11712739999999899</v>
      </c>
      <c r="U4680">
        <v>-2.6787719999999999</v>
      </c>
      <c r="V4680">
        <v>-7.3574959999999995E-2</v>
      </c>
      <c r="W4680">
        <v>1.6515879999999901E-3</v>
      </c>
      <c r="X4680">
        <v>0.99728830000000002</v>
      </c>
      <c r="Y4680">
        <v>-0.3006067</v>
      </c>
      <c r="Z4680">
        <v>3.8377719999999997E-2</v>
      </c>
      <c r="AA4680">
        <v>0.95297569999999998</v>
      </c>
      <c r="AB4680">
        <v>17</v>
      </c>
      <c r="AC4680">
        <v>14.3463999999999</v>
      </c>
      <c r="AD4680">
        <v>-1.106393044988</v>
      </c>
      <c r="AE4680">
        <v>-25.212050000000001</v>
      </c>
      <c r="AF4680">
        <v>-8.7425769281866597</v>
      </c>
      <c r="AG4680">
        <v>-1.106393044988</v>
      </c>
      <c r="AH4680">
        <v>27.615052553960901</v>
      </c>
      <c r="AI4680">
        <v>92.187428476009799</v>
      </c>
      <c r="AJ4680">
        <v>107.56712952332801</v>
      </c>
      <c r="AK4680">
        <v>28.987029590375101</v>
      </c>
    </row>
    <row r="4681" spans="1:37" x14ac:dyDescent="0.2">
      <c r="A4681" t="str">
        <f>"20200111155949426"</f>
        <v>20200111155949426</v>
      </c>
      <c r="B4681" t="str">
        <f>"1578729589415283"</f>
        <v>1578729589415283</v>
      </c>
      <c r="C4681" t="s">
        <v>37</v>
      </c>
      <c r="D4681">
        <v>4.6627839999999896</v>
      </c>
      <c r="E4681">
        <v>0.40935650000000001</v>
      </c>
      <c r="F4681" t="s">
        <v>75</v>
      </c>
      <c r="G4681">
        <v>-406.94979999999998</v>
      </c>
      <c r="H4681" s="1">
        <v>-3.8770929999999997E-6</v>
      </c>
      <c r="I4681">
        <v>13.15249</v>
      </c>
      <c r="J4681">
        <v>-420.1454</v>
      </c>
      <c r="K4681">
        <v>1.1064929999999999</v>
      </c>
      <c r="L4681">
        <v>36.002200000000002</v>
      </c>
      <c r="M4681">
        <v>0.213161299999999</v>
      </c>
      <c r="N4681">
        <v>0</v>
      </c>
      <c r="O4681">
        <v>-0.97692540000000005</v>
      </c>
      <c r="P4681">
        <v>0.27816859999999999</v>
      </c>
      <c r="Q4681">
        <v>-1.3815869999999999E-2</v>
      </c>
      <c r="R4681">
        <v>-0.96043330000000005</v>
      </c>
      <c r="S4681">
        <v>1.538513</v>
      </c>
      <c r="T4681">
        <v>-0.12862850000000001</v>
      </c>
      <c r="U4681">
        <v>-2.6745000000000001</v>
      </c>
      <c r="V4681">
        <v>-6.702574E-2</v>
      </c>
      <c r="W4681">
        <v>-7.8131960000000003E-4</v>
      </c>
      <c r="X4681">
        <v>0.9977509</v>
      </c>
      <c r="Y4681">
        <v>-0.30193880000000001</v>
      </c>
      <c r="Z4681">
        <v>4.2069229999999999E-2</v>
      </c>
      <c r="AA4681">
        <v>0.95239869999999904</v>
      </c>
      <c r="AB4681">
        <v>17</v>
      </c>
      <c r="AC4681">
        <v>13.195600000000001</v>
      </c>
      <c r="AD4681">
        <v>-1.1064968770929999</v>
      </c>
      <c r="AE4681">
        <v>-22.849710000000002</v>
      </c>
      <c r="AF4681">
        <v>-8.0070803791724803</v>
      </c>
      <c r="AG4681">
        <v>-1.1064968770929999</v>
      </c>
      <c r="AH4681">
        <v>25.093376486378801</v>
      </c>
      <c r="AI4681">
        <v>92.405488360609198</v>
      </c>
      <c r="AJ4681">
        <v>107.69743536873</v>
      </c>
      <c r="AK4681">
        <v>26.3631412207402</v>
      </c>
    </row>
    <row r="4682" spans="1:37" x14ac:dyDescent="0.2">
      <c r="A4682" t="str">
        <f>"20200111155949459"</f>
        <v>20200111155949459</v>
      </c>
      <c r="B4682" t="str">
        <f>"1578729589455299"</f>
        <v>1578729589455299</v>
      </c>
      <c r="C4682" t="s">
        <v>37</v>
      </c>
      <c r="D4682">
        <v>4.5370939999999997</v>
      </c>
      <c r="E4682">
        <v>0.40939019999999998</v>
      </c>
      <c r="F4682" t="s">
        <v>75</v>
      </c>
      <c r="G4682">
        <v>-407.96359999999999</v>
      </c>
      <c r="H4682" s="1">
        <v>-3.615012E-6</v>
      </c>
      <c r="I4682">
        <v>14.672409999999999</v>
      </c>
      <c r="J4682">
        <v>-420.08449999999999</v>
      </c>
      <c r="K4682">
        <v>1.1066849999999999</v>
      </c>
      <c r="L4682">
        <v>35.762270000000001</v>
      </c>
      <c r="M4682">
        <v>0.219837799999999</v>
      </c>
      <c r="N4682">
        <v>0</v>
      </c>
      <c r="O4682">
        <v>-0.97544419999999898</v>
      </c>
      <c r="P4682">
        <v>0.27731840000000002</v>
      </c>
      <c r="Q4682">
        <v>-1.051099E-2</v>
      </c>
      <c r="R4682">
        <v>-0.96072099999999905</v>
      </c>
      <c r="S4682">
        <v>1.529755</v>
      </c>
      <c r="T4682">
        <v>-0.1389505</v>
      </c>
      <c r="U4682">
        <v>-2.678528</v>
      </c>
      <c r="V4682">
        <v>-5.932577E-2</v>
      </c>
      <c r="W4682">
        <v>2.5642529999999998E-3</v>
      </c>
      <c r="X4682">
        <v>0.998235399999999</v>
      </c>
      <c r="Y4682">
        <v>-0.29236659999999998</v>
      </c>
      <c r="Z4682">
        <v>4.53806E-2</v>
      </c>
      <c r="AA4682">
        <v>0.95522899999999999</v>
      </c>
      <c r="AB4682">
        <v>16</v>
      </c>
      <c r="AC4682">
        <v>12.120900000000001</v>
      </c>
      <c r="AD4682">
        <v>-1.1066886150120001</v>
      </c>
      <c r="AE4682">
        <v>-21.089860000000002</v>
      </c>
      <c r="AF4682">
        <v>-7.1727130876202203</v>
      </c>
      <c r="AG4682">
        <v>-1.1066886150120001</v>
      </c>
      <c r="AH4682">
        <v>23.190702095561701</v>
      </c>
      <c r="AI4682">
        <v>92.610329140406407</v>
      </c>
      <c r="AJ4682">
        <v>107.186452518967</v>
      </c>
      <c r="AK4682">
        <v>24.299819678610898</v>
      </c>
    </row>
    <row r="4683" spans="1:37" x14ac:dyDescent="0.2">
      <c r="A4683" t="str">
        <f>"20200111155949481"</f>
        <v>20200111155949481</v>
      </c>
      <c r="B4683" t="str">
        <f>"1578729589474822"</f>
        <v>1578729589474822</v>
      </c>
      <c r="C4683" t="s">
        <v>37</v>
      </c>
      <c r="D4683">
        <v>5.0868120000000001</v>
      </c>
      <c r="E4683">
        <v>0.41387679999999999</v>
      </c>
      <c r="F4683" t="s">
        <v>75</v>
      </c>
      <c r="G4683">
        <v>-408.65960000000001</v>
      </c>
      <c r="H4683" s="1">
        <v>-3.4361870000000001E-6</v>
      </c>
      <c r="I4683">
        <v>15.7209799999999</v>
      </c>
      <c r="J4683">
        <v>-420.0437</v>
      </c>
      <c r="K4683">
        <v>1.106806</v>
      </c>
      <c r="L4683">
        <v>35.606229999999996</v>
      </c>
      <c r="M4683">
        <v>0.22441759999999999</v>
      </c>
      <c r="N4683">
        <v>0</v>
      </c>
      <c r="O4683">
        <v>-0.97440070000000001</v>
      </c>
      <c r="P4683">
        <v>0.27786</v>
      </c>
      <c r="Q4683">
        <v>-5.749026E-3</v>
      </c>
      <c r="R4683">
        <v>-0.96060449999999997</v>
      </c>
      <c r="S4683">
        <v>1.5278020000000001</v>
      </c>
      <c r="T4683">
        <v>-0.14799200000000001</v>
      </c>
      <c r="U4683">
        <v>-2.6800229999999998</v>
      </c>
      <c r="V4683">
        <v>-5.5218499999999997E-2</v>
      </c>
      <c r="W4683">
        <v>7.3521109999999997E-3</v>
      </c>
      <c r="X4683">
        <v>0.99844719999999998</v>
      </c>
      <c r="Y4683">
        <v>-0.28704689999999999</v>
      </c>
      <c r="Z4683">
        <v>4.827439E-2</v>
      </c>
      <c r="AA4683">
        <v>0.95669939999999998</v>
      </c>
      <c r="AB4683">
        <v>16</v>
      </c>
      <c r="AC4683">
        <v>11.384099999999901</v>
      </c>
      <c r="AD4683">
        <v>-1.106809436187</v>
      </c>
      <c r="AE4683">
        <v>-19.885249999999999</v>
      </c>
      <c r="AF4683">
        <v>-6.6152364918328503</v>
      </c>
      <c r="AG4683">
        <v>-1.106809436187</v>
      </c>
      <c r="AH4683">
        <v>21.881911267349199</v>
      </c>
      <c r="AI4683">
        <v>92.771917704147</v>
      </c>
      <c r="AJ4683">
        <v>106.820869955246</v>
      </c>
      <c r="AK4683">
        <v>22.886773946606201</v>
      </c>
    </row>
    <row r="4684" spans="1:37" x14ac:dyDescent="0.2">
      <c r="A4684" t="str">
        <f>"20200111155949504"</f>
        <v>20200111155949504</v>
      </c>
      <c r="B4684" t="str">
        <f>"1578729589495315"</f>
        <v>1578729589495315</v>
      </c>
      <c r="C4684" t="s">
        <v>37</v>
      </c>
      <c r="D4684">
        <v>5.0545669999999996</v>
      </c>
      <c r="E4684">
        <v>0.41808809999999902</v>
      </c>
      <c r="F4684" t="s">
        <v>75</v>
      </c>
      <c r="G4684">
        <v>-409.26280000000003</v>
      </c>
      <c r="H4684" s="1">
        <v>-3.1879029999999999E-6</v>
      </c>
      <c r="I4684">
        <v>16.210079999999898</v>
      </c>
      <c r="J4684">
        <v>-420.00130000000001</v>
      </c>
      <c r="K4684">
        <v>1.1069249999999999</v>
      </c>
      <c r="L4684">
        <v>35.447600000000001</v>
      </c>
      <c r="M4684">
        <v>0.22929730000000001</v>
      </c>
      <c r="N4684">
        <v>0</v>
      </c>
      <c r="O4684">
        <v>-0.97326380000000001</v>
      </c>
      <c r="P4684">
        <v>0.27976079999999998</v>
      </c>
      <c r="Q4684">
        <v>-2.4818470000000001E-3</v>
      </c>
      <c r="R4684">
        <v>-0.96006689999999995</v>
      </c>
      <c r="S4684">
        <v>1.4949950000000001</v>
      </c>
      <c r="T4684">
        <v>-0.15348139999999999</v>
      </c>
      <c r="U4684">
        <v>-2.689667</v>
      </c>
      <c r="V4684">
        <v>-5.2209199999999997E-2</v>
      </c>
      <c r="W4684">
        <v>1.0639289999999999E-2</v>
      </c>
      <c r="X4684">
        <v>0.99857949999999995</v>
      </c>
      <c r="Y4684">
        <v>-0.2718218</v>
      </c>
      <c r="Z4684">
        <v>5.007226E-2</v>
      </c>
      <c r="AA4684">
        <v>0.96104409999999896</v>
      </c>
      <c r="AB4684">
        <v>16</v>
      </c>
      <c r="AC4684">
        <v>10.738499999999901</v>
      </c>
      <c r="AD4684">
        <v>-1.106928187903</v>
      </c>
      <c r="AE4684">
        <v>-19.23752</v>
      </c>
      <c r="AF4684">
        <v>-6.0256161239625401</v>
      </c>
      <c r="AG4684">
        <v>-1.106928187903</v>
      </c>
      <c r="AH4684">
        <v>21.134052526059602</v>
      </c>
      <c r="AI4684">
        <v>92.883509061832598</v>
      </c>
      <c r="AJ4684">
        <v>105.91359747840799</v>
      </c>
      <c r="AK4684">
        <v>22.004124973758401</v>
      </c>
    </row>
    <row r="4685" spans="1:37" x14ac:dyDescent="0.2">
      <c r="A4685" t="str">
        <f>"20200111155949526"</f>
        <v>20200111155949526</v>
      </c>
      <c r="B4685" t="str">
        <f>"1578729589514835"</f>
        <v>1578729589514835</v>
      </c>
      <c r="C4685" t="s">
        <v>37</v>
      </c>
      <c r="D4685">
        <v>4.9922750000000002</v>
      </c>
      <c r="E4685">
        <v>0.41976259999999999</v>
      </c>
      <c r="F4685" t="s">
        <v>75</v>
      </c>
      <c r="G4685">
        <v>-408.92180000000002</v>
      </c>
      <c r="H4685" s="1">
        <v>-3.1429570000000001E-6</v>
      </c>
      <c r="I4685">
        <v>15.10031</v>
      </c>
      <c r="J4685">
        <v>-419.9599</v>
      </c>
      <c r="K4685">
        <v>1.107032</v>
      </c>
      <c r="L4685">
        <v>35.297519999999999</v>
      </c>
      <c r="M4685">
        <v>0.23415630000000001</v>
      </c>
      <c r="N4685">
        <v>0</v>
      </c>
      <c r="O4685">
        <v>-0.97210569999999896</v>
      </c>
      <c r="P4685">
        <v>0.28252579999999999</v>
      </c>
      <c r="Q4685">
        <v>-2.1374570000000002E-3</v>
      </c>
      <c r="R4685">
        <v>-0.95925769999999899</v>
      </c>
      <c r="S4685">
        <v>1.468323</v>
      </c>
      <c r="T4685">
        <v>-0.14669779999999999</v>
      </c>
      <c r="U4685">
        <v>-2.696564</v>
      </c>
      <c r="V4685">
        <v>-5.0102359999999999E-2</v>
      </c>
      <c r="W4685">
        <v>1.100024E-2</v>
      </c>
      <c r="X4685">
        <v>0.99868349999999995</v>
      </c>
      <c r="Y4685">
        <v>-0.25869569999999997</v>
      </c>
      <c r="Z4685">
        <v>4.7869469999999997E-2</v>
      </c>
      <c r="AA4685">
        <v>0.96477199999999996</v>
      </c>
      <c r="AB4685">
        <v>16</v>
      </c>
      <c r="AC4685">
        <v>11.038099999999901</v>
      </c>
      <c r="AD4685">
        <v>-1.107035142957</v>
      </c>
      <c r="AE4685">
        <v>-20.197209999999998</v>
      </c>
      <c r="AF4685">
        <v>-5.9875888433778099</v>
      </c>
      <c r="AG4685">
        <v>-1.107035142957</v>
      </c>
      <c r="AH4685">
        <v>22.1691936843519</v>
      </c>
      <c r="AI4685">
        <v>92.759999589888196</v>
      </c>
      <c r="AJ4685">
        <v>105.11416765200801</v>
      </c>
      <c r="AK4685">
        <v>22.9902130390171</v>
      </c>
    </row>
    <row r="4686" spans="1:37" x14ac:dyDescent="0.2">
      <c r="A4686" t="str">
        <f>"20200111155949548"</f>
        <v>20200111155949548</v>
      </c>
      <c r="B4686" t="str">
        <f>"1578729589545552"</f>
        <v>1578729589545552</v>
      </c>
      <c r="C4686" t="s">
        <v>37</v>
      </c>
      <c r="D4686">
        <v>4.990551</v>
      </c>
      <c r="E4686">
        <v>0.42138229999999999</v>
      </c>
      <c r="F4686" t="s">
        <v>75</v>
      </c>
      <c r="G4686">
        <v>-409.64800000000002</v>
      </c>
      <c r="H4686" s="1">
        <v>-2.9806700000000001E-6</v>
      </c>
      <c r="I4686">
        <v>16.30348</v>
      </c>
      <c r="J4686">
        <v>-419.916</v>
      </c>
      <c r="K4686">
        <v>1.1071409999999999</v>
      </c>
      <c r="L4686">
        <v>35.142609999999998</v>
      </c>
      <c r="M4686">
        <v>0.23941089999999901</v>
      </c>
      <c r="N4686">
        <v>0</v>
      </c>
      <c r="O4686">
        <v>-0.97082479999999904</v>
      </c>
      <c r="P4686">
        <v>0.2868887</v>
      </c>
      <c r="Q4686">
        <v>-3.4785189999999998E-3</v>
      </c>
      <c r="R4686">
        <v>-0.95795769999999902</v>
      </c>
      <c r="S4686">
        <v>1.463654</v>
      </c>
      <c r="T4686">
        <v>-0.15713079999999999</v>
      </c>
      <c r="U4686">
        <v>-2.6959840000000002</v>
      </c>
      <c r="V4686">
        <v>-4.9241550000000002E-2</v>
      </c>
      <c r="W4686">
        <v>9.6704080000000001E-3</v>
      </c>
      <c r="X4686">
        <v>0.99874010000000002</v>
      </c>
      <c r="Y4686">
        <v>-0.2521813</v>
      </c>
      <c r="Z4686">
        <v>5.1239340000000001E-2</v>
      </c>
      <c r="AA4686">
        <v>0.96632249999999997</v>
      </c>
      <c r="AB4686">
        <v>16</v>
      </c>
      <c r="AC4686">
        <v>10.267999999999899</v>
      </c>
      <c r="AD4686">
        <v>-1.1071439806700001</v>
      </c>
      <c r="AE4686">
        <v>-18.839129999999901</v>
      </c>
      <c r="AF4686">
        <v>-5.4441355267851801</v>
      </c>
      <c r="AG4686">
        <v>-1.1071439806700001</v>
      </c>
      <c r="AH4686">
        <v>20.6945464532999</v>
      </c>
      <c r="AI4686">
        <v>92.961781259645207</v>
      </c>
      <c r="AJ4686">
        <v>104.73890777634099</v>
      </c>
      <c r="AK4686">
        <v>21.4272870969641</v>
      </c>
    </row>
    <row r="4687" spans="1:37" x14ac:dyDescent="0.2">
      <c r="A4687" t="str">
        <f>"20200111155949571"</f>
        <v>20200111155949571</v>
      </c>
      <c r="B4687" t="str">
        <f>"1578729589565073"</f>
        <v>1578729589565073</v>
      </c>
      <c r="C4687" t="s">
        <v>37</v>
      </c>
      <c r="D4687">
        <v>5.0241379999999998</v>
      </c>
      <c r="E4687">
        <v>0.4223247</v>
      </c>
      <c r="F4687" t="s">
        <v>75</v>
      </c>
      <c r="G4687">
        <v>-410.64839999999998</v>
      </c>
      <c r="H4687" s="1">
        <v>-1.032066E-5</v>
      </c>
      <c r="I4687">
        <v>18.092649999999999</v>
      </c>
      <c r="J4687">
        <v>-419.86939999999998</v>
      </c>
      <c r="K4687">
        <v>1.1072329999999999</v>
      </c>
      <c r="L4687">
        <v>34.982509999999998</v>
      </c>
      <c r="M4687">
        <v>0.24503359999999999</v>
      </c>
      <c r="N4687">
        <v>0</v>
      </c>
      <c r="O4687">
        <v>-0.96942070000000002</v>
      </c>
      <c r="P4687">
        <v>0.2925816</v>
      </c>
      <c r="Q4687">
        <v>-4.469626E-3</v>
      </c>
      <c r="R4687">
        <v>-0.95623029999999998</v>
      </c>
      <c r="S4687">
        <v>1.4636229999999999</v>
      </c>
      <c r="T4687">
        <v>-0.1748517</v>
      </c>
      <c r="U4687">
        <v>-2.692688</v>
      </c>
      <c r="V4687">
        <v>-4.9389629999999997E-2</v>
      </c>
      <c r="W4687">
        <v>8.6862580000000005E-3</v>
      </c>
      <c r="X4687">
        <v>0.99874180000000001</v>
      </c>
      <c r="Y4687">
        <v>-0.2469045</v>
      </c>
      <c r="Z4687">
        <v>5.6977559999999997E-2</v>
      </c>
      <c r="AA4687">
        <v>0.96736329999999904</v>
      </c>
      <c r="AB4687">
        <v>16</v>
      </c>
      <c r="AC4687">
        <v>9.2210000000000001</v>
      </c>
      <c r="AD4687">
        <v>-1.1072433206600001</v>
      </c>
      <c r="AE4687">
        <v>-16.889859999999999</v>
      </c>
      <c r="AF4687">
        <v>-4.7850395371035699</v>
      </c>
      <c r="AG4687">
        <v>-1.1072433206600001</v>
      </c>
      <c r="AH4687">
        <v>18.573038430699398</v>
      </c>
      <c r="AI4687">
        <v>93.304045122276804</v>
      </c>
      <c r="AJ4687">
        <v>104.447145877259</v>
      </c>
      <c r="AK4687">
        <v>19.211463965326299</v>
      </c>
    </row>
    <row r="4688" spans="1:37" x14ac:dyDescent="0.2">
      <c r="A4688" t="str">
        <f>"20200111155949593"</f>
        <v>20200111155949593</v>
      </c>
      <c r="B4688" t="str">
        <f>"1578729589585571"</f>
        <v>1578729589585571</v>
      </c>
      <c r="C4688" t="s">
        <v>37</v>
      </c>
      <c r="D4688">
        <v>5.0272699999999997</v>
      </c>
      <c r="E4688">
        <v>0.4231241</v>
      </c>
      <c r="F4688" t="s">
        <v>75</v>
      </c>
      <c r="G4688">
        <v>-411.10820000000001</v>
      </c>
      <c r="H4688" s="1">
        <v>-1.028892E-5</v>
      </c>
      <c r="I4688">
        <v>19.002770000000002</v>
      </c>
      <c r="J4688">
        <v>-419.82420000000002</v>
      </c>
      <c r="K4688">
        <v>1.107289</v>
      </c>
      <c r="L4688">
        <v>34.830779999999997</v>
      </c>
      <c r="M4688">
        <v>0.25051950000000001</v>
      </c>
      <c r="N4688">
        <v>0</v>
      </c>
      <c r="O4688">
        <v>-0.96801729999999997</v>
      </c>
      <c r="P4688">
        <v>0.30023569999999999</v>
      </c>
      <c r="Q4688">
        <v>-5.0681679999999996E-3</v>
      </c>
      <c r="R4688">
        <v>-0.95385180000000003</v>
      </c>
      <c r="S4688">
        <v>1.4725950000000001</v>
      </c>
      <c r="T4688">
        <v>-0.18610599999999999</v>
      </c>
      <c r="U4688">
        <v>-2.685883</v>
      </c>
      <c r="V4688">
        <v>-5.1735709999999997E-2</v>
      </c>
      <c r="W4688">
        <v>8.0783130000000002E-3</v>
      </c>
      <c r="X4688">
        <v>0.99862809999999902</v>
      </c>
      <c r="Y4688">
        <v>-0.24482689999999999</v>
      </c>
      <c r="Z4688">
        <v>6.0605729999999997E-2</v>
      </c>
      <c r="AA4688">
        <v>0.96767080000000005</v>
      </c>
      <c r="AB4688">
        <v>16</v>
      </c>
      <c r="AC4688">
        <v>8.7159999999999993</v>
      </c>
      <c r="AD4688">
        <v>-1.10729928892</v>
      </c>
      <c r="AE4688">
        <v>-15.8280099999999</v>
      </c>
      <c r="AF4688">
        <v>-4.4556889206068799</v>
      </c>
      <c r="AG4688">
        <v>-1.10729928892</v>
      </c>
      <c r="AH4688">
        <v>17.441413763843599</v>
      </c>
      <c r="AI4688">
        <v>93.519903244465596</v>
      </c>
      <c r="AJ4688">
        <v>104.330620921359</v>
      </c>
      <c r="AK4688">
        <v>18.035581209211301</v>
      </c>
    </row>
    <row r="4689" spans="1:37" x14ac:dyDescent="0.2">
      <c r="A4689" t="str">
        <f>"20200111155949615"</f>
        <v>20200111155949615</v>
      </c>
      <c r="B4689" t="str">
        <f>"1578729589605088"</f>
        <v>1578729589605088</v>
      </c>
      <c r="C4689" t="s">
        <v>37</v>
      </c>
      <c r="D4689">
        <v>4.9904140000000003</v>
      </c>
      <c r="E4689">
        <v>0.42358479999999998</v>
      </c>
      <c r="F4689" t="s">
        <v>75</v>
      </c>
      <c r="G4689">
        <v>-411.38690000000003</v>
      </c>
      <c r="H4689" s="1">
        <v>-9.2826419999999997E-6</v>
      </c>
      <c r="I4689">
        <v>19.6584</v>
      </c>
      <c r="J4689">
        <v>-419.77769999999998</v>
      </c>
      <c r="K4689">
        <v>1.107326</v>
      </c>
      <c r="L4689">
        <v>34.67886</v>
      </c>
      <c r="M4689">
        <v>0.2561562</v>
      </c>
      <c r="N4689">
        <v>0</v>
      </c>
      <c r="O4689">
        <v>-0.96654089999999904</v>
      </c>
      <c r="P4689">
        <v>0.30857209999999902</v>
      </c>
      <c r="Q4689">
        <v>-4.823674E-3</v>
      </c>
      <c r="R4689">
        <v>-0.9511889</v>
      </c>
      <c r="S4689">
        <v>1.487976</v>
      </c>
      <c r="T4689">
        <v>-0.19527949999999999</v>
      </c>
      <c r="U4689">
        <v>-2.675751</v>
      </c>
      <c r="V4689">
        <v>-5.4658190000000002E-2</v>
      </c>
      <c r="W4689">
        <v>8.3086180000000003E-3</v>
      </c>
      <c r="X4689">
        <v>0.99847050000000004</v>
      </c>
      <c r="Y4689">
        <v>-0.24488750000000001</v>
      </c>
      <c r="Z4689">
        <v>6.356291E-2</v>
      </c>
      <c r="AA4689">
        <v>0.96746569999999898</v>
      </c>
      <c r="AB4689">
        <v>16</v>
      </c>
      <c r="AC4689">
        <v>8.3907999999999507</v>
      </c>
      <c r="AD4689">
        <v>-1.107335282642</v>
      </c>
      <c r="AE4689">
        <v>-15.02046</v>
      </c>
      <c r="AF4689">
        <v>-4.24527180650818</v>
      </c>
      <c r="AG4689">
        <v>-1.107335282642</v>
      </c>
      <c r="AH4689">
        <v>16.6000054692677</v>
      </c>
      <c r="AI4689">
        <v>93.697712462903496</v>
      </c>
      <c r="AJ4689">
        <v>104.34531097115401</v>
      </c>
      <c r="AK4689">
        <v>17.169994342428701</v>
      </c>
    </row>
    <row r="4690" spans="1:37" x14ac:dyDescent="0.2">
      <c r="A4690" t="str">
        <f>"20200111155949638"</f>
        <v>20200111155949638</v>
      </c>
      <c r="B4690" t="str">
        <f>"1578729589625584"</f>
        <v>1578729589625584</v>
      </c>
      <c r="C4690" t="s">
        <v>37</v>
      </c>
      <c r="D4690">
        <v>5.0431900000000001</v>
      </c>
      <c r="E4690">
        <v>0.42379470000000002</v>
      </c>
      <c r="F4690" t="s">
        <v>75</v>
      </c>
      <c r="G4690">
        <v>-411.5181</v>
      </c>
      <c r="H4690" s="1">
        <v>-9.2780660000000005E-6</v>
      </c>
      <c r="I4690">
        <v>20.090129999999998</v>
      </c>
      <c r="J4690">
        <v>-419.73090000000002</v>
      </c>
      <c r="K4690">
        <v>1.1073360000000001</v>
      </c>
      <c r="L4690">
        <v>34.52957</v>
      </c>
      <c r="M4690">
        <v>0.26181720000000003</v>
      </c>
      <c r="N4690">
        <v>0</v>
      </c>
      <c r="O4690">
        <v>-0.96502259999999995</v>
      </c>
      <c r="P4690">
        <v>0.31706409999999902</v>
      </c>
      <c r="Q4690">
        <v>-5.0653729999999998E-3</v>
      </c>
      <c r="R4690">
        <v>-0.94839110000000004</v>
      </c>
      <c r="S4690">
        <v>1.508087</v>
      </c>
      <c r="T4690">
        <v>-0.20218369999999999</v>
      </c>
      <c r="U4690">
        <v>-2.6636959999999998</v>
      </c>
      <c r="V4690">
        <v>-5.7731789999999998E-2</v>
      </c>
      <c r="W4690">
        <v>8.0516110000000002E-3</v>
      </c>
      <c r="X4690">
        <v>0.99829969999999901</v>
      </c>
      <c r="Y4690">
        <v>-0.24653849999999999</v>
      </c>
      <c r="Z4690">
        <v>6.5777039999999995E-2</v>
      </c>
      <c r="AA4690">
        <v>0.96689820000000004</v>
      </c>
      <c r="AB4690">
        <v>16</v>
      </c>
      <c r="AC4690">
        <v>8.2128000000000103</v>
      </c>
      <c r="AD4690">
        <v>-1.107345278066</v>
      </c>
      <c r="AE4690">
        <v>-14.439439999999999</v>
      </c>
      <c r="AF4690">
        <v>-4.1270841543033399</v>
      </c>
      <c r="AG4690">
        <v>-1.107345278066</v>
      </c>
      <c r="AH4690">
        <v>16.014946483670201</v>
      </c>
      <c r="AI4690">
        <v>93.830630568094605</v>
      </c>
      <c r="AJ4690">
        <v>104.45082004133</v>
      </c>
      <c r="AK4690">
        <v>16.575208838997401</v>
      </c>
    </row>
    <row r="4691" spans="1:37" x14ac:dyDescent="0.2">
      <c r="A4691" t="str">
        <f>"20200111155949661"</f>
        <v>20200111155949661</v>
      </c>
      <c r="B4691" t="str">
        <f>"1578729589655372"</f>
        <v>1578729589655372</v>
      </c>
      <c r="C4691" t="s">
        <v>37</v>
      </c>
      <c r="D4691">
        <v>5.0917769999999898</v>
      </c>
      <c r="E4691">
        <v>0.42458259999999998</v>
      </c>
      <c r="F4691" t="s">
        <v>75</v>
      </c>
      <c r="G4691">
        <v>-411.65800000000002</v>
      </c>
      <c r="H4691" s="1">
        <v>-9.2731839999999907E-6</v>
      </c>
      <c r="I4691">
        <v>20.550370000000001</v>
      </c>
      <c r="J4691">
        <v>-419.67970000000003</v>
      </c>
      <c r="K4691">
        <v>1.107332</v>
      </c>
      <c r="L4691">
        <v>34.369630000000001</v>
      </c>
      <c r="M4691">
        <v>0.26798879999999897</v>
      </c>
      <c r="N4691">
        <v>0</v>
      </c>
      <c r="O4691">
        <v>-0.96332700000000004</v>
      </c>
      <c r="P4691">
        <v>0.32518920000000001</v>
      </c>
      <c r="Q4691">
        <v>-7.096644E-3</v>
      </c>
      <c r="R4691">
        <v>-0.94562269999999904</v>
      </c>
      <c r="S4691">
        <v>1.5306090000000001</v>
      </c>
      <c r="T4691">
        <v>-0.209949899999999</v>
      </c>
      <c r="U4691">
        <v>-2.6504209999999899</v>
      </c>
      <c r="V4691">
        <v>-5.9896530000000003E-2</v>
      </c>
      <c r="W4691">
        <v>6.0141369999999897E-3</v>
      </c>
      <c r="X4691">
        <v>0.99818649999999998</v>
      </c>
      <c r="Y4691">
        <v>-0.2485069</v>
      </c>
      <c r="Z4691">
        <v>6.825639E-2</v>
      </c>
      <c r="AA4691">
        <v>0.96622219999999903</v>
      </c>
      <c r="AB4691">
        <v>16</v>
      </c>
      <c r="AC4691">
        <v>8.0217000000000098</v>
      </c>
      <c r="AD4691">
        <v>-1.107341273184</v>
      </c>
      <c r="AE4691">
        <v>-13.81926</v>
      </c>
      <c r="AF4691">
        <v>-4.0052460382936603</v>
      </c>
      <c r="AG4691">
        <v>-1.107341273184</v>
      </c>
      <c r="AH4691">
        <v>15.389696786252999</v>
      </c>
      <c r="AI4691">
        <v>93.983293554361197</v>
      </c>
      <c r="AJ4691">
        <v>104.587902393154</v>
      </c>
      <c r="AK4691">
        <v>15.940858436589</v>
      </c>
    </row>
    <row r="4692" spans="1:37" x14ac:dyDescent="0.2">
      <c r="A4692" t="str">
        <f>"20200111155949683"</f>
        <v>20200111155949683</v>
      </c>
      <c r="B4692" t="str">
        <f>"1578729589674892"</f>
        <v>1578729589674892</v>
      </c>
      <c r="C4692" t="s">
        <v>37</v>
      </c>
      <c r="D4692">
        <v>5.1725240000000001</v>
      </c>
      <c r="E4692">
        <v>0.42550900000000003</v>
      </c>
      <c r="F4692" t="s">
        <v>75</v>
      </c>
      <c r="G4692">
        <v>-412.010999999999</v>
      </c>
      <c r="H4692" s="1">
        <v>-9.2195769999999994E-6</v>
      </c>
      <c r="I4692">
        <v>21.298410000000001</v>
      </c>
      <c r="J4692">
        <v>-419.63040000000001</v>
      </c>
      <c r="K4692">
        <v>1.107324</v>
      </c>
      <c r="L4692">
        <v>34.219479999999997</v>
      </c>
      <c r="M4692">
        <v>0.27385100000000001</v>
      </c>
      <c r="N4692">
        <v>0</v>
      </c>
      <c r="O4692">
        <v>-0.96167669999999905</v>
      </c>
      <c r="P4692">
        <v>0.33112390000000003</v>
      </c>
      <c r="Q4692">
        <v>-9.6578559999999994E-3</v>
      </c>
      <c r="R4692">
        <v>-0.94353799999999899</v>
      </c>
      <c r="S4692">
        <v>1.547974</v>
      </c>
      <c r="T4692">
        <v>-0.2235221</v>
      </c>
      <c r="U4692">
        <v>-2.6384889999999999</v>
      </c>
      <c r="V4692">
        <v>-6.0076230000000001E-2</v>
      </c>
      <c r="W4692">
        <v>3.4602259999999998E-3</v>
      </c>
      <c r="X4692">
        <v>0.99818779999999996</v>
      </c>
      <c r="Y4692">
        <v>-0.249081</v>
      </c>
      <c r="Z4692">
        <v>7.2624709999999995E-2</v>
      </c>
      <c r="AA4692">
        <v>0.96575580000000005</v>
      </c>
      <c r="AB4692">
        <v>16</v>
      </c>
      <c r="AC4692">
        <v>7.6194000000000397</v>
      </c>
      <c r="AD4692">
        <v>-1.107333219577</v>
      </c>
      <c r="AE4692">
        <v>-12.921069999999901</v>
      </c>
      <c r="AF4692">
        <v>-3.7687614519654602</v>
      </c>
      <c r="AG4692">
        <v>-1.107333219577</v>
      </c>
      <c r="AH4692">
        <v>14.435140156159299</v>
      </c>
      <c r="AI4692">
        <v>94.244879452585494</v>
      </c>
      <c r="AJ4692">
        <v>104.632292477394</v>
      </c>
      <c r="AK4692">
        <v>14.960047495545</v>
      </c>
    </row>
    <row r="4693" spans="1:37" x14ac:dyDescent="0.2">
      <c r="A4693" t="str">
        <f>"20200111155949705"</f>
        <v>20200111155949705</v>
      </c>
      <c r="B4693" t="str">
        <f>"1578729589695387"</f>
        <v>1578729589695387</v>
      </c>
      <c r="C4693" t="s">
        <v>37</v>
      </c>
      <c r="D4693">
        <v>5.1904490000000001</v>
      </c>
      <c r="E4693">
        <v>0.42619759999999901</v>
      </c>
      <c r="F4693" t="s">
        <v>75</v>
      </c>
      <c r="G4693">
        <v>-412.25150000000002</v>
      </c>
      <c r="H4693" s="1">
        <v>-9.1782880000000004E-6</v>
      </c>
      <c r="I4693">
        <v>21.760590000000001</v>
      </c>
      <c r="J4693">
        <v>-419.58150000000001</v>
      </c>
      <c r="K4693">
        <v>1.1073059999999999</v>
      </c>
      <c r="L4693">
        <v>34.07349</v>
      </c>
      <c r="M4693">
        <v>0.27959609999999901</v>
      </c>
      <c r="N4693">
        <v>0</v>
      </c>
      <c r="O4693">
        <v>-0.96002169999999898</v>
      </c>
      <c r="P4693">
        <v>0.33608690000000002</v>
      </c>
      <c r="Q4693">
        <v>-1.1441740000000001E-2</v>
      </c>
      <c r="R4693">
        <v>-0.94176159999999998</v>
      </c>
      <c r="S4693">
        <v>1.5578920000000001</v>
      </c>
      <c r="T4693">
        <v>-0.2337873</v>
      </c>
      <c r="U4693">
        <v>-2.6304020000000001</v>
      </c>
      <c r="V4693">
        <v>-5.9356800000000001E-2</v>
      </c>
      <c r="W4693">
        <v>1.6892579999999999E-3</v>
      </c>
      <c r="X4693">
        <v>0.998235399999999</v>
      </c>
      <c r="Y4693">
        <v>-0.2471565</v>
      </c>
      <c r="Z4693">
        <v>7.5897919999999994E-2</v>
      </c>
      <c r="AA4693">
        <v>0.96599849999999998</v>
      </c>
      <c r="AB4693">
        <v>16</v>
      </c>
      <c r="AC4693">
        <v>7.3299999999999796</v>
      </c>
      <c r="AD4693">
        <v>-1.107315178288</v>
      </c>
      <c r="AE4693">
        <v>-12.312900000000001</v>
      </c>
      <c r="AF4693">
        <v>-3.5733138995534799</v>
      </c>
      <c r="AG4693">
        <v>-1.107315178288</v>
      </c>
      <c r="AH4693">
        <v>13.7890294164363</v>
      </c>
      <c r="AI4693">
        <v>94.445023086539507</v>
      </c>
      <c r="AJ4693">
        <v>104.52814883033599</v>
      </c>
      <c r="AK4693">
        <v>14.2874788320457</v>
      </c>
    </row>
    <row r="4694" spans="1:37" x14ac:dyDescent="0.2">
      <c r="A4694" t="str">
        <f>"20200111155949727"</f>
        <v>20200111155949727</v>
      </c>
      <c r="B4694" t="str">
        <f>"1578729589714911"</f>
        <v>1578729589714911</v>
      </c>
      <c r="C4694" t="s">
        <v>37</v>
      </c>
      <c r="D4694">
        <v>5.0825230000000001</v>
      </c>
      <c r="E4694">
        <v>0.42698799999999998</v>
      </c>
      <c r="F4694" t="s">
        <v>75</v>
      </c>
      <c r="G4694">
        <v>-412.42180000000002</v>
      </c>
      <c r="H4694" s="1">
        <v>-9.1486650000000003E-6</v>
      </c>
      <c r="I4694">
        <v>22.084139999999898</v>
      </c>
      <c r="J4694">
        <v>-419.53109999999998</v>
      </c>
      <c r="K4694">
        <v>1.1072879999999901</v>
      </c>
      <c r="L4694">
        <v>33.926670000000001</v>
      </c>
      <c r="M4694">
        <v>0.28541179999999999</v>
      </c>
      <c r="N4694">
        <v>0</v>
      </c>
      <c r="O4694">
        <v>-0.95830890000000002</v>
      </c>
      <c r="P4694">
        <v>0.34040579999999998</v>
      </c>
      <c r="Q4694">
        <v>-1.340772E-2</v>
      </c>
      <c r="R4694">
        <v>-0.94018310000000005</v>
      </c>
      <c r="S4694">
        <v>1.5666500000000001</v>
      </c>
      <c r="T4694">
        <v>-0.2422995</v>
      </c>
      <c r="U4694">
        <v>-2.6234739999999999</v>
      </c>
      <c r="V4694">
        <v>-5.7879809999999997E-2</v>
      </c>
      <c r="W4694">
        <v>-2.5938570000000002E-4</v>
      </c>
      <c r="X4694">
        <v>0.99832350000000003</v>
      </c>
      <c r="Y4694">
        <v>-0.24466860000000001</v>
      </c>
      <c r="Z4694">
        <v>7.8576530000000006E-2</v>
      </c>
      <c r="AA4694">
        <v>0.96641759999999999</v>
      </c>
      <c r="AB4694">
        <v>16</v>
      </c>
      <c r="AC4694">
        <v>7.1092999999999602</v>
      </c>
      <c r="AD4694">
        <v>-1.1072971486649901</v>
      </c>
      <c r="AE4694">
        <v>-11.84253</v>
      </c>
      <c r="AF4694">
        <v>-3.4113008938651102</v>
      </c>
      <c r="AG4694">
        <v>-1.1072971486649901</v>
      </c>
      <c r="AH4694">
        <v>13.2936794580681</v>
      </c>
      <c r="AI4694">
        <v>94.612687875616203</v>
      </c>
      <c r="AJ4694">
        <v>104.392172188383</v>
      </c>
      <c r="AK4694">
        <v>13.768986683768301</v>
      </c>
    </row>
    <row r="4695" spans="1:37" x14ac:dyDescent="0.2">
      <c r="A4695" t="str">
        <f>"20200111155949749"</f>
        <v>20200111155949749</v>
      </c>
      <c r="B4695" t="str">
        <f>"1578729589745549"</f>
        <v>1578729589745549</v>
      </c>
      <c r="C4695" t="s">
        <v>37</v>
      </c>
      <c r="D4695">
        <v>5.1372080000000002</v>
      </c>
      <c r="E4695">
        <v>0.44192159999999903</v>
      </c>
      <c r="F4695" t="s">
        <v>75</v>
      </c>
      <c r="G4695">
        <v>-412.48419999999999</v>
      </c>
      <c r="H4695" s="1">
        <v>-9.1374720000000003E-6</v>
      </c>
      <c r="I4695">
        <v>22.198910000000001</v>
      </c>
      <c r="J4695">
        <v>-419.4787</v>
      </c>
      <c r="K4695">
        <v>1.107267</v>
      </c>
      <c r="L4695">
        <v>33.776980000000002</v>
      </c>
      <c r="M4695">
        <v>0.29137360000000001</v>
      </c>
      <c r="N4695">
        <v>0</v>
      </c>
      <c r="O4695">
        <v>-0.95651309999999901</v>
      </c>
      <c r="P4695">
        <v>0.34486999999999901</v>
      </c>
      <c r="Q4695">
        <v>-1.515331E-2</v>
      </c>
      <c r="R4695">
        <v>-0.93852839999999904</v>
      </c>
      <c r="S4695">
        <v>1.5729979999999999</v>
      </c>
      <c r="T4695">
        <v>-0.247167</v>
      </c>
      <c r="U4695">
        <v>-2.6178279999999998</v>
      </c>
      <c r="V4695">
        <v>-5.6403450000000001E-2</v>
      </c>
      <c r="W4695">
        <v>-1.988016E-3</v>
      </c>
      <c r="X4695">
        <v>0.99840609999999996</v>
      </c>
      <c r="Y4695">
        <v>-0.24120639999999999</v>
      </c>
      <c r="Z4695">
        <v>8.0059459999999999E-2</v>
      </c>
      <c r="AA4695">
        <v>0.96716589999999902</v>
      </c>
      <c r="AB4695">
        <v>16</v>
      </c>
      <c r="AC4695">
        <v>6.9945000000000102</v>
      </c>
      <c r="AD4695">
        <v>-1.1072761374719999</v>
      </c>
      <c r="AE4695">
        <v>-11.57807</v>
      </c>
      <c r="AF4695">
        <v>-3.2950133921592601</v>
      </c>
      <c r="AG4695">
        <v>-1.1072761374719999</v>
      </c>
      <c r="AH4695">
        <v>13.0265087066856</v>
      </c>
      <c r="AI4695">
        <v>94.710892505914998</v>
      </c>
      <c r="AJ4695">
        <v>104.195039200377</v>
      </c>
      <c r="AK4695">
        <v>13.4823255703339</v>
      </c>
    </row>
    <row r="4696" spans="1:37" x14ac:dyDescent="0.2">
      <c r="A4696" t="str">
        <f>"20200111155949816"</f>
        <v>20200111155949816</v>
      </c>
      <c r="B4696" t="str">
        <f>"1578729589805085"</f>
        <v>1578729589805085</v>
      </c>
      <c r="C4696" t="s">
        <v>37</v>
      </c>
      <c r="D4696">
        <v>4.9150580000000001</v>
      </c>
      <c r="E4696">
        <v>0.43527100000000002</v>
      </c>
      <c r="F4696" t="s">
        <v>75</v>
      </c>
      <c r="G4696">
        <v>-411.30099999999999</v>
      </c>
      <c r="H4696" s="1">
        <v>-1.0338329999999999E-5</v>
      </c>
      <c r="I4696">
        <v>19.047470000000001</v>
      </c>
      <c r="J4696">
        <v>-419.31699999999898</v>
      </c>
      <c r="K4696">
        <v>1.107208</v>
      </c>
      <c r="L4696">
        <v>33.332979999999999</v>
      </c>
      <c r="M4696">
        <v>0.309164099999999</v>
      </c>
      <c r="N4696">
        <v>0</v>
      </c>
      <c r="O4696">
        <v>-0.95091179999999997</v>
      </c>
      <c r="P4696">
        <v>0.35955490000000001</v>
      </c>
      <c r="Q4696">
        <v>-1.468537E-2</v>
      </c>
      <c r="R4696">
        <v>-0.93300859999999997</v>
      </c>
      <c r="S4696">
        <v>1.4724729999999999</v>
      </c>
      <c r="T4696">
        <v>-0.199376</v>
      </c>
      <c r="U4696">
        <v>-2.6521910000000002</v>
      </c>
      <c r="V4696">
        <v>-5.3448719999999998E-2</v>
      </c>
      <c r="W4696">
        <v>-1.484537E-3</v>
      </c>
      <c r="X4696">
        <v>0.9985695</v>
      </c>
      <c r="Y4696">
        <v>-0.19023909999999999</v>
      </c>
      <c r="Z4696">
        <v>6.4324469999999995E-2</v>
      </c>
      <c r="AA4696">
        <v>0.97962819999999995</v>
      </c>
      <c r="AB4696">
        <v>16</v>
      </c>
      <c r="AC4696">
        <v>8.0159999999999592</v>
      </c>
      <c r="AD4696">
        <v>-1.1072183383299901</v>
      </c>
      <c r="AE4696">
        <v>-14.28551</v>
      </c>
      <c r="AF4696">
        <v>-3.1916558642925499</v>
      </c>
      <c r="AG4696">
        <v>-1.1072183383299901</v>
      </c>
      <c r="AH4696">
        <v>15.990941840194701</v>
      </c>
      <c r="AI4696">
        <v>93.884482405696502</v>
      </c>
      <c r="AJ4696">
        <v>101.287424883052</v>
      </c>
      <c r="AK4696">
        <v>16.343892453797501</v>
      </c>
    </row>
    <row r="4697" spans="1:37" x14ac:dyDescent="0.2">
      <c r="A4697" t="str">
        <f>"20200111155949839"</f>
        <v>20200111155949839</v>
      </c>
      <c r="B4697" t="str">
        <f>"1578729589835342"</f>
        <v>1578729589835342</v>
      </c>
      <c r="C4697" t="s">
        <v>37</v>
      </c>
      <c r="D4697">
        <v>4.8271879999999996</v>
      </c>
      <c r="E4697">
        <v>0.31833919999999999</v>
      </c>
      <c r="F4697" t="s">
        <v>75</v>
      </c>
      <c r="G4697">
        <v>-410.91759999999999</v>
      </c>
      <c r="H4697" s="1">
        <v>-1.0160169999999999E-5</v>
      </c>
      <c r="I4697">
        <v>19.3201</v>
      </c>
      <c r="J4697">
        <v>-419.2604</v>
      </c>
      <c r="K4697">
        <v>1.1071979999999999</v>
      </c>
      <c r="L4697">
        <v>33.183439999999997</v>
      </c>
      <c r="M4697">
        <v>0.31520019999999999</v>
      </c>
      <c r="N4697">
        <v>0</v>
      </c>
      <c r="O4697">
        <v>-0.948928199999999</v>
      </c>
      <c r="P4697">
        <v>0.36589870000000002</v>
      </c>
      <c r="Q4697">
        <v>-1.316467E-2</v>
      </c>
      <c r="R4697">
        <v>-0.930562</v>
      </c>
      <c r="S4697">
        <v>1.564087</v>
      </c>
      <c r="T4697">
        <v>-0.20618049999999999</v>
      </c>
      <c r="U4697">
        <v>-2.6094059999999999</v>
      </c>
      <c r="V4697">
        <v>-5.390445E-2</v>
      </c>
      <c r="W4697" s="1">
        <v>3.5004520000000001E-5</v>
      </c>
      <c r="X4697">
        <v>0.99854609999999899</v>
      </c>
      <c r="Y4697">
        <v>-0.21633869999999999</v>
      </c>
      <c r="Z4697">
        <v>6.6513230000000007E-2</v>
      </c>
      <c r="AA4697">
        <v>0.97405010000000003</v>
      </c>
      <c r="AB4697">
        <v>16</v>
      </c>
      <c r="AC4697">
        <v>8.3428000000000093</v>
      </c>
      <c r="AD4697">
        <v>-1.1072081601699999</v>
      </c>
      <c r="AE4697">
        <v>-13.863340000000001</v>
      </c>
      <c r="AF4697">
        <v>-3.5307835366552598</v>
      </c>
      <c r="AG4697">
        <v>-1.1072081601699999</v>
      </c>
      <c r="AH4697">
        <v>15.7128409418725</v>
      </c>
      <c r="AI4697">
        <v>93.932943591512199</v>
      </c>
      <c r="AJ4697">
        <v>102.66439745706801</v>
      </c>
      <c r="AK4697">
        <v>16.142667461025301</v>
      </c>
    </row>
    <row r="4698" spans="1:37" x14ac:dyDescent="0.2">
      <c r="A4698" t="str">
        <f>"20200111155949861"</f>
        <v>20200111155949861</v>
      </c>
      <c r="B4698" t="str">
        <f>"1578729589855369"</f>
        <v>1578729589855369</v>
      </c>
      <c r="C4698" t="s">
        <v>37</v>
      </c>
      <c r="D4698">
        <v>4.974888</v>
      </c>
      <c r="E4698">
        <v>0.3081584</v>
      </c>
      <c r="F4698" t="s">
        <v>74</v>
      </c>
      <c r="G4698">
        <v>-384.54669999999999</v>
      </c>
      <c r="H4698">
        <v>0.75801059999999998</v>
      </c>
      <c r="I4698">
        <v>1.086506</v>
      </c>
      <c r="J4698">
        <v>-419.20460000000003</v>
      </c>
      <c r="K4698">
        <v>1.1072029999999999</v>
      </c>
      <c r="L4698">
        <v>33.038939999999997</v>
      </c>
      <c r="M4698">
        <v>0.32106790000000002</v>
      </c>
      <c r="N4698">
        <v>0</v>
      </c>
      <c r="O4698">
        <v>-0.946959</v>
      </c>
      <c r="P4698">
        <v>0.37199179999999998</v>
      </c>
      <c r="Q4698">
        <v>-1.2333240000000001E-2</v>
      </c>
      <c r="R4698">
        <v>-0.92815419999999904</v>
      </c>
      <c r="S4698">
        <v>2.446075</v>
      </c>
      <c r="T4698">
        <v>-2.460706E-2</v>
      </c>
      <c r="U4698">
        <v>-2.2616879999999999</v>
      </c>
      <c r="V4698">
        <v>-5.4272479999999998E-2</v>
      </c>
      <c r="W4698">
        <v>8.6480779999999896E-4</v>
      </c>
      <c r="X4698">
        <v>0.99852580000000002</v>
      </c>
      <c r="Y4698">
        <v>-0.47734599999999999</v>
      </c>
      <c r="Z4698">
        <v>7.597599E-3</v>
      </c>
      <c r="AA4698">
        <v>0.87868259999999898</v>
      </c>
      <c r="AB4698">
        <v>16</v>
      </c>
      <c r="AC4698">
        <v>34.657899999999998</v>
      </c>
      <c r="AD4698">
        <v>-0.34919240000000001</v>
      </c>
      <c r="AE4698">
        <v>-31.952434</v>
      </c>
      <c r="AF4698">
        <v>-22.561547919536402</v>
      </c>
      <c r="AG4698">
        <v>-0.34919240000000001</v>
      </c>
      <c r="AH4698">
        <v>41.386722216380797</v>
      </c>
      <c r="AI4698">
        <v>90.424442397113197</v>
      </c>
      <c r="AJ4698">
        <v>118.596557674168</v>
      </c>
      <c r="AK4698">
        <v>47.138160291568703</v>
      </c>
    </row>
    <row r="4699" spans="1:37" x14ac:dyDescent="0.2">
      <c r="A4699" t="str">
        <f>"20200111155949883"</f>
        <v>20200111155949883</v>
      </c>
      <c r="B4699" t="str">
        <f>"1578729589874892"</f>
        <v>1578729589874892</v>
      </c>
      <c r="C4699" t="s">
        <v>37</v>
      </c>
      <c r="D4699">
        <v>4.9075199999999999</v>
      </c>
      <c r="E4699">
        <v>0.30439660000000002</v>
      </c>
      <c r="F4699" t="s">
        <v>39</v>
      </c>
      <c r="G4699">
        <v>-392.85039999999998</v>
      </c>
      <c r="H4699" s="1">
        <v>-5.2732449999999902E-6</v>
      </c>
      <c r="I4699">
        <v>10.05702</v>
      </c>
      <c r="J4699">
        <v>-419.14699999999999</v>
      </c>
      <c r="K4699">
        <v>1.1072219999999999</v>
      </c>
      <c r="L4699">
        <v>32.89246</v>
      </c>
      <c r="M4699">
        <v>0.32705889999999999</v>
      </c>
      <c r="N4699">
        <v>0</v>
      </c>
      <c r="O4699">
        <v>-0.94490649999999998</v>
      </c>
      <c r="P4699">
        <v>0.37849759999999999</v>
      </c>
      <c r="Q4699">
        <v>-1.0996270000000001E-2</v>
      </c>
      <c r="R4699">
        <v>-0.92553719999999995</v>
      </c>
      <c r="S4699">
        <v>2.5383</v>
      </c>
      <c r="T4699">
        <v>-0.106640599999999</v>
      </c>
      <c r="U4699">
        <v>-2.2135009999999999</v>
      </c>
      <c r="V4699">
        <v>-5.4960839999999997E-2</v>
      </c>
      <c r="W4699">
        <v>2.1970889999999902E-3</v>
      </c>
      <c r="X4699">
        <v>0.99848609999999904</v>
      </c>
      <c r="Y4699">
        <v>-0.49683240000000001</v>
      </c>
      <c r="Z4699">
        <v>3.2662789999999997E-2</v>
      </c>
      <c r="AA4699">
        <v>0.86723159999999899</v>
      </c>
      <c r="AB4699">
        <v>16</v>
      </c>
      <c r="AC4699">
        <v>26.296600000000002</v>
      </c>
      <c r="AD4699">
        <v>-1.1072272732449999</v>
      </c>
      <c r="AE4699">
        <v>-22.835439999999998</v>
      </c>
      <c r="AF4699">
        <v>-17.363345874873598</v>
      </c>
      <c r="AG4699">
        <v>-1.1072272732449999</v>
      </c>
      <c r="AH4699">
        <v>30.1501993249748</v>
      </c>
      <c r="AI4699">
        <v>91.822748808059401</v>
      </c>
      <c r="AJ4699">
        <v>119.937420489087</v>
      </c>
      <c r="AK4699">
        <v>34.810145813265699</v>
      </c>
    </row>
    <row r="4700" spans="1:37" x14ac:dyDescent="0.2">
      <c r="A4700" t="str">
        <f>"20200111155949906"</f>
        <v>20200111155949906</v>
      </c>
      <c r="B4700" t="str">
        <f>"1578729589895385"</f>
        <v>1578729589895385</v>
      </c>
      <c r="C4700" t="s">
        <v>37</v>
      </c>
      <c r="D4700">
        <v>4.8059019999999997</v>
      </c>
      <c r="E4700">
        <v>0.30116479999999901</v>
      </c>
      <c r="F4700" t="s">
        <v>38</v>
      </c>
      <c r="G4700">
        <v>-418.42689999999999</v>
      </c>
      <c r="H4700">
        <v>1.0692409999999899</v>
      </c>
      <c r="I4700">
        <v>32.283850000000001</v>
      </c>
      <c r="J4700">
        <v>-419.08949999999999</v>
      </c>
      <c r="K4700">
        <v>1.107246</v>
      </c>
      <c r="L4700">
        <v>32.749389999999998</v>
      </c>
      <c r="M4700">
        <v>0.33297019999999999</v>
      </c>
      <c r="N4700">
        <v>0</v>
      </c>
      <c r="O4700">
        <v>-0.94283969999999995</v>
      </c>
      <c r="P4700">
        <v>0.38443240000000001</v>
      </c>
      <c r="Q4700">
        <v>-1.103703E-2</v>
      </c>
      <c r="R4700">
        <v>-0.9230874</v>
      </c>
      <c r="S4700">
        <v>2.5827640000000001</v>
      </c>
      <c r="T4700">
        <v>-0.136260299999999</v>
      </c>
      <c r="U4700">
        <v>-2.1835330000000002</v>
      </c>
      <c r="V4700">
        <v>-5.5118449999999999E-2</v>
      </c>
      <c r="W4700">
        <v>2.1551270000000002E-3</v>
      </c>
      <c r="X4700">
        <v>0.99847750000000002</v>
      </c>
      <c r="Y4700">
        <v>-0.50440200000000002</v>
      </c>
      <c r="Z4700">
        <v>4.1591309999999999E-2</v>
      </c>
      <c r="AA4700">
        <v>0.86246659999999997</v>
      </c>
      <c r="AB4700">
        <v>16</v>
      </c>
      <c r="AC4700">
        <v>0.66259999999999697</v>
      </c>
      <c r="AD4700">
        <v>-3.8004999999999997E-2</v>
      </c>
      <c r="AE4700">
        <v>-0.46554000000000401</v>
      </c>
      <c r="AF4700">
        <v>-0.46872548523466501</v>
      </c>
      <c r="AG4700">
        <v>-3.8004999999999997E-2</v>
      </c>
      <c r="AH4700">
        <v>0.65816671686820205</v>
      </c>
      <c r="AI4700">
        <v>92.692925879035997</v>
      </c>
      <c r="AJ4700">
        <v>125.457265297981</v>
      </c>
      <c r="AK4700">
        <v>0.80890752730243598</v>
      </c>
    </row>
    <row r="4701" spans="1:37" x14ac:dyDescent="0.2">
      <c r="A4701" t="str">
        <f>"20200111155949928"</f>
        <v>20200111155949928</v>
      </c>
      <c r="B4701" t="str">
        <f>"1578729589925642"</f>
        <v>1578729589925642</v>
      </c>
      <c r="C4701" t="s">
        <v>37</v>
      </c>
      <c r="D4701">
        <v>4.904604</v>
      </c>
      <c r="E4701">
        <v>0.29946220000000001</v>
      </c>
      <c r="F4701" t="s">
        <v>38</v>
      </c>
      <c r="G4701">
        <v>-418.33089999999999</v>
      </c>
      <c r="H4701">
        <v>1.067134</v>
      </c>
      <c r="I4701">
        <v>32.125039999999998</v>
      </c>
      <c r="J4701">
        <v>-419.03100000000001</v>
      </c>
      <c r="K4701">
        <v>1.10727999999999</v>
      </c>
      <c r="L4701">
        <v>32.6066</v>
      </c>
      <c r="M4701">
        <v>0.33894289999999999</v>
      </c>
      <c r="N4701">
        <v>0</v>
      </c>
      <c r="O4701">
        <v>-0.94070900000000002</v>
      </c>
      <c r="P4701">
        <v>0.39141819999999999</v>
      </c>
      <c r="Q4701">
        <v>-1.0293109999999999E-2</v>
      </c>
      <c r="R4701">
        <v>-0.92015559999999996</v>
      </c>
      <c r="S4701">
        <v>2.6208499999999999</v>
      </c>
      <c r="T4701">
        <v>-0.13856930000000001</v>
      </c>
      <c r="U4701">
        <v>-2.1568299999999998</v>
      </c>
      <c r="V4701">
        <v>-5.6356660000000003E-2</v>
      </c>
      <c r="W4701">
        <v>2.8894540000000001E-3</v>
      </c>
      <c r="X4701">
        <v>0.99840649999999997</v>
      </c>
      <c r="Y4701">
        <v>-0.5103261</v>
      </c>
      <c r="Z4701">
        <v>4.217423E-2</v>
      </c>
      <c r="AA4701">
        <v>0.85894629999999905</v>
      </c>
      <c r="AB4701">
        <v>16</v>
      </c>
      <c r="AC4701">
        <v>0.70010000000002004</v>
      </c>
      <c r="AD4701">
        <v>-4.0145999999999703E-2</v>
      </c>
      <c r="AE4701">
        <v>-0.48155999999999399</v>
      </c>
      <c r="AF4701">
        <v>-0.49431130281147601</v>
      </c>
      <c r="AG4701">
        <v>-4.0145999999999703E-2</v>
      </c>
      <c r="AH4701">
        <v>0.688827799616054</v>
      </c>
      <c r="AI4701">
        <v>92.710992615928902</v>
      </c>
      <c r="AJ4701">
        <v>125.66368705367</v>
      </c>
      <c r="AK4701">
        <v>0.84878684186730502</v>
      </c>
    </row>
    <row r="4702" spans="1:37" x14ac:dyDescent="0.2">
      <c r="A4702" t="str">
        <f>"20200111155949951"</f>
        <v>20200111155949951</v>
      </c>
      <c r="B4702" t="str">
        <f>"1578729589945161"</f>
        <v>1578729589945161</v>
      </c>
      <c r="C4702" t="s">
        <v>37</v>
      </c>
      <c r="D4702">
        <v>4.9028429999999998</v>
      </c>
      <c r="E4702">
        <v>0.29904849999999999</v>
      </c>
      <c r="F4702" t="s">
        <v>38</v>
      </c>
      <c r="G4702">
        <v>-418.27659999999997</v>
      </c>
      <c r="H4702">
        <v>1.065461</v>
      </c>
      <c r="I4702">
        <v>31.999279999999999</v>
      </c>
      <c r="J4702">
        <v>-418.96980000000002</v>
      </c>
      <c r="K4702">
        <v>1.107313</v>
      </c>
      <c r="L4702">
        <v>32.460050000000003</v>
      </c>
      <c r="M4702">
        <v>0.34513919999999998</v>
      </c>
      <c r="N4702">
        <v>0</v>
      </c>
      <c r="O4702">
        <v>-0.93845330000000005</v>
      </c>
      <c r="P4702">
        <v>0.39836529999999998</v>
      </c>
      <c r="Q4702">
        <v>-9.6390690000000001E-3</v>
      </c>
      <c r="R4702">
        <v>-0.91717630000000006</v>
      </c>
      <c r="S4702">
        <v>2.64975</v>
      </c>
      <c r="T4702">
        <v>-0.14679690000000001</v>
      </c>
      <c r="U4702">
        <v>-2.1315</v>
      </c>
      <c r="V4702">
        <v>-5.7324859999999998E-2</v>
      </c>
      <c r="W4702">
        <v>3.5365190000000001E-3</v>
      </c>
      <c r="X4702">
        <v>0.9983493</v>
      </c>
      <c r="Y4702">
        <v>-0.51414499999999996</v>
      </c>
      <c r="Z4702">
        <v>4.4601889999999998E-2</v>
      </c>
      <c r="AA4702">
        <v>0.85654279999999905</v>
      </c>
      <c r="AB4702">
        <v>16</v>
      </c>
      <c r="AC4702">
        <v>0.693200000000047</v>
      </c>
      <c r="AD4702">
        <v>-4.1852E-2</v>
      </c>
      <c r="AE4702">
        <v>-0.46077000000000301</v>
      </c>
      <c r="AF4702">
        <v>-0.49031176521796799</v>
      </c>
      <c r="AG4702">
        <v>-4.1852E-2</v>
      </c>
      <c r="AH4702">
        <v>0.67002960096952002</v>
      </c>
      <c r="AI4702">
        <v>92.885712138984204</v>
      </c>
      <c r="AJ4702">
        <v>126.195780480218</v>
      </c>
      <c r="AK4702">
        <v>0.831322370197347</v>
      </c>
    </row>
    <row r="4703" spans="1:37" x14ac:dyDescent="0.2">
      <c r="A4703" t="str">
        <f>"20200111155949973"</f>
        <v>20200111155949973</v>
      </c>
      <c r="B4703" t="str">
        <f>"1578729589965659"</f>
        <v>1578729589965659</v>
      </c>
      <c r="C4703" t="s">
        <v>37</v>
      </c>
      <c r="D4703">
        <v>4.8211250000000003</v>
      </c>
      <c r="E4703">
        <v>0.29885319999999999</v>
      </c>
      <c r="F4703" t="s">
        <v>38</v>
      </c>
      <c r="G4703">
        <v>-418.22539999999998</v>
      </c>
      <c r="H4703">
        <v>1.0644979999999999</v>
      </c>
      <c r="I4703">
        <v>31.871559999999999</v>
      </c>
      <c r="J4703">
        <v>-418.90730000000002</v>
      </c>
      <c r="K4703">
        <v>1.1073469999999901</v>
      </c>
      <c r="L4703">
        <v>32.313389999999998</v>
      </c>
      <c r="M4703">
        <v>0.35141309999999998</v>
      </c>
      <c r="N4703">
        <v>0</v>
      </c>
      <c r="O4703">
        <v>-0.9361218</v>
      </c>
      <c r="P4703">
        <v>0.40502630000000001</v>
      </c>
      <c r="Q4703">
        <v>-8.0821490000000003E-3</v>
      </c>
      <c r="R4703">
        <v>-0.91426939999999901</v>
      </c>
      <c r="S4703">
        <v>2.66912799999999</v>
      </c>
      <c r="T4703">
        <v>-0.1535088</v>
      </c>
      <c r="U4703">
        <v>-2.1099549999999998</v>
      </c>
      <c r="V4703">
        <v>-5.7910009999999998E-2</v>
      </c>
      <c r="W4703">
        <v>5.090041E-3</v>
      </c>
      <c r="X4703">
        <v>0.9983088</v>
      </c>
      <c r="Y4703">
        <v>-0.51561440000000003</v>
      </c>
      <c r="Z4703">
        <v>4.660214E-2</v>
      </c>
      <c r="AA4703">
        <v>0.85555239999999999</v>
      </c>
      <c r="AB4703">
        <v>16</v>
      </c>
      <c r="AC4703">
        <v>0.68190000000004103</v>
      </c>
      <c r="AD4703">
        <v>-4.2848999999999901E-2</v>
      </c>
      <c r="AE4703">
        <v>-0.441830000000006</v>
      </c>
      <c r="AF4703">
        <v>-0.48178140365872202</v>
      </c>
      <c r="AG4703">
        <v>-4.2848999999999901E-2</v>
      </c>
      <c r="AH4703">
        <v>0.65148386471076902</v>
      </c>
      <c r="AI4703">
        <v>93.027100757609304</v>
      </c>
      <c r="AJ4703">
        <v>126.48344208586199</v>
      </c>
      <c r="AK4703">
        <v>0.81140654649247701</v>
      </c>
    </row>
    <row r="4704" spans="1:37" x14ac:dyDescent="0.2">
      <c r="A4704" t="str">
        <f>"20200111155949986"</f>
        <v>20200111155949986</v>
      </c>
      <c r="B4704" t="str">
        <f>"1578729589975420"</f>
        <v>1578729589975420</v>
      </c>
      <c r="C4704" t="s">
        <v>37</v>
      </c>
      <c r="D4704">
        <v>4.9147999999999996</v>
      </c>
      <c r="E4704">
        <v>0.29871690000000001</v>
      </c>
      <c r="F4704" t="s">
        <v>38</v>
      </c>
      <c r="G4704">
        <v>-418.17509999999999</v>
      </c>
      <c r="H4704">
        <v>1.065968</v>
      </c>
      <c r="I4704">
        <v>31.743379999999998</v>
      </c>
      <c r="J4704">
        <v>-418.8725</v>
      </c>
      <c r="K4704">
        <v>1.107362</v>
      </c>
      <c r="L4704">
        <v>32.232700000000001</v>
      </c>
      <c r="M4704">
        <v>0.35489039999999999</v>
      </c>
      <c r="N4704">
        <v>0</v>
      </c>
      <c r="O4704">
        <v>-0.93480929999999995</v>
      </c>
      <c r="P4704">
        <v>0.40875659999999903</v>
      </c>
      <c r="Q4704">
        <v>-7.8515049999999999E-3</v>
      </c>
      <c r="R4704">
        <v>-0.91260980000000003</v>
      </c>
      <c r="S4704">
        <v>2.68634</v>
      </c>
      <c r="T4704">
        <v>-0.1517348</v>
      </c>
      <c r="U4704">
        <v>-2.0899049999999999</v>
      </c>
      <c r="V4704">
        <v>-5.8276479999999999E-2</v>
      </c>
      <c r="W4704">
        <v>5.31796599999999E-3</v>
      </c>
      <c r="X4704">
        <v>0.99828629999999996</v>
      </c>
      <c r="Y4704">
        <v>-0.51908429999999905</v>
      </c>
      <c r="Z4704">
        <v>4.6067909999999997E-2</v>
      </c>
      <c r="AA4704">
        <v>0.85348060000000003</v>
      </c>
      <c r="AB4704">
        <v>16</v>
      </c>
      <c r="AC4704">
        <v>0.69740000000001501</v>
      </c>
      <c r="AD4704">
        <v>-4.1394000000000097E-2</v>
      </c>
      <c r="AE4704">
        <v>-0.48932000000000198</v>
      </c>
      <c r="AF4704">
        <v>-0.47719856776151398</v>
      </c>
      <c r="AG4704">
        <v>-4.1394000000000097E-2</v>
      </c>
      <c r="AH4704">
        <v>0.70332604114166897</v>
      </c>
      <c r="AI4704">
        <v>92.788254083934902</v>
      </c>
      <c r="AJ4704">
        <v>124.156437511815</v>
      </c>
      <c r="AK4704">
        <v>0.85094033660278001</v>
      </c>
    </row>
    <row r="4705" spans="1:37" x14ac:dyDescent="0.2">
      <c r="A4705" t="str">
        <f>"20200111155949999"</f>
        <v>20200111155949999</v>
      </c>
      <c r="B4705" t="str">
        <f>"1578729589994937"</f>
        <v>1578729589994937</v>
      </c>
      <c r="C4705" t="s">
        <v>37</v>
      </c>
      <c r="D4705">
        <v>4.92049</v>
      </c>
      <c r="E4705">
        <v>0.29879609999999901</v>
      </c>
      <c r="F4705" t="s">
        <v>38</v>
      </c>
      <c r="G4705">
        <v>-418.09589999999997</v>
      </c>
      <c r="H4705">
        <v>1.063016</v>
      </c>
      <c r="I4705">
        <v>31.634129999999999</v>
      </c>
      <c r="J4705">
        <v>-418.83479999999997</v>
      </c>
      <c r="K4705">
        <v>1.1073759999999999</v>
      </c>
      <c r="L4705">
        <v>32.14676</v>
      </c>
      <c r="M4705">
        <v>0.35863339999999999</v>
      </c>
      <c r="N4705">
        <v>0</v>
      </c>
      <c r="O4705">
        <v>-0.93337950000000003</v>
      </c>
      <c r="P4705">
        <v>0.412599299999999</v>
      </c>
      <c r="Q4705">
        <v>-7.6550250000000002E-3</v>
      </c>
      <c r="R4705">
        <v>-0.91088069999999899</v>
      </c>
      <c r="S4705">
        <v>2.696167</v>
      </c>
      <c r="T4705">
        <v>-0.15396550000000001</v>
      </c>
      <c r="U4705">
        <v>-2.0783390000000002</v>
      </c>
      <c r="V4705">
        <v>-5.8484910000000001E-2</v>
      </c>
      <c r="W4705">
        <v>5.5139430000000003E-3</v>
      </c>
      <c r="X4705">
        <v>0.99827310000000002</v>
      </c>
      <c r="Y4705">
        <v>-0.51943679999999903</v>
      </c>
      <c r="Z4705">
        <v>4.6720989999999997E-2</v>
      </c>
      <c r="AA4705">
        <v>0.85323069999999901</v>
      </c>
      <c r="AB4705">
        <v>16</v>
      </c>
      <c r="AC4705">
        <v>0.738900000000001</v>
      </c>
      <c r="AD4705">
        <v>-4.43599999999999E-2</v>
      </c>
      <c r="AE4705">
        <v>-0.51263000000000103</v>
      </c>
      <c r="AF4705">
        <v>-0.50464675436914896</v>
      </c>
      <c r="AG4705">
        <v>-4.43599999999999E-2</v>
      </c>
      <c r="AH4705">
        <v>0.74173652886075603</v>
      </c>
      <c r="AI4705">
        <v>92.830775568241904</v>
      </c>
      <c r="AJ4705">
        <v>124.229745679198</v>
      </c>
      <c r="AK4705">
        <v>0.89822560336572499</v>
      </c>
    </row>
    <row r="4706" spans="1:37" x14ac:dyDescent="0.2">
      <c r="A4706" t="str">
        <f>"20200111155950013"</f>
        <v>20200111155950013</v>
      </c>
      <c r="B4706" t="str">
        <f>"1578729590005674"</f>
        <v>1578729590005674</v>
      </c>
      <c r="C4706" t="s">
        <v>37</v>
      </c>
      <c r="D4706">
        <v>4.9725070000000002</v>
      </c>
      <c r="E4706">
        <v>0.2989889</v>
      </c>
      <c r="F4706" t="s">
        <v>38</v>
      </c>
      <c r="G4706">
        <v>-418.13260000000002</v>
      </c>
      <c r="H4706">
        <v>1.065944</v>
      </c>
      <c r="I4706">
        <v>31.610119999999998</v>
      </c>
      <c r="J4706">
        <v>-418.79559999999998</v>
      </c>
      <c r="K4706">
        <v>1.1073919999999999</v>
      </c>
      <c r="L4706">
        <v>32.058230000000002</v>
      </c>
      <c r="M4706">
        <v>0.36251659999999902</v>
      </c>
      <c r="N4706">
        <v>0</v>
      </c>
      <c r="O4706">
        <v>-0.93187819999999899</v>
      </c>
      <c r="P4706">
        <v>0.41644510000000001</v>
      </c>
      <c r="Q4706">
        <v>-6.9799889999999998E-3</v>
      </c>
      <c r="R4706">
        <v>-0.90913429999999995</v>
      </c>
      <c r="S4706">
        <v>2.7045590000000002</v>
      </c>
      <c r="T4706">
        <v>-0.15958320000000001</v>
      </c>
      <c r="U4706">
        <v>-2.067078</v>
      </c>
      <c r="V4706">
        <v>-5.8550369999999997E-2</v>
      </c>
      <c r="W4706">
        <v>6.1886550000000004E-3</v>
      </c>
      <c r="X4706">
        <v>0.99826530000000002</v>
      </c>
      <c r="Y4706">
        <v>-0.51933370000000001</v>
      </c>
      <c r="Z4706">
        <v>4.840502E-2</v>
      </c>
      <c r="AA4706">
        <v>0.85319959999999995</v>
      </c>
      <c r="AB4706">
        <v>16</v>
      </c>
      <c r="AC4706">
        <v>0.66299999999995396</v>
      </c>
      <c r="AD4706">
        <v>-4.1447999999999902E-2</v>
      </c>
      <c r="AE4706">
        <v>-0.44810999999999901</v>
      </c>
      <c r="AF4706">
        <v>-0.454211480298013</v>
      </c>
      <c r="AG4706">
        <v>-4.1447999999999902E-2</v>
      </c>
      <c r="AH4706">
        <v>0.65623273827886797</v>
      </c>
      <c r="AI4706">
        <v>92.972923440250099</v>
      </c>
      <c r="AJ4706">
        <v>124.68904478948799</v>
      </c>
      <c r="AK4706">
        <v>0.79916669871028401</v>
      </c>
    </row>
    <row r="4707" spans="1:37" x14ac:dyDescent="0.2">
      <c r="A4707" t="str">
        <f>"20200111155950029"</f>
        <v>20200111155950029</v>
      </c>
      <c r="B4707" t="str">
        <f>"1578729590025194"</f>
        <v>1578729590025194</v>
      </c>
      <c r="C4707" t="s">
        <v>37</v>
      </c>
      <c r="D4707">
        <v>4.8718779999999997</v>
      </c>
      <c r="E4707">
        <v>0.29894159999999997</v>
      </c>
      <c r="F4707" t="s">
        <v>38</v>
      </c>
      <c r="G4707">
        <v>-418.05759999999998</v>
      </c>
      <c r="H4707">
        <v>1.064128</v>
      </c>
      <c r="I4707">
        <v>31.498259999999998</v>
      </c>
      <c r="J4707">
        <v>-418.75310000000002</v>
      </c>
      <c r="K4707">
        <v>1.107421</v>
      </c>
      <c r="L4707">
        <v>31.963259999999998</v>
      </c>
      <c r="M4707">
        <v>0.36671389999999998</v>
      </c>
      <c r="N4707">
        <v>0</v>
      </c>
      <c r="O4707">
        <v>-0.93023440000000002</v>
      </c>
      <c r="P4707">
        <v>0.42078140000000003</v>
      </c>
      <c r="Q4707">
        <v>-4.9355620000000001E-3</v>
      </c>
      <c r="R4707">
        <v>-0.90714879999999998</v>
      </c>
      <c r="S4707">
        <v>2.7120359999999999</v>
      </c>
      <c r="T4707">
        <v>-0.15890839999999901</v>
      </c>
      <c r="U4707">
        <v>-2.0563349999999998</v>
      </c>
      <c r="V4707">
        <v>-5.8826530000000002E-2</v>
      </c>
      <c r="W4707">
        <v>8.2323259999999999E-3</v>
      </c>
      <c r="X4707">
        <v>0.99823430000000002</v>
      </c>
      <c r="Y4707">
        <v>-0.51876889999999998</v>
      </c>
      <c r="Z4707">
        <v>4.8180790000000001E-2</v>
      </c>
      <c r="AA4707">
        <v>0.85355569999999903</v>
      </c>
      <c r="AB4707">
        <v>16</v>
      </c>
      <c r="AC4707">
        <v>0.69550000000003798</v>
      </c>
      <c r="AD4707">
        <v>-4.3292999999999998E-2</v>
      </c>
      <c r="AE4707">
        <v>-0.46499999999999903</v>
      </c>
      <c r="AF4707">
        <v>-0.47522756627720197</v>
      </c>
      <c r="AG4707">
        <v>-4.3292999999999998E-2</v>
      </c>
      <c r="AH4707">
        <v>0.68583558205218298</v>
      </c>
      <c r="AI4707">
        <v>92.970163724406504</v>
      </c>
      <c r="AJ4707">
        <v>124.718770873483</v>
      </c>
      <c r="AK4707">
        <v>0.83551539136488095</v>
      </c>
    </row>
    <row r="4708" spans="1:37" x14ac:dyDescent="0.2">
      <c r="A4708" t="str">
        <f>"20200111155950043"</f>
        <v>20200111155950043</v>
      </c>
      <c r="B4708" t="str">
        <f>"1578729590034955"</f>
        <v>1578729590034955</v>
      </c>
      <c r="C4708" t="s">
        <v>37</v>
      </c>
      <c r="D4708">
        <v>4.729813</v>
      </c>
      <c r="E4708">
        <v>0.29884859999999902</v>
      </c>
      <c r="F4708" t="s">
        <v>38</v>
      </c>
      <c r="G4708">
        <v>-417.98390000000001</v>
      </c>
      <c r="H4708">
        <v>1.0631809999999999</v>
      </c>
      <c r="I4708">
        <v>31.385999999999999</v>
      </c>
      <c r="J4708">
        <v>-418.71210000000002</v>
      </c>
      <c r="K4708">
        <v>1.1074489999999999</v>
      </c>
      <c r="L4708">
        <v>31.872920000000001</v>
      </c>
      <c r="M4708">
        <v>0.37074319999999999</v>
      </c>
      <c r="N4708">
        <v>0</v>
      </c>
      <c r="O4708">
        <v>-0.92863580000000001</v>
      </c>
      <c r="P4708">
        <v>0.42441259999999997</v>
      </c>
      <c r="Q4708">
        <v>-4.0195609999999996E-3</v>
      </c>
      <c r="R4708">
        <v>-0.90546009999999999</v>
      </c>
      <c r="S4708">
        <v>2.722321</v>
      </c>
      <c r="T4708">
        <v>-0.1565993</v>
      </c>
      <c r="U4708">
        <v>-2.0434269999999999</v>
      </c>
      <c r="V4708">
        <v>-5.8503810000000003E-2</v>
      </c>
      <c r="W4708">
        <v>9.1516340000000005E-3</v>
      </c>
      <c r="X4708">
        <v>0.99824519999999906</v>
      </c>
      <c r="Y4708">
        <v>-0.51923039999999998</v>
      </c>
      <c r="Z4708">
        <v>4.7459269999999998E-2</v>
      </c>
      <c r="AA4708">
        <v>0.8533155</v>
      </c>
      <c r="AB4708">
        <v>16</v>
      </c>
      <c r="AC4708">
        <v>0.72820000000001495</v>
      </c>
      <c r="AD4708">
        <v>-4.4267999999999898E-2</v>
      </c>
      <c r="AE4708">
        <v>-0.48692000000000102</v>
      </c>
      <c r="AF4708">
        <v>-0.49449336915348902</v>
      </c>
      <c r="AG4708">
        <v>-4.4267999999999898E-2</v>
      </c>
      <c r="AH4708">
        <v>0.720373712058757</v>
      </c>
      <c r="AI4708">
        <v>92.9003316196589</v>
      </c>
      <c r="AJ4708">
        <v>124.467263841283</v>
      </c>
      <c r="AK4708">
        <v>0.87488378255976496</v>
      </c>
    </row>
    <row r="4709" spans="1:37" x14ac:dyDescent="0.2">
      <c r="A4709" t="str">
        <f>"20200111155950056"</f>
        <v>20200111155950056</v>
      </c>
      <c r="B4709" t="str">
        <f>"1578729590045223"</f>
        <v>1578729590045223</v>
      </c>
      <c r="C4709" t="s">
        <v>37</v>
      </c>
      <c r="D4709">
        <v>4.7046339999999898</v>
      </c>
      <c r="E4709">
        <v>0.29882750000000002</v>
      </c>
      <c r="F4709" t="s">
        <v>38</v>
      </c>
      <c r="G4709">
        <v>-418.02179999999998</v>
      </c>
      <c r="H4709">
        <v>1.068951</v>
      </c>
      <c r="I4709">
        <v>31.35932</v>
      </c>
      <c r="J4709">
        <v>-418.67250000000001</v>
      </c>
      <c r="K4709">
        <v>1.107483</v>
      </c>
      <c r="L4709">
        <v>31.78708</v>
      </c>
      <c r="M4709">
        <v>0.37461339999999999</v>
      </c>
      <c r="N4709">
        <v>0</v>
      </c>
      <c r="O4709">
        <v>-0.92708119999999905</v>
      </c>
      <c r="P4709">
        <v>0.42782249999999999</v>
      </c>
      <c r="Q4709">
        <v>-2.919942E-3</v>
      </c>
      <c r="R4709">
        <v>-0.90385819999999995</v>
      </c>
      <c r="S4709">
        <v>2.731201</v>
      </c>
      <c r="T4709">
        <v>-0.1523371</v>
      </c>
      <c r="U4709">
        <v>-2.0323790000000002</v>
      </c>
      <c r="V4709">
        <v>-5.810953E-2</v>
      </c>
      <c r="W4709">
        <v>1.0252600000000001E-2</v>
      </c>
      <c r="X4709">
        <v>0.99825759999999897</v>
      </c>
      <c r="Y4709">
        <v>-0.51926949999999905</v>
      </c>
      <c r="Z4709">
        <v>4.6142500000000003E-2</v>
      </c>
      <c r="AA4709">
        <v>0.85336399999999901</v>
      </c>
      <c r="AB4709">
        <v>16</v>
      </c>
      <c r="AC4709">
        <v>0.65070000000002803</v>
      </c>
      <c r="AD4709">
        <v>-3.8531999999999997E-2</v>
      </c>
      <c r="AE4709">
        <v>-0.42775999999999897</v>
      </c>
      <c r="AF4709">
        <v>-0.44196601503695399</v>
      </c>
      <c r="AG4709">
        <v>-3.8531999999999997E-2</v>
      </c>
      <c r="AH4709">
        <v>0.63882438069738401</v>
      </c>
      <c r="AI4709">
        <v>92.839714830630598</v>
      </c>
      <c r="AJ4709">
        <v>124.677141414595</v>
      </c>
      <c r="AK4709">
        <v>0.777762986291481</v>
      </c>
    </row>
    <row r="4710" spans="1:37" x14ac:dyDescent="0.2">
      <c r="A4710" t="str">
        <f>"20200111155950071"</f>
        <v>20200111155950071</v>
      </c>
      <c r="B4710" t="str">
        <f>"1578729590064743"</f>
        <v>1578729590064743</v>
      </c>
      <c r="C4710" t="s">
        <v>37</v>
      </c>
      <c r="D4710">
        <v>4.7732209999999897</v>
      </c>
      <c r="E4710">
        <v>0.29891879999999998</v>
      </c>
      <c r="F4710" t="s">
        <v>38</v>
      </c>
      <c r="G4710">
        <v>-417.94479999999999</v>
      </c>
      <c r="H4710">
        <v>1.068546</v>
      </c>
      <c r="I4710">
        <v>31.249359999999999</v>
      </c>
      <c r="J4710">
        <v>-418.62920000000003</v>
      </c>
      <c r="K4710">
        <v>1.1075090000000001</v>
      </c>
      <c r="L4710">
        <v>31.693909999999999</v>
      </c>
      <c r="M4710">
        <v>0.37886950000000003</v>
      </c>
      <c r="N4710">
        <v>0</v>
      </c>
      <c r="O4710">
        <v>-0.92535129999999999</v>
      </c>
      <c r="P4710">
        <v>0.43183329999999998</v>
      </c>
      <c r="Q4710">
        <v>-1.5285920000000001E-3</v>
      </c>
      <c r="R4710">
        <v>-0.90195230000000004</v>
      </c>
      <c r="S4710">
        <v>2.7391969999999999</v>
      </c>
      <c r="T4710">
        <v>-0.1464578</v>
      </c>
      <c r="U4710">
        <v>-2.0220950000000002</v>
      </c>
      <c r="V4710">
        <v>-5.7966860000000002E-2</v>
      </c>
      <c r="W4710">
        <v>1.1558580000000001E-2</v>
      </c>
      <c r="X4710">
        <v>0.99825160000000002</v>
      </c>
      <c r="Y4710">
        <v>-0.51867750000000001</v>
      </c>
      <c r="Z4710">
        <v>4.4331450000000001E-2</v>
      </c>
      <c r="AA4710">
        <v>0.85381980000000002</v>
      </c>
      <c r="AB4710">
        <v>16</v>
      </c>
      <c r="AC4710">
        <v>0.68440000000003898</v>
      </c>
      <c r="AD4710">
        <v>-3.8962999999999998E-2</v>
      </c>
      <c r="AE4710">
        <v>-0.444549999999999</v>
      </c>
      <c r="AF4710">
        <v>-0.46386918359927098</v>
      </c>
      <c r="AG4710">
        <v>-3.8962999999999998E-2</v>
      </c>
      <c r="AH4710">
        <v>0.669199194401496</v>
      </c>
      <c r="AI4710">
        <v>92.739595184210998</v>
      </c>
      <c r="AJ4710">
        <v>124.72856077141201</v>
      </c>
      <c r="AK4710">
        <v>0.81518114345810599</v>
      </c>
    </row>
    <row r="4711" spans="1:37" x14ac:dyDescent="0.2">
      <c r="A4711" t="str">
        <f>"20200111155950084"</f>
        <v>20200111155950084</v>
      </c>
      <c r="B4711" t="str">
        <f>"1578729590075479"</f>
        <v>1578729590075479</v>
      </c>
      <c r="C4711" t="s">
        <v>37</v>
      </c>
      <c r="D4711">
        <v>4.7175089999999997</v>
      </c>
      <c r="E4711">
        <v>0.29902869999999998</v>
      </c>
      <c r="F4711" t="s">
        <v>38</v>
      </c>
      <c r="G4711">
        <v>-417.86989999999997</v>
      </c>
      <c r="H4711">
        <v>1.0681639999999999</v>
      </c>
      <c r="I4711">
        <v>31.138290000000001</v>
      </c>
      <c r="J4711">
        <v>-418.59089999999998</v>
      </c>
      <c r="K4711">
        <v>1.107523</v>
      </c>
      <c r="L4711">
        <v>31.61234</v>
      </c>
      <c r="M4711">
        <v>0.3826465</v>
      </c>
      <c r="N4711">
        <v>0</v>
      </c>
      <c r="O4711">
        <v>-0.92379800000000001</v>
      </c>
      <c r="P4711">
        <v>0.435222099999999</v>
      </c>
      <c r="Q4711">
        <v>1.0133060000000001E-3</v>
      </c>
      <c r="R4711">
        <v>-0.90032279999999998</v>
      </c>
      <c r="S4711">
        <v>2.747681</v>
      </c>
      <c r="T4711">
        <v>-0.1423635</v>
      </c>
      <c r="U4711">
        <v>-2.010345</v>
      </c>
      <c r="V4711">
        <v>-5.7662369999999998E-2</v>
      </c>
      <c r="W4711">
        <v>1.393875E-2</v>
      </c>
      <c r="X4711">
        <v>0.99823879999999998</v>
      </c>
      <c r="Y4711">
        <v>-0.51886709999999903</v>
      </c>
      <c r="Z4711">
        <v>4.3076690000000001E-2</v>
      </c>
      <c r="AA4711">
        <v>0.85376890000000005</v>
      </c>
      <c r="AB4711">
        <v>16</v>
      </c>
      <c r="AC4711">
        <v>0.72100000000000297</v>
      </c>
      <c r="AD4711">
        <v>-3.9359000000000102E-2</v>
      </c>
      <c r="AE4711">
        <v>-0.47405000000000103</v>
      </c>
      <c r="AF4711">
        <v>-0.48370176296893502</v>
      </c>
      <c r="AG4711">
        <v>-3.9359000000000102E-2</v>
      </c>
      <c r="AH4711">
        <v>0.71239622948780501</v>
      </c>
      <c r="AI4711">
        <v>92.617074136040301</v>
      </c>
      <c r="AJ4711">
        <v>124.175663668908</v>
      </c>
      <c r="AK4711">
        <v>0.86198892926110005</v>
      </c>
    </row>
    <row r="4712" spans="1:37" x14ac:dyDescent="0.2">
      <c r="A4712" t="str">
        <f>"20200111155950108"</f>
        <v>20200111155950108</v>
      </c>
      <c r="B4712" t="str">
        <f>"1578729590104759"</f>
        <v>1578729590104759</v>
      </c>
      <c r="C4712" t="s">
        <v>37</v>
      </c>
      <c r="D4712">
        <v>4.7721999999999998</v>
      </c>
      <c r="E4712">
        <v>0.29929029999999901</v>
      </c>
      <c r="F4712" t="s">
        <v>38</v>
      </c>
      <c r="G4712">
        <v>-417.82069999999999</v>
      </c>
      <c r="H4712">
        <v>1.0700149999999999</v>
      </c>
      <c r="I4712">
        <v>31.05292</v>
      </c>
      <c r="J4712">
        <v>-418.524</v>
      </c>
      <c r="K4712">
        <v>1.1075489999999999</v>
      </c>
      <c r="L4712">
        <v>31.472719999999999</v>
      </c>
      <c r="M4712">
        <v>0.38918330000000001</v>
      </c>
      <c r="N4712">
        <v>0</v>
      </c>
      <c r="O4712">
        <v>-0.92106790000000005</v>
      </c>
      <c r="P4712">
        <v>0.44176939999999998</v>
      </c>
      <c r="Q4712">
        <v>2.2077939999999999E-3</v>
      </c>
      <c r="R4712">
        <v>-0.89712599999999998</v>
      </c>
      <c r="S4712">
        <v>2.754791</v>
      </c>
      <c r="T4712">
        <v>-0.13414309999999999</v>
      </c>
      <c r="U4712">
        <v>-2.00061</v>
      </c>
      <c r="V4712">
        <v>-5.7873470000000003E-2</v>
      </c>
      <c r="W4712">
        <v>1.4804599999999999E-2</v>
      </c>
      <c r="X4712">
        <v>0.99821409999999999</v>
      </c>
      <c r="Y4712">
        <v>-0.51592269999999996</v>
      </c>
      <c r="Z4712">
        <v>4.0528540000000002E-2</v>
      </c>
      <c r="AA4712">
        <v>0.85567579999999999</v>
      </c>
      <c r="AB4712">
        <v>16</v>
      </c>
      <c r="AC4712">
        <v>0.70330000000001203</v>
      </c>
      <c r="AD4712">
        <v>-3.7533999999999901E-2</v>
      </c>
      <c r="AE4712">
        <v>-0.419800000000002</v>
      </c>
      <c r="AF4712">
        <v>-0.483433949744624</v>
      </c>
      <c r="AG4712">
        <v>-3.7533999999999901E-2</v>
      </c>
      <c r="AH4712">
        <v>0.65904915940659403</v>
      </c>
      <c r="AI4712">
        <v>92.629278780515804</v>
      </c>
      <c r="AJ4712">
        <v>126.261256176784</v>
      </c>
      <c r="AK4712">
        <v>0.81820717390904496</v>
      </c>
    </row>
    <row r="4713" spans="1:37" x14ac:dyDescent="0.2">
      <c r="A4713" t="str">
        <f>"20200111155950124"</f>
        <v>20200111155950124</v>
      </c>
      <c r="B4713" t="str">
        <f>"1578729590115495"</f>
        <v>1578729590115495</v>
      </c>
      <c r="C4713" t="s">
        <v>37</v>
      </c>
      <c r="D4713">
        <v>4.7535590000000001</v>
      </c>
      <c r="E4713">
        <v>0.29943189999999997</v>
      </c>
      <c r="F4713" t="s">
        <v>38</v>
      </c>
      <c r="G4713">
        <v>-417.73149999999998</v>
      </c>
      <c r="H4713">
        <v>1.0699730000000001</v>
      </c>
      <c r="I4713">
        <v>30.905290000000001</v>
      </c>
      <c r="J4713">
        <v>-418.4701</v>
      </c>
      <c r="K4713">
        <v>1.107583</v>
      </c>
      <c r="L4713">
        <v>31.36224</v>
      </c>
      <c r="M4713">
        <v>0.39436840000000001</v>
      </c>
      <c r="N4713">
        <v>0</v>
      </c>
      <c r="O4713">
        <v>-0.91886129999999999</v>
      </c>
      <c r="P4713">
        <v>0.44683270000000003</v>
      </c>
      <c r="Q4713">
        <v>2.4028890000000001E-3</v>
      </c>
      <c r="R4713">
        <v>-0.89461429999999997</v>
      </c>
      <c r="S4713">
        <v>2.7677309999999999</v>
      </c>
      <c r="T4713">
        <v>-0.13121869999999999</v>
      </c>
      <c r="U4713">
        <v>-1.9814449999999999</v>
      </c>
      <c r="V4713">
        <v>-5.789246E-2</v>
      </c>
      <c r="W4713">
        <v>1.486611E-2</v>
      </c>
      <c r="X4713">
        <v>0.99821219999999999</v>
      </c>
      <c r="Y4713">
        <v>-0.51693650000000002</v>
      </c>
      <c r="Z4713">
        <v>3.9634660000000002E-2</v>
      </c>
      <c r="AA4713">
        <v>0.85510569999999897</v>
      </c>
      <c r="AB4713">
        <v>16</v>
      </c>
      <c r="AC4713">
        <v>0.73860000000001902</v>
      </c>
      <c r="AD4713">
        <v>-3.76099999999999E-2</v>
      </c>
      <c r="AE4713">
        <v>-0.45695000000000202</v>
      </c>
      <c r="AF4713">
        <v>-0.49757302162213901</v>
      </c>
      <c r="AG4713">
        <v>-3.76099999999999E-2</v>
      </c>
      <c r="AH4713">
        <v>0.70988257057594395</v>
      </c>
      <c r="AI4713">
        <v>92.484195082373304</v>
      </c>
      <c r="AJ4713">
        <v>125.02749746351699</v>
      </c>
      <c r="AK4713">
        <v>0.86771348263911097</v>
      </c>
    </row>
    <row r="4714" spans="1:37" x14ac:dyDescent="0.2">
      <c r="A4714" t="str">
        <f>"20200111155950137"</f>
        <v>20200111155950137</v>
      </c>
      <c r="B4714" t="str">
        <f>"1578729590135015"</f>
        <v>1578729590135015</v>
      </c>
      <c r="C4714" t="s">
        <v>37</v>
      </c>
      <c r="D4714">
        <v>4.6958599999999997</v>
      </c>
      <c r="E4714">
        <v>0.29967059999999901</v>
      </c>
      <c r="F4714" t="s">
        <v>39</v>
      </c>
      <c r="G4714">
        <v>-394.9579</v>
      </c>
      <c r="H4714" s="1">
        <v>-3.23247E-6</v>
      </c>
      <c r="I4714">
        <v>14.7198299999999</v>
      </c>
      <c r="J4714">
        <v>-418.43060000000003</v>
      </c>
      <c r="K4714">
        <v>1.107604</v>
      </c>
      <c r="L4714">
        <v>31.282620000000001</v>
      </c>
      <c r="M4714">
        <v>0.3981439</v>
      </c>
      <c r="N4714">
        <v>0</v>
      </c>
      <c r="O4714">
        <v>-0.91723209999999999</v>
      </c>
      <c r="P4714">
        <v>0.45072250000000003</v>
      </c>
      <c r="Q4714">
        <v>2.112769E-3</v>
      </c>
      <c r="R4714">
        <v>-0.89266209999999901</v>
      </c>
      <c r="S4714">
        <v>2.7778930000000002</v>
      </c>
      <c r="T4714">
        <v>-0.13085769999999999</v>
      </c>
      <c r="U4714">
        <v>-1.966248</v>
      </c>
      <c r="V4714">
        <v>-5.8129750000000001E-2</v>
      </c>
      <c r="W4714">
        <v>1.4570019999999999E-2</v>
      </c>
      <c r="X4714">
        <v>0.9982027</v>
      </c>
      <c r="Y4714">
        <v>-0.51801169999999996</v>
      </c>
      <c r="Z4714">
        <v>3.9520189999999997E-2</v>
      </c>
      <c r="AA4714">
        <v>0.85446009999999994</v>
      </c>
      <c r="AB4714">
        <v>16</v>
      </c>
      <c r="AC4714">
        <v>23.4727</v>
      </c>
      <c r="AD4714">
        <v>-1.1076072324699999</v>
      </c>
      <c r="AE4714">
        <v>-16.56279</v>
      </c>
      <c r="AF4714">
        <v>-14.9146147329096</v>
      </c>
      <c r="AG4714">
        <v>-1.1076072324699999</v>
      </c>
      <c r="AH4714">
        <v>24.503056905629901</v>
      </c>
      <c r="AI4714">
        <v>92.211228204562701</v>
      </c>
      <c r="AJ4714">
        <v>121.328198981884</v>
      </c>
      <c r="AK4714">
        <v>28.706659926454002</v>
      </c>
    </row>
    <row r="4715" spans="1:37" x14ac:dyDescent="0.2">
      <c r="A4715" t="str">
        <f>"20200111155950153"</f>
        <v>20200111155950153</v>
      </c>
      <c r="B4715" t="str">
        <f>"1578729590145282"</f>
        <v>1578729590145282</v>
      </c>
      <c r="C4715" t="s">
        <v>37</v>
      </c>
      <c r="D4715">
        <v>4.8289010000000001</v>
      </c>
      <c r="E4715">
        <v>0.2998767</v>
      </c>
      <c r="F4715" t="s">
        <v>38</v>
      </c>
      <c r="G4715">
        <v>-417.68579999999997</v>
      </c>
      <c r="H4715">
        <v>1.0715209999999999</v>
      </c>
      <c r="I4715">
        <v>30.75938</v>
      </c>
      <c r="J4715">
        <v>-418.38549999999998</v>
      </c>
      <c r="K4715">
        <v>1.107621</v>
      </c>
      <c r="L4715">
        <v>31.192409999999999</v>
      </c>
      <c r="M4715">
        <v>0.40246490000000001</v>
      </c>
      <c r="N4715">
        <v>0</v>
      </c>
      <c r="O4715">
        <v>-0.91534419999999905</v>
      </c>
      <c r="P4715">
        <v>0.45534949999999902</v>
      </c>
      <c r="Q4715">
        <v>6.8767739999999996E-4</v>
      </c>
      <c r="R4715">
        <v>-0.89031299999999902</v>
      </c>
      <c r="S4715">
        <v>2.7846679999999999</v>
      </c>
      <c r="T4715">
        <v>-0.13484549999999901</v>
      </c>
      <c r="U4715">
        <v>-1.95498699999999</v>
      </c>
      <c r="V4715">
        <v>-5.8591650000000002E-2</v>
      </c>
      <c r="W4715">
        <v>1.3141079999999999E-2</v>
      </c>
      <c r="X4715">
        <v>0.99819550000000001</v>
      </c>
      <c r="Y4715">
        <v>-0.51722879999999904</v>
      </c>
      <c r="Z4715">
        <v>4.0699579999999999E-2</v>
      </c>
      <c r="AA4715">
        <v>0.8548789</v>
      </c>
      <c r="AB4715">
        <v>16</v>
      </c>
      <c r="AC4715">
        <v>0.69970000000000698</v>
      </c>
      <c r="AD4715">
        <v>-3.61E-2</v>
      </c>
      <c r="AE4715">
        <v>-0.43302999999999803</v>
      </c>
      <c r="AF4715">
        <v>-0.46533026784935699</v>
      </c>
      <c r="AG4715">
        <v>-3.61E-2</v>
      </c>
      <c r="AH4715">
        <v>0.676730299567746</v>
      </c>
      <c r="AI4715">
        <v>92.516869077634297</v>
      </c>
      <c r="AJ4715">
        <v>124.51301784773401</v>
      </c>
      <c r="AK4715">
        <v>0.82207017129306303</v>
      </c>
    </row>
    <row r="4716" spans="1:37" x14ac:dyDescent="0.2">
      <c r="A4716" t="str">
        <f>"20200111155950165"</f>
        <v>20200111155950165</v>
      </c>
      <c r="B4716" t="str">
        <f>"1578729590155042"</f>
        <v>1578729590155042</v>
      </c>
      <c r="C4716" t="s">
        <v>37</v>
      </c>
      <c r="D4716">
        <v>4.8388359999999997</v>
      </c>
      <c r="E4716">
        <v>0.29998819999999998</v>
      </c>
      <c r="F4716" t="s">
        <v>38</v>
      </c>
      <c r="G4716">
        <v>-417.616999999999</v>
      </c>
      <c r="H4716">
        <v>1.0680620000000001</v>
      </c>
      <c r="I4716">
        <v>30.658379999999902</v>
      </c>
      <c r="J4716">
        <v>-418.34379999999999</v>
      </c>
      <c r="K4716">
        <v>1.107639</v>
      </c>
      <c r="L4716">
        <v>31.109859999999902</v>
      </c>
      <c r="M4716">
        <v>0.4064642</v>
      </c>
      <c r="N4716">
        <v>0</v>
      </c>
      <c r="O4716">
        <v>-0.91357520000000003</v>
      </c>
      <c r="P4716">
        <v>0.45969409999999999</v>
      </c>
      <c r="Q4716">
        <v>-2.3921859999999999E-4</v>
      </c>
      <c r="R4716">
        <v>-0.88807769999999997</v>
      </c>
      <c r="S4716">
        <v>2.793304</v>
      </c>
      <c r="T4716">
        <v>-0.14379139999999899</v>
      </c>
      <c r="U4716">
        <v>-1.94110099999999</v>
      </c>
      <c r="V4716">
        <v>-5.9095920000000003E-2</v>
      </c>
      <c r="W4716">
        <v>1.2211319999999999E-2</v>
      </c>
      <c r="X4716">
        <v>0.9981776</v>
      </c>
      <c r="Y4716">
        <v>-0.51749160000000005</v>
      </c>
      <c r="Z4716">
        <v>4.3382190000000001E-2</v>
      </c>
      <c r="AA4716">
        <v>0.85458789999999996</v>
      </c>
      <c r="AB4716">
        <v>16</v>
      </c>
      <c r="AC4716">
        <v>0.72680000000002498</v>
      </c>
      <c r="AD4716">
        <v>-3.9576999999999897E-2</v>
      </c>
      <c r="AE4716">
        <v>-0.45147999999999999</v>
      </c>
      <c r="AF4716">
        <v>-0.47949025788121102</v>
      </c>
      <c r="AG4716">
        <v>-3.9576999999999897E-2</v>
      </c>
      <c r="AH4716">
        <v>0.70642683310381205</v>
      </c>
      <c r="AI4716">
        <v>92.654030586138404</v>
      </c>
      <c r="AJ4716">
        <v>124.166868632423</v>
      </c>
      <c r="AK4716">
        <v>0.85470235571283604</v>
      </c>
    </row>
    <row r="4717" spans="1:37" x14ac:dyDescent="0.2">
      <c r="A4717" t="str">
        <f>"20200111155950178"</f>
        <v>20200111155950178</v>
      </c>
      <c r="B4717" t="str">
        <f>"1578729590175538"</f>
        <v>1578729590175538</v>
      </c>
      <c r="C4717" t="s">
        <v>37</v>
      </c>
      <c r="D4717">
        <v>4.5215559999999897</v>
      </c>
      <c r="E4717">
        <v>0.29998849999999999</v>
      </c>
      <c r="F4717" t="s">
        <v>38</v>
      </c>
      <c r="G4717">
        <v>-417.53440000000001</v>
      </c>
      <c r="H4717">
        <v>1.06423</v>
      </c>
      <c r="I4717">
        <v>30.552790000000002</v>
      </c>
      <c r="J4717">
        <v>-418.30149999999998</v>
      </c>
      <c r="K4717">
        <v>1.10765</v>
      </c>
      <c r="L4717">
        <v>31.027370000000001</v>
      </c>
      <c r="M4717">
        <v>0.4105299</v>
      </c>
      <c r="N4717">
        <v>0</v>
      </c>
      <c r="O4717">
        <v>-0.91175599999999901</v>
      </c>
      <c r="P4717">
        <v>0.46414119999999998</v>
      </c>
      <c r="Q4717">
        <v>-1.1566129999999999E-3</v>
      </c>
      <c r="R4717">
        <v>-0.88576080000000001</v>
      </c>
      <c r="S4717">
        <v>2.8017880000000002</v>
      </c>
      <c r="T4717">
        <v>-0.1502377</v>
      </c>
      <c r="U4717">
        <v>-1.927765</v>
      </c>
      <c r="V4717">
        <v>-5.9648239999999998E-2</v>
      </c>
      <c r="W4717">
        <v>1.125104E-2</v>
      </c>
      <c r="X4717">
        <v>0.99815609999999999</v>
      </c>
      <c r="Y4717">
        <v>-0.51757489999999995</v>
      </c>
      <c r="Z4717">
        <v>4.5302830000000002E-2</v>
      </c>
      <c r="AA4717">
        <v>0.85443780000000003</v>
      </c>
      <c r="AB4717">
        <v>16</v>
      </c>
      <c r="AC4717">
        <v>0.76709999999997003</v>
      </c>
      <c r="AD4717">
        <v>-4.342E-2</v>
      </c>
      <c r="AE4717">
        <v>-0.474579999999999</v>
      </c>
      <c r="AF4717">
        <v>-0.503454163231143</v>
      </c>
      <c r="AG4717">
        <v>-4.342E-2</v>
      </c>
      <c r="AH4717">
        <v>0.74595238697533806</v>
      </c>
      <c r="AI4717">
        <v>92.7622128778156</v>
      </c>
      <c r="AJ4717">
        <v>124.01598870854799</v>
      </c>
      <c r="AK4717">
        <v>0.90099742203236899</v>
      </c>
    </row>
    <row r="4718" spans="1:37" x14ac:dyDescent="0.2">
      <c r="A4718" t="str">
        <f>"20200111155950192"</f>
        <v>20200111155950192</v>
      </c>
      <c r="B4718" t="str">
        <f>"1578729590185299"</f>
        <v>1578729590185299</v>
      </c>
      <c r="C4718" t="s">
        <v>37</v>
      </c>
      <c r="D4718">
        <v>4.4775549999999997</v>
      </c>
      <c r="E4718">
        <v>0.29997940000000001</v>
      </c>
      <c r="F4718" t="s">
        <v>38</v>
      </c>
      <c r="G4718">
        <v>-417.56810000000002</v>
      </c>
      <c r="H4718">
        <v>1.068209</v>
      </c>
      <c r="I4718">
        <v>30.527899999999999</v>
      </c>
      <c r="J4718">
        <v>-418.26179999999999</v>
      </c>
      <c r="K4718">
        <v>1.107664</v>
      </c>
      <c r="L4718">
        <v>30.950679999999998</v>
      </c>
      <c r="M4718">
        <v>0.41432039999999998</v>
      </c>
      <c r="N4718">
        <v>0</v>
      </c>
      <c r="O4718">
        <v>-0.91004030000000002</v>
      </c>
      <c r="P4718">
        <v>0.46845329999999902</v>
      </c>
      <c r="Q4718">
        <v>-2.520441E-3</v>
      </c>
      <c r="R4718">
        <v>-0.88348470000000001</v>
      </c>
      <c r="S4718">
        <v>2.81100499999999</v>
      </c>
      <c r="T4718">
        <v>-0.151136299999999</v>
      </c>
      <c r="U4718">
        <v>-1.913727</v>
      </c>
      <c r="V4718">
        <v>-6.0350679999999997E-2</v>
      </c>
      <c r="W4718">
        <v>9.8344339999999995E-3</v>
      </c>
      <c r="X4718">
        <v>0.99812880000000004</v>
      </c>
      <c r="Y4718">
        <v>-0.51822349999999995</v>
      </c>
      <c r="Z4718">
        <v>4.5556050000000001E-2</v>
      </c>
      <c r="AA4718">
        <v>0.85403099999999998</v>
      </c>
      <c r="AB4718">
        <v>16</v>
      </c>
      <c r="AC4718">
        <v>0.693699999999978</v>
      </c>
      <c r="AD4718">
        <v>-3.9454999999999997E-2</v>
      </c>
      <c r="AE4718">
        <v>-0.42277999999999899</v>
      </c>
      <c r="AF4718">
        <v>-0.45509281442788402</v>
      </c>
      <c r="AG4718">
        <v>-3.9454999999999997E-2</v>
      </c>
      <c r="AH4718">
        <v>0.67063457688444905</v>
      </c>
      <c r="AI4718">
        <v>92.787054600714299</v>
      </c>
      <c r="AJ4718">
        <v>124.16082657328499</v>
      </c>
      <c r="AK4718">
        <v>0.81142892632804098</v>
      </c>
    </row>
    <row r="4719" spans="1:37" x14ac:dyDescent="0.2">
      <c r="A4719" t="str">
        <f>"20200111155950207"</f>
        <v>20200111155950207</v>
      </c>
      <c r="B4719" t="str">
        <f>"1578729590204818"</f>
        <v>1578729590204818</v>
      </c>
      <c r="C4719" t="s">
        <v>37</v>
      </c>
      <c r="D4719">
        <v>4.5353510000000004</v>
      </c>
      <c r="E4719">
        <v>0.3000562</v>
      </c>
      <c r="F4719" t="s">
        <v>38</v>
      </c>
      <c r="G4719">
        <v>-417.48160000000001</v>
      </c>
      <c r="H4719">
        <v>1.064932</v>
      </c>
      <c r="I4719">
        <v>30.42492</v>
      </c>
      <c r="J4719">
        <v>-418.21190000000001</v>
      </c>
      <c r="K4719">
        <v>1.1076859999999999</v>
      </c>
      <c r="L4719">
        <v>30.85547</v>
      </c>
      <c r="M4719">
        <v>0.4190354</v>
      </c>
      <c r="N4719">
        <v>0</v>
      </c>
      <c r="O4719">
        <v>-0.90787969999999896</v>
      </c>
      <c r="P4719">
        <v>0.47444609999999898</v>
      </c>
      <c r="Q4719">
        <v>-3.5002900000000001E-3</v>
      </c>
      <c r="R4719">
        <v>-0.88027749999999905</v>
      </c>
      <c r="S4719">
        <v>2.8200989999999999</v>
      </c>
      <c r="T4719">
        <v>-0.15442899999999901</v>
      </c>
      <c r="U4719">
        <v>-1.899902</v>
      </c>
      <c r="V4719">
        <v>-6.1949919999999999E-2</v>
      </c>
      <c r="W4719">
        <v>8.7739930000000008E-3</v>
      </c>
      <c r="X4719">
        <v>0.998040699999999</v>
      </c>
      <c r="Y4719">
        <v>-0.51790539999999996</v>
      </c>
      <c r="Z4719">
        <v>4.6507930000000003E-2</v>
      </c>
      <c r="AA4719">
        <v>0.85417259999999995</v>
      </c>
      <c r="AB4719">
        <v>16</v>
      </c>
      <c r="AC4719">
        <v>0.73029999999999895</v>
      </c>
      <c r="AD4719">
        <v>-4.2753999999999903E-2</v>
      </c>
      <c r="AE4719">
        <v>-0.43054999999999999</v>
      </c>
      <c r="AF4719">
        <v>-0.48142397057890202</v>
      </c>
      <c r="AG4719">
        <v>-4.2753999999999903E-2</v>
      </c>
      <c r="AH4719">
        <v>0.69519813265608899</v>
      </c>
      <c r="AI4719">
        <v>92.894380447940605</v>
      </c>
      <c r="AJ4719">
        <v>124.702560298525</v>
      </c>
      <c r="AK4719">
        <v>0.84669793173980801</v>
      </c>
    </row>
    <row r="4720" spans="1:37" x14ac:dyDescent="0.2">
      <c r="A4720" t="str">
        <f>"20200111155950221"</f>
        <v>20200111155950221</v>
      </c>
      <c r="B4720" t="str">
        <f>"1578729590215554"</f>
        <v>1578729590215554</v>
      </c>
      <c r="C4720" t="s">
        <v>37</v>
      </c>
      <c r="D4720">
        <v>4.6017419999999998</v>
      </c>
      <c r="E4720">
        <v>0.30027609999999999</v>
      </c>
      <c r="F4720" t="s">
        <v>38</v>
      </c>
      <c r="G4720">
        <v>-417.40170000000001</v>
      </c>
      <c r="H4720">
        <v>1.0631699999999999</v>
      </c>
      <c r="I4720">
        <v>30.317219999999999</v>
      </c>
      <c r="J4720">
        <v>-418.16500000000002</v>
      </c>
      <c r="K4720">
        <v>1.107723</v>
      </c>
      <c r="L4720">
        <v>30.767240000000001</v>
      </c>
      <c r="M4720">
        <v>0.423406</v>
      </c>
      <c r="N4720">
        <v>0</v>
      </c>
      <c r="O4720">
        <v>-0.905850499999999</v>
      </c>
      <c r="P4720">
        <v>0.47950519999999902</v>
      </c>
      <c r="Q4720">
        <v>-3.934206E-3</v>
      </c>
      <c r="R4720">
        <v>-0.87753049999999999</v>
      </c>
      <c r="S4720">
        <v>2.8323360000000002</v>
      </c>
      <c r="T4720">
        <v>-0.15557939999999901</v>
      </c>
      <c r="U4720">
        <v>-1.8808290000000001</v>
      </c>
      <c r="V4720">
        <v>-6.2882450000000006E-2</v>
      </c>
      <c r="W4720">
        <v>8.2843009999999905E-3</v>
      </c>
      <c r="X4720">
        <v>0.99798659999999995</v>
      </c>
      <c r="Y4720">
        <v>-0.51946159999999997</v>
      </c>
      <c r="Z4720">
        <v>4.6841870000000001E-2</v>
      </c>
      <c r="AA4720">
        <v>0.853209</v>
      </c>
      <c r="AB4720">
        <v>16</v>
      </c>
      <c r="AC4720">
        <v>0.76330000000001497</v>
      </c>
      <c r="AD4720">
        <v>-4.4552999999999801E-2</v>
      </c>
      <c r="AE4720">
        <v>-0.45001999999999798</v>
      </c>
      <c r="AF4720">
        <v>-0.49967190454937699</v>
      </c>
      <c r="AG4720">
        <v>-4.4552999999999801E-2</v>
      </c>
      <c r="AH4720">
        <v>0.72905277102926502</v>
      </c>
      <c r="AI4720">
        <v>92.885717567283606</v>
      </c>
      <c r="AJ4720">
        <v>124.42562372793201</v>
      </c>
      <c r="AK4720">
        <v>0.88497170855934904</v>
      </c>
    </row>
    <row r="4721" spans="1:37" x14ac:dyDescent="0.2">
      <c r="A4721" t="str">
        <f>"20200111155950234"</f>
        <v>20200111155950234</v>
      </c>
      <c r="B4721" t="str">
        <f>"1578729590225314"</f>
        <v>1578729590225314</v>
      </c>
      <c r="C4721" t="s">
        <v>37</v>
      </c>
      <c r="D4721">
        <v>4.548521</v>
      </c>
      <c r="E4721">
        <v>0.30044929999999997</v>
      </c>
      <c r="F4721" t="s">
        <v>38</v>
      </c>
      <c r="G4721">
        <v>-417.43790000000001</v>
      </c>
      <c r="H4721">
        <v>1.0678479999999999</v>
      </c>
      <c r="I4721">
        <v>30.2897099999999</v>
      </c>
      <c r="J4721">
        <v>-418.12520000000001</v>
      </c>
      <c r="K4721">
        <v>1.1077539999999999</v>
      </c>
      <c r="L4721">
        <v>30.693269999999998</v>
      </c>
      <c r="M4721">
        <v>0.42708289999999999</v>
      </c>
      <c r="N4721">
        <v>0</v>
      </c>
      <c r="O4721">
        <v>-0.9041228</v>
      </c>
      <c r="P4721">
        <v>0.48399549999999902</v>
      </c>
      <c r="Q4721">
        <v>-4.1843970000000003E-3</v>
      </c>
      <c r="R4721">
        <v>-0.87506079999999997</v>
      </c>
      <c r="S4721">
        <v>2.84137</v>
      </c>
      <c r="T4721">
        <v>-0.15578789999999901</v>
      </c>
      <c r="U4721">
        <v>-1.8654169999999901</v>
      </c>
      <c r="V4721">
        <v>-6.3940910000000004E-2</v>
      </c>
      <c r="W4721">
        <v>8.0020209999999998E-3</v>
      </c>
      <c r="X4721">
        <v>0.99792159999999996</v>
      </c>
      <c r="Y4721">
        <v>-0.52046530000000002</v>
      </c>
      <c r="Z4721">
        <v>4.6898229999999999E-2</v>
      </c>
      <c r="AA4721">
        <v>0.85259390000000002</v>
      </c>
      <c r="AB4721">
        <v>16</v>
      </c>
      <c r="AC4721">
        <v>0.68729999999999303</v>
      </c>
      <c r="AD4721">
        <v>-3.9906000000000198E-2</v>
      </c>
      <c r="AE4721">
        <v>-0.40356000000000503</v>
      </c>
      <c r="AF4721">
        <v>-0.44796343842890501</v>
      </c>
      <c r="AG4721">
        <v>-3.9906000000000198E-2</v>
      </c>
      <c r="AH4721">
        <v>0.65680870920548695</v>
      </c>
      <c r="AI4721">
        <v>92.873520345610004</v>
      </c>
      <c r="AJ4721">
        <v>124.295172596604</v>
      </c>
      <c r="AK4721">
        <v>0.79602852429622495</v>
      </c>
    </row>
    <row r="4722" spans="1:37" x14ac:dyDescent="0.2">
      <c r="A4722" t="str">
        <f>"20200111155950247"</f>
        <v>20200111155950247</v>
      </c>
      <c r="B4722" t="str">
        <f>"1578729590244834"</f>
        <v>1578729590244834</v>
      </c>
      <c r="C4722" t="s">
        <v>37</v>
      </c>
      <c r="D4722">
        <v>4.4430339999999999</v>
      </c>
      <c r="E4722">
        <v>0.30059150000000001</v>
      </c>
      <c r="F4722" t="s">
        <v>38</v>
      </c>
      <c r="G4722">
        <v>-417.34899999999999</v>
      </c>
      <c r="H4722">
        <v>1.0653239999999999</v>
      </c>
      <c r="I4722">
        <v>30.188849999999999</v>
      </c>
      <c r="J4722">
        <v>-418.08</v>
      </c>
      <c r="K4722">
        <v>1.107788</v>
      </c>
      <c r="L4722">
        <v>30.60999</v>
      </c>
      <c r="M4722">
        <v>0.43124020000000002</v>
      </c>
      <c r="N4722">
        <v>0</v>
      </c>
      <c r="O4722">
        <v>-0.902147699999999</v>
      </c>
      <c r="P4722">
        <v>0.4887068</v>
      </c>
      <c r="Q4722">
        <v>-3.8586429999999902E-3</v>
      </c>
      <c r="R4722">
        <v>-0.8724402</v>
      </c>
      <c r="S4722">
        <v>2.8496090000000001</v>
      </c>
      <c r="T4722">
        <v>-0.1557509</v>
      </c>
      <c r="U4722">
        <v>-1.8514709999999901</v>
      </c>
      <c r="V4722">
        <v>-6.4730620000000003E-2</v>
      </c>
      <c r="W4722">
        <v>8.3038499999999998E-3</v>
      </c>
      <c r="X4722">
        <v>0.99786819999999898</v>
      </c>
      <c r="Y4722">
        <v>-0.52059719999999998</v>
      </c>
      <c r="Z4722">
        <v>4.6861890000000003E-2</v>
      </c>
      <c r="AA4722">
        <v>0.85251549999999998</v>
      </c>
      <c r="AB4722">
        <v>16</v>
      </c>
      <c r="AC4722">
        <v>0.73099999999999399</v>
      </c>
      <c r="AD4722">
        <v>-4.2464000000000002E-2</v>
      </c>
      <c r="AE4722">
        <v>-0.42114000000000401</v>
      </c>
      <c r="AF4722">
        <v>-0.47668832013920298</v>
      </c>
      <c r="AG4722">
        <v>-4.2464000000000002E-2</v>
      </c>
      <c r="AH4722">
        <v>0.69346623697615095</v>
      </c>
      <c r="AI4722">
        <v>92.888814639359296</v>
      </c>
      <c r="AJ4722">
        <v>124.504611338731</v>
      </c>
      <c r="AK4722">
        <v>0.84257365712381405</v>
      </c>
    </row>
    <row r="4723" spans="1:37" x14ac:dyDescent="0.2">
      <c r="A4723" t="str">
        <f>"20200111155950262"</f>
        <v>20200111155950262</v>
      </c>
      <c r="B4723" t="str">
        <f>"1578729590255570"</f>
        <v>1578729590255570</v>
      </c>
      <c r="C4723" t="s">
        <v>37</v>
      </c>
      <c r="D4723">
        <v>4.4002119999999998</v>
      </c>
      <c r="E4723">
        <v>0.30063879999999998</v>
      </c>
      <c r="F4723" t="s">
        <v>38</v>
      </c>
      <c r="G4723">
        <v>-417.26409999999998</v>
      </c>
      <c r="H4723">
        <v>1.0646679999999999</v>
      </c>
      <c r="I4723">
        <v>30.0853099999999</v>
      </c>
      <c r="J4723">
        <v>-418.03230000000002</v>
      </c>
      <c r="K4723">
        <v>1.107823</v>
      </c>
      <c r="L4723">
        <v>30.523620000000001</v>
      </c>
      <c r="M4723">
        <v>0.4356005</v>
      </c>
      <c r="N4723">
        <v>0</v>
      </c>
      <c r="O4723">
        <v>-0.90005029999999997</v>
      </c>
      <c r="P4723">
        <v>0.49384709999999898</v>
      </c>
      <c r="Q4723">
        <v>-3.5842399999999998E-3</v>
      </c>
      <c r="R4723">
        <v>-0.86954159999999903</v>
      </c>
      <c r="S4723">
        <v>2.85839799999999</v>
      </c>
      <c r="T4723">
        <v>-0.15100729999999901</v>
      </c>
      <c r="U4723">
        <v>-1.8368229999999901</v>
      </c>
      <c r="V4723">
        <v>-6.5793450000000003E-2</v>
      </c>
      <c r="W4723">
        <v>8.5594250000000007E-3</v>
      </c>
      <c r="X4723">
        <v>0.99779649999999998</v>
      </c>
      <c r="Y4723">
        <v>-0.52081099999999902</v>
      </c>
      <c r="Z4723">
        <v>4.5408560000000001E-2</v>
      </c>
      <c r="AA4723">
        <v>0.85246350000000004</v>
      </c>
      <c r="AB4723">
        <v>16</v>
      </c>
      <c r="AC4723">
        <v>0.76820000000003497</v>
      </c>
      <c r="AD4723">
        <v>-4.3154999999999999E-2</v>
      </c>
      <c r="AE4723">
        <v>-0.43831000000000397</v>
      </c>
      <c r="AF4723">
        <v>-0.49934222374076898</v>
      </c>
      <c r="AG4723">
        <v>-4.3154999999999999E-2</v>
      </c>
      <c r="AH4723">
        <v>0.72745638431451498</v>
      </c>
      <c r="AI4723">
        <v>92.800068272570797</v>
      </c>
      <c r="AJ4723">
        <v>124.466569191242</v>
      </c>
      <c r="AK4723">
        <v>0.88340126868559798</v>
      </c>
    </row>
    <row r="4724" spans="1:37" x14ac:dyDescent="0.2">
      <c r="A4724" t="str">
        <f>"20200111155950275"</f>
        <v>20200111155950275</v>
      </c>
      <c r="B4724" t="str">
        <f>"1578729590265330"</f>
        <v>1578729590265330</v>
      </c>
      <c r="C4724" t="s">
        <v>37</v>
      </c>
      <c r="D4724">
        <v>4.4561589999999898</v>
      </c>
      <c r="E4724">
        <v>0.30077579999999998</v>
      </c>
      <c r="F4724" t="s">
        <v>38</v>
      </c>
      <c r="G4724">
        <v>-417.29809999999998</v>
      </c>
      <c r="H4724">
        <v>1.0698299999999901</v>
      </c>
      <c r="I4724">
        <v>30.057459999999999</v>
      </c>
      <c r="J4724">
        <v>-417.98899999999998</v>
      </c>
      <c r="K4724">
        <v>1.107855</v>
      </c>
      <c r="L4724">
        <v>30.445920000000001</v>
      </c>
      <c r="M4724">
        <v>0.43957559999999901</v>
      </c>
      <c r="N4724">
        <v>0</v>
      </c>
      <c r="O4724">
        <v>-0.89811580000000002</v>
      </c>
      <c r="P4724">
        <v>0.49899389999999999</v>
      </c>
      <c r="Q4724">
        <v>-3.104945E-3</v>
      </c>
      <c r="R4724">
        <v>-0.86660000000000004</v>
      </c>
      <c r="S4724">
        <v>2.8689269999999998</v>
      </c>
      <c r="T4724">
        <v>-0.14839340000000001</v>
      </c>
      <c r="U4724">
        <v>-1.8200989999999999</v>
      </c>
      <c r="V4724">
        <v>-6.7301330000000006E-2</v>
      </c>
      <c r="W4724">
        <v>9.0147850000000009E-3</v>
      </c>
      <c r="X4724">
        <v>0.99769200000000002</v>
      </c>
      <c r="Y4724">
        <v>-0.52202839999999995</v>
      </c>
      <c r="Z4724">
        <v>4.4604629999999999E-2</v>
      </c>
      <c r="AA4724">
        <v>0.85176099999999999</v>
      </c>
      <c r="AB4724">
        <v>16</v>
      </c>
      <c r="AC4724">
        <v>0.69090000000005602</v>
      </c>
      <c r="AD4724">
        <v>-3.8025000000000198E-2</v>
      </c>
      <c r="AE4724">
        <v>-0.38846000000000203</v>
      </c>
      <c r="AF4724">
        <v>-0.44875414021766902</v>
      </c>
      <c r="AG4724">
        <v>-3.8025000000000198E-2</v>
      </c>
      <c r="AH4724">
        <v>0.65113889043833495</v>
      </c>
      <c r="AI4724">
        <v>92.752907943407493</v>
      </c>
      <c r="AJ4724">
        <v>124.573968133145</v>
      </c>
      <c r="AK4724">
        <v>0.79171209011152899</v>
      </c>
    </row>
    <row r="4725" spans="1:37" x14ac:dyDescent="0.2">
      <c r="A4725" t="str">
        <f>"20200111155950288"</f>
        <v>20200111155950288</v>
      </c>
      <c r="B4725" t="str">
        <f>"1578729590284851"</f>
        <v>1578729590284851</v>
      </c>
      <c r="C4725" t="s">
        <v>37</v>
      </c>
      <c r="D4725">
        <v>4.4338379999999997</v>
      </c>
      <c r="E4725">
        <v>0.30101650000000002</v>
      </c>
      <c r="F4725" t="s">
        <v>38</v>
      </c>
      <c r="G4725">
        <v>-417.2099</v>
      </c>
      <c r="H4725">
        <v>1.06881</v>
      </c>
      <c r="I4725">
        <v>29.957799999999999</v>
      </c>
      <c r="J4725">
        <v>-417.94209999999998</v>
      </c>
      <c r="K4725">
        <v>1.107883</v>
      </c>
      <c r="L4725">
        <v>30.362759999999898</v>
      </c>
      <c r="M4725">
        <v>0.4438648</v>
      </c>
      <c r="N4725">
        <v>0</v>
      </c>
      <c r="O4725">
        <v>-0.89600380000000002</v>
      </c>
      <c r="P4725">
        <v>0.50349129999999997</v>
      </c>
      <c r="Q4725">
        <v>-3.2960799999999998E-3</v>
      </c>
      <c r="R4725">
        <v>-0.86399389999999998</v>
      </c>
      <c r="S4725">
        <v>2.8787539999999998</v>
      </c>
      <c r="T4725">
        <v>-0.14427799999999999</v>
      </c>
      <c r="U4725">
        <v>-1.8036799999999999</v>
      </c>
      <c r="V4725">
        <v>-6.7716289999999998E-2</v>
      </c>
      <c r="W4725">
        <v>8.8073700000000001E-3</v>
      </c>
      <c r="X4725">
        <v>0.99766580000000005</v>
      </c>
      <c r="Y4725">
        <v>-0.52279770000000003</v>
      </c>
      <c r="Z4725">
        <v>4.3346040000000002E-2</v>
      </c>
      <c r="AA4725">
        <v>0.851354099999999</v>
      </c>
      <c r="AB4725">
        <v>16</v>
      </c>
      <c r="AC4725">
        <v>0.73219999999997698</v>
      </c>
      <c r="AD4725">
        <v>-3.9072999999999899E-2</v>
      </c>
      <c r="AE4725">
        <v>-0.40495999999999899</v>
      </c>
      <c r="AF4725">
        <v>-0.47530840983691802</v>
      </c>
      <c r="AG4725">
        <v>-3.9072999999999899E-2</v>
      </c>
      <c r="AH4725">
        <v>0.68640215409594196</v>
      </c>
      <c r="AI4725">
        <v>92.679450132813201</v>
      </c>
      <c r="AJ4725">
        <v>124.70118623568401</v>
      </c>
      <c r="AK4725">
        <v>0.835818581354979</v>
      </c>
    </row>
    <row r="4726" spans="1:37" x14ac:dyDescent="0.2">
      <c r="A4726" t="str">
        <f>"20200111155950303"</f>
        <v>20200111155950303</v>
      </c>
      <c r="B4726" t="str">
        <f>"1578729590295586"</f>
        <v>1578729590295586</v>
      </c>
      <c r="C4726" t="s">
        <v>37</v>
      </c>
      <c r="D4726">
        <v>5.417592</v>
      </c>
      <c r="E4726">
        <v>0.30101650000000002</v>
      </c>
      <c r="F4726" t="s">
        <v>38</v>
      </c>
      <c r="G4726">
        <v>-417.1241</v>
      </c>
      <c r="H4726">
        <v>1.067814</v>
      </c>
      <c r="I4726">
        <v>29.855270000000001</v>
      </c>
      <c r="J4726">
        <v>-417.89150000000001</v>
      </c>
      <c r="K4726">
        <v>1.107915</v>
      </c>
      <c r="L4726">
        <v>30.273990000000001</v>
      </c>
      <c r="M4726">
        <v>0.44849459999999902</v>
      </c>
      <c r="N4726">
        <v>0</v>
      </c>
      <c r="O4726">
        <v>-0.89369569999999998</v>
      </c>
      <c r="P4726">
        <v>0.50841519999999996</v>
      </c>
      <c r="Q4726">
        <v>-3.2245590000000001E-3</v>
      </c>
      <c r="R4726">
        <v>-0.86110599999999904</v>
      </c>
      <c r="S4726">
        <v>2.8862919999999899</v>
      </c>
      <c r="T4726">
        <v>-0.1413307</v>
      </c>
      <c r="U4726">
        <v>-1.7897029999999901</v>
      </c>
      <c r="V4726">
        <v>-6.8250500000000006E-2</v>
      </c>
      <c r="W4726">
        <v>8.8588680000000006E-3</v>
      </c>
      <c r="X4726">
        <v>0.99762890000000004</v>
      </c>
      <c r="Y4726">
        <v>-0.52239679999999999</v>
      </c>
      <c r="Z4726">
        <v>4.2427960000000001E-2</v>
      </c>
      <c r="AA4726">
        <v>0.85164629999999997</v>
      </c>
      <c r="AB4726">
        <v>16</v>
      </c>
      <c r="AC4726">
        <v>0.76740000000000896</v>
      </c>
      <c r="AD4726">
        <v>-4.0100999999999901E-2</v>
      </c>
      <c r="AE4726">
        <v>-0.41871999999999998</v>
      </c>
      <c r="AF4726">
        <v>-0.49702258082723499</v>
      </c>
      <c r="AG4726">
        <v>-4.0100999999999901E-2</v>
      </c>
      <c r="AH4726">
        <v>0.71693214111585701</v>
      </c>
      <c r="AI4726">
        <v>92.631923647979505</v>
      </c>
      <c r="AJ4726">
        <v>124.732140826113</v>
      </c>
      <c r="AK4726">
        <v>0.87328759925818999</v>
      </c>
    </row>
    <row r="4727" spans="1:37" x14ac:dyDescent="0.2">
      <c r="A4727" t="str">
        <f>"20200111155950316"</f>
        <v>20200111155950316</v>
      </c>
      <c r="B4727" t="str">
        <f>"1578729590305347"</f>
        <v>1578729590305347</v>
      </c>
      <c r="C4727" t="s">
        <v>37</v>
      </c>
      <c r="D4727">
        <v>4.4035219999999997</v>
      </c>
      <c r="E4727">
        <v>0.30114020000000002</v>
      </c>
      <c r="F4727" t="s">
        <v>38</v>
      </c>
      <c r="G4727">
        <v>-417.1576</v>
      </c>
      <c r="H4727">
        <v>1.072255</v>
      </c>
      <c r="I4727">
        <v>29.824449999999999</v>
      </c>
      <c r="J4727">
        <v>-417.84840000000003</v>
      </c>
      <c r="K4727">
        <v>1.107939</v>
      </c>
      <c r="L4727">
        <v>30.199770000000001</v>
      </c>
      <c r="M4727">
        <v>0.45241499999999901</v>
      </c>
      <c r="N4727">
        <v>0</v>
      </c>
      <c r="O4727">
        <v>-0.89171739999999999</v>
      </c>
      <c r="P4727">
        <v>0.51238879999999998</v>
      </c>
      <c r="Q4727">
        <v>-3.3916969999999999E-3</v>
      </c>
      <c r="R4727">
        <v>-0.85874699999999904</v>
      </c>
      <c r="S4727">
        <v>2.8964539999999999</v>
      </c>
      <c r="T4727">
        <v>-0.14069289999999901</v>
      </c>
      <c r="U4727">
        <v>-1.7732239999999999</v>
      </c>
      <c r="V4727">
        <v>-6.8478440000000002E-2</v>
      </c>
      <c r="W4727">
        <v>8.6786290000000002E-3</v>
      </c>
      <c r="X4727">
        <v>0.99761489999999997</v>
      </c>
      <c r="Y4727">
        <v>-0.52351610000000004</v>
      </c>
      <c r="Z4727">
        <v>4.2213920000000002E-2</v>
      </c>
      <c r="AA4727">
        <v>0.85096939999999999</v>
      </c>
      <c r="AB4727">
        <v>16</v>
      </c>
      <c r="AC4727">
        <v>0.69080000000002395</v>
      </c>
      <c r="AD4727">
        <v>-3.5684E-2</v>
      </c>
      <c r="AE4727">
        <v>-0.37532000000000199</v>
      </c>
      <c r="AF4727">
        <v>-0.44531640750884799</v>
      </c>
      <c r="AG4727">
        <v>-3.5684E-2</v>
      </c>
      <c r="AH4727">
        <v>0.64592893756647096</v>
      </c>
      <c r="AI4727">
        <v>92.604186170876005</v>
      </c>
      <c r="AJ4727">
        <v>124.58316114322599</v>
      </c>
      <c r="AK4727">
        <v>0.785368857950413</v>
      </c>
    </row>
    <row r="4728" spans="1:37" x14ac:dyDescent="0.2">
      <c r="A4728" t="str">
        <f>"20200111155950331"</f>
        <v>20200111155950331</v>
      </c>
      <c r="B4728" t="str">
        <f>"1578729590324868"</f>
        <v>1578729590324868</v>
      </c>
      <c r="C4728" t="s">
        <v>37</v>
      </c>
      <c r="D4728">
        <v>4.4531980000000004</v>
      </c>
      <c r="E4728">
        <v>0.30155140000000002</v>
      </c>
      <c r="F4728" t="s">
        <v>38</v>
      </c>
      <c r="G4728">
        <v>-417.0686</v>
      </c>
      <c r="H4728">
        <v>1.0707979999999999</v>
      </c>
      <c r="I4728">
        <v>29.72709</v>
      </c>
      <c r="J4728">
        <v>-417.79730000000001</v>
      </c>
      <c r="K4728">
        <v>1.1079680000000001</v>
      </c>
      <c r="L4728">
        <v>30.11234</v>
      </c>
      <c r="M4728">
        <v>0.45706269999999999</v>
      </c>
      <c r="N4728">
        <v>0</v>
      </c>
      <c r="O4728">
        <v>-0.88934409999999897</v>
      </c>
      <c r="P4728">
        <v>0.517065</v>
      </c>
      <c r="Q4728">
        <v>-3.5568709999999901E-3</v>
      </c>
      <c r="R4728">
        <v>-0.85593859999999999</v>
      </c>
      <c r="S4728">
        <v>2.903778</v>
      </c>
      <c r="T4728">
        <v>-0.13830909999999999</v>
      </c>
      <c r="U4728">
        <v>-1.760284</v>
      </c>
      <c r="V4728">
        <v>-6.8712609999999993E-2</v>
      </c>
      <c r="W4728">
        <v>8.5012530000000003E-3</v>
      </c>
      <c r="X4728">
        <v>0.9976003</v>
      </c>
      <c r="Y4728">
        <v>-0.52282340000000005</v>
      </c>
      <c r="Z4728">
        <v>4.145426E-2</v>
      </c>
      <c r="AA4728">
        <v>0.85143250000000004</v>
      </c>
      <c r="AB4728">
        <v>16</v>
      </c>
      <c r="AC4728">
        <v>0.72870000000000301</v>
      </c>
      <c r="AD4728">
        <v>-3.7170000000000099E-2</v>
      </c>
      <c r="AE4728">
        <v>-0.38524999999999898</v>
      </c>
      <c r="AF4728">
        <v>-0.47106167504338903</v>
      </c>
      <c r="AG4728">
        <v>-3.7170000000000099E-2</v>
      </c>
      <c r="AH4728">
        <v>0.67436439611753196</v>
      </c>
      <c r="AI4728">
        <v>92.5872152158056</v>
      </c>
      <c r="AJ4728">
        <v>124.935335298599</v>
      </c>
      <c r="AK4728">
        <v>0.82343673062697897</v>
      </c>
    </row>
    <row r="4729" spans="1:37" x14ac:dyDescent="0.2">
      <c r="A4729" t="str">
        <f>"20200111155950343"</f>
        <v>20200111155950343</v>
      </c>
      <c r="B4729" t="str">
        <f>"1578729590335603"</f>
        <v>1578729590335603</v>
      </c>
      <c r="C4729" t="s">
        <v>37</v>
      </c>
      <c r="D4729">
        <v>4.4384499999999996</v>
      </c>
      <c r="E4729">
        <v>0.30155140000000002</v>
      </c>
      <c r="F4729" t="s">
        <v>38</v>
      </c>
      <c r="G4729">
        <v>-416.9837</v>
      </c>
      <c r="H4729">
        <v>1.070125</v>
      </c>
      <c r="I4729">
        <v>29.624120000000001</v>
      </c>
      <c r="J4729">
        <v>-417.75360000000001</v>
      </c>
      <c r="K4729">
        <v>1.1079939999999999</v>
      </c>
      <c r="L4729">
        <v>30.038419999999999</v>
      </c>
      <c r="M4729">
        <v>0.46102330000000002</v>
      </c>
      <c r="N4729">
        <v>0</v>
      </c>
      <c r="O4729">
        <v>-0.88729780000000003</v>
      </c>
      <c r="P4729">
        <v>0.52143600000000001</v>
      </c>
      <c r="Q4729">
        <v>-3.7403479999999901E-3</v>
      </c>
      <c r="R4729">
        <v>-0.8532824</v>
      </c>
      <c r="S4729">
        <v>2.9104000000000001</v>
      </c>
      <c r="T4729">
        <v>-0.13536110000000001</v>
      </c>
      <c r="U4729">
        <v>-1.746246</v>
      </c>
      <c r="V4729">
        <v>-6.9366780000000003E-2</v>
      </c>
      <c r="W4729">
        <v>8.3048040000000007E-3</v>
      </c>
      <c r="X4729">
        <v>0.99755659999999902</v>
      </c>
      <c r="Y4729">
        <v>-0.52293080000000003</v>
      </c>
      <c r="Z4729">
        <v>4.0554979999999997E-2</v>
      </c>
      <c r="AA4729">
        <v>0.85140990000000005</v>
      </c>
      <c r="AB4729">
        <v>16</v>
      </c>
      <c r="AC4729">
        <v>0.76990000000000602</v>
      </c>
      <c r="AD4729">
        <v>-3.7869000000000097E-2</v>
      </c>
      <c r="AE4729">
        <v>-0.4143</v>
      </c>
      <c r="AF4729">
        <v>-0.49124641050895701</v>
      </c>
      <c r="AG4729">
        <v>-3.7869000000000097E-2</v>
      </c>
      <c r="AH4729">
        <v>0.72125404190007902</v>
      </c>
      <c r="AI4729">
        <v>92.484794344037397</v>
      </c>
      <c r="AJ4729">
        <v>124.258792634062</v>
      </c>
      <c r="AK4729">
        <v>0.87347838551170498</v>
      </c>
    </row>
    <row r="4730" spans="1:37" x14ac:dyDescent="0.2">
      <c r="A4730" t="str">
        <f>"20200111155950356"</f>
        <v>20200111155950356</v>
      </c>
      <c r="B4730" t="str">
        <f>"1578729590345363"</f>
        <v>1578729590345363</v>
      </c>
      <c r="C4730" t="s">
        <v>37</v>
      </c>
      <c r="D4730">
        <v>4.4046010000000004</v>
      </c>
      <c r="E4730">
        <v>0.31082719999999903</v>
      </c>
      <c r="F4730" t="s">
        <v>38</v>
      </c>
      <c r="G4730">
        <v>-416.9873</v>
      </c>
      <c r="H4730">
        <v>1.072271</v>
      </c>
      <c r="I4730">
        <v>29.583859999999898</v>
      </c>
      <c r="J4730">
        <v>-417.7088</v>
      </c>
      <c r="K4730">
        <v>1.1080239999999999</v>
      </c>
      <c r="L4730">
        <v>29.963899999999999</v>
      </c>
      <c r="M4730">
        <v>0.46507489999999901</v>
      </c>
      <c r="N4730">
        <v>0</v>
      </c>
      <c r="O4730">
        <v>-0.88518069999999904</v>
      </c>
      <c r="P4730">
        <v>0.52565090000000003</v>
      </c>
      <c r="Q4730">
        <v>-4.1047840000000002E-3</v>
      </c>
      <c r="R4730">
        <v>-0.85069069999999902</v>
      </c>
      <c r="S4730">
        <v>2.9192499999999999</v>
      </c>
      <c r="T4730">
        <v>-0.13606599999999999</v>
      </c>
      <c r="U4730">
        <v>-1.731293</v>
      </c>
      <c r="V4730">
        <v>-6.9739449999999995E-2</v>
      </c>
      <c r="W4730">
        <v>7.9319279999999995E-3</v>
      </c>
      <c r="X4730">
        <v>0.99753369999999997</v>
      </c>
      <c r="Y4730">
        <v>-0.52338669999999998</v>
      </c>
      <c r="Z4730">
        <v>4.073309E-2</v>
      </c>
      <c r="AA4730">
        <v>0.85112119999999902</v>
      </c>
      <c r="AB4730">
        <v>16</v>
      </c>
      <c r="AC4730">
        <v>0.72149999999999104</v>
      </c>
      <c r="AD4730">
        <v>-3.5752999999999903E-2</v>
      </c>
      <c r="AE4730">
        <v>-0.38003999999999999</v>
      </c>
      <c r="AF4730">
        <v>-0.46106160282492498</v>
      </c>
      <c r="AG4730">
        <v>-3.5752999999999903E-2</v>
      </c>
      <c r="AH4730">
        <v>0.67072024616021397</v>
      </c>
      <c r="AI4730">
        <v>92.515252593475296</v>
      </c>
      <c r="AJ4730">
        <v>124.50512559191</v>
      </c>
      <c r="AK4730">
        <v>0.81469118518473504</v>
      </c>
    </row>
    <row r="4731" spans="1:37" x14ac:dyDescent="0.2">
      <c r="A4731" t="str">
        <f>"20200111155950370"</f>
        <v>20200111155950370</v>
      </c>
      <c r="B4731" t="str">
        <f>"1578729590364883"</f>
        <v>1578729590364883</v>
      </c>
      <c r="C4731" t="s">
        <v>37</v>
      </c>
      <c r="D4731">
        <v>4.4738759999999997</v>
      </c>
      <c r="E4731">
        <v>0.31216159999999998</v>
      </c>
      <c r="F4731" t="s">
        <v>41</v>
      </c>
      <c r="G4731">
        <v>-367.4529</v>
      </c>
      <c r="H4731">
        <v>-0.05</v>
      </c>
      <c r="I4731">
        <v>-0.88427730000000004</v>
      </c>
      <c r="J4731">
        <v>-417.65899999999999</v>
      </c>
      <c r="K4731">
        <v>1.108053</v>
      </c>
      <c r="L4731">
        <v>29.881709999999899</v>
      </c>
      <c r="M4731">
        <v>0.46957470000000001</v>
      </c>
      <c r="N4731">
        <v>0</v>
      </c>
      <c r="O4731">
        <v>-0.88280179999999997</v>
      </c>
      <c r="P4731">
        <v>0.5307868</v>
      </c>
      <c r="Q4731">
        <v>-4.140337E-3</v>
      </c>
      <c r="R4731">
        <v>-0.84749529999999995</v>
      </c>
      <c r="S4731">
        <v>2.8628230000000001</v>
      </c>
      <c r="T4731">
        <v>-6.5966730000000001E-2</v>
      </c>
      <c r="U4731">
        <v>-1.757263</v>
      </c>
      <c r="V4731">
        <v>-7.0695999999999995E-2</v>
      </c>
      <c r="W4731">
        <v>7.8832920000000001E-3</v>
      </c>
      <c r="X4731">
        <v>0.99746669999999904</v>
      </c>
      <c r="Y4731">
        <v>-0.50657799999999997</v>
      </c>
      <c r="Z4731">
        <v>1.9843639999999999E-2</v>
      </c>
      <c r="AA4731">
        <v>0.8619658</v>
      </c>
      <c r="AB4731">
        <v>16</v>
      </c>
      <c r="AC4731">
        <v>50.2060999999999</v>
      </c>
      <c r="AD4731">
        <v>-1.158053</v>
      </c>
      <c r="AE4731">
        <v>-30.765987299999999</v>
      </c>
      <c r="AF4731">
        <v>-29.865953270827699</v>
      </c>
      <c r="AG4731">
        <v>-1.158053</v>
      </c>
      <c r="AH4731">
        <v>50.720239242752598</v>
      </c>
      <c r="AI4731">
        <v>91.127129041415003</v>
      </c>
      <c r="AJ4731">
        <v>120.49115066604899</v>
      </c>
      <c r="AK4731">
        <v>58.871545931528999</v>
      </c>
    </row>
    <row r="4732" spans="1:37" x14ac:dyDescent="0.2">
      <c r="A4732" t="str">
        <f>"20200111155950383"</f>
        <v>20200111155950383</v>
      </c>
      <c r="B4732" t="str">
        <f>"1578729590375618"</f>
        <v>1578729590375618</v>
      </c>
      <c r="C4732" t="s">
        <v>37</v>
      </c>
      <c r="D4732">
        <v>4.4833610000000004</v>
      </c>
      <c r="E4732">
        <v>0.31150689999999998</v>
      </c>
      <c r="F4732" t="s">
        <v>76</v>
      </c>
      <c r="G4732">
        <v>-376.79610000000002</v>
      </c>
      <c r="H4732">
        <v>7.9986360000000006E-2</v>
      </c>
      <c r="I4732">
        <v>4.9826269999999999</v>
      </c>
      <c r="J4732">
        <v>-417.60919999999999</v>
      </c>
      <c r="K4732">
        <v>1.1080829999999999</v>
      </c>
      <c r="L4732">
        <v>29.800509999999999</v>
      </c>
      <c r="M4732">
        <v>0.47407050000000001</v>
      </c>
      <c r="N4732">
        <v>0</v>
      </c>
      <c r="O4732">
        <v>-0.8803955</v>
      </c>
      <c r="P4732">
        <v>0.53572819999999899</v>
      </c>
      <c r="Q4732">
        <v>-4.0615740000000001E-3</v>
      </c>
      <c r="R4732">
        <v>-0.84438099999999905</v>
      </c>
      <c r="S4732">
        <v>2.8645320000000001</v>
      </c>
      <c r="T4732">
        <v>-7.2068569999999998E-2</v>
      </c>
      <c r="U4732">
        <v>-1.7454529999999999</v>
      </c>
      <c r="V4732">
        <v>-7.14365E-2</v>
      </c>
      <c r="W4732">
        <v>7.9538639999999997E-3</v>
      </c>
      <c r="X4732">
        <v>0.99741349999999995</v>
      </c>
      <c r="Y4732">
        <v>-0.50496099999999999</v>
      </c>
      <c r="Z4732">
        <v>2.1673250000000002E-2</v>
      </c>
      <c r="AA4732">
        <v>0.86287000000000003</v>
      </c>
      <c r="AB4732">
        <v>16</v>
      </c>
      <c r="AC4732">
        <v>40.813099999999899</v>
      </c>
      <c r="AD4732">
        <v>-1.02809664</v>
      </c>
      <c r="AE4732">
        <v>-24.817882999999998</v>
      </c>
      <c r="AF4732">
        <v>-24.156997200947199</v>
      </c>
      <c r="AG4732">
        <v>-1.02809664</v>
      </c>
      <c r="AH4732">
        <v>41.182076648682497</v>
      </c>
      <c r="AI4732">
        <v>91.233580173022006</v>
      </c>
      <c r="AJ4732">
        <v>120.39546263664199</v>
      </c>
      <c r="AK4732">
        <v>47.755428315173901</v>
      </c>
    </row>
    <row r="4733" spans="1:37" x14ac:dyDescent="0.2">
      <c r="A4733" t="str">
        <f>"20200111155950398"</f>
        <v>20200111155950398</v>
      </c>
      <c r="B4733" t="str">
        <f>"1578729590395138"</f>
        <v>1578729590395138</v>
      </c>
      <c r="C4733" t="s">
        <v>37</v>
      </c>
      <c r="D4733">
        <v>4.7608300000000003</v>
      </c>
      <c r="E4733">
        <v>0.28876069999999998</v>
      </c>
      <c r="F4733" t="s">
        <v>76</v>
      </c>
      <c r="G4733">
        <v>-375.70030000000003</v>
      </c>
      <c r="H4733">
        <v>7.9986650000000006E-2</v>
      </c>
      <c r="I4733">
        <v>4.6798469999999996</v>
      </c>
      <c r="J4733">
        <v>-417.56099999999998</v>
      </c>
      <c r="K4733">
        <v>1.108031</v>
      </c>
      <c r="L4733">
        <v>29.723050000000001</v>
      </c>
      <c r="M4733">
        <v>0.47801080000000001</v>
      </c>
      <c r="N4733">
        <v>0</v>
      </c>
      <c r="O4733">
        <v>-0.87825339999999996</v>
      </c>
      <c r="P4733">
        <v>0.54168459999999996</v>
      </c>
      <c r="Q4733">
        <v>-3.766255E-3</v>
      </c>
      <c r="R4733">
        <v>-0.84057329999999997</v>
      </c>
      <c r="S4733">
        <v>2.8792110000000002</v>
      </c>
      <c r="T4733">
        <v>-7.0631860000000005E-2</v>
      </c>
      <c r="U4733">
        <v>-1.72583</v>
      </c>
      <c r="V4733">
        <v>-7.4016789999999999E-2</v>
      </c>
      <c r="W4733">
        <v>8.8569619999999995E-3</v>
      </c>
      <c r="X4733">
        <v>0.99721769999999998</v>
      </c>
      <c r="Y4733">
        <v>-0.50736769999999998</v>
      </c>
      <c r="Z4733">
        <v>2.121872E-2</v>
      </c>
      <c r="AA4733">
        <v>0.86146840000000002</v>
      </c>
      <c r="AB4733">
        <v>16</v>
      </c>
      <c r="AC4733">
        <v>41.860699999999902</v>
      </c>
      <c r="AD4733">
        <v>-1.0280443500000001</v>
      </c>
      <c r="AE4733">
        <v>-25.043202999999998</v>
      </c>
      <c r="AF4733">
        <v>-24.78456228228</v>
      </c>
      <c r="AG4733">
        <v>-1.0280443500000001</v>
      </c>
      <c r="AH4733">
        <v>41.989205166713397</v>
      </c>
      <c r="AI4733">
        <v>91.2078748649716</v>
      </c>
      <c r="AJ4733">
        <v>120.551668095786</v>
      </c>
      <c r="AK4733">
        <v>48.769096293063903</v>
      </c>
    </row>
    <row r="4734" spans="1:37" x14ac:dyDescent="0.2">
      <c r="A4734" t="str">
        <f>"20200111155950411"</f>
        <v>20200111155950411</v>
      </c>
      <c r="B4734" t="str">
        <f>"1578729590404898"</f>
        <v>1578729590404898</v>
      </c>
      <c r="C4734" t="s">
        <v>37</v>
      </c>
      <c r="D4734">
        <v>4.7485080000000002</v>
      </c>
      <c r="E4734">
        <v>0.28083359999999902</v>
      </c>
      <c r="F4734" t="s">
        <v>38</v>
      </c>
      <c r="G4734">
        <v>-416.7559</v>
      </c>
      <c r="H4734">
        <v>1.059679</v>
      </c>
      <c r="I4734">
        <v>29.298999999999999</v>
      </c>
      <c r="J4734">
        <v>-417.51199999999898</v>
      </c>
      <c r="K4734">
        <v>1.107934</v>
      </c>
      <c r="L4734">
        <v>29.644500000000001</v>
      </c>
      <c r="M4734">
        <v>0.48185509999999898</v>
      </c>
      <c r="N4734">
        <v>0</v>
      </c>
      <c r="O4734">
        <v>-0.87613759999999996</v>
      </c>
      <c r="P4734">
        <v>0.54622630000000005</v>
      </c>
      <c r="Q4734">
        <v>-3.99563E-3</v>
      </c>
      <c r="R4734">
        <v>-0.83762809999999899</v>
      </c>
      <c r="S4734">
        <v>3.0470890000000002</v>
      </c>
      <c r="T4734">
        <v>-0.1829829</v>
      </c>
      <c r="U4734">
        <v>-1.604584</v>
      </c>
      <c r="V4734">
        <v>-7.5036759999999994E-2</v>
      </c>
      <c r="W4734">
        <v>9.4834979999999999E-3</v>
      </c>
      <c r="X4734">
        <v>0.99713569999999996</v>
      </c>
      <c r="Y4734">
        <v>-0.54933559999999904</v>
      </c>
      <c r="Z4734">
        <v>5.4162429999999998E-2</v>
      </c>
      <c r="AA4734">
        <v>0.83384459999999905</v>
      </c>
      <c r="AB4734">
        <v>16</v>
      </c>
      <c r="AC4734">
        <v>0.75609999999994604</v>
      </c>
      <c r="AD4734">
        <v>-4.8254999999999902E-2</v>
      </c>
      <c r="AE4734">
        <v>-0.34550000000000097</v>
      </c>
      <c r="AF4734">
        <v>-0.49435021900361598</v>
      </c>
      <c r="AG4734">
        <v>-4.8254999999999902E-2</v>
      </c>
      <c r="AH4734">
        <v>0.66486213908057101</v>
      </c>
      <c r="AI4734">
        <v>93.333330849792304</v>
      </c>
      <c r="AJ4734">
        <v>126.632202167489</v>
      </c>
      <c r="AK4734">
        <v>0.82991104826765305</v>
      </c>
    </row>
    <row r="4735" spans="1:37" x14ac:dyDescent="0.2">
      <c r="A4735" t="str">
        <f>"20200111155950424"</f>
        <v>20200111155950424</v>
      </c>
      <c r="B4735" t="str">
        <f>"1578729590415634"</f>
        <v>1578729590415634</v>
      </c>
      <c r="C4735" t="s">
        <v>37</v>
      </c>
      <c r="D4735">
        <v>4.9223419999999898</v>
      </c>
      <c r="E4735">
        <v>0.27416620000000003</v>
      </c>
      <c r="F4735" t="s">
        <v>38</v>
      </c>
      <c r="G4735">
        <v>-416.65660000000003</v>
      </c>
      <c r="H4735">
        <v>1.064594</v>
      </c>
      <c r="I4735">
        <v>29.216719999999999</v>
      </c>
      <c r="J4735">
        <v>-417.46559999999999</v>
      </c>
      <c r="K4735">
        <v>1.1078030000000001</v>
      </c>
      <c r="L4735">
        <v>29.57037</v>
      </c>
      <c r="M4735">
        <v>0.48535329999999899</v>
      </c>
      <c r="N4735">
        <v>0</v>
      </c>
      <c r="O4735">
        <v>-0.87418909999999905</v>
      </c>
      <c r="P4735">
        <v>0.55119149999999995</v>
      </c>
      <c r="Q4735">
        <v>-4.4758280000000003E-3</v>
      </c>
      <c r="R4735">
        <v>-0.83436730000000003</v>
      </c>
      <c r="S4735">
        <v>3.107971</v>
      </c>
      <c r="T4735">
        <v>-0.15746779999999999</v>
      </c>
      <c r="U4735">
        <v>-1.5540769999999999</v>
      </c>
      <c r="V4735">
        <v>-7.6961429999999997E-2</v>
      </c>
      <c r="W4735">
        <v>9.9903530000000004E-3</v>
      </c>
      <c r="X4735">
        <v>0.99698399999999998</v>
      </c>
      <c r="Y4735">
        <v>-0.56383039999999995</v>
      </c>
      <c r="Z4735">
        <v>4.6376099999999899E-2</v>
      </c>
      <c r="AA4735">
        <v>0.82458750000000003</v>
      </c>
      <c r="AB4735">
        <v>15</v>
      </c>
      <c r="AC4735">
        <v>0.80899999999996897</v>
      </c>
      <c r="AD4735">
        <v>-4.3208999999999997E-2</v>
      </c>
      <c r="AE4735">
        <v>-0.35364999999999802</v>
      </c>
      <c r="AF4735">
        <v>-0.53435443121409898</v>
      </c>
      <c r="AG4735">
        <v>-4.3208999999999997E-2</v>
      </c>
      <c r="AH4735">
        <v>0.70020996906045496</v>
      </c>
      <c r="AI4735">
        <v>92.808445027880296</v>
      </c>
      <c r="AJ4735">
        <v>127.348504368954</v>
      </c>
      <c r="AK4735">
        <v>0.88187055547329996</v>
      </c>
    </row>
    <row r="4736" spans="1:37" x14ac:dyDescent="0.2">
      <c r="A4736" t="str">
        <f>"20200111155950438"</f>
        <v>20200111155950438</v>
      </c>
      <c r="B4736" t="str">
        <f>"1578729590435156"</f>
        <v>1578729590435156</v>
      </c>
      <c r="C4736" t="s">
        <v>37</v>
      </c>
      <c r="D4736">
        <v>4.8537429999999997</v>
      </c>
      <c r="E4736">
        <v>0.26502209999999898</v>
      </c>
      <c r="F4736" t="s">
        <v>38</v>
      </c>
      <c r="G4736">
        <v>-416.68020000000001</v>
      </c>
      <c r="H4736">
        <v>1.066835</v>
      </c>
      <c r="I4736">
        <v>29.19614</v>
      </c>
      <c r="J4736">
        <v>-417.42140000000001</v>
      </c>
      <c r="K4736">
        <v>1.107677</v>
      </c>
      <c r="L4736">
        <v>29.50027</v>
      </c>
      <c r="M4736">
        <v>0.48843819999999999</v>
      </c>
      <c r="N4736">
        <v>0</v>
      </c>
      <c r="O4736">
        <v>-0.87245090000000003</v>
      </c>
      <c r="P4736">
        <v>0.55537959999999997</v>
      </c>
      <c r="Q4736">
        <v>-4.742268E-3</v>
      </c>
      <c r="R4736">
        <v>-0.83158359999999998</v>
      </c>
      <c r="S4736">
        <v>3.1614990000000001</v>
      </c>
      <c r="T4736">
        <v>-0.1648993</v>
      </c>
      <c r="U4736">
        <v>-1.506165</v>
      </c>
      <c r="V4736">
        <v>-7.8440140000000005E-2</v>
      </c>
      <c r="W4736">
        <v>1.0787100000000001E-2</v>
      </c>
      <c r="X4736">
        <v>0.99686039999999998</v>
      </c>
      <c r="Y4736">
        <v>-0.57647619999999999</v>
      </c>
      <c r="Z4736">
        <v>4.8344650000000003E-2</v>
      </c>
      <c r="AA4736">
        <v>0.81568249999999998</v>
      </c>
      <c r="AB4736">
        <v>15</v>
      </c>
      <c r="AC4736">
        <v>0.74119999999999198</v>
      </c>
      <c r="AD4736">
        <v>-4.0842000000000003E-2</v>
      </c>
      <c r="AE4736">
        <v>-0.30412999999999701</v>
      </c>
      <c r="AF4736">
        <v>-0.49688477305110501</v>
      </c>
      <c r="AG4736">
        <v>-4.0842000000000003E-2</v>
      </c>
      <c r="AH4736">
        <v>0.62582333055829198</v>
      </c>
      <c r="AI4736">
        <v>92.925867613358506</v>
      </c>
      <c r="AJ4736">
        <v>128.44851099291199</v>
      </c>
      <c r="AK4736">
        <v>0.80013585579270396</v>
      </c>
    </row>
    <row r="4737" spans="1:37" x14ac:dyDescent="0.2">
      <c r="A4737" t="str">
        <f>"20200111155950454"</f>
        <v>20200111155950454</v>
      </c>
      <c r="B4737" t="str">
        <f>"1578729590444914"</f>
        <v>1578729590444914</v>
      </c>
      <c r="C4737" t="s">
        <v>37</v>
      </c>
      <c r="D4737">
        <v>5.0314559999999897</v>
      </c>
      <c r="E4737">
        <v>0.26411869999999998</v>
      </c>
      <c r="F4737" t="s">
        <v>38</v>
      </c>
      <c r="G4737">
        <v>-416.577</v>
      </c>
      <c r="H4737">
        <v>1.0616509999999999</v>
      </c>
      <c r="I4737">
        <v>29.12133</v>
      </c>
      <c r="J4737">
        <v>-417.36590000000001</v>
      </c>
      <c r="K4737">
        <v>1.1075619999999999</v>
      </c>
      <c r="L4737">
        <v>29.412379999999999</v>
      </c>
      <c r="M4737">
        <v>0.49211830000000001</v>
      </c>
      <c r="N4737">
        <v>0</v>
      </c>
      <c r="O4737">
        <v>-0.87035549999999995</v>
      </c>
      <c r="P4737">
        <v>0.56068169999999995</v>
      </c>
      <c r="Q4737">
        <v>-5.6576509999999997E-3</v>
      </c>
      <c r="R4737">
        <v>-0.82801229999999904</v>
      </c>
      <c r="S4737">
        <v>3.22961399999999</v>
      </c>
      <c r="T4737">
        <v>-0.17605789999999999</v>
      </c>
      <c r="U4737">
        <v>-1.449646</v>
      </c>
      <c r="V4737">
        <v>-8.0582390000000004E-2</v>
      </c>
      <c r="W4737">
        <v>1.1231970000000001E-2</v>
      </c>
      <c r="X4737">
        <v>0.99668469999999998</v>
      </c>
      <c r="Y4737">
        <v>-0.59128359999999902</v>
      </c>
      <c r="Z4737">
        <v>5.1257629999999998E-2</v>
      </c>
      <c r="AA4737">
        <v>0.80483319999999903</v>
      </c>
      <c r="AB4737">
        <v>15</v>
      </c>
      <c r="AC4737">
        <v>0.78890000000001204</v>
      </c>
      <c r="AD4737">
        <v>-4.5911E-2</v>
      </c>
      <c r="AE4737">
        <v>-0.29104999999999798</v>
      </c>
      <c r="AF4737">
        <v>-0.54185888213039501</v>
      </c>
      <c r="AG4737">
        <v>-4.5911E-2</v>
      </c>
      <c r="AH4737">
        <v>0.63973854066154701</v>
      </c>
      <c r="AI4737">
        <v>93.134485927125198</v>
      </c>
      <c r="AJ4737">
        <v>130.26461690642299</v>
      </c>
      <c r="AK4737">
        <v>0.83963341314669404</v>
      </c>
    </row>
    <row r="4738" spans="1:37" x14ac:dyDescent="0.2">
      <c r="A4738" t="str">
        <f>"20200111155950469"</f>
        <v>20200111155950469</v>
      </c>
      <c r="B4738" t="str">
        <f>"1578729590465410"</f>
        <v>1578729590465410</v>
      </c>
      <c r="C4738" t="s">
        <v>37</v>
      </c>
      <c r="D4738">
        <v>4.8172180000000004</v>
      </c>
      <c r="E4738">
        <v>0.26298640000000001</v>
      </c>
      <c r="F4738" t="s">
        <v>38</v>
      </c>
      <c r="G4738">
        <v>-416.4966</v>
      </c>
      <c r="H4738">
        <v>1.059137</v>
      </c>
      <c r="I4738">
        <v>29.030449999999998</v>
      </c>
      <c r="J4738">
        <v>-417.32130000000001</v>
      </c>
      <c r="K4738">
        <v>1.107513</v>
      </c>
      <c r="L4738">
        <v>29.342009999999998</v>
      </c>
      <c r="M4738">
        <v>0.4949344</v>
      </c>
      <c r="N4738">
        <v>0</v>
      </c>
      <c r="O4738">
        <v>-0.86873489999999998</v>
      </c>
      <c r="P4738">
        <v>0.5637259</v>
      </c>
      <c r="Q4738">
        <v>-7.3454309999999899E-3</v>
      </c>
      <c r="R4738">
        <v>-0.82592929999999998</v>
      </c>
      <c r="S4738">
        <v>3.2447509999999999</v>
      </c>
      <c r="T4738">
        <v>-0.18069830000000001</v>
      </c>
      <c r="U4738">
        <v>-1.4247129999999999</v>
      </c>
      <c r="V4738">
        <v>-8.1010620000000005E-2</v>
      </c>
      <c r="W4738">
        <v>1.0661230000000001E-2</v>
      </c>
      <c r="X4738">
        <v>0.99665619999999999</v>
      </c>
      <c r="Y4738">
        <v>-0.59516230000000003</v>
      </c>
      <c r="Z4738">
        <v>5.2584020000000002E-2</v>
      </c>
      <c r="AA4738">
        <v>0.80188319999999902</v>
      </c>
      <c r="AB4738">
        <v>14</v>
      </c>
      <c r="AC4738">
        <v>0.82470000000000698</v>
      </c>
      <c r="AD4738">
        <v>-4.8375999999999898E-2</v>
      </c>
      <c r="AE4738">
        <v>-0.31156</v>
      </c>
      <c r="AF4738">
        <v>-0.56065122238399201</v>
      </c>
      <c r="AG4738">
        <v>-4.8375999999999898E-2</v>
      </c>
      <c r="AH4738">
        <v>0.67691248422521799</v>
      </c>
      <c r="AI4738">
        <v>93.150315549747305</v>
      </c>
      <c r="AJ4738">
        <v>129.63317603030899</v>
      </c>
      <c r="AK4738">
        <v>0.88027299279065696</v>
      </c>
    </row>
    <row r="4739" spans="1:37" x14ac:dyDescent="0.2">
      <c r="A4739" t="str">
        <f>"20200111155950482"</f>
        <v>20200111155950482</v>
      </c>
      <c r="B4739" t="str">
        <f>"1578729590475170"</f>
        <v>1578729590475170</v>
      </c>
      <c r="C4739" t="s">
        <v>37</v>
      </c>
      <c r="D4739">
        <v>4.7109899999999998</v>
      </c>
      <c r="E4739">
        <v>0.26240770000000002</v>
      </c>
      <c r="F4739" t="s">
        <v>38</v>
      </c>
      <c r="G4739">
        <v>-416.41090000000003</v>
      </c>
      <c r="H4739">
        <v>1.0596110000000001</v>
      </c>
      <c r="I4739">
        <v>28.948540000000001</v>
      </c>
      <c r="J4739">
        <v>-417.2713</v>
      </c>
      <c r="K4739">
        <v>1.107491</v>
      </c>
      <c r="L4739">
        <v>29.263639999999999</v>
      </c>
      <c r="M4739">
        <v>0.497996099999999</v>
      </c>
      <c r="N4739">
        <v>0</v>
      </c>
      <c r="O4739">
        <v>-0.86695679999999997</v>
      </c>
      <c r="P4739">
        <v>0.56672140000000004</v>
      </c>
      <c r="Q4739">
        <v>-9.068975E-3</v>
      </c>
      <c r="R4739">
        <v>-0.82385980000000003</v>
      </c>
      <c r="S4739">
        <v>3.256866</v>
      </c>
      <c r="T4739">
        <v>-0.17137549999999999</v>
      </c>
      <c r="U4739">
        <v>-1.407837</v>
      </c>
      <c r="V4739">
        <v>-8.1101779999999998E-2</v>
      </c>
      <c r="W4739">
        <v>1.018823E-2</v>
      </c>
      <c r="X4739">
        <v>0.99665369999999998</v>
      </c>
      <c r="Y4739">
        <v>-0.59705410000000003</v>
      </c>
      <c r="Z4739">
        <v>4.981025E-2</v>
      </c>
      <c r="AA4739">
        <v>0.80065310000000001</v>
      </c>
      <c r="AB4739">
        <v>14</v>
      </c>
      <c r="AC4739">
        <v>0.86039999999996997</v>
      </c>
      <c r="AD4739">
        <v>-4.7879999999999902E-2</v>
      </c>
      <c r="AE4739">
        <v>-0.31510000000000099</v>
      </c>
      <c r="AF4739">
        <v>-0.58752046338589603</v>
      </c>
      <c r="AG4739">
        <v>-4.7879999999999902E-2</v>
      </c>
      <c r="AH4739">
        <v>0.699878273268147</v>
      </c>
      <c r="AI4739">
        <v>92.999397246581907</v>
      </c>
      <c r="AJ4739">
        <v>130.01214549103599</v>
      </c>
      <c r="AK4739">
        <v>0.91504228683158695</v>
      </c>
    </row>
    <row r="4740" spans="1:37" x14ac:dyDescent="0.2">
      <c r="A4740" t="str">
        <f>"20200111155950498"</f>
        <v>20200111155950498</v>
      </c>
      <c r="B4740" t="str">
        <f>"1578729590494690"</f>
        <v>1578729590494690</v>
      </c>
      <c r="C4740" t="s">
        <v>37</v>
      </c>
      <c r="D4740">
        <v>4.7380430000000002</v>
      </c>
      <c r="E4740">
        <v>0.26227519999999999</v>
      </c>
      <c r="F4740" t="s">
        <v>38</v>
      </c>
      <c r="G4740">
        <v>-416.44900000000001</v>
      </c>
      <c r="H4740">
        <v>1.064449</v>
      </c>
      <c r="I4740">
        <v>28.912769999999998</v>
      </c>
      <c r="J4740">
        <v>-417.22289999999998</v>
      </c>
      <c r="K4740">
        <v>1.107564</v>
      </c>
      <c r="L4740">
        <v>29.188389999999998</v>
      </c>
      <c r="M4740">
        <v>0.50109809999999999</v>
      </c>
      <c r="N4740">
        <v>0</v>
      </c>
      <c r="O4740">
        <v>-0.86514089999999999</v>
      </c>
      <c r="P4740">
        <v>0.56979119999999905</v>
      </c>
      <c r="Q4740">
        <v>-1.0766929999999999E-2</v>
      </c>
      <c r="R4740">
        <v>-0.82171890000000003</v>
      </c>
      <c r="S4740">
        <v>3.2652890000000001</v>
      </c>
      <c r="T4740">
        <v>-0.17093029999999901</v>
      </c>
      <c r="U4740">
        <v>-1.3933719999999901</v>
      </c>
      <c r="V4740">
        <v>-8.1243380000000004E-2</v>
      </c>
      <c r="W4740">
        <v>9.6389400000000004E-3</v>
      </c>
      <c r="X4740">
        <v>0.99664769999999903</v>
      </c>
      <c r="Y4740">
        <v>-0.59792849999999997</v>
      </c>
      <c r="Z4740">
        <v>4.9630689999999998E-2</v>
      </c>
      <c r="AA4740">
        <v>0.80001140000000004</v>
      </c>
      <c r="AB4740">
        <v>14</v>
      </c>
      <c r="AC4740">
        <v>0.77389999999996895</v>
      </c>
      <c r="AD4740">
        <v>-4.3115000000000001E-2</v>
      </c>
      <c r="AE4740">
        <v>-0.27561999999999998</v>
      </c>
      <c r="AF4740">
        <v>-0.53007465410537802</v>
      </c>
      <c r="AG4740">
        <v>-4.3115000000000001E-2</v>
      </c>
      <c r="AH4740">
        <v>0.62466467263408498</v>
      </c>
      <c r="AI4740">
        <v>93.012516359755793</v>
      </c>
      <c r="AJ4740">
        <v>130.31709414686699</v>
      </c>
      <c r="AK4740">
        <v>0.82039258613604304</v>
      </c>
    </row>
    <row r="4741" spans="1:37" x14ac:dyDescent="0.2">
      <c r="A4741" t="str">
        <f>"20200111155950511"</f>
        <v>20200111155950511</v>
      </c>
      <c r="B4741" t="str">
        <f>"1578729590505426"</f>
        <v>1578729590505426</v>
      </c>
      <c r="C4741" t="s">
        <v>37</v>
      </c>
      <c r="D4741">
        <v>4.625159</v>
      </c>
      <c r="E4741">
        <v>0.26231379999999999</v>
      </c>
      <c r="F4741" t="s">
        <v>38</v>
      </c>
      <c r="G4741">
        <v>-416.35059999999999</v>
      </c>
      <c r="H4741">
        <v>1.064149</v>
      </c>
      <c r="I4741">
        <v>28.8201</v>
      </c>
      <c r="J4741">
        <v>-417.18220000000002</v>
      </c>
      <c r="K4741">
        <v>1.1077090000000001</v>
      </c>
      <c r="L4741">
        <v>29.125789999999999</v>
      </c>
      <c r="M4741">
        <v>0.50397519999999996</v>
      </c>
      <c r="N4741">
        <v>0</v>
      </c>
      <c r="O4741">
        <v>-0.86344730000000003</v>
      </c>
      <c r="P4741">
        <v>0.57269749999999997</v>
      </c>
      <c r="Q4741">
        <v>-1.2119980000000001E-2</v>
      </c>
      <c r="R4741">
        <v>-0.81967760000000001</v>
      </c>
      <c r="S4741">
        <v>3.2708740000000001</v>
      </c>
      <c r="T4741">
        <v>-0.16276930000000001</v>
      </c>
      <c r="U4741">
        <v>-1.380676</v>
      </c>
      <c r="V4741">
        <v>-8.1453360000000002E-2</v>
      </c>
      <c r="W4741">
        <v>9.1182559999999999E-3</v>
      </c>
      <c r="X4741">
        <v>0.99663539999999995</v>
      </c>
      <c r="Y4741">
        <v>-0.59849640000000004</v>
      </c>
      <c r="Z4741">
        <v>4.7238580000000002E-2</v>
      </c>
      <c r="AA4741">
        <v>0.79973159999999999</v>
      </c>
      <c r="AB4741">
        <v>14</v>
      </c>
      <c r="AC4741">
        <v>0.83160000000003698</v>
      </c>
      <c r="AD4741">
        <v>-4.3560000000000001E-2</v>
      </c>
      <c r="AE4741">
        <v>-0.30569000000000202</v>
      </c>
      <c r="AF4741">
        <v>-0.56275428499896796</v>
      </c>
      <c r="AG4741">
        <v>-4.3560000000000001E-2</v>
      </c>
      <c r="AH4741">
        <v>0.68156534450577899</v>
      </c>
      <c r="AI4741">
        <v>92.821444781470404</v>
      </c>
      <c r="AJ4741">
        <v>129.545776633656</v>
      </c>
      <c r="AK4741">
        <v>0.88494134139838998</v>
      </c>
    </row>
    <row r="4742" spans="1:37" x14ac:dyDescent="0.2">
      <c r="A4742" t="str">
        <f>"20200111155950532"</f>
        <v>20200111155950532</v>
      </c>
      <c r="B4742" t="str">
        <f>"1578729590524945"</f>
        <v>1578729590524945</v>
      </c>
      <c r="C4742" t="s">
        <v>37</v>
      </c>
      <c r="D4742">
        <v>4.5428300000000004</v>
      </c>
      <c r="E4742">
        <v>0.2624879</v>
      </c>
      <c r="F4742" t="s">
        <v>38</v>
      </c>
      <c r="G4742">
        <v>-416.28840000000002</v>
      </c>
      <c r="H4742">
        <v>1.064082</v>
      </c>
      <c r="I4742">
        <v>28.752040000000001</v>
      </c>
      <c r="J4742">
        <v>-417.11399999999998</v>
      </c>
      <c r="K4742">
        <v>1.1081620000000001</v>
      </c>
      <c r="L4742">
        <v>29.022770000000001</v>
      </c>
      <c r="M4742">
        <v>0.50972280000000003</v>
      </c>
      <c r="N4742">
        <v>0</v>
      </c>
      <c r="O4742">
        <v>-0.86004480000000005</v>
      </c>
      <c r="P4742">
        <v>0.57862069999999999</v>
      </c>
      <c r="Q4742">
        <v>-1.4105960000000001E-2</v>
      </c>
      <c r="R4742">
        <v>-0.815474699999999</v>
      </c>
      <c r="S4742">
        <v>3.2752379999999999</v>
      </c>
      <c r="T4742">
        <v>-0.15984429999999999</v>
      </c>
      <c r="U4742">
        <v>-1.369232</v>
      </c>
      <c r="V4742">
        <v>-8.2036360000000003E-2</v>
      </c>
      <c r="W4742">
        <v>7.8823399999999998E-3</v>
      </c>
      <c r="X4742">
        <v>0.99659819999999999</v>
      </c>
      <c r="Y4742">
        <v>-0.59594590000000003</v>
      </c>
      <c r="Z4742">
        <v>4.6289690000000001E-2</v>
      </c>
      <c r="AA4742">
        <v>0.80168930000000005</v>
      </c>
      <c r="AB4742">
        <v>13</v>
      </c>
      <c r="AC4742">
        <v>0.82560000000000799</v>
      </c>
      <c r="AD4742">
        <v>-4.4080000000000098E-2</v>
      </c>
      <c r="AE4742">
        <v>-0.27073000000000003</v>
      </c>
      <c r="AF4742">
        <v>-0.57073141343838296</v>
      </c>
      <c r="AG4742">
        <v>-4.4080000000000098E-2</v>
      </c>
      <c r="AH4742">
        <v>0.65215382079902995</v>
      </c>
      <c r="AI4742">
        <v>92.911782146826297</v>
      </c>
      <c r="AJ4742">
        <v>131.19074251701599</v>
      </c>
      <c r="AK4742">
        <v>0.86774535358487903</v>
      </c>
    </row>
    <row r="4743" spans="1:37" x14ac:dyDescent="0.2">
      <c r="A4743" t="str">
        <f>"20200111155950543"</f>
        <v>20200111155950543</v>
      </c>
      <c r="B4743" t="str">
        <f>"1578729590534706"</f>
        <v>1578729590534706</v>
      </c>
      <c r="C4743" t="s">
        <v>37</v>
      </c>
      <c r="D4743">
        <v>4.5210710000000001</v>
      </c>
      <c r="E4743">
        <v>0.26262579999999902</v>
      </c>
      <c r="F4743" t="s">
        <v>38</v>
      </c>
      <c r="G4743">
        <v>-416.22570000000002</v>
      </c>
      <c r="H4743">
        <v>1.066157</v>
      </c>
      <c r="I4743">
        <v>28.658459999999899</v>
      </c>
      <c r="J4743">
        <v>-417.07510000000002</v>
      </c>
      <c r="K4743">
        <v>1.1085020000000001</v>
      </c>
      <c r="L4743">
        <v>28.965119999999999</v>
      </c>
      <c r="M4743">
        <v>0.51344269999999903</v>
      </c>
      <c r="N4743">
        <v>0</v>
      </c>
      <c r="O4743">
        <v>-0.85782689999999995</v>
      </c>
      <c r="P4743">
        <v>0.58254930000000005</v>
      </c>
      <c r="Q4743">
        <v>-1.505105E-2</v>
      </c>
      <c r="R4743">
        <v>-0.81265600000000004</v>
      </c>
      <c r="S4743">
        <v>3.283722</v>
      </c>
      <c r="T4743">
        <v>-0.15525349999999999</v>
      </c>
      <c r="U4743">
        <v>-1.346222</v>
      </c>
      <c r="V4743">
        <v>-8.2540649999999993E-2</v>
      </c>
      <c r="W4743">
        <v>6.9243999999999998E-3</v>
      </c>
      <c r="X4743">
        <v>0.99656359999999999</v>
      </c>
      <c r="Y4743">
        <v>-0.59806409999999999</v>
      </c>
      <c r="Z4743">
        <v>4.4964219999999999E-2</v>
      </c>
      <c r="AA4743">
        <v>0.80018599999999995</v>
      </c>
      <c r="AB4743">
        <v>13</v>
      </c>
      <c r="AC4743">
        <v>0.84940000000000204</v>
      </c>
      <c r="AD4743">
        <v>-4.2345000000000001E-2</v>
      </c>
      <c r="AE4743">
        <v>-0.30666000000000398</v>
      </c>
      <c r="AF4743">
        <v>-0.57007798527045594</v>
      </c>
      <c r="AG4743">
        <v>-4.2345000000000001E-2</v>
      </c>
      <c r="AH4743">
        <v>0.69782333095955595</v>
      </c>
      <c r="AI4743">
        <v>92.690554048653496</v>
      </c>
      <c r="AJ4743">
        <v>129.246671829794</v>
      </c>
      <c r="AK4743">
        <v>0.90207505760136797</v>
      </c>
    </row>
    <row r="4744" spans="1:37" x14ac:dyDescent="0.2">
      <c r="A4744" t="str">
        <f>"20200111155950556"</f>
        <v>20200111155950556</v>
      </c>
      <c r="B4744" t="str">
        <f>"1578729590545443"</f>
        <v>1578729590545443</v>
      </c>
      <c r="C4744" t="s">
        <v>37</v>
      </c>
      <c r="D4744">
        <v>4.5155070000000004</v>
      </c>
      <c r="E4744">
        <v>0.26267849999999998</v>
      </c>
      <c r="F4744" t="s">
        <v>39</v>
      </c>
      <c r="G4744">
        <v>-393.18049999999999</v>
      </c>
      <c r="H4744" s="1">
        <v>-3.260815E-6</v>
      </c>
      <c r="I4744">
        <v>19.29644</v>
      </c>
      <c r="J4744">
        <v>-417.0335</v>
      </c>
      <c r="K4744">
        <v>1.108865</v>
      </c>
      <c r="L4744">
        <v>28.90558</v>
      </c>
      <c r="M4744">
        <v>0.51753110000000002</v>
      </c>
      <c r="N4744">
        <v>0</v>
      </c>
      <c r="O4744">
        <v>-0.85537730000000001</v>
      </c>
      <c r="P4744">
        <v>0.58673359999999997</v>
      </c>
      <c r="Q4744">
        <v>-1.5400830000000001E-2</v>
      </c>
      <c r="R4744">
        <v>-0.80963399999999996</v>
      </c>
      <c r="S4744">
        <v>3.2891849999999998</v>
      </c>
      <c r="T4744">
        <v>-0.15259020000000001</v>
      </c>
      <c r="U4744">
        <v>-1.3309329999999999</v>
      </c>
      <c r="V4744">
        <v>-8.2937430000000006E-2</v>
      </c>
      <c r="W4744">
        <v>6.0575280000000004E-3</v>
      </c>
      <c r="X4744">
        <v>0.99653639999999999</v>
      </c>
      <c r="Y4744">
        <v>-0.59793969999999996</v>
      </c>
      <c r="Z4744">
        <v>4.4153560000000001E-2</v>
      </c>
      <c r="AA4744">
        <v>0.80032399999999904</v>
      </c>
      <c r="AB4744">
        <v>13</v>
      </c>
      <c r="AC4744">
        <v>23.853000000000002</v>
      </c>
      <c r="AD4744">
        <v>-1.108868260815</v>
      </c>
      <c r="AE4744">
        <v>-9.60914</v>
      </c>
      <c r="AF4744">
        <v>-15.4054332325281</v>
      </c>
      <c r="AG4744">
        <v>-1.108868260815</v>
      </c>
      <c r="AH4744">
        <v>20.530988080295401</v>
      </c>
      <c r="AI4744">
        <v>92.473658477371302</v>
      </c>
      <c r="AJ4744">
        <v>126.88274104003401</v>
      </c>
      <c r="AK4744">
        <v>25.6919916210277</v>
      </c>
    </row>
    <row r="4745" spans="1:37" x14ac:dyDescent="0.2">
      <c r="A4745" t="str">
        <f>"20200111155950570"</f>
        <v>20200111155950570</v>
      </c>
      <c r="B4745" t="str">
        <f>"1578729590564962"</f>
        <v>1578729590564962</v>
      </c>
      <c r="C4745" t="s">
        <v>37</v>
      </c>
      <c r="D4745">
        <v>4.5288409999999999</v>
      </c>
      <c r="E4745">
        <v>0.26277020000000001</v>
      </c>
      <c r="F4745" t="s">
        <v>38</v>
      </c>
      <c r="G4745">
        <v>-416.11810000000003</v>
      </c>
      <c r="H4745">
        <v>1.0677379999999901</v>
      </c>
      <c r="I4745">
        <v>28.54053</v>
      </c>
      <c r="J4745">
        <v>-416.98910000000001</v>
      </c>
      <c r="K4745">
        <v>1.109199</v>
      </c>
      <c r="L4745">
        <v>28.8432</v>
      </c>
      <c r="M4745">
        <v>0.52182320000000004</v>
      </c>
      <c r="N4745">
        <v>0</v>
      </c>
      <c r="O4745">
        <v>-0.85277829999999999</v>
      </c>
      <c r="P4745">
        <v>0.59131990000000001</v>
      </c>
      <c r="Q4745">
        <v>-1.569603E-2</v>
      </c>
      <c r="R4745">
        <v>-0.80628469999999997</v>
      </c>
      <c r="S4745">
        <v>3.2956239999999899</v>
      </c>
      <c r="T4745">
        <v>-0.1480745</v>
      </c>
      <c r="U4745">
        <v>-1.3142399999999901</v>
      </c>
      <c r="V4745">
        <v>-8.3596920000000005E-2</v>
      </c>
      <c r="W4745">
        <v>5.1467830000000003E-3</v>
      </c>
      <c r="X4745">
        <v>0.99648639999999999</v>
      </c>
      <c r="Y4745">
        <v>-0.59801470000000001</v>
      </c>
      <c r="Z4745">
        <v>4.2803340000000002E-2</v>
      </c>
      <c r="AA4745">
        <v>0.80034139999999998</v>
      </c>
      <c r="AB4745">
        <v>13</v>
      </c>
      <c r="AC4745">
        <v>0.87099999999998001</v>
      </c>
      <c r="AD4745">
        <v>-4.1461000000000102E-2</v>
      </c>
      <c r="AE4745">
        <v>-0.302669999999999</v>
      </c>
      <c r="AF4745">
        <v>-0.58378678698735798</v>
      </c>
      <c r="AG4745">
        <v>-4.1461000000000102E-2</v>
      </c>
      <c r="AH4745">
        <v>0.711347654486578</v>
      </c>
      <c r="AI4745">
        <v>92.579720190721801</v>
      </c>
      <c r="AJ4745">
        <v>129.37494484567699</v>
      </c>
      <c r="AK4745">
        <v>0.92116313035508501</v>
      </c>
    </row>
    <row r="4746" spans="1:37" x14ac:dyDescent="0.2">
      <c r="A4746" t="str">
        <f>"20200111155950583"</f>
        <v>20200111155950583</v>
      </c>
      <c r="B4746" t="str">
        <f>"1578729590575232"</f>
        <v>1578729590575232</v>
      </c>
      <c r="C4746" t="s">
        <v>37</v>
      </c>
      <c r="D4746">
        <v>4.5230870000000003</v>
      </c>
      <c r="E4746">
        <v>0.26293649999999902</v>
      </c>
      <c r="F4746" t="s">
        <v>38</v>
      </c>
      <c r="G4746">
        <v>-416.08</v>
      </c>
      <c r="H4746">
        <v>1.069833</v>
      </c>
      <c r="I4746">
        <v>28.486359999999902</v>
      </c>
      <c r="J4746">
        <v>-416.94199999999898</v>
      </c>
      <c r="K4746">
        <v>1.1094469999999901</v>
      </c>
      <c r="L4746">
        <v>28.77844</v>
      </c>
      <c r="M4746">
        <v>0.52627239999999997</v>
      </c>
      <c r="N4746">
        <v>0</v>
      </c>
      <c r="O4746">
        <v>-0.85005439999999999</v>
      </c>
      <c r="P4746">
        <v>0.59625019999999995</v>
      </c>
      <c r="Q4746">
        <v>-1.607418E-2</v>
      </c>
      <c r="R4746">
        <v>-0.80263809999999902</v>
      </c>
      <c r="S4746">
        <v>3.302521</v>
      </c>
      <c r="T4746">
        <v>-0.142988</v>
      </c>
      <c r="U4746">
        <v>-1.2959590000000001</v>
      </c>
      <c r="V4746">
        <v>-8.4503919999999996E-2</v>
      </c>
      <c r="W4746">
        <v>4.0767720000000002E-3</v>
      </c>
      <c r="X4746">
        <v>0.99641480000000004</v>
      </c>
      <c r="Y4746">
        <v>-0.59830709999999998</v>
      </c>
      <c r="Z4746">
        <v>4.1292019999999999E-2</v>
      </c>
      <c r="AA4746">
        <v>0.80020219999999997</v>
      </c>
      <c r="AB4746">
        <v>13</v>
      </c>
      <c r="AC4746">
        <v>0.86199999999996602</v>
      </c>
      <c r="AD4746">
        <v>-3.9613999999999802E-2</v>
      </c>
      <c r="AE4746">
        <v>-0.292080000000005</v>
      </c>
      <c r="AF4746">
        <v>-0.57806697911322902</v>
      </c>
      <c r="AG4746">
        <v>-3.9613999999999802E-2</v>
      </c>
      <c r="AH4746">
        <v>0.70075933975503102</v>
      </c>
      <c r="AI4746">
        <v>92.496951215362103</v>
      </c>
      <c r="AJ4746">
        <v>129.51973763373999</v>
      </c>
      <c r="AK4746">
        <v>0.90928232886766402</v>
      </c>
    </row>
    <row r="4747" spans="1:37" x14ac:dyDescent="0.2">
      <c r="A4747" t="str">
        <f>"20200111155950595"</f>
        <v>20200111155950595</v>
      </c>
      <c r="B4747" t="str">
        <f>"1578729590584992"</f>
        <v>1578729590584992</v>
      </c>
      <c r="C4747" t="s">
        <v>37</v>
      </c>
      <c r="D4747">
        <v>4.5733829999999998</v>
      </c>
      <c r="E4747">
        <v>0.26330629999999999</v>
      </c>
      <c r="F4747" t="s">
        <v>39</v>
      </c>
      <c r="G4747">
        <v>-390.96460000000002</v>
      </c>
      <c r="H4747" s="1">
        <v>-4.4038619999999997E-6</v>
      </c>
      <c r="I4747">
        <v>18.75779</v>
      </c>
      <c r="J4747">
        <v>-416.89940000000001</v>
      </c>
      <c r="K4747">
        <v>1.10949599999999</v>
      </c>
      <c r="L4747">
        <v>28.72137</v>
      </c>
      <c r="M4747">
        <v>0.53017689999999995</v>
      </c>
      <c r="N4747">
        <v>0</v>
      </c>
      <c r="O4747">
        <v>-0.84763539999999904</v>
      </c>
      <c r="P4747">
        <v>0.60080859999999903</v>
      </c>
      <c r="Q4747">
        <v>-1.7068690000000001E-2</v>
      </c>
      <c r="R4747">
        <v>-0.79921109999999995</v>
      </c>
      <c r="S4747">
        <v>3.3092349999999899</v>
      </c>
      <c r="T4747">
        <v>-0.14133180000000001</v>
      </c>
      <c r="U4747">
        <v>-1.2765200000000001</v>
      </c>
      <c r="V4747">
        <v>-8.5594710000000004E-2</v>
      </c>
      <c r="W4747">
        <v>2.6057369999999999E-3</v>
      </c>
      <c r="X4747">
        <v>0.99632659999999995</v>
      </c>
      <c r="Y4747">
        <v>-0.59928429999999999</v>
      </c>
      <c r="Z4747">
        <v>4.0792740000000001E-2</v>
      </c>
      <c r="AA4747">
        <v>0.79949619999999999</v>
      </c>
      <c r="AB4747">
        <v>13</v>
      </c>
      <c r="AC4747">
        <v>25.934799999999999</v>
      </c>
      <c r="AD4747">
        <v>-1.10950040386199</v>
      </c>
      <c r="AE4747">
        <v>-9.9635800000000003</v>
      </c>
      <c r="AF4747">
        <v>-16.677761337169599</v>
      </c>
      <c r="AG4747">
        <v>-1.10950040386199</v>
      </c>
      <c r="AH4747">
        <v>22.164903539914601</v>
      </c>
      <c r="AI4747">
        <v>92.290519032444493</v>
      </c>
      <c r="AJ4747">
        <v>126.959268169072</v>
      </c>
      <c r="AK4747">
        <v>27.760793635980299</v>
      </c>
    </row>
    <row r="4748" spans="1:37" x14ac:dyDescent="0.2">
      <c r="A4748" t="str">
        <f>"20200111155950610"</f>
        <v>20200111155950610</v>
      </c>
      <c r="B4748" t="str">
        <f>"1578729590605488"</f>
        <v>1578729590605488</v>
      </c>
      <c r="C4748" t="s">
        <v>37</v>
      </c>
      <c r="D4748">
        <v>4.9524489999999997</v>
      </c>
      <c r="E4748">
        <v>0.26381700000000002</v>
      </c>
      <c r="F4748" t="s">
        <v>38</v>
      </c>
      <c r="G4748">
        <v>-415.99959999999999</v>
      </c>
      <c r="H4748">
        <v>1.0709580000000001</v>
      </c>
      <c r="I4748">
        <v>28.379549999999998</v>
      </c>
      <c r="J4748">
        <v>-416.84789999999998</v>
      </c>
      <c r="K4748">
        <v>1.1094299999999999</v>
      </c>
      <c r="L4748">
        <v>28.653409999999901</v>
      </c>
      <c r="M4748">
        <v>0.53488000000000002</v>
      </c>
      <c r="N4748">
        <v>0</v>
      </c>
      <c r="O4748">
        <v>-0.84468639999999995</v>
      </c>
      <c r="P4748">
        <v>0.60680500000000004</v>
      </c>
      <c r="Q4748">
        <v>-1.9311490000000001E-2</v>
      </c>
      <c r="R4748">
        <v>-0.79461599999999999</v>
      </c>
      <c r="S4748">
        <v>3.3139339999999899</v>
      </c>
      <c r="T4748">
        <v>-0.1419628</v>
      </c>
      <c r="U4748">
        <v>-1.2593989999999999</v>
      </c>
      <c r="V4748">
        <v>-8.7557410000000002E-2</v>
      </c>
      <c r="W4748">
        <v>-1.3147620000000001E-4</v>
      </c>
      <c r="X4748">
        <v>0.99615949999999998</v>
      </c>
      <c r="Y4748">
        <v>-0.59881819999999997</v>
      </c>
      <c r="Z4748">
        <v>4.0932089999999997E-2</v>
      </c>
      <c r="AA4748">
        <v>0.7998383</v>
      </c>
      <c r="AB4748">
        <v>13</v>
      </c>
      <c r="AC4748">
        <v>0.84829999999999395</v>
      </c>
      <c r="AD4748">
        <v>-3.8471999999999798E-2</v>
      </c>
      <c r="AE4748">
        <v>-0.27385999999999899</v>
      </c>
      <c r="AF4748">
        <v>-0.56912156087369403</v>
      </c>
      <c r="AG4748">
        <v>-3.8471999999999798E-2</v>
      </c>
      <c r="AH4748">
        <v>0.68393047836842602</v>
      </c>
      <c r="AI4748">
        <v>92.475868316771695</v>
      </c>
      <c r="AJ4748">
        <v>129.76498095556701</v>
      </c>
      <c r="AK4748">
        <v>0.890584271743317</v>
      </c>
    </row>
    <row r="4749" spans="1:37" x14ac:dyDescent="0.2">
      <c r="A4749" t="str">
        <f>"20200111155950647"</f>
        <v>20200111155950647</v>
      </c>
      <c r="B4749" t="str">
        <f>"1578729590645504"</f>
        <v>1578729590645504</v>
      </c>
      <c r="C4749" t="s">
        <v>37</v>
      </c>
      <c r="D4749">
        <v>5.0465289999999996</v>
      </c>
      <c r="E4749">
        <v>0.265343</v>
      </c>
      <c r="F4749" t="s">
        <v>38</v>
      </c>
      <c r="G4749">
        <v>-415.93729999999999</v>
      </c>
      <c r="H4749">
        <v>1.067407</v>
      </c>
      <c r="I4749">
        <v>28.313959999999899</v>
      </c>
      <c r="J4749">
        <v>-416.71719999999999</v>
      </c>
      <c r="K4749">
        <v>1.108582</v>
      </c>
      <c r="L4749">
        <v>28.484159999999999</v>
      </c>
      <c r="M4749">
        <v>0.54736379999999996</v>
      </c>
      <c r="N4749">
        <v>0</v>
      </c>
      <c r="O4749">
        <v>-0.83667369999999996</v>
      </c>
      <c r="P4749">
        <v>0.62077910000000003</v>
      </c>
      <c r="Q4749">
        <v>-1.8898950000000001E-2</v>
      </c>
      <c r="R4749">
        <v>-0.78375790000000001</v>
      </c>
      <c r="S4749">
        <v>3.3200989999999999</v>
      </c>
      <c r="T4749">
        <v>-0.15314339999999901</v>
      </c>
      <c r="U4749">
        <v>-1.2363280000000001</v>
      </c>
      <c r="V4749">
        <v>-9.0404230000000002E-2</v>
      </c>
      <c r="W4749">
        <v>-5.7910280000000001E-4</v>
      </c>
      <c r="X4749">
        <v>0.99590499999999904</v>
      </c>
      <c r="Y4749">
        <v>-0.59214690000000003</v>
      </c>
      <c r="Z4749">
        <v>4.3904749999999999E-2</v>
      </c>
      <c r="AA4749">
        <v>0.80463309999999999</v>
      </c>
      <c r="AB4749">
        <v>13</v>
      </c>
      <c r="AC4749">
        <v>0.77989999999999704</v>
      </c>
      <c r="AD4749">
        <v>-4.1174999999999899E-2</v>
      </c>
      <c r="AE4749">
        <v>-0.17020000000000099</v>
      </c>
      <c r="AF4749">
        <v>-0.55797943498067104</v>
      </c>
      <c r="AG4749">
        <v>-4.1174999999999899E-2</v>
      </c>
      <c r="AH4749">
        <v>0.56788530826635397</v>
      </c>
      <c r="AI4749">
        <v>92.960611629246799</v>
      </c>
      <c r="AJ4749">
        <v>134.49589851699</v>
      </c>
      <c r="AK4749">
        <v>0.79720145122241304</v>
      </c>
    </row>
    <row r="4750" spans="1:37" x14ac:dyDescent="0.2">
      <c r="A4750" t="str">
        <f>"20200111155950662"</f>
        <v>20200111155950662</v>
      </c>
      <c r="B4750" t="str">
        <f>"1578729590655265"</f>
        <v>1578729590655265</v>
      </c>
      <c r="C4750" t="s">
        <v>37</v>
      </c>
      <c r="D4750">
        <v>5.6848939999999999</v>
      </c>
      <c r="E4750">
        <v>0.265343</v>
      </c>
      <c r="F4750" t="s">
        <v>38</v>
      </c>
      <c r="G4750">
        <v>-415.78559999999999</v>
      </c>
      <c r="H4750">
        <v>1.0618879999999999</v>
      </c>
      <c r="I4750">
        <v>28.152659999999901</v>
      </c>
      <c r="J4750">
        <v>-416.666</v>
      </c>
      <c r="K4750">
        <v>1.1081589999999999</v>
      </c>
      <c r="L4750">
        <v>28.418520000000001</v>
      </c>
      <c r="M4750">
        <v>0.55251309999999998</v>
      </c>
      <c r="N4750">
        <v>0</v>
      </c>
      <c r="O4750">
        <v>-0.83329120000000001</v>
      </c>
      <c r="P4750">
        <v>0.62625920000000002</v>
      </c>
      <c r="Q4750">
        <v>-1.7948860000000001E-2</v>
      </c>
      <c r="R4750">
        <v>-0.7794084</v>
      </c>
      <c r="S4750">
        <v>3.3318180000000002</v>
      </c>
      <c r="T4750">
        <v>-0.16694489999999901</v>
      </c>
      <c r="U4750">
        <v>-1.1847529999999999</v>
      </c>
      <c r="V4750">
        <v>-9.1242859999999995E-2</v>
      </c>
      <c r="W4750" s="1">
        <v>5.4785399999999999E-5</v>
      </c>
      <c r="X4750">
        <v>0.99582870000000001</v>
      </c>
      <c r="Y4750">
        <v>-0.59888859999999999</v>
      </c>
      <c r="Z4750">
        <v>4.7986729999999998E-2</v>
      </c>
      <c r="AA4750">
        <v>0.79939329999999997</v>
      </c>
      <c r="AB4750">
        <v>13</v>
      </c>
      <c r="AC4750">
        <v>0.88040000000000795</v>
      </c>
      <c r="AD4750">
        <v>-4.6271000000000097E-2</v>
      </c>
      <c r="AE4750">
        <v>-0.26586000000000298</v>
      </c>
      <c r="AF4750">
        <v>-0.58536085722853004</v>
      </c>
      <c r="AG4750">
        <v>-4.6271000000000097E-2</v>
      </c>
      <c r="AH4750">
        <v>0.70630911075598102</v>
      </c>
      <c r="AI4750">
        <v>92.8875626613208</v>
      </c>
      <c r="AJ4750">
        <v>129.65058632313699</v>
      </c>
      <c r="AK4750">
        <v>0.91851015157875304</v>
      </c>
    </row>
    <row r="4751" spans="1:37" x14ac:dyDescent="0.2">
      <c r="A4751" t="str">
        <f>"20200111155950677"</f>
        <v>20200111155950677</v>
      </c>
      <c r="B4751" t="str">
        <f>"1578729590675759"</f>
        <v>1578729590675759</v>
      </c>
      <c r="C4751" t="s">
        <v>37</v>
      </c>
      <c r="D4751">
        <v>5.0410149999999998</v>
      </c>
      <c r="E4751">
        <v>0.26627259999999903</v>
      </c>
      <c r="F4751" t="s">
        <v>38</v>
      </c>
      <c r="G4751">
        <v>-415.81439999999998</v>
      </c>
      <c r="H4751">
        <v>1.066001</v>
      </c>
      <c r="I4751">
        <v>28.12218</v>
      </c>
      <c r="J4751">
        <v>-416.61079999999998</v>
      </c>
      <c r="K4751">
        <v>1.107815</v>
      </c>
      <c r="L4751">
        <v>28.348420000000001</v>
      </c>
      <c r="M4751">
        <v>0.55798389999999998</v>
      </c>
      <c r="N4751">
        <v>0</v>
      </c>
      <c r="O4751">
        <v>-0.82964709999999997</v>
      </c>
      <c r="P4751">
        <v>0.63282559999999999</v>
      </c>
      <c r="Q4751">
        <v>-1.6034860000000001E-2</v>
      </c>
      <c r="R4751">
        <v>-0.77412840000000005</v>
      </c>
      <c r="S4751">
        <v>3.3401179999999999</v>
      </c>
      <c r="T4751">
        <v>-0.16531009999999999</v>
      </c>
      <c r="U4751">
        <v>-1.161438</v>
      </c>
      <c r="V4751">
        <v>-9.3101600000000007E-2</v>
      </c>
      <c r="W4751">
        <v>1.6105799999999999E-3</v>
      </c>
      <c r="X4751">
        <v>0.99565530000000002</v>
      </c>
      <c r="Y4751">
        <v>-0.59924849999999996</v>
      </c>
      <c r="Z4751">
        <v>4.7437409999999999E-2</v>
      </c>
      <c r="AA4751">
        <v>0.79915639999999999</v>
      </c>
      <c r="AB4751">
        <v>13</v>
      </c>
      <c r="AC4751">
        <v>0.79640000000000499</v>
      </c>
      <c r="AD4751">
        <v>-4.1813999999999997E-2</v>
      </c>
      <c r="AE4751">
        <v>-0.22624</v>
      </c>
      <c r="AF4751">
        <v>-0.53322332463752498</v>
      </c>
      <c r="AG4751">
        <v>-4.1813999999999997E-2</v>
      </c>
      <c r="AH4751">
        <v>0.63057663818291998</v>
      </c>
      <c r="AI4751">
        <v>92.898651896858894</v>
      </c>
      <c r="AJ4751">
        <v>130.21826952094901</v>
      </c>
      <c r="AK4751">
        <v>0.82686300023375603</v>
      </c>
    </row>
    <row r="4752" spans="1:37" x14ac:dyDescent="0.2">
      <c r="A4752" t="str">
        <f>"20200111155950691"</f>
        <v>20200111155950691</v>
      </c>
      <c r="B4752" t="str">
        <f>"1578729590685520"</f>
        <v>1578729590685520</v>
      </c>
      <c r="C4752" t="s">
        <v>37</v>
      </c>
      <c r="D4752">
        <v>5.011088</v>
      </c>
      <c r="E4752">
        <v>0.26724589999999998</v>
      </c>
      <c r="F4752" t="s">
        <v>38</v>
      </c>
      <c r="G4752">
        <v>-415.7319</v>
      </c>
      <c r="H4752">
        <v>1.0649409999999999</v>
      </c>
      <c r="I4752">
        <v>28.049329999999902</v>
      </c>
      <c r="J4752">
        <v>-416.56290000000001</v>
      </c>
      <c r="K4752">
        <v>1.107615</v>
      </c>
      <c r="L4752">
        <v>28.2879</v>
      </c>
      <c r="M4752">
        <v>0.56262190000000001</v>
      </c>
      <c r="N4752">
        <v>0</v>
      </c>
      <c r="O4752">
        <v>-0.82651609999999998</v>
      </c>
      <c r="P4752">
        <v>0.63788290000000003</v>
      </c>
      <c r="Q4752">
        <v>-1.544882E-2</v>
      </c>
      <c r="R4752">
        <v>-0.7699783</v>
      </c>
      <c r="S4752">
        <v>3.3443909999999999</v>
      </c>
      <c r="T4752">
        <v>-0.16315279999999999</v>
      </c>
      <c r="U4752">
        <v>-1.138031</v>
      </c>
      <c r="V4752">
        <v>-9.4045340000000005E-2</v>
      </c>
      <c r="W4752">
        <v>1.8957289999999901E-3</v>
      </c>
      <c r="X4752">
        <v>0.99556610000000001</v>
      </c>
      <c r="Y4752">
        <v>-0.6001204</v>
      </c>
      <c r="Z4752">
        <v>4.680894E-2</v>
      </c>
      <c r="AA4752">
        <v>0.798539</v>
      </c>
      <c r="AB4752">
        <v>13</v>
      </c>
      <c r="AC4752">
        <v>0.83100000000001695</v>
      </c>
      <c r="AD4752">
        <v>-4.2674000000000101E-2</v>
      </c>
      <c r="AE4752">
        <v>-0.238570000000002</v>
      </c>
      <c r="AF4752">
        <v>-0.551357482258927</v>
      </c>
      <c r="AG4752">
        <v>-4.2674000000000101E-2</v>
      </c>
      <c r="AH4752">
        <v>0.66321391569335597</v>
      </c>
      <c r="AI4752">
        <v>92.832630440261099</v>
      </c>
      <c r="AJ4752">
        <v>129.738165211834</v>
      </c>
      <c r="AK4752">
        <v>0.86352118763132701</v>
      </c>
    </row>
    <row r="4753" spans="1:37" x14ac:dyDescent="0.2">
      <c r="A4753" t="str">
        <f>"20200111155950703"</f>
        <v>20200111155950703</v>
      </c>
      <c r="B4753" t="str">
        <f>"1578729590695282"</f>
        <v>1578729590695282</v>
      </c>
      <c r="C4753" t="s">
        <v>37</v>
      </c>
      <c r="D4753">
        <v>5.0082399999999998</v>
      </c>
      <c r="E4753">
        <v>0.268159599999999</v>
      </c>
      <c r="F4753" t="s">
        <v>38</v>
      </c>
      <c r="G4753">
        <v>-415.6454</v>
      </c>
      <c r="H4753">
        <v>1.0624990000000001</v>
      </c>
      <c r="I4753">
        <v>27.980329999999999</v>
      </c>
      <c r="J4753">
        <v>-416.51580000000001</v>
      </c>
      <c r="K4753">
        <v>1.107515</v>
      </c>
      <c r="L4753">
        <v>28.228819999999999</v>
      </c>
      <c r="M4753">
        <v>0.56705760000000005</v>
      </c>
      <c r="N4753">
        <v>0</v>
      </c>
      <c r="O4753">
        <v>-0.82348589999999999</v>
      </c>
      <c r="P4753">
        <v>0.64256769999999996</v>
      </c>
      <c r="Q4753">
        <v>-1.4684880000000001E-2</v>
      </c>
      <c r="R4753">
        <v>-0.76608809999999905</v>
      </c>
      <c r="S4753">
        <v>3.3458860000000001</v>
      </c>
      <c r="T4753">
        <v>-0.1644921</v>
      </c>
      <c r="U4753">
        <v>-1.1210629999999999</v>
      </c>
      <c r="V4753">
        <v>-9.4763470000000002E-2</v>
      </c>
      <c r="W4753">
        <v>2.3701809999999999E-3</v>
      </c>
      <c r="X4753">
        <v>0.99549699999999997</v>
      </c>
      <c r="Y4753">
        <v>-0.59954949999999996</v>
      </c>
      <c r="Z4753">
        <v>4.7163389999999999E-2</v>
      </c>
      <c r="AA4753">
        <v>0.79894670000000001</v>
      </c>
      <c r="AB4753">
        <v>13</v>
      </c>
      <c r="AC4753">
        <v>0.87040000000001705</v>
      </c>
      <c r="AD4753">
        <v>-4.5015999999999903E-2</v>
      </c>
      <c r="AE4753">
        <v>-0.24849000000000299</v>
      </c>
      <c r="AF4753">
        <v>-0.57452423686901699</v>
      </c>
      <c r="AG4753">
        <v>-4.5015999999999903E-2</v>
      </c>
      <c r="AH4753">
        <v>0.69658269220651803</v>
      </c>
      <c r="AI4753">
        <v>92.8541047647509</v>
      </c>
      <c r="AJ4753">
        <v>129.51497182226501</v>
      </c>
      <c r="AK4753">
        <v>0.90406414932105805</v>
      </c>
    </row>
    <row r="4754" spans="1:37" x14ac:dyDescent="0.2">
      <c r="A4754" t="str">
        <f>"20200111155950714"</f>
        <v>20200111155950714</v>
      </c>
      <c r="B4754" t="str">
        <f>"1578729590705040"</f>
        <v>1578729590705040</v>
      </c>
      <c r="C4754" t="s">
        <v>37</v>
      </c>
      <c r="D4754">
        <v>5.030653</v>
      </c>
      <c r="E4754">
        <v>0.26912940000000002</v>
      </c>
      <c r="F4754" t="s">
        <v>38</v>
      </c>
      <c r="G4754">
        <v>-415.67239999999998</v>
      </c>
      <c r="H4754">
        <v>1.0660149999999999</v>
      </c>
      <c r="I4754">
        <v>27.95017</v>
      </c>
      <c r="J4754">
        <v>-416.47469999999998</v>
      </c>
      <c r="K4754">
        <v>1.10754</v>
      </c>
      <c r="L4754">
        <v>28.178129999999999</v>
      </c>
      <c r="M4754">
        <v>0.57075039999999999</v>
      </c>
      <c r="N4754">
        <v>0</v>
      </c>
      <c r="O4754">
        <v>-0.82093539999999998</v>
      </c>
      <c r="P4754">
        <v>0.64652799999999999</v>
      </c>
      <c r="Q4754">
        <v>-1.3661960000000001E-2</v>
      </c>
      <c r="R4754">
        <v>-0.7627678</v>
      </c>
      <c r="S4754">
        <v>3.3471980000000001</v>
      </c>
      <c r="T4754">
        <v>-0.16467950000000001</v>
      </c>
      <c r="U4754">
        <v>-1.1053469999999901</v>
      </c>
      <c r="V4754">
        <v>-9.5447270000000001E-2</v>
      </c>
      <c r="W4754">
        <v>3.156959E-3</v>
      </c>
      <c r="X4754">
        <v>0.99542949999999997</v>
      </c>
      <c r="Y4754">
        <v>-0.59942830000000002</v>
      </c>
      <c r="Z4754">
        <v>4.720282E-2</v>
      </c>
      <c r="AA4754">
        <v>0.79903539999999995</v>
      </c>
      <c r="AB4754">
        <v>13</v>
      </c>
      <c r="AC4754">
        <v>0.80230000000000201</v>
      </c>
      <c r="AD4754">
        <v>-4.1524999999999999E-2</v>
      </c>
      <c r="AE4754">
        <v>-0.227959999999999</v>
      </c>
      <c r="AF4754">
        <v>-0.52730286272218396</v>
      </c>
      <c r="AG4754">
        <v>-4.1524999999999999E-2</v>
      </c>
      <c r="AH4754">
        <v>0.643557978305349</v>
      </c>
      <c r="AI4754">
        <v>92.857271370934896</v>
      </c>
      <c r="AJ4754">
        <v>129.32967031343901</v>
      </c>
      <c r="AK4754">
        <v>0.83303031523497295</v>
      </c>
    </row>
    <row r="4755" spans="1:37" x14ac:dyDescent="0.2">
      <c r="A4755" t="str">
        <f>"20200111155950729"</f>
        <v>20200111155950729</v>
      </c>
      <c r="B4755" t="str">
        <f>"1578729590725535"</f>
        <v>1578729590725535</v>
      </c>
      <c r="C4755" t="s">
        <v>37</v>
      </c>
      <c r="D4755">
        <v>5.0279379999999998</v>
      </c>
      <c r="E4755">
        <v>0.2887981</v>
      </c>
      <c r="F4755" t="s">
        <v>38</v>
      </c>
      <c r="G4755">
        <v>-415.58199999999999</v>
      </c>
      <c r="H4755">
        <v>1.064066</v>
      </c>
      <c r="I4755">
        <v>27.886659999999999</v>
      </c>
      <c r="J4755">
        <v>-416.4271</v>
      </c>
      <c r="K4755">
        <v>1.1076059999999901</v>
      </c>
      <c r="L4755">
        <v>28.11975</v>
      </c>
      <c r="M4755">
        <v>0.57497359999999997</v>
      </c>
      <c r="N4755">
        <v>0</v>
      </c>
      <c r="O4755">
        <v>-0.81798850000000001</v>
      </c>
      <c r="P4755">
        <v>0.65091089999999996</v>
      </c>
      <c r="Q4755">
        <v>-1.2638450000000001E-2</v>
      </c>
      <c r="R4755">
        <v>-0.75904930000000004</v>
      </c>
      <c r="S4755">
        <v>3.3471069999999998</v>
      </c>
      <c r="T4755">
        <v>-0.163013299999999</v>
      </c>
      <c r="U4755">
        <v>-1.0930789999999999</v>
      </c>
      <c r="V4755">
        <v>-9.6049809999999999E-2</v>
      </c>
      <c r="W4755">
        <v>3.9146479999999997E-3</v>
      </c>
      <c r="X4755">
        <v>0.99536880000000005</v>
      </c>
      <c r="Y4755">
        <v>-0.5979698</v>
      </c>
      <c r="Z4755">
        <v>4.6679499999999999E-2</v>
      </c>
      <c r="AA4755">
        <v>0.80015819999999904</v>
      </c>
      <c r="AB4755">
        <v>13</v>
      </c>
      <c r="AC4755">
        <v>0.84510000000000196</v>
      </c>
      <c r="AD4755">
        <v>-4.3539999999999898E-2</v>
      </c>
      <c r="AE4755">
        <v>-0.23308999999999999</v>
      </c>
      <c r="AF4755">
        <v>-0.55597371285611297</v>
      </c>
      <c r="AG4755">
        <v>-4.3539999999999898E-2</v>
      </c>
      <c r="AH4755">
        <v>0.67501163560386601</v>
      </c>
      <c r="AI4755">
        <v>92.850319592394399</v>
      </c>
      <c r="AJ4755">
        <v>129.47659580806001</v>
      </c>
      <c r="AK4755">
        <v>0.87558164050396803</v>
      </c>
    </row>
    <row r="4756" spans="1:37" x14ac:dyDescent="0.2">
      <c r="A4756" t="str">
        <f>"20200111155950744"</f>
        <v>20200111155950744</v>
      </c>
      <c r="B4756" t="str">
        <f>"1578729590735295"</f>
        <v>1578729590735295</v>
      </c>
      <c r="C4756" t="s">
        <v>37</v>
      </c>
      <c r="D4756">
        <v>4.1368049999999998</v>
      </c>
      <c r="E4756">
        <v>0.28085679999999902</v>
      </c>
      <c r="F4756" t="s">
        <v>38</v>
      </c>
      <c r="G4756">
        <v>-415.52089999999998</v>
      </c>
      <c r="H4756">
        <v>1.0422039999999999</v>
      </c>
      <c r="I4756">
        <v>27.790939999999999</v>
      </c>
      <c r="J4756">
        <v>-416.36829999999998</v>
      </c>
      <c r="K4756">
        <v>1.107766</v>
      </c>
      <c r="L4756">
        <v>28.0487099999999</v>
      </c>
      <c r="M4756">
        <v>0.58007369999999903</v>
      </c>
      <c r="N4756">
        <v>0</v>
      </c>
      <c r="O4756">
        <v>-0.81438569999999999</v>
      </c>
      <c r="P4756">
        <v>0.65641389999999999</v>
      </c>
      <c r="Q4756">
        <v>-9.7709679999999997E-3</v>
      </c>
      <c r="R4756">
        <v>-0.75433799999999995</v>
      </c>
      <c r="S4756">
        <v>3.2358699999999998</v>
      </c>
      <c r="T4756">
        <v>-0.23348249999999901</v>
      </c>
      <c r="U4756">
        <v>-1.1735530000000001</v>
      </c>
      <c r="V4756">
        <v>-9.7068459999999995E-2</v>
      </c>
      <c r="W4756">
        <v>6.4690290000000003E-3</v>
      </c>
      <c r="X4756">
        <v>0.99525669999999899</v>
      </c>
      <c r="Y4756">
        <v>-0.565413099999999</v>
      </c>
      <c r="Z4756">
        <v>6.7337330000000001E-2</v>
      </c>
      <c r="AA4756">
        <v>0.82205459999999997</v>
      </c>
      <c r="AB4756">
        <v>13</v>
      </c>
      <c r="AC4756">
        <v>0.84739999999999305</v>
      </c>
      <c r="AD4756">
        <v>-6.5561999999999898E-2</v>
      </c>
      <c r="AE4756">
        <v>-0.257769999999993</v>
      </c>
      <c r="AF4756">
        <v>-0.53771726280945997</v>
      </c>
      <c r="AG4756">
        <v>-6.5561999999999898E-2</v>
      </c>
      <c r="AH4756">
        <v>0.69775759762142897</v>
      </c>
      <c r="AI4756">
        <v>94.256400360610996</v>
      </c>
      <c r="AJ4756">
        <v>127.61914785342201</v>
      </c>
      <c r="AK4756">
        <v>0.88334811688582104</v>
      </c>
    </row>
    <row r="4757" spans="1:37" x14ac:dyDescent="0.2">
      <c r="A4757" t="str">
        <f>"20200111155950755"</f>
        <v>20200111155950755</v>
      </c>
      <c r="B4757" t="str">
        <f>"1578729590745056"</f>
        <v>1578729590745056</v>
      </c>
      <c r="C4757" t="s">
        <v>37</v>
      </c>
      <c r="D4757">
        <v>4.1480920000000001</v>
      </c>
      <c r="E4757">
        <v>0.27742109999999998</v>
      </c>
      <c r="F4757" t="s">
        <v>76</v>
      </c>
      <c r="G4757">
        <v>-379.61660000000001</v>
      </c>
      <c r="H4757" s="1">
        <v>-1.1951479999999901E-6</v>
      </c>
      <c r="I4757">
        <v>15.618589999999999</v>
      </c>
      <c r="J4757">
        <v>-416.32650000000001</v>
      </c>
      <c r="K4757">
        <v>1.1078859999999999</v>
      </c>
      <c r="L4757">
        <v>27.999269999999999</v>
      </c>
      <c r="M4757">
        <v>0.58368279999999995</v>
      </c>
      <c r="N4757">
        <v>0</v>
      </c>
      <c r="O4757">
        <v>-0.81180629999999998</v>
      </c>
      <c r="P4757">
        <v>0.66004980000000002</v>
      </c>
      <c r="Q4757">
        <v>-8.6034349999999996E-3</v>
      </c>
      <c r="R4757">
        <v>-0.75117290000000003</v>
      </c>
      <c r="S4757">
        <v>3.2900699999999898</v>
      </c>
      <c r="T4757">
        <v>-9.9169019999999997E-2</v>
      </c>
      <c r="U4757">
        <v>-1.112762</v>
      </c>
      <c r="V4757">
        <v>-9.7461699999999998E-2</v>
      </c>
      <c r="W4757">
        <v>7.43174099999999E-3</v>
      </c>
      <c r="X4757">
        <v>0.99521150000000003</v>
      </c>
      <c r="Y4757">
        <v>-0.58163959999999904</v>
      </c>
      <c r="Z4757">
        <v>2.852122E-2</v>
      </c>
      <c r="AA4757">
        <v>0.81294650000000002</v>
      </c>
      <c r="AB4757">
        <v>13</v>
      </c>
      <c r="AC4757">
        <v>36.709899999999998</v>
      </c>
      <c r="AD4757">
        <v>-1.107887195148</v>
      </c>
      <c r="AE4757">
        <v>-12.38068</v>
      </c>
      <c r="AF4757">
        <v>-22.559705818492102</v>
      </c>
      <c r="AG4757">
        <v>-1.107887195148</v>
      </c>
      <c r="AH4757">
        <v>31.456411883568901</v>
      </c>
      <c r="AI4757">
        <v>91.639377850821703</v>
      </c>
      <c r="AJ4757">
        <v>125.647089179099</v>
      </c>
      <c r="AK4757">
        <v>38.725619288047703</v>
      </c>
    </row>
    <row r="4758" spans="1:37" x14ac:dyDescent="0.2">
      <c r="A4758" t="str">
        <f>"20200111155950789"</f>
        <v>20200111155950789</v>
      </c>
      <c r="B4758" t="str">
        <f>"1578729590785073"</f>
        <v>1578729590785073</v>
      </c>
      <c r="C4758" t="s">
        <v>37</v>
      </c>
      <c r="D4758">
        <v>4.9105910000000002</v>
      </c>
      <c r="E4758">
        <v>0.28028419999999998</v>
      </c>
      <c r="F4758" t="s">
        <v>39</v>
      </c>
      <c r="G4758">
        <v>-291.42020000000002</v>
      </c>
      <c r="H4758" s="1">
        <v>-4.8754809999999998E-6</v>
      </c>
      <c r="I4758">
        <v>-12.7334</v>
      </c>
      <c r="J4758">
        <v>-416.20310000000001</v>
      </c>
      <c r="K4758">
        <v>1.1081749999999999</v>
      </c>
      <c r="L4758">
        <v>27.85614</v>
      </c>
      <c r="M4758">
        <v>0.59441199999999905</v>
      </c>
      <c r="N4758">
        <v>0</v>
      </c>
      <c r="O4758">
        <v>-0.80399350000000003</v>
      </c>
      <c r="P4758">
        <v>0.67111219999999905</v>
      </c>
      <c r="Q4758">
        <v>-5.6639300000000002E-3</v>
      </c>
      <c r="R4758">
        <v>-0.74133459999999995</v>
      </c>
      <c r="S4758">
        <v>3.314667</v>
      </c>
      <c r="T4758">
        <v>-2.9400349999999999E-2</v>
      </c>
      <c r="U4758">
        <v>-1.0809329999999999</v>
      </c>
      <c r="V4758">
        <v>-9.9012749999999997E-2</v>
      </c>
      <c r="W4758">
        <v>9.8220359999999993E-3</v>
      </c>
      <c r="X4758">
        <v>0.99503770000000002</v>
      </c>
      <c r="Y4758">
        <v>-0.58012549999999996</v>
      </c>
      <c r="Z4758">
        <v>8.3833350000000004E-3</v>
      </c>
      <c r="AA4758">
        <v>0.81448409999999904</v>
      </c>
      <c r="AB4758">
        <v>13</v>
      </c>
      <c r="AC4758">
        <v>124.782899999999</v>
      </c>
      <c r="AD4758">
        <v>-1.1081798754809999</v>
      </c>
      <c r="AE4758">
        <v>-40.58954</v>
      </c>
      <c r="AF4758">
        <v>-76.202539892624898</v>
      </c>
      <c r="AG4758">
        <v>-1.1081798754809999</v>
      </c>
      <c r="AH4758">
        <v>106.812920291529</v>
      </c>
      <c r="AI4758">
        <v>90.483903340355496</v>
      </c>
      <c r="AJ4758">
        <v>125.504843491025</v>
      </c>
      <c r="AK4758">
        <v>131.21377629627199</v>
      </c>
    </row>
    <row r="4759" spans="1:37" x14ac:dyDescent="0.2">
      <c r="A4759" t="str">
        <f>"20200111155950800"</f>
        <v>20200111155950800</v>
      </c>
      <c r="B4759" t="str">
        <f>"1578729590794832"</f>
        <v>1578729590794832</v>
      </c>
      <c r="C4759" t="s">
        <v>37</v>
      </c>
      <c r="D4759">
        <v>4.8205210000000003</v>
      </c>
      <c r="E4759">
        <v>0.28212959999999998</v>
      </c>
      <c r="F4759" t="s">
        <v>41</v>
      </c>
      <c r="G4759">
        <v>-332.26690000000002</v>
      </c>
      <c r="H4759">
        <v>-0.05</v>
      </c>
      <c r="I4759">
        <v>1.35321</v>
      </c>
      <c r="J4759">
        <v>-416.15969999999999</v>
      </c>
      <c r="K4759">
        <v>1.108233</v>
      </c>
      <c r="L4759">
        <v>27.806950000000001</v>
      </c>
      <c r="M4759">
        <v>0.59824089999999996</v>
      </c>
      <c r="N4759">
        <v>0</v>
      </c>
      <c r="O4759">
        <v>-0.80115150000000002</v>
      </c>
      <c r="P4759">
        <v>0.67524569999999995</v>
      </c>
      <c r="Q4759">
        <v>-5.4122880000000003E-3</v>
      </c>
      <c r="R4759">
        <v>-0.73757349999999999</v>
      </c>
      <c r="S4759">
        <v>3.313965</v>
      </c>
      <c r="T4759">
        <v>-4.5727009999999998E-2</v>
      </c>
      <c r="U4759">
        <v>-1.046387</v>
      </c>
      <c r="V4759">
        <v>-9.9830150000000006E-2</v>
      </c>
      <c r="W4759">
        <v>9.9107229999999998E-3</v>
      </c>
      <c r="X4759">
        <v>0.99495509999999998</v>
      </c>
      <c r="Y4759">
        <v>-0.58382449999999997</v>
      </c>
      <c r="Z4759">
        <v>1.3078889999999999E-2</v>
      </c>
      <c r="AA4759">
        <v>0.81177449999999995</v>
      </c>
      <c r="AB4759">
        <v>13</v>
      </c>
      <c r="AC4759">
        <v>83.892799999999895</v>
      </c>
      <c r="AD4759">
        <v>-1.1582330000000001</v>
      </c>
      <c r="AE4759">
        <v>-26.45374</v>
      </c>
      <c r="AF4759">
        <v>-51.383011795738199</v>
      </c>
      <c r="AG4759">
        <v>-1.1582330000000001</v>
      </c>
      <c r="AH4759">
        <v>71.378610527459401</v>
      </c>
      <c r="AI4759">
        <v>90.754501202166196</v>
      </c>
      <c r="AJ4759">
        <v>125.748818348266</v>
      </c>
      <c r="AK4759">
        <v>87.957156876026801</v>
      </c>
    </row>
    <row r="4760" spans="1:37" x14ac:dyDescent="0.2">
      <c r="A4760" t="str">
        <f>"20200111155950812"</f>
        <v>20200111155950812</v>
      </c>
      <c r="B4760" t="str">
        <f>"1578729590805568"</f>
        <v>1578729590805568</v>
      </c>
      <c r="C4760" t="s">
        <v>37</v>
      </c>
      <c r="D4760">
        <v>4.8905349999999999</v>
      </c>
      <c r="E4760">
        <v>0.28392820000000002</v>
      </c>
      <c r="F4760" t="s">
        <v>39</v>
      </c>
      <c r="G4760">
        <v>-358.0487</v>
      </c>
      <c r="H4760">
        <v>7.59156E-2</v>
      </c>
      <c r="I4760">
        <v>9.5903019999999994</v>
      </c>
      <c r="J4760">
        <v>-416.11509999999998</v>
      </c>
      <c r="K4760">
        <v>1.108277</v>
      </c>
      <c r="L4760">
        <v>27.75705</v>
      </c>
      <c r="M4760">
        <v>0.60219509999999998</v>
      </c>
      <c r="N4760">
        <v>0</v>
      </c>
      <c r="O4760">
        <v>-0.79818599999999995</v>
      </c>
      <c r="P4760">
        <v>0.67965220000000004</v>
      </c>
      <c r="Q4760">
        <v>-4.886718E-3</v>
      </c>
      <c r="R4760">
        <v>-0.73351869999999997</v>
      </c>
      <c r="S4760">
        <v>3.3092649999999999</v>
      </c>
      <c r="T4760">
        <v>-5.8787699999999998E-2</v>
      </c>
      <c r="U4760">
        <v>-1.0373840000000001</v>
      </c>
      <c r="V4760">
        <v>-0.100874899999999</v>
      </c>
      <c r="W4760">
        <v>1.0286450000000001E-2</v>
      </c>
      <c r="X4760">
        <v>0.99484589999999995</v>
      </c>
      <c r="Y4760">
        <v>-0.5814241</v>
      </c>
      <c r="Z4760">
        <v>1.6803410000000001E-2</v>
      </c>
      <c r="AA4760">
        <v>0.81342720000000002</v>
      </c>
      <c r="AB4760">
        <v>13</v>
      </c>
      <c r="AC4760">
        <v>58.066399999999902</v>
      </c>
      <c r="AD4760">
        <v>-1.0323613999999901</v>
      </c>
      <c r="AE4760">
        <v>-18.166747999999998</v>
      </c>
      <c r="AF4760">
        <v>-35.402275173192699</v>
      </c>
      <c r="AG4760">
        <v>-1.0323613999999901</v>
      </c>
      <c r="AH4760">
        <v>49.459941715325201</v>
      </c>
      <c r="AI4760">
        <v>90.972377498693803</v>
      </c>
      <c r="AJ4760">
        <v>125.59420556662199</v>
      </c>
      <c r="AK4760">
        <v>60.833154545708297</v>
      </c>
    </row>
    <row r="4761" spans="1:37" x14ac:dyDescent="0.2">
      <c r="A4761" t="str">
        <f>"20200111155950825"</f>
        <v>20200111155950825</v>
      </c>
      <c r="B4761" t="str">
        <f>"1578729590815328"</f>
        <v>1578729590815328</v>
      </c>
      <c r="C4761" t="s">
        <v>37</v>
      </c>
      <c r="D4761">
        <v>4.880147</v>
      </c>
      <c r="E4761">
        <v>0.28543559999999901</v>
      </c>
      <c r="F4761" t="s">
        <v>77</v>
      </c>
      <c r="G4761">
        <v>-365.36970000000002</v>
      </c>
      <c r="H4761" s="1">
        <v>-3.8079209999999999E-6</v>
      </c>
      <c r="I4761">
        <v>11.989239999999899</v>
      </c>
      <c r="J4761">
        <v>-416.06779999999998</v>
      </c>
      <c r="K4761">
        <v>1.108317</v>
      </c>
      <c r="L4761">
        <v>27.704559999999901</v>
      </c>
      <c r="M4761">
        <v>0.60639189999999998</v>
      </c>
      <c r="N4761">
        <v>0</v>
      </c>
      <c r="O4761">
        <v>-0.79500499999999996</v>
      </c>
      <c r="P4761">
        <v>0.68417629999999996</v>
      </c>
      <c r="Q4761">
        <v>-4.7037520000000003E-3</v>
      </c>
      <c r="R4761">
        <v>-0.7293018</v>
      </c>
      <c r="S4761">
        <v>3.3051149999999998</v>
      </c>
      <c r="T4761">
        <v>-7.2183730000000002E-2</v>
      </c>
      <c r="U4761">
        <v>-1.0269779999999999</v>
      </c>
      <c r="V4761">
        <v>-0.101789399999999</v>
      </c>
      <c r="W4761">
        <v>1.032603E-2</v>
      </c>
      <c r="X4761">
        <v>0.99475230000000003</v>
      </c>
      <c r="Y4761">
        <v>-0.57909769999999905</v>
      </c>
      <c r="Z4761">
        <v>2.06153E-2</v>
      </c>
      <c r="AA4761">
        <v>0.81499750000000004</v>
      </c>
      <c r="AB4761">
        <v>13</v>
      </c>
      <c r="AC4761">
        <v>50.698099999999897</v>
      </c>
      <c r="AD4761">
        <v>-1.1083208079210001</v>
      </c>
      <c r="AE4761">
        <v>-15.715319999999901</v>
      </c>
      <c r="AF4761">
        <v>-30.7661244083348</v>
      </c>
      <c r="AG4761">
        <v>-1.1083208079210001</v>
      </c>
      <c r="AH4761">
        <v>43.223362560282901</v>
      </c>
      <c r="AI4761">
        <v>91.196740931143793</v>
      </c>
      <c r="AJ4761">
        <v>125.443027912921</v>
      </c>
      <c r="AK4761">
        <v>53.066391031801601</v>
      </c>
    </row>
    <row r="4762" spans="1:37" x14ac:dyDescent="0.2">
      <c r="A4762" t="str">
        <f>"20200111155950837"</f>
        <v>20200111155950837</v>
      </c>
      <c r="B4762" t="str">
        <f>"1578729590834848"</f>
        <v>1578729590834848</v>
      </c>
      <c r="C4762" t="s">
        <v>37</v>
      </c>
      <c r="D4762">
        <v>4.8071970000000004</v>
      </c>
      <c r="E4762">
        <v>0.28725270000000003</v>
      </c>
      <c r="F4762" t="s">
        <v>76</v>
      </c>
      <c r="G4762">
        <v>-370.9212</v>
      </c>
      <c r="H4762" s="1">
        <v>-5.296822E-6</v>
      </c>
      <c r="I4762">
        <v>13.839219999999999</v>
      </c>
      <c r="J4762">
        <v>-416.01850000000002</v>
      </c>
      <c r="K4762">
        <v>1.108341</v>
      </c>
      <c r="L4762">
        <v>27.6509099999999</v>
      </c>
      <c r="M4762">
        <v>0.61078980000000005</v>
      </c>
      <c r="N4762">
        <v>0</v>
      </c>
      <c r="O4762">
        <v>-0.79163319999999904</v>
      </c>
      <c r="P4762">
        <v>0.68897640000000004</v>
      </c>
      <c r="Q4762">
        <v>-3.9157879999999999E-3</v>
      </c>
      <c r="R4762">
        <v>-0.72477320000000001</v>
      </c>
      <c r="S4762">
        <v>3.3029790000000001</v>
      </c>
      <c r="T4762">
        <v>-8.1086160000000004E-2</v>
      </c>
      <c r="U4762">
        <v>-1.0144040000000001</v>
      </c>
      <c r="V4762">
        <v>-0.102847299999999</v>
      </c>
      <c r="W4762">
        <v>1.099022E-2</v>
      </c>
      <c r="X4762">
        <v>0.99463639999999998</v>
      </c>
      <c r="Y4762">
        <v>-0.57719759999999998</v>
      </c>
      <c r="Z4762">
        <v>2.3130870000000001E-2</v>
      </c>
      <c r="AA4762">
        <v>0.81627680000000002</v>
      </c>
      <c r="AB4762">
        <v>13</v>
      </c>
      <c r="AC4762">
        <v>45.097299999999997</v>
      </c>
      <c r="AD4762">
        <v>-1.1083462968219999</v>
      </c>
      <c r="AE4762">
        <v>-13.811689999999899</v>
      </c>
      <c r="AF4762">
        <v>-27.252876407532</v>
      </c>
      <c r="AG4762">
        <v>-1.1083462968219999</v>
      </c>
      <c r="AH4762">
        <v>38.462386119867098</v>
      </c>
      <c r="AI4762">
        <v>91.346910677802896</v>
      </c>
      <c r="AJ4762">
        <v>125.319828896481</v>
      </c>
      <c r="AK4762">
        <v>47.151912474804703</v>
      </c>
    </row>
    <row r="4763" spans="1:37" x14ac:dyDescent="0.2">
      <c r="A4763" t="str">
        <f>"20200111155950862"</f>
        <v>20200111155950862</v>
      </c>
      <c r="B4763" t="str">
        <f>"1578729590855344"</f>
        <v>1578729590855344</v>
      </c>
      <c r="C4763" t="s">
        <v>37</v>
      </c>
      <c r="D4763">
        <v>4.9570410000000003</v>
      </c>
      <c r="E4763">
        <v>0.28725270000000003</v>
      </c>
      <c r="F4763" t="s">
        <v>76</v>
      </c>
      <c r="G4763">
        <v>-372.928</v>
      </c>
      <c r="H4763" s="1">
        <v>-4.2208369999999999E-6</v>
      </c>
      <c r="I4763">
        <v>14.5573</v>
      </c>
      <c r="J4763">
        <v>-415.92380000000003</v>
      </c>
      <c r="K4763">
        <v>1.1083750000000001</v>
      </c>
      <c r="L4763">
        <v>27.549320000000002</v>
      </c>
      <c r="M4763">
        <v>0.61922529999999998</v>
      </c>
      <c r="N4763">
        <v>0</v>
      </c>
      <c r="O4763">
        <v>-0.78505639999999999</v>
      </c>
      <c r="P4763">
        <v>0.69783479999999998</v>
      </c>
      <c r="Q4763">
        <v>-2.9640309999999998E-3</v>
      </c>
      <c r="R4763">
        <v>-0.71625289999999997</v>
      </c>
      <c r="S4763">
        <v>3.299194</v>
      </c>
      <c r="T4763">
        <v>-8.4859610000000002E-2</v>
      </c>
      <c r="U4763">
        <v>-1.002502</v>
      </c>
      <c r="V4763">
        <v>-0.1044394</v>
      </c>
      <c r="W4763">
        <v>1.173357E-2</v>
      </c>
      <c r="X4763">
        <v>0.99446199999999996</v>
      </c>
      <c r="Y4763">
        <v>-0.57084860000000004</v>
      </c>
      <c r="Z4763">
        <v>2.4095789999999999E-2</v>
      </c>
      <c r="AA4763">
        <v>0.82070169999999998</v>
      </c>
      <c r="AB4763">
        <v>13</v>
      </c>
      <c r="AC4763">
        <v>42.995799999999903</v>
      </c>
      <c r="AD4763">
        <v>-1.108379220837</v>
      </c>
      <c r="AE4763">
        <v>-12.99202</v>
      </c>
      <c r="AF4763">
        <v>-25.696661568181401</v>
      </c>
      <c r="AG4763">
        <v>-1.108379220837</v>
      </c>
      <c r="AH4763">
        <v>36.805681885139698</v>
      </c>
      <c r="AI4763">
        <v>91.414450529509907</v>
      </c>
      <c r="AJ4763">
        <v>124.921630144589</v>
      </c>
      <c r="AK4763">
        <v>44.902172990590699</v>
      </c>
    </row>
    <row r="4764" spans="1:37" x14ac:dyDescent="0.2">
      <c r="A4764" t="str">
        <f>"20200111155950878"</f>
        <v>20200111155950878</v>
      </c>
      <c r="B4764" t="str">
        <f>"1578729590874864"</f>
        <v>1578729590874864</v>
      </c>
      <c r="C4764" t="s">
        <v>37</v>
      </c>
      <c r="D4764">
        <v>5.022068</v>
      </c>
      <c r="E4764">
        <v>0.30810219999999999</v>
      </c>
      <c r="F4764" t="s">
        <v>77</v>
      </c>
      <c r="G4764">
        <v>-369.75369999999998</v>
      </c>
      <c r="H4764" s="1">
        <v>-1.552518E-6</v>
      </c>
      <c r="I4764">
        <v>14.138529999999999</v>
      </c>
      <c r="J4764">
        <v>-415.86470000000003</v>
      </c>
      <c r="K4764">
        <v>1.1083909999999999</v>
      </c>
      <c r="L4764">
        <v>27.487300000000001</v>
      </c>
      <c r="M4764">
        <v>0.62448700000000001</v>
      </c>
      <c r="N4764">
        <v>0</v>
      </c>
      <c r="O4764">
        <v>-0.78087930000000005</v>
      </c>
      <c r="P4764">
        <v>0.70311559999999995</v>
      </c>
      <c r="Q4764">
        <v>-1.812482E-3</v>
      </c>
      <c r="R4764">
        <v>-0.71107330000000002</v>
      </c>
      <c r="S4764">
        <v>3.3114319999999999</v>
      </c>
      <c r="T4764">
        <v>-7.9495430000000006E-2</v>
      </c>
      <c r="U4764">
        <v>-0.96185299999999996</v>
      </c>
      <c r="V4764">
        <v>-0.1051228</v>
      </c>
      <c r="W4764">
        <v>1.277585E-2</v>
      </c>
      <c r="X4764">
        <v>0.99437719999999896</v>
      </c>
      <c r="Y4764">
        <v>-0.57546900000000001</v>
      </c>
      <c r="Z4764">
        <v>2.2558539999999998E-2</v>
      </c>
      <c r="AA4764">
        <v>0.81751249999999998</v>
      </c>
      <c r="AB4764">
        <v>13</v>
      </c>
      <c r="AC4764">
        <v>46.110999999999997</v>
      </c>
      <c r="AD4764">
        <v>-1.1083925525179901</v>
      </c>
      <c r="AE4764">
        <v>-13.34877</v>
      </c>
      <c r="AF4764">
        <v>-27.659615755555599</v>
      </c>
      <c r="AG4764">
        <v>-1.1083925525179901</v>
      </c>
      <c r="AH4764">
        <v>39.203374002083201</v>
      </c>
      <c r="AI4764">
        <v>91.323397193079103</v>
      </c>
      <c r="AJ4764">
        <v>125.204564469544</v>
      </c>
      <c r="AK4764">
        <v>47.9915347841957</v>
      </c>
    </row>
    <row r="4765" spans="1:37" x14ac:dyDescent="0.2">
      <c r="A4765" t="str">
        <f>"20200111155950891"</f>
        <v>20200111155950891</v>
      </c>
      <c r="B4765" t="str">
        <f>"1578729590885601"</f>
        <v>1578729590885601</v>
      </c>
      <c r="C4765" t="s">
        <v>37</v>
      </c>
      <c r="D4765">
        <v>4.9343589999999997</v>
      </c>
      <c r="E4765">
        <v>0.30787249999999999</v>
      </c>
      <c r="F4765" t="s">
        <v>38</v>
      </c>
      <c r="G4765">
        <v>-415.01499999999999</v>
      </c>
      <c r="H4765">
        <v>1.053526</v>
      </c>
      <c r="I4765">
        <v>27.208500000000001</v>
      </c>
      <c r="J4765">
        <v>-415.81569999999999</v>
      </c>
      <c r="K4765">
        <v>1.1084039999999999</v>
      </c>
      <c r="L4765">
        <v>27.436489999999999</v>
      </c>
      <c r="M4765">
        <v>0.62884259999999903</v>
      </c>
      <c r="N4765">
        <v>0</v>
      </c>
      <c r="O4765">
        <v>-0.77737749999999906</v>
      </c>
      <c r="P4765">
        <v>0.70738210000000001</v>
      </c>
      <c r="Q4765">
        <v>-1.6410279999999899E-3</v>
      </c>
      <c r="R4765">
        <v>-0.70682939999999905</v>
      </c>
      <c r="S4765">
        <v>3.2038570000000002</v>
      </c>
      <c r="T4765">
        <v>-0.20682510000000001</v>
      </c>
      <c r="U4765">
        <v>-1.0505070000000001</v>
      </c>
      <c r="V4765">
        <v>-0.1055499</v>
      </c>
      <c r="W4765">
        <v>1.2864540000000001E-2</v>
      </c>
      <c r="X4765">
        <v>0.99433079999999996</v>
      </c>
      <c r="Y4765">
        <v>-0.54080620000000001</v>
      </c>
      <c r="Z4765">
        <v>5.8951199999999898E-2</v>
      </c>
      <c r="AA4765">
        <v>0.83907900000000002</v>
      </c>
      <c r="AB4765">
        <v>13</v>
      </c>
      <c r="AC4765">
        <v>0.80070000000000596</v>
      </c>
      <c r="AD4765">
        <v>-5.4878000000000197E-2</v>
      </c>
      <c r="AE4765">
        <v>-0.227990000000001</v>
      </c>
      <c r="AF4765">
        <v>-0.47706124538731998</v>
      </c>
      <c r="AG4765">
        <v>-5.4878000000000197E-2</v>
      </c>
      <c r="AH4765">
        <v>0.67788519632824595</v>
      </c>
      <c r="AI4765">
        <v>93.787674533572101</v>
      </c>
      <c r="AJ4765">
        <v>125.135940996429</v>
      </c>
      <c r="AK4765">
        <v>0.83073904815861699</v>
      </c>
    </row>
    <row r="4766" spans="1:37" x14ac:dyDescent="0.2">
      <c r="A4766" t="str">
        <f>"20200111155950903"</f>
        <v>20200111155950903</v>
      </c>
      <c r="B4766" t="str">
        <f>"1578729590895360"</f>
        <v>1578729590895360</v>
      </c>
      <c r="C4766" t="s">
        <v>37</v>
      </c>
      <c r="D4766">
        <v>4.9138890000000002</v>
      </c>
      <c r="E4766">
        <v>0.3085772</v>
      </c>
      <c r="F4766" t="s">
        <v>38</v>
      </c>
      <c r="G4766">
        <v>-414.92380000000003</v>
      </c>
      <c r="H4766">
        <v>1.0519590000000001</v>
      </c>
      <c r="I4766">
        <v>27.150109999999898</v>
      </c>
      <c r="J4766">
        <v>-415.76639999999998</v>
      </c>
      <c r="K4766">
        <v>1.1084229999999999</v>
      </c>
      <c r="L4766">
        <v>27.385929999999998</v>
      </c>
      <c r="M4766">
        <v>0.6332158</v>
      </c>
      <c r="N4766">
        <v>0</v>
      </c>
      <c r="O4766">
        <v>-0.77382090000000003</v>
      </c>
      <c r="P4766">
        <v>0.71140349999999997</v>
      </c>
      <c r="Q4766">
        <v>-1.674746E-3</v>
      </c>
      <c r="R4766">
        <v>-0.70278189999999996</v>
      </c>
      <c r="S4766">
        <v>3.21121199999999</v>
      </c>
      <c r="T4766">
        <v>-0.2031567</v>
      </c>
      <c r="U4766">
        <v>-1.0301209999999901</v>
      </c>
      <c r="V4766">
        <v>-0.105616899999999</v>
      </c>
      <c r="W4766">
        <v>1.2755829999999999E-2</v>
      </c>
      <c r="X4766">
        <v>0.99432509999999996</v>
      </c>
      <c r="Y4766">
        <v>-0.54153390000000001</v>
      </c>
      <c r="Z4766">
        <v>5.7777540000000002E-2</v>
      </c>
      <c r="AA4766">
        <v>0.83869110000000002</v>
      </c>
      <c r="AB4766">
        <v>13</v>
      </c>
      <c r="AC4766">
        <v>0.84259999999994695</v>
      </c>
      <c r="AD4766">
        <v>-5.6463999999999799E-2</v>
      </c>
      <c r="AE4766">
        <v>-0.23582</v>
      </c>
      <c r="AF4766">
        <v>-0.50067163234607803</v>
      </c>
      <c r="AG4766">
        <v>-5.6463999999999799E-2</v>
      </c>
      <c r="AH4766">
        <v>0.71314584251191604</v>
      </c>
      <c r="AI4766">
        <v>93.707621182750898</v>
      </c>
      <c r="AJ4766">
        <v>125.07118273061</v>
      </c>
      <c r="AK4766">
        <v>0.87317653394036998</v>
      </c>
    </row>
    <row r="4767" spans="1:37" x14ac:dyDescent="0.2">
      <c r="A4767" t="str">
        <f>"20200111155950915"</f>
        <v>20200111155950915</v>
      </c>
      <c r="B4767" t="str">
        <f>"1578729590905120"</f>
        <v>1578729590905120</v>
      </c>
      <c r="C4767" t="s">
        <v>37</v>
      </c>
      <c r="D4767">
        <v>4.8765939999999999</v>
      </c>
      <c r="E4767">
        <v>0.30881550000000002</v>
      </c>
      <c r="F4767" t="s">
        <v>38</v>
      </c>
      <c r="G4767">
        <v>-414.94349999999997</v>
      </c>
      <c r="H4767">
        <v>1.0585739999999999</v>
      </c>
      <c r="I4767">
        <v>27.125359999999901</v>
      </c>
      <c r="J4767">
        <v>-415.71949999999998</v>
      </c>
      <c r="K4767">
        <v>1.1084419999999999</v>
      </c>
      <c r="L4767">
        <v>27.33859</v>
      </c>
      <c r="M4767">
        <v>0.6373799</v>
      </c>
      <c r="N4767">
        <v>0</v>
      </c>
      <c r="O4767">
        <v>-0.77039619999999998</v>
      </c>
      <c r="P4767">
        <v>0.71532600000000002</v>
      </c>
      <c r="Q4767">
        <v>-2.2371869999999999E-3</v>
      </c>
      <c r="R4767">
        <v>-0.69878759999999995</v>
      </c>
      <c r="S4767">
        <v>3.2127379999999999</v>
      </c>
      <c r="T4767">
        <v>-0.1945404</v>
      </c>
      <c r="U4767">
        <v>-1.0161439999999999</v>
      </c>
      <c r="V4767">
        <v>-0.1058168</v>
      </c>
      <c r="W4767">
        <v>1.2128359999999999E-2</v>
      </c>
      <c r="X4767">
        <v>0.99431170000000002</v>
      </c>
      <c r="Y4767">
        <v>-0.54059740000000001</v>
      </c>
      <c r="Z4767">
        <v>5.5229250000000001E-2</v>
      </c>
      <c r="AA4767">
        <v>0.83946659999999995</v>
      </c>
      <c r="AB4767">
        <v>13</v>
      </c>
      <c r="AC4767">
        <v>0.77600000000001002</v>
      </c>
      <c r="AD4767">
        <v>-4.9868000000000003E-2</v>
      </c>
      <c r="AE4767">
        <v>-0.213230000000006</v>
      </c>
      <c r="AF4767">
        <v>-0.46020648093581501</v>
      </c>
      <c r="AG4767">
        <v>-4.9868000000000003E-2</v>
      </c>
      <c r="AH4767">
        <v>0.656435749797882</v>
      </c>
      <c r="AI4767">
        <v>93.559442123423906</v>
      </c>
      <c r="AJ4767">
        <v>125.033090375851</v>
      </c>
      <c r="AK4767">
        <v>0.80323391121891397</v>
      </c>
    </row>
    <row r="4768" spans="1:37" x14ac:dyDescent="0.2">
      <c r="A4768" t="str">
        <f>"20200111155950930"</f>
        <v>20200111155950930</v>
      </c>
      <c r="B4768" t="str">
        <f>"1578729590925616"</f>
        <v>1578729590925616</v>
      </c>
      <c r="C4768" t="s">
        <v>37</v>
      </c>
      <c r="D4768">
        <v>4.7379920000000002</v>
      </c>
      <c r="E4768">
        <v>0.30814589999999997</v>
      </c>
      <c r="F4768" t="s">
        <v>38</v>
      </c>
      <c r="G4768">
        <v>-414.85109999999997</v>
      </c>
      <c r="H4768">
        <v>1.057771</v>
      </c>
      <c r="I4768">
        <v>27.068819999999999</v>
      </c>
      <c r="J4768">
        <v>-415.66219999999998</v>
      </c>
      <c r="K4768">
        <v>1.108465</v>
      </c>
      <c r="L4768">
        <v>27.28152</v>
      </c>
      <c r="M4768">
        <v>0.64242519999999903</v>
      </c>
      <c r="N4768">
        <v>0</v>
      </c>
      <c r="O4768">
        <v>-0.76619519999999997</v>
      </c>
      <c r="P4768">
        <v>0.71970970000000001</v>
      </c>
      <c r="Q4768">
        <v>-2.6404789999999998E-3</v>
      </c>
      <c r="R4768">
        <v>-0.69427039999999995</v>
      </c>
      <c r="S4768">
        <v>3.2166440000000001</v>
      </c>
      <c r="T4768">
        <v>-0.18772329999999901</v>
      </c>
      <c r="U4768">
        <v>-0.99978639999999996</v>
      </c>
      <c r="V4768">
        <v>-0.105542899999999</v>
      </c>
      <c r="W4768">
        <v>1.1655850000000001E-2</v>
      </c>
      <c r="X4768">
        <v>0.99434639999999996</v>
      </c>
      <c r="Y4768">
        <v>-0.53938619999999904</v>
      </c>
      <c r="Z4768">
        <v>5.3137110000000001E-2</v>
      </c>
      <c r="AA4768">
        <v>0.84038029999999997</v>
      </c>
      <c r="AB4768">
        <v>13</v>
      </c>
      <c r="AC4768">
        <v>0.81110000000001004</v>
      </c>
      <c r="AD4768">
        <v>-5.0694000000000003E-2</v>
      </c>
      <c r="AE4768">
        <v>-0.212699999999998</v>
      </c>
      <c r="AF4768">
        <v>-0.483108274521171</v>
      </c>
      <c r="AG4768">
        <v>-5.0694000000000003E-2</v>
      </c>
      <c r="AH4768">
        <v>0.68162979208103902</v>
      </c>
      <c r="AI4768">
        <v>93.472285065284098</v>
      </c>
      <c r="AJ4768">
        <v>125.32728418150199</v>
      </c>
      <c r="AK4768">
        <v>0.83700816005536305</v>
      </c>
    </row>
    <row r="4769" spans="1:37" x14ac:dyDescent="0.2">
      <c r="A4769" t="str">
        <f>"20200111155950946"</f>
        <v>20200111155950946</v>
      </c>
      <c r="B4769" t="str">
        <f>"1578729590935375"</f>
        <v>1578729590935375</v>
      </c>
      <c r="C4769" t="s">
        <v>37</v>
      </c>
      <c r="D4769">
        <v>4.7052779999999998</v>
      </c>
      <c r="E4769">
        <v>0.30812829999999902</v>
      </c>
      <c r="F4769" t="s">
        <v>38</v>
      </c>
      <c r="G4769">
        <v>-414.76199999999898</v>
      </c>
      <c r="H4769">
        <v>1.061102</v>
      </c>
      <c r="I4769">
        <v>27.008900000000001</v>
      </c>
      <c r="J4769">
        <v>-415.60050000000001</v>
      </c>
      <c r="K4769">
        <v>1.1084959999999999</v>
      </c>
      <c r="L4769">
        <v>27.220700000000001</v>
      </c>
      <c r="M4769">
        <v>0.64785839999999995</v>
      </c>
      <c r="N4769">
        <v>0</v>
      </c>
      <c r="O4769">
        <v>-0.7616079</v>
      </c>
      <c r="P4769">
        <v>0.72419999999999995</v>
      </c>
      <c r="Q4769">
        <v>-2.6214440000000001E-3</v>
      </c>
      <c r="R4769">
        <v>-0.68958529999999996</v>
      </c>
      <c r="S4769">
        <v>3.2259220000000002</v>
      </c>
      <c r="T4769">
        <v>-0.16968939999999999</v>
      </c>
      <c r="U4769">
        <v>-0.97631840000000003</v>
      </c>
      <c r="V4769">
        <v>-0.1049247</v>
      </c>
      <c r="W4769">
        <v>1.16115E-2</v>
      </c>
      <c r="X4769">
        <v>0.99441239999999997</v>
      </c>
      <c r="Y4769">
        <v>-0.53998819999999903</v>
      </c>
      <c r="Z4769">
        <v>4.7875019999999997E-2</v>
      </c>
      <c r="AA4769">
        <v>0.84030990000000005</v>
      </c>
      <c r="AB4769">
        <v>13</v>
      </c>
      <c r="AC4769">
        <v>0.83850000000006697</v>
      </c>
      <c r="AD4769">
        <v>-4.7393999999999901E-2</v>
      </c>
      <c r="AE4769">
        <v>-0.21179999999999999</v>
      </c>
      <c r="AF4769">
        <v>-0.499948783983095</v>
      </c>
      <c r="AG4769">
        <v>-4.7393999999999901E-2</v>
      </c>
      <c r="AH4769">
        <v>0.70251012607361396</v>
      </c>
      <c r="AI4769">
        <v>93.146137439963795</v>
      </c>
      <c r="AJ4769">
        <v>125.43795994872301</v>
      </c>
      <c r="AK4769">
        <v>0.86354817762423697</v>
      </c>
    </row>
    <row r="4770" spans="1:37" x14ac:dyDescent="0.2">
      <c r="A4770" t="str">
        <f>"20200111155950959"</f>
        <v>20200111155950959</v>
      </c>
      <c r="B4770" t="str">
        <f>"1578729590954895"</f>
        <v>1578729590954895</v>
      </c>
      <c r="C4770" t="s">
        <v>37</v>
      </c>
      <c r="D4770">
        <v>4.7597949999999898</v>
      </c>
      <c r="E4770">
        <v>0.30851980000000001</v>
      </c>
      <c r="F4770" t="s">
        <v>38</v>
      </c>
      <c r="G4770">
        <v>-414.67500000000001</v>
      </c>
      <c r="H4770">
        <v>1.061259</v>
      </c>
      <c r="I4770">
        <v>26.947209999999998</v>
      </c>
      <c r="J4770">
        <v>-415.5462</v>
      </c>
      <c r="K4770">
        <v>1.108517</v>
      </c>
      <c r="L4770">
        <v>27.168429999999901</v>
      </c>
      <c r="M4770">
        <v>0.65259809999999996</v>
      </c>
      <c r="N4770">
        <v>0</v>
      </c>
      <c r="O4770">
        <v>-0.75755150000000004</v>
      </c>
      <c r="P4770">
        <v>0.72847309999999998</v>
      </c>
      <c r="Q4770">
        <v>-2.582558E-3</v>
      </c>
      <c r="R4770">
        <v>-0.685069699999999</v>
      </c>
      <c r="S4770">
        <v>3.2319640000000001</v>
      </c>
      <c r="T4770">
        <v>-0.16499449999999999</v>
      </c>
      <c r="U4770">
        <v>-0.95562739999999902</v>
      </c>
      <c r="V4770">
        <v>-0.10490239999999899</v>
      </c>
      <c r="W4770">
        <v>1.159815E-2</v>
      </c>
      <c r="X4770">
        <v>0.99441489999999999</v>
      </c>
      <c r="Y4770">
        <v>-0.54019209999999995</v>
      </c>
      <c r="Z4770">
        <v>4.642835E-2</v>
      </c>
      <c r="AA4770">
        <v>0.84026000000000001</v>
      </c>
      <c r="AB4770">
        <v>13</v>
      </c>
      <c r="AC4770">
        <v>0.87119999999998698</v>
      </c>
      <c r="AD4770">
        <v>-4.7258000000000001E-2</v>
      </c>
      <c r="AE4770">
        <v>-0.221219999999998</v>
      </c>
      <c r="AF4770">
        <v>-0.51424927688692401</v>
      </c>
      <c r="AG4770">
        <v>-4.7258000000000001E-2</v>
      </c>
      <c r="AH4770">
        <v>0.73418473482955204</v>
      </c>
      <c r="AI4770">
        <v>93.017926508349305</v>
      </c>
      <c r="AJ4770">
        <v>125.008775073175</v>
      </c>
      <c r="AK4770">
        <v>0.89761509690928498</v>
      </c>
    </row>
    <row r="4771" spans="1:37" x14ac:dyDescent="0.2">
      <c r="A4771" t="str">
        <f>"20200111155950972"</f>
        <v>20200111155950972</v>
      </c>
      <c r="B4771" t="str">
        <f>"1578729590965633"</f>
        <v>1578729590965633</v>
      </c>
      <c r="C4771" t="s">
        <v>37</v>
      </c>
      <c r="D4771">
        <v>4.7387579999999998</v>
      </c>
      <c r="E4771">
        <v>0.30877890000000002</v>
      </c>
      <c r="F4771" t="s">
        <v>38</v>
      </c>
      <c r="G4771">
        <v>-414.6943</v>
      </c>
      <c r="H4771">
        <v>1.067936</v>
      </c>
      <c r="I4771">
        <v>26.92154</v>
      </c>
      <c r="J4771">
        <v>-415.49380000000002</v>
      </c>
      <c r="K4771">
        <v>1.1085320000000001</v>
      </c>
      <c r="L4771">
        <v>27.118379999999998</v>
      </c>
      <c r="M4771">
        <v>0.65715590000000002</v>
      </c>
      <c r="N4771">
        <v>0</v>
      </c>
      <c r="O4771">
        <v>-0.75360209999999905</v>
      </c>
      <c r="P4771">
        <v>0.73248619999999898</v>
      </c>
      <c r="Q4771">
        <v>-2.1870570000000001E-3</v>
      </c>
      <c r="R4771">
        <v>-0.68077849999999995</v>
      </c>
      <c r="S4771">
        <v>3.2353519999999998</v>
      </c>
      <c r="T4771">
        <v>-0.15414919999999999</v>
      </c>
      <c r="U4771">
        <v>-0.93823239999999997</v>
      </c>
      <c r="V4771">
        <v>-0.1047507</v>
      </c>
      <c r="W4771">
        <v>1.194813E-2</v>
      </c>
      <c r="X4771">
        <v>0.9944267</v>
      </c>
      <c r="Y4771">
        <v>-0.53968660000000002</v>
      </c>
      <c r="Z4771">
        <v>4.3272659999999998E-2</v>
      </c>
      <c r="AA4771">
        <v>0.84075309999999903</v>
      </c>
      <c r="AB4771">
        <v>13</v>
      </c>
      <c r="AC4771">
        <v>0.79950000000002297</v>
      </c>
      <c r="AD4771">
        <v>-4.0596E-2</v>
      </c>
      <c r="AE4771">
        <v>-0.19683999999999399</v>
      </c>
      <c r="AF4771">
        <v>-0.47205719800465701</v>
      </c>
      <c r="AG4771">
        <v>-4.0596E-2</v>
      </c>
      <c r="AH4771">
        <v>0.67217865696817602</v>
      </c>
      <c r="AI4771">
        <v>92.8294984046628</v>
      </c>
      <c r="AJ4771">
        <v>125.07957589681099</v>
      </c>
      <c r="AK4771">
        <v>0.82238080004797698</v>
      </c>
    </row>
    <row r="4772" spans="1:37" x14ac:dyDescent="0.2">
      <c r="A4772" t="str">
        <f>"20200111155950984"</f>
        <v>20200111155950984</v>
      </c>
      <c r="B4772" t="str">
        <f>"1578729590975392"</f>
        <v>1578729590975392</v>
      </c>
      <c r="C4772" t="s">
        <v>37</v>
      </c>
      <c r="D4772">
        <v>4.792192</v>
      </c>
      <c r="E4772">
        <v>0.30924299999999999</v>
      </c>
      <c r="F4772" t="s">
        <v>38</v>
      </c>
      <c r="G4772">
        <v>-414.6037</v>
      </c>
      <c r="H4772">
        <v>1.067391</v>
      </c>
      <c r="I4772">
        <v>26.86497</v>
      </c>
      <c r="J4772">
        <v>-415.44450000000001</v>
      </c>
      <c r="K4772">
        <v>1.1085449999999999</v>
      </c>
      <c r="L4772">
        <v>27.071719999999999</v>
      </c>
      <c r="M4772">
        <v>0.66142040000000002</v>
      </c>
      <c r="N4772">
        <v>0</v>
      </c>
      <c r="O4772">
        <v>-0.74986280000000005</v>
      </c>
      <c r="P4772">
        <v>0.73648380000000002</v>
      </c>
      <c r="Q4772">
        <v>-2.0065209999999998E-3</v>
      </c>
      <c r="R4772">
        <v>-0.6764521</v>
      </c>
      <c r="S4772">
        <v>3.239166</v>
      </c>
      <c r="T4772">
        <v>-0.1496651</v>
      </c>
      <c r="U4772">
        <v>-0.92105099999999995</v>
      </c>
      <c r="V4772">
        <v>-0.1049696</v>
      </c>
      <c r="W4772">
        <v>1.208497E-2</v>
      </c>
      <c r="X4772">
        <v>0.99440200000000001</v>
      </c>
      <c r="Y4772">
        <v>-0.53936589999999995</v>
      </c>
      <c r="Z4772">
        <v>4.1912310000000001E-2</v>
      </c>
      <c r="AA4772">
        <v>0.84102790000000005</v>
      </c>
      <c r="AB4772">
        <v>13</v>
      </c>
      <c r="AC4772">
        <v>0.84080000000000099</v>
      </c>
      <c r="AD4772">
        <v>-4.11540000000001E-2</v>
      </c>
      <c r="AE4772">
        <v>-0.20675000000000299</v>
      </c>
      <c r="AF4772">
        <v>-0.49267944682548998</v>
      </c>
      <c r="AG4772">
        <v>-4.11540000000001E-2</v>
      </c>
      <c r="AH4772">
        <v>0.70963462840500402</v>
      </c>
      <c r="AI4772">
        <v>92.727379623018805</v>
      </c>
      <c r="AJ4772">
        <v>124.771164749043</v>
      </c>
      <c r="AK4772">
        <v>0.864874554413401</v>
      </c>
    </row>
    <row r="4773" spans="1:37" x14ac:dyDescent="0.2">
      <c r="A4773" t="str">
        <f>"20200111155950996"</f>
        <v>20200111155950996</v>
      </c>
      <c r="B4773" t="str">
        <f>"1578729590985152"</f>
        <v>1578729590985152</v>
      </c>
      <c r="C4773" t="s">
        <v>37</v>
      </c>
      <c r="D4773">
        <v>4.8031249999999996</v>
      </c>
      <c r="E4773">
        <v>0.30983070000000001</v>
      </c>
      <c r="F4773" t="s">
        <v>38</v>
      </c>
      <c r="G4773">
        <v>-414.62</v>
      </c>
      <c r="H4773">
        <v>1.0708299999999999</v>
      </c>
      <c r="I4773">
        <v>26.841270000000002</v>
      </c>
      <c r="J4773">
        <v>-415.39800000000002</v>
      </c>
      <c r="K4773">
        <v>1.1085479999999901</v>
      </c>
      <c r="L4773">
        <v>27.02872</v>
      </c>
      <c r="M4773">
        <v>0.6654023</v>
      </c>
      <c r="N4773">
        <v>0</v>
      </c>
      <c r="O4773">
        <v>-0.746332199999999</v>
      </c>
      <c r="P4773">
        <v>0.74033149999999903</v>
      </c>
      <c r="Q4773">
        <v>-1.3446789999999899E-3</v>
      </c>
      <c r="R4773">
        <v>-0.67224090000000003</v>
      </c>
      <c r="S4773">
        <v>3.2419739999999999</v>
      </c>
      <c r="T4773">
        <v>-0.14823929999999999</v>
      </c>
      <c r="U4773">
        <v>-0.904815699999999</v>
      </c>
      <c r="V4773">
        <v>-0.1053548</v>
      </c>
      <c r="W4773">
        <v>1.270862E-2</v>
      </c>
      <c r="X4773">
        <v>0.9943535</v>
      </c>
      <c r="Y4773">
        <v>-0.53900219999999999</v>
      </c>
      <c r="Z4773">
        <v>4.1423599999999998E-2</v>
      </c>
      <c r="AA4773">
        <v>0.84128519999999896</v>
      </c>
      <c r="AB4773">
        <v>13</v>
      </c>
      <c r="AC4773">
        <v>0.77800000000002001</v>
      </c>
      <c r="AD4773">
        <v>-3.7717999999999897E-2</v>
      </c>
      <c r="AE4773">
        <v>-0.18744999999999801</v>
      </c>
      <c r="AF4773">
        <v>-0.45495812511204098</v>
      </c>
      <c r="AG4773">
        <v>-3.7717999999999897E-2</v>
      </c>
      <c r="AH4773">
        <v>0.65620024744871996</v>
      </c>
      <c r="AI4773">
        <v>92.704452235795699</v>
      </c>
      <c r="AJ4773">
        <v>124.734424366781</v>
      </c>
      <c r="AK4773">
        <v>0.79937995213867197</v>
      </c>
    </row>
    <row r="4774" spans="1:37" x14ac:dyDescent="0.2">
      <c r="A4774" t="str">
        <f>"20200111155951013"</f>
        <v>20200111155951013</v>
      </c>
      <c r="B4774" t="str">
        <f>"1578729591005649"</f>
        <v>1578729591005649</v>
      </c>
      <c r="C4774" t="s">
        <v>37</v>
      </c>
      <c r="D4774">
        <v>4.8718699999999897</v>
      </c>
      <c r="E4774">
        <v>0.3108921</v>
      </c>
      <c r="F4774" t="s">
        <v>38</v>
      </c>
      <c r="G4774">
        <v>-414.52609999999999</v>
      </c>
      <c r="H4774">
        <v>1.069394</v>
      </c>
      <c r="I4774">
        <v>26.789549999999998</v>
      </c>
      <c r="J4774">
        <v>-415.3306</v>
      </c>
      <c r="K4774">
        <v>1.1085430000000001</v>
      </c>
      <c r="L4774">
        <v>26.966950000000001</v>
      </c>
      <c r="M4774">
        <v>0.67114189999999996</v>
      </c>
      <c r="N4774">
        <v>0</v>
      </c>
      <c r="O4774">
        <v>-0.74117599999999995</v>
      </c>
      <c r="P4774">
        <v>0.74610410000000005</v>
      </c>
      <c r="Q4774">
        <v>-6.9490259999999897E-4</v>
      </c>
      <c r="R4774">
        <v>-0.665829</v>
      </c>
      <c r="S4774">
        <v>3.2438349999999998</v>
      </c>
      <c r="T4774">
        <v>-0.14566889999999999</v>
      </c>
      <c r="U4774">
        <v>-0.88998409999999994</v>
      </c>
      <c r="V4774">
        <v>-0.1062666</v>
      </c>
      <c r="W4774">
        <v>1.3303189999999999E-2</v>
      </c>
      <c r="X4774">
        <v>0.99424869999999899</v>
      </c>
      <c r="Y4774">
        <v>-0.53624139999999998</v>
      </c>
      <c r="Z4774">
        <v>4.0530289999999997E-2</v>
      </c>
      <c r="AA4774">
        <v>0.84309109999999998</v>
      </c>
      <c r="AB4774">
        <v>13</v>
      </c>
      <c r="AC4774">
        <v>0.80450000000001798</v>
      </c>
      <c r="AD4774">
        <v>-3.91490000000001E-2</v>
      </c>
      <c r="AE4774">
        <v>-0.177400000000002</v>
      </c>
      <c r="AF4774">
        <v>-0.47619425860814202</v>
      </c>
      <c r="AG4774">
        <v>-3.91490000000001E-2</v>
      </c>
      <c r="AH4774">
        <v>0.66998141892601704</v>
      </c>
      <c r="AI4774">
        <v>92.726834763104193</v>
      </c>
      <c r="AJ4774">
        <v>125.403593629146</v>
      </c>
      <c r="AK4774">
        <v>0.82290261746969595</v>
      </c>
    </row>
    <row r="4775" spans="1:37" x14ac:dyDescent="0.2">
      <c r="A4775" t="str">
        <f>"20200111155951026"</f>
        <v>20200111155951026</v>
      </c>
      <c r="B4775" t="str">
        <f>"1578729591015408"</f>
        <v>1578729591015408</v>
      </c>
      <c r="C4775" t="s">
        <v>37</v>
      </c>
      <c r="D4775">
        <v>4.8563869999999998</v>
      </c>
      <c r="E4775">
        <v>0.3114248</v>
      </c>
      <c r="F4775" t="s">
        <v>38</v>
      </c>
      <c r="G4775">
        <v>-414.43979999999999</v>
      </c>
      <c r="H4775">
        <v>1.069099</v>
      </c>
      <c r="I4775">
        <v>26.728339999999999</v>
      </c>
      <c r="J4775">
        <v>-415.27850000000001</v>
      </c>
      <c r="K4775">
        <v>1.108536</v>
      </c>
      <c r="L4775">
        <v>26.919619999999998</v>
      </c>
      <c r="M4775">
        <v>0.67555710000000002</v>
      </c>
      <c r="N4775">
        <v>0</v>
      </c>
      <c r="O4775">
        <v>-0.7371548</v>
      </c>
      <c r="P4775">
        <v>0.75035260000000004</v>
      </c>
      <c r="Q4775">
        <v>-5.2511879999999895E-4</v>
      </c>
      <c r="R4775">
        <v>-0.66103789999999996</v>
      </c>
      <c r="S4775">
        <v>3.2457889999999998</v>
      </c>
      <c r="T4775">
        <v>-0.1436701</v>
      </c>
      <c r="U4775">
        <v>-0.86840819999999996</v>
      </c>
      <c r="V4775">
        <v>-0.1066964</v>
      </c>
      <c r="W4775">
        <v>1.343574E-2</v>
      </c>
      <c r="X4775">
        <v>0.99420090000000005</v>
      </c>
      <c r="Y4775">
        <v>-0.53658099999999997</v>
      </c>
      <c r="Z4775">
        <v>3.9908890000000002E-2</v>
      </c>
      <c r="AA4775">
        <v>0.8429046</v>
      </c>
      <c r="AB4775">
        <v>13</v>
      </c>
      <c r="AC4775">
        <v>0.83870000000001699</v>
      </c>
      <c r="AD4775">
        <v>-3.9436999999999903E-2</v>
      </c>
      <c r="AE4775">
        <v>-0.19127999999999901</v>
      </c>
      <c r="AF4775">
        <v>-0.48806053175309599</v>
      </c>
      <c r="AG4775">
        <v>-3.9436999999999903E-2</v>
      </c>
      <c r="AH4775">
        <v>0.70618826853726901</v>
      </c>
      <c r="AI4775">
        <v>92.630361929857401</v>
      </c>
      <c r="AJ4775">
        <v>124.64910960815899</v>
      </c>
      <c r="AK4775">
        <v>0.85933708766919903</v>
      </c>
    </row>
    <row r="4776" spans="1:37" x14ac:dyDescent="0.2">
      <c r="A4776" t="str">
        <f>"20200111155951038"</f>
        <v>20200111155951038</v>
      </c>
      <c r="B4776" t="str">
        <f>"1578729591034928"</f>
        <v>1578729591034928</v>
      </c>
      <c r="C4776" t="s">
        <v>37</v>
      </c>
      <c r="D4776">
        <v>4.86829</v>
      </c>
      <c r="E4776">
        <v>0.31192900000000001</v>
      </c>
      <c r="F4776" t="s">
        <v>38</v>
      </c>
      <c r="G4776">
        <v>-414.34859999999998</v>
      </c>
      <c r="H4776">
        <v>1.067931</v>
      </c>
      <c r="I4776">
        <v>26.676390000000001</v>
      </c>
      <c r="J4776">
        <v>-415.22680000000003</v>
      </c>
      <c r="K4776">
        <v>1.108527</v>
      </c>
      <c r="L4776">
        <v>26.873659999999902</v>
      </c>
      <c r="M4776">
        <v>0.67989339999999998</v>
      </c>
      <c r="N4776">
        <v>0</v>
      </c>
      <c r="O4776">
        <v>-0.73315779999999997</v>
      </c>
      <c r="P4776">
        <v>0.75461540000000005</v>
      </c>
      <c r="Q4776">
        <v>-6.6362789999999995E-4</v>
      </c>
      <c r="R4776">
        <v>-0.65616750000000001</v>
      </c>
      <c r="S4776">
        <v>3.248688</v>
      </c>
      <c r="T4776">
        <v>-0.14189589999999999</v>
      </c>
      <c r="U4776">
        <v>-0.8506165</v>
      </c>
      <c r="V4776">
        <v>-0.1072651</v>
      </c>
      <c r="W4776">
        <v>1.326362E-2</v>
      </c>
      <c r="X4776">
        <v>0.99414199999999997</v>
      </c>
      <c r="Y4776">
        <v>-0.53613449999999996</v>
      </c>
      <c r="Z4776">
        <v>3.9313470000000003E-2</v>
      </c>
      <c r="AA4776">
        <v>0.84321669999999904</v>
      </c>
      <c r="AB4776">
        <v>13</v>
      </c>
      <c r="AC4776">
        <v>0.87820000000004905</v>
      </c>
      <c r="AD4776">
        <v>-4.0596E-2</v>
      </c>
      <c r="AE4776">
        <v>-0.197269999999996</v>
      </c>
      <c r="AF4776">
        <v>-0.50875892910013198</v>
      </c>
      <c r="AG4776">
        <v>-4.0596E-2</v>
      </c>
      <c r="AH4776">
        <v>0.740289811345336</v>
      </c>
      <c r="AI4776">
        <v>92.587677250853801</v>
      </c>
      <c r="AJ4776">
        <v>124.498519594136</v>
      </c>
      <c r="AK4776">
        <v>0.89917333586846704</v>
      </c>
    </row>
    <row r="4777" spans="1:37" x14ac:dyDescent="0.2">
      <c r="A4777" t="str">
        <f>"20200111155951050"</f>
        <v>20200111155951050</v>
      </c>
      <c r="B4777" t="str">
        <f>"1578729591045663"</f>
        <v>1578729591045663</v>
      </c>
      <c r="C4777" t="s">
        <v>37</v>
      </c>
      <c r="D4777">
        <v>4.8235479999999997</v>
      </c>
      <c r="E4777">
        <v>0.32110609999999901</v>
      </c>
      <c r="F4777" t="s">
        <v>38</v>
      </c>
      <c r="G4777">
        <v>-414.36369999999999</v>
      </c>
      <c r="H4777">
        <v>1.0712010000000001</v>
      </c>
      <c r="I4777">
        <v>26.652899999999999</v>
      </c>
      <c r="J4777">
        <v>-415.17739999999998</v>
      </c>
      <c r="K4777">
        <v>1.1085149999999999</v>
      </c>
      <c r="L4777">
        <v>26.830079999999999</v>
      </c>
      <c r="M4777">
        <v>0.68401380000000001</v>
      </c>
      <c r="N4777">
        <v>0</v>
      </c>
      <c r="O4777">
        <v>-0.72931590000000002</v>
      </c>
      <c r="P4777">
        <v>0.75841590000000003</v>
      </c>
      <c r="Q4777">
        <v>-6.3923750000000003E-4</v>
      </c>
      <c r="R4777">
        <v>-0.65177089999999904</v>
      </c>
      <c r="S4777">
        <v>3.2515259999999899</v>
      </c>
      <c r="T4777">
        <v>-0.14065520000000001</v>
      </c>
      <c r="U4777">
        <v>-0.83248899999999904</v>
      </c>
      <c r="V4777">
        <v>-0.10744089999999901</v>
      </c>
      <c r="W4777">
        <v>1.3261709999999999E-2</v>
      </c>
      <c r="X4777">
        <v>0.99412299999999998</v>
      </c>
      <c r="Y4777">
        <v>-0.53598519999999905</v>
      </c>
      <c r="Z4777">
        <v>3.8877499999999898E-2</v>
      </c>
      <c r="AA4777">
        <v>0.84333179999999996</v>
      </c>
      <c r="AB4777">
        <v>13</v>
      </c>
      <c r="AC4777">
        <v>0.81369999999998199</v>
      </c>
      <c r="AD4777">
        <v>-3.7313999999999799E-2</v>
      </c>
      <c r="AE4777">
        <v>-0.177179999999999</v>
      </c>
      <c r="AF4777">
        <v>-0.47135721167762001</v>
      </c>
      <c r="AG4777">
        <v>-3.7313999999999799E-2</v>
      </c>
      <c r="AH4777">
        <v>0.68450457700994505</v>
      </c>
      <c r="AI4777">
        <v>92.570695082075702</v>
      </c>
      <c r="AJ4777">
        <v>124.551715972216</v>
      </c>
      <c r="AK4777">
        <v>0.831935377023999</v>
      </c>
    </row>
    <row r="4778" spans="1:37" x14ac:dyDescent="0.2">
      <c r="A4778" t="str">
        <f>"20200111155951063"</f>
        <v>20200111155951063</v>
      </c>
      <c r="B4778" t="str">
        <f>"1578729591055423"</f>
        <v>1578729591055423</v>
      </c>
      <c r="C4778" t="s">
        <v>37</v>
      </c>
      <c r="D4778">
        <v>4.8361849999999897</v>
      </c>
      <c r="E4778">
        <v>0.321941799999999</v>
      </c>
      <c r="F4778" t="s">
        <v>38</v>
      </c>
      <c r="G4778">
        <v>-414.28219999999999</v>
      </c>
      <c r="H4778">
        <v>1.0679689999999999</v>
      </c>
      <c r="I4778">
        <v>26.58737</v>
      </c>
      <c r="J4778">
        <v>-415.1232</v>
      </c>
      <c r="K4778">
        <v>1.1085</v>
      </c>
      <c r="L4778">
        <v>26.782779999999999</v>
      </c>
      <c r="M4778">
        <v>0.68849930000000004</v>
      </c>
      <c r="N4778">
        <v>0</v>
      </c>
      <c r="O4778">
        <v>-0.72508339999999905</v>
      </c>
      <c r="P4778">
        <v>0.76260360000000005</v>
      </c>
      <c r="Q4778">
        <v>-6.165551E-4</v>
      </c>
      <c r="R4778">
        <v>-0.64686599999999905</v>
      </c>
      <c r="S4778">
        <v>3.20871</v>
      </c>
      <c r="T4778">
        <v>-0.14530009999999999</v>
      </c>
      <c r="U4778">
        <v>-0.86895750000000005</v>
      </c>
      <c r="V4778">
        <v>-0.1077206</v>
      </c>
      <c r="W4778">
        <v>1.325694E-2</v>
      </c>
      <c r="X4778">
        <v>0.9940928</v>
      </c>
      <c r="Y4778">
        <v>-0.51895029999999998</v>
      </c>
      <c r="Z4778">
        <v>4.0093150000000001E-2</v>
      </c>
      <c r="AA4778">
        <v>0.853863699999999</v>
      </c>
      <c r="AB4778">
        <v>13</v>
      </c>
      <c r="AC4778">
        <v>0.84100000000000796</v>
      </c>
      <c r="AD4778">
        <v>-4.0530999999999998E-2</v>
      </c>
      <c r="AE4778">
        <v>-0.195409999999998</v>
      </c>
      <c r="AF4778">
        <v>-0.47426331769372898</v>
      </c>
      <c r="AG4778">
        <v>-4.0530999999999998E-2</v>
      </c>
      <c r="AH4778">
        <v>0.71921184512383596</v>
      </c>
      <c r="AI4778">
        <v>92.693592448488502</v>
      </c>
      <c r="AJ4778">
        <v>123.401692500883</v>
      </c>
      <c r="AK4778">
        <v>0.86245819297940196</v>
      </c>
    </row>
    <row r="4779" spans="1:37" x14ac:dyDescent="0.2">
      <c r="A4779" t="str">
        <f>"20200111155951075"</f>
        <v>20200111155951075</v>
      </c>
      <c r="B4779" t="str">
        <f>"1578729591065184"</f>
        <v>1578729591065184</v>
      </c>
      <c r="C4779" t="s">
        <v>37</v>
      </c>
      <c r="D4779">
        <v>4.8749799999999999</v>
      </c>
      <c r="E4779">
        <v>0.32282139999999998</v>
      </c>
      <c r="F4779" t="s">
        <v>38</v>
      </c>
      <c r="G4779">
        <v>-414.27589999999998</v>
      </c>
      <c r="H4779">
        <v>1.0711580000000001</v>
      </c>
      <c r="I4779">
        <v>26.557230000000001</v>
      </c>
      <c r="J4779">
        <v>-415.0745</v>
      </c>
      <c r="K4779">
        <v>1.1084860000000001</v>
      </c>
      <c r="L4779">
        <v>26.741059999999901</v>
      </c>
      <c r="M4779">
        <v>0.69249280000000002</v>
      </c>
      <c r="N4779">
        <v>0</v>
      </c>
      <c r="O4779">
        <v>-0.721271</v>
      </c>
      <c r="P4779">
        <v>0.76621189999999995</v>
      </c>
      <c r="Q4779">
        <v>-6.8924579999999995E-4</v>
      </c>
      <c r="R4779">
        <v>-0.64258780000000004</v>
      </c>
      <c r="S4779">
        <v>3.2098689999999999</v>
      </c>
      <c r="T4779">
        <v>-0.14142199999999999</v>
      </c>
      <c r="U4779">
        <v>-0.85339359999999997</v>
      </c>
      <c r="V4779">
        <v>-0.10779369999999899</v>
      </c>
      <c r="W4779">
        <v>1.3164439999999999E-2</v>
      </c>
      <c r="X4779">
        <v>0.99408609999999897</v>
      </c>
      <c r="Y4779">
        <v>-0.51822699999999999</v>
      </c>
      <c r="Z4779">
        <v>3.8930399999999997E-2</v>
      </c>
      <c r="AA4779">
        <v>0.85435659999999902</v>
      </c>
      <c r="AB4779">
        <v>13</v>
      </c>
      <c r="AC4779">
        <v>0.79860000000002096</v>
      </c>
      <c r="AD4779">
        <v>-3.7328E-2</v>
      </c>
      <c r="AE4779">
        <v>-0.183829999999996</v>
      </c>
      <c r="AF4779">
        <v>-0.44782667883117699</v>
      </c>
      <c r="AG4779">
        <v>-3.7328E-2</v>
      </c>
      <c r="AH4779">
        <v>0.68427230303832398</v>
      </c>
      <c r="AI4779">
        <v>92.613456309782606</v>
      </c>
      <c r="AJ4779">
        <v>123.203015145946</v>
      </c>
      <c r="AK4779">
        <v>0.81863954128928695</v>
      </c>
    </row>
    <row r="4780" spans="1:37" x14ac:dyDescent="0.2">
      <c r="A4780" t="str">
        <f>"20200111155951092"</f>
        <v>20200111155951092</v>
      </c>
      <c r="B4780" t="str">
        <f>"1578729591085680"</f>
        <v>1578729591085680</v>
      </c>
      <c r="C4780" t="s">
        <v>37</v>
      </c>
      <c r="D4780">
        <v>4.7384589999999998</v>
      </c>
      <c r="E4780">
        <v>0.3228818</v>
      </c>
      <c r="F4780" t="s">
        <v>38</v>
      </c>
      <c r="G4780">
        <v>-414.20429999999999</v>
      </c>
      <c r="H4780">
        <v>1.0694729999999999</v>
      </c>
      <c r="I4780">
        <v>26.513069999999999</v>
      </c>
      <c r="J4780">
        <v>-415.00650000000002</v>
      </c>
      <c r="K4780">
        <v>1.10846</v>
      </c>
      <c r="L4780">
        <v>26.68347</v>
      </c>
      <c r="M4780">
        <v>0.69801429999999998</v>
      </c>
      <c r="N4780">
        <v>0</v>
      </c>
      <c r="O4780">
        <v>-0.71592939999999905</v>
      </c>
      <c r="P4780">
        <v>0.77088159999999994</v>
      </c>
      <c r="Q4780">
        <v>-5.0538869999999997E-4</v>
      </c>
      <c r="R4780">
        <v>-0.63697869999999901</v>
      </c>
      <c r="S4780">
        <v>3.2102360000000001</v>
      </c>
      <c r="T4780">
        <v>-0.143914299999999</v>
      </c>
      <c r="U4780">
        <v>-0.84066770000000002</v>
      </c>
      <c r="V4780">
        <v>-0.10741189999999901</v>
      </c>
      <c r="W4780">
        <v>1.332655E-2</v>
      </c>
      <c r="X4780">
        <v>0.99412529999999999</v>
      </c>
      <c r="Y4780">
        <v>-0.51481589999999999</v>
      </c>
      <c r="Z4780">
        <v>3.9420660000000003E-2</v>
      </c>
      <c r="AA4780">
        <v>0.85639399999999999</v>
      </c>
      <c r="AB4780">
        <v>13</v>
      </c>
      <c r="AC4780">
        <v>0.802200000000027</v>
      </c>
      <c r="AD4780">
        <v>-3.8987000000000098E-2</v>
      </c>
      <c r="AE4780">
        <v>-0.170399999999997</v>
      </c>
      <c r="AF4780">
        <v>-0.454400341707896</v>
      </c>
      <c r="AG4780">
        <v>-3.8987000000000098E-2</v>
      </c>
      <c r="AH4780">
        <v>0.68047897222925502</v>
      </c>
      <c r="AI4780">
        <v>92.727901481441904</v>
      </c>
      <c r="AJ4780">
        <v>123.733629790406</v>
      </c>
      <c r="AK4780">
        <v>0.81917720205059197</v>
      </c>
    </row>
    <row r="4781" spans="1:37" x14ac:dyDescent="0.2">
      <c r="A4781" t="str">
        <f>"20200111155951114"</f>
        <v>20200111155951114</v>
      </c>
      <c r="B4781" t="str">
        <f>"1578729591105200"</f>
        <v>1578729591105200</v>
      </c>
      <c r="C4781" t="s">
        <v>37</v>
      </c>
      <c r="D4781">
        <v>4.7197529999999999</v>
      </c>
      <c r="E4781">
        <v>0.32290340000000001</v>
      </c>
      <c r="F4781" t="s">
        <v>38</v>
      </c>
      <c r="G4781">
        <v>-414.11579999999998</v>
      </c>
      <c r="H4781">
        <v>1.070627</v>
      </c>
      <c r="I4781">
        <v>26.456700000000001</v>
      </c>
      <c r="J4781">
        <v>-414.91460000000001</v>
      </c>
      <c r="K4781">
        <v>1.10843799999999</v>
      </c>
      <c r="L4781">
        <v>26.607059999999901</v>
      </c>
      <c r="M4781">
        <v>0.70538749999999995</v>
      </c>
      <c r="N4781">
        <v>0</v>
      </c>
      <c r="O4781">
        <v>-0.70866669999999998</v>
      </c>
      <c r="P4781">
        <v>0.77715489999999998</v>
      </c>
      <c r="Q4781">
        <v>-2.7256269999999998E-4</v>
      </c>
      <c r="R4781">
        <v>-0.62930969999999997</v>
      </c>
      <c r="S4781">
        <v>3.2156980000000002</v>
      </c>
      <c r="T4781">
        <v>-0.1365595</v>
      </c>
      <c r="U4781">
        <v>-0.81793209999999905</v>
      </c>
      <c r="V4781">
        <v>-0.1069731</v>
      </c>
      <c r="W4781">
        <v>1.3533959999999999E-2</v>
      </c>
      <c r="X4781">
        <v>0.99416979999999999</v>
      </c>
      <c r="Y4781">
        <v>-0.5120827</v>
      </c>
      <c r="Z4781">
        <v>3.7148269999999997E-2</v>
      </c>
      <c r="AA4781">
        <v>0.85813249999999996</v>
      </c>
      <c r="AB4781">
        <v>13</v>
      </c>
      <c r="AC4781">
        <v>0.79880000000002804</v>
      </c>
      <c r="AD4781">
        <v>-3.7810999999999803E-2</v>
      </c>
      <c r="AE4781">
        <v>-0.150359999999995</v>
      </c>
      <c r="AF4781">
        <v>-0.45907809927030402</v>
      </c>
      <c r="AG4781">
        <v>-3.7810999999999803E-2</v>
      </c>
      <c r="AH4781">
        <v>0.668645480997902</v>
      </c>
      <c r="AI4781">
        <v>92.669110228553706</v>
      </c>
      <c r="AJ4781">
        <v>124.47268371161699</v>
      </c>
      <c r="AK4781">
        <v>0.81195391015103302</v>
      </c>
    </row>
    <row r="4782" spans="1:37" x14ac:dyDescent="0.2">
      <c r="A4782" t="str">
        <f>"20200111155951129"</f>
        <v>20200111155951129</v>
      </c>
      <c r="B4782" t="str">
        <f>"1578729591124720"</f>
        <v>1578729591124720</v>
      </c>
      <c r="C4782" t="s">
        <v>37</v>
      </c>
      <c r="D4782">
        <v>4.9117160000000002</v>
      </c>
      <c r="E4782">
        <v>0.31974970000000003</v>
      </c>
      <c r="F4782" t="s">
        <v>38</v>
      </c>
      <c r="G4782">
        <v>-413.9753</v>
      </c>
      <c r="H4782">
        <v>1.070994</v>
      </c>
      <c r="I4782">
        <v>26.3781099999999</v>
      </c>
      <c r="J4782">
        <v>-414.85329999999999</v>
      </c>
      <c r="K4782">
        <v>1.1084179999999999</v>
      </c>
      <c r="L4782">
        <v>26.55688</v>
      </c>
      <c r="M4782">
        <v>0.71024909999999997</v>
      </c>
      <c r="N4782">
        <v>0</v>
      </c>
      <c r="O4782">
        <v>-0.70379449999999999</v>
      </c>
      <c r="P4782">
        <v>0.78110990000000002</v>
      </c>
      <c r="Q4782">
        <v>-2.6301849999999899E-4</v>
      </c>
      <c r="R4782">
        <v>-0.62439389999999995</v>
      </c>
      <c r="S4782">
        <v>3.2235109999999998</v>
      </c>
      <c r="T4782">
        <v>-0.12852049999999901</v>
      </c>
      <c r="U4782">
        <v>-0.78628540000000002</v>
      </c>
      <c r="V4782">
        <v>-0.10640139999999999</v>
      </c>
      <c r="W4782">
        <v>1.353062E-2</v>
      </c>
      <c r="X4782">
        <v>0.99423119999999998</v>
      </c>
      <c r="Y4782">
        <v>-0.51470379999999905</v>
      </c>
      <c r="Z4782">
        <v>3.4872729999999998E-2</v>
      </c>
      <c r="AA4782">
        <v>0.85665859999999905</v>
      </c>
      <c r="AB4782">
        <v>13</v>
      </c>
      <c r="AC4782">
        <v>0.87799999999998501</v>
      </c>
      <c r="AD4782">
        <v>-3.7424000000000103E-2</v>
      </c>
      <c r="AE4782">
        <v>-0.17877000000000301</v>
      </c>
      <c r="AF4782">
        <v>-0.49015915490480599</v>
      </c>
      <c r="AG4782">
        <v>-3.7424000000000103E-2</v>
      </c>
      <c r="AH4782">
        <v>0.74819310140512496</v>
      </c>
      <c r="AI4782">
        <v>92.3958594400641</v>
      </c>
      <c r="AJ4782">
        <v>123.229764723763</v>
      </c>
      <c r="AK4782">
        <v>0.89523710261763301</v>
      </c>
    </row>
    <row r="4783" spans="1:37" x14ac:dyDescent="0.2">
      <c r="A4783" t="str">
        <f>"20200111155951142"</f>
        <v>20200111155951142</v>
      </c>
      <c r="B4783" t="str">
        <f>"1578729591135457"</f>
        <v>1578729591135457</v>
      </c>
      <c r="C4783" t="s">
        <v>37</v>
      </c>
      <c r="D4783">
        <v>4.7416729999999996</v>
      </c>
      <c r="E4783">
        <v>0.31974970000000003</v>
      </c>
      <c r="F4783" t="s">
        <v>38</v>
      </c>
      <c r="G4783">
        <v>-413.9248</v>
      </c>
      <c r="H4783">
        <v>1.0715250000000001</v>
      </c>
      <c r="I4783">
        <v>26.34318</v>
      </c>
      <c r="J4783">
        <v>-414.79419999999999</v>
      </c>
      <c r="K4783">
        <v>1.1084020000000001</v>
      </c>
      <c r="L4783">
        <v>26.509370000000001</v>
      </c>
      <c r="M4783">
        <v>0.71487670000000003</v>
      </c>
      <c r="N4783">
        <v>0</v>
      </c>
      <c r="O4783">
        <v>-0.69909409999999905</v>
      </c>
      <c r="P4783">
        <v>0.7850106</v>
      </c>
      <c r="Q4783">
        <v>-4.4544510000000002E-4</v>
      </c>
      <c r="R4783">
        <v>-0.61948259999999999</v>
      </c>
      <c r="S4783">
        <v>3.244049</v>
      </c>
      <c r="T4783">
        <v>-0.12889639999999999</v>
      </c>
      <c r="U4783">
        <v>-0.74630739999999995</v>
      </c>
      <c r="V4783">
        <v>-0.106076</v>
      </c>
      <c r="W4783">
        <v>1.3335130000000001E-2</v>
      </c>
      <c r="X4783">
        <v>0.99426859999999995</v>
      </c>
      <c r="Y4783">
        <v>-0.52028669999999999</v>
      </c>
      <c r="Z4783">
        <v>3.4826790000000003E-2</v>
      </c>
      <c r="AA4783">
        <v>0.85328130000000002</v>
      </c>
      <c r="AB4783">
        <v>12</v>
      </c>
      <c r="AC4783">
        <v>0.86939999999998396</v>
      </c>
      <c r="AD4783">
        <v>-3.6877E-2</v>
      </c>
      <c r="AE4783">
        <v>-0.16619</v>
      </c>
      <c r="AF4783">
        <v>-0.48819316330105</v>
      </c>
      <c r="AG4783">
        <v>-3.6877E-2</v>
      </c>
      <c r="AH4783">
        <v>0.73649857445857903</v>
      </c>
      <c r="AI4783">
        <v>92.389828440849698</v>
      </c>
      <c r="AJ4783">
        <v>123.538682382084</v>
      </c>
      <c r="AK4783">
        <v>0.88437697165994</v>
      </c>
    </row>
    <row r="4784" spans="1:37" x14ac:dyDescent="0.2">
      <c r="A4784" t="str">
        <f>"20200111155951157"</f>
        <v>20200111155951157</v>
      </c>
      <c r="B4784" t="str">
        <f>"1578729591154975"</f>
        <v>1578729591154975</v>
      </c>
      <c r="C4784" t="s">
        <v>37</v>
      </c>
      <c r="D4784">
        <v>4.845866</v>
      </c>
      <c r="E4784">
        <v>0.28327340000000001</v>
      </c>
      <c r="F4784" t="s">
        <v>78</v>
      </c>
      <c r="G4784">
        <v>-386.93290000000002</v>
      </c>
      <c r="H4784" s="1">
        <v>-1.6279300000000001E-6</v>
      </c>
      <c r="I4784">
        <v>20.283999999999999</v>
      </c>
      <c r="J4784">
        <v>-414.73340000000002</v>
      </c>
      <c r="K4784">
        <v>1.108374</v>
      </c>
      <c r="L4784">
        <v>26.461179999999999</v>
      </c>
      <c r="M4784">
        <v>0.71958880000000003</v>
      </c>
      <c r="N4784">
        <v>0</v>
      </c>
      <c r="O4784">
        <v>-0.69424319999999995</v>
      </c>
      <c r="P4784">
        <v>0.78924130000000003</v>
      </c>
      <c r="Q4784">
        <v>-1.1130019999999899E-3</v>
      </c>
      <c r="R4784">
        <v>-0.61408260000000003</v>
      </c>
      <c r="S4784">
        <v>3.248688</v>
      </c>
      <c r="T4784">
        <v>-0.1292422</v>
      </c>
      <c r="U4784">
        <v>-0.72589110000000001</v>
      </c>
      <c r="V4784">
        <v>-0.1061651</v>
      </c>
      <c r="W4784">
        <v>1.265141E-2</v>
      </c>
      <c r="X4784">
        <v>0.99426800000000004</v>
      </c>
      <c r="Y4784">
        <v>-0.51987839999999996</v>
      </c>
      <c r="Z4784">
        <v>3.477599E-2</v>
      </c>
      <c r="AA4784">
        <v>0.85353210000000002</v>
      </c>
      <c r="AB4784">
        <v>12</v>
      </c>
      <c r="AC4784">
        <v>27.8005</v>
      </c>
      <c r="AD4784">
        <v>-1.1083756279299899</v>
      </c>
      <c r="AE4784">
        <v>-6.1771799999999901</v>
      </c>
      <c r="AF4784">
        <v>-14.834430163067699</v>
      </c>
      <c r="AG4784">
        <v>-1.1083756279299899</v>
      </c>
      <c r="AH4784">
        <v>24.259299515800699</v>
      </c>
      <c r="AI4784">
        <v>92.232183688795303</v>
      </c>
      <c r="AJ4784">
        <v>121.44555984743801</v>
      </c>
      <c r="AK4784">
        <v>28.457027739960001</v>
      </c>
    </row>
    <row r="4785" spans="1:37" x14ac:dyDescent="0.2">
      <c r="A4785" t="str">
        <f>"20200111155951170"</f>
        <v>20200111155951170</v>
      </c>
      <c r="B4785" t="str">
        <f>"1578729591164736"</f>
        <v>1578729591164736</v>
      </c>
      <c r="C4785" t="s">
        <v>37</v>
      </c>
      <c r="D4785">
        <v>4.8309040000000003</v>
      </c>
      <c r="E4785">
        <v>0.28382190000000002</v>
      </c>
      <c r="F4785" t="s">
        <v>38</v>
      </c>
      <c r="G4785">
        <v>-413.82409999999999</v>
      </c>
      <c r="H4785">
        <v>1.067955</v>
      </c>
      <c r="I4785">
        <v>26.33588</v>
      </c>
      <c r="J4785">
        <v>-414.67989999999998</v>
      </c>
      <c r="K4785">
        <v>1.1083540000000001</v>
      </c>
      <c r="L4785">
        <v>26.419219999999999</v>
      </c>
      <c r="M4785">
        <v>0.72369949999999905</v>
      </c>
      <c r="N4785">
        <v>0</v>
      </c>
      <c r="O4785">
        <v>-0.68995740000000005</v>
      </c>
      <c r="P4785">
        <v>0.79317019999999905</v>
      </c>
      <c r="Q4785">
        <v>-1.365862E-3</v>
      </c>
      <c r="R4785">
        <v>-0.60899899999999996</v>
      </c>
      <c r="S4785">
        <v>3.4327089999999898</v>
      </c>
      <c r="T4785">
        <v>-0.1525861</v>
      </c>
      <c r="U4785">
        <v>-0.47317500000000001</v>
      </c>
      <c r="V4785">
        <v>-0.1066452</v>
      </c>
      <c r="W4785">
        <v>1.238059E-2</v>
      </c>
      <c r="X4785">
        <v>0.99422009999999905</v>
      </c>
      <c r="Y4785">
        <v>-0.58363580000000004</v>
      </c>
      <c r="Z4785">
        <v>4.0629470000000001E-2</v>
      </c>
      <c r="AA4785">
        <v>0.81099840000000001</v>
      </c>
      <c r="AB4785">
        <v>12</v>
      </c>
      <c r="AC4785">
        <v>0.85579999999998702</v>
      </c>
      <c r="AD4785">
        <v>-4.0398999999999997E-2</v>
      </c>
      <c r="AE4785">
        <v>-8.33400000000033E-2</v>
      </c>
      <c r="AF4785">
        <v>-0.52904232260651995</v>
      </c>
      <c r="AG4785">
        <v>-4.0398999999999997E-2</v>
      </c>
      <c r="AH4785">
        <v>0.67542581733954798</v>
      </c>
      <c r="AI4785">
        <v>92.695928395975102</v>
      </c>
      <c r="AJ4785">
        <v>128.070614081554</v>
      </c>
      <c r="AK4785">
        <v>0.85890505472880896</v>
      </c>
    </row>
    <row r="4786" spans="1:37" x14ac:dyDescent="0.2">
      <c r="A4786" t="str">
        <f>"20200111155951182"</f>
        <v>20200111155951182</v>
      </c>
      <c r="B4786" t="str">
        <f>"1578729591175473"</f>
        <v>1578729591175473</v>
      </c>
      <c r="C4786" t="s">
        <v>37</v>
      </c>
      <c r="D4786">
        <v>4.9641190000000002</v>
      </c>
      <c r="E4786">
        <v>0.28484910000000002</v>
      </c>
      <c r="F4786" t="s">
        <v>38</v>
      </c>
      <c r="G4786">
        <v>-413.7294</v>
      </c>
      <c r="H4786">
        <v>1.068816</v>
      </c>
      <c r="I4786">
        <v>26.293050000000001</v>
      </c>
      <c r="J4786">
        <v>-414.62479999999999</v>
      </c>
      <c r="K4786">
        <v>1.1083319999999901</v>
      </c>
      <c r="L4786">
        <v>26.376529999999999</v>
      </c>
      <c r="M4786">
        <v>0.72789289999999995</v>
      </c>
      <c r="N4786">
        <v>0</v>
      </c>
      <c r="O4786">
        <v>-0.68553229999999998</v>
      </c>
      <c r="P4786">
        <v>0.79705019999999904</v>
      </c>
      <c r="Q4786">
        <v>-1.465729E-3</v>
      </c>
      <c r="R4786">
        <v>-0.60391159999999999</v>
      </c>
      <c r="S4786">
        <v>3.43283099999999</v>
      </c>
      <c r="T4786">
        <v>-0.14276440000000001</v>
      </c>
      <c r="U4786">
        <v>-0.45483400000000002</v>
      </c>
      <c r="V4786">
        <v>-0.1069431</v>
      </c>
      <c r="W4786">
        <v>1.2265679999999999E-2</v>
      </c>
      <c r="X4786">
        <v>0.99418949999999995</v>
      </c>
      <c r="Y4786">
        <v>-0.5830864</v>
      </c>
      <c r="Z4786">
        <v>3.7904489999999999E-2</v>
      </c>
      <c r="AA4786">
        <v>0.81152539999999995</v>
      </c>
      <c r="AB4786">
        <v>12</v>
      </c>
      <c r="AC4786">
        <v>0.89539999999999498</v>
      </c>
      <c r="AD4786">
        <v>-3.9515999999999801E-2</v>
      </c>
      <c r="AE4786">
        <v>-8.3479999999998E-2</v>
      </c>
      <c r="AF4786">
        <v>-0.55205530022088101</v>
      </c>
      <c r="AG4786">
        <v>-3.9515999999999801E-2</v>
      </c>
      <c r="AH4786">
        <v>0.707694149615263</v>
      </c>
      <c r="AI4786">
        <v>92.520905548735698</v>
      </c>
      <c r="AJ4786">
        <v>127.95694207585601</v>
      </c>
      <c r="AK4786">
        <v>0.89841948896806401</v>
      </c>
    </row>
    <row r="4787" spans="1:37" x14ac:dyDescent="0.2">
      <c r="A4787" t="str">
        <f>"20200111155951195"</f>
        <v>20200111155951195</v>
      </c>
      <c r="B4787" t="str">
        <f>"1578729591185232"</f>
        <v>1578729591185232</v>
      </c>
      <c r="C4787" t="s">
        <v>37</v>
      </c>
      <c r="D4787">
        <v>4.933039</v>
      </c>
      <c r="E4787">
        <v>0.28605340000000001</v>
      </c>
      <c r="F4787" t="s">
        <v>38</v>
      </c>
      <c r="G4787">
        <v>-413.74590000000001</v>
      </c>
      <c r="H4787">
        <v>1.0718289999999999</v>
      </c>
      <c r="I4787">
        <v>26.263770000000001</v>
      </c>
      <c r="J4787">
        <v>-414.57240000000002</v>
      </c>
      <c r="K4787">
        <v>1.1083099999999999</v>
      </c>
      <c r="L4787">
        <v>26.336579999999898</v>
      </c>
      <c r="M4787">
        <v>0.73183330000000002</v>
      </c>
      <c r="N4787">
        <v>0</v>
      </c>
      <c r="O4787">
        <v>-0.6813245</v>
      </c>
      <c r="P4787">
        <v>0.80093119999999995</v>
      </c>
      <c r="Q4787">
        <v>-1.5709859999999999E-3</v>
      </c>
      <c r="R4787">
        <v>-0.59875449999999997</v>
      </c>
      <c r="S4787">
        <v>3.4307559999999899</v>
      </c>
      <c r="T4787">
        <v>-0.1424666</v>
      </c>
      <c r="U4787">
        <v>-0.43930049999999998</v>
      </c>
      <c r="V4787">
        <v>-0.107626399999999</v>
      </c>
      <c r="W4787">
        <v>1.214266E-2</v>
      </c>
      <c r="X4787">
        <v>0.99411729999999998</v>
      </c>
      <c r="Y4787">
        <v>-0.58195909999999995</v>
      </c>
      <c r="Z4787">
        <v>3.772586E-2</v>
      </c>
      <c r="AA4787">
        <v>0.81234249999999997</v>
      </c>
      <c r="AB4787">
        <v>12</v>
      </c>
      <c r="AC4787">
        <v>0.82650000000001</v>
      </c>
      <c r="AD4787">
        <v>-3.6480999999999902E-2</v>
      </c>
      <c r="AE4787">
        <v>-7.2809999999996905E-2</v>
      </c>
      <c r="AF4787">
        <v>-0.50890138970044696</v>
      </c>
      <c r="AG4787">
        <v>-3.6480999999999902E-2</v>
      </c>
      <c r="AH4787">
        <v>0.65327551140932905</v>
      </c>
      <c r="AI4787">
        <v>92.522469339047404</v>
      </c>
      <c r="AJ4787">
        <v>127.91857799839001</v>
      </c>
      <c r="AK4787">
        <v>0.82890311955449103</v>
      </c>
    </row>
    <row r="4788" spans="1:37" x14ac:dyDescent="0.2">
      <c r="A4788" t="str">
        <f>"20200111155951208"</f>
        <v>20200111155951208</v>
      </c>
      <c r="B4788" t="str">
        <f>"1578729591204752"</f>
        <v>1578729591204752</v>
      </c>
      <c r="C4788" t="s">
        <v>37</v>
      </c>
      <c r="D4788">
        <v>5.2673759999999996</v>
      </c>
      <c r="E4788">
        <v>0.28896050000000001</v>
      </c>
      <c r="F4788" t="s">
        <v>38</v>
      </c>
      <c r="G4788">
        <v>-413.6508</v>
      </c>
      <c r="H4788">
        <v>1.071949</v>
      </c>
      <c r="I4788">
        <v>26.222309999999901</v>
      </c>
      <c r="J4788">
        <v>-414.5154</v>
      </c>
      <c r="K4788">
        <v>1.10829</v>
      </c>
      <c r="L4788">
        <v>26.293520000000001</v>
      </c>
      <c r="M4788">
        <v>0.73607749999999905</v>
      </c>
      <c r="N4788">
        <v>0</v>
      </c>
      <c r="O4788">
        <v>-0.67673749999999999</v>
      </c>
      <c r="P4788">
        <v>0.80479460000000003</v>
      </c>
      <c r="Q4788">
        <v>-1.533567E-3</v>
      </c>
      <c r="R4788">
        <v>-0.59355179999999996</v>
      </c>
      <c r="S4788">
        <v>3.4276430000000002</v>
      </c>
      <c r="T4788">
        <v>-0.1352419</v>
      </c>
      <c r="U4788">
        <v>-0.42498779999999903</v>
      </c>
      <c r="V4788">
        <v>-0.1078548</v>
      </c>
      <c r="W4788">
        <v>1.2166980000000001E-2</v>
      </c>
      <c r="X4788">
        <v>0.99409219999999898</v>
      </c>
      <c r="Y4788">
        <v>-0.58022059999999998</v>
      </c>
      <c r="Z4788">
        <v>3.570475E-2</v>
      </c>
      <c r="AA4788">
        <v>0.81367639999999997</v>
      </c>
      <c r="AB4788">
        <v>12</v>
      </c>
      <c r="AC4788">
        <v>0.86459999999999504</v>
      </c>
      <c r="AD4788">
        <v>-3.6340999999999901E-2</v>
      </c>
      <c r="AE4788">
        <v>-7.12100000000042E-2</v>
      </c>
      <c r="AF4788">
        <v>-0.53181554662175301</v>
      </c>
      <c r="AG4788">
        <v>-3.6340999999999901E-2</v>
      </c>
      <c r="AH4788">
        <v>0.68347775984112502</v>
      </c>
      <c r="AI4788">
        <v>92.402940063156606</v>
      </c>
      <c r="AJ4788">
        <v>127.886563496779</v>
      </c>
      <c r="AK4788">
        <v>0.86677003415383203</v>
      </c>
    </row>
    <row r="4789" spans="1:37" x14ac:dyDescent="0.2">
      <c r="A4789" t="str">
        <f>"20200111155951225"</f>
        <v>20200111155951225</v>
      </c>
      <c r="B4789" t="str">
        <f>"1578729591215487"</f>
        <v>1578729591215487</v>
      </c>
      <c r="C4789" t="s">
        <v>37</v>
      </c>
      <c r="D4789">
        <v>4.8213559999999998</v>
      </c>
      <c r="E4789">
        <v>0.28949780000000003</v>
      </c>
      <c r="F4789" t="s">
        <v>38</v>
      </c>
      <c r="G4789">
        <v>-413.56049999999999</v>
      </c>
      <c r="H4789">
        <v>1.062225</v>
      </c>
      <c r="I4789">
        <v>26.175719999999998</v>
      </c>
      <c r="J4789">
        <v>-414.44290000000001</v>
      </c>
      <c r="K4789">
        <v>1.108266</v>
      </c>
      <c r="L4789">
        <v>26.239650000000001</v>
      </c>
      <c r="M4789">
        <v>0.74140260000000002</v>
      </c>
      <c r="N4789">
        <v>0</v>
      </c>
      <c r="O4789">
        <v>-0.67089980000000005</v>
      </c>
      <c r="P4789">
        <v>0.80989639999999996</v>
      </c>
      <c r="Q4789">
        <v>-3.6861750000000002E-4</v>
      </c>
      <c r="R4789">
        <v>-0.58657309999999996</v>
      </c>
      <c r="S4789">
        <v>3.4172669999999998</v>
      </c>
      <c r="T4789">
        <v>-0.16481699999999999</v>
      </c>
      <c r="U4789">
        <v>-0.42050169999999998</v>
      </c>
      <c r="V4789">
        <v>-0.1086022</v>
      </c>
      <c r="W4789">
        <v>1.3311770000000001E-2</v>
      </c>
      <c r="X4789">
        <v>0.99399609999999905</v>
      </c>
      <c r="Y4789">
        <v>-0.57410729999999999</v>
      </c>
      <c r="Z4789">
        <v>4.3297160000000001E-2</v>
      </c>
      <c r="AA4789">
        <v>0.81763450000000004</v>
      </c>
      <c r="AB4789">
        <v>12</v>
      </c>
      <c r="AC4789">
        <v>0.88240000000001795</v>
      </c>
      <c r="AD4789">
        <v>-4.6040999999999999E-2</v>
      </c>
      <c r="AE4789">
        <v>-6.3929999999999099E-2</v>
      </c>
      <c r="AF4789">
        <v>-0.54319175903094397</v>
      </c>
      <c r="AG4789">
        <v>-4.6040999999999999E-2</v>
      </c>
      <c r="AH4789">
        <v>0.69529643387186602</v>
      </c>
      <c r="AI4789">
        <v>92.987073512926997</v>
      </c>
      <c r="AJ4789">
        <v>127.998293388088</v>
      </c>
      <c r="AK4789">
        <v>0.88352373579608201</v>
      </c>
    </row>
    <row r="4790" spans="1:37" x14ac:dyDescent="0.2">
      <c r="A4790" t="str">
        <f>"20200111155951236"</f>
        <v>20200111155951236</v>
      </c>
      <c r="B4790" t="str">
        <f>"1578729591235007"</f>
        <v>1578729591235007</v>
      </c>
      <c r="C4790" t="s">
        <v>37</v>
      </c>
      <c r="D4790">
        <v>4.8667030000000002</v>
      </c>
      <c r="E4790">
        <v>0.29040899999999997</v>
      </c>
      <c r="F4790" t="s">
        <v>38</v>
      </c>
      <c r="G4790">
        <v>-413.47039999999998</v>
      </c>
      <c r="H4790">
        <v>1.064184</v>
      </c>
      <c r="I4790">
        <v>26.127379999999999</v>
      </c>
      <c r="J4790">
        <v>-414.39080000000001</v>
      </c>
      <c r="K4790">
        <v>1.1082459999999901</v>
      </c>
      <c r="L4790">
        <v>26.20157</v>
      </c>
      <c r="M4790">
        <v>0.7451854</v>
      </c>
      <c r="N4790">
        <v>0</v>
      </c>
      <c r="O4790">
        <v>-0.666695699999999</v>
      </c>
      <c r="P4790">
        <v>0.81338269999999901</v>
      </c>
      <c r="Q4790" s="1">
        <v>2.097338E-6</v>
      </c>
      <c r="R4790">
        <v>-0.58172900000000005</v>
      </c>
      <c r="S4790">
        <v>3.4183650000000001</v>
      </c>
      <c r="T4790">
        <v>-0.15493860000000001</v>
      </c>
      <c r="U4790">
        <v>-0.39450069999999998</v>
      </c>
      <c r="V4790">
        <v>-0.1089149</v>
      </c>
      <c r="W4790">
        <v>1.36708E-2</v>
      </c>
      <c r="X4790">
        <v>0.99395699999999998</v>
      </c>
      <c r="Y4790">
        <v>-0.57579239999999998</v>
      </c>
      <c r="Z4790">
        <v>4.0631159999999999E-2</v>
      </c>
      <c r="AA4790">
        <v>0.81658569999999997</v>
      </c>
      <c r="AB4790">
        <v>12</v>
      </c>
      <c r="AC4790">
        <v>0.92040000000002897</v>
      </c>
      <c r="AD4790">
        <v>-4.4061999999999803E-2</v>
      </c>
      <c r="AE4790">
        <v>-7.4190000000001505E-2</v>
      </c>
      <c r="AF4790">
        <v>-0.55713301565624396</v>
      </c>
      <c r="AG4790">
        <v>-4.4061999999999803E-2</v>
      </c>
      <c r="AH4790">
        <v>0.73373934147345898</v>
      </c>
      <c r="AI4790">
        <v>92.738172886049796</v>
      </c>
      <c r="AJ4790">
        <v>127.20963704697</v>
      </c>
      <c r="AK4790">
        <v>0.92234054351097805</v>
      </c>
    </row>
    <row r="4791" spans="1:37" x14ac:dyDescent="0.2">
      <c r="A4791" t="str">
        <f>"20200111155951261"</f>
        <v>20200111155951261</v>
      </c>
      <c r="B4791" t="str">
        <f>"1578729591255504"</f>
        <v>1578729591255504</v>
      </c>
      <c r="C4791" t="s">
        <v>37</v>
      </c>
      <c r="D4791">
        <v>4.8869059999999998</v>
      </c>
      <c r="E4791">
        <v>0.29112139999999997</v>
      </c>
      <c r="F4791" t="s">
        <v>38</v>
      </c>
      <c r="G4791">
        <v>-413.48430000000002</v>
      </c>
      <c r="H4791">
        <v>1.0691569999999999</v>
      </c>
      <c r="I4791">
        <v>26.100670000000001</v>
      </c>
      <c r="J4791">
        <v>-414.28559999999999</v>
      </c>
      <c r="K4791">
        <v>1.108206</v>
      </c>
      <c r="L4791">
        <v>26.125820000000001</v>
      </c>
      <c r="M4791">
        <v>0.75270019999999904</v>
      </c>
      <c r="N4791">
        <v>0</v>
      </c>
      <c r="O4791">
        <v>-0.65820029999999996</v>
      </c>
      <c r="P4791">
        <v>0.81964419999999905</v>
      </c>
      <c r="Q4791">
        <v>1.190095E-3</v>
      </c>
      <c r="R4791">
        <v>-0.57287219999999905</v>
      </c>
      <c r="S4791">
        <v>3.4163510000000001</v>
      </c>
      <c r="T4791">
        <v>-0.1473122</v>
      </c>
      <c r="U4791">
        <v>-0.38021850000000001</v>
      </c>
      <c r="V4791">
        <v>-0.108429199999999</v>
      </c>
      <c r="W4791">
        <v>1.484656E-2</v>
      </c>
      <c r="X4791">
        <v>0.99399329999999997</v>
      </c>
      <c r="Y4791">
        <v>-0.56994330000000004</v>
      </c>
      <c r="Z4791">
        <v>3.8285340000000001E-2</v>
      </c>
      <c r="AA4791">
        <v>0.82079159999999995</v>
      </c>
      <c r="AB4791">
        <v>12</v>
      </c>
      <c r="AC4791">
        <v>0.80129999999996904</v>
      </c>
      <c r="AD4791">
        <v>-3.9049000000000098E-2</v>
      </c>
      <c r="AE4791">
        <v>-2.5149999999999999E-2</v>
      </c>
      <c r="AF4791">
        <v>-0.50733646003149002</v>
      </c>
      <c r="AG4791">
        <v>-3.9049000000000098E-2</v>
      </c>
      <c r="AH4791">
        <v>0.61829208196598695</v>
      </c>
      <c r="AI4791">
        <v>92.795168564877798</v>
      </c>
      <c r="AJ4791">
        <v>129.37041822118499</v>
      </c>
      <c r="AK4791">
        <v>0.80074977783332502</v>
      </c>
    </row>
    <row r="4792" spans="1:37" x14ac:dyDescent="0.2">
      <c r="A4792" t="str">
        <f>"20200111155951298"</f>
        <v>20200111155951298</v>
      </c>
      <c r="B4792" t="str">
        <f>"1578729591295520"</f>
        <v>1578729591295520</v>
      </c>
      <c r="C4792" t="s">
        <v>37</v>
      </c>
      <c r="D4792">
        <v>5.114503</v>
      </c>
      <c r="E4792">
        <v>0.29305349999999902</v>
      </c>
      <c r="F4792" t="s">
        <v>38</v>
      </c>
      <c r="G4792">
        <v>-413.390999999999</v>
      </c>
      <c r="H4792">
        <v>1.0716049999999999</v>
      </c>
      <c r="I4792">
        <v>26.034649999999999</v>
      </c>
      <c r="J4792">
        <v>-414.12549999999999</v>
      </c>
      <c r="K4792">
        <v>1.1081510000000001</v>
      </c>
      <c r="L4792">
        <v>26.01407</v>
      </c>
      <c r="M4792">
        <v>0.76383789999999996</v>
      </c>
      <c r="N4792">
        <v>0</v>
      </c>
      <c r="O4792">
        <v>-0.6452426</v>
      </c>
      <c r="P4792">
        <v>0.82782849999999997</v>
      </c>
      <c r="Q4792">
        <v>2.9916790000000001E-3</v>
      </c>
      <c r="R4792">
        <v>-0.56097339999999996</v>
      </c>
      <c r="S4792">
        <v>3.4172359999999999</v>
      </c>
      <c r="T4792">
        <v>-0.139797</v>
      </c>
      <c r="U4792">
        <v>-0.34786990000000001</v>
      </c>
      <c r="V4792">
        <v>-0.1058099</v>
      </c>
      <c r="W4792">
        <v>1.6649730000000001E-2</v>
      </c>
      <c r="X4792">
        <v>0.99424699999999899</v>
      </c>
      <c r="Y4792">
        <v>-0.56371369999999998</v>
      </c>
      <c r="Z4792">
        <v>3.584673E-2</v>
      </c>
      <c r="AA4792">
        <v>0.82519200000000004</v>
      </c>
      <c r="AB4792">
        <v>12</v>
      </c>
      <c r="AC4792">
        <v>0.73450000000002502</v>
      </c>
      <c r="AD4792">
        <v>-3.6546000000000099E-2</v>
      </c>
      <c r="AE4792">
        <v>2.0579999999998901E-2</v>
      </c>
      <c r="AF4792">
        <v>-0.48849437738919699</v>
      </c>
      <c r="AG4792">
        <v>-3.6546000000000099E-2</v>
      </c>
      <c r="AH4792">
        <v>0.54646654858272103</v>
      </c>
      <c r="AI4792">
        <v>92.854393103506396</v>
      </c>
      <c r="AJ4792">
        <v>131.793991616965</v>
      </c>
      <c r="AK4792">
        <v>0.73388558752490196</v>
      </c>
    </row>
    <row r="4793" spans="1:37" x14ac:dyDescent="0.2">
      <c r="A4793" t="str">
        <f>"20200111155951315"</f>
        <v>20200111155951315</v>
      </c>
      <c r="B4793" t="str">
        <f>"1578729591305279"</f>
        <v>1578729591305279</v>
      </c>
      <c r="C4793" t="s">
        <v>37</v>
      </c>
      <c r="D4793">
        <v>5.1538059999999897</v>
      </c>
      <c r="E4793">
        <v>0.29414089999999998</v>
      </c>
      <c r="F4793" t="s">
        <v>38</v>
      </c>
      <c r="G4793">
        <v>-413.21710000000002</v>
      </c>
      <c r="H4793">
        <v>1.07152</v>
      </c>
      <c r="I4793">
        <v>25.93131</v>
      </c>
      <c r="J4793">
        <v>-414.0548</v>
      </c>
      <c r="K4793">
        <v>1.1081350000000001</v>
      </c>
      <c r="L4793">
        <v>25.965879999999999</v>
      </c>
      <c r="M4793">
        <v>0.76864779999999999</v>
      </c>
      <c r="N4793">
        <v>0</v>
      </c>
      <c r="O4793">
        <v>-0.63950569999999995</v>
      </c>
      <c r="P4793">
        <v>0.83071240000000002</v>
      </c>
      <c r="Q4793">
        <v>4.2760070000000001E-3</v>
      </c>
      <c r="R4793">
        <v>-0.5566854</v>
      </c>
      <c r="S4793">
        <v>3.4138790000000001</v>
      </c>
      <c r="T4793">
        <v>-0.1376542</v>
      </c>
      <c r="U4793">
        <v>-0.31073000000000001</v>
      </c>
      <c r="V4793">
        <v>-0.1035122</v>
      </c>
      <c r="W4793">
        <v>1.794654E-2</v>
      </c>
      <c r="X4793">
        <v>0.99446619999999997</v>
      </c>
      <c r="Y4793">
        <v>-0.56636839999999999</v>
      </c>
      <c r="Z4793">
        <v>3.5252650000000003E-2</v>
      </c>
      <c r="AA4793">
        <v>0.82339789999999902</v>
      </c>
      <c r="AB4793">
        <v>12</v>
      </c>
      <c r="AC4793">
        <v>0.83769999999998301</v>
      </c>
      <c r="AD4793">
        <v>-3.6615000000000002E-2</v>
      </c>
      <c r="AE4793">
        <v>-3.4569999999998602E-2</v>
      </c>
      <c r="AF4793">
        <v>-0.50822670463733499</v>
      </c>
      <c r="AG4793">
        <v>-3.6615000000000002E-2</v>
      </c>
      <c r="AH4793">
        <v>0.66480698439181596</v>
      </c>
      <c r="AI4793">
        <v>92.505383697669004</v>
      </c>
      <c r="AJ4793">
        <v>127.396920572722</v>
      </c>
      <c r="AK4793">
        <v>0.83761767413759003</v>
      </c>
    </row>
    <row r="4794" spans="1:37" x14ac:dyDescent="0.2">
      <c r="A4794" t="str">
        <f>"20200111155951327"</f>
        <v>20200111155951327</v>
      </c>
      <c r="B4794" t="str">
        <f>"1578729591324800"</f>
        <v>1578729591324800</v>
      </c>
      <c r="C4794" t="s">
        <v>37</v>
      </c>
      <c r="D4794">
        <v>4.8650310000000001</v>
      </c>
      <c r="E4794">
        <v>0.29509089999999999</v>
      </c>
      <c r="F4794" t="s">
        <v>38</v>
      </c>
      <c r="G4794">
        <v>-413.13760000000002</v>
      </c>
      <c r="H4794">
        <v>1.07009</v>
      </c>
      <c r="I4794">
        <v>25.88522</v>
      </c>
      <c r="J4794">
        <v>-413.99889999999999</v>
      </c>
      <c r="K4794">
        <v>1.1081179999999999</v>
      </c>
      <c r="L4794">
        <v>25.92831</v>
      </c>
      <c r="M4794">
        <v>0.77239799999999903</v>
      </c>
      <c r="N4794">
        <v>0</v>
      </c>
      <c r="O4794">
        <v>-0.63497139999999996</v>
      </c>
      <c r="P4794">
        <v>0.83349869999999904</v>
      </c>
      <c r="Q4794">
        <v>5.0229319999999999E-3</v>
      </c>
      <c r="R4794">
        <v>-0.55249910000000002</v>
      </c>
      <c r="S4794">
        <v>3.4109799999999999</v>
      </c>
      <c r="T4794">
        <v>-0.14149529999999999</v>
      </c>
      <c r="U4794">
        <v>-0.30010989999999999</v>
      </c>
      <c r="V4794">
        <v>-0.1026658</v>
      </c>
      <c r="W4794">
        <v>1.869314E-2</v>
      </c>
      <c r="X4794">
        <v>0.99454030000000004</v>
      </c>
      <c r="Y4794">
        <v>-0.56395119999999999</v>
      </c>
      <c r="Z4794">
        <v>3.6085649999999997E-2</v>
      </c>
      <c r="AA4794">
        <v>0.82501930000000001</v>
      </c>
      <c r="AB4794">
        <v>12</v>
      </c>
      <c r="AC4794">
        <v>0.86129999999997098</v>
      </c>
      <c r="AD4794">
        <v>-3.8027999999999902E-2</v>
      </c>
      <c r="AE4794">
        <v>-4.30899999999994E-2</v>
      </c>
      <c r="AF4794">
        <v>-0.51267594768448199</v>
      </c>
      <c r="AG4794">
        <v>-3.8027999999999902E-2</v>
      </c>
      <c r="AH4794">
        <v>0.69135661380947799</v>
      </c>
      <c r="AI4794">
        <v>92.529823194495705</v>
      </c>
      <c r="AJ4794">
        <v>126.55880733561401</v>
      </c>
      <c r="AK4794">
        <v>0.86154322211731804</v>
      </c>
    </row>
    <row r="4795" spans="1:37" x14ac:dyDescent="0.2">
      <c r="A4795" t="str">
        <f>"20200111155951340"</f>
        <v>20200111155951340</v>
      </c>
      <c r="B4795" t="str">
        <f>"1578729591335536"</f>
        <v>1578729591335536</v>
      </c>
      <c r="C4795" t="s">
        <v>37</v>
      </c>
      <c r="D4795">
        <v>4.8179080000000001</v>
      </c>
      <c r="E4795">
        <v>0.29558429999999902</v>
      </c>
      <c r="F4795" t="s">
        <v>38</v>
      </c>
      <c r="G4795">
        <v>-413.04349999999999</v>
      </c>
      <c r="H4795">
        <v>1.070117</v>
      </c>
      <c r="I4795">
        <v>25.84694</v>
      </c>
      <c r="J4795">
        <v>-413.94209999999998</v>
      </c>
      <c r="K4795">
        <v>1.108104</v>
      </c>
      <c r="L4795">
        <v>25.890720000000002</v>
      </c>
      <c r="M4795">
        <v>0.77616689999999999</v>
      </c>
      <c r="N4795">
        <v>0</v>
      </c>
      <c r="O4795">
        <v>-0.63035920000000001</v>
      </c>
      <c r="P4795">
        <v>0.8363081</v>
      </c>
      <c r="Q4795">
        <v>5.4942159999999997E-3</v>
      </c>
      <c r="R4795">
        <v>-0.54823250000000001</v>
      </c>
      <c r="S4795">
        <v>3.408112</v>
      </c>
      <c r="T4795">
        <v>-0.135525799999999</v>
      </c>
      <c r="U4795">
        <v>-0.28958129999999999</v>
      </c>
      <c r="V4795">
        <v>-0.101825</v>
      </c>
      <c r="W4795">
        <v>1.9165120000000001E-2</v>
      </c>
      <c r="X4795">
        <v>0.99461769999999905</v>
      </c>
      <c r="Y4795">
        <v>-0.56158189999999997</v>
      </c>
      <c r="Z4795">
        <v>3.4417699999999898E-2</v>
      </c>
      <c r="AA4795">
        <v>0.82670499999999902</v>
      </c>
      <c r="AB4795">
        <v>12</v>
      </c>
      <c r="AC4795">
        <v>0.89859999999998696</v>
      </c>
      <c r="AD4795">
        <v>-3.7986999999999903E-2</v>
      </c>
      <c r="AE4795">
        <v>-4.37800000000017E-2</v>
      </c>
      <c r="AF4795">
        <v>-0.53156900729687595</v>
      </c>
      <c r="AG4795">
        <v>-3.7986999999999903E-2</v>
      </c>
      <c r="AH4795">
        <v>0.72384716213526601</v>
      </c>
      <c r="AI4795">
        <v>92.422094933335003</v>
      </c>
      <c r="AJ4795">
        <v>126.292308215215</v>
      </c>
      <c r="AK4795">
        <v>0.89886780775532504</v>
      </c>
    </row>
    <row r="4796" spans="1:37" x14ac:dyDescent="0.2">
      <c r="A4796" t="str">
        <f>"20200111155951353"</f>
        <v>20200111155951353</v>
      </c>
      <c r="B4796" t="str">
        <f>"1578729591345296"</f>
        <v>1578729591345296</v>
      </c>
      <c r="C4796" t="s">
        <v>37</v>
      </c>
      <c r="D4796">
        <v>4.7880510000000003</v>
      </c>
      <c r="E4796">
        <v>0.29611599999999999</v>
      </c>
      <c r="F4796" t="s">
        <v>38</v>
      </c>
      <c r="G4796">
        <v>-413.00170000000003</v>
      </c>
      <c r="H4796">
        <v>1.0709389999999901</v>
      </c>
      <c r="I4796">
        <v>25.814450000000001</v>
      </c>
      <c r="J4796">
        <v>-413.88740000000001</v>
      </c>
      <c r="K4796">
        <v>1.108087</v>
      </c>
      <c r="L4796">
        <v>25.854979999999902</v>
      </c>
      <c r="M4796">
        <v>0.77975430000000001</v>
      </c>
      <c r="N4796">
        <v>0</v>
      </c>
      <c r="O4796">
        <v>-0.62591649999999999</v>
      </c>
      <c r="P4796">
        <v>0.83938889999999999</v>
      </c>
      <c r="Q4796">
        <v>5.6590069999999998E-3</v>
      </c>
      <c r="R4796">
        <v>-0.54350240000000005</v>
      </c>
      <c r="S4796">
        <v>3.407349</v>
      </c>
      <c r="T4796">
        <v>-0.13463989999999901</v>
      </c>
      <c r="U4796">
        <v>-0.27569579999999999</v>
      </c>
      <c r="V4796">
        <v>-0.10175969999999999</v>
      </c>
      <c r="W4796">
        <v>1.9323400000000001E-2</v>
      </c>
      <c r="X4796">
        <v>0.99462129999999904</v>
      </c>
      <c r="Y4796">
        <v>-0.56020249999999905</v>
      </c>
      <c r="Z4796">
        <v>3.4052510000000001E-2</v>
      </c>
      <c r="AA4796">
        <v>0.82765540000000004</v>
      </c>
      <c r="AB4796">
        <v>12</v>
      </c>
      <c r="AC4796">
        <v>0.88569999999998505</v>
      </c>
      <c r="AD4796">
        <v>-3.7148000000000098E-2</v>
      </c>
      <c r="AE4796">
        <v>-4.0529999999996798E-2</v>
      </c>
      <c r="AF4796">
        <v>-0.52190997553569396</v>
      </c>
      <c r="AG4796">
        <v>-3.7148000000000098E-2</v>
      </c>
      <c r="AH4796">
        <v>0.714817774675364</v>
      </c>
      <c r="AI4796">
        <v>92.403389054553003</v>
      </c>
      <c r="AJ4796">
        <v>126.134306755171</v>
      </c>
      <c r="AK4796">
        <v>0.88585238468918104</v>
      </c>
    </row>
    <row r="4797" spans="1:37" x14ac:dyDescent="0.2">
      <c r="A4797" t="str">
        <f>"20200111155951370"</f>
        <v>20200111155951370</v>
      </c>
      <c r="B4797" t="str">
        <f>"1578729591364815"</f>
        <v>1578729591364815</v>
      </c>
      <c r="C4797" t="s">
        <v>37</v>
      </c>
      <c r="D4797">
        <v>4.6969779999999997</v>
      </c>
      <c r="E4797">
        <v>0.2968654</v>
      </c>
      <c r="F4797" t="s">
        <v>38</v>
      </c>
      <c r="G4797">
        <v>-412.96199999999999</v>
      </c>
      <c r="H4797">
        <v>1.0713159999999999</v>
      </c>
      <c r="I4797">
        <v>25.784140000000001</v>
      </c>
      <c r="J4797">
        <v>-413.81099999999998</v>
      </c>
      <c r="K4797">
        <v>1.10806</v>
      </c>
      <c r="L4797">
        <v>25.805759999999999</v>
      </c>
      <c r="M4797">
        <v>0.78469789999999995</v>
      </c>
      <c r="N4797">
        <v>0</v>
      </c>
      <c r="O4797">
        <v>-0.61970760000000003</v>
      </c>
      <c r="P4797">
        <v>0.84408739999999904</v>
      </c>
      <c r="Q4797">
        <v>4.8696629999999998E-3</v>
      </c>
      <c r="R4797">
        <v>-0.53618359999999998</v>
      </c>
      <c r="S4797">
        <v>3.4064329999999998</v>
      </c>
      <c r="T4797">
        <v>-0.1353355</v>
      </c>
      <c r="U4797">
        <v>-0.26034550000000001</v>
      </c>
      <c r="V4797">
        <v>-0.10250910000000001</v>
      </c>
      <c r="W4797">
        <v>1.8517209999999999E-2</v>
      </c>
      <c r="X4797">
        <v>0.99455969999999905</v>
      </c>
      <c r="Y4797">
        <v>-0.55731249999999999</v>
      </c>
      <c r="Z4797">
        <v>3.4004470000000002E-2</v>
      </c>
      <c r="AA4797">
        <v>0.82960619999999996</v>
      </c>
      <c r="AB4797">
        <v>12</v>
      </c>
      <c r="AC4797">
        <v>0.84899999999998899</v>
      </c>
      <c r="AD4797">
        <v>-3.6744000000000103E-2</v>
      </c>
      <c r="AE4797">
        <v>-2.1619999999998599E-2</v>
      </c>
      <c r="AF4797">
        <v>-0.50826907248572695</v>
      </c>
      <c r="AG4797">
        <v>-3.6744000000000103E-2</v>
      </c>
      <c r="AH4797">
        <v>0.67840864835616199</v>
      </c>
      <c r="AI4797">
        <v>92.481995631738997</v>
      </c>
      <c r="AJ4797">
        <v>126.840838345035</v>
      </c>
      <c r="AK4797">
        <v>0.84848445227118696</v>
      </c>
    </row>
    <row r="4798" spans="1:37" x14ac:dyDescent="0.2">
      <c r="A4798" t="str">
        <f>"20200111155951383"</f>
        <v>20200111155951383</v>
      </c>
      <c r="B4798" t="str">
        <f>"1578729591375551"</f>
        <v>1578729591375551</v>
      </c>
      <c r="C4798" t="s">
        <v>37</v>
      </c>
      <c r="D4798">
        <v>4.7042359999999999</v>
      </c>
      <c r="E4798">
        <v>0.29707549999999999</v>
      </c>
      <c r="F4798" t="s">
        <v>38</v>
      </c>
      <c r="G4798">
        <v>-412.87119999999999</v>
      </c>
      <c r="H4798">
        <v>1.070594</v>
      </c>
      <c r="I4798">
        <v>25.740210000000001</v>
      </c>
      <c r="J4798">
        <v>-413.75299999999999</v>
      </c>
      <c r="K4798">
        <v>1.108042</v>
      </c>
      <c r="L4798">
        <v>25.76886</v>
      </c>
      <c r="M4798">
        <v>0.78840339999999998</v>
      </c>
      <c r="N4798">
        <v>0</v>
      </c>
      <c r="O4798">
        <v>-0.6149869</v>
      </c>
      <c r="P4798">
        <v>0.84766359999999996</v>
      </c>
      <c r="Q4798">
        <v>4.7468800000000002E-3</v>
      </c>
      <c r="R4798">
        <v>-0.53051319999999902</v>
      </c>
      <c r="S4798">
        <v>3.404846</v>
      </c>
      <c r="T4798">
        <v>-0.13569779999999901</v>
      </c>
      <c r="U4798">
        <v>-0.2362061</v>
      </c>
      <c r="V4798">
        <v>-0.10320559999999999</v>
      </c>
      <c r="W4798">
        <v>1.8380380000000002E-2</v>
      </c>
      <c r="X4798">
        <v>0.99449019999999999</v>
      </c>
      <c r="Y4798">
        <v>-0.55814839999999999</v>
      </c>
      <c r="Z4798">
        <v>3.4003319999999997E-2</v>
      </c>
      <c r="AA4798">
        <v>0.82904409999999895</v>
      </c>
      <c r="AB4798">
        <v>12</v>
      </c>
      <c r="AC4798">
        <v>0.88180000000005498</v>
      </c>
      <c r="AD4798">
        <v>-3.7447999999999898E-2</v>
      </c>
      <c r="AE4798">
        <v>-2.8649999999998899E-2</v>
      </c>
      <c r="AF4798">
        <v>-0.51882785736817905</v>
      </c>
      <c r="AG4798">
        <v>-3.7447999999999898E-2</v>
      </c>
      <c r="AH4798">
        <v>0.71162670887850099</v>
      </c>
      <c r="AI4798">
        <v>92.434850152698203</v>
      </c>
      <c r="AJ4798">
        <v>126.09478200685101</v>
      </c>
      <c r="AK4798">
        <v>0.88147448691071195</v>
      </c>
    </row>
    <row r="4799" spans="1:37" x14ac:dyDescent="0.2">
      <c r="A4799" t="str">
        <f>"20200111155951397"</f>
        <v>20200111155951397</v>
      </c>
      <c r="B4799" t="str">
        <f>"1578729591385312"</f>
        <v>1578729591385312</v>
      </c>
      <c r="C4799" t="s">
        <v>37</v>
      </c>
      <c r="D4799">
        <v>4.6861110000000004</v>
      </c>
      <c r="E4799">
        <v>0.29736979999999902</v>
      </c>
      <c r="F4799" t="s">
        <v>38</v>
      </c>
      <c r="G4799">
        <v>-412.79809999999998</v>
      </c>
      <c r="H4799">
        <v>1.0705420000000001</v>
      </c>
      <c r="I4799">
        <v>25.708259999999999</v>
      </c>
      <c r="J4799">
        <v>-413.69459999999998</v>
      </c>
      <c r="K4799">
        <v>1.1080190000000001</v>
      </c>
      <c r="L4799">
        <v>25.732420000000001</v>
      </c>
      <c r="M4799">
        <v>0.79208250000000002</v>
      </c>
      <c r="N4799">
        <v>0</v>
      </c>
      <c r="O4799">
        <v>-0.61024119999999904</v>
      </c>
      <c r="P4799">
        <v>0.85148869999999899</v>
      </c>
      <c r="Q4799">
        <v>4.3577570000000003E-3</v>
      </c>
      <c r="R4799">
        <v>-0.52435549999999997</v>
      </c>
      <c r="S4799">
        <v>3.4054259999999998</v>
      </c>
      <c r="T4799">
        <v>-0.13369329999999999</v>
      </c>
      <c r="U4799">
        <v>-0.2148438</v>
      </c>
      <c r="V4799">
        <v>-0.1044392</v>
      </c>
      <c r="W4799">
        <v>1.7972760000000001E-2</v>
      </c>
      <c r="X4799">
        <v>0.9943689</v>
      </c>
      <c r="Y4799">
        <v>-0.55838299999999996</v>
      </c>
      <c r="Z4799">
        <v>3.3372539999999999E-2</v>
      </c>
      <c r="AA4799">
        <v>0.82891170000000003</v>
      </c>
      <c r="AB4799">
        <v>12</v>
      </c>
      <c r="AC4799">
        <v>0.89650000000000296</v>
      </c>
      <c r="AD4799">
        <v>-3.7476999999999899E-2</v>
      </c>
      <c r="AE4799">
        <v>-2.4160000000001899E-2</v>
      </c>
      <c r="AF4799">
        <v>-0.52707979855033005</v>
      </c>
      <c r="AG4799">
        <v>-3.7476999999999899E-2</v>
      </c>
      <c r="AH4799">
        <v>0.72365815927789501</v>
      </c>
      <c r="AI4799">
        <v>92.397086774253097</v>
      </c>
      <c r="AJ4799">
        <v>126.06789776059</v>
      </c>
      <c r="AK4799">
        <v>0.89604618801618097</v>
      </c>
    </row>
    <row r="4800" spans="1:37" x14ac:dyDescent="0.2">
      <c r="A4800" t="str">
        <f>"20200111155951410"</f>
        <v>20200111155951410</v>
      </c>
      <c r="B4800" t="str">
        <f>"1578729591404832"</f>
        <v>1578729591404832</v>
      </c>
      <c r="C4800" t="s">
        <v>37</v>
      </c>
      <c r="D4800">
        <v>4.6874019999999996</v>
      </c>
      <c r="E4800">
        <v>0.2977708</v>
      </c>
      <c r="F4800" t="s">
        <v>38</v>
      </c>
      <c r="G4800">
        <v>-412.73230000000001</v>
      </c>
      <c r="H4800">
        <v>1.0709109999999999</v>
      </c>
      <c r="I4800">
        <v>25.6783</v>
      </c>
      <c r="J4800">
        <v>-413.63699999999898</v>
      </c>
      <c r="K4800">
        <v>1.1080019999999999</v>
      </c>
      <c r="L4800">
        <v>25.69678</v>
      </c>
      <c r="M4800">
        <v>0.79567529999999997</v>
      </c>
      <c r="N4800">
        <v>0</v>
      </c>
      <c r="O4800">
        <v>-0.60554969999999997</v>
      </c>
      <c r="P4800">
        <v>0.85522900000000002</v>
      </c>
      <c r="Q4800">
        <v>4.150908E-3</v>
      </c>
      <c r="R4800">
        <v>-0.51823399999999997</v>
      </c>
      <c r="S4800">
        <v>3.40564</v>
      </c>
      <c r="T4800">
        <v>-0.13134860000000001</v>
      </c>
      <c r="U4800">
        <v>-0.19207759999999999</v>
      </c>
      <c r="V4800">
        <v>-0.105693699999999</v>
      </c>
      <c r="W4800">
        <v>1.7748199999999999E-2</v>
      </c>
      <c r="X4800">
        <v>0.99424029999999997</v>
      </c>
      <c r="Y4800">
        <v>-0.55903809999999998</v>
      </c>
      <c r="Z4800">
        <v>3.2673580000000001E-2</v>
      </c>
      <c r="AA4800">
        <v>0.82849789999999901</v>
      </c>
      <c r="AB4800">
        <v>12</v>
      </c>
      <c r="AC4800">
        <v>0.904699999999934</v>
      </c>
      <c r="AD4800">
        <v>-3.7090999999999902E-2</v>
      </c>
      <c r="AE4800">
        <v>-1.8480000000000201E-2</v>
      </c>
      <c r="AF4800">
        <v>-0.53229848438863303</v>
      </c>
      <c r="AG4800">
        <v>-3.7090999999999902E-2</v>
      </c>
      <c r="AH4800">
        <v>0.72988859300087605</v>
      </c>
      <c r="AI4800">
        <v>92.351154662337294</v>
      </c>
      <c r="AJ4800">
        <v>126.10279640374701</v>
      </c>
      <c r="AK4800">
        <v>0.90413205725504298</v>
      </c>
    </row>
    <row r="4801" spans="1:37" x14ac:dyDescent="0.2">
      <c r="A4801" t="str">
        <f>"20200111155951426"</f>
        <v>20200111155951426</v>
      </c>
      <c r="B4801" t="str">
        <f>"1578729591415567"</f>
        <v>1578729591415567</v>
      </c>
      <c r="C4801" t="s">
        <v>37</v>
      </c>
      <c r="D4801">
        <v>4.6886939999999999</v>
      </c>
      <c r="E4801">
        <v>0.2982107</v>
      </c>
      <c r="F4801" t="s">
        <v>38</v>
      </c>
      <c r="G4801">
        <v>-412.65960000000001</v>
      </c>
      <c r="H4801">
        <v>1.0712059999999901</v>
      </c>
      <c r="I4801">
        <v>25.647879999999901</v>
      </c>
      <c r="J4801">
        <v>-413.56389999999999</v>
      </c>
      <c r="K4801">
        <v>1.10798</v>
      </c>
      <c r="L4801">
        <v>25.652190000000001</v>
      </c>
      <c r="M4801">
        <v>0.80017179999999999</v>
      </c>
      <c r="N4801">
        <v>0</v>
      </c>
      <c r="O4801">
        <v>-0.59959560000000001</v>
      </c>
      <c r="P4801">
        <v>0.86037589999999997</v>
      </c>
      <c r="Q4801">
        <v>4.9966409999999996E-3</v>
      </c>
      <c r="R4801">
        <v>-0.50963570000000002</v>
      </c>
      <c r="S4801">
        <v>3.4051819999999999</v>
      </c>
      <c r="T4801">
        <v>-0.1281978</v>
      </c>
      <c r="U4801">
        <v>-0.17037959999999999</v>
      </c>
      <c r="V4801">
        <v>-0.1082433</v>
      </c>
      <c r="W4801">
        <v>1.8562510000000001E-2</v>
      </c>
      <c r="X4801">
        <v>0.99395109999999998</v>
      </c>
      <c r="Y4801">
        <v>-0.55815319999999902</v>
      </c>
      <c r="Z4801">
        <v>3.1715769999999997E-2</v>
      </c>
      <c r="AA4801">
        <v>0.82913150000000002</v>
      </c>
      <c r="AB4801">
        <v>12</v>
      </c>
      <c r="AC4801">
        <v>0.90429999999997801</v>
      </c>
      <c r="AD4801">
        <v>-3.6774000000000001E-2</v>
      </c>
      <c r="AE4801">
        <v>-4.3100000000038099E-3</v>
      </c>
      <c r="AF4801">
        <v>-0.53793263677939096</v>
      </c>
      <c r="AG4801">
        <v>-3.6774000000000001E-2</v>
      </c>
      <c r="AH4801">
        <v>0.72505695248754698</v>
      </c>
      <c r="AI4801">
        <v>92.332510523877005</v>
      </c>
      <c r="AJ4801">
        <v>126.572376349975</v>
      </c>
      <c r="AK4801">
        <v>0.903565953950765</v>
      </c>
    </row>
    <row r="4802" spans="1:37" x14ac:dyDescent="0.2">
      <c r="A4802" t="str">
        <f>"20200111155951438"</f>
        <v>20200111155951438</v>
      </c>
      <c r="B4802" t="str">
        <f>"1578729591435090"</f>
        <v>1578729591435090</v>
      </c>
      <c r="C4802" t="s">
        <v>37</v>
      </c>
      <c r="D4802">
        <v>4.8176319999999997</v>
      </c>
      <c r="E4802">
        <v>0.29938520000000002</v>
      </c>
      <c r="F4802" t="s">
        <v>38</v>
      </c>
      <c r="G4802">
        <v>-412.5086</v>
      </c>
      <c r="H4802">
        <v>1.0708070000000001</v>
      </c>
      <c r="I4802">
        <v>25.60923</v>
      </c>
      <c r="J4802">
        <v>-413.50869999999998</v>
      </c>
      <c r="K4802">
        <v>1.10796299999999</v>
      </c>
      <c r="L4802">
        <v>25.61917</v>
      </c>
      <c r="M4802">
        <v>0.80350940000000004</v>
      </c>
      <c r="N4802">
        <v>0</v>
      </c>
      <c r="O4802">
        <v>-0.59511550000000002</v>
      </c>
      <c r="P4802">
        <v>0.86395129999999998</v>
      </c>
      <c r="Q4802">
        <v>5.3382359999999997E-3</v>
      </c>
      <c r="R4802">
        <v>-0.50354759999999998</v>
      </c>
      <c r="S4802">
        <v>3.4051209999999998</v>
      </c>
      <c r="T4802">
        <v>-0.1199621</v>
      </c>
      <c r="U4802">
        <v>-0.13912959999999999</v>
      </c>
      <c r="V4802">
        <v>-0.1097094</v>
      </c>
      <c r="W4802">
        <v>1.8884789999999999E-2</v>
      </c>
      <c r="X4802">
        <v>0.99378429999999995</v>
      </c>
      <c r="Y4802">
        <v>-0.56120349999999997</v>
      </c>
      <c r="Z4802">
        <v>2.96276E-2</v>
      </c>
      <c r="AA4802">
        <v>0.82714739999999998</v>
      </c>
      <c r="AB4802">
        <v>12</v>
      </c>
      <c r="AC4802">
        <v>1.00009999999997</v>
      </c>
      <c r="AD4802">
        <v>-3.7155999999999703E-2</v>
      </c>
      <c r="AE4802">
        <v>-9.9400000000002802E-3</v>
      </c>
      <c r="AF4802">
        <v>-0.58644046785100401</v>
      </c>
      <c r="AG4802">
        <v>-3.7155999999999703E-2</v>
      </c>
      <c r="AH4802">
        <v>0.80847446483638596</v>
      </c>
      <c r="AI4802">
        <v>92.130519241105205</v>
      </c>
      <c r="AJ4802">
        <v>125.955881730008</v>
      </c>
      <c r="AK4802">
        <v>0.99946183066777805</v>
      </c>
    </row>
    <row r="4803" spans="1:37" x14ac:dyDescent="0.2">
      <c r="A4803" t="str">
        <f>"20200111155951450"</f>
        <v>20200111155951450</v>
      </c>
      <c r="B4803" t="str">
        <f>"1578729591444848"</f>
        <v>1578729591444848</v>
      </c>
      <c r="C4803" t="s">
        <v>37</v>
      </c>
      <c r="D4803">
        <v>4.7859759999999998</v>
      </c>
      <c r="E4803">
        <v>0.29994549999999998</v>
      </c>
      <c r="F4803" t="s">
        <v>78</v>
      </c>
      <c r="G4803">
        <v>-380.85199999999998</v>
      </c>
      <c r="H4803" s="1">
        <v>-5.2555309999999997E-6</v>
      </c>
      <c r="I4803">
        <v>24.4375</v>
      </c>
      <c r="J4803">
        <v>-413.4547</v>
      </c>
      <c r="K4803">
        <v>1.1079399999999999</v>
      </c>
      <c r="L4803">
        <v>25.5871</v>
      </c>
      <c r="M4803">
        <v>0.80674590000000002</v>
      </c>
      <c r="N4803">
        <v>0</v>
      </c>
      <c r="O4803">
        <v>-0.59072080000000005</v>
      </c>
      <c r="P4803">
        <v>0.86742160000000001</v>
      </c>
      <c r="Q4803">
        <v>6.4264109999999999E-3</v>
      </c>
      <c r="R4803">
        <v>-0.49753219999999998</v>
      </c>
      <c r="S4803">
        <v>3.401367</v>
      </c>
      <c r="T4803">
        <v>-0.11540060000000001</v>
      </c>
      <c r="U4803">
        <v>-0.123077399999999</v>
      </c>
      <c r="V4803">
        <v>-0.111193</v>
      </c>
      <c r="W4803">
        <v>1.9954139999999999E-2</v>
      </c>
      <c r="X4803">
        <v>0.99359850000000005</v>
      </c>
      <c r="Y4803">
        <v>-0.56059869999999901</v>
      </c>
      <c r="Z4803">
        <v>2.841202E-2</v>
      </c>
      <c r="AA4803">
        <v>0.8276</v>
      </c>
      <c r="AB4803">
        <v>12</v>
      </c>
      <c r="AC4803">
        <v>32.602699999999999</v>
      </c>
      <c r="AD4803">
        <v>-1.1079452555310001</v>
      </c>
      <c r="AE4803">
        <v>-1.14959999999999</v>
      </c>
      <c r="AF4803">
        <v>-18.312460895348199</v>
      </c>
      <c r="AG4803">
        <v>-1.1079452555310001</v>
      </c>
      <c r="AH4803">
        <v>26.952932292140002</v>
      </c>
      <c r="AI4803">
        <v>91.947380915614303</v>
      </c>
      <c r="AJ4803">
        <v>124.193116933567</v>
      </c>
      <c r="AK4803">
        <v>32.604207180632301</v>
      </c>
    </row>
    <row r="4804" spans="1:37" x14ac:dyDescent="0.2">
      <c r="A4804" t="str">
        <f>"20200111155951463"</f>
        <v>20200111155951463</v>
      </c>
      <c r="B4804" t="str">
        <f>"1578729591455584"</f>
        <v>1578729591455584</v>
      </c>
      <c r="C4804" t="s">
        <v>37</v>
      </c>
      <c r="D4804">
        <v>5.0063170000000001</v>
      </c>
      <c r="E4804">
        <v>0.29994549999999998</v>
      </c>
      <c r="F4804" t="s">
        <v>76</v>
      </c>
      <c r="G4804">
        <v>-379.18310000000002</v>
      </c>
      <c r="H4804" s="1">
        <v>-1.678237E-6</v>
      </c>
      <c r="I4804">
        <v>24.545850000000002</v>
      </c>
      <c r="J4804">
        <v>-413.39440000000002</v>
      </c>
      <c r="K4804">
        <v>1.107918</v>
      </c>
      <c r="L4804">
        <v>25.551760000000002</v>
      </c>
      <c r="M4804">
        <v>0.81030429999999998</v>
      </c>
      <c r="N4804">
        <v>0</v>
      </c>
      <c r="O4804">
        <v>-0.58583069999999904</v>
      </c>
      <c r="P4804">
        <v>0.87103439999999999</v>
      </c>
      <c r="Q4804">
        <v>7.0871329999999998E-3</v>
      </c>
      <c r="R4804">
        <v>-0.49117119999999997</v>
      </c>
      <c r="S4804">
        <v>3.4000849999999998</v>
      </c>
      <c r="T4804">
        <v>-0.10991910000000001</v>
      </c>
      <c r="U4804">
        <v>-0.103302</v>
      </c>
      <c r="V4804">
        <v>-0.1124555</v>
      </c>
      <c r="W4804">
        <v>2.0598689999999999E-2</v>
      </c>
      <c r="X4804">
        <v>0.99344330000000003</v>
      </c>
      <c r="Y4804">
        <v>-0.5604481</v>
      </c>
      <c r="Z4804">
        <v>2.6953270000000001E-2</v>
      </c>
      <c r="AA4804">
        <v>0.82775089999999996</v>
      </c>
      <c r="AB4804">
        <v>12</v>
      </c>
      <c r="AC4804">
        <v>34.211299999999902</v>
      </c>
      <c r="AD4804">
        <v>-1.107919678237</v>
      </c>
      <c r="AE4804">
        <v>-1.0059100000000001</v>
      </c>
      <c r="AF4804">
        <v>-19.208821252736701</v>
      </c>
      <c r="AG4804">
        <v>-1.107919678237</v>
      </c>
      <c r="AH4804">
        <v>28.284182328250601</v>
      </c>
      <c r="AI4804">
        <v>91.855994055779703</v>
      </c>
      <c r="AJ4804">
        <v>124.181858154803</v>
      </c>
      <c r="AK4804">
        <v>34.208204716277301</v>
      </c>
    </row>
    <row r="4805" spans="1:37" x14ac:dyDescent="0.2">
      <c r="A4805" t="str">
        <f>"20200111155951476"</f>
        <v>20200111155951476</v>
      </c>
      <c r="B4805" t="str">
        <f>"1578729591465344"</f>
        <v>1578729591465344</v>
      </c>
      <c r="C4805" t="s">
        <v>37</v>
      </c>
      <c r="D4805">
        <v>4.9099320000000004</v>
      </c>
      <c r="E4805">
        <v>0.32195889999999999</v>
      </c>
      <c r="F4805" t="s">
        <v>76</v>
      </c>
      <c r="G4805">
        <v>-378.1019</v>
      </c>
      <c r="H4805" s="1">
        <v>-2.2406729999999999E-6</v>
      </c>
      <c r="I4805">
        <v>24.738800000000001</v>
      </c>
      <c r="J4805">
        <v>-413.33920000000001</v>
      </c>
      <c r="K4805">
        <v>1.107891</v>
      </c>
      <c r="L4805">
        <v>25.519960000000001</v>
      </c>
      <c r="M4805">
        <v>0.81351309999999999</v>
      </c>
      <c r="N4805">
        <v>0</v>
      </c>
      <c r="O4805">
        <v>-0.58136679999999996</v>
      </c>
      <c r="P4805">
        <v>0.8742415</v>
      </c>
      <c r="Q4805">
        <v>7.7987339999999999E-3</v>
      </c>
      <c r="R4805">
        <v>-0.48542879999999899</v>
      </c>
      <c r="S4805">
        <v>3.4008790000000002</v>
      </c>
      <c r="T4805">
        <v>-0.1067621</v>
      </c>
      <c r="U4805">
        <v>-7.8338619999999998E-2</v>
      </c>
      <c r="V4805">
        <v>-0.11353149999999999</v>
      </c>
      <c r="W4805">
        <v>2.1295669999999999E-2</v>
      </c>
      <c r="X4805">
        <v>0.99330620000000003</v>
      </c>
      <c r="Y4805">
        <v>-0.56200569999999905</v>
      </c>
      <c r="Z4805">
        <v>2.609564E-2</v>
      </c>
      <c r="AA4805">
        <v>0.82672159999999995</v>
      </c>
      <c r="AB4805">
        <v>12</v>
      </c>
      <c r="AC4805">
        <v>35.237299999999998</v>
      </c>
      <c r="AD4805">
        <v>-1.107893240673</v>
      </c>
      <c r="AE4805">
        <v>-0.78115999999999897</v>
      </c>
      <c r="AF4805">
        <v>-19.832792212883799</v>
      </c>
      <c r="AG4805">
        <v>-1.107893240673</v>
      </c>
      <c r="AH4805">
        <v>29.0944436944269</v>
      </c>
      <c r="AI4805">
        <v>91.802174610705293</v>
      </c>
      <c r="AJ4805">
        <v>124.28105758031499</v>
      </c>
      <c r="AK4805">
        <v>35.228592482248402</v>
      </c>
    </row>
    <row r="4806" spans="1:37" x14ac:dyDescent="0.2">
      <c r="A4806" t="str">
        <f>"20200111155951494"</f>
        <v>20200111155951494</v>
      </c>
      <c r="B4806" t="str">
        <f>"1578729591484864"</f>
        <v>1578729591484864</v>
      </c>
      <c r="C4806" t="s">
        <v>37</v>
      </c>
      <c r="D4806">
        <v>4.9909379999999999</v>
      </c>
      <c r="E4806">
        <v>0.32457439999999999</v>
      </c>
      <c r="F4806" t="s">
        <v>38</v>
      </c>
      <c r="G4806">
        <v>-412.44720000000001</v>
      </c>
      <c r="H4806">
        <v>1.0446930000000001</v>
      </c>
      <c r="I4806">
        <v>25.464770000000001</v>
      </c>
      <c r="J4806">
        <v>-413.25699999999898</v>
      </c>
      <c r="K4806">
        <v>1.1078399999999999</v>
      </c>
      <c r="L4806">
        <v>25.473109999999998</v>
      </c>
      <c r="M4806">
        <v>0.8182142</v>
      </c>
      <c r="N4806">
        <v>0</v>
      </c>
      <c r="O4806">
        <v>-0.57473229999999997</v>
      </c>
      <c r="P4806">
        <v>0.87898729999999903</v>
      </c>
      <c r="Q4806">
        <v>8.1572929999999995E-3</v>
      </c>
      <c r="R4806">
        <v>-0.47677559999999902</v>
      </c>
      <c r="S4806">
        <v>3.3196720000000002</v>
      </c>
      <c r="T4806">
        <v>-0.23517189999999999</v>
      </c>
      <c r="U4806">
        <v>-0.2052002</v>
      </c>
      <c r="V4806">
        <v>-0.1152569</v>
      </c>
      <c r="W4806">
        <v>2.1632720000000001E-2</v>
      </c>
      <c r="X4806">
        <v>0.99310010000000004</v>
      </c>
      <c r="Y4806">
        <v>-0.520644</v>
      </c>
      <c r="Z4806">
        <v>5.6822119999999997E-2</v>
      </c>
      <c r="AA4806">
        <v>0.85188090000000005</v>
      </c>
      <c r="AB4806">
        <v>12</v>
      </c>
      <c r="AC4806">
        <v>0.80979999999993801</v>
      </c>
      <c r="AD4806">
        <v>-6.3146999999999801E-2</v>
      </c>
      <c r="AE4806">
        <v>-8.3400000000004495E-3</v>
      </c>
      <c r="AF4806">
        <v>-0.45587038798842</v>
      </c>
      <c r="AG4806">
        <v>-6.3146999999999801E-2</v>
      </c>
      <c r="AH4806">
        <v>0.66341905716039995</v>
      </c>
      <c r="AI4806">
        <v>94.485579209804499</v>
      </c>
      <c r="AJ4806">
        <v>124.49501983962</v>
      </c>
      <c r="AK4806">
        <v>0.807421946479848</v>
      </c>
    </row>
    <row r="4807" spans="1:37" x14ac:dyDescent="0.2">
      <c r="A4807" t="str">
        <f>"20200111155951508"</f>
        <v>20200111155951508</v>
      </c>
      <c r="B4807" t="str">
        <f>"1578729591505359"</f>
        <v>1578729591505359</v>
      </c>
      <c r="C4807" t="s">
        <v>37</v>
      </c>
      <c r="D4807">
        <v>4.9391749999999996</v>
      </c>
      <c r="E4807">
        <v>0.32532719999999998</v>
      </c>
      <c r="F4807" t="s">
        <v>38</v>
      </c>
      <c r="G4807">
        <v>-412.3571</v>
      </c>
      <c r="H4807">
        <v>1.045426</v>
      </c>
      <c r="I4807">
        <v>25.42126</v>
      </c>
      <c r="J4807">
        <v>-413.19900000000001</v>
      </c>
      <c r="K4807">
        <v>1.107799</v>
      </c>
      <c r="L4807">
        <v>25.440460000000002</v>
      </c>
      <c r="M4807">
        <v>0.82146640000000004</v>
      </c>
      <c r="N4807">
        <v>0</v>
      </c>
      <c r="O4807">
        <v>-0.57007430000000003</v>
      </c>
      <c r="P4807">
        <v>0.88181239999999905</v>
      </c>
      <c r="Q4807">
        <v>8.0664059999999999E-3</v>
      </c>
      <c r="R4807">
        <v>-0.4715316</v>
      </c>
      <c r="S4807">
        <v>3.3117679999999998</v>
      </c>
      <c r="T4807">
        <v>-0.22969009999999901</v>
      </c>
      <c r="U4807">
        <v>-0.19064329999999999</v>
      </c>
      <c r="V4807">
        <v>-0.11552799999999901</v>
      </c>
      <c r="W4807">
        <v>2.1536420000000001E-2</v>
      </c>
      <c r="X4807">
        <v>0.99307069999999997</v>
      </c>
      <c r="Y4807">
        <v>-0.51952229999999999</v>
      </c>
      <c r="Z4807">
        <v>5.5347970000000003E-2</v>
      </c>
      <c r="AA4807">
        <v>0.85266239999999904</v>
      </c>
      <c r="AB4807">
        <v>12</v>
      </c>
      <c r="AC4807">
        <v>0.84190000000000897</v>
      </c>
      <c r="AD4807">
        <v>-6.2372999999999998E-2</v>
      </c>
      <c r="AE4807">
        <v>-1.92000000000014E-2</v>
      </c>
      <c r="AF4807">
        <v>-0.461688965986088</v>
      </c>
      <c r="AG4807">
        <v>-6.2372999999999998E-2</v>
      </c>
      <c r="AH4807">
        <v>0.69877773860586101</v>
      </c>
      <c r="AI4807">
        <v>94.259129533831498</v>
      </c>
      <c r="AJ4807">
        <v>123.45311148322099</v>
      </c>
      <c r="AK4807">
        <v>0.83984368808333898</v>
      </c>
    </row>
    <row r="4808" spans="1:37" x14ac:dyDescent="0.2">
      <c r="A4808" t="str">
        <f>"20200111155951520"</f>
        <v>20200111155951520</v>
      </c>
      <c r="B4808" t="str">
        <f>"1578729591515120"</f>
        <v>1578729591515120</v>
      </c>
      <c r="C4808" t="s">
        <v>37</v>
      </c>
      <c r="D4808">
        <v>5.0329069999999998</v>
      </c>
      <c r="E4808">
        <v>0.32641740000000002</v>
      </c>
      <c r="F4808" t="s">
        <v>38</v>
      </c>
      <c r="G4808">
        <v>-412.26199999999898</v>
      </c>
      <c r="H4808">
        <v>1.0426660000000001</v>
      </c>
      <c r="I4808">
        <v>25.39058</v>
      </c>
      <c r="J4808">
        <v>-413.14229999999998</v>
      </c>
      <c r="K4808">
        <v>1.1077539999999999</v>
      </c>
      <c r="L4808">
        <v>25.40906</v>
      </c>
      <c r="M4808">
        <v>0.82458659999999995</v>
      </c>
      <c r="N4808">
        <v>0</v>
      </c>
      <c r="O4808">
        <v>-0.56555219999999995</v>
      </c>
      <c r="P4808">
        <v>0.8845885</v>
      </c>
      <c r="Q4808">
        <v>7.8477530000000007E-3</v>
      </c>
      <c r="R4808">
        <v>-0.46630670000000002</v>
      </c>
      <c r="S4808">
        <v>3.3100589999999999</v>
      </c>
      <c r="T4808">
        <v>-0.23008609999999999</v>
      </c>
      <c r="U4808">
        <v>-0.17605589999999999</v>
      </c>
      <c r="V4808">
        <v>-0.1159434</v>
      </c>
      <c r="W4808">
        <v>2.1310450000000002E-2</v>
      </c>
      <c r="X4808">
        <v>0.993027199999999</v>
      </c>
      <c r="Y4808">
        <v>-0.51855309999999999</v>
      </c>
      <c r="Z4808">
        <v>5.519748E-2</v>
      </c>
      <c r="AA4808">
        <v>0.85326190000000002</v>
      </c>
      <c r="AB4808">
        <v>12</v>
      </c>
      <c r="AC4808">
        <v>0.88030000000003295</v>
      </c>
      <c r="AD4808">
        <v>-6.5087999999999993E-2</v>
      </c>
      <c r="AE4808">
        <v>-1.8480000000000201E-2</v>
      </c>
      <c r="AF4808">
        <v>-0.48004416310417902</v>
      </c>
      <c r="AG4808">
        <v>-6.5087999999999993E-2</v>
      </c>
      <c r="AH4808">
        <v>0.732409211983022</v>
      </c>
      <c r="AI4808">
        <v>94.250755154025299</v>
      </c>
      <c r="AJ4808">
        <v>123.24210125790199</v>
      </c>
      <c r="AK4808">
        <v>0.878124193990795</v>
      </c>
    </row>
    <row r="4809" spans="1:37" x14ac:dyDescent="0.2">
      <c r="A4809" t="str">
        <f>"20200111155951532"</f>
        <v>20200111155951532</v>
      </c>
      <c r="B4809" t="str">
        <f>"1578729591524880"</f>
        <v>1578729591524880</v>
      </c>
      <c r="C4809" t="s">
        <v>37</v>
      </c>
      <c r="D4809">
        <v>5.0278890000000001</v>
      </c>
      <c r="E4809">
        <v>0.32725679999999902</v>
      </c>
      <c r="F4809" t="s">
        <v>38</v>
      </c>
      <c r="G4809">
        <v>-412.27210000000002</v>
      </c>
      <c r="H4809">
        <v>1.0460229999999999</v>
      </c>
      <c r="I4809">
        <v>25.3659</v>
      </c>
      <c r="J4809">
        <v>-413.0865</v>
      </c>
      <c r="K4809">
        <v>1.1077049999999999</v>
      </c>
      <c r="L4809">
        <v>25.37848</v>
      </c>
      <c r="M4809">
        <v>0.82760599999999995</v>
      </c>
      <c r="N4809">
        <v>0</v>
      </c>
      <c r="O4809">
        <v>-0.56112510000000004</v>
      </c>
      <c r="P4809">
        <v>0.88719210000000004</v>
      </c>
      <c r="Q4809">
        <v>7.7159209999999997E-3</v>
      </c>
      <c r="R4809">
        <v>-0.46133609999999903</v>
      </c>
      <c r="S4809">
        <v>3.3070680000000001</v>
      </c>
      <c r="T4809">
        <v>-0.23458619999999999</v>
      </c>
      <c r="U4809">
        <v>-0.16384889999999999</v>
      </c>
      <c r="V4809">
        <v>-0.11619</v>
      </c>
      <c r="W4809">
        <v>2.1173150000000002E-2</v>
      </c>
      <c r="X4809">
        <v>0.99300129999999998</v>
      </c>
      <c r="Y4809">
        <v>-0.51698639999999996</v>
      </c>
      <c r="Z4809">
        <v>5.6024560000000001E-2</v>
      </c>
      <c r="AA4809">
        <v>0.85415819999999998</v>
      </c>
      <c r="AB4809">
        <v>12</v>
      </c>
      <c r="AC4809">
        <v>0.81439999999997703</v>
      </c>
      <c r="AD4809">
        <v>-6.1682000000000001E-2</v>
      </c>
      <c r="AE4809">
        <v>-1.25799999999998E-2</v>
      </c>
      <c r="AF4809">
        <v>-0.44406845164859898</v>
      </c>
      <c r="AG4809">
        <v>-6.1682000000000001E-2</v>
      </c>
      <c r="AH4809">
        <v>0.67724770313022498</v>
      </c>
      <c r="AI4809">
        <v>94.3554939512331</v>
      </c>
      <c r="AJ4809">
        <v>123.252686177415</v>
      </c>
      <c r="AK4809">
        <v>0.81219819642052304</v>
      </c>
    </row>
    <row r="4810" spans="1:37" x14ac:dyDescent="0.2">
      <c r="A4810" t="str">
        <f>"20200111155951549"</f>
        <v>20200111155951549</v>
      </c>
      <c r="B4810" t="str">
        <f>"1578729591545376"</f>
        <v>1578729591545376</v>
      </c>
      <c r="C4810" t="s">
        <v>37</v>
      </c>
      <c r="D4810">
        <v>5.0796919999999997</v>
      </c>
      <c r="E4810">
        <v>0.34206379999999997</v>
      </c>
      <c r="F4810" t="s">
        <v>38</v>
      </c>
      <c r="G4810">
        <v>-412.17649999999998</v>
      </c>
      <c r="H4810">
        <v>1.042665</v>
      </c>
      <c r="I4810">
        <v>25.33672</v>
      </c>
      <c r="J4810">
        <v>-413.01179999999999</v>
      </c>
      <c r="K4810">
        <v>1.1076299999999999</v>
      </c>
      <c r="L4810">
        <v>25.337979999999899</v>
      </c>
      <c r="M4810">
        <v>0.83156749999999902</v>
      </c>
      <c r="N4810">
        <v>0</v>
      </c>
      <c r="O4810">
        <v>-0.55523769999999995</v>
      </c>
      <c r="P4810">
        <v>0.89052030000000004</v>
      </c>
      <c r="Q4810">
        <v>6.7057159999999996E-3</v>
      </c>
      <c r="R4810">
        <v>-0.45489409999999902</v>
      </c>
      <c r="S4810">
        <v>3.3049620000000002</v>
      </c>
      <c r="T4810">
        <v>-0.2361721</v>
      </c>
      <c r="U4810">
        <v>-0.151001</v>
      </c>
      <c r="V4810">
        <v>-0.11633299999999901</v>
      </c>
      <c r="W4810">
        <v>2.0156750000000001E-2</v>
      </c>
      <c r="X4810">
        <v>0.99300569999999899</v>
      </c>
      <c r="Y4810">
        <v>-0.51418390000000003</v>
      </c>
      <c r="Z4810">
        <v>5.6003190000000001E-2</v>
      </c>
      <c r="AA4810">
        <v>0.85584959999999899</v>
      </c>
      <c r="AB4810">
        <v>12</v>
      </c>
      <c r="AC4810">
        <v>0.83530000000001703</v>
      </c>
      <c r="AD4810">
        <v>-6.4964999999999898E-2</v>
      </c>
      <c r="AE4810">
        <v>-1.25999999999848E-3</v>
      </c>
      <c r="AF4810">
        <v>-0.460007564478985</v>
      </c>
      <c r="AG4810">
        <v>-6.4964999999999898E-2</v>
      </c>
      <c r="AH4810">
        <v>0.69119880597217798</v>
      </c>
      <c r="AI4810">
        <v>94.473981926945797</v>
      </c>
      <c r="AJ4810">
        <v>123.6446131387</v>
      </c>
      <c r="AK4810">
        <v>0.83281642633911301</v>
      </c>
    </row>
    <row r="4811" spans="1:37" x14ac:dyDescent="0.2">
      <c r="A4811" t="str">
        <f>"20200111155951561"</f>
        <v>20200111155951561</v>
      </c>
      <c r="B4811" t="str">
        <f>"1578729591555136"</f>
        <v>1578729591555136</v>
      </c>
      <c r="C4811" t="s">
        <v>37</v>
      </c>
      <c r="D4811">
        <v>5.0551199999999996</v>
      </c>
      <c r="E4811">
        <v>0.34212729999999902</v>
      </c>
      <c r="F4811" t="s">
        <v>38</v>
      </c>
      <c r="G4811">
        <v>-412.09480000000002</v>
      </c>
      <c r="H4811">
        <v>1.031714</v>
      </c>
      <c r="I4811">
        <v>25.273019999999999</v>
      </c>
      <c r="J4811">
        <v>-412.95460000000003</v>
      </c>
      <c r="K4811">
        <v>1.107569</v>
      </c>
      <c r="L4811">
        <v>25.307369999999999</v>
      </c>
      <c r="M4811">
        <v>0.83453140000000003</v>
      </c>
      <c r="N4811">
        <v>0</v>
      </c>
      <c r="O4811">
        <v>-0.55077349999999903</v>
      </c>
      <c r="P4811">
        <v>0.89281650000000001</v>
      </c>
      <c r="Q4811">
        <v>6.2446200000000002E-3</v>
      </c>
      <c r="R4811">
        <v>-0.45037700000000003</v>
      </c>
      <c r="S4811">
        <v>3.2531430000000001</v>
      </c>
      <c r="T4811">
        <v>-0.2692988</v>
      </c>
      <c r="U4811">
        <v>-0.23043820000000001</v>
      </c>
      <c r="V4811">
        <v>-0.11603769999999999</v>
      </c>
      <c r="W4811">
        <v>1.969431E-2</v>
      </c>
      <c r="X4811">
        <v>0.99304959999999898</v>
      </c>
      <c r="Y4811">
        <v>-0.48715069999999999</v>
      </c>
      <c r="Z4811">
        <v>6.3298519999999997E-2</v>
      </c>
      <c r="AA4811">
        <v>0.87102099999999905</v>
      </c>
      <c r="AB4811">
        <v>12</v>
      </c>
      <c r="AC4811">
        <v>0.859800000000007</v>
      </c>
      <c r="AD4811">
        <v>-7.5854999999999895E-2</v>
      </c>
      <c r="AE4811">
        <v>-3.4349999999999797E-2</v>
      </c>
      <c r="AF4811">
        <v>-0.44150375143565901</v>
      </c>
      <c r="AG4811">
        <v>-7.5854999999999895E-2</v>
      </c>
      <c r="AH4811">
        <v>0.73084554125510703</v>
      </c>
      <c r="AI4811">
        <v>95.076756565125706</v>
      </c>
      <c r="AJ4811">
        <v>121.136171761789</v>
      </c>
      <c r="AK4811">
        <v>0.85721336243039903</v>
      </c>
    </row>
    <row r="4812" spans="1:37" x14ac:dyDescent="0.2">
      <c r="A4812" t="str">
        <f>"20200111155951573"</f>
        <v>20200111155951573</v>
      </c>
      <c r="B4812" t="str">
        <f>"1578729591564895"</f>
        <v>1578729591564895</v>
      </c>
      <c r="C4812" t="s">
        <v>37</v>
      </c>
      <c r="D4812">
        <v>4.8455779999999997</v>
      </c>
      <c r="E4812">
        <v>0.33996679999999901</v>
      </c>
      <c r="F4812" t="s">
        <v>38</v>
      </c>
      <c r="G4812">
        <v>-412.09789999999998</v>
      </c>
      <c r="H4812">
        <v>1.035255</v>
      </c>
      <c r="I4812">
        <v>25.251069999999999</v>
      </c>
      <c r="J4812">
        <v>-412.90390000000002</v>
      </c>
      <c r="K4812">
        <v>1.10751</v>
      </c>
      <c r="L4812">
        <v>25.28058</v>
      </c>
      <c r="M4812">
        <v>0.83710260000000003</v>
      </c>
      <c r="N4812">
        <v>0</v>
      </c>
      <c r="O4812">
        <v>-0.54685830000000002</v>
      </c>
      <c r="P4812">
        <v>0.89486409999999905</v>
      </c>
      <c r="Q4812">
        <v>6.0367229999999999E-3</v>
      </c>
      <c r="R4812">
        <v>-0.4462988</v>
      </c>
      <c r="S4812">
        <v>3.254181</v>
      </c>
      <c r="T4812">
        <v>-0.27469109999999902</v>
      </c>
      <c r="U4812">
        <v>-0.21386720000000001</v>
      </c>
      <c r="V4812">
        <v>-0.11591359999999901</v>
      </c>
      <c r="W4812">
        <v>1.948312E-2</v>
      </c>
      <c r="X4812">
        <v>0.99306819999999896</v>
      </c>
      <c r="Y4812">
        <v>-0.48737639999999999</v>
      </c>
      <c r="Z4812">
        <v>6.4300659999999996E-2</v>
      </c>
      <c r="AA4812">
        <v>0.87082119999999996</v>
      </c>
      <c r="AB4812">
        <v>12</v>
      </c>
      <c r="AC4812">
        <v>0.80600000000004002</v>
      </c>
      <c r="AD4812">
        <v>-7.2254999999999903E-2</v>
      </c>
      <c r="AE4812">
        <v>-2.9509999999998301E-2</v>
      </c>
      <c r="AF4812">
        <v>-0.41279462097842801</v>
      </c>
      <c r="AG4812">
        <v>-7.2254999999999903E-2</v>
      </c>
      <c r="AH4812">
        <v>0.68541246037523196</v>
      </c>
      <c r="AI4812">
        <v>95.160120010190298</v>
      </c>
      <c r="AJ4812">
        <v>121.05875793203801</v>
      </c>
      <c r="AK4812">
        <v>0.80337439900170604</v>
      </c>
    </row>
    <row r="4813" spans="1:37" x14ac:dyDescent="0.2">
      <c r="A4813" t="str">
        <f>"20200111155951586"</f>
        <v>20200111155951586</v>
      </c>
      <c r="B4813" t="str">
        <f>"1578729591575631"</f>
        <v>1578729591575631</v>
      </c>
      <c r="C4813" t="s">
        <v>37</v>
      </c>
      <c r="D4813">
        <v>4.9484690000000002</v>
      </c>
      <c r="E4813">
        <v>0.33922619999999998</v>
      </c>
      <c r="F4813" t="s">
        <v>38</v>
      </c>
      <c r="G4813">
        <v>-412.00479999999999</v>
      </c>
      <c r="H4813">
        <v>1.0417879999999999</v>
      </c>
      <c r="I4813">
        <v>25.229379999999999</v>
      </c>
      <c r="J4813">
        <v>-412.84359999999998</v>
      </c>
      <c r="K4813">
        <v>1.10744</v>
      </c>
      <c r="L4813">
        <v>25.248899999999999</v>
      </c>
      <c r="M4813">
        <v>0.84010879999999999</v>
      </c>
      <c r="N4813">
        <v>0</v>
      </c>
      <c r="O4813">
        <v>-0.54222930000000003</v>
      </c>
      <c r="P4813">
        <v>0.89728050000000004</v>
      </c>
      <c r="Q4813">
        <v>5.9609519999999899E-3</v>
      </c>
      <c r="R4813">
        <v>-0.4414209</v>
      </c>
      <c r="S4813">
        <v>3.2619020000000001</v>
      </c>
      <c r="T4813">
        <v>-0.238400799999999</v>
      </c>
      <c r="U4813">
        <v>-0.18481449999999999</v>
      </c>
      <c r="V4813">
        <v>-0.1158338</v>
      </c>
      <c r="W4813">
        <v>1.940302E-2</v>
      </c>
      <c r="X4813">
        <v>0.99307909999999899</v>
      </c>
      <c r="Y4813">
        <v>-0.49128660000000002</v>
      </c>
      <c r="Z4813">
        <v>5.5595789999999999E-2</v>
      </c>
      <c r="AA4813">
        <v>0.86922189999999999</v>
      </c>
      <c r="AB4813">
        <v>12</v>
      </c>
      <c r="AC4813">
        <v>0.838799999999992</v>
      </c>
      <c r="AD4813">
        <v>-6.5652000000000002E-2</v>
      </c>
      <c r="AE4813">
        <v>-1.9519999999999899E-2</v>
      </c>
      <c r="AF4813">
        <v>-0.43579959240840099</v>
      </c>
      <c r="AG4813">
        <v>-6.5652000000000002E-2</v>
      </c>
      <c r="AH4813">
        <v>0.710987583669342</v>
      </c>
      <c r="AI4813">
        <v>94.501432265922205</v>
      </c>
      <c r="AJ4813">
        <v>121.506200352923</v>
      </c>
      <c r="AK4813">
        <v>0.83650153256243198</v>
      </c>
    </row>
    <row r="4814" spans="1:37" x14ac:dyDescent="0.2">
      <c r="A4814" t="str">
        <f>"20200111155951599"</f>
        <v>20200111155951599</v>
      </c>
      <c r="B4814" t="str">
        <f>"1578729591595152"</f>
        <v>1578729591595152</v>
      </c>
      <c r="C4814" t="s">
        <v>37</v>
      </c>
      <c r="D4814">
        <v>5.0685779999999996</v>
      </c>
      <c r="E4814">
        <v>0.33847080000000002</v>
      </c>
      <c r="F4814" t="s">
        <v>38</v>
      </c>
      <c r="G4814">
        <v>-411.90879999999999</v>
      </c>
      <c r="H4814">
        <v>1.044503</v>
      </c>
      <c r="I4814">
        <v>25.20241</v>
      </c>
      <c r="J4814">
        <v>-412.78590000000003</v>
      </c>
      <c r="K4814">
        <v>1.1073569999999999</v>
      </c>
      <c r="L4814">
        <v>25.21902</v>
      </c>
      <c r="M4814">
        <v>0.84290619999999905</v>
      </c>
      <c r="N4814">
        <v>0</v>
      </c>
      <c r="O4814">
        <v>-0.53787089999999904</v>
      </c>
      <c r="P4814">
        <v>0.89952080000000001</v>
      </c>
      <c r="Q4814">
        <v>5.8726109999999998E-3</v>
      </c>
      <c r="R4814">
        <v>-0.43683869999999903</v>
      </c>
      <c r="S4814">
        <v>3.2649539999999999</v>
      </c>
      <c r="T4814">
        <v>-0.21979870000000001</v>
      </c>
      <c r="U4814">
        <v>-0.16241459999999999</v>
      </c>
      <c r="V4814">
        <v>-0.1157521</v>
      </c>
      <c r="W4814">
        <v>1.931006E-2</v>
      </c>
      <c r="X4814">
        <v>0.99309040000000004</v>
      </c>
      <c r="Y4814">
        <v>-0.49316959999999999</v>
      </c>
      <c r="Z4814">
        <v>5.1061179999999998E-2</v>
      </c>
      <c r="AA4814">
        <v>0.86843340000000002</v>
      </c>
      <c r="AB4814">
        <v>12</v>
      </c>
      <c r="AC4814">
        <v>0.87710000000004096</v>
      </c>
      <c r="AD4814">
        <v>-6.2853999999999896E-2</v>
      </c>
      <c r="AE4814">
        <v>-1.661E-2</v>
      </c>
      <c r="AF4814">
        <v>-0.45547443219248301</v>
      </c>
      <c r="AG4814">
        <v>-6.2853999999999896E-2</v>
      </c>
      <c r="AH4814">
        <v>0.74450152496632505</v>
      </c>
      <c r="AI4814">
        <v>94.119108260824007</v>
      </c>
      <c r="AJ4814">
        <v>121.45764519448601</v>
      </c>
      <c r="AK4814">
        <v>0.875037201708732</v>
      </c>
    </row>
    <row r="4815" spans="1:37" x14ac:dyDescent="0.2">
      <c r="A4815" t="str">
        <f>"20200111155951632"</f>
        <v>20200111155951632</v>
      </c>
      <c r="B4815" t="str">
        <f>"1578729591625407"</f>
        <v>1578729591625407</v>
      </c>
      <c r="C4815" t="s">
        <v>37</v>
      </c>
      <c r="D4815">
        <v>5.0953900000000001</v>
      </c>
      <c r="E4815">
        <v>0.33839559999999902</v>
      </c>
      <c r="F4815" t="s">
        <v>38</v>
      </c>
      <c r="G4815">
        <v>-411.91640000000001</v>
      </c>
      <c r="H4815">
        <v>1.0534030000000001</v>
      </c>
      <c r="I4815">
        <v>25.181529999999999</v>
      </c>
      <c r="J4815">
        <v>-412.6354</v>
      </c>
      <c r="K4815">
        <v>1.107173</v>
      </c>
      <c r="L4815">
        <v>25.14218</v>
      </c>
      <c r="M4815">
        <v>0.84991479999999997</v>
      </c>
      <c r="N4815">
        <v>0</v>
      </c>
      <c r="O4815">
        <v>-0.52672849999999904</v>
      </c>
      <c r="P4815">
        <v>0.9052462</v>
      </c>
      <c r="Q4815">
        <v>5.7917609999999899E-3</v>
      </c>
      <c r="R4815">
        <v>-0.424847999999999</v>
      </c>
      <c r="S4815">
        <v>3.2679749999999999</v>
      </c>
      <c r="T4815">
        <v>-0.20278740000000001</v>
      </c>
      <c r="U4815">
        <v>-0.14093020000000001</v>
      </c>
      <c r="V4815">
        <v>-0.1158645</v>
      </c>
      <c r="W4815">
        <v>1.9210890000000001E-2</v>
      </c>
      <c r="X4815">
        <v>0.99307919999999905</v>
      </c>
      <c r="Y4815">
        <v>-0.48781560000000002</v>
      </c>
      <c r="Z4815">
        <v>4.6339619999999998E-2</v>
      </c>
      <c r="AA4815">
        <v>0.87171580000000004</v>
      </c>
      <c r="AB4815">
        <v>12</v>
      </c>
      <c r="AC4815">
        <v>0.71899999999999398</v>
      </c>
      <c r="AD4815">
        <v>-5.3769999999999797E-2</v>
      </c>
      <c r="AE4815">
        <v>3.9349999999998803E-2</v>
      </c>
      <c r="AF4815">
        <v>-0.40991785167011802</v>
      </c>
      <c r="AG4815">
        <v>-5.3769999999999797E-2</v>
      </c>
      <c r="AH4815">
        <v>0.58714764649207196</v>
      </c>
      <c r="AI4815">
        <v>94.2942269780647</v>
      </c>
      <c r="AJ4815">
        <v>124.92086668274899</v>
      </c>
      <c r="AK4815">
        <v>0.71809902993878505</v>
      </c>
    </row>
    <row r="4816" spans="1:37" x14ac:dyDescent="0.2">
      <c r="A4816" t="str">
        <f>"20200111155951651"</f>
        <v>20200111155951651</v>
      </c>
      <c r="B4816" t="str">
        <f>"1578729591644928"</f>
        <v>1578729591644928</v>
      </c>
      <c r="C4816" t="s">
        <v>37</v>
      </c>
      <c r="D4816">
        <v>5.1194439999999997</v>
      </c>
      <c r="E4816">
        <v>0.33899439999999997</v>
      </c>
      <c r="F4816" t="s">
        <v>38</v>
      </c>
      <c r="G4816">
        <v>-411.72930000000002</v>
      </c>
      <c r="H4816">
        <v>1.0550189999999999</v>
      </c>
      <c r="I4816">
        <v>25.115120000000001</v>
      </c>
      <c r="J4816">
        <v>-412.55</v>
      </c>
      <c r="K4816">
        <v>1.107064</v>
      </c>
      <c r="L4816">
        <v>25.099429999999899</v>
      </c>
      <c r="M4816">
        <v>0.853689699999999</v>
      </c>
      <c r="N4816">
        <v>0</v>
      </c>
      <c r="O4816">
        <v>-0.52058909999999903</v>
      </c>
      <c r="P4816">
        <v>0.90855490000000005</v>
      </c>
      <c r="Q4816">
        <v>5.8647339999999999E-3</v>
      </c>
      <c r="R4816">
        <v>-0.4177245</v>
      </c>
      <c r="S4816">
        <v>3.2695620000000001</v>
      </c>
      <c r="T4816">
        <v>-0.1881872</v>
      </c>
      <c r="U4816">
        <v>-9.7381590000000004E-2</v>
      </c>
      <c r="V4816">
        <v>-0.1165018</v>
      </c>
      <c r="W4816">
        <v>1.926715E-2</v>
      </c>
      <c r="X4816">
        <v>0.99300359999999999</v>
      </c>
      <c r="Y4816">
        <v>-0.49339040000000001</v>
      </c>
      <c r="Z4816">
        <v>4.2880679999999997E-2</v>
      </c>
      <c r="AA4816">
        <v>0.86875029999999998</v>
      </c>
      <c r="AB4816">
        <v>12</v>
      </c>
      <c r="AC4816">
        <v>0.820699999999987</v>
      </c>
      <c r="AD4816">
        <v>-5.2044999999999897E-2</v>
      </c>
      <c r="AE4816">
        <v>1.5690000000002799E-2</v>
      </c>
      <c r="AF4816">
        <v>-0.43892164869908101</v>
      </c>
      <c r="AG4816">
        <v>-5.2044999999999897E-2</v>
      </c>
      <c r="AH4816">
        <v>0.68975182578105299</v>
      </c>
      <c r="AI4816">
        <v>93.642458574730298</v>
      </c>
      <c r="AJ4816">
        <v>122.470522327791</v>
      </c>
      <c r="AK4816">
        <v>0.81921821079002899</v>
      </c>
    </row>
    <row r="4817" spans="1:37" x14ac:dyDescent="0.2">
      <c r="A4817" t="str">
        <f>"20200111155951673"</f>
        <v>20200111155951673</v>
      </c>
      <c r="B4817" t="str">
        <f>"1578729591665423"</f>
        <v>1578729591665423</v>
      </c>
      <c r="C4817" t="s">
        <v>37</v>
      </c>
      <c r="D4817">
        <v>5.2047800000000004</v>
      </c>
      <c r="E4817">
        <v>0.34039580000000003</v>
      </c>
      <c r="F4817" t="s">
        <v>38</v>
      </c>
      <c r="G4817">
        <v>-411.63749999999999</v>
      </c>
      <c r="H4817">
        <v>1.0592159999999999</v>
      </c>
      <c r="I4817">
        <v>25.077660000000002</v>
      </c>
      <c r="J4817">
        <v>-412.44850000000002</v>
      </c>
      <c r="K4817">
        <v>1.1069420000000001</v>
      </c>
      <c r="L4817">
        <v>25.04926</v>
      </c>
      <c r="M4817">
        <v>0.85798600000000003</v>
      </c>
      <c r="N4817">
        <v>0</v>
      </c>
      <c r="O4817">
        <v>-0.51347929999999997</v>
      </c>
      <c r="P4817">
        <v>0.91249629999999904</v>
      </c>
      <c r="Q4817">
        <v>7.594099E-3</v>
      </c>
      <c r="R4817">
        <v>-0.40901500000000002</v>
      </c>
      <c r="S4817">
        <v>3.2676090000000002</v>
      </c>
      <c r="T4817">
        <v>-0.17130879999999901</v>
      </c>
      <c r="U4817">
        <v>-7.7178960000000005E-2</v>
      </c>
      <c r="V4817">
        <v>-0.117746699999999</v>
      </c>
      <c r="W4817">
        <v>2.097245E-2</v>
      </c>
      <c r="X4817">
        <v>0.99282219999999999</v>
      </c>
      <c r="Y4817">
        <v>-0.49180400000000002</v>
      </c>
      <c r="Z4817">
        <v>3.8713009999999999E-2</v>
      </c>
      <c r="AA4817">
        <v>0.86984490000000003</v>
      </c>
      <c r="AB4817">
        <v>12</v>
      </c>
      <c r="AC4817">
        <v>0.81100000000003503</v>
      </c>
      <c r="AD4817">
        <v>-4.7726000000000102E-2</v>
      </c>
      <c r="AE4817">
        <v>2.8400000000001299E-2</v>
      </c>
      <c r="AF4817">
        <v>-0.43932282071582301</v>
      </c>
      <c r="AG4817">
        <v>-4.7726000000000102E-2</v>
      </c>
      <c r="AH4817">
        <v>0.67896318321106797</v>
      </c>
      <c r="AI4817">
        <v>93.3774337502919</v>
      </c>
      <c r="AJ4817">
        <v>122.904868309562</v>
      </c>
      <c r="AK4817">
        <v>0.81010697814166099</v>
      </c>
    </row>
    <row r="4818" spans="1:37" x14ac:dyDescent="0.2">
      <c r="A4818" t="str">
        <f>"20200111155951685"</f>
        <v>20200111155951685</v>
      </c>
      <c r="B4818" t="str">
        <f>"1578729591675184"</f>
        <v>1578729591675184</v>
      </c>
      <c r="C4818" t="s">
        <v>37</v>
      </c>
      <c r="D4818">
        <v>3.9426299999999999</v>
      </c>
      <c r="E4818">
        <v>0.34039580000000003</v>
      </c>
      <c r="F4818" t="s">
        <v>38</v>
      </c>
      <c r="G4818">
        <v>-411.54790000000003</v>
      </c>
      <c r="H4818">
        <v>1.063653</v>
      </c>
      <c r="I4818">
        <v>25.03351</v>
      </c>
      <c r="J4818">
        <v>-412.38749999999999</v>
      </c>
      <c r="K4818">
        <v>1.106873</v>
      </c>
      <c r="L4818">
        <v>25.019410000000001</v>
      </c>
      <c r="M4818">
        <v>0.86048089999999999</v>
      </c>
      <c r="N4818">
        <v>0</v>
      </c>
      <c r="O4818">
        <v>-0.50928799999999996</v>
      </c>
      <c r="P4818">
        <v>0.91482790000000003</v>
      </c>
      <c r="Q4818">
        <v>8.5267450000000005E-3</v>
      </c>
      <c r="R4818">
        <v>-0.40375409999999901</v>
      </c>
      <c r="S4818">
        <v>3.2633969999999999</v>
      </c>
      <c r="T4818">
        <v>-0.15686240000000001</v>
      </c>
      <c r="U4818">
        <v>-5.7098389999999999E-2</v>
      </c>
      <c r="V4818">
        <v>-0.11861729999999999</v>
      </c>
      <c r="W4818">
        <v>2.1890150000000001E-2</v>
      </c>
      <c r="X4818">
        <v>0.99269869999999905</v>
      </c>
      <c r="Y4818">
        <v>-0.49309550000000002</v>
      </c>
      <c r="Z4818">
        <v>3.5365340000000002E-2</v>
      </c>
      <c r="AA4818">
        <v>0.86925609999999998</v>
      </c>
      <c r="AB4818">
        <v>12</v>
      </c>
      <c r="AC4818">
        <v>0.83959999999996104</v>
      </c>
      <c r="AD4818">
        <v>-4.3220000000000001E-2</v>
      </c>
      <c r="AE4818">
        <v>1.4099999999999099E-2</v>
      </c>
      <c r="AF4818">
        <v>-0.43861266403384302</v>
      </c>
      <c r="AG4818">
        <v>-4.3220000000000001E-2</v>
      </c>
      <c r="AH4818">
        <v>0.71345970966998296</v>
      </c>
      <c r="AI4818">
        <v>92.954184533811102</v>
      </c>
      <c r="AJ4818">
        <v>121.581897077604</v>
      </c>
      <c r="AK4818">
        <v>0.83861421092969901</v>
      </c>
    </row>
    <row r="4819" spans="1:37" x14ac:dyDescent="0.2">
      <c r="A4819" t="str">
        <f>"20200111155951699"</f>
        <v>20200111155951699</v>
      </c>
      <c r="B4819" t="str">
        <f>"1578729591695680"</f>
        <v>1578729591695680</v>
      </c>
      <c r="C4819" t="s">
        <v>37</v>
      </c>
      <c r="D4819">
        <v>3.9581940000000002</v>
      </c>
      <c r="E4819">
        <v>0.297824599999999</v>
      </c>
      <c r="F4819" t="s">
        <v>38</v>
      </c>
      <c r="G4819">
        <v>-411.4522</v>
      </c>
      <c r="H4819">
        <v>1.0623499999999999</v>
      </c>
      <c r="I4819">
        <v>25.008199999999999</v>
      </c>
      <c r="J4819">
        <v>-412.32810000000001</v>
      </c>
      <c r="K4819">
        <v>1.106808</v>
      </c>
      <c r="L4819">
        <v>24.990629999999999</v>
      </c>
      <c r="M4819">
        <v>0.86282909999999902</v>
      </c>
      <c r="N4819">
        <v>0</v>
      </c>
      <c r="O4819">
        <v>-0.50530029999999904</v>
      </c>
      <c r="P4819">
        <v>0.91703269999999903</v>
      </c>
      <c r="Q4819">
        <v>9.2133349999999996E-3</v>
      </c>
      <c r="R4819">
        <v>-0.39870620000000001</v>
      </c>
      <c r="S4819">
        <v>3.2637330000000002</v>
      </c>
      <c r="T4819">
        <v>-0.15535109999999999</v>
      </c>
      <c r="U4819">
        <v>-3.8543699999999903E-2</v>
      </c>
      <c r="V4819">
        <v>-0.1194902</v>
      </c>
      <c r="W4819">
        <v>2.2559940000000001E-2</v>
      </c>
      <c r="X4819">
        <v>0.99257899999999999</v>
      </c>
      <c r="Y4819">
        <v>-0.49403739999999902</v>
      </c>
      <c r="Z4819">
        <v>3.4887889999999998E-2</v>
      </c>
      <c r="AA4819">
        <v>0.86874039999999997</v>
      </c>
      <c r="AB4819">
        <v>12</v>
      </c>
      <c r="AC4819">
        <v>0.87590000000000101</v>
      </c>
      <c r="AD4819">
        <v>-4.4458000000000102E-2</v>
      </c>
      <c r="AE4819">
        <v>1.75699999999991E-2</v>
      </c>
      <c r="AF4819">
        <v>-0.45662175530312399</v>
      </c>
      <c r="AG4819">
        <v>-4.4458000000000102E-2</v>
      </c>
      <c r="AH4819">
        <v>0.74502904482116294</v>
      </c>
      <c r="AI4819">
        <v>92.912549632290705</v>
      </c>
      <c r="AJ4819">
        <v>121.503766400553</v>
      </c>
      <c r="AK4819">
        <v>0.87495612393264699</v>
      </c>
    </row>
    <row r="4820" spans="1:37" x14ac:dyDescent="0.2">
      <c r="A4820" t="str">
        <f>"20200111155951717"</f>
        <v>20200111155951717</v>
      </c>
      <c r="B4820" t="str">
        <f>"1578729591705440"</f>
        <v>1578729591705440</v>
      </c>
      <c r="C4820" t="s">
        <v>37</v>
      </c>
      <c r="D4820">
        <v>3.9062579999999998</v>
      </c>
      <c r="E4820">
        <v>0.29816129999999902</v>
      </c>
      <c r="F4820" t="s">
        <v>79</v>
      </c>
      <c r="G4820">
        <v>-271.88760000000002</v>
      </c>
      <c r="H4820">
        <v>11.12107</v>
      </c>
      <c r="I4820">
        <v>36.423259999999999</v>
      </c>
      <c r="J4820">
        <v>-412.24779999999998</v>
      </c>
      <c r="K4820">
        <v>1.106724</v>
      </c>
      <c r="L4820">
        <v>24.952120000000001</v>
      </c>
      <c r="M4820">
        <v>0.86589879999999997</v>
      </c>
      <c r="N4820">
        <v>0</v>
      </c>
      <c r="O4820">
        <v>-0.50002309999999905</v>
      </c>
      <c r="P4820">
        <v>0.92032590000000003</v>
      </c>
      <c r="Q4820">
        <v>1.128814E-2</v>
      </c>
      <c r="R4820">
        <v>-0.39099010000000001</v>
      </c>
      <c r="S4820">
        <v>3.3889469999999999</v>
      </c>
      <c r="T4820">
        <v>0.2416526</v>
      </c>
      <c r="U4820">
        <v>0.27587889999999998</v>
      </c>
      <c r="V4820">
        <v>-0.1217601</v>
      </c>
      <c r="W4820">
        <v>2.4605479999999999E-2</v>
      </c>
      <c r="X4820">
        <v>0.99225450000000004</v>
      </c>
      <c r="Y4820">
        <v>-0.56606049999999997</v>
      </c>
      <c r="Z4820">
        <v>-5.458056E-2</v>
      </c>
      <c r="AA4820">
        <v>0.82255480000000003</v>
      </c>
      <c r="AB4820">
        <v>12</v>
      </c>
      <c r="AC4820">
        <v>140.360199999999</v>
      </c>
      <c r="AD4820">
        <v>10.014346</v>
      </c>
      <c r="AE4820">
        <v>11.471139999999901</v>
      </c>
      <c r="AF4820">
        <v>-79.720924126809507</v>
      </c>
      <c r="AG4820">
        <v>10.014346</v>
      </c>
      <c r="AH4820">
        <v>115.230568733919</v>
      </c>
      <c r="AI4820">
        <v>85.912023099847701</v>
      </c>
      <c r="AJ4820">
        <v>124.676970184336</v>
      </c>
      <c r="AK4820">
        <v>140.477033141303</v>
      </c>
    </row>
    <row r="4821" spans="1:37" x14ac:dyDescent="0.2">
      <c r="A4821" t="str">
        <f>"20200111155951731"</f>
        <v>20200111155951731</v>
      </c>
      <c r="B4821" t="str">
        <f>"1578729591724960"</f>
        <v>1578729591724960</v>
      </c>
      <c r="C4821" t="s">
        <v>37</v>
      </c>
      <c r="D4821">
        <v>4.0894539999999999</v>
      </c>
      <c r="E4821">
        <v>0.30149130000000002</v>
      </c>
      <c r="F4821" t="s">
        <v>79</v>
      </c>
      <c r="G4821">
        <v>-280.3442</v>
      </c>
      <c r="H4821">
        <v>10.8339</v>
      </c>
      <c r="I4821">
        <v>36.721409999999999</v>
      </c>
      <c r="J4821">
        <v>-412.1798</v>
      </c>
      <c r="K4821">
        <v>1.1066450000000001</v>
      </c>
      <c r="L4821">
        <v>24.919709999999998</v>
      </c>
      <c r="M4821">
        <v>0.86840910000000004</v>
      </c>
      <c r="N4821">
        <v>0</v>
      </c>
      <c r="O4821">
        <v>-0.49565109999999901</v>
      </c>
      <c r="P4821">
        <v>0.9227573</v>
      </c>
      <c r="Q4821">
        <v>1.251325E-2</v>
      </c>
      <c r="R4821">
        <v>-0.38517829999999997</v>
      </c>
      <c r="S4821">
        <v>3.3850099999999999</v>
      </c>
      <c r="T4821">
        <v>0.24962619999999999</v>
      </c>
      <c r="U4821">
        <v>0.30203249999999998</v>
      </c>
      <c r="V4821">
        <v>-0.1230078</v>
      </c>
      <c r="W4821">
        <v>2.581197E-2</v>
      </c>
      <c r="X4821">
        <v>0.99207000000000001</v>
      </c>
      <c r="Y4821">
        <v>-0.56811979999999995</v>
      </c>
      <c r="Z4821">
        <v>-5.623007E-2</v>
      </c>
      <c r="AA4821">
        <v>0.82102249999999999</v>
      </c>
      <c r="AB4821">
        <v>12</v>
      </c>
      <c r="AC4821">
        <v>131.8356</v>
      </c>
      <c r="AD4821">
        <v>9.7272549999999995</v>
      </c>
      <c r="AE4821">
        <v>11.801699999999901</v>
      </c>
      <c r="AF4821">
        <v>-75.194457194962098</v>
      </c>
      <c r="AG4821">
        <v>9.7272549999999995</v>
      </c>
      <c r="AH4821">
        <v>108.06471321721899</v>
      </c>
      <c r="AI4821">
        <v>85.774308416704699</v>
      </c>
      <c r="AJ4821">
        <v>124.831278783561</v>
      </c>
      <c r="AK4821">
        <v>132.01063641010001</v>
      </c>
    </row>
    <row r="4822" spans="1:37" x14ac:dyDescent="0.2">
      <c r="A4822" t="str">
        <f>"20200111155951746"</f>
        <v>20200111155951746</v>
      </c>
      <c r="B4822" t="str">
        <f>"1578729591735696"</f>
        <v>1578729591735696</v>
      </c>
      <c r="C4822" t="s">
        <v>37</v>
      </c>
      <c r="D4822">
        <v>4.0818659999999998</v>
      </c>
      <c r="E4822">
        <v>0.30276500000000001</v>
      </c>
      <c r="F4822" t="s">
        <v>79</v>
      </c>
      <c r="G4822">
        <v>-280.3442</v>
      </c>
      <c r="H4822">
        <v>10.69881</v>
      </c>
      <c r="I4822">
        <v>36.617379999999997</v>
      </c>
      <c r="J4822">
        <v>-412.11360000000002</v>
      </c>
      <c r="K4822">
        <v>1.1065700000000001</v>
      </c>
      <c r="L4822">
        <v>24.888400000000001</v>
      </c>
      <c r="M4822">
        <v>0.87077610000000005</v>
      </c>
      <c r="N4822">
        <v>0</v>
      </c>
      <c r="O4822">
        <v>-0.49148209999999998</v>
      </c>
      <c r="P4822">
        <v>0.92535389999999995</v>
      </c>
      <c r="Q4822">
        <v>1.387905E-2</v>
      </c>
      <c r="R4822">
        <v>-0.37885039999999998</v>
      </c>
      <c r="S4822">
        <v>3.3726809999999898</v>
      </c>
      <c r="T4822">
        <v>0.24539139999999901</v>
      </c>
      <c r="U4822">
        <v>0.2992554</v>
      </c>
      <c r="V4822">
        <v>-0.1250368</v>
      </c>
      <c r="W4822">
        <v>2.7154749999999998E-2</v>
      </c>
      <c r="X4822">
        <v>0.99178049999999995</v>
      </c>
      <c r="Y4822">
        <v>-0.56386510000000001</v>
      </c>
      <c r="Z4822">
        <v>-5.5055189999999997E-2</v>
      </c>
      <c r="AA4822">
        <v>0.82402980000000003</v>
      </c>
      <c r="AB4822">
        <v>12</v>
      </c>
      <c r="AC4822">
        <v>131.76939999999999</v>
      </c>
      <c r="AD4822">
        <v>9.5922400000000003</v>
      </c>
      <c r="AE4822">
        <v>11.7289799999999</v>
      </c>
      <c r="AF4822">
        <v>-74.590738245003806</v>
      </c>
      <c r="AG4822">
        <v>9.5922400000000003</v>
      </c>
      <c r="AH4822">
        <v>108.417639393871</v>
      </c>
      <c r="AI4822">
        <v>85.831072020361702</v>
      </c>
      <c r="AJ4822">
        <v>124.527757282012</v>
      </c>
      <c r="AK4822">
        <v>131.94761775754699</v>
      </c>
    </row>
    <row r="4823" spans="1:37" x14ac:dyDescent="0.2">
      <c r="A4823" t="str">
        <f>"20200111155951763"</f>
        <v>20200111155951763</v>
      </c>
      <c r="B4823" t="str">
        <f>"1578729591755215"</f>
        <v>1578729591755215</v>
      </c>
      <c r="C4823" t="s">
        <v>37</v>
      </c>
      <c r="D4823">
        <v>3.9607649999999999</v>
      </c>
      <c r="E4823">
        <v>0.30357580000000001</v>
      </c>
      <c r="F4823" t="s">
        <v>79</v>
      </c>
      <c r="G4823">
        <v>-280.3442</v>
      </c>
      <c r="H4823">
        <v>10.75428</v>
      </c>
      <c r="I4823">
        <v>37.143900000000002</v>
      </c>
      <c r="J4823">
        <v>-412.03109999999998</v>
      </c>
      <c r="K4823">
        <v>1.1064769999999999</v>
      </c>
      <c r="L4823">
        <v>24.849729999999902</v>
      </c>
      <c r="M4823">
        <v>0.87359920000000002</v>
      </c>
      <c r="N4823">
        <v>0</v>
      </c>
      <c r="O4823">
        <v>-0.48644719999999902</v>
      </c>
      <c r="P4823">
        <v>0.92889769999999905</v>
      </c>
      <c r="Q4823">
        <v>1.769016E-2</v>
      </c>
      <c r="R4823">
        <v>-0.36991350000000001</v>
      </c>
      <c r="S4823">
        <v>3.3665159999999998</v>
      </c>
      <c r="T4823">
        <v>0.24648519999999999</v>
      </c>
      <c r="U4823">
        <v>0.31311040000000001</v>
      </c>
      <c r="V4823">
        <v>-0.12884899999999999</v>
      </c>
      <c r="W4823">
        <v>3.0929700000000001E-2</v>
      </c>
      <c r="X4823">
        <v>0.9911818</v>
      </c>
      <c r="Y4823">
        <v>-0.56258439999999998</v>
      </c>
      <c r="Z4823">
        <v>-5.502282E-2</v>
      </c>
      <c r="AA4823">
        <v>0.8249069</v>
      </c>
      <c r="AB4823">
        <v>12</v>
      </c>
      <c r="AC4823">
        <v>131.68689999999901</v>
      </c>
      <c r="AD4823">
        <v>9.6478029999999997</v>
      </c>
      <c r="AE4823">
        <v>12.294169999999999</v>
      </c>
      <c r="AF4823">
        <v>-74.410195547150295</v>
      </c>
      <c r="AG4823">
        <v>9.6478029999999997</v>
      </c>
      <c r="AH4823">
        <v>108.494351184252</v>
      </c>
      <c r="AI4823">
        <v>85.805771077409105</v>
      </c>
      <c r="AJ4823">
        <v>124.44404261350699</v>
      </c>
      <c r="AK4823">
        <v>131.91278005934001</v>
      </c>
    </row>
    <row r="4824" spans="1:37" x14ac:dyDescent="0.2">
      <c r="A4824" t="str">
        <f>"20200111155951774"</f>
        <v>20200111155951774</v>
      </c>
      <c r="B4824" t="str">
        <f>"1578729591764976"</f>
        <v>1578729591764976</v>
      </c>
      <c r="C4824" t="s">
        <v>37</v>
      </c>
      <c r="D4824">
        <v>3.9294210000000001</v>
      </c>
      <c r="E4824">
        <v>0.30418590000000001</v>
      </c>
      <c r="F4824" t="s">
        <v>79</v>
      </c>
      <c r="G4824">
        <v>-280.04239999999999</v>
      </c>
      <c r="H4824">
        <v>11.21837</v>
      </c>
      <c r="I4824">
        <v>38.194609999999997</v>
      </c>
      <c r="J4824">
        <v>-411.98110000000003</v>
      </c>
      <c r="K4824">
        <v>1.1064290000000001</v>
      </c>
      <c r="L4824">
        <v>24.826539999999898</v>
      </c>
      <c r="M4824">
        <v>0.87524419999999903</v>
      </c>
      <c r="N4824">
        <v>0</v>
      </c>
      <c r="O4824">
        <v>-0.48348199999999902</v>
      </c>
      <c r="P4824">
        <v>0.93078619999999901</v>
      </c>
      <c r="Q4824">
        <v>1.9458059999999999E-2</v>
      </c>
      <c r="R4824">
        <v>-0.36504569999999997</v>
      </c>
      <c r="S4824">
        <v>3.3600460000000001</v>
      </c>
      <c r="T4824">
        <v>0.25741920000000001</v>
      </c>
      <c r="U4824">
        <v>0.33972170000000002</v>
      </c>
      <c r="V4824">
        <v>-0.13066340000000001</v>
      </c>
      <c r="W4824">
        <v>3.267929E-2</v>
      </c>
      <c r="X4824">
        <v>0.99088809999999905</v>
      </c>
      <c r="Y4824">
        <v>-0.56613869999999999</v>
      </c>
      <c r="Z4824">
        <v>-5.7494429999999999E-2</v>
      </c>
      <c r="AA4824">
        <v>0.82230249999999905</v>
      </c>
      <c r="AB4824">
        <v>12</v>
      </c>
      <c r="AC4824">
        <v>131.93870000000001</v>
      </c>
      <c r="AD4824">
        <v>10.111941</v>
      </c>
      <c r="AE4824">
        <v>13.368069999999999</v>
      </c>
      <c r="AF4824">
        <v>-75.061168891657005</v>
      </c>
      <c r="AG4824">
        <v>10.111941</v>
      </c>
      <c r="AH4824">
        <v>108.395635867645</v>
      </c>
      <c r="AI4824">
        <v>85.614334081323193</v>
      </c>
      <c r="AJ4824">
        <v>124.70159778740801</v>
      </c>
      <c r="AK4824">
        <v>132.234807449931</v>
      </c>
    </row>
    <row r="4825" spans="1:37" x14ac:dyDescent="0.2">
      <c r="A4825" t="str">
        <f>"20200111155951788"</f>
        <v>20200111155951788</v>
      </c>
      <c r="B4825" t="str">
        <f>"1578729591785472"</f>
        <v>1578729591785472</v>
      </c>
      <c r="C4825" t="s">
        <v>37</v>
      </c>
      <c r="D4825">
        <v>5.1111550000000001</v>
      </c>
      <c r="E4825">
        <v>0.30483539999999998</v>
      </c>
      <c r="F4825" t="s">
        <v>79</v>
      </c>
      <c r="G4825">
        <v>-280.04239999999999</v>
      </c>
      <c r="H4825">
        <v>11.32202</v>
      </c>
      <c r="I4825">
        <v>38.704029999999896</v>
      </c>
      <c r="J4825">
        <v>-411.9187</v>
      </c>
      <c r="K4825">
        <v>1.106368</v>
      </c>
      <c r="L4825">
        <v>24.797639999999902</v>
      </c>
      <c r="M4825">
        <v>0.87725450000000005</v>
      </c>
      <c r="N4825">
        <v>0</v>
      </c>
      <c r="O4825">
        <v>-0.47982559999999902</v>
      </c>
      <c r="P4825">
        <v>0.93289480000000002</v>
      </c>
      <c r="Q4825">
        <v>2.104779E-2</v>
      </c>
      <c r="R4825">
        <v>-0.35953409999999902</v>
      </c>
      <c r="S4825">
        <v>3.3560789999999998</v>
      </c>
      <c r="T4825">
        <v>0.25985049999999998</v>
      </c>
      <c r="U4825">
        <v>0.3529968</v>
      </c>
      <c r="V4825">
        <v>-0.13237389999999999</v>
      </c>
      <c r="W4825">
        <v>3.4250059999999999E-2</v>
      </c>
      <c r="X4825">
        <v>0.99060789999999999</v>
      </c>
      <c r="Y4825">
        <v>-0.56596950000000001</v>
      </c>
      <c r="Z4825">
        <v>-5.7839939999999999E-2</v>
      </c>
      <c r="AA4825">
        <v>0.82239479999999998</v>
      </c>
      <c r="AB4825">
        <v>12</v>
      </c>
      <c r="AC4825">
        <v>131.87629999999999</v>
      </c>
      <c r="AD4825">
        <v>10.215652</v>
      </c>
      <c r="AE4825">
        <v>13.906389999999901</v>
      </c>
      <c r="AF4825">
        <v>-75.0389813188403</v>
      </c>
      <c r="AG4825">
        <v>10.215652</v>
      </c>
      <c r="AH4825">
        <v>108.383678650767</v>
      </c>
      <c r="AI4825">
        <v>85.568779716910399</v>
      </c>
      <c r="AJ4825">
        <v>124.69662828092</v>
      </c>
      <c r="AK4825">
        <v>132.220384438357</v>
      </c>
    </row>
    <row r="4826" spans="1:37" x14ac:dyDescent="0.2">
      <c r="A4826" t="str">
        <f>"20200111155951801"</f>
        <v>20200111155951801</v>
      </c>
      <c r="B4826" t="str">
        <f>"1578729591795232"</f>
        <v>1578729591795232</v>
      </c>
      <c r="C4826" t="s">
        <v>37</v>
      </c>
      <c r="D4826">
        <v>5.9387919999999896</v>
      </c>
      <c r="E4826">
        <v>0.30483539999999998</v>
      </c>
      <c r="F4826" t="s">
        <v>79</v>
      </c>
      <c r="G4826">
        <v>-280.04239999999999</v>
      </c>
      <c r="H4826">
        <v>11.385680000000001</v>
      </c>
      <c r="I4826">
        <v>39.28192</v>
      </c>
      <c r="J4826">
        <v>-411.85919999999999</v>
      </c>
      <c r="K4826">
        <v>1.1063149999999999</v>
      </c>
      <c r="L4826">
        <v>24.770289999999999</v>
      </c>
      <c r="M4826">
        <v>0.87910509999999997</v>
      </c>
      <c r="N4826">
        <v>0</v>
      </c>
      <c r="O4826">
        <v>-0.47642760000000001</v>
      </c>
      <c r="P4826">
        <v>0.93484679999999998</v>
      </c>
      <c r="Q4826">
        <v>2.266634E-2</v>
      </c>
      <c r="R4826">
        <v>-0.35432789999999997</v>
      </c>
      <c r="S4826">
        <v>3.3517760000000001</v>
      </c>
      <c r="T4826">
        <v>0.26125989999999999</v>
      </c>
      <c r="U4826">
        <v>0.3681335</v>
      </c>
      <c r="V4826">
        <v>-0.13404630000000001</v>
      </c>
      <c r="W4826">
        <v>3.5851719999999997E-2</v>
      </c>
      <c r="X4826">
        <v>0.99032629999999999</v>
      </c>
      <c r="Y4826">
        <v>-0.56653509999999996</v>
      </c>
      <c r="Z4826">
        <v>-5.8006090000000003E-2</v>
      </c>
      <c r="AA4826">
        <v>0.82199339999999999</v>
      </c>
      <c r="AB4826">
        <v>12</v>
      </c>
      <c r="AC4826">
        <v>131.8168</v>
      </c>
      <c r="AD4826">
        <v>10.279365</v>
      </c>
      <c r="AE4826">
        <v>14.511629999999901</v>
      </c>
      <c r="AF4826">
        <v>-75.114307985868393</v>
      </c>
      <c r="AG4826">
        <v>10.279365</v>
      </c>
      <c r="AH4826">
        <v>108.326615886765</v>
      </c>
      <c r="AI4826">
        <v>85.541119298103993</v>
      </c>
      <c r="AJ4826">
        <v>124.737665038694</v>
      </c>
      <c r="AK4826">
        <v>132.22133079982899</v>
      </c>
    </row>
    <row r="4827" spans="1:37" x14ac:dyDescent="0.2">
      <c r="A4827" t="str">
        <f>"20200111155951844"</f>
        <v>20200111155951844</v>
      </c>
      <c r="B4827" t="str">
        <f>"1578729591835248"</f>
        <v>1578729591835248</v>
      </c>
      <c r="C4827" t="s">
        <v>37</v>
      </c>
      <c r="D4827">
        <v>3.9923599999999899</v>
      </c>
      <c r="E4827">
        <v>0.32207329999999901</v>
      </c>
      <c r="F4827" t="s">
        <v>79</v>
      </c>
      <c r="G4827">
        <v>-280.04239999999999</v>
      </c>
      <c r="H4827">
        <v>11.621039999999899</v>
      </c>
      <c r="I4827">
        <v>39.993139999999997</v>
      </c>
      <c r="J4827">
        <v>-411.66059999999999</v>
      </c>
      <c r="K4827">
        <v>1.106134</v>
      </c>
      <c r="L4827">
        <v>24.68008</v>
      </c>
      <c r="M4827">
        <v>0.88488359999999899</v>
      </c>
      <c r="N4827">
        <v>0</v>
      </c>
      <c r="O4827">
        <v>-0.46560950000000001</v>
      </c>
      <c r="P4827">
        <v>0.93937549999999903</v>
      </c>
      <c r="Q4827">
        <v>2.7849430000000001E-2</v>
      </c>
      <c r="R4827">
        <v>-0.34175840000000002</v>
      </c>
      <c r="S4827">
        <v>3.3491819999999999</v>
      </c>
      <c r="T4827">
        <v>0.26715670000000002</v>
      </c>
      <c r="U4827">
        <v>0.38677979999999901</v>
      </c>
      <c r="V4827">
        <v>-0.135117299999999</v>
      </c>
      <c r="W4827">
        <v>4.1004430000000001E-2</v>
      </c>
      <c r="X4827">
        <v>0.98998079999999999</v>
      </c>
      <c r="Y4827">
        <v>-0.56093139999999997</v>
      </c>
      <c r="Z4827">
        <v>-5.8346259999999997E-2</v>
      </c>
      <c r="AA4827">
        <v>0.82580359999999997</v>
      </c>
      <c r="AB4827">
        <v>12</v>
      </c>
      <c r="AC4827">
        <v>131.6182</v>
      </c>
      <c r="AD4827">
        <v>10.514906</v>
      </c>
      <c r="AE4827">
        <v>15.31306</v>
      </c>
      <c r="AF4827">
        <v>-74.371700415539493</v>
      </c>
      <c r="AG4827">
        <v>10.514906</v>
      </c>
      <c r="AH4827">
        <v>108.662943720995</v>
      </c>
      <c r="AI4827">
        <v>85.434397246712294</v>
      </c>
      <c r="AJ4827">
        <v>124.388737332899</v>
      </c>
      <c r="AK4827">
        <v>132.09598180489701</v>
      </c>
    </row>
    <row r="4828" spans="1:37" x14ac:dyDescent="0.2">
      <c r="A4828" t="str">
        <f>"20200111155951856"</f>
        <v>20200111155951856</v>
      </c>
      <c r="B4828" t="str">
        <f>"1578729591845008"</f>
        <v>1578729591845008</v>
      </c>
      <c r="C4828" t="s">
        <v>37</v>
      </c>
      <c r="D4828">
        <v>5.9994239999999897</v>
      </c>
      <c r="E4828">
        <v>0.32194539999999999</v>
      </c>
      <c r="F4828" t="s">
        <v>79</v>
      </c>
      <c r="G4828">
        <v>-280.3442</v>
      </c>
      <c r="H4828">
        <v>11.26853</v>
      </c>
      <c r="I4828">
        <v>36.772320000000001</v>
      </c>
      <c r="J4828">
        <v>-411.60419999999999</v>
      </c>
      <c r="K4828">
        <v>1.106082</v>
      </c>
      <c r="L4828">
        <v>24.654820000000001</v>
      </c>
      <c r="M4828">
        <v>0.88639500000000004</v>
      </c>
      <c r="N4828">
        <v>0</v>
      </c>
      <c r="O4828">
        <v>-0.46272659999999999</v>
      </c>
      <c r="P4828">
        <v>0.94005849999999902</v>
      </c>
      <c r="Q4828">
        <v>2.9013589999999999E-2</v>
      </c>
      <c r="R4828">
        <v>-0.33977750000000001</v>
      </c>
      <c r="S4828">
        <v>3.2965089999999901</v>
      </c>
      <c r="T4828">
        <v>0.25511250000000002</v>
      </c>
      <c r="U4828">
        <v>0.3035583</v>
      </c>
      <c r="V4828">
        <v>-0.1339631</v>
      </c>
      <c r="W4828">
        <v>4.2168810000000001E-2</v>
      </c>
      <c r="X4828">
        <v>0.99008869999999904</v>
      </c>
      <c r="Y4828">
        <v>-0.53918730000000004</v>
      </c>
      <c r="Z4828">
        <v>-5.5588760000000001E-2</v>
      </c>
      <c r="AA4828">
        <v>0.84034929999999997</v>
      </c>
      <c r="AB4828">
        <v>12</v>
      </c>
      <c r="AC4828">
        <v>131.26</v>
      </c>
      <c r="AD4828">
        <v>10.162447999999999</v>
      </c>
      <c r="AE4828">
        <v>12.1175</v>
      </c>
      <c r="AF4828">
        <v>-71.062739416505494</v>
      </c>
      <c r="AG4828">
        <v>10.162447999999999</v>
      </c>
      <c r="AH4828">
        <v>110.097160531057</v>
      </c>
      <c r="AI4828">
        <v>85.565435307657395</v>
      </c>
      <c r="AJ4828">
        <v>122.84041408378</v>
      </c>
      <c r="AK4828">
        <v>131.432770037507</v>
      </c>
    </row>
    <row r="4829" spans="1:37" x14ac:dyDescent="0.2">
      <c r="A4829" t="str">
        <f>"20200111155951874"</f>
        <v>20200111155951874</v>
      </c>
      <c r="B4829" t="str">
        <f>"1578729591865503"</f>
        <v>1578729591865503</v>
      </c>
      <c r="C4829" t="s">
        <v>37</v>
      </c>
      <c r="D4829">
        <v>4.3743660000000002</v>
      </c>
      <c r="E4829">
        <v>0.32771820000000002</v>
      </c>
      <c r="F4829" t="s">
        <v>79</v>
      </c>
      <c r="G4829">
        <v>-280.3442</v>
      </c>
      <c r="H4829">
        <v>12.541919999999999</v>
      </c>
      <c r="I4829">
        <v>37.02469</v>
      </c>
      <c r="J4829">
        <v>-411.52359999999999</v>
      </c>
      <c r="K4829">
        <v>1.1060080000000001</v>
      </c>
      <c r="L4829">
        <v>24.6188</v>
      </c>
      <c r="M4829">
        <v>0.88849279999999997</v>
      </c>
      <c r="N4829">
        <v>0</v>
      </c>
      <c r="O4829">
        <v>-0.45868619999999999</v>
      </c>
      <c r="P4829">
        <v>0.94048259999999995</v>
      </c>
      <c r="Q4829">
        <v>3.0641910000000001E-2</v>
      </c>
      <c r="R4829">
        <v>-0.33845759999999903</v>
      </c>
      <c r="S4829">
        <v>3.2946469999999999</v>
      </c>
      <c r="T4829">
        <v>0.2870413</v>
      </c>
      <c r="U4829">
        <v>0.31048579999999998</v>
      </c>
      <c r="V4829">
        <v>-0.1308165</v>
      </c>
      <c r="W4829">
        <v>4.3804750000000003E-2</v>
      </c>
      <c r="X4829">
        <v>0.99043840000000005</v>
      </c>
      <c r="Y4829">
        <v>-0.53639939999999997</v>
      </c>
      <c r="Z4829">
        <v>-6.2113549999999997E-2</v>
      </c>
      <c r="AA4829">
        <v>0.84167549999999902</v>
      </c>
      <c r="AB4829">
        <v>12</v>
      </c>
      <c r="AC4829">
        <v>131.17939999999999</v>
      </c>
      <c r="AD4829">
        <v>11.435911999999901</v>
      </c>
      <c r="AE4829">
        <v>12.405889999999999</v>
      </c>
      <c r="AF4829">
        <v>-70.667095180795798</v>
      </c>
      <c r="AG4829">
        <v>11.435911999999901</v>
      </c>
      <c r="AH4829">
        <v>110.043030265309</v>
      </c>
      <c r="AI4829">
        <v>85.002531068035296</v>
      </c>
      <c r="AJ4829">
        <v>122.70764088522699</v>
      </c>
      <c r="AK4829">
        <v>131.27866138308599</v>
      </c>
    </row>
    <row r="4830" spans="1:37" x14ac:dyDescent="0.2">
      <c r="A4830" t="str">
        <f>"20200111155951886"</f>
        <v>20200111155951886</v>
      </c>
      <c r="B4830" t="str">
        <f>"1578729591875265"</f>
        <v>1578729591875265</v>
      </c>
      <c r="C4830" t="s">
        <v>37</v>
      </c>
      <c r="D4830">
        <v>4.3913719999999996</v>
      </c>
      <c r="E4830">
        <v>0.32973439999999998</v>
      </c>
      <c r="F4830" t="s">
        <v>80</v>
      </c>
      <c r="G4830">
        <v>-253.47739999999999</v>
      </c>
      <c r="H4830">
        <v>12.88584</v>
      </c>
      <c r="I4830">
        <v>37.79325</v>
      </c>
      <c r="J4830">
        <v>-411.46570000000003</v>
      </c>
      <c r="K4830">
        <v>1.1059509999999999</v>
      </c>
      <c r="L4830">
        <v>24.593050000000002</v>
      </c>
      <c r="M4830">
        <v>0.88994830000000003</v>
      </c>
      <c r="N4830">
        <v>0</v>
      </c>
      <c r="O4830">
        <v>-0.45585680000000001</v>
      </c>
      <c r="P4830">
        <v>0.94085599999999903</v>
      </c>
      <c r="Q4830">
        <v>3.1471649999999997E-2</v>
      </c>
      <c r="R4830">
        <v>-0.33734209999999998</v>
      </c>
      <c r="S4830">
        <v>3.2802730000000002</v>
      </c>
      <c r="T4830">
        <v>0.24449219999999999</v>
      </c>
      <c r="U4830">
        <v>0.2734375</v>
      </c>
      <c r="V4830">
        <v>-0.1288223</v>
      </c>
      <c r="W4830">
        <v>4.4639360000000003E-2</v>
      </c>
      <c r="X4830">
        <v>0.9906625</v>
      </c>
      <c r="Y4830">
        <v>-0.52560189999999996</v>
      </c>
      <c r="Z4830">
        <v>-5.2575959999999998E-2</v>
      </c>
      <c r="AA4830">
        <v>0.84910450000000004</v>
      </c>
      <c r="AB4830">
        <v>11</v>
      </c>
      <c r="AC4830">
        <v>157.98830000000001</v>
      </c>
      <c r="AD4830">
        <v>11.779889000000001</v>
      </c>
      <c r="AE4830">
        <v>13.200200000000001</v>
      </c>
      <c r="AF4830">
        <v>-83.315375706762794</v>
      </c>
      <c r="AG4830">
        <v>11.779889000000001</v>
      </c>
      <c r="AH4830">
        <v>133.85755996235901</v>
      </c>
      <c r="AI4830">
        <v>85.727193136615</v>
      </c>
      <c r="AJ4830">
        <v>121.898884031398</v>
      </c>
      <c r="AK4830">
        <v>158.10776063523201</v>
      </c>
    </row>
    <row r="4831" spans="1:37" x14ac:dyDescent="0.2">
      <c r="A4831" t="str">
        <f>"20200111155951900"</f>
        <v>20200111155951900</v>
      </c>
      <c r="B4831" t="str">
        <f>"1578729591895760"</f>
        <v>1578729591895760</v>
      </c>
      <c r="C4831" t="s">
        <v>37</v>
      </c>
      <c r="D4831">
        <v>4.5676160000000001</v>
      </c>
      <c r="E4831">
        <v>0.33464969999999999</v>
      </c>
      <c r="F4831" t="s">
        <v>80</v>
      </c>
      <c r="G4831">
        <v>-236.22210000000001</v>
      </c>
      <c r="H4831">
        <v>13.57687</v>
      </c>
      <c r="I4831">
        <v>38.650019999999998</v>
      </c>
      <c r="J4831">
        <v>-411.40449999999998</v>
      </c>
      <c r="K4831">
        <v>1.105893</v>
      </c>
      <c r="L4831">
        <v>24.566009999999999</v>
      </c>
      <c r="M4831">
        <v>0.89142049999999995</v>
      </c>
      <c r="N4831">
        <v>0</v>
      </c>
      <c r="O4831">
        <v>-0.45297159999999898</v>
      </c>
      <c r="P4831">
        <v>0.94109379999999998</v>
      </c>
      <c r="Q4831">
        <v>3.2019350000000002E-2</v>
      </c>
      <c r="R4831">
        <v>-0.33662629999999999</v>
      </c>
      <c r="S4831">
        <v>3.2749329999999999</v>
      </c>
      <c r="T4831">
        <v>0.23305519999999999</v>
      </c>
      <c r="U4831">
        <v>0.26269530000000002</v>
      </c>
      <c r="V4831">
        <v>-0.126352399999999</v>
      </c>
      <c r="W4831">
        <v>4.5193839999999999E-2</v>
      </c>
      <c r="X4831">
        <v>0.99095540000000004</v>
      </c>
      <c r="Y4831">
        <v>-0.52044209999999902</v>
      </c>
      <c r="Z4831">
        <v>-4.9834570000000002E-2</v>
      </c>
      <c r="AA4831">
        <v>0.85244149999999996</v>
      </c>
      <c r="AB4831">
        <v>11</v>
      </c>
      <c r="AC4831">
        <v>175.18239999999901</v>
      </c>
      <c r="AD4831">
        <v>12.470977</v>
      </c>
      <c r="AE4831">
        <v>14.0840099999999</v>
      </c>
      <c r="AF4831">
        <v>-91.455483833319306</v>
      </c>
      <c r="AG4831">
        <v>12.470977</v>
      </c>
      <c r="AH4831">
        <v>149.04499389911501</v>
      </c>
      <c r="AI4831">
        <v>85.920750771802702</v>
      </c>
      <c r="AJ4831">
        <v>121.533690411633</v>
      </c>
      <c r="AK4831">
        <v>175.31126888169001</v>
      </c>
    </row>
    <row r="4832" spans="1:37" x14ac:dyDescent="0.2">
      <c r="A4832" t="str">
        <f>"20200111155951919"</f>
        <v>20200111155951919</v>
      </c>
      <c r="B4832" t="str">
        <f>"1578729591915280"</f>
        <v>1578729591915280</v>
      </c>
      <c r="C4832" t="s">
        <v>37</v>
      </c>
      <c r="D4832">
        <v>4.5998269999999897</v>
      </c>
      <c r="E4832">
        <v>0.33858860000000002</v>
      </c>
      <c r="F4832" t="s">
        <v>80</v>
      </c>
      <c r="G4832">
        <v>-215.12270000000001</v>
      </c>
      <c r="H4832">
        <v>13.250879999999899</v>
      </c>
      <c r="I4832">
        <v>38.367289999999997</v>
      </c>
      <c r="J4832">
        <v>-411.3218</v>
      </c>
      <c r="K4832">
        <v>1.1058209999999999</v>
      </c>
      <c r="L4832">
        <v>24.529629999999901</v>
      </c>
      <c r="M4832">
        <v>0.89333530000000005</v>
      </c>
      <c r="N4832">
        <v>0</v>
      </c>
      <c r="O4832">
        <v>-0.44918449999999999</v>
      </c>
      <c r="P4832">
        <v>0.94068159999999901</v>
      </c>
      <c r="Q4832">
        <v>3.1882920000000002E-2</v>
      </c>
      <c r="R4832">
        <v>-0.33778989999999998</v>
      </c>
      <c r="S4832">
        <v>3.2629700000000001</v>
      </c>
      <c r="T4832">
        <v>0.2018973</v>
      </c>
      <c r="U4832">
        <v>0.2294312</v>
      </c>
      <c r="V4832">
        <v>-0.12091059999999999</v>
      </c>
      <c r="W4832">
        <v>4.5075230000000001E-2</v>
      </c>
      <c r="X4832">
        <v>0.99163950000000001</v>
      </c>
      <c r="Y4832">
        <v>-0.50899459999999996</v>
      </c>
      <c r="Z4832">
        <v>-4.277653E-2</v>
      </c>
      <c r="AA4832">
        <v>0.85970619999999998</v>
      </c>
      <c r="AB4832">
        <v>11</v>
      </c>
      <c r="AC4832">
        <v>196.19909999999999</v>
      </c>
      <c r="AD4832">
        <v>12.1450589999999</v>
      </c>
      <c r="AE4832">
        <v>13.83766</v>
      </c>
      <c r="AF4832">
        <v>-100.118839322914</v>
      </c>
      <c r="AG4832">
        <v>12.1450589999999</v>
      </c>
      <c r="AH4832">
        <v>168.42939010497901</v>
      </c>
      <c r="AI4832">
        <v>86.453130035620205</v>
      </c>
      <c r="AJ4832">
        <v>120.728358236692</v>
      </c>
      <c r="AK4832">
        <v>196.31541940615901</v>
      </c>
    </row>
    <row r="4833" spans="1:37" x14ac:dyDescent="0.2">
      <c r="A4833" t="str">
        <f>"20200111155951930"</f>
        <v>20200111155951930</v>
      </c>
      <c r="B4833" t="str">
        <f>"1578729591925040"</f>
        <v>1578729591925040</v>
      </c>
      <c r="C4833" t="s">
        <v>37</v>
      </c>
      <c r="D4833">
        <v>4.605283</v>
      </c>
      <c r="E4833">
        <v>0.34006690000000001</v>
      </c>
      <c r="F4833" t="s">
        <v>81</v>
      </c>
      <c r="G4833">
        <v>-169.08670000000001</v>
      </c>
      <c r="H4833">
        <v>14.36772</v>
      </c>
      <c r="I4833">
        <v>39.165790000000001</v>
      </c>
      <c r="J4833">
        <v>-411.26499999999999</v>
      </c>
      <c r="K4833">
        <v>1.1057680000000001</v>
      </c>
      <c r="L4833">
        <v>24.504729999999999</v>
      </c>
      <c r="M4833">
        <v>0.89459809999999995</v>
      </c>
      <c r="N4833">
        <v>0</v>
      </c>
      <c r="O4833">
        <v>-0.44666499999999998</v>
      </c>
      <c r="P4833">
        <v>0.94067009999999995</v>
      </c>
      <c r="Q4833">
        <v>3.1818720000000002E-2</v>
      </c>
      <c r="R4833">
        <v>-0.33782770000000001</v>
      </c>
      <c r="S4833">
        <v>3.2537229999999999</v>
      </c>
      <c r="T4833">
        <v>0.17813499999999999</v>
      </c>
      <c r="U4833">
        <v>0.1965942</v>
      </c>
      <c r="V4833">
        <v>-0.11806949999999999</v>
      </c>
      <c r="W4833">
        <v>4.5019490000000002E-2</v>
      </c>
      <c r="X4833">
        <v>0.99198430000000004</v>
      </c>
      <c r="Y4833">
        <v>-0.49846960000000001</v>
      </c>
      <c r="Z4833">
        <v>-3.7441790000000003E-2</v>
      </c>
      <c r="AA4833">
        <v>0.86609829999999999</v>
      </c>
      <c r="AB4833">
        <v>11</v>
      </c>
      <c r="AC4833">
        <v>242.17830000000001</v>
      </c>
      <c r="AD4833">
        <v>13.261952000000001</v>
      </c>
      <c r="AE4833">
        <v>14.661060000000001</v>
      </c>
      <c r="AF4833">
        <v>-120.93818170636099</v>
      </c>
      <c r="AG4833">
        <v>13.261952000000001</v>
      </c>
      <c r="AH4833">
        <v>209.49712019607901</v>
      </c>
      <c r="AI4833">
        <v>86.861937416727798</v>
      </c>
      <c r="AJ4833">
        <v>119.996915523274</v>
      </c>
      <c r="AK4833">
        <v>242.262185525809</v>
      </c>
    </row>
    <row r="4834" spans="1:37" x14ac:dyDescent="0.2">
      <c r="A4834" t="str">
        <f>"20200111155951943"</f>
        <v>20200111155951943</v>
      </c>
      <c r="B4834" t="str">
        <f>"1578729591935776"</f>
        <v>1578729591935776</v>
      </c>
      <c r="C4834" t="s">
        <v>37</v>
      </c>
      <c r="D4834">
        <v>4.6146519999999898</v>
      </c>
      <c r="E4834">
        <v>0.3412809</v>
      </c>
      <c r="F4834" t="s">
        <v>81</v>
      </c>
      <c r="G4834">
        <v>-169.0865</v>
      </c>
      <c r="H4834">
        <v>13.68188</v>
      </c>
      <c r="I4834">
        <v>38.343890000000002</v>
      </c>
      <c r="J4834">
        <v>-411.2047</v>
      </c>
      <c r="K4834">
        <v>1.1057159999999999</v>
      </c>
      <c r="L4834">
        <v>24.47842</v>
      </c>
      <c r="M4834">
        <v>0.89589649999999998</v>
      </c>
      <c r="N4834">
        <v>0</v>
      </c>
      <c r="O4834">
        <v>-0.444055599999999</v>
      </c>
      <c r="P4834">
        <v>0.94079040000000003</v>
      </c>
      <c r="Q4834">
        <v>3.149718E-2</v>
      </c>
      <c r="R4834">
        <v>-0.33752309999999902</v>
      </c>
      <c r="S4834">
        <v>3.2501829999999998</v>
      </c>
      <c r="T4834">
        <v>0.16877909999999999</v>
      </c>
      <c r="U4834">
        <v>0.18573000000000001</v>
      </c>
      <c r="V4834">
        <v>-0.1154951</v>
      </c>
      <c r="W4834">
        <v>4.4705099999999998E-2</v>
      </c>
      <c r="X4834">
        <v>0.99230149999999995</v>
      </c>
      <c r="Y4834">
        <v>-0.49325580000000002</v>
      </c>
      <c r="Z4834">
        <v>-3.525652E-2</v>
      </c>
      <c r="AA4834">
        <v>0.86916949999999904</v>
      </c>
      <c r="AB4834">
        <v>11</v>
      </c>
      <c r="AC4834">
        <v>242.1182</v>
      </c>
      <c r="AD4834">
        <v>12.576164</v>
      </c>
      <c r="AE4834">
        <v>13.86547</v>
      </c>
      <c r="AF4834">
        <v>-119.62531560233199</v>
      </c>
      <c r="AG4834">
        <v>12.576164</v>
      </c>
      <c r="AH4834">
        <v>210.20991769029101</v>
      </c>
      <c r="AI4834">
        <v>87.023486899432299</v>
      </c>
      <c r="AJ4834">
        <v>119.643144267689</v>
      </c>
      <c r="AK4834">
        <v>242.191216870619</v>
      </c>
    </row>
    <row r="4835" spans="1:37" x14ac:dyDescent="0.2">
      <c r="A4835" t="str">
        <f>"20200111155951955"</f>
        <v>20200111155951955</v>
      </c>
      <c r="B4835" t="str">
        <f>"1578729591945536"</f>
        <v>1578729591945536</v>
      </c>
      <c r="C4835" t="s">
        <v>37</v>
      </c>
      <c r="D4835">
        <v>4.715814</v>
      </c>
      <c r="E4835">
        <v>0.34261520000000001</v>
      </c>
      <c r="F4835" t="s">
        <v>81</v>
      </c>
      <c r="G4835">
        <v>-169.08619999999999</v>
      </c>
      <c r="H4835">
        <v>12.988960000000001</v>
      </c>
      <c r="I4835">
        <v>37.748309999999996</v>
      </c>
      <c r="J4835">
        <v>-411.1506</v>
      </c>
      <c r="K4835">
        <v>1.105666</v>
      </c>
      <c r="L4835">
        <v>24.454929999999901</v>
      </c>
      <c r="M4835">
        <v>0.89699969999999996</v>
      </c>
      <c r="N4835">
        <v>0</v>
      </c>
      <c r="O4835">
        <v>-0.44182280000000002</v>
      </c>
      <c r="P4835">
        <v>0.94099859999999902</v>
      </c>
      <c r="Q4835">
        <v>3.0891140000000001E-2</v>
      </c>
      <c r="R4835">
        <v>-0.3369972</v>
      </c>
      <c r="S4835">
        <v>3.2473450000000001</v>
      </c>
      <c r="T4835">
        <v>0.15938060000000001</v>
      </c>
      <c r="U4835">
        <v>0.17797850000000001</v>
      </c>
      <c r="V4835">
        <v>-0.11357879999999999</v>
      </c>
      <c r="W4835">
        <v>4.4104869999999997E-2</v>
      </c>
      <c r="X4835">
        <v>0.99254949999999997</v>
      </c>
      <c r="Y4835">
        <v>-0.48919889999999999</v>
      </c>
      <c r="Z4835">
        <v>-3.3124210000000001E-2</v>
      </c>
      <c r="AA4835">
        <v>0.87154299999999996</v>
      </c>
      <c r="AB4835">
        <v>11</v>
      </c>
      <c r="AC4835">
        <v>242.06440000000001</v>
      </c>
      <c r="AD4835">
        <v>11.883293999999999</v>
      </c>
      <c r="AE4835">
        <v>13.2933799999999</v>
      </c>
      <c r="AF4835">
        <v>-118.599713285131</v>
      </c>
      <c r="AG4835">
        <v>11.883293999999999</v>
      </c>
      <c r="AH4835">
        <v>210.77140458266601</v>
      </c>
      <c r="AI4835">
        <v>87.187012809942303</v>
      </c>
      <c r="AJ4835">
        <v>119.366177694238</v>
      </c>
      <c r="AK4835">
        <v>242.13981427546301</v>
      </c>
    </row>
    <row r="4836" spans="1:37" x14ac:dyDescent="0.2">
      <c r="A4836" t="str">
        <f>"20200111155951975"</f>
        <v>20200111155951975</v>
      </c>
      <c r="B4836" t="str">
        <f>"1578729591965058"</f>
        <v>1578729591965058</v>
      </c>
      <c r="C4836" t="s">
        <v>37</v>
      </c>
      <c r="D4836">
        <v>4.6528039999999997</v>
      </c>
      <c r="E4836">
        <v>0.3444837</v>
      </c>
      <c r="F4836" t="s">
        <v>81</v>
      </c>
      <c r="G4836">
        <v>-168.50409999999999</v>
      </c>
      <c r="H4836">
        <v>12.230779999999999</v>
      </c>
      <c r="I4836">
        <v>37.182540000000003</v>
      </c>
      <c r="J4836">
        <v>-411.06009999999998</v>
      </c>
      <c r="K4836">
        <v>1.1055680000000001</v>
      </c>
      <c r="L4836">
        <v>24.415679999999998</v>
      </c>
      <c r="M4836">
        <v>0.89876350000000005</v>
      </c>
      <c r="N4836">
        <v>0</v>
      </c>
      <c r="O4836">
        <v>-0.43822489999999997</v>
      </c>
      <c r="P4836">
        <v>0.94149669999999896</v>
      </c>
      <c r="Q4836">
        <v>3.051895E-2</v>
      </c>
      <c r="R4836">
        <v>-0.33563779999999999</v>
      </c>
      <c r="S4836">
        <v>3.2441409999999999</v>
      </c>
      <c r="T4836">
        <v>0.14874079999999901</v>
      </c>
      <c r="U4836">
        <v>0.17016600000000001</v>
      </c>
      <c r="V4836">
        <v>-0.1110278</v>
      </c>
      <c r="W4836">
        <v>4.37414E-2</v>
      </c>
      <c r="X4836">
        <v>0.99285419999999902</v>
      </c>
      <c r="Y4836">
        <v>-0.48379889999999998</v>
      </c>
      <c r="Z4836">
        <v>-3.0670090000000001E-2</v>
      </c>
      <c r="AA4836">
        <v>0.87464159999999902</v>
      </c>
      <c r="AB4836">
        <v>11</v>
      </c>
      <c r="AC4836">
        <v>242.55599999999899</v>
      </c>
      <c r="AD4836">
        <v>11.125211999999999</v>
      </c>
      <c r="AE4836">
        <v>12.766859999999999</v>
      </c>
      <c r="AF4836">
        <v>-117.532674933058</v>
      </c>
      <c r="AG4836">
        <v>11.125211999999999</v>
      </c>
      <c r="AH4836">
        <v>211.980452637881</v>
      </c>
      <c r="AI4836">
        <v>87.372010584536696</v>
      </c>
      <c r="AJ4836">
        <v>119.00620061320301</v>
      </c>
      <c r="AK4836">
        <v>242.63843949285101</v>
      </c>
    </row>
    <row r="4837" spans="1:37" x14ac:dyDescent="0.2">
      <c r="A4837" t="str">
        <f>"20200111155951988"</f>
        <v>20200111155951988</v>
      </c>
      <c r="B4837" t="str">
        <f>"1578729591985551"</f>
        <v>1578729591985551</v>
      </c>
      <c r="C4837" t="s">
        <v>37</v>
      </c>
      <c r="D4837">
        <v>5.6738790000000003</v>
      </c>
      <c r="E4837">
        <v>0.42401459999999902</v>
      </c>
      <c r="F4837" t="s">
        <v>81</v>
      </c>
      <c r="G4837">
        <v>-168.50380000000001</v>
      </c>
      <c r="H4837">
        <v>11.547180000000001</v>
      </c>
      <c r="I4837">
        <v>36.485680000000002</v>
      </c>
      <c r="J4837">
        <v>-410.99970000000002</v>
      </c>
      <c r="K4837">
        <v>1.105497</v>
      </c>
      <c r="L4837">
        <v>24.389530000000001</v>
      </c>
      <c r="M4837">
        <v>0.89987759999999895</v>
      </c>
      <c r="N4837">
        <v>0</v>
      </c>
      <c r="O4837">
        <v>-0.43593279999999901</v>
      </c>
      <c r="P4837">
        <v>0.94217659999999903</v>
      </c>
      <c r="Q4837">
        <v>3.045958E-2</v>
      </c>
      <c r="R4837">
        <v>-0.33372979999999902</v>
      </c>
      <c r="S4837">
        <v>3.2393190000000001</v>
      </c>
      <c r="T4837">
        <v>0.13944699999999999</v>
      </c>
      <c r="U4837">
        <v>0.1611938</v>
      </c>
      <c r="V4837">
        <v>-0.11050209999999901</v>
      </c>
      <c r="W4837">
        <v>4.3684710000000002E-2</v>
      </c>
      <c r="X4837">
        <v>0.9929154</v>
      </c>
      <c r="Y4837">
        <v>-0.47933300000000001</v>
      </c>
      <c r="Z4837">
        <v>-2.8610819999999999E-2</v>
      </c>
      <c r="AA4837">
        <v>0.87716659999999902</v>
      </c>
      <c r="AB4837">
        <v>11</v>
      </c>
      <c r="AC4837">
        <v>242.49590000000001</v>
      </c>
      <c r="AD4837">
        <v>10.441682999999999</v>
      </c>
      <c r="AE4837">
        <v>12.09615</v>
      </c>
      <c r="AF4837">
        <v>-116.392368306107</v>
      </c>
      <c r="AG4837">
        <v>10.441682999999999</v>
      </c>
      <c r="AH4837">
        <v>212.56984953110299</v>
      </c>
      <c r="AI4837">
        <v>87.532920936677399</v>
      </c>
      <c r="AJ4837">
        <v>118.702856583509</v>
      </c>
      <c r="AK4837">
        <v>242.57401566007201</v>
      </c>
    </row>
    <row r="4838" spans="1:37" x14ac:dyDescent="0.2">
      <c r="A4838" t="str">
        <f>"20200111155952001"</f>
        <v>20200111155952001</v>
      </c>
      <c r="B4838" t="str">
        <f>"1578729591995312"</f>
        <v>1578729591995312</v>
      </c>
      <c r="C4838" t="s">
        <v>37</v>
      </c>
      <c r="D4838">
        <v>5.514608</v>
      </c>
      <c r="E4838">
        <v>0.43586419999999998</v>
      </c>
      <c r="F4838" t="s">
        <v>78</v>
      </c>
      <c r="G4838">
        <v>-386.65230000000003</v>
      </c>
      <c r="H4838" s="1">
        <v>-1.9623580000000002E-6</v>
      </c>
      <c r="I4838">
        <v>21.042349999999999</v>
      </c>
      <c r="J4838">
        <v>-410.9418</v>
      </c>
      <c r="K4838">
        <v>1.1054250000000001</v>
      </c>
      <c r="L4838">
        <v>24.364560000000001</v>
      </c>
      <c r="M4838">
        <v>0.90088939999999995</v>
      </c>
      <c r="N4838">
        <v>0</v>
      </c>
      <c r="O4838">
        <v>-0.43383850000000002</v>
      </c>
      <c r="P4838">
        <v>0.94292399999999998</v>
      </c>
      <c r="Q4838">
        <v>3.060918E-2</v>
      </c>
      <c r="R4838">
        <v>-0.33159859999999902</v>
      </c>
      <c r="S4838">
        <v>3.040527</v>
      </c>
      <c r="T4838">
        <v>-0.1380557</v>
      </c>
      <c r="U4838">
        <v>-0.41799929999999902</v>
      </c>
      <c r="V4838">
        <v>-0.1104279</v>
      </c>
      <c r="W4838">
        <v>4.3836680000000003E-2</v>
      </c>
      <c r="X4838">
        <v>0.99291689999999999</v>
      </c>
      <c r="Y4838">
        <v>-0.30641259999999998</v>
      </c>
      <c r="Z4838">
        <v>2.5864979999999999E-2</v>
      </c>
      <c r="AA4838">
        <v>0.95154729999999998</v>
      </c>
      <c r="AB4838">
        <v>11</v>
      </c>
      <c r="AC4838">
        <v>24.289499999999901</v>
      </c>
      <c r="AD4838">
        <v>-1.105426962358</v>
      </c>
      <c r="AE4838">
        <v>-3.3222100000000001</v>
      </c>
      <c r="AF4838">
        <v>-7.5301547438590903</v>
      </c>
      <c r="AG4838">
        <v>-1.105426962358</v>
      </c>
      <c r="AH4838">
        <v>23.2782549771558</v>
      </c>
      <c r="AI4838">
        <v>92.586998498274994</v>
      </c>
      <c r="AJ4838">
        <v>107.925590460997</v>
      </c>
      <c r="AK4838">
        <v>24.490862663798701</v>
      </c>
    </row>
    <row r="4839" spans="1:37" x14ac:dyDescent="0.2">
      <c r="A4839" t="str">
        <f>"20200111155952019"</f>
        <v>20200111155952019</v>
      </c>
      <c r="B4839" t="str">
        <f>"1578729592015808"</f>
        <v>1578729592015808</v>
      </c>
      <c r="C4839" t="s">
        <v>37</v>
      </c>
      <c r="D4839">
        <v>5.5275879999999997</v>
      </c>
      <c r="E4839">
        <v>0.44998480000000002</v>
      </c>
      <c r="F4839" t="s">
        <v>39</v>
      </c>
      <c r="G4839">
        <v>-392.3227</v>
      </c>
      <c r="H4839" s="1">
        <v>-4.0531129999999999E-6</v>
      </c>
      <c r="I4839">
        <v>21.283300000000001</v>
      </c>
      <c r="J4839">
        <v>-410.86090000000002</v>
      </c>
      <c r="K4839">
        <v>1.105329</v>
      </c>
      <c r="L4839">
        <v>24.32968</v>
      </c>
      <c r="M4839">
        <v>0.90221749999999901</v>
      </c>
      <c r="N4839">
        <v>0</v>
      </c>
      <c r="O4839">
        <v>-0.43107079999999998</v>
      </c>
      <c r="P4839">
        <v>0.94406979999999996</v>
      </c>
      <c r="Q4839">
        <v>3.1443529999999997E-2</v>
      </c>
      <c r="R4839">
        <v>-0.32824429999999999</v>
      </c>
      <c r="S4839">
        <v>3.0121150000000001</v>
      </c>
      <c r="T4839">
        <v>-0.17883209999999999</v>
      </c>
      <c r="U4839">
        <v>-0.49847409999999998</v>
      </c>
      <c r="V4839">
        <v>-0.11088869999999899</v>
      </c>
      <c r="W4839">
        <v>4.4674140000000001E-2</v>
      </c>
      <c r="X4839">
        <v>0.99282819999999905</v>
      </c>
      <c r="Y4839">
        <v>-0.27685290000000001</v>
      </c>
      <c r="Z4839">
        <v>3.2683650000000002E-2</v>
      </c>
      <c r="AA4839">
        <v>0.96035630000000005</v>
      </c>
      <c r="AB4839">
        <v>11</v>
      </c>
      <c r="AC4839">
        <v>18.5382</v>
      </c>
      <c r="AD4839">
        <v>-1.1053330531129999</v>
      </c>
      <c r="AE4839">
        <v>-3.0463799999999899</v>
      </c>
      <c r="AF4839">
        <v>-5.2251678041190797</v>
      </c>
      <c r="AG4839">
        <v>-1.1053330531129999</v>
      </c>
      <c r="AH4839">
        <v>17.9780983127642</v>
      </c>
      <c r="AI4839">
        <v>93.378773066504195</v>
      </c>
      <c r="AJ4839">
        <v>106.20601698419</v>
      </c>
      <c r="AK4839">
        <v>18.754630326479901</v>
      </c>
    </row>
    <row r="4840" spans="1:37" x14ac:dyDescent="0.2">
      <c r="A4840" t="str">
        <f>"20200111155952034"</f>
        <v>20200111155952034</v>
      </c>
      <c r="B4840" t="str">
        <f>"1578729592025568"</f>
        <v>1578729592025568</v>
      </c>
      <c r="C4840" t="s">
        <v>37</v>
      </c>
      <c r="D4840">
        <v>5.5056640000000003</v>
      </c>
      <c r="E4840">
        <v>0.45315359999999999</v>
      </c>
      <c r="F4840" t="s">
        <v>39</v>
      </c>
      <c r="G4840">
        <v>-396.29410000000001</v>
      </c>
      <c r="H4840" s="1">
        <v>-2.2162379999999998E-6</v>
      </c>
      <c r="I4840">
        <v>21.435269999999999</v>
      </c>
      <c r="J4840">
        <v>-410.78980000000001</v>
      </c>
      <c r="K4840">
        <v>1.1052280000000001</v>
      </c>
      <c r="L4840">
        <v>24.299039999999898</v>
      </c>
      <c r="M4840">
        <v>0.90330189999999999</v>
      </c>
      <c r="N4840">
        <v>0</v>
      </c>
      <c r="O4840">
        <v>-0.42879440000000002</v>
      </c>
      <c r="P4840">
        <v>0.94516769999999894</v>
      </c>
      <c r="Q4840">
        <v>3.1912389999999999E-2</v>
      </c>
      <c r="R4840">
        <v>-0.32502309999999901</v>
      </c>
      <c r="S4840">
        <v>2.9794309999999999</v>
      </c>
      <c r="T4840">
        <v>-0.22607969999999999</v>
      </c>
      <c r="U4840">
        <v>-0.5920105</v>
      </c>
      <c r="V4840">
        <v>-0.1117546</v>
      </c>
      <c r="W4840">
        <v>4.5147159999999999E-2</v>
      </c>
      <c r="X4840">
        <v>0.99270979999999998</v>
      </c>
      <c r="Y4840">
        <v>-0.24279139999999899</v>
      </c>
      <c r="Z4840">
        <v>4.0141129999999997E-2</v>
      </c>
      <c r="AA4840">
        <v>0.96924759999999999</v>
      </c>
      <c r="AB4840">
        <v>11</v>
      </c>
      <c r="AC4840">
        <v>14.495699999999999</v>
      </c>
      <c r="AD4840">
        <v>-1.1052302162380001</v>
      </c>
      <c r="AE4840">
        <v>-2.8637699999999899</v>
      </c>
      <c r="AF4840">
        <v>-3.6089625307515898</v>
      </c>
      <c r="AG4840">
        <v>-1.1052302162380001</v>
      </c>
      <c r="AH4840">
        <v>14.2435659298053</v>
      </c>
      <c r="AI4840">
        <v>94.301582070682102</v>
      </c>
      <c r="AJ4840">
        <v>104.21809307261</v>
      </c>
      <c r="AK4840">
        <v>14.735172709404001</v>
      </c>
    </row>
    <row r="4841" spans="1:37" x14ac:dyDescent="0.2">
      <c r="A4841" t="str">
        <f>"20200111155952047"</f>
        <v>20200111155952047</v>
      </c>
      <c r="B4841" t="str">
        <f>"1578729592035329"</f>
        <v>1578729592035329</v>
      </c>
      <c r="C4841" t="s">
        <v>37</v>
      </c>
      <c r="D4841">
        <v>5.4828580000000002</v>
      </c>
      <c r="E4841">
        <v>0.45537479999999902</v>
      </c>
      <c r="F4841" t="s">
        <v>39</v>
      </c>
      <c r="G4841">
        <v>-396.85340000000002</v>
      </c>
      <c r="H4841" s="1">
        <v>-1.9589439999999999E-6</v>
      </c>
      <c r="I4841">
        <v>21.461849999999998</v>
      </c>
      <c r="J4841">
        <v>-410.73140000000001</v>
      </c>
      <c r="K4841">
        <v>1.1051469999999901</v>
      </c>
      <c r="L4841">
        <v>24.273859999999999</v>
      </c>
      <c r="M4841">
        <v>0.90414399999999995</v>
      </c>
      <c r="N4841">
        <v>0</v>
      </c>
      <c r="O4841">
        <v>-0.42701600000000001</v>
      </c>
      <c r="P4841">
        <v>0.94605680000000003</v>
      </c>
      <c r="Q4841">
        <v>3.2456739999999998E-2</v>
      </c>
      <c r="R4841">
        <v>-0.32237139999999997</v>
      </c>
      <c r="S4841">
        <v>2.9737849999999999</v>
      </c>
      <c r="T4841">
        <v>-0.23583679999999899</v>
      </c>
      <c r="U4841">
        <v>-0.60540769999999899</v>
      </c>
      <c r="V4841">
        <v>-0.1125683</v>
      </c>
      <c r="W4841">
        <v>4.5696380000000002E-2</v>
      </c>
      <c r="X4841">
        <v>0.99259269999999999</v>
      </c>
      <c r="Y4841">
        <v>-0.23619399999999999</v>
      </c>
      <c r="Z4841">
        <v>4.1535790000000003E-2</v>
      </c>
      <c r="AA4841">
        <v>0.97081779999999995</v>
      </c>
      <c r="AB4841">
        <v>11</v>
      </c>
      <c r="AC4841">
        <v>13.877999999999901</v>
      </c>
      <c r="AD4841">
        <v>-1.10514895894399</v>
      </c>
      <c r="AE4841">
        <v>-2.8120099999999999</v>
      </c>
      <c r="AF4841">
        <v>-3.36348411586745</v>
      </c>
      <c r="AG4841">
        <v>-1.10514895894399</v>
      </c>
      <c r="AH4841">
        <v>13.6664805122406</v>
      </c>
      <c r="AI4841">
        <v>94.489796525248195</v>
      </c>
      <c r="AJ4841">
        <v>103.826387408668</v>
      </c>
      <c r="AK4841">
        <v>14.117615563918701</v>
      </c>
    </row>
    <row r="4842" spans="1:37" x14ac:dyDescent="0.2">
      <c r="A4842" t="str">
        <f>"20200111155952065"</f>
        <v>20200111155952065</v>
      </c>
      <c r="B4842" t="str">
        <f>"1578729592055356"</f>
        <v>1578729592055356</v>
      </c>
      <c r="C4842" t="s">
        <v>37</v>
      </c>
      <c r="D4842">
        <v>5.459282</v>
      </c>
      <c r="E4842">
        <v>0.45898889999999998</v>
      </c>
      <c r="F4842" t="s">
        <v>39</v>
      </c>
      <c r="G4842">
        <v>-397.1875</v>
      </c>
      <c r="H4842" s="1">
        <v>-1.805287E-6</v>
      </c>
      <c r="I4842">
        <v>21.477969999999999</v>
      </c>
      <c r="J4842">
        <v>-410.64789999999999</v>
      </c>
      <c r="K4842">
        <v>1.1050260000000001</v>
      </c>
      <c r="L4842">
        <v>24.23779</v>
      </c>
      <c r="M4842">
        <v>0.90524249999999995</v>
      </c>
      <c r="N4842">
        <v>0</v>
      </c>
      <c r="O4842">
        <v>-0.42468319999999998</v>
      </c>
      <c r="P4842">
        <v>0.94754020000000005</v>
      </c>
      <c r="Q4842">
        <v>3.2626910000000002E-2</v>
      </c>
      <c r="R4842">
        <v>-0.31796770000000002</v>
      </c>
      <c r="S4842">
        <v>2.9704280000000001</v>
      </c>
      <c r="T4842">
        <v>-0.24237939999999999</v>
      </c>
      <c r="U4842">
        <v>-0.61318969999999995</v>
      </c>
      <c r="V4842">
        <v>-0.1146108</v>
      </c>
      <c r="W4842">
        <v>4.587405E-2</v>
      </c>
      <c r="X4842">
        <v>0.99235069999999903</v>
      </c>
      <c r="Y4842">
        <v>-0.23094389999999901</v>
      </c>
      <c r="Z4842">
        <v>4.2334910000000003E-2</v>
      </c>
      <c r="AA4842">
        <v>0.97204559999999995</v>
      </c>
      <c r="AB4842">
        <v>11</v>
      </c>
      <c r="AC4842">
        <v>13.4603999999999</v>
      </c>
      <c r="AD4842">
        <v>-1.105027805287</v>
      </c>
      <c r="AE4842">
        <v>-2.7598199999999902</v>
      </c>
      <c r="AF4842">
        <v>-3.1977077050167599</v>
      </c>
      <c r="AG4842">
        <v>-1.105027805287</v>
      </c>
      <c r="AH4842">
        <v>13.2723380435817</v>
      </c>
      <c r="AI4842">
        <v>94.627539000689893</v>
      </c>
      <c r="AJ4842">
        <v>103.54611911544001</v>
      </c>
      <c r="AK4842">
        <v>13.696765244403</v>
      </c>
    </row>
    <row r="4843" spans="1:37" x14ac:dyDescent="0.2">
      <c r="A4843" t="str">
        <f>"20200111155952076"</f>
        <v>20200111155952076</v>
      </c>
      <c r="B4843" t="str">
        <f>"1578729592065118"</f>
        <v>1578729592065118</v>
      </c>
      <c r="C4843" t="s">
        <v>37</v>
      </c>
      <c r="D4843">
        <v>5.510688</v>
      </c>
      <c r="E4843">
        <v>0.4602135</v>
      </c>
      <c r="F4843" t="s">
        <v>39</v>
      </c>
      <c r="G4843">
        <v>-396.66719999999998</v>
      </c>
      <c r="H4843" s="1">
        <v>-1.9992319999999999E-6</v>
      </c>
      <c r="I4843">
        <v>21.282499999999999</v>
      </c>
      <c r="J4843">
        <v>-410.5917</v>
      </c>
      <c r="K4843">
        <v>1.1049450000000001</v>
      </c>
      <c r="L4843">
        <v>24.213470000000001</v>
      </c>
      <c r="M4843">
        <v>0.90590269999999995</v>
      </c>
      <c r="N4843">
        <v>0</v>
      </c>
      <c r="O4843">
        <v>-0.42327320000000002</v>
      </c>
      <c r="P4843">
        <v>0.94824660000000005</v>
      </c>
      <c r="Q4843">
        <v>3.2531999999999998E-2</v>
      </c>
      <c r="R4843">
        <v>-0.31586449999999999</v>
      </c>
      <c r="S4843">
        <v>2.9639279999999899</v>
      </c>
      <c r="T4843">
        <v>-0.23426749999999999</v>
      </c>
      <c r="U4843">
        <v>-0.62652589999999997</v>
      </c>
      <c r="V4843">
        <v>-0.115259999999999</v>
      </c>
      <c r="W4843">
        <v>4.5786889999999997E-2</v>
      </c>
      <c r="X4843">
        <v>0.99227949999999998</v>
      </c>
      <c r="Y4843">
        <v>-0.22495789999999899</v>
      </c>
      <c r="Z4843">
        <v>4.0650800000000001E-2</v>
      </c>
      <c r="AA4843">
        <v>0.97352019999999995</v>
      </c>
      <c r="AB4843">
        <v>11</v>
      </c>
      <c r="AC4843">
        <v>13.9245</v>
      </c>
      <c r="AD4843">
        <v>-1.104946999232</v>
      </c>
      <c r="AE4843">
        <v>-2.9309699999999999</v>
      </c>
      <c r="AF4843">
        <v>-3.2195726504512301</v>
      </c>
      <c r="AG4843">
        <v>-1.104946999232</v>
      </c>
      <c r="AH4843">
        <v>13.773043617971</v>
      </c>
      <c r="AI4843">
        <v>94.466838449586106</v>
      </c>
      <c r="AJ4843">
        <v>103.157148754093</v>
      </c>
      <c r="AK4843">
        <v>14.1874341029369</v>
      </c>
    </row>
    <row r="4844" spans="1:37" x14ac:dyDescent="0.2">
      <c r="A4844" t="str">
        <f>"20200111155952089"</f>
        <v>20200111155952089</v>
      </c>
      <c r="B4844" t="str">
        <f>"1578729592085613"</f>
        <v>1578729592085613</v>
      </c>
      <c r="C4844" t="s">
        <v>37</v>
      </c>
      <c r="D4844">
        <v>5.532565</v>
      </c>
      <c r="E4844">
        <v>0.46314939999999999</v>
      </c>
      <c r="F4844" t="s">
        <v>39</v>
      </c>
      <c r="G4844">
        <v>-396.92840000000001</v>
      </c>
      <c r="H4844" s="1">
        <v>-1.8840179999999999E-6</v>
      </c>
      <c r="I4844">
        <v>21.31345</v>
      </c>
      <c r="J4844">
        <v>-410.53730000000002</v>
      </c>
      <c r="K4844">
        <v>1.104868</v>
      </c>
      <c r="L4844">
        <v>24.189879999999999</v>
      </c>
      <c r="M4844">
        <v>0.90651489999999901</v>
      </c>
      <c r="N4844">
        <v>0</v>
      </c>
      <c r="O4844">
        <v>-0.42196099999999997</v>
      </c>
      <c r="P4844">
        <v>0.94878370000000001</v>
      </c>
      <c r="Q4844">
        <v>3.1712990000000003E-2</v>
      </c>
      <c r="R4844">
        <v>-0.31433059999999902</v>
      </c>
      <c r="S4844">
        <v>2.962494</v>
      </c>
      <c r="T4844">
        <v>-0.23957539999999999</v>
      </c>
      <c r="U4844">
        <v>-0.62878420000000002</v>
      </c>
      <c r="V4844">
        <v>-0.1154308</v>
      </c>
      <c r="W4844">
        <v>4.4976139999999998E-2</v>
      </c>
      <c r="X4844">
        <v>0.99229679999999998</v>
      </c>
      <c r="Y4844">
        <v>-0.22266649999999999</v>
      </c>
      <c r="Z4844">
        <v>4.1398129999999998E-2</v>
      </c>
      <c r="AA4844">
        <v>0.97401530000000003</v>
      </c>
      <c r="AB4844">
        <v>11</v>
      </c>
      <c r="AC4844">
        <v>13.6089</v>
      </c>
      <c r="AD4844">
        <v>-1.104869884018</v>
      </c>
      <c r="AE4844">
        <v>-2.8764299999999898</v>
      </c>
      <c r="AF4844">
        <v>-3.1155226307291599</v>
      </c>
      <c r="AG4844">
        <v>-1.104869884018</v>
      </c>
      <c r="AH4844">
        <v>13.466661295338399</v>
      </c>
      <c r="AI4844">
        <v>94.570138658713603</v>
      </c>
      <c r="AJ4844">
        <v>103.026248485284</v>
      </c>
      <c r="AK4844">
        <v>13.866440969714001</v>
      </c>
    </row>
    <row r="4845" spans="1:37" x14ac:dyDescent="0.2">
      <c r="A4845" t="str">
        <f>"20200111155952108"</f>
        <v>20200111155952108</v>
      </c>
      <c r="B4845" t="str">
        <f>"1578729592105133"</f>
        <v>1578729592105133</v>
      </c>
      <c r="C4845" t="s">
        <v>37</v>
      </c>
      <c r="D4845">
        <v>5.7207739999999996</v>
      </c>
      <c r="E4845">
        <v>0.46444489999999999</v>
      </c>
      <c r="F4845" t="s">
        <v>39</v>
      </c>
      <c r="G4845">
        <v>-397.07429999999999</v>
      </c>
      <c r="H4845" s="1">
        <v>-1.7973229999999999E-6</v>
      </c>
      <c r="I4845">
        <v>21.246879999999901</v>
      </c>
      <c r="J4845">
        <v>-410.45299999999997</v>
      </c>
      <c r="K4845">
        <v>1.104759</v>
      </c>
      <c r="L4845">
        <v>24.15326</v>
      </c>
      <c r="M4845">
        <v>0.90737429999999997</v>
      </c>
      <c r="N4845">
        <v>0</v>
      </c>
      <c r="O4845">
        <v>-0.42011039999999999</v>
      </c>
      <c r="P4845">
        <v>0.94927099999999898</v>
      </c>
      <c r="Q4845">
        <v>2.85145999999999E-2</v>
      </c>
      <c r="R4845">
        <v>-0.313164099999999</v>
      </c>
      <c r="S4845">
        <v>2.955994</v>
      </c>
      <c r="T4845">
        <v>-0.24259059999999999</v>
      </c>
      <c r="U4845">
        <v>-0.64617919999999995</v>
      </c>
      <c r="V4845">
        <v>-0.11465649999999999</v>
      </c>
      <c r="W4845">
        <v>4.179244E-2</v>
      </c>
      <c r="X4845">
        <v>0.99252569999999996</v>
      </c>
      <c r="Y4845">
        <v>-0.21473510000000001</v>
      </c>
      <c r="Z4845">
        <v>4.1515160000000002E-2</v>
      </c>
      <c r="AA4845">
        <v>0.97578960000000003</v>
      </c>
      <c r="AB4845">
        <v>11</v>
      </c>
      <c r="AC4845">
        <v>13.3787</v>
      </c>
      <c r="AD4845">
        <v>-1.104760797323</v>
      </c>
      <c r="AE4845">
        <v>-2.90638</v>
      </c>
      <c r="AF4845">
        <v>-2.9643215119969</v>
      </c>
      <c r="AG4845">
        <v>-1.104760797323</v>
      </c>
      <c r="AH4845">
        <v>13.275243878898101</v>
      </c>
      <c r="AI4845">
        <v>94.6433362300358</v>
      </c>
      <c r="AJ4845">
        <v>102.587474122374</v>
      </c>
      <c r="AK4845">
        <v>13.646970304430599</v>
      </c>
    </row>
    <row r="4846" spans="1:37" x14ac:dyDescent="0.2">
      <c r="A4846" t="str">
        <f>"20200111155952131"</f>
        <v>20200111155952131</v>
      </c>
      <c r="B4846" t="str">
        <f>"1578729592125628"</f>
        <v>1578729592125628</v>
      </c>
      <c r="C4846" t="s">
        <v>37</v>
      </c>
      <c r="D4846">
        <v>5.766127</v>
      </c>
      <c r="E4846">
        <v>0.46520099999999998</v>
      </c>
      <c r="F4846" t="s">
        <v>39</v>
      </c>
      <c r="G4846">
        <v>-396.59059999999999</v>
      </c>
      <c r="H4846" s="1">
        <v>-1.9833090000000002E-6</v>
      </c>
      <c r="I4846">
        <v>21.086539999999999</v>
      </c>
      <c r="J4846">
        <v>-410.34640000000002</v>
      </c>
      <c r="K4846">
        <v>1.10463</v>
      </c>
      <c r="L4846">
        <v>24.106839999999998</v>
      </c>
      <c r="M4846">
        <v>0.90829479999999996</v>
      </c>
      <c r="N4846">
        <v>0</v>
      </c>
      <c r="O4846">
        <v>-0.41811709999999902</v>
      </c>
      <c r="P4846">
        <v>0.94939219999999902</v>
      </c>
      <c r="Q4846">
        <v>2.5092550000000002E-2</v>
      </c>
      <c r="R4846">
        <v>-0.31308930000000001</v>
      </c>
      <c r="S4846">
        <v>2.95193499999999</v>
      </c>
      <c r="T4846">
        <v>-0.235254299999999</v>
      </c>
      <c r="U4846">
        <v>-0.65304569999999995</v>
      </c>
      <c r="V4846">
        <v>-0.1125826</v>
      </c>
      <c r="W4846">
        <v>3.8390569999999999E-2</v>
      </c>
      <c r="X4846">
        <v>0.99290049999999996</v>
      </c>
      <c r="Y4846">
        <v>-0.210273299999999</v>
      </c>
      <c r="Z4846">
        <v>3.9986840000000003E-2</v>
      </c>
      <c r="AA4846">
        <v>0.97682459999999904</v>
      </c>
      <c r="AB4846">
        <v>11</v>
      </c>
      <c r="AC4846">
        <v>13.755800000000001</v>
      </c>
      <c r="AD4846">
        <v>-1.1046319833089999</v>
      </c>
      <c r="AE4846">
        <v>-3.02029999999999</v>
      </c>
      <c r="AF4846">
        <v>-2.9900861794712301</v>
      </c>
      <c r="AG4846">
        <v>-1.1046319833089999</v>
      </c>
      <c r="AH4846">
        <v>13.6742657429854</v>
      </c>
      <c r="AI4846">
        <v>94.512267878217898</v>
      </c>
      <c r="AJ4846">
        <v>102.33445089602</v>
      </c>
      <c r="AK4846">
        <v>14.0408821228938</v>
      </c>
    </row>
    <row r="4847" spans="1:37" x14ac:dyDescent="0.2">
      <c r="A4847" t="str">
        <f>"20200111155952154"</f>
        <v>20200111155952154</v>
      </c>
      <c r="B4847" t="str">
        <f>"1578729592145148"</f>
        <v>1578729592145148</v>
      </c>
      <c r="C4847" t="s">
        <v>37</v>
      </c>
      <c r="D4847">
        <v>5.587872</v>
      </c>
      <c r="E4847">
        <v>0.46681909999999999</v>
      </c>
      <c r="F4847" t="s">
        <v>39</v>
      </c>
      <c r="G4847">
        <v>-397.495</v>
      </c>
      <c r="H4847" s="1">
        <v>-1.5971619999999999E-6</v>
      </c>
      <c r="I4847">
        <v>21.241999999999901</v>
      </c>
      <c r="J4847">
        <v>-410.24239999999998</v>
      </c>
      <c r="K4847">
        <v>1.104501</v>
      </c>
      <c r="L4847">
        <v>24.061339999999898</v>
      </c>
      <c r="M4847">
        <v>0.9090338</v>
      </c>
      <c r="N4847">
        <v>0</v>
      </c>
      <c r="O4847">
        <v>-0.41650890000000002</v>
      </c>
      <c r="P4847">
        <v>0.94908769999999998</v>
      </c>
      <c r="Q4847">
        <v>2.3349200000000001E-2</v>
      </c>
      <c r="R4847">
        <v>-0.31414599999999998</v>
      </c>
      <c r="S4847">
        <v>2.9497680000000002</v>
      </c>
      <c r="T4847">
        <v>-0.25354389999999999</v>
      </c>
      <c r="U4847">
        <v>-0.65756230000000004</v>
      </c>
      <c r="V4847">
        <v>-0.1097272</v>
      </c>
      <c r="W4847">
        <v>3.6666579999999997E-2</v>
      </c>
      <c r="X4847">
        <v>0.99328519999999898</v>
      </c>
      <c r="Y4847">
        <v>-0.20669079999999901</v>
      </c>
      <c r="Z4847">
        <v>4.2831029999999999E-2</v>
      </c>
      <c r="AA4847">
        <v>0.97746840000000002</v>
      </c>
      <c r="AB4847">
        <v>11</v>
      </c>
      <c r="AC4847">
        <v>12.747399999999899</v>
      </c>
      <c r="AD4847">
        <v>-1.1045025971619999</v>
      </c>
      <c r="AE4847">
        <v>-2.81934</v>
      </c>
      <c r="AF4847">
        <v>-2.7272547230898798</v>
      </c>
      <c r="AG4847">
        <v>-1.1045025971619999</v>
      </c>
      <c r="AH4847">
        <v>12.672531747353601</v>
      </c>
      <c r="AI4847">
        <v>94.870202012186795</v>
      </c>
      <c r="AJ4847">
        <v>102.14537657221101</v>
      </c>
      <c r="AK4847">
        <v>13.009646620851701</v>
      </c>
    </row>
    <row r="4848" spans="1:37" x14ac:dyDescent="0.2">
      <c r="A4848" t="str">
        <f>"20200111155952168"</f>
        <v>20200111155952168</v>
      </c>
      <c r="B4848" t="str">
        <f>"1578729592165177"</f>
        <v>1578729592165177</v>
      </c>
      <c r="C4848" t="s">
        <v>37</v>
      </c>
      <c r="D4848">
        <v>5.5901629999999898</v>
      </c>
      <c r="E4848">
        <v>0.46865119999999999</v>
      </c>
      <c r="F4848" t="s">
        <v>39</v>
      </c>
      <c r="G4848">
        <v>-397.74509999999998</v>
      </c>
      <c r="H4848" s="1">
        <v>-1.469612E-6</v>
      </c>
      <c r="I4848">
        <v>21.206949999999999</v>
      </c>
      <c r="J4848">
        <v>-410.18329999999997</v>
      </c>
      <c r="K4848">
        <v>1.1044399999999901</v>
      </c>
      <c r="L4848">
        <v>24.03537</v>
      </c>
      <c r="M4848">
        <v>0.90939360000000002</v>
      </c>
      <c r="N4848">
        <v>0</v>
      </c>
      <c r="O4848">
        <v>-0.4157227</v>
      </c>
      <c r="P4848">
        <v>0.9487892</v>
      </c>
      <c r="Q4848">
        <v>2.340764E-2</v>
      </c>
      <c r="R4848">
        <v>-0.31504130000000002</v>
      </c>
      <c r="S4848">
        <v>2.9447329999999998</v>
      </c>
      <c r="T4848">
        <v>-0.26025310000000001</v>
      </c>
      <c r="U4848">
        <v>-0.67257690000000003</v>
      </c>
      <c r="V4848">
        <v>-0.10792359999999999</v>
      </c>
      <c r="W4848">
        <v>3.6735199999999898E-2</v>
      </c>
      <c r="X4848">
        <v>0.99348029999999998</v>
      </c>
      <c r="Y4848">
        <v>-0.2006539</v>
      </c>
      <c r="Z4848">
        <v>4.3674949999999997E-2</v>
      </c>
      <c r="AA4848">
        <v>0.97868820000000001</v>
      </c>
      <c r="AB4848">
        <v>11</v>
      </c>
      <c r="AC4848">
        <v>12.438199999999901</v>
      </c>
      <c r="AD4848">
        <v>-1.104441469612</v>
      </c>
      <c r="AE4848">
        <v>-2.8284199999999999</v>
      </c>
      <c r="AF4848">
        <v>-2.5795876618990499</v>
      </c>
      <c r="AG4848">
        <v>-1.104441469612</v>
      </c>
      <c r="AH4848">
        <v>12.395244504770501</v>
      </c>
      <c r="AI4848">
        <v>94.985463285576103</v>
      </c>
      <c r="AJ4848">
        <v>101.756083659758</v>
      </c>
      <c r="AK4848">
        <v>12.7089004165689</v>
      </c>
    </row>
    <row r="4849" spans="1:37" x14ac:dyDescent="0.2">
      <c r="A4849" t="str">
        <f>"20200111155952181"</f>
        <v>20200111155952181</v>
      </c>
      <c r="B4849" t="str">
        <f>"1578729592174937"</f>
        <v>1578729592174937</v>
      </c>
      <c r="C4849" t="s">
        <v>37</v>
      </c>
      <c r="D4849">
        <v>5.5532599999999999</v>
      </c>
      <c r="E4849">
        <v>0.4688252</v>
      </c>
      <c r="F4849" t="s">
        <v>39</v>
      </c>
      <c r="G4849">
        <v>-397.53660000000002</v>
      </c>
      <c r="H4849" s="1">
        <v>-1.531367E-6</v>
      </c>
      <c r="I4849">
        <v>21.068660000000001</v>
      </c>
      <c r="J4849">
        <v>-410.11720000000003</v>
      </c>
      <c r="K4849">
        <v>1.104368</v>
      </c>
      <c r="L4849">
        <v>24.006229999999999</v>
      </c>
      <c r="M4849">
        <v>0.909722699999999</v>
      </c>
      <c r="N4849">
        <v>0</v>
      </c>
      <c r="O4849">
        <v>-0.41500199999999998</v>
      </c>
      <c r="P4849">
        <v>0.94856939999999901</v>
      </c>
      <c r="Q4849">
        <v>2.393294E-2</v>
      </c>
      <c r="R4849">
        <v>-0.3156639</v>
      </c>
      <c r="S4849">
        <v>2.9393009999999999</v>
      </c>
      <c r="T4849">
        <v>-0.25669059999999999</v>
      </c>
      <c r="U4849">
        <v>-0.68951419999999997</v>
      </c>
      <c r="V4849">
        <v>-0.10647180000000001</v>
      </c>
      <c r="W4849">
        <v>3.727366E-2</v>
      </c>
      <c r="X4849">
        <v>0.99361679999999997</v>
      </c>
      <c r="Y4849">
        <v>-0.194208399999999</v>
      </c>
      <c r="Z4849">
        <v>4.2785570000000002E-2</v>
      </c>
      <c r="AA4849">
        <v>0.98002679999999998</v>
      </c>
      <c r="AB4849">
        <v>11</v>
      </c>
      <c r="AC4849">
        <v>12.5806</v>
      </c>
      <c r="AD4849">
        <v>-1.1043695313669999</v>
      </c>
      <c r="AE4849">
        <v>-2.9375699999999898</v>
      </c>
      <c r="AF4849">
        <v>-2.5303363411906701</v>
      </c>
      <c r="AG4849">
        <v>-1.1043695313669999</v>
      </c>
      <c r="AH4849">
        <v>12.5732027370561</v>
      </c>
      <c r="AI4849">
        <v>94.921527809325596</v>
      </c>
      <c r="AJ4849">
        <v>101.378690310474</v>
      </c>
      <c r="AK4849">
        <v>12.8727487790478</v>
      </c>
    </row>
    <row r="4850" spans="1:37" x14ac:dyDescent="0.2">
      <c r="A4850" t="str">
        <f>"20200111155952197"</f>
        <v>20200111155952197</v>
      </c>
      <c r="B4850" t="str">
        <f>"1578729592185673"</f>
        <v>1578729592185673</v>
      </c>
      <c r="C4850" t="s">
        <v>37</v>
      </c>
      <c r="D4850">
        <v>5.5882569999999996</v>
      </c>
      <c r="E4850">
        <v>0.46943869999999999</v>
      </c>
      <c r="F4850" t="s">
        <v>39</v>
      </c>
      <c r="G4850">
        <v>-397.54</v>
      </c>
      <c r="H4850" s="1">
        <v>-1.5221049999999999E-6</v>
      </c>
      <c r="I4850">
        <v>21.03988</v>
      </c>
      <c r="J4850">
        <v>-410.048</v>
      </c>
      <c r="K4850">
        <v>1.1042889999999901</v>
      </c>
      <c r="L4850">
        <v>23.975460000000002</v>
      </c>
      <c r="M4850">
        <v>0.90999349999999901</v>
      </c>
      <c r="N4850">
        <v>0</v>
      </c>
      <c r="O4850">
        <v>-0.41440840000000001</v>
      </c>
      <c r="P4850">
        <v>0.94736810000000005</v>
      </c>
      <c r="Q4850">
        <v>2.645103E-2</v>
      </c>
      <c r="R4850">
        <v>-0.31905240000000001</v>
      </c>
      <c r="S4850">
        <v>2.9385379999999999</v>
      </c>
      <c r="T4850">
        <v>-0.25802389999999997</v>
      </c>
      <c r="U4850">
        <v>-0.69305419999999995</v>
      </c>
      <c r="V4850">
        <v>-0.10223119999999999</v>
      </c>
      <c r="W4850">
        <v>3.9807599999999999E-2</v>
      </c>
      <c r="X4850">
        <v>0.99396379999999995</v>
      </c>
      <c r="Y4850">
        <v>-0.1923793</v>
      </c>
      <c r="Z4850">
        <v>4.2884499999999999E-2</v>
      </c>
      <c r="AA4850">
        <v>0.98038320000000001</v>
      </c>
      <c r="AB4850">
        <v>11</v>
      </c>
      <c r="AC4850">
        <v>12.5079999999999</v>
      </c>
      <c r="AD4850">
        <v>-1.1042905221049999</v>
      </c>
      <c r="AE4850">
        <v>-2.9355799999999999</v>
      </c>
      <c r="AF4850">
        <v>-2.49386083502477</v>
      </c>
      <c r="AG4850">
        <v>-1.1042905221049999</v>
      </c>
      <c r="AH4850">
        <v>12.5074457763321</v>
      </c>
      <c r="AI4850">
        <v>94.948684050806605</v>
      </c>
      <c r="AJ4850">
        <v>101.276327739238</v>
      </c>
      <c r="AK4850">
        <v>12.801367085962699</v>
      </c>
    </row>
    <row r="4851" spans="1:37" x14ac:dyDescent="0.2">
      <c r="A4851" t="str">
        <f>"20200111155952219"</f>
        <v>20200111155952219</v>
      </c>
      <c r="B4851" t="str">
        <f>"1578729592214953"</f>
        <v>1578729592214953</v>
      </c>
      <c r="C4851" t="s">
        <v>37</v>
      </c>
      <c r="D4851">
        <v>5.5970259999999996</v>
      </c>
      <c r="E4851">
        <v>0.47087839999999997</v>
      </c>
      <c r="F4851" t="s">
        <v>39</v>
      </c>
      <c r="G4851">
        <v>-397.07429999999999</v>
      </c>
      <c r="H4851" s="1">
        <v>-1.6891149999999901E-6</v>
      </c>
      <c r="I4851">
        <v>20.840209999999999</v>
      </c>
      <c r="J4851">
        <v>-409.94740000000002</v>
      </c>
      <c r="K4851">
        <v>1.10416</v>
      </c>
      <c r="L4851">
        <v>23.930569999999999</v>
      </c>
      <c r="M4851">
        <v>0.91026559999999901</v>
      </c>
      <c r="N4851">
        <v>0</v>
      </c>
      <c r="O4851">
        <v>-0.41381000000000001</v>
      </c>
      <c r="P4851">
        <v>0.94616060000000002</v>
      </c>
      <c r="Q4851">
        <v>2.5546530000000001E-2</v>
      </c>
      <c r="R4851">
        <v>-0.32268790000000003</v>
      </c>
      <c r="S4851">
        <v>2.9347840000000001</v>
      </c>
      <c r="T4851">
        <v>-0.24980250000000001</v>
      </c>
      <c r="U4851">
        <v>-0.70922850000000004</v>
      </c>
      <c r="V4851">
        <v>-9.7757559999999993E-2</v>
      </c>
      <c r="W4851">
        <v>3.8928989999999997E-2</v>
      </c>
      <c r="X4851">
        <v>0.99444859999999902</v>
      </c>
      <c r="Y4851">
        <v>-0.18648970000000001</v>
      </c>
      <c r="Z4851">
        <v>4.1246980000000003E-2</v>
      </c>
      <c r="AA4851">
        <v>0.98159069999999904</v>
      </c>
      <c r="AB4851">
        <v>11</v>
      </c>
      <c r="AC4851">
        <v>12.873100000000001</v>
      </c>
      <c r="AD4851">
        <v>-1.1041616891149999</v>
      </c>
      <c r="AE4851">
        <v>-3.09036</v>
      </c>
      <c r="AF4851">
        <v>-2.49682452646713</v>
      </c>
      <c r="AG4851">
        <v>-1.1041616891149999</v>
      </c>
      <c r="AH4851">
        <v>12.908127588686201</v>
      </c>
      <c r="AI4851">
        <v>94.800624966196395</v>
      </c>
      <c r="AJ4851">
        <v>100.947547478326</v>
      </c>
      <c r="AK4851">
        <v>13.1936751361203</v>
      </c>
    </row>
    <row r="4852" spans="1:37" x14ac:dyDescent="0.2">
      <c r="A4852" t="str">
        <f>"20200111155952232"</f>
        <v>20200111155952232</v>
      </c>
      <c r="B4852" t="str">
        <f>"1578729592225689"</f>
        <v>1578729592225689</v>
      </c>
      <c r="C4852" t="s">
        <v>37</v>
      </c>
      <c r="D4852">
        <v>5.6324930000000002</v>
      </c>
      <c r="E4852">
        <v>0.47118189999999999</v>
      </c>
      <c r="F4852" t="s">
        <v>39</v>
      </c>
      <c r="G4852">
        <v>-396.92020000000002</v>
      </c>
      <c r="H4852" s="1">
        <v>-1.7183449999999899E-6</v>
      </c>
      <c r="I4852">
        <v>20.676310000000001</v>
      </c>
      <c r="J4852">
        <v>-409.89049999999997</v>
      </c>
      <c r="K4852">
        <v>1.104079</v>
      </c>
      <c r="L4852">
        <v>23.90494</v>
      </c>
      <c r="M4852">
        <v>0.91034979999999999</v>
      </c>
      <c r="N4852">
        <v>0</v>
      </c>
      <c r="O4852">
        <v>-0.41362539999999998</v>
      </c>
      <c r="P4852">
        <v>0.94558659999999894</v>
      </c>
      <c r="Q4852">
        <v>2.2564009999999999E-2</v>
      </c>
      <c r="R4852">
        <v>-0.32458819999999999</v>
      </c>
      <c r="S4852">
        <v>2.92794799999999</v>
      </c>
      <c r="T4852">
        <v>-0.2481669</v>
      </c>
      <c r="U4852">
        <v>-0.73141480000000003</v>
      </c>
      <c r="V4852">
        <v>-9.5585249999999997E-2</v>
      </c>
      <c r="W4852">
        <v>3.5961809999999997E-2</v>
      </c>
      <c r="X4852">
        <v>0.99477139999999997</v>
      </c>
      <c r="Y4852">
        <v>-0.17879500000000001</v>
      </c>
      <c r="Z4852">
        <v>4.0686439999999997E-2</v>
      </c>
      <c r="AA4852">
        <v>0.98304469999999999</v>
      </c>
      <c r="AB4852">
        <v>11</v>
      </c>
      <c r="AC4852">
        <v>12.9702999999999</v>
      </c>
      <c r="AD4852">
        <v>-1.1040807183450001</v>
      </c>
      <c r="AE4852">
        <v>-3.2286299999999901</v>
      </c>
      <c r="AF4852">
        <v>-2.4094376561856601</v>
      </c>
      <c r="AG4852">
        <v>-1.1040807183450001</v>
      </c>
      <c r="AH4852">
        <v>13.0550405185201</v>
      </c>
      <c r="AI4852">
        <v>94.754157442215998</v>
      </c>
      <c r="AJ4852">
        <v>100.45683770884099</v>
      </c>
      <c r="AK4852">
        <v>13.3213537972635</v>
      </c>
    </row>
    <row r="4853" spans="1:37" x14ac:dyDescent="0.2">
      <c r="A4853" t="str">
        <f>"20200111155952245"</f>
        <v>20200111155952245</v>
      </c>
      <c r="B4853" t="str">
        <f>"1578729592235449"</f>
        <v>1578729592235449</v>
      </c>
      <c r="C4853" t="s">
        <v>37</v>
      </c>
      <c r="D4853">
        <v>5.5702040000000004</v>
      </c>
      <c r="E4853">
        <v>0.47153319999999999</v>
      </c>
      <c r="F4853" t="s">
        <v>39</v>
      </c>
      <c r="G4853">
        <v>-397.27859999999998</v>
      </c>
      <c r="H4853" s="1">
        <v>-1.56011E-6</v>
      </c>
      <c r="I4853">
        <v>20.718360000000001</v>
      </c>
      <c r="J4853">
        <v>-409.8297</v>
      </c>
      <c r="K4853">
        <v>1.1039939999999999</v>
      </c>
      <c r="L4853">
        <v>23.877500000000001</v>
      </c>
      <c r="M4853">
        <v>0.91040100000000002</v>
      </c>
      <c r="N4853">
        <v>0</v>
      </c>
      <c r="O4853">
        <v>-0.41351290000000002</v>
      </c>
      <c r="P4853">
        <v>0.94504390000000005</v>
      </c>
      <c r="Q4853">
        <v>1.914093E-2</v>
      </c>
      <c r="R4853">
        <v>-0.3263837</v>
      </c>
      <c r="S4853">
        <v>2.9251099999999899</v>
      </c>
      <c r="T4853">
        <v>-0.2560732</v>
      </c>
      <c r="U4853">
        <v>-0.73907469999999997</v>
      </c>
      <c r="V4853">
        <v>-9.360185E-2</v>
      </c>
      <c r="W4853">
        <v>3.2556330000000001E-2</v>
      </c>
      <c r="X4853">
        <v>0.99507730000000005</v>
      </c>
      <c r="Y4853">
        <v>-0.17591389999999901</v>
      </c>
      <c r="Z4853">
        <v>4.1866830000000001E-2</v>
      </c>
      <c r="AA4853">
        <v>0.98351480000000002</v>
      </c>
      <c r="AB4853">
        <v>11</v>
      </c>
      <c r="AC4853">
        <v>12.5511</v>
      </c>
      <c r="AD4853">
        <v>-1.10399556011</v>
      </c>
      <c r="AE4853">
        <v>-3.1591399999999998</v>
      </c>
      <c r="AF4853">
        <v>-2.2974462347360398</v>
      </c>
      <c r="AG4853">
        <v>-1.10399556011</v>
      </c>
      <c r="AH4853">
        <v>12.6420233158517</v>
      </c>
      <c r="AI4853">
        <v>94.910802076351601</v>
      </c>
      <c r="AJ4853">
        <v>100.300005366061</v>
      </c>
      <c r="AK4853">
        <v>12.8964265948666</v>
      </c>
    </row>
    <row r="4854" spans="1:37" x14ac:dyDescent="0.2">
      <c r="A4854" t="str">
        <f>"20200111155952257"</f>
        <v>20200111155952257</v>
      </c>
      <c r="B4854" t="str">
        <f>"1578729592255477"</f>
        <v>1578729592255477</v>
      </c>
      <c r="C4854" t="s">
        <v>37</v>
      </c>
      <c r="D4854">
        <v>5.6488870000000002</v>
      </c>
      <c r="E4854">
        <v>0.47199179999999902</v>
      </c>
      <c r="F4854" t="s">
        <v>39</v>
      </c>
      <c r="G4854">
        <v>-397.67250000000001</v>
      </c>
      <c r="H4854" s="1">
        <v>-1.3879179999999999E-6</v>
      </c>
      <c r="I4854">
        <v>20.770900000000001</v>
      </c>
      <c r="J4854">
        <v>-409.77370000000002</v>
      </c>
      <c r="K4854">
        <v>1.103923</v>
      </c>
      <c r="L4854">
        <v>23.851990000000001</v>
      </c>
      <c r="M4854">
        <v>0.91038479999999999</v>
      </c>
      <c r="N4854">
        <v>0</v>
      </c>
      <c r="O4854">
        <v>-0.41354839999999998</v>
      </c>
      <c r="P4854">
        <v>0.94455359999999999</v>
      </c>
      <c r="Q4854">
        <v>1.4984620000000001E-2</v>
      </c>
      <c r="R4854">
        <v>-0.32801529999999901</v>
      </c>
      <c r="S4854">
        <v>2.9219970000000002</v>
      </c>
      <c r="T4854">
        <v>-0.26534629999999998</v>
      </c>
      <c r="U4854">
        <v>-0.74667359999999905</v>
      </c>
      <c r="V4854">
        <v>-9.1954980000000006E-2</v>
      </c>
      <c r="W4854">
        <v>2.8413589999999999E-2</v>
      </c>
      <c r="X4854">
        <v>0.99535769999999901</v>
      </c>
      <c r="Y4854">
        <v>-0.17316129999999999</v>
      </c>
      <c r="Z4854">
        <v>4.3283269999999999E-2</v>
      </c>
      <c r="AA4854">
        <v>0.98394190000000004</v>
      </c>
      <c r="AB4854">
        <v>11</v>
      </c>
      <c r="AC4854">
        <v>12.1012</v>
      </c>
      <c r="AD4854">
        <v>-1.1039243879180001</v>
      </c>
      <c r="AE4854">
        <v>-3.0810900000000001</v>
      </c>
      <c r="AF4854">
        <v>-2.1825918281945</v>
      </c>
      <c r="AG4854">
        <v>-1.1039243879180001</v>
      </c>
      <c r="AH4854">
        <v>12.196697468107301</v>
      </c>
      <c r="AI4854">
        <v>95.091313625178103</v>
      </c>
      <c r="AJ4854">
        <v>100.145657834299</v>
      </c>
      <c r="AK4854">
        <v>12.439525122418299</v>
      </c>
    </row>
    <row r="4855" spans="1:37" x14ac:dyDescent="0.2">
      <c r="A4855" t="str">
        <f>"20200111155952276"</f>
        <v>20200111155952276</v>
      </c>
      <c r="B4855" t="str">
        <f>"1578729592265237"</f>
        <v>1578729592265237</v>
      </c>
      <c r="C4855" t="s">
        <v>37</v>
      </c>
      <c r="D4855">
        <v>5.6252300000000002</v>
      </c>
      <c r="E4855">
        <v>0.47214640000000002</v>
      </c>
      <c r="F4855" t="s">
        <v>39</v>
      </c>
      <c r="G4855">
        <v>-398.16059999999999</v>
      </c>
      <c r="H4855" s="1">
        <v>-1.178378E-6</v>
      </c>
      <c r="I4855">
        <v>20.85051</v>
      </c>
      <c r="J4855">
        <v>-409.68889999999999</v>
      </c>
      <c r="K4855">
        <v>1.1038349999999999</v>
      </c>
      <c r="L4855">
        <v>23.813140000000001</v>
      </c>
      <c r="M4855">
        <v>0.91030909999999998</v>
      </c>
      <c r="N4855">
        <v>0</v>
      </c>
      <c r="O4855">
        <v>-0.41371469999999999</v>
      </c>
      <c r="P4855">
        <v>0.94390300000000005</v>
      </c>
      <c r="Q4855">
        <v>8.0060789999999993E-3</v>
      </c>
      <c r="R4855">
        <v>-0.33012540000000001</v>
      </c>
      <c r="S4855">
        <v>2.9185180000000002</v>
      </c>
      <c r="T4855">
        <v>-0.27742790000000001</v>
      </c>
      <c r="U4855">
        <v>-0.75430299999999995</v>
      </c>
      <c r="V4855">
        <v>-8.9956620000000001E-2</v>
      </c>
      <c r="W4855">
        <v>2.1450609999999998E-2</v>
      </c>
      <c r="X4855">
        <v>0.99571469999999995</v>
      </c>
      <c r="Y4855">
        <v>-0.17045560000000001</v>
      </c>
      <c r="Z4855">
        <v>4.5165829999999997E-2</v>
      </c>
      <c r="AA4855">
        <v>0.98432969999999897</v>
      </c>
      <c r="AB4855">
        <v>11</v>
      </c>
      <c r="AC4855">
        <v>11.5283</v>
      </c>
      <c r="AD4855">
        <v>-1.103836178378</v>
      </c>
      <c r="AE4855">
        <v>-2.9626299999999999</v>
      </c>
      <c r="AF4855">
        <v>-2.0550285991337698</v>
      </c>
      <c r="AG4855">
        <v>-1.103836178378</v>
      </c>
      <c r="AH4855">
        <v>11.6210974584107</v>
      </c>
      <c r="AI4855">
        <v>95.343576004686199</v>
      </c>
      <c r="AJ4855">
        <v>100.02828376992601</v>
      </c>
      <c r="AK4855">
        <v>11.8529111609694</v>
      </c>
    </row>
    <row r="4856" spans="1:37" x14ac:dyDescent="0.2">
      <c r="A4856" t="str">
        <f>"20200111155952321"</f>
        <v>20200111155952321</v>
      </c>
      <c r="B4856" t="str">
        <f>"1578729592315013"</f>
        <v>1578729592315013</v>
      </c>
      <c r="C4856" t="s">
        <v>37</v>
      </c>
      <c r="D4856">
        <v>5.5012819999999998</v>
      </c>
      <c r="E4856">
        <v>0.47194199999999997</v>
      </c>
      <c r="F4856" t="s">
        <v>39</v>
      </c>
      <c r="G4856">
        <v>-398.84989999999999</v>
      </c>
      <c r="H4856" s="1">
        <v>-8.8779750000000003E-7</v>
      </c>
      <c r="I4856">
        <v>20.983059999999998</v>
      </c>
      <c r="J4856">
        <v>-409.48779999999999</v>
      </c>
      <c r="K4856">
        <v>1.103826</v>
      </c>
      <c r="L4856">
        <v>23.720120000000001</v>
      </c>
      <c r="M4856">
        <v>0.90988619999999898</v>
      </c>
      <c r="N4856">
        <v>0</v>
      </c>
      <c r="O4856">
        <v>-0.41464420000000002</v>
      </c>
      <c r="P4856">
        <v>0.94320680000000001</v>
      </c>
      <c r="Q4856">
        <v>3.4334769999999999E-3</v>
      </c>
      <c r="R4856">
        <v>-0.33218900000000001</v>
      </c>
      <c r="S4856">
        <v>2.91464199999999</v>
      </c>
      <c r="T4856">
        <v>-0.29682429999999999</v>
      </c>
      <c r="U4856">
        <v>-0.76101680000000005</v>
      </c>
      <c r="V4856">
        <v>-8.8815809999999995E-2</v>
      </c>
      <c r="W4856">
        <v>1.6881440000000001E-2</v>
      </c>
      <c r="X4856">
        <v>0.99590499999999904</v>
      </c>
      <c r="Y4856">
        <v>-0.16868520000000001</v>
      </c>
      <c r="Z4856">
        <v>4.8346779999999999E-2</v>
      </c>
      <c r="AA4856">
        <v>0.98448349999999996</v>
      </c>
      <c r="AB4856">
        <v>11</v>
      </c>
      <c r="AC4856">
        <v>10.6379</v>
      </c>
      <c r="AD4856">
        <v>-1.1038268877974999</v>
      </c>
      <c r="AE4856">
        <v>-2.73706</v>
      </c>
      <c r="AF4856">
        <v>-1.9014986335025099</v>
      </c>
      <c r="AG4856">
        <v>-1.1038268877974999</v>
      </c>
      <c r="AH4856">
        <v>10.7070197066926</v>
      </c>
      <c r="AI4856">
        <v>95.795983239957806</v>
      </c>
      <c r="AJ4856">
        <v>100.070370729039</v>
      </c>
      <c r="AK4856">
        <v>10.9304346597444</v>
      </c>
    </row>
    <row r="4857" spans="1:37" x14ac:dyDescent="0.2">
      <c r="A4857" t="str">
        <f>"20200111155952344"</f>
        <v>20200111155952344</v>
      </c>
      <c r="B4857" t="str">
        <f>"1578729592335509"</f>
        <v>1578729592335509</v>
      </c>
      <c r="C4857" t="s">
        <v>37</v>
      </c>
      <c r="D4857">
        <v>5.5553739999999996</v>
      </c>
      <c r="E4857">
        <v>0.47121459999999998</v>
      </c>
      <c r="F4857" t="s">
        <v>39</v>
      </c>
      <c r="G4857">
        <v>-399.02589999999998</v>
      </c>
      <c r="H4857" s="1">
        <v>-8.039499E-7</v>
      </c>
      <c r="I4857">
        <v>20.980619999999998</v>
      </c>
      <c r="J4857">
        <v>-409.3895</v>
      </c>
      <c r="K4857">
        <v>1.1039139999999901</v>
      </c>
      <c r="L4857">
        <v>23.674320000000002</v>
      </c>
      <c r="M4857">
        <v>0.90960659999999904</v>
      </c>
      <c r="N4857">
        <v>0</v>
      </c>
      <c r="O4857">
        <v>-0.41525709999999999</v>
      </c>
      <c r="P4857">
        <v>0.94285350000000001</v>
      </c>
      <c r="Q4857">
        <v>5.4320729999999999E-3</v>
      </c>
      <c r="R4857">
        <v>-0.3331636</v>
      </c>
      <c r="S4857">
        <v>2.913116</v>
      </c>
      <c r="T4857">
        <v>-0.3073613</v>
      </c>
      <c r="U4857">
        <v>-0.76281739999999998</v>
      </c>
      <c r="V4857">
        <v>-8.8452699999999995E-2</v>
      </c>
      <c r="W4857">
        <v>1.8864769999999999E-2</v>
      </c>
      <c r="X4857">
        <v>0.9959017</v>
      </c>
      <c r="Y4857">
        <v>-0.1684582</v>
      </c>
      <c r="Z4857">
        <v>5.0119299999999999E-2</v>
      </c>
      <c r="AA4857">
        <v>0.98443380000000003</v>
      </c>
      <c r="AB4857">
        <v>11</v>
      </c>
      <c r="AC4857">
        <v>10.3636</v>
      </c>
      <c r="AD4857">
        <v>-1.1039148039498901</v>
      </c>
      <c r="AE4857">
        <v>-2.6937000000000002</v>
      </c>
      <c r="AF4857">
        <v>-1.8340232696427901</v>
      </c>
      <c r="AG4857">
        <v>-1.1039148039498901</v>
      </c>
      <c r="AH4857">
        <v>10.435403176414701</v>
      </c>
      <c r="AI4857">
        <v>95.948111125803194</v>
      </c>
      <c r="AJ4857">
        <v>99.967941303168203</v>
      </c>
      <c r="AK4857">
        <v>10.652694903276601</v>
      </c>
    </row>
    <row r="4858" spans="1:37" x14ac:dyDescent="0.2">
      <c r="A4858" t="str">
        <f>"20200111155952357"</f>
        <v>20200111155952357</v>
      </c>
      <c r="B4858" t="str">
        <f>"1578729592345269"</f>
        <v>1578729592345269</v>
      </c>
      <c r="C4858" t="s">
        <v>37</v>
      </c>
      <c r="D4858">
        <v>5.4779260000000001</v>
      </c>
      <c r="E4858">
        <v>0.470941</v>
      </c>
      <c r="F4858" t="s">
        <v>39</v>
      </c>
      <c r="G4858">
        <v>-398.60820000000001</v>
      </c>
      <c r="H4858" s="1">
        <v>-9.7142919999999997E-7</v>
      </c>
      <c r="I4858">
        <v>20.86797</v>
      </c>
      <c r="J4858">
        <v>-409.334</v>
      </c>
      <c r="K4858">
        <v>1.103982</v>
      </c>
      <c r="L4858">
        <v>23.64847</v>
      </c>
      <c r="M4858">
        <v>0.90944729999999996</v>
      </c>
      <c r="N4858">
        <v>0</v>
      </c>
      <c r="O4858">
        <v>-0.41560569999999902</v>
      </c>
      <c r="P4858">
        <v>0.94259099999999996</v>
      </c>
      <c r="Q4858">
        <v>6.8514650000000002E-3</v>
      </c>
      <c r="R4858">
        <v>-0.33387929999999999</v>
      </c>
      <c r="S4858">
        <v>2.9154360000000001</v>
      </c>
      <c r="T4858">
        <v>-0.2985158</v>
      </c>
      <c r="U4858">
        <v>-0.75888059999999902</v>
      </c>
      <c r="V4858">
        <v>-8.8075120000000007E-2</v>
      </c>
      <c r="W4858">
        <v>2.0270690000000001E-2</v>
      </c>
      <c r="X4858">
        <v>0.99590749999999995</v>
      </c>
      <c r="Y4858">
        <v>-0.17042570000000001</v>
      </c>
      <c r="Z4858">
        <v>4.8788390000000001E-2</v>
      </c>
      <c r="AA4858">
        <v>0.98416199999999998</v>
      </c>
      <c r="AB4858">
        <v>11</v>
      </c>
      <c r="AC4858">
        <v>10.7257999999999</v>
      </c>
      <c r="AD4858">
        <v>-1.1039829714292</v>
      </c>
      <c r="AE4858">
        <v>-2.7805</v>
      </c>
      <c r="AF4858">
        <v>-1.91019411364591</v>
      </c>
      <c r="AG4858">
        <v>-1.1039829714292</v>
      </c>
      <c r="AH4858">
        <v>10.803859934435501</v>
      </c>
      <c r="AI4858">
        <v>95.745958540433406</v>
      </c>
      <c r="AJ4858">
        <v>100.026651257024</v>
      </c>
      <c r="AK4858">
        <v>11.026831341591899</v>
      </c>
    </row>
    <row r="4859" spans="1:37" x14ac:dyDescent="0.2">
      <c r="A4859" t="str">
        <f>"20200111155952370"</f>
        <v>20200111155952370</v>
      </c>
      <c r="B4859" t="str">
        <f>"1578729592365299"</f>
        <v>1578729592365299</v>
      </c>
      <c r="C4859" t="s">
        <v>37</v>
      </c>
      <c r="D4859">
        <v>5.4929819999999996</v>
      </c>
      <c r="E4859">
        <v>0.47037279999999998</v>
      </c>
      <c r="F4859" t="s">
        <v>39</v>
      </c>
      <c r="G4859">
        <v>-398.33690000000001</v>
      </c>
      <c r="H4859" s="1">
        <v>-1.0784239999999999E-6</v>
      </c>
      <c r="I4859">
        <v>20.788060000000002</v>
      </c>
      <c r="J4859">
        <v>-409.27760000000001</v>
      </c>
      <c r="K4859">
        <v>1.1040490000000001</v>
      </c>
      <c r="L4859">
        <v>23.622129999999999</v>
      </c>
      <c r="M4859">
        <v>0.90929110000000002</v>
      </c>
      <c r="N4859">
        <v>0</v>
      </c>
      <c r="O4859">
        <v>-0.41594759999999997</v>
      </c>
      <c r="P4859">
        <v>0.94217809999999902</v>
      </c>
      <c r="Q4859">
        <v>7.6585780000000001E-3</v>
      </c>
      <c r="R4859">
        <v>-0.33502569999999998</v>
      </c>
      <c r="S4859">
        <v>2.9161990000000002</v>
      </c>
      <c r="T4859">
        <v>-0.29275050000000002</v>
      </c>
      <c r="U4859">
        <v>-0.75851440000000003</v>
      </c>
      <c r="V4859">
        <v>-8.7237839999999997E-2</v>
      </c>
      <c r="W4859">
        <v>2.1059209999999998E-2</v>
      </c>
      <c r="X4859">
        <v>0.99596489999999904</v>
      </c>
      <c r="Y4859">
        <v>-0.17107449999999999</v>
      </c>
      <c r="Z4859">
        <v>4.7901970000000002E-2</v>
      </c>
      <c r="AA4859">
        <v>0.984093</v>
      </c>
      <c r="AB4859">
        <v>11</v>
      </c>
      <c r="AC4859">
        <v>10.9406999999999</v>
      </c>
      <c r="AD4859">
        <v>-1.1040500784239999</v>
      </c>
      <c r="AE4859">
        <v>-2.8340699999999899</v>
      </c>
      <c r="AF4859">
        <v>-1.9552791768420299</v>
      </c>
      <c r="AG4859">
        <v>-1.1040500784239999</v>
      </c>
      <c r="AH4859">
        <v>11.0229014805786</v>
      </c>
      <c r="AI4859">
        <v>95.632305309545501</v>
      </c>
      <c r="AJ4859">
        <v>100.05868973889299</v>
      </c>
      <c r="AK4859">
        <v>11.249284434380799</v>
      </c>
    </row>
    <row r="4860" spans="1:37" x14ac:dyDescent="0.2">
      <c r="A4860" t="str">
        <f>"20200111155952386"</f>
        <v>20200111155952386</v>
      </c>
      <c r="B4860" t="str">
        <f>"1578729592375059"</f>
        <v>1578729592375059</v>
      </c>
      <c r="C4860" t="s">
        <v>37</v>
      </c>
      <c r="D4860">
        <v>5.0791339999999998</v>
      </c>
      <c r="E4860">
        <v>0.47047429999999901</v>
      </c>
      <c r="F4860" t="s">
        <v>39</v>
      </c>
      <c r="G4860">
        <v>-398.13279999999997</v>
      </c>
      <c r="H4860" s="1">
        <v>-1.1595329999999999E-6</v>
      </c>
      <c r="I4860">
        <v>20.730350000000001</v>
      </c>
      <c r="J4860">
        <v>-409.2004</v>
      </c>
      <c r="K4860">
        <v>1.104142</v>
      </c>
      <c r="L4860">
        <v>23.58606</v>
      </c>
      <c r="M4860">
        <v>0.90909660000000003</v>
      </c>
      <c r="N4860">
        <v>0</v>
      </c>
      <c r="O4860">
        <v>-0.4163732</v>
      </c>
      <c r="P4860">
        <v>0.94128699999999998</v>
      </c>
      <c r="Q4860">
        <v>6.5979589999999996E-3</v>
      </c>
      <c r="R4860">
        <v>-0.3375435</v>
      </c>
      <c r="S4860">
        <v>2.917297</v>
      </c>
      <c r="T4860">
        <v>-0.28899799999999998</v>
      </c>
      <c r="U4860">
        <v>-0.75695800000000002</v>
      </c>
      <c r="V4860">
        <v>-8.5050699999999896E-2</v>
      </c>
      <c r="W4860">
        <v>1.9959859999999999E-2</v>
      </c>
      <c r="X4860">
        <v>0.99617670000000003</v>
      </c>
      <c r="Y4860">
        <v>-0.17217829999999901</v>
      </c>
      <c r="Z4860">
        <v>4.7368819999999999E-2</v>
      </c>
      <c r="AA4860">
        <v>0.98392619999999897</v>
      </c>
      <c r="AB4860">
        <v>11</v>
      </c>
      <c r="AC4860">
        <v>11.067600000000001</v>
      </c>
      <c r="AD4860">
        <v>-1.104143159533</v>
      </c>
      <c r="AE4860">
        <v>-2.85570999999999</v>
      </c>
      <c r="AF4860">
        <v>-1.9937092887463801</v>
      </c>
      <c r="AG4860">
        <v>-1.104143159533</v>
      </c>
      <c r="AH4860">
        <v>11.1475296676144</v>
      </c>
      <c r="AI4860">
        <v>95.568802454144503</v>
      </c>
      <c r="AJ4860">
        <v>100.14000719924</v>
      </c>
      <c r="AK4860">
        <v>11.3781117297696</v>
      </c>
    </row>
    <row r="4861" spans="1:37" x14ac:dyDescent="0.2">
      <c r="A4861" t="str">
        <f>"20200111155952399"</f>
        <v>20200111155952399</v>
      </c>
      <c r="B4861" t="str">
        <f>"1578729592395555"</f>
        <v>1578729592395555</v>
      </c>
      <c r="C4861" t="s">
        <v>37</v>
      </c>
      <c r="D4861">
        <v>5.4424060000000001</v>
      </c>
      <c r="E4861">
        <v>0.469968099999999</v>
      </c>
      <c r="F4861" t="s">
        <v>39</v>
      </c>
      <c r="G4861">
        <v>-398.12509999999997</v>
      </c>
      <c r="H4861" s="1">
        <v>-1.150767E-6</v>
      </c>
      <c r="I4861">
        <v>20.683679999999999</v>
      </c>
      <c r="J4861">
        <v>-409.1447</v>
      </c>
      <c r="K4861">
        <v>1.104209</v>
      </c>
      <c r="L4861">
        <v>23.560120000000001</v>
      </c>
      <c r="M4861">
        <v>0.90898179999999995</v>
      </c>
      <c r="N4861">
        <v>0</v>
      </c>
      <c r="O4861">
        <v>-0.41662440000000001</v>
      </c>
      <c r="P4861">
        <v>0.94070489999999996</v>
      </c>
      <c r="Q4861">
        <v>5.2616889999999999E-3</v>
      </c>
      <c r="R4861">
        <v>-0.33918509999999902</v>
      </c>
      <c r="S4861">
        <v>2.9151919999999998</v>
      </c>
      <c r="T4861">
        <v>-0.29062549999999998</v>
      </c>
      <c r="U4861">
        <v>-0.76394649999999997</v>
      </c>
      <c r="V4861">
        <v>-8.3596450000000003E-2</v>
      </c>
      <c r="W4861">
        <v>1.8566320000000001E-2</v>
      </c>
      <c r="X4861">
        <v>0.99632670000000001</v>
      </c>
      <c r="Y4861">
        <v>-0.17004729999999901</v>
      </c>
      <c r="Z4861">
        <v>4.7566320000000002E-2</v>
      </c>
      <c r="AA4861">
        <v>0.98428729999999998</v>
      </c>
      <c r="AB4861">
        <v>11</v>
      </c>
      <c r="AC4861">
        <v>11.019600000000001</v>
      </c>
      <c r="AD4861">
        <v>-1.1042101507669999</v>
      </c>
      <c r="AE4861">
        <v>-2.8764400000000001</v>
      </c>
      <c r="AF4861">
        <v>-1.9581692479426001</v>
      </c>
      <c r="AG4861">
        <v>-1.1042101507669999</v>
      </c>
      <c r="AH4861">
        <v>11.1115464005078</v>
      </c>
      <c r="AI4861">
        <v>95.589562542792805</v>
      </c>
      <c r="AJ4861">
        <v>99.994517985364695</v>
      </c>
      <c r="AK4861">
        <v>11.3366736863721</v>
      </c>
    </row>
    <row r="4862" spans="1:37" x14ac:dyDescent="0.2">
      <c r="A4862" t="str">
        <f>"20200111155952412"</f>
        <v>20200111155952412</v>
      </c>
      <c r="B4862" t="str">
        <f>"1578729592405316"</f>
        <v>1578729592405316</v>
      </c>
      <c r="C4862" t="s">
        <v>37</v>
      </c>
      <c r="D4862">
        <v>5.39642</v>
      </c>
      <c r="E4862">
        <v>0.46969490000000003</v>
      </c>
      <c r="F4862" t="s">
        <v>39</v>
      </c>
      <c r="G4862">
        <v>-398.12970000000001</v>
      </c>
      <c r="H4862" s="1">
        <v>-1.1452230000000001E-6</v>
      </c>
      <c r="I4862">
        <v>20.671150000000001</v>
      </c>
      <c r="J4862">
        <v>-409.09129999999999</v>
      </c>
      <c r="K4862">
        <v>1.104266</v>
      </c>
      <c r="L4862">
        <v>23.535250000000001</v>
      </c>
      <c r="M4862">
        <v>0.90888939999999996</v>
      </c>
      <c r="N4862">
        <v>0</v>
      </c>
      <c r="O4862">
        <v>-0.41682809999999998</v>
      </c>
      <c r="P4862">
        <v>0.94006259999999997</v>
      </c>
      <c r="Q4862">
        <v>3.6977080000000001E-3</v>
      </c>
      <c r="R4862">
        <v>-0.3409816</v>
      </c>
      <c r="S4862">
        <v>2.9150700000000001</v>
      </c>
      <c r="T4862">
        <v>-0.29222569999999998</v>
      </c>
      <c r="U4862">
        <v>-0.76455689999999998</v>
      </c>
      <c r="V4862">
        <v>-8.1924040000000004E-2</v>
      </c>
      <c r="W4862">
        <v>1.6923400000000002E-2</v>
      </c>
      <c r="X4862">
        <v>0.99649489999999996</v>
      </c>
      <c r="Y4862">
        <v>-0.17003570000000001</v>
      </c>
      <c r="Z4862">
        <v>4.7844629999999999E-2</v>
      </c>
      <c r="AA4862">
        <v>0.98427580000000003</v>
      </c>
      <c r="AB4862">
        <v>11</v>
      </c>
      <c r="AC4862">
        <v>10.961599999999899</v>
      </c>
      <c r="AD4862">
        <v>-1.104267145223</v>
      </c>
      <c r="AE4862">
        <v>-2.8641000000000001</v>
      </c>
      <c r="AF4862">
        <v>-1.9476219853169301</v>
      </c>
      <c r="AG4862">
        <v>-1.104267145223</v>
      </c>
      <c r="AH4862">
        <v>11.0526927861434</v>
      </c>
      <c r="AI4862">
        <v>95.619439322705404</v>
      </c>
      <c r="AJ4862">
        <v>99.993635170849899</v>
      </c>
      <c r="AK4862">
        <v>11.277174076450899</v>
      </c>
    </row>
    <row r="4863" spans="1:37" x14ac:dyDescent="0.2">
      <c r="A4863" t="str">
        <f>"20200111155952423"</f>
        <v>20200111155952423</v>
      </c>
      <c r="B4863" t="str">
        <f>"1578729592415076"</f>
        <v>1578729592415076</v>
      </c>
      <c r="C4863" t="s">
        <v>37</v>
      </c>
      <c r="D4863">
        <v>5.3826599999999996</v>
      </c>
      <c r="E4863">
        <v>0.46941650000000001</v>
      </c>
      <c r="F4863" t="s">
        <v>39</v>
      </c>
      <c r="G4863">
        <v>-398.22789999999998</v>
      </c>
      <c r="H4863" s="1">
        <v>-1.099691E-6</v>
      </c>
      <c r="I4863">
        <v>20.674399999999999</v>
      </c>
      <c r="J4863">
        <v>-409.03590000000003</v>
      </c>
      <c r="K4863">
        <v>1.1043259999999999</v>
      </c>
      <c r="L4863">
        <v>23.50949</v>
      </c>
      <c r="M4863">
        <v>0.90880839999999996</v>
      </c>
      <c r="N4863">
        <v>0</v>
      </c>
      <c r="O4863">
        <v>-0.41700789999999999</v>
      </c>
      <c r="P4863">
        <v>0.93936900000000001</v>
      </c>
      <c r="Q4863">
        <v>2.2306439999999999E-3</v>
      </c>
      <c r="R4863">
        <v>-0.34290159999999997</v>
      </c>
      <c r="S4863">
        <v>2.9141240000000002</v>
      </c>
      <c r="T4863">
        <v>-0.2962207</v>
      </c>
      <c r="U4863">
        <v>-0.76742549999999998</v>
      </c>
      <c r="V4863">
        <v>-8.0090380000000003E-2</v>
      </c>
      <c r="W4863">
        <v>1.5352899999999999E-2</v>
      </c>
      <c r="X4863">
        <v>0.99666939999999904</v>
      </c>
      <c r="Y4863">
        <v>-0.16917679999999999</v>
      </c>
      <c r="Z4863">
        <v>4.8475900000000002E-2</v>
      </c>
      <c r="AA4863">
        <v>0.98439290000000002</v>
      </c>
      <c r="AB4863">
        <v>11</v>
      </c>
      <c r="AC4863">
        <v>10.808</v>
      </c>
      <c r="AD4863">
        <v>-1.104327099691</v>
      </c>
      <c r="AE4863">
        <v>-2.8350900000000001</v>
      </c>
      <c r="AF4863">
        <v>-1.9119575656446599</v>
      </c>
      <c r="AG4863">
        <v>-1.104327099691</v>
      </c>
      <c r="AH4863">
        <v>10.899138422306599</v>
      </c>
      <c r="AI4863">
        <v>95.699162063915793</v>
      </c>
      <c r="AJ4863">
        <v>99.9497495871382</v>
      </c>
      <c r="AK4863">
        <v>11.1205367867086</v>
      </c>
    </row>
    <row r="4864" spans="1:37" x14ac:dyDescent="0.2">
      <c r="A4864" t="str">
        <f>"20200111155952436"</f>
        <v>20200111155952436</v>
      </c>
      <c r="B4864" t="str">
        <f>"1578729592424836"</f>
        <v>1578729592424836</v>
      </c>
      <c r="C4864" t="s">
        <v>37</v>
      </c>
      <c r="D4864">
        <v>5.4312430000000003</v>
      </c>
      <c r="E4864">
        <v>0.46911499999999901</v>
      </c>
      <c r="F4864" t="s">
        <v>39</v>
      </c>
      <c r="G4864">
        <v>-398.29860000000002</v>
      </c>
      <c r="H4864" s="1">
        <v>-1.064657E-6</v>
      </c>
      <c r="I4864">
        <v>20.66836</v>
      </c>
      <c r="J4864">
        <v>-408.98009999999999</v>
      </c>
      <c r="K4864">
        <v>1.1043769999999999</v>
      </c>
      <c r="L4864">
        <v>23.48367</v>
      </c>
      <c r="M4864">
        <v>0.90876619999999997</v>
      </c>
      <c r="N4864">
        <v>0</v>
      </c>
      <c r="O4864">
        <v>-0.41710449999999999</v>
      </c>
      <c r="P4864">
        <v>0.93881970000000003</v>
      </c>
      <c r="Q4864">
        <v>7.5119360000000003E-4</v>
      </c>
      <c r="R4864">
        <v>-0.34440929999999997</v>
      </c>
      <c r="S4864">
        <v>2.9129640000000001</v>
      </c>
      <c r="T4864">
        <v>-0.29959740000000001</v>
      </c>
      <c r="U4864">
        <v>-0.77078250000000004</v>
      </c>
      <c r="V4864">
        <v>-7.8599890000000006E-2</v>
      </c>
      <c r="W4864">
        <v>1.370799E-2</v>
      </c>
      <c r="X4864">
        <v>0.99681200000000003</v>
      </c>
      <c r="Y4864">
        <v>-0.16806670000000001</v>
      </c>
      <c r="Z4864">
        <v>4.8987699999999898E-2</v>
      </c>
      <c r="AA4864">
        <v>0.98455769999999998</v>
      </c>
      <c r="AB4864">
        <v>11</v>
      </c>
      <c r="AC4864">
        <v>10.6814999999999</v>
      </c>
      <c r="AD4864">
        <v>-1.1043780646569901</v>
      </c>
      <c r="AE4864">
        <v>-2.8153100000000002</v>
      </c>
      <c r="AF4864">
        <v>-1.8782285695127501</v>
      </c>
      <c r="AG4864">
        <v>-1.1043780646569901</v>
      </c>
      <c r="AH4864">
        <v>10.774481881063</v>
      </c>
      <c r="AI4864">
        <v>95.765991557401904</v>
      </c>
      <c r="AJ4864">
        <v>99.888545546721105</v>
      </c>
      <c r="AK4864">
        <v>10.9925817383535</v>
      </c>
    </row>
    <row r="4865" spans="1:37" x14ac:dyDescent="0.2">
      <c r="A4865" t="str">
        <f>"20200111155952449"</f>
        <v>20200111155952449</v>
      </c>
      <c r="B4865" t="str">
        <f>"1578729592445331"</f>
        <v>1578729592445331</v>
      </c>
      <c r="C4865" t="s">
        <v>37</v>
      </c>
      <c r="D4865">
        <v>5.3287120000000003</v>
      </c>
      <c r="E4865">
        <v>0.46857019999999999</v>
      </c>
      <c r="F4865" t="s">
        <v>39</v>
      </c>
      <c r="G4865">
        <v>-398.3261</v>
      </c>
      <c r="H4865" s="1">
        <v>-1.0483650000000001E-6</v>
      </c>
      <c r="I4865">
        <v>20.656029999999902</v>
      </c>
      <c r="J4865">
        <v>-408.92500000000001</v>
      </c>
      <c r="K4865">
        <v>1.1044320000000001</v>
      </c>
      <c r="L4865">
        <v>23.458189999999998</v>
      </c>
      <c r="M4865">
        <v>0.90874489999999997</v>
      </c>
      <c r="N4865">
        <v>0</v>
      </c>
      <c r="O4865">
        <v>-0.41715609999999997</v>
      </c>
      <c r="P4865">
        <v>0.93822839999999996</v>
      </c>
      <c r="Q4865">
        <v>-5.5057930000000004E-4</v>
      </c>
      <c r="R4865">
        <v>-0.3460163</v>
      </c>
      <c r="S4865">
        <v>2.912201</v>
      </c>
      <c r="T4865">
        <v>-0.30187520000000001</v>
      </c>
      <c r="U4865">
        <v>-0.77291869999999996</v>
      </c>
      <c r="V4865">
        <v>-7.6951439999999996E-2</v>
      </c>
      <c r="W4865">
        <v>1.221561E-2</v>
      </c>
      <c r="X4865">
        <v>0.99695999999999996</v>
      </c>
      <c r="Y4865">
        <v>-0.1673444</v>
      </c>
      <c r="Z4865">
        <v>4.9332510000000003E-2</v>
      </c>
      <c r="AA4865">
        <v>0.98466350000000002</v>
      </c>
      <c r="AB4865">
        <v>11</v>
      </c>
      <c r="AC4865">
        <v>10.5989</v>
      </c>
      <c r="AD4865">
        <v>-1.104433048365</v>
      </c>
      <c r="AE4865">
        <v>-2.8021600000000002</v>
      </c>
      <c r="AF4865">
        <v>-1.85626163529092</v>
      </c>
      <c r="AG4865">
        <v>-1.104433048365</v>
      </c>
      <c r="AH4865">
        <v>10.6929963692151</v>
      </c>
      <c r="AI4865">
        <v>95.810626175526295</v>
      </c>
      <c r="AJ4865">
        <v>99.848175274328597</v>
      </c>
      <c r="AK4865">
        <v>10.908971123301299</v>
      </c>
    </row>
    <row r="4866" spans="1:37" x14ac:dyDescent="0.2">
      <c r="A4866" t="str">
        <f>"20200111155952465"</f>
        <v>20200111155952465</v>
      </c>
      <c r="B4866" t="str">
        <f>"1578729592455091"</f>
        <v>1578729592455091</v>
      </c>
      <c r="C4866" t="s">
        <v>37</v>
      </c>
      <c r="D4866">
        <v>5.3434439999999999</v>
      </c>
      <c r="E4866">
        <v>0.46837640000000003</v>
      </c>
      <c r="F4866" t="s">
        <v>39</v>
      </c>
      <c r="G4866">
        <v>-398.3766</v>
      </c>
      <c r="H4866" s="1">
        <v>-1.0242099999999999E-6</v>
      </c>
      <c r="I4866">
        <v>20.654889999999899</v>
      </c>
      <c r="J4866">
        <v>-408.84899999999999</v>
      </c>
      <c r="K4866">
        <v>1.1045039999999999</v>
      </c>
      <c r="L4866">
        <v>23.423249999999999</v>
      </c>
      <c r="M4866">
        <v>0.90876950000000001</v>
      </c>
      <c r="N4866">
        <v>0</v>
      </c>
      <c r="O4866">
        <v>-0.41711169999999997</v>
      </c>
      <c r="P4866">
        <v>0.93709149999999997</v>
      </c>
      <c r="Q4866">
        <v>-2.7453820000000002E-3</v>
      </c>
      <c r="R4866">
        <v>-0.34907309999999903</v>
      </c>
      <c r="S4866">
        <v>2.9119259999999998</v>
      </c>
      <c r="T4866">
        <v>-0.30488359999999998</v>
      </c>
      <c r="U4866">
        <v>-0.77386469999999996</v>
      </c>
      <c r="V4866">
        <v>-7.3652449999999994E-2</v>
      </c>
      <c r="W4866">
        <v>9.6952040000000007E-3</v>
      </c>
      <c r="X4866">
        <v>0.99723680000000003</v>
      </c>
      <c r="Y4866">
        <v>-0.16691989999999901</v>
      </c>
      <c r="Z4866">
        <v>4.9797359999999999E-2</v>
      </c>
      <c r="AA4866">
        <v>0.98471209999999898</v>
      </c>
      <c r="AB4866">
        <v>11</v>
      </c>
      <c r="AC4866">
        <v>10.472399999999899</v>
      </c>
      <c r="AD4866">
        <v>-1.1045050242100001</v>
      </c>
      <c r="AE4866">
        <v>-2.7683599999999999</v>
      </c>
      <c r="AF4866">
        <v>-1.8334414889378801</v>
      </c>
      <c r="AG4866">
        <v>-1.1045050242100001</v>
      </c>
      <c r="AH4866">
        <v>10.5627240146268</v>
      </c>
      <c r="AI4866">
        <v>95.882190255499793</v>
      </c>
      <c r="AJ4866">
        <v>99.847093790816899</v>
      </c>
      <c r="AK4866">
        <v>10.7774105262367</v>
      </c>
    </row>
    <row r="4867" spans="1:37" x14ac:dyDescent="0.2">
      <c r="A4867" t="str">
        <f>"20200111155952478"</f>
        <v>20200111155952478</v>
      </c>
      <c r="B4867" t="str">
        <f>"1578729592475588"</f>
        <v>1578729592475588</v>
      </c>
      <c r="C4867" t="s">
        <v>37</v>
      </c>
      <c r="D4867">
        <v>5.3137970000000001</v>
      </c>
      <c r="E4867">
        <v>0.46792889999999998</v>
      </c>
      <c r="F4867" t="s">
        <v>39</v>
      </c>
      <c r="G4867">
        <v>-398.51</v>
      </c>
      <c r="H4867" s="1">
        <v>-9.5848619999999993E-7</v>
      </c>
      <c r="I4867">
        <v>20.644850000000002</v>
      </c>
      <c r="J4867">
        <v>-408.79079999999999</v>
      </c>
      <c r="K4867">
        <v>1.104557</v>
      </c>
      <c r="L4867">
        <v>23.39667</v>
      </c>
      <c r="M4867">
        <v>0.90884390000000004</v>
      </c>
      <c r="N4867">
        <v>0</v>
      </c>
      <c r="O4867">
        <v>-0.416958</v>
      </c>
      <c r="P4867">
        <v>0.93655189999999999</v>
      </c>
      <c r="Q4867">
        <v>-3.1785030000000001E-3</v>
      </c>
      <c r="R4867">
        <v>-0.35051490000000002</v>
      </c>
      <c r="S4867">
        <v>2.9092410000000002</v>
      </c>
      <c r="T4867">
        <v>-0.31079029999999902</v>
      </c>
      <c r="U4867">
        <v>-0.78179929999999997</v>
      </c>
      <c r="V4867">
        <v>-7.1949029999999997E-2</v>
      </c>
      <c r="W4867">
        <v>8.9699659999999994E-3</v>
      </c>
      <c r="X4867">
        <v>0.99736800000000003</v>
      </c>
      <c r="Y4867">
        <v>-0.16392319999999999</v>
      </c>
      <c r="Z4867">
        <v>5.060709E-2</v>
      </c>
      <c r="AA4867">
        <v>0.98517410000000005</v>
      </c>
      <c r="AB4867">
        <v>11</v>
      </c>
      <c r="AC4867">
        <v>10.280799999999999</v>
      </c>
      <c r="AD4867">
        <v>-1.1045579584862</v>
      </c>
      <c r="AE4867">
        <v>-2.7518199999999902</v>
      </c>
      <c r="AF4867">
        <v>-1.7667890529479999</v>
      </c>
      <c r="AG4867">
        <v>-1.1045579584862</v>
      </c>
      <c r="AH4867">
        <v>10.3800090573214</v>
      </c>
      <c r="AI4867">
        <v>95.988611603471796</v>
      </c>
      <c r="AJ4867">
        <v>99.659780429420096</v>
      </c>
      <c r="AK4867">
        <v>10.587076077527099</v>
      </c>
    </row>
    <row r="4868" spans="1:37" x14ac:dyDescent="0.2">
      <c r="A4868" t="str">
        <f>"20200111155952491"</f>
        <v>20200111155952491</v>
      </c>
      <c r="B4868" t="str">
        <f>"1578729592485350"</f>
        <v>1578729592485350</v>
      </c>
      <c r="C4868" t="s">
        <v>37</v>
      </c>
      <c r="D4868">
        <v>5.3186400000000003</v>
      </c>
      <c r="E4868">
        <v>0.46764240000000001</v>
      </c>
      <c r="F4868" t="s">
        <v>39</v>
      </c>
      <c r="G4868">
        <v>-398.40960000000001</v>
      </c>
      <c r="H4868" s="1">
        <v>-9.9460489999999996E-7</v>
      </c>
      <c r="I4868">
        <v>20.602219999999999</v>
      </c>
      <c r="J4868">
        <v>-408.73649999999998</v>
      </c>
      <c r="K4868">
        <v>1.1046069999999999</v>
      </c>
      <c r="L4868">
        <v>23.371919999999999</v>
      </c>
      <c r="M4868">
        <v>0.90894010000000003</v>
      </c>
      <c r="N4868">
        <v>0</v>
      </c>
      <c r="O4868">
        <v>-0.4167555</v>
      </c>
      <c r="P4868">
        <v>0.93609050000000005</v>
      </c>
      <c r="Q4868">
        <v>-3.0287879999999902E-3</v>
      </c>
      <c r="R4868">
        <v>-0.35174610000000001</v>
      </c>
      <c r="S4868">
        <v>2.909119</v>
      </c>
      <c r="T4868">
        <v>-0.30952790000000002</v>
      </c>
      <c r="U4868">
        <v>-0.78308109999999997</v>
      </c>
      <c r="V4868">
        <v>-7.0415759999999994E-2</v>
      </c>
      <c r="W4868">
        <v>8.8383639999999996E-3</v>
      </c>
      <c r="X4868">
        <v>0.99747849999999905</v>
      </c>
      <c r="Y4868">
        <v>-0.1633146</v>
      </c>
      <c r="Z4868">
        <v>5.035013E-2</v>
      </c>
      <c r="AA4868">
        <v>0.98528839999999995</v>
      </c>
      <c r="AB4868">
        <v>11</v>
      </c>
      <c r="AC4868">
        <v>10.326899999999901</v>
      </c>
      <c r="AD4868">
        <v>-1.1046079946048999</v>
      </c>
      <c r="AE4868">
        <v>-2.7696999999999998</v>
      </c>
      <c r="AF4868">
        <v>-1.76756231912922</v>
      </c>
      <c r="AG4868">
        <v>-1.1046079946048999</v>
      </c>
      <c r="AH4868">
        <v>10.4302458786439</v>
      </c>
      <c r="AI4868">
        <v>95.960972304244706</v>
      </c>
      <c r="AJ4868">
        <v>99.618254183812198</v>
      </c>
      <c r="AK4868">
        <v>10.6364686086463</v>
      </c>
    </row>
    <row r="4869" spans="1:37" x14ac:dyDescent="0.2">
      <c r="A4869" t="str">
        <f>"20200111155952503"</f>
        <v>20200111155952503</v>
      </c>
      <c r="B4869" t="str">
        <f>"1578729592495107"</f>
        <v>1578729592495107</v>
      </c>
      <c r="C4869" t="s">
        <v>37</v>
      </c>
      <c r="D4869">
        <v>5.459111</v>
      </c>
      <c r="E4869">
        <v>0.46764240000000001</v>
      </c>
      <c r="F4869" t="s">
        <v>39</v>
      </c>
      <c r="G4869">
        <v>-398.29340000000002</v>
      </c>
      <c r="H4869" s="1">
        <v>-1.03704E-6</v>
      </c>
      <c r="I4869">
        <v>20.55536</v>
      </c>
      <c r="J4869">
        <v>-408.67660000000001</v>
      </c>
      <c r="K4869">
        <v>1.1046559999999901</v>
      </c>
      <c r="L4869">
        <v>23.344819999999999</v>
      </c>
      <c r="M4869">
        <v>0.90907530000000003</v>
      </c>
      <c r="N4869">
        <v>0</v>
      </c>
      <c r="O4869">
        <v>-0.4164697</v>
      </c>
      <c r="P4869">
        <v>0.9356778</v>
      </c>
      <c r="Q4869">
        <v>-2.811853E-3</v>
      </c>
      <c r="R4869">
        <v>-0.35284529999999997</v>
      </c>
      <c r="S4869">
        <v>2.9089969999999998</v>
      </c>
      <c r="T4869">
        <v>-0.30769819999999998</v>
      </c>
      <c r="U4869">
        <v>-0.78457639999999995</v>
      </c>
      <c r="V4869">
        <v>-6.8931290000000006E-2</v>
      </c>
      <c r="W4869">
        <v>8.7377559999999993E-3</v>
      </c>
      <c r="X4869">
        <v>0.9975832</v>
      </c>
      <c r="Y4869">
        <v>-0.16255899999999901</v>
      </c>
      <c r="Z4869">
        <v>4.9985889999999998E-2</v>
      </c>
      <c r="AA4869">
        <v>0.98543179999999997</v>
      </c>
      <c r="AB4869">
        <v>11</v>
      </c>
      <c r="AC4869">
        <v>10.383199999999899</v>
      </c>
      <c r="AD4869">
        <v>-1.10465703704</v>
      </c>
      <c r="AE4869">
        <v>-2.7894600000000001</v>
      </c>
      <c r="AF4869">
        <v>-1.7698955906896601</v>
      </c>
      <c r="AG4869">
        <v>-1.10465703704</v>
      </c>
      <c r="AH4869">
        <v>10.490804241363399</v>
      </c>
      <c r="AI4869">
        <v>95.927800620478905</v>
      </c>
      <c r="AJ4869">
        <v>99.576152084965898</v>
      </c>
      <c r="AK4869">
        <v>10.69625033374</v>
      </c>
    </row>
    <row r="4870" spans="1:37" x14ac:dyDescent="0.2">
      <c r="A4870" t="str">
        <f>"20200111155952515"</f>
        <v>20200111155952515</v>
      </c>
      <c r="B4870" t="str">
        <f>"1578729592504868"</f>
        <v>1578729592504868</v>
      </c>
      <c r="C4870" t="s">
        <v>37</v>
      </c>
      <c r="D4870">
        <v>5.3091349999999897</v>
      </c>
      <c r="E4870">
        <v>0.44801759999999902</v>
      </c>
      <c r="F4870" t="s">
        <v>39</v>
      </c>
      <c r="G4870">
        <v>-398.20150000000001</v>
      </c>
      <c r="H4870" s="1">
        <v>-1.0678040000000001E-6</v>
      </c>
      <c r="I4870">
        <v>20.507750000000001</v>
      </c>
      <c r="J4870">
        <v>-408.62470000000002</v>
      </c>
      <c r="K4870">
        <v>1.1047039999999999</v>
      </c>
      <c r="L4870">
        <v>23.321470000000001</v>
      </c>
      <c r="M4870">
        <v>0.90924530000000003</v>
      </c>
      <c r="N4870">
        <v>0</v>
      </c>
      <c r="O4870">
        <v>-0.41610530000000001</v>
      </c>
      <c r="P4870">
        <v>0.93542209999999903</v>
      </c>
      <c r="Q4870">
        <v>-2.346613E-3</v>
      </c>
      <c r="R4870">
        <v>-0.3535256</v>
      </c>
      <c r="S4870">
        <v>2.908325</v>
      </c>
      <c r="T4870">
        <v>-0.306699</v>
      </c>
      <c r="U4870">
        <v>-0.78768919999999998</v>
      </c>
      <c r="V4870">
        <v>-6.7807560000000003E-2</v>
      </c>
      <c r="W4870">
        <v>8.9260980000000004E-3</v>
      </c>
      <c r="X4870">
        <v>0.997658499999999</v>
      </c>
      <c r="Y4870">
        <v>-0.16114890000000001</v>
      </c>
      <c r="Z4870">
        <v>4.9719689999999997E-2</v>
      </c>
      <c r="AA4870">
        <v>0.98567689999999997</v>
      </c>
      <c r="AB4870">
        <v>11</v>
      </c>
      <c r="AC4870">
        <v>10.4232</v>
      </c>
      <c r="AD4870">
        <v>-1.104705067804</v>
      </c>
      <c r="AE4870">
        <v>-2.81372</v>
      </c>
      <c r="AF4870">
        <v>-1.7604701894582799</v>
      </c>
      <c r="AG4870">
        <v>-1.104705067804</v>
      </c>
      <c r="AH4870">
        <v>10.5384021560986</v>
      </c>
      <c r="AI4870">
        <v>95.903056176712994</v>
      </c>
      <c r="AJ4870">
        <v>99.483849911576897</v>
      </c>
      <c r="AK4870">
        <v>10.741394163630099</v>
      </c>
    </row>
    <row r="4871" spans="1:37" x14ac:dyDescent="0.2">
      <c r="A4871" t="str">
        <f>"20200111155952533"</f>
        <v>20200111155952533</v>
      </c>
      <c r="B4871" t="str">
        <f>"1578729592525363"</f>
        <v>1578729592525363</v>
      </c>
      <c r="C4871" t="s">
        <v>37</v>
      </c>
      <c r="D4871">
        <v>5.3263280000000002</v>
      </c>
      <c r="E4871">
        <v>0.45136480000000001</v>
      </c>
      <c r="F4871" t="s">
        <v>78</v>
      </c>
      <c r="G4871">
        <v>-381.27870000000001</v>
      </c>
      <c r="H4871" s="1">
        <v>-4.5484980000000001E-6</v>
      </c>
      <c r="I4871">
        <v>17.218019999999999</v>
      </c>
      <c r="J4871">
        <v>-408.54669999999999</v>
      </c>
      <c r="K4871">
        <v>1.104784</v>
      </c>
      <c r="L4871">
        <v>23.286619999999999</v>
      </c>
      <c r="M4871">
        <v>0.90954760000000001</v>
      </c>
      <c r="N4871">
        <v>0</v>
      </c>
      <c r="O4871">
        <v>-0.415454299999999</v>
      </c>
      <c r="P4871">
        <v>0.93527830000000001</v>
      </c>
      <c r="Q4871">
        <v>-1.1391939999999901E-3</v>
      </c>
      <c r="R4871">
        <v>-0.35391099999999998</v>
      </c>
      <c r="S4871">
        <v>2.9573669999999899</v>
      </c>
      <c r="T4871">
        <v>-0.119469899999999</v>
      </c>
      <c r="U4871">
        <v>-0.66006469999999995</v>
      </c>
      <c r="V4871">
        <v>-6.6685270000000005E-2</v>
      </c>
      <c r="W4871">
        <v>9.7214280000000007E-3</v>
      </c>
      <c r="X4871">
        <v>0.99772669999999997</v>
      </c>
      <c r="Y4871">
        <v>-0.20690249999999999</v>
      </c>
      <c r="Z4871">
        <v>2.012326E-2</v>
      </c>
      <c r="AA4871">
        <v>0.97815459999999999</v>
      </c>
      <c r="AB4871">
        <v>11</v>
      </c>
      <c r="AC4871">
        <v>27.267999999999901</v>
      </c>
      <c r="AD4871">
        <v>-1.104788548498</v>
      </c>
      <c r="AE4871">
        <v>-6.0686</v>
      </c>
      <c r="AF4871">
        <v>-5.8002064917303198</v>
      </c>
      <c r="AG4871">
        <v>-1.104788548498</v>
      </c>
      <c r="AH4871">
        <v>27.281750939787798</v>
      </c>
      <c r="AI4871">
        <v>92.268312010917498</v>
      </c>
      <c r="AJ4871">
        <v>102.00259470152901</v>
      </c>
      <c r="AK4871">
        <v>27.9133818700675</v>
      </c>
    </row>
    <row r="4872" spans="1:37" x14ac:dyDescent="0.2">
      <c r="A4872" t="str">
        <f>"20200111155952545"</f>
        <v>20200111155952545</v>
      </c>
      <c r="B4872" t="str">
        <f>"1578729592535124"</f>
        <v>1578729592535124</v>
      </c>
      <c r="C4872" t="s">
        <v>37</v>
      </c>
      <c r="D4872">
        <v>5.3245069999999997</v>
      </c>
      <c r="E4872">
        <v>0.45152349999999902</v>
      </c>
      <c r="F4872" t="s">
        <v>78</v>
      </c>
      <c r="G4872">
        <v>-389.86329999999998</v>
      </c>
      <c r="H4872" s="1">
        <v>-2.238477E-7</v>
      </c>
      <c r="I4872">
        <v>18.973960000000002</v>
      </c>
      <c r="J4872">
        <v>-408.48480000000001</v>
      </c>
      <c r="K4872">
        <v>1.1048469999999999</v>
      </c>
      <c r="L4872">
        <v>23.259160000000001</v>
      </c>
      <c r="M4872">
        <v>0.90983199999999997</v>
      </c>
      <c r="N4872">
        <v>0</v>
      </c>
      <c r="O4872">
        <v>-0.41483930000000002</v>
      </c>
      <c r="P4872">
        <v>0.9354536</v>
      </c>
      <c r="Q4872">
        <v>-6.5243989999999997E-4</v>
      </c>
      <c r="R4872">
        <v>-0.35344910000000002</v>
      </c>
      <c r="S4872">
        <v>2.9497070000000001</v>
      </c>
      <c r="T4872">
        <v>-0.17442199999999999</v>
      </c>
      <c r="U4872">
        <v>-0.68087769999999903</v>
      </c>
      <c r="V4872">
        <v>-6.6504869999999994E-2</v>
      </c>
      <c r="W4872">
        <v>9.8849769999999997E-3</v>
      </c>
      <c r="X4872">
        <v>0.99773709999999904</v>
      </c>
      <c r="Y4872">
        <v>-0.19862539999999901</v>
      </c>
      <c r="Z4872">
        <v>2.91352E-2</v>
      </c>
      <c r="AA4872">
        <v>0.97964229999999997</v>
      </c>
      <c r="AB4872">
        <v>11</v>
      </c>
      <c r="AC4872">
        <v>18.621500000000001</v>
      </c>
      <c r="AD4872">
        <v>-1.1048472238476901</v>
      </c>
      <c r="AE4872">
        <v>-4.2851999999999997</v>
      </c>
      <c r="AF4872">
        <v>-3.8135865513836</v>
      </c>
      <c r="AG4872">
        <v>-1.1048472238476901</v>
      </c>
      <c r="AH4872">
        <v>18.658793446055</v>
      </c>
      <c r="AI4872">
        <v>93.320229877619397</v>
      </c>
      <c r="AJ4872">
        <v>101.55133302550701</v>
      </c>
      <c r="AK4872">
        <v>19.0765484990206</v>
      </c>
    </row>
    <row r="4873" spans="1:37" x14ac:dyDescent="0.2">
      <c r="A4873" t="str">
        <f>"20200111155952559"</f>
        <v>20200111155952559</v>
      </c>
      <c r="B4873" t="str">
        <f>"1578729592555151"</f>
        <v>1578729592555151</v>
      </c>
      <c r="C4873" t="s">
        <v>37</v>
      </c>
      <c r="D4873">
        <v>5.3070029999999999</v>
      </c>
      <c r="E4873">
        <v>0.45174039999999999</v>
      </c>
      <c r="F4873" t="s">
        <v>39</v>
      </c>
      <c r="G4873">
        <v>-391.19650000000001</v>
      </c>
      <c r="H4873" s="1">
        <v>-4.2016609999999999E-6</v>
      </c>
      <c r="I4873">
        <v>19.279629999999901</v>
      </c>
      <c r="J4873">
        <v>-408.4255</v>
      </c>
      <c r="K4873">
        <v>1.104903</v>
      </c>
      <c r="L4873">
        <v>23.233090000000001</v>
      </c>
      <c r="M4873">
        <v>0.91016390000000003</v>
      </c>
      <c r="N4873">
        <v>0</v>
      </c>
      <c r="O4873">
        <v>-0.41411819999999999</v>
      </c>
      <c r="P4873">
        <v>0.935708599999999</v>
      </c>
      <c r="Q4873" s="1">
        <v>-5.2925199999999999E-5</v>
      </c>
      <c r="R4873">
        <v>-0.35277439999999999</v>
      </c>
      <c r="S4873">
        <v>2.950256</v>
      </c>
      <c r="T4873">
        <v>-0.18854370000000001</v>
      </c>
      <c r="U4873">
        <v>-0.67910769999999998</v>
      </c>
      <c r="V4873">
        <v>-6.64352E-2</v>
      </c>
      <c r="W4873">
        <v>1.0189180000000001E-2</v>
      </c>
      <c r="X4873">
        <v>0.99773869999999898</v>
      </c>
      <c r="Y4873">
        <v>-0.19828570000000001</v>
      </c>
      <c r="Z4873">
        <v>3.1434980000000001E-2</v>
      </c>
      <c r="AA4873">
        <v>0.97964010000000001</v>
      </c>
      <c r="AB4873">
        <v>11</v>
      </c>
      <c r="AC4873">
        <v>17.2289999999999</v>
      </c>
      <c r="AD4873">
        <v>-1.104907201661</v>
      </c>
      <c r="AE4873">
        <v>-3.9534600000000002</v>
      </c>
      <c r="AF4873">
        <v>-3.5229721923347901</v>
      </c>
      <c r="AG4873">
        <v>-1.104907201661</v>
      </c>
      <c r="AH4873">
        <v>17.2519433450144</v>
      </c>
      <c r="AI4873">
        <v>93.590623736879806</v>
      </c>
      <c r="AJ4873">
        <v>101.54153095638701</v>
      </c>
      <c r="AK4873">
        <v>17.6426104126298</v>
      </c>
    </row>
    <row r="4874" spans="1:37" x14ac:dyDescent="0.2">
      <c r="A4874" t="str">
        <f>"20200111155952576"</f>
        <v>20200111155952576</v>
      </c>
      <c r="B4874" t="str">
        <f>"1578729592564910"</f>
        <v>1578729592564910</v>
      </c>
      <c r="C4874" t="s">
        <v>37</v>
      </c>
      <c r="D4874">
        <v>5.3604320000000003</v>
      </c>
      <c r="E4874">
        <v>0.45143349999999999</v>
      </c>
      <c r="F4874" t="s">
        <v>39</v>
      </c>
      <c r="G4874">
        <v>-392.05489999999998</v>
      </c>
      <c r="H4874" s="1">
        <v>-3.7616780000000002E-6</v>
      </c>
      <c r="I4874">
        <v>19.47268</v>
      </c>
      <c r="J4874">
        <v>-408.34109999999998</v>
      </c>
      <c r="K4874">
        <v>1.1049739999999999</v>
      </c>
      <c r="L4874">
        <v>23.196290000000001</v>
      </c>
      <c r="M4874">
        <v>0.91068640000000001</v>
      </c>
      <c r="N4874">
        <v>0</v>
      </c>
      <c r="O4874">
        <v>-0.41297689999999998</v>
      </c>
      <c r="P4874">
        <v>0.93639660000000002</v>
      </c>
      <c r="Q4874">
        <v>-1.163892E-4</v>
      </c>
      <c r="R4874">
        <v>-0.35094419999999998</v>
      </c>
      <c r="S4874">
        <v>2.9505919999999999</v>
      </c>
      <c r="T4874">
        <v>-0.19914509999999999</v>
      </c>
      <c r="U4874">
        <v>-0.6777649</v>
      </c>
      <c r="V4874">
        <v>-6.7135819999999999E-2</v>
      </c>
      <c r="W4874">
        <v>9.7242890000000005E-3</v>
      </c>
      <c r="X4874">
        <v>0.99769649999999999</v>
      </c>
      <c r="Y4874">
        <v>-0.19737769999999999</v>
      </c>
      <c r="Z4874">
        <v>3.3098469999999998E-2</v>
      </c>
      <c r="AA4874">
        <v>0.97976859999999999</v>
      </c>
      <c r="AB4874">
        <v>11</v>
      </c>
      <c r="AC4874">
        <v>16.286200000000001</v>
      </c>
      <c r="AD4874">
        <v>-1.1049777616779899</v>
      </c>
      <c r="AE4874">
        <v>-3.7236099999999999</v>
      </c>
      <c r="AF4874">
        <v>-3.3204252174395599</v>
      </c>
      <c r="AG4874">
        <v>-1.1049777616779899</v>
      </c>
      <c r="AH4874">
        <v>16.298906019570801</v>
      </c>
      <c r="AI4874">
        <v>93.800581132560694</v>
      </c>
      <c r="AJ4874">
        <v>101.514768473259</v>
      </c>
      <c r="AK4874">
        <v>16.670349033934901</v>
      </c>
    </row>
    <row r="4875" spans="1:37" x14ac:dyDescent="0.2">
      <c r="A4875" t="str">
        <f>"20200111155952589"</f>
        <v>20200111155952589</v>
      </c>
      <c r="B4875" t="str">
        <f>"1578729592585407"</f>
        <v>1578729592585407</v>
      </c>
      <c r="C4875" t="s">
        <v>37</v>
      </c>
      <c r="D4875">
        <v>5.3127089999999999</v>
      </c>
      <c r="E4875">
        <v>0.45131499999999902</v>
      </c>
      <c r="F4875" t="s">
        <v>39</v>
      </c>
      <c r="G4875">
        <v>-392.82350000000002</v>
      </c>
      <c r="H4875" s="1">
        <v>-3.389104E-6</v>
      </c>
      <c r="I4875">
        <v>19.677320000000002</v>
      </c>
      <c r="J4875">
        <v>-408.28359999999998</v>
      </c>
      <c r="K4875">
        <v>1.1050149999999901</v>
      </c>
      <c r="L4875">
        <v>23.17136</v>
      </c>
      <c r="M4875">
        <v>0.91107649999999996</v>
      </c>
      <c r="N4875">
        <v>0</v>
      </c>
      <c r="O4875">
        <v>-0.41212159999999898</v>
      </c>
      <c r="P4875">
        <v>0.93684020000000001</v>
      </c>
      <c r="Q4875">
        <v>-1.5312059999999901E-4</v>
      </c>
      <c r="R4875">
        <v>-0.349757599999999</v>
      </c>
      <c r="S4875">
        <v>2.95282</v>
      </c>
      <c r="T4875">
        <v>-0.2102638</v>
      </c>
      <c r="U4875">
        <v>-0.66961669999999995</v>
      </c>
      <c r="V4875">
        <v>-6.7462820000000007E-2</v>
      </c>
      <c r="W4875">
        <v>9.4310469999999997E-3</v>
      </c>
      <c r="X4875">
        <v>0.99767719999999904</v>
      </c>
      <c r="Y4875">
        <v>-0.19904269999999999</v>
      </c>
      <c r="Z4875">
        <v>3.493508E-2</v>
      </c>
      <c r="AA4875">
        <v>0.97936789999999996</v>
      </c>
      <c r="AB4875">
        <v>11</v>
      </c>
      <c r="AC4875">
        <v>15.460099999999899</v>
      </c>
      <c r="AD4875">
        <v>-1.105018389104</v>
      </c>
      <c r="AE4875">
        <v>-3.4940399999999898</v>
      </c>
      <c r="AF4875">
        <v>-3.1728339825308001</v>
      </c>
      <c r="AG4875">
        <v>-1.105018389104</v>
      </c>
      <c r="AH4875">
        <v>15.450944663463501</v>
      </c>
      <c r="AI4875">
        <v>94.007367978656205</v>
      </c>
      <c r="AJ4875">
        <v>101.60430737778201</v>
      </c>
      <c r="AK4875">
        <v>15.8120091106213</v>
      </c>
    </row>
    <row r="4876" spans="1:37" x14ac:dyDescent="0.2">
      <c r="A4876" t="str">
        <f>"20200111155952602"</f>
        <v>20200111155952602</v>
      </c>
      <c r="B4876" t="str">
        <f>"1578729592595167"</f>
        <v>1578729592595167</v>
      </c>
      <c r="C4876" t="s">
        <v>37</v>
      </c>
      <c r="D4876">
        <v>5.3768289999999999</v>
      </c>
      <c r="E4876">
        <v>0.45130189999999998</v>
      </c>
      <c r="F4876" t="s">
        <v>39</v>
      </c>
      <c r="G4876">
        <v>-393.72840000000002</v>
      </c>
      <c r="H4876" s="1">
        <v>-3.0201620000000001E-6</v>
      </c>
      <c r="I4876">
        <v>19.89838</v>
      </c>
      <c r="J4876">
        <v>-408.22129999999999</v>
      </c>
      <c r="K4876">
        <v>1.1050519999999999</v>
      </c>
      <c r="L4876">
        <v>23.14462</v>
      </c>
      <c r="M4876">
        <v>0.91153300000000004</v>
      </c>
      <c r="N4876">
        <v>0</v>
      </c>
      <c r="O4876">
        <v>-0.41111700000000001</v>
      </c>
      <c r="P4876">
        <v>0.93732099999999996</v>
      </c>
      <c r="Q4876">
        <v>-2.1488590000000001E-4</v>
      </c>
      <c r="R4876">
        <v>-0.34846779999999999</v>
      </c>
      <c r="S4876">
        <v>2.954224</v>
      </c>
      <c r="T4876">
        <v>-0.22428200000000001</v>
      </c>
      <c r="U4876">
        <v>-0.66430659999999997</v>
      </c>
      <c r="V4876">
        <v>-6.7735619999999996E-2</v>
      </c>
      <c r="W4876">
        <v>9.1115810000000005E-3</v>
      </c>
      <c r="X4876">
        <v>0.99766169999999998</v>
      </c>
      <c r="Y4876">
        <v>-0.19954669999999999</v>
      </c>
      <c r="Z4876">
        <v>3.7201489999999997E-2</v>
      </c>
      <c r="AA4876">
        <v>0.97918189999999905</v>
      </c>
      <c r="AB4876">
        <v>12</v>
      </c>
      <c r="AC4876">
        <v>14.492899999999899</v>
      </c>
      <c r="AD4876">
        <v>-1.105055020162</v>
      </c>
      <c r="AE4876">
        <v>-3.2462399999999998</v>
      </c>
      <c r="AF4876">
        <v>-2.9828451838216998</v>
      </c>
      <c r="AG4876">
        <v>-1.105055020162</v>
      </c>
      <c r="AH4876">
        <v>14.4659150470985</v>
      </c>
      <c r="AI4876">
        <v>94.278687310674002</v>
      </c>
      <c r="AJ4876">
        <v>101.650991987791</v>
      </c>
      <c r="AK4876">
        <v>14.8115228838261</v>
      </c>
    </row>
    <row r="4877" spans="1:37" x14ac:dyDescent="0.2">
      <c r="A4877" t="str">
        <f>"20200111155952615"</f>
        <v>20200111155952615</v>
      </c>
      <c r="B4877" t="str">
        <f>"1578729592604927"</f>
        <v>1578729592604927</v>
      </c>
      <c r="C4877" t="s">
        <v>37</v>
      </c>
      <c r="D4877">
        <v>5.3765000000000001</v>
      </c>
      <c r="E4877">
        <v>0.45163729999999902</v>
      </c>
      <c r="F4877" t="s">
        <v>39</v>
      </c>
      <c r="G4877">
        <v>-394.0634</v>
      </c>
      <c r="H4877" s="1">
        <v>-2.88402E-6</v>
      </c>
      <c r="I4877">
        <v>19.981870000000001</v>
      </c>
      <c r="J4877">
        <v>-408.1585</v>
      </c>
      <c r="K4877">
        <v>1.1050899999999999</v>
      </c>
      <c r="L4877">
        <v>23.11786</v>
      </c>
      <c r="M4877">
        <v>0.91203109999999998</v>
      </c>
      <c r="N4877">
        <v>0</v>
      </c>
      <c r="O4877">
        <v>-0.41001599999999999</v>
      </c>
      <c r="P4877">
        <v>0.93784719999999999</v>
      </c>
      <c r="Q4877">
        <v>-2.5532019999999998E-4</v>
      </c>
      <c r="R4877">
        <v>-0.34704889999999999</v>
      </c>
      <c r="S4877">
        <v>2.9551699999999999</v>
      </c>
      <c r="T4877">
        <v>-0.23065630000000001</v>
      </c>
      <c r="U4877">
        <v>-0.66015630000000003</v>
      </c>
      <c r="V4877">
        <v>-6.8040249999999997E-2</v>
      </c>
      <c r="W4877">
        <v>8.8340720000000001E-3</v>
      </c>
      <c r="X4877">
        <v>0.99764349999999902</v>
      </c>
      <c r="Y4877">
        <v>-0.19965079999999999</v>
      </c>
      <c r="Z4877">
        <v>3.8179030000000003E-2</v>
      </c>
      <c r="AA4877">
        <v>0.97912310000000002</v>
      </c>
      <c r="AB4877">
        <v>12</v>
      </c>
      <c r="AC4877">
        <v>14.0951</v>
      </c>
      <c r="AD4877">
        <v>-1.1050928840199901</v>
      </c>
      <c r="AE4877">
        <v>-3.1359900000000001</v>
      </c>
      <c r="AF4877">
        <v>-2.9022234159255298</v>
      </c>
      <c r="AG4877">
        <v>-1.1050928840199901</v>
      </c>
      <c r="AH4877">
        <v>14.059239239964599</v>
      </c>
      <c r="AI4877">
        <v>94.401923071960397</v>
      </c>
      <c r="AJ4877">
        <v>101.663633610106</v>
      </c>
      <c r="AK4877">
        <v>14.398136651831701</v>
      </c>
    </row>
    <row r="4878" spans="1:37" x14ac:dyDescent="0.2">
      <c r="A4878" t="str">
        <f>"20200111155952632"</f>
        <v>20200111155952632</v>
      </c>
      <c r="B4878" t="str">
        <f>"1578729592625423"</f>
        <v>1578729592625423</v>
      </c>
      <c r="C4878" t="s">
        <v>37</v>
      </c>
      <c r="D4878">
        <v>5.3439839999999998</v>
      </c>
      <c r="E4878">
        <v>0.4516754</v>
      </c>
      <c r="F4878" t="s">
        <v>39</v>
      </c>
      <c r="G4878">
        <v>-394.01979999999998</v>
      </c>
      <c r="H4878" s="1">
        <v>-2.9004260000000001E-6</v>
      </c>
      <c r="I4878">
        <v>19.966059999999999</v>
      </c>
      <c r="J4878">
        <v>-408.09469999999999</v>
      </c>
      <c r="K4878">
        <v>1.1051219999999999</v>
      </c>
      <c r="L4878">
        <v>23.090789999999998</v>
      </c>
      <c r="M4878">
        <v>0.91255949999999997</v>
      </c>
      <c r="N4878">
        <v>0</v>
      </c>
      <c r="O4878">
        <v>-0.40884359999999997</v>
      </c>
      <c r="P4878">
        <v>0.93833109999999997</v>
      </c>
      <c r="Q4878">
        <v>6.5893679999999902E-4</v>
      </c>
      <c r="R4878">
        <v>-0.34573779999999998</v>
      </c>
      <c r="S4878">
        <v>2.954987</v>
      </c>
      <c r="T4878">
        <v>-0.23096309999999901</v>
      </c>
      <c r="U4878">
        <v>-0.65872189999999997</v>
      </c>
      <c r="V4878">
        <v>-6.815446E-2</v>
      </c>
      <c r="W4878">
        <v>9.5216429999999998E-3</v>
      </c>
      <c r="X4878">
        <v>0.99762929999999905</v>
      </c>
      <c r="Y4878">
        <v>-0.1988309</v>
      </c>
      <c r="Z4878">
        <v>3.8121170000000003E-2</v>
      </c>
      <c r="AA4878">
        <v>0.9792921</v>
      </c>
      <c r="AB4878">
        <v>12</v>
      </c>
      <c r="AC4878">
        <v>14.0749</v>
      </c>
      <c r="AD4878">
        <v>-1.105124900426</v>
      </c>
      <c r="AE4878">
        <v>-3.12473</v>
      </c>
      <c r="AF4878">
        <v>-2.8860929070894898</v>
      </c>
      <c r="AG4878">
        <v>-1.105124900426</v>
      </c>
      <c r="AH4878">
        <v>14.0397995970064</v>
      </c>
      <c r="AI4878">
        <v>94.4088701484485</v>
      </c>
      <c r="AJ4878">
        <v>101.61619519767</v>
      </c>
      <c r="AK4878">
        <v>14.3759106159574</v>
      </c>
    </row>
    <row r="4879" spans="1:37" x14ac:dyDescent="0.2">
      <c r="A4879" t="str">
        <f>"20200111155952645"</f>
        <v>20200111155952645</v>
      </c>
      <c r="B4879" t="str">
        <f>"1578729592635183"</f>
        <v>1578729592635183</v>
      </c>
      <c r="C4879" t="s">
        <v>37</v>
      </c>
      <c r="D4879">
        <v>5.4140739999999896</v>
      </c>
      <c r="E4879">
        <v>0.45174579999999998</v>
      </c>
      <c r="F4879" t="s">
        <v>39</v>
      </c>
      <c r="G4879">
        <v>-394.01420000000002</v>
      </c>
      <c r="H4879" s="1">
        <v>-2.9040219999999998E-6</v>
      </c>
      <c r="I4879">
        <v>19.969660000000001</v>
      </c>
      <c r="J4879">
        <v>-408.01400000000001</v>
      </c>
      <c r="K4879">
        <v>1.1051629999999999</v>
      </c>
      <c r="L4879">
        <v>23.056819999999998</v>
      </c>
      <c r="M4879">
        <v>0.91327000000000003</v>
      </c>
      <c r="N4879">
        <v>0</v>
      </c>
      <c r="O4879">
        <v>-0.4072595</v>
      </c>
      <c r="P4879">
        <v>0.93887670000000001</v>
      </c>
      <c r="Q4879">
        <v>2.6718009999999901E-3</v>
      </c>
      <c r="R4879">
        <v>-0.34424389999999999</v>
      </c>
      <c r="S4879">
        <v>2.955902</v>
      </c>
      <c r="T4879">
        <v>-0.231996799999999</v>
      </c>
      <c r="U4879">
        <v>-0.65521240000000003</v>
      </c>
      <c r="V4879">
        <v>-6.8015270000000003E-2</v>
      </c>
      <c r="W4879">
        <v>1.12744E-2</v>
      </c>
      <c r="X4879">
        <v>0.99762059999999997</v>
      </c>
      <c r="Y4879">
        <v>-0.1982931</v>
      </c>
      <c r="Z4879">
        <v>3.8154449999999999E-2</v>
      </c>
      <c r="AA4879">
        <v>0.97939989999999999</v>
      </c>
      <c r="AB4879">
        <v>12</v>
      </c>
      <c r="AC4879">
        <v>13.999799999999899</v>
      </c>
      <c r="AD4879">
        <v>-1.1051659040219901</v>
      </c>
      <c r="AE4879">
        <v>-3.0871599999999999</v>
      </c>
      <c r="AF4879">
        <v>-2.8652253454550101</v>
      </c>
      <c r="AG4879">
        <v>-1.1051659040219901</v>
      </c>
      <c r="AH4879">
        <v>13.960453482169999</v>
      </c>
      <c r="AI4879">
        <v>94.434276879148001</v>
      </c>
      <c r="AJ4879">
        <v>101.598250619936</v>
      </c>
      <c r="AK4879">
        <v>14.294235529872999</v>
      </c>
    </row>
    <row r="4880" spans="1:37" x14ac:dyDescent="0.2">
      <c r="A4880" t="str">
        <f>"20200111155952660"</f>
        <v>20200111155952660</v>
      </c>
      <c r="B4880" t="str">
        <f>"1578729592655212"</f>
        <v>1578729592655212</v>
      </c>
      <c r="C4880" t="s">
        <v>37</v>
      </c>
      <c r="D4880">
        <v>5.3304669999999996</v>
      </c>
      <c r="E4880">
        <v>0.42456499999999903</v>
      </c>
      <c r="F4880" t="s">
        <v>39</v>
      </c>
      <c r="G4880">
        <v>-393.71839999999997</v>
      </c>
      <c r="H4880" s="1">
        <v>-3.0265280000000001E-6</v>
      </c>
      <c r="I4880">
        <v>19.904610000000002</v>
      </c>
      <c r="J4880">
        <v>-407.94439999999997</v>
      </c>
      <c r="K4880">
        <v>1.1051879999999901</v>
      </c>
      <c r="L4880">
        <v>23.02786</v>
      </c>
      <c r="M4880">
        <v>0.91392240000000002</v>
      </c>
      <c r="N4880">
        <v>0</v>
      </c>
      <c r="O4880">
        <v>-0.40579709999999902</v>
      </c>
      <c r="P4880">
        <v>0.93946339999999995</v>
      </c>
      <c r="Q4880">
        <v>4.0093209999999997E-3</v>
      </c>
      <c r="R4880">
        <v>-0.34262589999999998</v>
      </c>
      <c r="S4880">
        <v>2.956909</v>
      </c>
      <c r="T4880">
        <v>-0.22859360000000001</v>
      </c>
      <c r="U4880">
        <v>-0.65200809999999998</v>
      </c>
      <c r="V4880">
        <v>-6.8138509999999999E-2</v>
      </c>
      <c r="W4880">
        <v>1.2412060000000001E-2</v>
      </c>
      <c r="X4880">
        <v>0.997598599999999</v>
      </c>
      <c r="Y4880">
        <v>-0.19786049999999999</v>
      </c>
      <c r="Z4880">
        <v>3.7472239999999997E-2</v>
      </c>
      <c r="AA4880">
        <v>0.97951369999999904</v>
      </c>
      <c r="AB4880">
        <v>12</v>
      </c>
      <c r="AC4880">
        <v>14.2259999999999</v>
      </c>
      <c r="AD4880">
        <v>-1.1051910265279901</v>
      </c>
      <c r="AE4880">
        <v>-3.1232499999999899</v>
      </c>
      <c r="AF4880">
        <v>-2.9018615570978299</v>
      </c>
      <c r="AG4880">
        <v>-1.1051910265279901</v>
      </c>
      <c r="AH4880">
        <v>14.1877062904056</v>
      </c>
      <c r="AI4880">
        <v>94.364228578895705</v>
      </c>
      <c r="AJ4880">
        <v>101.559474643185</v>
      </c>
      <c r="AK4880">
        <v>14.5235414925043</v>
      </c>
    </row>
    <row r="4881" spans="1:37" x14ac:dyDescent="0.2">
      <c r="A4881" t="str">
        <f>"20200111155952679"</f>
        <v>20200111155952679</v>
      </c>
      <c r="B4881" t="str">
        <f>"1578729592675708"</f>
        <v>1578729592675708</v>
      </c>
      <c r="C4881" t="s">
        <v>37</v>
      </c>
      <c r="D4881">
        <v>3.797965</v>
      </c>
      <c r="E4881">
        <v>0.415881</v>
      </c>
      <c r="F4881" t="s">
        <v>78</v>
      </c>
      <c r="G4881">
        <v>-384.59370000000001</v>
      </c>
      <c r="H4881" s="1">
        <v>-2.56495799999999E-6</v>
      </c>
      <c r="I4881">
        <v>19.566089999999999</v>
      </c>
      <c r="J4881">
        <v>-407.85129999999998</v>
      </c>
      <c r="K4881">
        <v>1.105221</v>
      </c>
      <c r="L4881">
        <v>22.989350000000002</v>
      </c>
      <c r="M4881">
        <v>0.91482379999999996</v>
      </c>
      <c r="N4881">
        <v>0</v>
      </c>
      <c r="O4881">
        <v>-0.40376599999999901</v>
      </c>
      <c r="P4881">
        <v>0.94020479999999995</v>
      </c>
      <c r="Q4881">
        <v>6.33875699999999E-3</v>
      </c>
      <c r="R4881">
        <v>-0.34055059999999998</v>
      </c>
      <c r="S4881">
        <v>3.0301209999999998</v>
      </c>
      <c r="T4881">
        <v>-0.14341570000000001</v>
      </c>
      <c r="U4881">
        <v>-0.44921879999999997</v>
      </c>
      <c r="V4881">
        <v>-6.8126599999999995E-2</v>
      </c>
      <c r="W4881">
        <v>1.4497080000000001E-2</v>
      </c>
      <c r="X4881">
        <v>0.99757129999999905</v>
      </c>
      <c r="Y4881">
        <v>-0.26455089999999998</v>
      </c>
      <c r="Z4881">
        <v>2.4658340000000001E-2</v>
      </c>
      <c r="AA4881">
        <v>0.96405640000000004</v>
      </c>
      <c r="AB4881">
        <v>12</v>
      </c>
      <c r="AC4881">
        <v>23.257599999999901</v>
      </c>
      <c r="AD4881">
        <v>-1.105223564958</v>
      </c>
      <c r="AE4881">
        <v>-3.42326</v>
      </c>
      <c r="AF4881">
        <v>-6.2453643513550299</v>
      </c>
      <c r="AG4881">
        <v>-1.105223564958</v>
      </c>
      <c r="AH4881">
        <v>22.6096246943262</v>
      </c>
      <c r="AI4881">
        <v>92.697686651406102</v>
      </c>
      <c r="AJ4881">
        <v>105.44153229548201</v>
      </c>
      <c r="AK4881">
        <v>23.482359843678399</v>
      </c>
    </row>
    <row r="4882" spans="1:37" x14ac:dyDescent="0.2">
      <c r="A4882" t="str">
        <f>"20200111155952693"</f>
        <v>20200111155952693</v>
      </c>
      <c r="B4882" t="str">
        <f>"1578729592685468"</f>
        <v>1578729592685468</v>
      </c>
      <c r="C4882" t="s">
        <v>37</v>
      </c>
      <c r="D4882">
        <v>3.8507189999999998</v>
      </c>
      <c r="E4882">
        <v>0.31825759999999997</v>
      </c>
      <c r="F4882" t="s">
        <v>76</v>
      </c>
      <c r="G4882">
        <v>-372.98360000000002</v>
      </c>
      <c r="H4882" s="1">
        <v>-3.4698359999999999E-6</v>
      </c>
      <c r="I4882">
        <v>18.642869999999998</v>
      </c>
      <c r="J4882">
        <v>-407.7808</v>
      </c>
      <c r="K4882">
        <v>1.10524</v>
      </c>
      <c r="L4882">
        <v>22.960450000000002</v>
      </c>
      <c r="M4882">
        <v>0.91553090000000004</v>
      </c>
      <c r="N4882">
        <v>0</v>
      </c>
      <c r="O4882">
        <v>-0.40216370000000001</v>
      </c>
      <c r="P4882">
        <v>0.94087330000000002</v>
      </c>
      <c r="Q4882">
        <v>7.5679090000000003E-3</v>
      </c>
      <c r="R4882">
        <v>-0.33867409999999998</v>
      </c>
      <c r="S4882">
        <v>3.0535580000000002</v>
      </c>
      <c r="T4882">
        <v>-9.6790669999999995E-2</v>
      </c>
      <c r="U4882">
        <v>-0.38064579999999998</v>
      </c>
      <c r="V4882">
        <v>-6.8370009999999995E-2</v>
      </c>
      <c r="W4882">
        <v>1.5558870000000001E-2</v>
      </c>
      <c r="X4882">
        <v>0.997538699999999</v>
      </c>
      <c r="Y4882">
        <v>-0.28550720000000002</v>
      </c>
      <c r="Z4882">
        <v>1.684424E-2</v>
      </c>
      <c r="AA4882">
        <v>0.95822850000000004</v>
      </c>
      <c r="AB4882">
        <v>12</v>
      </c>
      <c r="AC4882">
        <v>34.797199999999897</v>
      </c>
      <c r="AD4882">
        <v>-1.1052434698360001</v>
      </c>
      <c r="AE4882">
        <v>-4.3175800000000004</v>
      </c>
      <c r="AF4882">
        <v>-10.0316648423687</v>
      </c>
      <c r="AG4882">
        <v>-1.1052434698360001</v>
      </c>
      <c r="AH4882">
        <v>33.562074360595403</v>
      </c>
      <c r="AI4882">
        <v>91.807198724829803</v>
      </c>
      <c r="AJ4882">
        <v>106.64134390675</v>
      </c>
      <c r="AK4882">
        <v>35.046664577722197</v>
      </c>
    </row>
    <row r="4883" spans="1:37" x14ac:dyDescent="0.2">
      <c r="A4883" t="str">
        <f>"20200111155952705"</f>
        <v>20200111155952705</v>
      </c>
      <c r="B4883" t="str">
        <f>"1578729592695229"</f>
        <v>1578729592695229</v>
      </c>
      <c r="C4883" t="s">
        <v>37</v>
      </c>
      <c r="D4883">
        <v>5.0102320000000002</v>
      </c>
      <c r="E4883">
        <v>0.33898040000000002</v>
      </c>
      <c r="F4883" t="s">
        <v>79</v>
      </c>
      <c r="G4883">
        <v>-272.46159999999998</v>
      </c>
      <c r="H4883">
        <v>14.76986</v>
      </c>
      <c r="I4883">
        <v>36.472760000000001</v>
      </c>
      <c r="J4883">
        <v>-407.71609999999998</v>
      </c>
      <c r="K4883">
        <v>1.105259</v>
      </c>
      <c r="L4883">
        <v>22.934049999999999</v>
      </c>
      <c r="M4883">
        <v>0.91619219999999901</v>
      </c>
      <c r="N4883">
        <v>0</v>
      </c>
      <c r="O4883">
        <v>-0.40065770000000001</v>
      </c>
      <c r="P4883">
        <v>0.94144300000000003</v>
      </c>
      <c r="Q4883">
        <v>9.2330260000000001E-3</v>
      </c>
      <c r="R4883">
        <v>-0.33704590000000001</v>
      </c>
      <c r="S4883">
        <v>3.3046570000000002</v>
      </c>
      <c r="T4883">
        <v>0.33370630000000001</v>
      </c>
      <c r="U4883">
        <v>0.32998660000000002</v>
      </c>
      <c r="V4883">
        <v>-6.8454409999999993E-2</v>
      </c>
      <c r="W4883">
        <v>1.7080729999999999E-2</v>
      </c>
      <c r="X4883">
        <v>0.99750799999999995</v>
      </c>
      <c r="Y4883">
        <v>-0.48530609999999902</v>
      </c>
      <c r="Z4883">
        <v>-6.395874E-2</v>
      </c>
      <c r="AA4883">
        <v>0.8720019</v>
      </c>
      <c r="AB4883">
        <v>12</v>
      </c>
      <c r="AC4883">
        <v>135.25450000000001</v>
      </c>
      <c r="AD4883">
        <v>13.664600999999999</v>
      </c>
      <c r="AE4883">
        <v>13.53871</v>
      </c>
      <c r="AF4883">
        <v>-65.930723190308996</v>
      </c>
      <c r="AG4883">
        <v>13.664600999999999</v>
      </c>
      <c r="AH4883">
        <v>117.313081067478</v>
      </c>
      <c r="AI4883">
        <v>84.201926666930504</v>
      </c>
      <c r="AJ4883">
        <v>119.33627310270199</v>
      </c>
      <c r="AK4883">
        <v>135.262487669091</v>
      </c>
    </row>
    <row r="4884" spans="1:37" x14ac:dyDescent="0.2">
      <c r="A4884" t="str">
        <f>"20200111155952723"</f>
        <v>20200111155952723</v>
      </c>
      <c r="B4884" t="str">
        <f>"1578729592715723"</f>
        <v>1578729592715723</v>
      </c>
      <c r="C4884" t="s">
        <v>37</v>
      </c>
      <c r="D4884">
        <v>3.9204159999999999</v>
      </c>
      <c r="E4884">
        <v>0.34580929999999999</v>
      </c>
      <c r="F4884" t="s">
        <v>81</v>
      </c>
      <c r="G4884">
        <v>-168.5052</v>
      </c>
      <c r="H4884">
        <v>15.459809999999999</v>
      </c>
      <c r="I4884">
        <v>36.898479999999999</v>
      </c>
      <c r="J4884">
        <v>-407.6284</v>
      </c>
      <c r="K4884">
        <v>1.105299</v>
      </c>
      <c r="L4884">
        <v>22.898589999999999</v>
      </c>
      <c r="M4884">
        <v>0.91711779999999998</v>
      </c>
      <c r="N4884">
        <v>0</v>
      </c>
      <c r="O4884">
        <v>-0.39853749999999999</v>
      </c>
      <c r="P4884">
        <v>0.94216409999999995</v>
      </c>
      <c r="Q4884">
        <v>1.2185339999999999E-2</v>
      </c>
      <c r="R4884">
        <v>-0.33493010000000001</v>
      </c>
      <c r="S4884">
        <v>3.2526549999999999</v>
      </c>
      <c r="T4884">
        <v>0.1951851</v>
      </c>
      <c r="U4884">
        <v>0.18988039999999901</v>
      </c>
      <c r="V4884">
        <v>-6.8383340000000001E-2</v>
      </c>
      <c r="W4884">
        <v>1.9864030000000001E-2</v>
      </c>
      <c r="X4884">
        <v>0.9974613</v>
      </c>
      <c r="Y4884">
        <v>-0.44982299999999997</v>
      </c>
      <c r="Z4884">
        <v>-3.6900559999999999E-2</v>
      </c>
      <c r="AA4884">
        <v>0.89235509999999996</v>
      </c>
      <c r="AB4884">
        <v>12</v>
      </c>
      <c r="AC4884">
        <v>239.1232</v>
      </c>
      <c r="AD4884">
        <v>14.354511</v>
      </c>
      <c r="AE4884">
        <v>13.999890000000001</v>
      </c>
      <c r="AF4884">
        <v>-107.75552797114</v>
      </c>
      <c r="AG4884">
        <v>14.354511</v>
      </c>
      <c r="AH4884">
        <v>212.96655440785301</v>
      </c>
      <c r="AI4884">
        <v>86.558241969161699</v>
      </c>
      <c r="AJ4884">
        <v>116.838221869089</v>
      </c>
      <c r="AK4884">
        <v>239.10679432157801</v>
      </c>
    </row>
    <row r="4885" spans="1:37" x14ac:dyDescent="0.2">
      <c r="A4885" t="str">
        <f>"20200111155952736"</f>
        <v>20200111155952736</v>
      </c>
      <c r="B4885" t="str">
        <f>"1578729592725484"</f>
        <v>1578729592725484</v>
      </c>
      <c r="C4885" t="s">
        <v>37</v>
      </c>
      <c r="D4885">
        <v>5.0531879999999996</v>
      </c>
      <c r="E4885">
        <v>0.35191939999999999</v>
      </c>
      <c r="F4885" t="s">
        <v>68</v>
      </c>
      <c r="G4885">
        <v>-274.49669999999998</v>
      </c>
      <c r="H4885">
        <v>7.0796140000000003</v>
      </c>
      <c r="I4885">
        <v>29.06532</v>
      </c>
      <c r="J4885">
        <v>-407.5659</v>
      </c>
      <c r="K4885">
        <v>1.105326</v>
      </c>
      <c r="L4885">
        <v>22.8736</v>
      </c>
      <c r="M4885">
        <v>0.91779509999999898</v>
      </c>
      <c r="N4885">
        <v>0</v>
      </c>
      <c r="O4885">
        <v>-0.3969781</v>
      </c>
      <c r="P4885">
        <v>0.94271019999999905</v>
      </c>
      <c r="Q4885">
        <v>1.4155040000000001E-2</v>
      </c>
      <c r="R4885">
        <v>-0.33331329999999998</v>
      </c>
      <c r="S4885">
        <v>3.235535</v>
      </c>
      <c r="T4885">
        <v>0.14519550000000001</v>
      </c>
      <c r="U4885">
        <v>0.149871799999999</v>
      </c>
      <c r="V4885">
        <v>-6.8394940000000001E-2</v>
      </c>
      <c r="W4885">
        <v>2.172806E-2</v>
      </c>
      <c r="X4885">
        <v>0.99742169999999897</v>
      </c>
      <c r="Y4885">
        <v>-0.43820789999999998</v>
      </c>
      <c r="Z4885">
        <v>-2.7278210000000001E-2</v>
      </c>
      <c r="AA4885">
        <v>0.89845969999999997</v>
      </c>
      <c r="AB4885">
        <v>12</v>
      </c>
      <c r="AC4885">
        <v>133.0692</v>
      </c>
      <c r="AD4885">
        <v>5.9742879999999996</v>
      </c>
      <c r="AE4885">
        <v>6.1917200000000001</v>
      </c>
      <c r="AF4885">
        <v>-58.3926142958261</v>
      </c>
      <c r="AG4885">
        <v>5.9742879999999996</v>
      </c>
      <c r="AH4885">
        <v>119.435683670335</v>
      </c>
      <c r="AI4885">
        <v>87.426985975488293</v>
      </c>
      <c r="AJ4885">
        <v>116.054206018621</v>
      </c>
      <c r="AK4885">
        <v>133.07994610461901</v>
      </c>
    </row>
    <row r="4886" spans="1:37" x14ac:dyDescent="0.2">
      <c r="A4886" t="str">
        <f>"20200111155952750"</f>
        <v>20200111155952750</v>
      </c>
      <c r="B4886" t="str">
        <f>"1578729592745004"</f>
        <v>1578729592745004</v>
      </c>
      <c r="C4886" t="s">
        <v>37</v>
      </c>
      <c r="D4886">
        <v>5.6792309999999997</v>
      </c>
      <c r="E4886">
        <v>0.3523289</v>
      </c>
      <c r="F4886" t="s">
        <v>68</v>
      </c>
      <c r="G4886">
        <v>-274.49669999999998</v>
      </c>
      <c r="H4886">
        <v>5.50047</v>
      </c>
      <c r="I4886">
        <v>27.515319999999999</v>
      </c>
      <c r="J4886">
        <v>-407.4984</v>
      </c>
      <c r="K4886">
        <v>1.1053569999999999</v>
      </c>
      <c r="L4886">
        <v>22.84674</v>
      </c>
      <c r="M4886">
        <v>0.91853340000000006</v>
      </c>
      <c r="N4886">
        <v>0</v>
      </c>
      <c r="O4886">
        <v>-0.39526820000000001</v>
      </c>
      <c r="P4886">
        <v>0.94315959999999999</v>
      </c>
      <c r="Q4886">
        <v>1.654214E-2</v>
      </c>
      <c r="R4886">
        <v>-0.33192849999999902</v>
      </c>
      <c r="S4886">
        <v>3.2204280000000001</v>
      </c>
      <c r="T4886">
        <v>0.1063677</v>
      </c>
      <c r="U4886">
        <v>0.112335199999999</v>
      </c>
      <c r="V4886">
        <v>-6.7995230000000004E-2</v>
      </c>
      <c r="W4886">
        <v>2.4012470000000001E-2</v>
      </c>
      <c r="X4886">
        <v>0.99739659999999997</v>
      </c>
      <c r="Y4886">
        <v>-0.42662149999999999</v>
      </c>
      <c r="Z4886">
        <v>-1.9835100000000001E-2</v>
      </c>
      <c r="AA4886">
        <v>0.90421269999999998</v>
      </c>
      <c r="AB4886">
        <v>12</v>
      </c>
      <c r="AC4886">
        <v>133.0017</v>
      </c>
      <c r="AD4886">
        <v>4.3951129999999896</v>
      </c>
      <c r="AE4886">
        <v>4.6685800000000004</v>
      </c>
      <c r="AF4886">
        <v>-56.799330270586701</v>
      </c>
      <c r="AG4886">
        <v>4.3951129999999896</v>
      </c>
      <c r="AH4886">
        <v>120.193647917379</v>
      </c>
      <c r="AI4886">
        <v>88.106421345390103</v>
      </c>
      <c r="AJ4886">
        <v>115.293786254083</v>
      </c>
      <c r="AK4886">
        <v>133.01125492662999</v>
      </c>
    </row>
    <row r="4887" spans="1:37" x14ac:dyDescent="0.2">
      <c r="A4887" t="str">
        <f>"20200111155952763"</f>
        <v>20200111155952763</v>
      </c>
      <c r="B4887" t="str">
        <f>"1578729592755274"</f>
        <v>1578729592755274</v>
      </c>
      <c r="C4887" t="s">
        <v>37</v>
      </c>
      <c r="D4887">
        <v>4.1346030000000003</v>
      </c>
      <c r="E4887">
        <v>0.35077219999999998</v>
      </c>
      <c r="F4887" t="s">
        <v>68</v>
      </c>
      <c r="G4887">
        <v>-274.49669999999998</v>
      </c>
      <c r="H4887">
        <v>5.5236929999999997</v>
      </c>
      <c r="I4887">
        <v>27.574870000000001</v>
      </c>
      <c r="J4887">
        <v>-407.42790000000002</v>
      </c>
      <c r="K4887">
        <v>1.105394</v>
      </c>
      <c r="L4887">
        <v>22.818850000000001</v>
      </c>
      <c r="M4887">
        <v>0.91932000000000003</v>
      </c>
      <c r="N4887">
        <v>0</v>
      </c>
      <c r="O4887">
        <v>-0.39343689999999998</v>
      </c>
      <c r="P4887">
        <v>0.94364699999999901</v>
      </c>
      <c r="Q4887">
        <v>1.885336E-2</v>
      </c>
      <c r="R4887">
        <v>-0.33041589999999998</v>
      </c>
      <c r="S4887">
        <v>3.2192080000000001</v>
      </c>
      <c r="T4887">
        <v>0.106942699999999</v>
      </c>
      <c r="U4887">
        <v>0.114440899999999</v>
      </c>
      <c r="V4887">
        <v>-6.7598110000000003E-2</v>
      </c>
      <c r="W4887">
        <v>2.6231910000000001E-2</v>
      </c>
      <c r="X4887">
        <v>0.99736769999999997</v>
      </c>
      <c r="Y4887">
        <v>-0.42541800000000002</v>
      </c>
      <c r="Z4887">
        <v>-1.9873100000000001E-2</v>
      </c>
      <c r="AA4887">
        <v>0.90477870000000005</v>
      </c>
      <c r="AB4887">
        <v>12</v>
      </c>
      <c r="AC4887">
        <v>132.93119999999999</v>
      </c>
      <c r="AD4887">
        <v>4.4182989999999904</v>
      </c>
      <c r="AE4887">
        <v>4.7560199999999897</v>
      </c>
      <c r="AF4887">
        <v>-56.611530646363001</v>
      </c>
      <c r="AG4887">
        <v>4.4182989999999904</v>
      </c>
      <c r="AH4887">
        <v>120.205990056076</v>
      </c>
      <c r="AI4887">
        <v>88.095451979829505</v>
      </c>
      <c r="AJ4887">
        <v>115.218293611825</v>
      </c>
      <c r="AK4887">
        <v>132.943096148461</v>
      </c>
    </row>
    <row r="4888" spans="1:37" x14ac:dyDescent="0.2">
      <c r="A4888" t="str">
        <f>"20200111155952778"</f>
        <v>20200111155952778</v>
      </c>
      <c r="B4888" t="str">
        <f>"1578729592775771"</f>
        <v>1578729592775771</v>
      </c>
      <c r="C4888" t="s">
        <v>37</v>
      </c>
      <c r="D4888">
        <v>5.1711419999999997</v>
      </c>
      <c r="E4888">
        <v>0.35333300000000001</v>
      </c>
      <c r="F4888" t="s">
        <v>68</v>
      </c>
      <c r="G4888">
        <v>-274.49669999999998</v>
      </c>
      <c r="H4888">
        <v>6.0700580000000004</v>
      </c>
      <c r="I4888">
        <v>28.22174</v>
      </c>
      <c r="J4888">
        <v>-407.35340000000002</v>
      </c>
      <c r="K4888">
        <v>1.105448</v>
      </c>
      <c r="L4888">
        <v>22.789639999999999</v>
      </c>
      <c r="M4888">
        <v>0.92017169999999904</v>
      </c>
      <c r="N4888">
        <v>0</v>
      </c>
      <c r="O4888">
        <v>-0.39144259999999997</v>
      </c>
      <c r="P4888">
        <v>0.94389100000000004</v>
      </c>
      <c r="Q4888">
        <v>2.316524E-2</v>
      </c>
      <c r="R4888">
        <v>-0.32944429999999902</v>
      </c>
      <c r="S4888">
        <v>3.222626</v>
      </c>
      <c r="T4888">
        <v>0.12035750000000001</v>
      </c>
      <c r="U4888">
        <v>0.1309814</v>
      </c>
      <c r="V4888">
        <v>-6.6440600000000002E-2</v>
      </c>
      <c r="W4888">
        <v>3.0472630000000001E-2</v>
      </c>
      <c r="X4888">
        <v>0.99732489999999996</v>
      </c>
      <c r="Y4888">
        <v>-0.42793940000000003</v>
      </c>
      <c r="Z4888">
        <v>-2.231938E-2</v>
      </c>
      <c r="AA4888">
        <v>0.9035318</v>
      </c>
      <c r="AB4888">
        <v>12</v>
      </c>
      <c r="AC4888">
        <v>132.85669999999999</v>
      </c>
      <c r="AD4888">
        <v>4.9646100000000004</v>
      </c>
      <c r="AE4888">
        <v>5.4321000000000002</v>
      </c>
      <c r="AF4888">
        <v>-56.926495553849897</v>
      </c>
      <c r="AG4888">
        <v>4.9646100000000004</v>
      </c>
      <c r="AH4888">
        <v>119.96079664589</v>
      </c>
      <c r="AI4888">
        <v>87.858764894674195</v>
      </c>
      <c r="AJ4888">
        <v>115.386326701958</v>
      </c>
      <c r="AK4888">
        <v>132.87537763036099</v>
      </c>
    </row>
    <row r="4889" spans="1:37" x14ac:dyDescent="0.2">
      <c r="A4889" t="str">
        <f>"20200111155952790"</f>
        <v>20200111155952790</v>
      </c>
      <c r="B4889" t="str">
        <f>"1578729592785531"</f>
        <v>1578729592785531</v>
      </c>
      <c r="C4889" t="s">
        <v>37</v>
      </c>
      <c r="D4889">
        <v>5.229457</v>
      </c>
      <c r="E4889">
        <v>0.35658529999999999</v>
      </c>
      <c r="F4889" t="s">
        <v>68</v>
      </c>
      <c r="G4889">
        <v>-274.49669999999998</v>
      </c>
      <c r="H4889">
        <v>5.6610620000000003</v>
      </c>
      <c r="I4889">
        <v>27.598859999999998</v>
      </c>
      <c r="J4889">
        <v>-407.29160000000002</v>
      </c>
      <c r="K4889">
        <v>1.1054870000000001</v>
      </c>
      <c r="L4889">
        <v>22.765629999999899</v>
      </c>
      <c r="M4889">
        <v>0.92088530000000002</v>
      </c>
      <c r="N4889">
        <v>0</v>
      </c>
      <c r="O4889">
        <v>-0.38976169999999999</v>
      </c>
      <c r="P4889">
        <v>0.94409699999999996</v>
      </c>
      <c r="Q4889">
        <v>2.533326E-2</v>
      </c>
      <c r="R4889">
        <v>-0.32869359999999997</v>
      </c>
      <c r="S4889">
        <v>3.216278</v>
      </c>
      <c r="T4889">
        <v>0.1102853</v>
      </c>
      <c r="U4889">
        <v>0.1164246</v>
      </c>
      <c r="V4889">
        <v>-6.5399940000000004E-2</v>
      </c>
      <c r="W4889">
        <v>3.2593030000000002E-2</v>
      </c>
      <c r="X4889">
        <v>0.99732670000000001</v>
      </c>
      <c r="Y4889">
        <v>-0.42236239999999903</v>
      </c>
      <c r="Z4889">
        <v>-2.0342289999999999E-2</v>
      </c>
      <c r="AA4889">
        <v>0.90619869999999902</v>
      </c>
      <c r="AB4889">
        <v>12</v>
      </c>
      <c r="AC4889">
        <v>132.79490000000001</v>
      </c>
      <c r="AD4889">
        <v>4.5555750000000002</v>
      </c>
      <c r="AE4889">
        <v>4.8332300000000004</v>
      </c>
      <c r="AF4889">
        <v>-56.144805664826897</v>
      </c>
      <c r="AG4889">
        <v>4.5555750000000002</v>
      </c>
      <c r="AH4889">
        <v>120.267089876508</v>
      </c>
      <c r="AI4889">
        <v>88.034212145821698</v>
      </c>
      <c r="AJ4889">
        <v>115.024781181865</v>
      </c>
      <c r="AK4889">
        <v>132.80499001952401</v>
      </c>
    </row>
    <row r="4890" spans="1:37" x14ac:dyDescent="0.2">
      <c r="A4890" t="str">
        <f>"20200111155952802"</f>
        <v>20200111155952802</v>
      </c>
      <c r="B4890" t="str">
        <f>"1578729592795290"</f>
        <v>1578729592795290</v>
      </c>
      <c r="C4890" t="s">
        <v>37</v>
      </c>
      <c r="D4890">
        <v>5.1532749999999998</v>
      </c>
      <c r="E4890">
        <v>0.35888779999999998</v>
      </c>
      <c r="F4890" t="s">
        <v>68</v>
      </c>
      <c r="G4890">
        <v>-273.40989999999999</v>
      </c>
      <c r="H4890">
        <v>4.966888</v>
      </c>
      <c r="I4890">
        <v>26.766690000000001</v>
      </c>
      <c r="J4890">
        <v>-407.22820000000002</v>
      </c>
      <c r="K4890">
        <v>1.1055269999999999</v>
      </c>
      <c r="L4890">
        <v>22.74118</v>
      </c>
      <c r="M4890">
        <v>0.92162840000000001</v>
      </c>
      <c r="N4890">
        <v>0</v>
      </c>
      <c r="O4890">
        <v>-0.38800180000000001</v>
      </c>
      <c r="P4890">
        <v>0.94452069999999999</v>
      </c>
      <c r="Q4890">
        <v>2.6742950000000001E-2</v>
      </c>
      <c r="R4890">
        <v>-0.32736159999999997</v>
      </c>
      <c r="S4890">
        <v>3.2084959999999998</v>
      </c>
      <c r="T4890">
        <v>9.2539189999999993E-2</v>
      </c>
      <c r="U4890">
        <v>9.5886230000000003E-2</v>
      </c>
      <c r="V4890">
        <v>-6.4893339999999994E-2</v>
      </c>
      <c r="W4890">
        <v>3.3964599999999998E-2</v>
      </c>
      <c r="X4890">
        <v>0.99731399999999903</v>
      </c>
      <c r="Y4890">
        <v>-0.41504279999999999</v>
      </c>
      <c r="Z4890">
        <v>-1.6957099999999999E-2</v>
      </c>
      <c r="AA4890">
        <v>0.9096438</v>
      </c>
      <c r="AB4890">
        <v>12</v>
      </c>
      <c r="AC4890">
        <v>133.81829999999999</v>
      </c>
      <c r="AD4890">
        <v>3.861361</v>
      </c>
      <c r="AE4890">
        <v>4.0255099999999997</v>
      </c>
      <c r="AF4890">
        <v>-55.587073518527902</v>
      </c>
      <c r="AG4890">
        <v>3.861361</v>
      </c>
      <c r="AH4890">
        <v>121.671016904059</v>
      </c>
      <c r="AI4890">
        <v>88.346547731332507</v>
      </c>
      <c r="AJ4890">
        <v>114.55394114537501</v>
      </c>
      <c r="AK4890">
        <v>133.82327602324801</v>
      </c>
    </row>
    <row r="4891" spans="1:37" x14ac:dyDescent="0.2">
      <c r="A4891" t="str">
        <f>"20200111155952823"</f>
        <v>20200111155952823</v>
      </c>
      <c r="B4891" t="str">
        <f>"1578729592814810"</f>
        <v>1578729592814810</v>
      </c>
      <c r="C4891" t="s">
        <v>37</v>
      </c>
      <c r="D4891">
        <v>5.1660810000000001</v>
      </c>
      <c r="E4891">
        <v>0.363316799999999</v>
      </c>
      <c r="F4891" t="s">
        <v>82</v>
      </c>
      <c r="G4891">
        <v>-276.59010000000001</v>
      </c>
      <c r="H4891">
        <v>4.2264939999999998</v>
      </c>
      <c r="I4891">
        <v>26.17624</v>
      </c>
      <c r="J4891">
        <v>-407.11799999999999</v>
      </c>
      <c r="K4891">
        <v>1.1055979999999901</v>
      </c>
      <c r="L4891">
        <v>22.699069999999999</v>
      </c>
      <c r="M4891">
        <v>0.92294659999999995</v>
      </c>
      <c r="N4891">
        <v>0</v>
      </c>
      <c r="O4891">
        <v>-0.38485639999999999</v>
      </c>
      <c r="P4891">
        <v>0.9449516</v>
      </c>
      <c r="Q4891">
        <v>2.816863E-2</v>
      </c>
      <c r="R4891">
        <v>-0.3259958</v>
      </c>
      <c r="S4891">
        <v>3.203217</v>
      </c>
      <c r="T4891">
        <v>7.6525330000000003E-2</v>
      </c>
      <c r="U4891">
        <v>8.4228520000000001E-2</v>
      </c>
      <c r="V4891">
        <v>-6.2926620000000003E-2</v>
      </c>
      <c r="W4891">
        <v>3.535804E-2</v>
      </c>
      <c r="X4891">
        <v>0.99739159999999905</v>
      </c>
      <c r="Y4891">
        <v>-0.40877279999999999</v>
      </c>
      <c r="Z4891">
        <v>-1.390043E-2</v>
      </c>
      <c r="AA4891">
        <v>0.91253030000000002</v>
      </c>
      <c r="AB4891">
        <v>12</v>
      </c>
      <c r="AC4891">
        <v>130.52789999999999</v>
      </c>
      <c r="AD4891">
        <v>3.1208960000000001</v>
      </c>
      <c r="AE4891">
        <v>3.4771699999999899</v>
      </c>
      <c r="AF4891">
        <v>-53.414698642260497</v>
      </c>
      <c r="AG4891">
        <v>3.1208960000000001</v>
      </c>
      <c r="AH4891">
        <v>119.067334121375</v>
      </c>
      <c r="AI4891">
        <v>88.630033998067802</v>
      </c>
      <c r="AJ4891">
        <v>114.16144194155</v>
      </c>
      <c r="AK4891">
        <v>130.536968241404</v>
      </c>
    </row>
    <row r="4892" spans="1:37" x14ac:dyDescent="0.2">
      <c r="A4892" t="str">
        <f>"20200111155952846"</f>
        <v>20200111155952846</v>
      </c>
      <c r="B4892" t="str">
        <f>"1578729592835306"</f>
        <v>1578729592835306</v>
      </c>
      <c r="C4892" t="s">
        <v>37</v>
      </c>
      <c r="D4892">
        <v>5.1432159999999998</v>
      </c>
      <c r="E4892">
        <v>0.36613370000000001</v>
      </c>
      <c r="F4892" t="s">
        <v>82</v>
      </c>
      <c r="G4892">
        <v>-276.74029999999999</v>
      </c>
      <c r="H4892">
        <v>3.16510299999999</v>
      </c>
      <c r="I4892">
        <v>25.034229999999901</v>
      </c>
      <c r="J4892">
        <v>-407.0027</v>
      </c>
      <c r="K4892">
        <v>1.1056509999999999</v>
      </c>
      <c r="L4892">
        <v>22.6557</v>
      </c>
      <c r="M4892">
        <v>0.92435879999999904</v>
      </c>
      <c r="N4892">
        <v>0</v>
      </c>
      <c r="O4892">
        <v>-0.38145209999999902</v>
      </c>
      <c r="P4892">
        <v>0.94577979999999995</v>
      </c>
      <c r="Q4892">
        <v>2.757254E-2</v>
      </c>
      <c r="R4892">
        <v>-0.3236368</v>
      </c>
      <c r="S4892">
        <v>3.1929630000000002</v>
      </c>
      <c r="T4892">
        <v>5.0437450000000002E-2</v>
      </c>
      <c r="U4892">
        <v>5.7189940000000002E-2</v>
      </c>
      <c r="V4892">
        <v>-6.1747929999999999E-2</v>
      </c>
      <c r="W4892">
        <v>3.4754260000000002E-2</v>
      </c>
      <c r="X4892">
        <v>0.99748649999999905</v>
      </c>
      <c r="Y4892">
        <v>-0.397860099999999</v>
      </c>
      <c r="Z4892">
        <v>-9.0536009999999997E-3</v>
      </c>
      <c r="AA4892">
        <v>0.91740140000000003</v>
      </c>
      <c r="AB4892">
        <v>12</v>
      </c>
      <c r="AC4892">
        <v>130.26240000000001</v>
      </c>
      <c r="AD4892">
        <v>2.0594519999999998</v>
      </c>
      <c r="AE4892">
        <v>2.3785299999999898</v>
      </c>
      <c r="AF4892">
        <v>-51.8759484060703</v>
      </c>
      <c r="AG4892">
        <v>2.0594519999999998</v>
      </c>
      <c r="AH4892">
        <v>119.47533941760101</v>
      </c>
      <c r="AI4892">
        <v>89.094152349631599</v>
      </c>
      <c r="AJ4892">
        <v>113.47038723557201</v>
      </c>
      <c r="AK4892">
        <v>130.26784750858701</v>
      </c>
    </row>
    <row r="4893" spans="1:37" x14ac:dyDescent="0.2">
      <c r="A4893" t="str">
        <f>"20200111155952859"</f>
        <v>20200111155952859</v>
      </c>
      <c r="B4893" t="str">
        <f>"1578729592855802"</f>
        <v>1578729592855802</v>
      </c>
      <c r="C4893" t="s">
        <v>37</v>
      </c>
      <c r="D4893">
        <v>5.1277799999999996</v>
      </c>
      <c r="E4893">
        <v>0.36819790000000002</v>
      </c>
      <c r="F4893" t="s">
        <v>82</v>
      </c>
      <c r="G4893">
        <v>-276.71420000000001</v>
      </c>
      <c r="H4893">
        <v>2.0258289999999999</v>
      </c>
      <c r="I4893">
        <v>24.508400000000002</v>
      </c>
      <c r="J4893">
        <v>-406.93049999999999</v>
      </c>
      <c r="K4893">
        <v>1.105685</v>
      </c>
      <c r="L4893">
        <v>22.628910000000001</v>
      </c>
      <c r="M4893">
        <v>0.92526459999999999</v>
      </c>
      <c r="N4893">
        <v>0</v>
      </c>
      <c r="O4893">
        <v>-0.37924959999999902</v>
      </c>
      <c r="P4893">
        <v>0.94657190000000002</v>
      </c>
      <c r="Q4893">
        <v>2.6739530000000001E-2</v>
      </c>
      <c r="R4893">
        <v>-0.32138309999999998</v>
      </c>
      <c r="S4893">
        <v>3.1868590000000001</v>
      </c>
      <c r="T4893">
        <v>2.2507550000000001E-2</v>
      </c>
      <c r="U4893">
        <v>4.5318600000000001E-2</v>
      </c>
      <c r="V4893">
        <v>-6.1757289999999999E-2</v>
      </c>
      <c r="W4893">
        <v>3.3927430000000001E-2</v>
      </c>
      <c r="X4893">
        <v>0.99751440000000002</v>
      </c>
      <c r="Y4893">
        <v>-0.39235949999999897</v>
      </c>
      <c r="Z4893">
        <v>-4.013689E-3</v>
      </c>
      <c r="AA4893">
        <v>0.91980319999999904</v>
      </c>
      <c r="AB4893">
        <v>13</v>
      </c>
      <c r="AC4893">
        <v>130.21629999999999</v>
      </c>
      <c r="AD4893">
        <v>0.92014399999999996</v>
      </c>
      <c r="AE4893">
        <v>1.8794900000000001</v>
      </c>
      <c r="AF4893">
        <v>-51.122363197288102</v>
      </c>
      <c r="AG4893">
        <v>0.92014399999999996</v>
      </c>
      <c r="AH4893">
        <v>119.76906130677401</v>
      </c>
      <c r="AI4893">
        <v>89.595161041079805</v>
      </c>
      <c r="AJ4893">
        <v>113.114783571335</v>
      </c>
      <c r="AK4893">
        <v>130.22661298736901</v>
      </c>
    </row>
    <row r="4894" spans="1:37" x14ac:dyDescent="0.2">
      <c r="A4894" t="str">
        <f>"20200111155952872"</f>
        <v>20200111155952872</v>
      </c>
      <c r="B4894" t="str">
        <f>"1578729592865562"</f>
        <v>1578729592865562</v>
      </c>
      <c r="C4894" t="s">
        <v>37</v>
      </c>
      <c r="D4894">
        <v>4.5272540000000001</v>
      </c>
      <c r="E4894">
        <v>0.36766890000000002</v>
      </c>
      <c r="F4894" t="s">
        <v>83</v>
      </c>
      <c r="G4894">
        <v>-279.68</v>
      </c>
      <c r="H4894">
        <v>1.1069309999999899</v>
      </c>
      <c r="I4894">
        <v>24.1616</v>
      </c>
      <c r="J4894">
        <v>-406.8664</v>
      </c>
      <c r="K4894">
        <v>1.105702</v>
      </c>
      <c r="L4894">
        <v>22.605319999999999</v>
      </c>
      <c r="M4894">
        <v>0.92607410000000001</v>
      </c>
      <c r="N4894">
        <v>0</v>
      </c>
      <c r="O4894">
        <v>-0.37726850000000001</v>
      </c>
      <c r="P4894">
        <v>0.94728590000000001</v>
      </c>
      <c r="Q4894">
        <v>2.5635160000000001E-2</v>
      </c>
      <c r="R4894">
        <v>-0.31936310000000001</v>
      </c>
      <c r="S4894">
        <v>3.182312</v>
      </c>
      <c r="T4894" s="1">
        <v>3.1232829999999999E-5</v>
      </c>
      <c r="U4894">
        <v>3.8330080000000002E-2</v>
      </c>
      <c r="V4894">
        <v>-6.1759550000000003E-2</v>
      </c>
      <c r="W4894">
        <v>3.2833220000000003E-2</v>
      </c>
      <c r="X4894">
        <v>0.99755079999999996</v>
      </c>
      <c r="Y4894">
        <v>-0.38840540000000001</v>
      </c>
      <c r="Z4894" s="1">
        <v>-5.5396789999999997E-6</v>
      </c>
      <c r="AA4894">
        <v>0.92148859999999999</v>
      </c>
      <c r="AB4894">
        <v>13</v>
      </c>
      <c r="AC4894">
        <v>127.18640000000001</v>
      </c>
      <c r="AD4894">
        <v>1.22899999999992E-3</v>
      </c>
      <c r="AE4894">
        <v>1.5562799999999899</v>
      </c>
      <c r="AF4894">
        <v>-49.426018114968599</v>
      </c>
      <c r="AG4894">
        <v>1.22899999999992E-3</v>
      </c>
      <c r="AH4894">
        <v>117.200132605199</v>
      </c>
      <c r="AI4894">
        <v>89.999446393308801</v>
      </c>
      <c r="AJ4894">
        <v>112.86628268678299</v>
      </c>
      <c r="AK4894">
        <v>127.19592112519901</v>
      </c>
    </row>
    <row r="4895" spans="1:37" x14ac:dyDescent="0.2">
      <c r="A4895" t="str">
        <f>"20200111155952884"</f>
        <v>20200111155952884</v>
      </c>
      <c r="B4895" t="str">
        <f>"1578729592875322"</f>
        <v>1578729592875322</v>
      </c>
      <c r="C4895" t="s">
        <v>37</v>
      </c>
      <c r="D4895">
        <v>4.5209109999999999</v>
      </c>
      <c r="E4895">
        <v>0.36710619999999999</v>
      </c>
      <c r="F4895" t="s">
        <v>83</v>
      </c>
      <c r="G4895">
        <v>-279.68</v>
      </c>
      <c r="H4895">
        <v>0.99261549999999998</v>
      </c>
      <c r="I4895">
        <v>24.559739999999898</v>
      </c>
      <c r="J4895">
        <v>-406.79750000000001</v>
      </c>
      <c r="K4895">
        <v>1.1057250000000001</v>
      </c>
      <c r="L4895">
        <v>22.580110000000001</v>
      </c>
      <c r="M4895">
        <v>0.92694940000000003</v>
      </c>
      <c r="N4895">
        <v>0</v>
      </c>
      <c r="O4895">
        <v>-0.3751119</v>
      </c>
      <c r="P4895">
        <v>0.94820110000000002</v>
      </c>
      <c r="Q4895">
        <v>2.406312E-2</v>
      </c>
      <c r="R4895">
        <v>-0.3167584</v>
      </c>
      <c r="S4895">
        <v>3.1835019999999998</v>
      </c>
      <c r="T4895">
        <v>-2.8305050000000001E-3</v>
      </c>
      <c r="U4895">
        <v>4.891968E-2</v>
      </c>
      <c r="V4895">
        <v>-6.2190269999999999E-2</v>
      </c>
      <c r="W4895">
        <v>3.1273809999999999E-2</v>
      </c>
      <c r="X4895">
        <v>0.99757419999999997</v>
      </c>
      <c r="Y4895">
        <v>-0.38932059999999902</v>
      </c>
      <c r="Z4895">
        <v>5.0049440000000001E-4</v>
      </c>
      <c r="AA4895">
        <v>0.92110219999999898</v>
      </c>
      <c r="AB4895">
        <v>13</v>
      </c>
      <c r="AC4895">
        <v>127.11750000000001</v>
      </c>
      <c r="AD4895">
        <v>-0.113109499999999</v>
      </c>
      <c r="AE4895">
        <v>1.97962999999999</v>
      </c>
      <c r="AF4895">
        <v>-49.519648000530402</v>
      </c>
      <c r="AG4895">
        <v>-0.113109499999999</v>
      </c>
      <c r="AH4895">
        <v>117.092086050265</v>
      </c>
      <c r="AI4895">
        <v>90.050975787504996</v>
      </c>
      <c r="AJ4895">
        <v>112.92408504545099</v>
      </c>
      <c r="AK4895">
        <v>127.13286336529301</v>
      </c>
    </row>
    <row r="4896" spans="1:37" x14ac:dyDescent="0.2">
      <c r="A4896" t="str">
        <f>"20200111155952901"</f>
        <v>20200111155952901</v>
      </c>
      <c r="B4896" t="str">
        <f>"1578729592895819"</f>
        <v>1578729592895819</v>
      </c>
      <c r="C4896" t="s">
        <v>37</v>
      </c>
      <c r="D4896">
        <v>4.4821249999999999</v>
      </c>
      <c r="E4896">
        <v>0.36604359999999903</v>
      </c>
      <c r="F4896" t="s">
        <v>83</v>
      </c>
      <c r="G4896">
        <v>-279.68</v>
      </c>
      <c r="H4896">
        <v>0.80526730000000002</v>
      </c>
      <c r="I4896">
        <v>25.04552</v>
      </c>
      <c r="J4896">
        <v>-406.71080000000001</v>
      </c>
      <c r="K4896">
        <v>1.1057429999999999</v>
      </c>
      <c r="L4896">
        <v>22.548770000000001</v>
      </c>
      <c r="M4896">
        <v>0.92806860000000002</v>
      </c>
      <c r="N4896">
        <v>0</v>
      </c>
      <c r="O4896">
        <v>-0.37233369999999999</v>
      </c>
      <c r="P4896">
        <v>0.94936419999999999</v>
      </c>
      <c r="Q4896">
        <v>2.1231860000000002E-2</v>
      </c>
      <c r="R4896">
        <v>-0.31346020000000002</v>
      </c>
      <c r="S4896">
        <v>3.18475299999999</v>
      </c>
      <c r="T4896">
        <v>-7.527471E-3</v>
      </c>
      <c r="U4896">
        <v>6.1767580000000002E-2</v>
      </c>
      <c r="V4896">
        <v>-6.2686420000000007E-2</v>
      </c>
      <c r="W4896">
        <v>2.8474119999999999E-2</v>
      </c>
      <c r="X4896">
        <v>0.99762700000000004</v>
      </c>
      <c r="Y4896">
        <v>-0.39026889999999997</v>
      </c>
      <c r="Z4896">
        <v>1.325548E-3</v>
      </c>
      <c r="AA4896">
        <v>0.92069999999999996</v>
      </c>
      <c r="AB4896">
        <v>13</v>
      </c>
      <c r="AC4896">
        <v>127.0308</v>
      </c>
      <c r="AD4896">
        <v>-0.30047569999999901</v>
      </c>
      <c r="AE4896">
        <v>2.4967499999999898</v>
      </c>
      <c r="AF4896">
        <v>-49.616122021414903</v>
      </c>
      <c r="AG4896">
        <v>-0.30047569999999901</v>
      </c>
      <c r="AH4896">
        <v>116.966310427322</v>
      </c>
      <c r="AI4896">
        <v>90.135500439837301</v>
      </c>
      <c r="AJ4896">
        <v>112.98624710585101</v>
      </c>
      <c r="AK4896">
        <v>127.054978749638</v>
      </c>
    </row>
    <row r="4897" spans="1:37" x14ac:dyDescent="0.2">
      <c r="A4897" t="str">
        <f>"20200111155952914"</f>
        <v>20200111155952914</v>
      </c>
      <c r="B4897" t="str">
        <f>"1578729592905579"</f>
        <v>1578729592905579</v>
      </c>
      <c r="C4897" t="s">
        <v>37</v>
      </c>
      <c r="D4897">
        <v>5.1805680000000001</v>
      </c>
      <c r="E4897">
        <v>0.36701879999999998</v>
      </c>
      <c r="F4897" t="s">
        <v>83</v>
      </c>
      <c r="G4897">
        <v>-279.68</v>
      </c>
      <c r="H4897">
        <v>0.476531499999999</v>
      </c>
      <c r="I4897">
        <v>25.769760000000002</v>
      </c>
      <c r="J4897">
        <v>-406.64150000000001</v>
      </c>
      <c r="K4897">
        <v>1.1057600000000001</v>
      </c>
      <c r="L4897">
        <v>22.52402</v>
      </c>
      <c r="M4897">
        <v>0.92896990000000002</v>
      </c>
      <c r="N4897">
        <v>0</v>
      </c>
      <c r="O4897">
        <v>-0.37007810000000002</v>
      </c>
      <c r="P4897">
        <v>0.95036209999999899</v>
      </c>
      <c r="Q4897">
        <v>1.9591150000000002E-2</v>
      </c>
      <c r="R4897">
        <v>-0.3105289</v>
      </c>
      <c r="S4897">
        <v>3.1870419999999999</v>
      </c>
      <c r="T4897">
        <v>-1.5786049999999999E-2</v>
      </c>
      <c r="U4897">
        <v>8.0810549999999995E-2</v>
      </c>
      <c r="V4897">
        <v>-6.334998E-2</v>
      </c>
      <c r="W4897">
        <v>2.686827E-2</v>
      </c>
      <c r="X4897">
        <v>0.99762960000000001</v>
      </c>
      <c r="Y4897">
        <v>-0.39350859999999999</v>
      </c>
      <c r="Z4897">
        <v>2.7756370000000001E-3</v>
      </c>
      <c r="AA4897">
        <v>0.91931679999999905</v>
      </c>
      <c r="AB4897">
        <v>13</v>
      </c>
      <c r="AC4897">
        <v>126.9615</v>
      </c>
      <c r="AD4897">
        <v>-0.62922849999999997</v>
      </c>
      <c r="AE4897">
        <v>3.2457400000000001</v>
      </c>
      <c r="AF4897">
        <v>-50.001066312776501</v>
      </c>
      <c r="AG4897">
        <v>-0.62922849999999997</v>
      </c>
      <c r="AH4897">
        <v>116.742703626939</v>
      </c>
      <c r="AI4897">
        <v>90.283873078599498</v>
      </c>
      <c r="AJ4897">
        <v>113.185519694589</v>
      </c>
      <c r="AK4897">
        <v>127.001422870168</v>
      </c>
    </row>
    <row r="4898" spans="1:37" x14ac:dyDescent="0.2">
      <c r="A4898" t="str">
        <f>"20200111155952927"</f>
        <v>20200111155952927</v>
      </c>
      <c r="B4898" t="str">
        <f>"1578729592915338"</f>
        <v>1578729592915338</v>
      </c>
      <c r="C4898" t="s">
        <v>37</v>
      </c>
      <c r="D4898">
        <v>5.3930809999999996</v>
      </c>
      <c r="E4898">
        <v>0.36701879999999998</v>
      </c>
      <c r="F4898" t="s">
        <v>83</v>
      </c>
      <c r="G4898">
        <v>-279.68</v>
      </c>
      <c r="H4898">
        <v>6.1610459999999999E-2</v>
      </c>
      <c r="I4898">
        <v>25.857679999999998</v>
      </c>
      <c r="J4898">
        <v>-406.5718</v>
      </c>
      <c r="K4898">
        <v>1.105777</v>
      </c>
      <c r="L4898">
        <v>22.499300000000002</v>
      </c>
      <c r="M4898">
        <v>0.92988079999999995</v>
      </c>
      <c r="N4898">
        <v>0</v>
      </c>
      <c r="O4898">
        <v>-0.36778240000000001</v>
      </c>
      <c r="P4898">
        <v>0.95144130000000005</v>
      </c>
      <c r="Q4898">
        <v>1.773226E-2</v>
      </c>
      <c r="R4898">
        <v>-0.30731920000000001</v>
      </c>
      <c r="S4898">
        <v>3.1845699999999999</v>
      </c>
      <c r="T4898">
        <v>-2.619028E-2</v>
      </c>
      <c r="U4898">
        <v>8.3618159999999997E-2</v>
      </c>
      <c r="V4898">
        <v>-6.4260629999999999E-2</v>
      </c>
      <c r="W4898">
        <v>2.505023E-2</v>
      </c>
      <c r="X4898">
        <v>0.99761869999999997</v>
      </c>
      <c r="Y4898">
        <v>-0.3920495</v>
      </c>
      <c r="Z4898">
        <v>4.58476299999999E-3</v>
      </c>
      <c r="AA4898">
        <v>0.91993269999999905</v>
      </c>
      <c r="AB4898">
        <v>13</v>
      </c>
      <c r="AC4898">
        <v>126.8918</v>
      </c>
      <c r="AD4898">
        <v>-1.04416654</v>
      </c>
      <c r="AE4898">
        <v>3.3583799999999902</v>
      </c>
      <c r="AF4898">
        <v>-49.789533920061601</v>
      </c>
      <c r="AG4898">
        <v>-1.04416654</v>
      </c>
      <c r="AH4898">
        <v>116.75456988600099</v>
      </c>
      <c r="AI4898">
        <v>90.471331410372997</v>
      </c>
      <c r="AJ4898">
        <v>113.095635970386</v>
      </c>
      <c r="AK4898">
        <v>126.93194066508801</v>
      </c>
    </row>
    <row r="4899" spans="1:37" x14ac:dyDescent="0.2">
      <c r="A4899" t="str">
        <f>"20200111155952944"</f>
        <v>20200111155952944</v>
      </c>
      <c r="B4899" t="str">
        <f>"1578729592935834"</f>
        <v>1578729592935834</v>
      </c>
      <c r="C4899" t="s">
        <v>37</v>
      </c>
      <c r="D4899">
        <v>5.230092</v>
      </c>
      <c r="E4899">
        <v>0.39498249999999901</v>
      </c>
      <c r="F4899" t="s">
        <v>41</v>
      </c>
      <c r="G4899">
        <v>-291.49160000000001</v>
      </c>
      <c r="H4899">
        <v>-0.05</v>
      </c>
      <c r="I4899">
        <v>25.910679999999999</v>
      </c>
      <c r="J4899">
        <v>-406.47699999999998</v>
      </c>
      <c r="K4899">
        <v>1.1058049999999999</v>
      </c>
      <c r="L4899">
        <v>22.466059999999999</v>
      </c>
      <c r="M4899">
        <v>0.93112929999999905</v>
      </c>
      <c r="N4899">
        <v>0</v>
      </c>
      <c r="O4899">
        <v>-0.3646084</v>
      </c>
      <c r="P4899">
        <v>0.95277339999999999</v>
      </c>
      <c r="Q4899">
        <v>1.6124159999999998E-2</v>
      </c>
      <c r="R4899">
        <v>-0.30325409999999903</v>
      </c>
      <c r="S4899">
        <v>3.1842039999999998</v>
      </c>
      <c r="T4899">
        <v>-3.1979680000000003E-2</v>
      </c>
      <c r="U4899">
        <v>9.4390870000000002E-2</v>
      </c>
      <c r="V4899">
        <v>-6.5122630000000001E-2</v>
      </c>
      <c r="W4899">
        <v>2.3516700000000001E-2</v>
      </c>
      <c r="X4899">
        <v>0.99760009999999999</v>
      </c>
      <c r="Y4899">
        <v>-0.39201209999999997</v>
      </c>
      <c r="Z4899">
        <v>5.5688019999999899E-3</v>
      </c>
      <c r="AA4899">
        <v>0.91994319999999896</v>
      </c>
      <c r="AB4899">
        <v>13</v>
      </c>
      <c r="AC4899">
        <v>114.985399999999</v>
      </c>
      <c r="AD4899">
        <v>-1.155805</v>
      </c>
      <c r="AE4899">
        <v>3.44462</v>
      </c>
      <c r="AF4899">
        <v>-45.128803831246003</v>
      </c>
      <c r="AG4899">
        <v>-1.155805</v>
      </c>
      <c r="AH4899">
        <v>105.802775573121</v>
      </c>
      <c r="AI4899">
        <v>90.575703590559002</v>
      </c>
      <c r="AJ4899">
        <v>113.100043841718</v>
      </c>
      <c r="AK4899">
        <v>115.031178988191</v>
      </c>
    </row>
    <row r="4900" spans="1:37" x14ac:dyDescent="0.2">
      <c r="A4900" t="str">
        <f>"20200111155952957"</f>
        <v>20200111155952957</v>
      </c>
      <c r="B4900" t="str">
        <f>"1578729592955354"</f>
        <v>1578729592955354</v>
      </c>
      <c r="C4900" t="s">
        <v>37</v>
      </c>
      <c r="D4900">
        <v>5.301844</v>
      </c>
      <c r="E4900">
        <v>0.39481539999999998</v>
      </c>
      <c r="F4900" t="s">
        <v>78</v>
      </c>
      <c r="G4900">
        <v>-386.89920000000001</v>
      </c>
      <c r="H4900" s="1">
        <v>-2.0628189999999999E-6</v>
      </c>
      <c r="I4900">
        <v>21.858629999999899</v>
      </c>
      <c r="J4900">
        <v>-406.40629999999999</v>
      </c>
      <c r="K4900">
        <v>1.1058059999999901</v>
      </c>
      <c r="L4900">
        <v>22.441649999999999</v>
      </c>
      <c r="M4900">
        <v>0.93206829999999996</v>
      </c>
      <c r="N4900">
        <v>0</v>
      </c>
      <c r="O4900">
        <v>-0.36219990000000002</v>
      </c>
      <c r="P4900">
        <v>0.95450069999999998</v>
      </c>
      <c r="Q4900">
        <v>1.195975E-2</v>
      </c>
      <c r="R4900">
        <v>-0.2979694</v>
      </c>
      <c r="S4900">
        <v>3.120911</v>
      </c>
      <c r="T4900">
        <v>-0.1762775</v>
      </c>
      <c r="U4900">
        <v>-9.6832280000000007E-2</v>
      </c>
      <c r="V4900">
        <v>-6.8077650000000003E-2</v>
      </c>
      <c r="W4900">
        <v>1.9406360000000001E-2</v>
      </c>
      <c r="X4900">
        <v>0.99749120000000002</v>
      </c>
      <c r="Y4900">
        <v>-0.33204829999999902</v>
      </c>
      <c r="Z4900">
        <v>2.9417240000000001E-2</v>
      </c>
      <c r="AA4900">
        <v>0.94280359999999996</v>
      </c>
      <c r="AB4900">
        <v>13</v>
      </c>
      <c r="AC4900">
        <v>19.507099999999902</v>
      </c>
      <c r="AD4900">
        <v>-1.1058080628189999</v>
      </c>
      <c r="AE4900">
        <v>-0.58302000000000098</v>
      </c>
      <c r="AF4900">
        <v>-6.5013772800130196</v>
      </c>
      <c r="AG4900">
        <v>-1.1058080628189999</v>
      </c>
      <c r="AH4900">
        <v>18.334804632479301</v>
      </c>
      <c r="AI4900">
        <v>93.253424893552705</v>
      </c>
      <c r="AJ4900">
        <v>109.52410550879</v>
      </c>
      <c r="AK4900">
        <v>19.484757604857499</v>
      </c>
    </row>
    <row r="4901" spans="1:37" x14ac:dyDescent="0.2">
      <c r="A4901" t="str">
        <f>"20200111155952979"</f>
        <v>20200111155952979</v>
      </c>
      <c r="B4901" t="str">
        <f>"1578729592975850"</f>
        <v>1578729592975850</v>
      </c>
      <c r="C4901" t="s">
        <v>37</v>
      </c>
      <c r="D4901">
        <v>5.2607229999999996</v>
      </c>
      <c r="E4901">
        <v>0.39464729999999998</v>
      </c>
      <c r="F4901" t="s">
        <v>78</v>
      </c>
      <c r="G4901">
        <v>-388.80790000000002</v>
      </c>
      <c r="H4901" s="1">
        <v>-1.1989610000000001E-6</v>
      </c>
      <c r="I4901">
        <v>22.002870000000001</v>
      </c>
      <c r="J4901">
        <v>-406.28769999999997</v>
      </c>
      <c r="K4901">
        <v>1.1058349999999999</v>
      </c>
      <c r="L4901">
        <v>22.40109</v>
      </c>
      <c r="M4901">
        <v>0.93364499999999995</v>
      </c>
      <c r="N4901">
        <v>0</v>
      </c>
      <c r="O4901">
        <v>-0.35811340000000003</v>
      </c>
      <c r="P4901">
        <v>0.95690489999999995</v>
      </c>
      <c r="Q4901">
        <v>8.3378089999999998E-3</v>
      </c>
      <c r="R4901">
        <v>-0.2902825</v>
      </c>
      <c r="S4901">
        <v>3.1211849999999899</v>
      </c>
      <c r="T4901">
        <v>-0.1961222</v>
      </c>
      <c r="U4901">
        <v>-7.7819819999999998E-2</v>
      </c>
      <c r="V4901">
        <v>-7.1731699999999995E-2</v>
      </c>
      <c r="W4901">
        <v>1.58826E-2</v>
      </c>
      <c r="X4901">
        <v>0.99729749999999995</v>
      </c>
      <c r="Y4901">
        <v>-0.33340559999999902</v>
      </c>
      <c r="Z4901">
        <v>3.2529519999999999E-2</v>
      </c>
      <c r="AA4901">
        <v>0.94222209999999995</v>
      </c>
      <c r="AB4901">
        <v>13</v>
      </c>
      <c r="AC4901">
        <v>17.479799999999901</v>
      </c>
      <c r="AD4901">
        <v>-1.1058361989609999</v>
      </c>
      <c r="AE4901">
        <v>-0.39821999999999802</v>
      </c>
      <c r="AF4901">
        <v>-5.8646764960657096</v>
      </c>
      <c r="AG4901">
        <v>-1.1058361989609999</v>
      </c>
      <c r="AH4901">
        <v>16.3974512287013</v>
      </c>
      <c r="AI4901">
        <v>93.633418259118599</v>
      </c>
      <c r="AJ4901">
        <v>109.679986787045</v>
      </c>
      <c r="AK4901">
        <v>17.449748161508602</v>
      </c>
    </row>
    <row r="4902" spans="1:37" x14ac:dyDescent="0.2">
      <c r="A4902" t="str">
        <f>"20200111155952993"</f>
        <v>20200111155952993</v>
      </c>
      <c r="B4902" t="str">
        <f>"1578729592985610"</f>
        <v>1578729592985610</v>
      </c>
      <c r="C4902" t="s">
        <v>37</v>
      </c>
      <c r="D4902">
        <v>5.3511290000000002</v>
      </c>
      <c r="E4902">
        <v>0.39562909999999901</v>
      </c>
      <c r="F4902" t="s">
        <v>78</v>
      </c>
      <c r="G4902">
        <v>-389.92570000000001</v>
      </c>
      <c r="H4902" s="1">
        <v>-7.0494979999999898E-7</v>
      </c>
      <c r="I4902">
        <v>22.132020000000001</v>
      </c>
      <c r="J4902">
        <v>-406.21469999999999</v>
      </c>
      <c r="K4902">
        <v>1.10585</v>
      </c>
      <c r="L4902">
        <v>22.3765</v>
      </c>
      <c r="M4902">
        <v>0.93461779999999905</v>
      </c>
      <c r="N4902">
        <v>0</v>
      </c>
      <c r="O4902">
        <v>-0.35556539999999998</v>
      </c>
      <c r="P4902">
        <v>0.95816919999999905</v>
      </c>
      <c r="Q4902">
        <v>6.8157499999999998E-3</v>
      </c>
      <c r="R4902">
        <v>-0.2861224</v>
      </c>
      <c r="S4902">
        <v>3.1213989999999998</v>
      </c>
      <c r="T4902">
        <v>-0.210961499999999</v>
      </c>
      <c r="U4902">
        <v>-5.1330569999999999E-2</v>
      </c>
      <c r="V4902">
        <v>-7.3342980000000002E-2</v>
      </c>
      <c r="W4902">
        <v>1.442365E-2</v>
      </c>
      <c r="X4902">
        <v>0.99720249999999999</v>
      </c>
      <c r="Y4902">
        <v>-0.33860709999999999</v>
      </c>
      <c r="Z4902">
        <v>3.500818E-2</v>
      </c>
      <c r="AA4902">
        <v>0.94027640000000001</v>
      </c>
      <c r="AB4902">
        <v>13</v>
      </c>
      <c r="AC4902">
        <v>16.288999999999898</v>
      </c>
      <c r="AD4902">
        <v>-1.1058507049498001</v>
      </c>
      <c r="AE4902">
        <v>-0.244479999999999</v>
      </c>
      <c r="AF4902">
        <v>-5.5379655919661497</v>
      </c>
      <c r="AG4902">
        <v>-1.1058507049498001</v>
      </c>
      <c r="AH4902">
        <v>15.2411685559426</v>
      </c>
      <c r="AI4902">
        <v>93.901220753533195</v>
      </c>
      <c r="AJ4902">
        <v>109.968902861342</v>
      </c>
      <c r="AK4902">
        <v>16.253774565623001</v>
      </c>
    </row>
    <row r="4903" spans="1:37" x14ac:dyDescent="0.2">
      <c r="A4903" t="str">
        <f>"20200111155953008"</f>
        <v>20200111155953008</v>
      </c>
      <c r="B4903" t="str">
        <f>"1578729593005130"</f>
        <v>1578729593005130</v>
      </c>
      <c r="C4903" t="s">
        <v>37</v>
      </c>
      <c r="D4903">
        <v>5.3528900000000004</v>
      </c>
      <c r="E4903">
        <v>0.39720050000000001</v>
      </c>
      <c r="F4903" t="s">
        <v>78</v>
      </c>
      <c r="G4903">
        <v>-389.303</v>
      </c>
      <c r="H4903" s="1">
        <v>-9.9768740000000003E-7</v>
      </c>
      <c r="I4903">
        <v>22.126110000000001</v>
      </c>
      <c r="J4903">
        <v>-406.13099999999997</v>
      </c>
      <c r="K4903">
        <v>1.1058699999999999</v>
      </c>
      <c r="L4903">
        <v>22.34854</v>
      </c>
      <c r="M4903">
        <v>0.93573340000000005</v>
      </c>
      <c r="N4903">
        <v>0</v>
      </c>
      <c r="O4903">
        <v>-0.35261690000000001</v>
      </c>
      <c r="P4903">
        <v>0.95956799999999998</v>
      </c>
      <c r="Q4903">
        <v>5.3804630000000003E-3</v>
      </c>
      <c r="R4903">
        <v>-0.28142600000000001</v>
      </c>
      <c r="S4903">
        <v>3.118652</v>
      </c>
      <c r="T4903">
        <v>-0.2039281</v>
      </c>
      <c r="U4903">
        <v>-4.6173100000000002E-2</v>
      </c>
      <c r="V4903">
        <v>-7.5080800000000003E-2</v>
      </c>
      <c r="W4903">
        <v>1.306098E-2</v>
      </c>
      <c r="X4903">
        <v>0.99709190000000003</v>
      </c>
      <c r="Y4903">
        <v>-0.3372906</v>
      </c>
      <c r="Z4903">
        <v>3.3650230000000003E-2</v>
      </c>
      <c r="AA4903">
        <v>0.94079899999999905</v>
      </c>
      <c r="AB4903">
        <v>13</v>
      </c>
      <c r="AC4903">
        <v>16.8279999999999</v>
      </c>
      <c r="AD4903">
        <v>-1.1058709976873999</v>
      </c>
      <c r="AE4903">
        <v>-0.22242999999999899</v>
      </c>
      <c r="AF4903">
        <v>-5.7012689246475503</v>
      </c>
      <c r="AG4903">
        <v>-1.1058709976873999</v>
      </c>
      <c r="AH4903">
        <v>15.7574249573149</v>
      </c>
      <c r="AI4903">
        <v>93.775709303906595</v>
      </c>
      <c r="AJ4903">
        <v>109.890871646082</v>
      </c>
      <c r="AK4903">
        <v>16.7935660090432</v>
      </c>
    </row>
    <row r="4904" spans="1:37" x14ac:dyDescent="0.2">
      <c r="A4904" t="str">
        <f>"20200111155953025"</f>
        <v>20200111155953025</v>
      </c>
      <c r="B4904" t="str">
        <f>"1578729593015866"</f>
        <v>1578729593015866</v>
      </c>
      <c r="C4904" t="s">
        <v>37</v>
      </c>
      <c r="D4904">
        <v>5.2761079999999998</v>
      </c>
      <c r="E4904">
        <v>0.39762120000000001</v>
      </c>
      <c r="F4904" t="s">
        <v>78</v>
      </c>
      <c r="G4904">
        <v>-388.89409999999998</v>
      </c>
      <c r="H4904" s="1">
        <v>-1.1863209999999999E-6</v>
      </c>
      <c r="I4904">
        <v>22.108560000000001</v>
      </c>
      <c r="J4904">
        <v>-406.03609999999998</v>
      </c>
      <c r="K4904">
        <v>1.1058829999999999</v>
      </c>
      <c r="L4904">
        <v>22.31729</v>
      </c>
      <c r="M4904">
        <v>0.93699880000000002</v>
      </c>
      <c r="N4904">
        <v>0</v>
      </c>
      <c r="O4904">
        <v>-0.34923850000000001</v>
      </c>
      <c r="P4904">
        <v>0.96151790000000004</v>
      </c>
      <c r="Q4904">
        <v>3.2602289999999999E-3</v>
      </c>
      <c r="R4904">
        <v>-0.27472360000000001</v>
      </c>
      <c r="S4904">
        <v>3.1148069999999999</v>
      </c>
      <c r="T4904">
        <v>-0.19983699999999999</v>
      </c>
      <c r="U4904">
        <v>-4.3365479999999998E-2</v>
      </c>
      <c r="V4904">
        <v>-7.8435649999999996E-2</v>
      </c>
      <c r="W4904">
        <v>1.101359E-2</v>
      </c>
      <c r="X4904">
        <v>0.99685840000000003</v>
      </c>
      <c r="Y4904">
        <v>-0.3347907</v>
      </c>
      <c r="Z4904">
        <v>3.2733089999999999E-2</v>
      </c>
      <c r="AA4904">
        <v>0.9417238</v>
      </c>
      <c r="AB4904">
        <v>13</v>
      </c>
      <c r="AC4904">
        <v>17.1419999999999</v>
      </c>
      <c r="AD4904">
        <v>-1.1058841863210001</v>
      </c>
      <c r="AE4904">
        <v>-0.208729999999999</v>
      </c>
      <c r="AF4904">
        <v>-5.7672574594082198</v>
      </c>
      <c r="AG4904">
        <v>-1.1058841863210001</v>
      </c>
      <c r="AH4904">
        <v>16.0685935081266</v>
      </c>
      <c r="AI4904">
        <v>93.706258881651493</v>
      </c>
      <c r="AJ4904">
        <v>109.7438181437</v>
      </c>
      <c r="AK4904">
        <v>17.1080079426584</v>
      </c>
    </row>
    <row r="4905" spans="1:37" x14ac:dyDescent="0.2">
      <c r="A4905" t="str">
        <f>"20200111155953039"</f>
        <v>20200111155953039</v>
      </c>
      <c r="B4905" t="str">
        <f>"1578729593035387"</f>
        <v>1578729593035387</v>
      </c>
      <c r="C4905" t="s">
        <v>37</v>
      </c>
      <c r="D4905">
        <v>5.2360860000000002</v>
      </c>
      <c r="E4905">
        <v>0.39796759999999998</v>
      </c>
      <c r="F4905" t="s">
        <v>78</v>
      </c>
      <c r="G4905">
        <v>-389.40390000000002</v>
      </c>
      <c r="H4905" s="1">
        <v>-9.6577990000000007E-7</v>
      </c>
      <c r="I4905">
        <v>22.185420000000001</v>
      </c>
      <c r="J4905">
        <v>-405.9606</v>
      </c>
      <c r="K4905">
        <v>1.105888</v>
      </c>
      <c r="L4905">
        <v>22.292760000000001</v>
      </c>
      <c r="M4905">
        <v>0.93800499999999998</v>
      </c>
      <c r="N4905">
        <v>0</v>
      </c>
      <c r="O4905">
        <v>-0.34652470000000002</v>
      </c>
      <c r="P4905">
        <v>0.96263899999999902</v>
      </c>
      <c r="Q4905">
        <v>2.6806309999999902E-3</v>
      </c>
      <c r="R4905">
        <v>-0.2707754</v>
      </c>
      <c r="S4905">
        <v>3.1137079999999999</v>
      </c>
      <c r="T4905">
        <v>-0.20703279999999999</v>
      </c>
      <c r="U4905">
        <v>-2.4688720000000001E-2</v>
      </c>
      <c r="V4905">
        <v>-7.9640539999999996E-2</v>
      </c>
      <c r="W4905">
        <v>1.0498159999999999E-2</v>
      </c>
      <c r="X4905">
        <v>0.9967684</v>
      </c>
      <c r="Y4905">
        <v>-0.33760299999999999</v>
      </c>
      <c r="Z4905">
        <v>3.3850669999999999E-2</v>
      </c>
      <c r="AA4905">
        <v>0.94067969999999901</v>
      </c>
      <c r="AB4905">
        <v>13</v>
      </c>
      <c r="AC4905">
        <v>16.5566999999999</v>
      </c>
      <c r="AD4905">
        <v>-1.1058889657799</v>
      </c>
      <c r="AE4905">
        <v>-0.10734</v>
      </c>
      <c r="AF4905">
        <v>-5.61177402525957</v>
      </c>
      <c r="AG4905">
        <v>-1.1058889657799</v>
      </c>
      <c r="AH4905">
        <v>15.498842525985999</v>
      </c>
      <c r="AI4905">
        <v>93.838257436826296</v>
      </c>
      <c r="AJ4905">
        <v>109.90415528249299</v>
      </c>
      <c r="AK4905">
        <v>16.520566508462199</v>
      </c>
    </row>
    <row r="4906" spans="1:37" x14ac:dyDescent="0.2">
      <c r="A4906" t="str">
        <f>"20200111155953053"</f>
        <v>20200111155953053</v>
      </c>
      <c r="B4906" t="str">
        <f>"1578729593045146"</f>
        <v>1578729593045146</v>
      </c>
      <c r="C4906" t="s">
        <v>37</v>
      </c>
      <c r="D4906">
        <v>5.4929750000000004</v>
      </c>
      <c r="E4906">
        <v>0.39870079999999902</v>
      </c>
      <c r="F4906" t="s">
        <v>78</v>
      </c>
      <c r="G4906">
        <v>-389.29309999999998</v>
      </c>
      <c r="H4906" s="1">
        <v>-1.0259579999999999E-6</v>
      </c>
      <c r="I4906">
        <v>22.214649999999999</v>
      </c>
      <c r="J4906">
        <v>-405.8784</v>
      </c>
      <c r="K4906">
        <v>1.105901</v>
      </c>
      <c r="L4906">
        <v>22.26633</v>
      </c>
      <c r="M4906">
        <v>0.93909529999999997</v>
      </c>
      <c r="N4906">
        <v>0</v>
      </c>
      <c r="O4906">
        <v>-0.34355740000000001</v>
      </c>
      <c r="P4906">
        <v>0.9638099</v>
      </c>
      <c r="Q4906">
        <v>2.486378E-3</v>
      </c>
      <c r="R4906">
        <v>-0.26657940000000002</v>
      </c>
      <c r="S4906">
        <v>3.1129150000000001</v>
      </c>
      <c r="T4906">
        <v>-0.206542</v>
      </c>
      <c r="U4906">
        <v>-1.45874E-2</v>
      </c>
      <c r="V4906">
        <v>-8.0831230000000004E-2</v>
      </c>
      <c r="W4906">
        <v>1.0372279999999999E-2</v>
      </c>
      <c r="X4906">
        <v>0.99667380000000005</v>
      </c>
      <c r="Y4906">
        <v>-0.33769109999999902</v>
      </c>
      <c r="Z4906">
        <v>3.3598860000000001E-2</v>
      </c>
      <c r="AA4906">
        <v>0.94065710000000002</v>
      </c>
      <c r="AB4906">
        <v>13</v>
      </c>
      <c r="AC4906">
        <v>16.5853</v>
      </c>
      <c r="AD4906">
        <v>-1.1059020259579999</v>
      </c>
      <c r="AE4906">
        <v>-5.1680000000001003E-2</v>
      </c>
      <c r="AF4906">
        <v>-5.6246551627114396</v>
      </c>
      <c r="AG4906">
        <v>-1.1059020259579999</v>
      </c>
      <c r="AH4906">
        <v>15.524441361187501</v>
      </c>
      <c r="AI4906">
        <v>93.831707738966699</v>
      </c>
      <c r="AJ4906">
        <v>109.915941321177</v>
      </c>
      <c r="AK4906">
        <v>16.5489590176356</v>
      </c>
    </row>
    <row r="4907" spans="1:37" x14ac:dyDescent="0.2">
      <c r="A4907" t="str">
        <f>"20200111155953069"</f>
        <v>20200111155953069</v>
      </c>
      <c r="B4907" t="str">
        <f>"1578729593065642"</f>
        <v>1578729593065642</v>
      </c>
      <c r="C4907" t="s">
        <v>37</v>
      </c>
      <c r="D4907">
        <v>5.394425</v>
      </c>
      <c r="E4907">
        <v>0.39949829999999997</v>
      </c>
      <c r="F4907" t="s">
        <v>78</v>
      </c>
      <c r="G4907">
        <v>-388.6463</v>
      </c>
      <c r="H4907" s="1">
        <v>-1.334935E-6</v>
      </c>
      <c r="I4907">
        <v>22.226769999999998</v>
      </c>
      <c r="J4907">
        <v>-405.7962</v>
      </c>
      <c r="K4907">
        <v>1.105917</v>
      </c>
      <c r="L4907">
        <v>22.24023</v>
      </c>
      <c r="M4907">
        <v>0.94018049999999997</v>
      </c>
      <c r="N4907">
        <v>0</v>
      </c>
      <c r="O4907">
        <v>-0.34057399999999999</v>
      </c>
      <c r="P4907">
        <v>0.96536739999999999</v>
      </c>
      <c r="Q4907">
        <v>3.1679029999999902E-3</v>
      </c>
      <c r="R4907">
        <v>-0.26087450000000001</v>
      </c>
      <c r="S4907">
        <v>3.1111759999999999</v>
      </c>
      <c r="T4907">
        <v>-0.19966489999999901</v>
      </c>
      <c r="U4907">
        <v>-7.1411130000000001E-3</v>
      </c>
      <c r="V4907">
        <v>-8.3564369999999999E-2</v>
      </c>
      <c r="W4907">
        <v>1.1118960000000001E-2</v>
      </c>
      <c r="X4907">
        <v>0.9964404</v>
      </c>
      <c r="Y4907">
        <v>-0.33705479999999999</v>
      </c>
      <c r="Z4907">
        <v>3.2300700000000002E-2</v>
      </c>
      <c r="AA4907">
        <v>0.94093079999999996</v>
      </c>
      <c r="AB4907">
        <v>13</v>
      </c>
      <c r="AC4907">
        <v>17.149899999999999</v>
      </c>
      <c r="AD4907">
        <v>-1.1059183349349999</v>
      </c>
      <c r="AE4907">
        <v>-1.34599999999984E-2</v>
      </c>
      <c r="AF4907">
        <v>-5.80422306366318</v>
      </c>
      <c r="AG4907">
        <v>-1.1059183349349999</v>
      </c>
      <c r="AH4907">
        <v>16.062356883623</v>
      </c>
      <c r="AI4907">
        <v>93.7049322748056</v>
      </c>
      <c r="AJ4907">
        <v>109.867607056144</v>
      </c>
      <c r="AK4907">
        <v>17.114653645142099</v>
      </c>
    </row>
    <row r="4908" spans="1:37" x14ac:dyDescent="0.2">
      <c r="A4908" t="str">
        <f>"20200111155953082"</f>
        <v>20200111155953082</v>
      </c>
      <c r="B4908" t="str">
        <f>"1578729593075403"</f>
        <v>1578729593075403</v>
      </c>
      <c r="C4908" t="s">
        <v>37</v>
      </c>
      <c r="D4908">
        <v>5.3257219999999998</v>
      </c>
      <c r="E4908">
        <v>0.40021230000000002</v>
      </c>
      <c r="F4908" t="s">
        <v>78</v>
      </c>
      <c r="G4908">
        <v>-388.4409</v>
      </c>
      <c r="H4908" s="1">
        <v>-1.4430899999999999E-6</v>
      </c>
      <c r="I4908">
        <v>22.268339999999998</v>
      </c>
      <c r="J4908">
        <v>-405.71749999999997</v>
      </c>
      <c r="K4908">
        <v>1.1059379999999901</v>
      </c>
      <c r="L4908">
        <v>22.215450000000001</v>
      </c>
      <c r="M4908">
        <v>0.94121520000000003</v>
      </c>
      <c r="N4908">
        <v>0</v>
      </c>
      <c r="O4908">
        <v>-0.33770209999999901</v>
      </c>
      <c r="P4908">
        <v>0.96659740000000005</v>
      </c>
      <c r="Q4908">
        <v>4.292995E-3</v>
      </c>
      <c r="R4908">
        <v>-0.25626339999999997</v>
      </c>
      <c r="S4908">
        <v>3.1096499999999998</v>
      </c>
      <c r="T4908">
        <v>-0.1981531</v>
      </c>
      <c r="U4908">
        <v>5.0353999999999998E-3</v>
      </c>
      <c r="V4908">
        <v>-8.5283029999999996E-2</v>
      </c>
      <c r="W4908">
        <v>1.2325279999999999E-2</v>
      </c>
      <c r="X4908">
        <v>0.99628059999999996</v>
      </c>
      <c r="Y4908">
        <v>-0.33788820000000003</v>
      </c>
      <c r="Z4908">
        <v>3.1928379999999999E-2</v>
      </c>
      <c r="AA4908">
        <v>0.94064459999999905</v>
      </c>
      <c r="AB4908">
        <v>13</v>
      </c>
      <c r="AC4908">
        <v>17.276599999999899</v>
      </c>
      <c r="AD4908">
        <v>-1.10593944308999</v>
      </c>
      <c r="AE4908">
        <v>5.28899999999978E-2</v>
      </c>
      <c r="AF4908">
        <v>-5.8603206320448598</v>
      </c>
      <c r="AG4908">
        <v>-1.10593944308999</v>
      </c>
      <c r="AH4908">
        <v>16.177425535261399</v>
      </c>
      <c r="AI4908">
        <v>93.677668987300706</v>
      </c>
      <c r="AJ4908">
        <v>109.91307034953</v>
      </c>
      <c r="AK4908">
        <v>17.241680802957699</v>
      </c>
    </row>
    <row r="4909" spans="1:37" x14ac:dyDescent="0.2">
      <c r="A4909" t="str">
        <f>"20200111155953095"</f>
        <v>20200111155953095</v>
      </c>
      <c r="B4909" t="str">
        <f>"1578729593085163"</f>
        <v>1578729593085163</v>
      </c>
      <c r="C4909" t="s">
        <v>37</v>
      </c>
      <c r="D4909">
        <v>5.2764639999999998</v>
      </c>
      <c r="E4909">
        <v>0.40059420000000001</v>
      </c>
      <c r="F4909" t="s">
        <v>78</v>
      </c>
      <c r="G4909">
        <v>-388.06459999999998</v>
      </c>
      <c r="H4909" s="1">
        <v>-1.628109E-6</v>
      </c>
      <c r="I4909">
        <v>22.295179999999998</v>
      </c>
      <c r="J4909">
        <v>-405.64679999999998</v>
      </c>
      <c r="K4909">
        <v>1.1059619999999999</v>
      </c>
      <c r="L4909">
        <v>22.193539999999999</v>
      </c>
      <c r="M4909">
        <v>0.94213910000000001</v>
      </c>
      <c r="N4909">
        <v>0</v>
      </c>
      <c r="O4909">
        <v>-0.33511249999999998</v>
      </c>
      <c r="P4909">
        <v>0.96774969999999905</v>
      </c>
      <c r="Q4909">
        <v>5.4168979999999999E-3</v>
      </c>
      <c r="R4909">
        <v>-0.25185589999999902</v>
      </c>
      <c r="S4909">
        <v>3.1082459999999998</v>
      </c>
      <c r="T4909">
        <v>-0.1947287</v>
      </c>
      <c r="U4909">
        <v>1.403809E-2</v>
      </c>
      <c r="V4909">
        <v>-8.7087220000000007E-2</v>
      </c>
      <c r="W4909">
        <v>1.35578E-2</v>
      </c>
      <c r="X4909">
        <v>0.9961084</v>
      </c>
      <c r="Y4909">
        <v>-0.33807589999999998</v>
      </c>
      <c r="Z4909">
        <v>3.1245660000000001E-2</v>
      </c>
      <c r="AA4909">
        <v>0.94059999999999999</v>
      </c>
      <c r="AB4909">
        <v>13</v>
      </c>
      <c r="AC4909">
        <v>17.5822</v>
      </c>
      <c r="AD4909">
        <v>-1.105963628109</v>
      </c>
      <c r="AE4909">
        <v>0.101639999999999</v>
      </c>
      <c r="AF4909">
        <v>-5.9643955129916</v>
      </c>
      <c r="AG4909">
        <v>-1.105963628109</v>
      </c>
      <c r="AH4909">
        <v>16.466274774540899</v>
      </c>
      <c r="AI4909">
        <v>93.613446401805703</v>
      </c>
      <c r="AJ4909">
        <v>109.911342831678</v>
      </c>
      <c r="AK4909">
        <v>17.548087483619899</v>
      </c>
    </row>
    <row r="4910" spans="1:37" x14ac:dyDescent="0.2">
      <c r="A4910" t="str">
        <f>"20200111155953107"</f>
        <v>20200111155953107</v>
      </c>
      <c r="B4910" t="str">
        <f>"1578729593105658"</f>
        <v>1578729593105658</v>
      </c>
      <c r="C4910" t="s">
        <v>37</v>
      </c>
      <c r="D4910">
        <v>5.4441129999999998</v>
      </c>
      <c r="E4910">
        <v>0.40186159999999999</v>
      </c>
      <c r="F4910" t="s">
        <v>78</v>
      </c>
      <c r="G4910">
        <v>-387.59429999999998</v>
      </c>
      <c r="H4910" s="1">
        <v>-1.8616709999999999E-6</v>
      </c>
      <c r="I4910">
        <v>22.337499999999999</v>
      </c>
      <c r="J4910">
        <v>-405.57940000000002</v>
      </c>
      <c r="K4910">
        <v>1.1059840000000001</v>
      </c>
      <c r="L4910">
        <v>22.172789999999999</v>
      </c>
      <c r="M4910">
        <v>0.94301159999999995</v>
      </c>
      <c r="N4910">
        <v>0</v>
      </c>
      <c r="O4910">
        <v>-0.3326461</v>
      </c>
      <c r="P4910">
        <v>0.96880940000000004</v>
      </c>
      <c r="Q4910">
        <v>6.6453550000000004E-3</v>
      </c>
      <c r="R4910">
        <v>-0.24771799999999999</v>
      </c>
      <c r="S4910">
        <v>3.1074519999999999</v>
      </c>
      <c r="T4910">
        <v>-0.1903745</v>
      </c>
      <c r="U4910">
        <v>2.478027E-2</v>
      </c>
      <c r="V4910">
        <v>-8.8741180000000003E-2</v>
      </c>
      <c r="W4910">
        <v>1.491236E-2</v>
      </c>
      <c r="X4910">
        <v>0.99594309999999997</v>
      </c>
      <c r="Y4910">
        <v>-0.33892649999999902</v>
      </c>
      <c r="Z4910">
        <v>3.04406999999999E-2</v>
      </c>
      <c r="AA4910">
        <v>0.9403203</v>
      </c>
      <c r="AB4910">
        <v>13</v>
      </c>
      <c r="AC4910">
        <v>17.985099999999999</v>
      </c>
      <c r="AD4910">
        <v>-1.1059858616710001</v>
      </c>
      <c r="AE4910">
        <v>0.164709999999999</v>
      </c>
      <c r="AF4910">
        <v>-6.1151063009714202</v>
      </c>
      <c r="AG4910">
        <v>-1.1059858616710001</v>
      </c>
      <c r="AH4910">
        <v>16.842322376137499</v>
      </c>
      <c r="AI4910">
        <v>93.532072351138893</v>
      </c>
      <c r="AJ4910">
        <v>109.954934753868</v>
      </c>
      <c r="AK4910">
        <v>17.9522018933651</v>
      </c>
    </row>
    <row r="4911" spans="1:37" x14ac:dyDescent="0.2">
      <c r="A4911" t="str">
        <f>"20200111155953126"</f>
        <v>20200111155953126</v>
      </c>
      <c r="B4911" t="str">
        <f>"1578729593115419"</f>
        <v>1578729593115419</v>
      </c>
      <c r="C4911" t="s">
        <v>37</v>
      </c>
      <c r="D4911">
        <v>5.3453589999999904</v>
      </c>
      <c r="E4911">
        <v>0.40238499999999999</v>
      </c>
      <c r="F4911" t="s">
        <v>78</v>
      </c>
      <c r="G4911">
        <v>-386.63920000000002</v>
      </c>
      <c r="H4911" s="1">
        <v>-2.3140690000000002E-6</v>
      </c>
      <c r="I4911">
        <v>22.340900000000001</v>
      </c>
      <c r="J4911">
        <v>-405.47750000000002</v>
      </c>
      <c r="K4911">
        <v>1.1060350000000001</v>
      </c>
      <c r="L4911">
        <v>22.141819999999999</v>
      </c>
      <c r="M4911">
        <v>0.9443184</v>
      </c>
      <c r="N4911">
        <v>0</v>
      </c>
      <c r="O4911">
        <v>-0.32891090000000001</v>
      </c>
      <c r="P4911">
        <v>0.97059839999999997</v>
      </c>
      <c r="Q4911">
        <v>7.9135630000000002E-3</v>
      </c>
      <c r="R4911">
        <v>-0.24057619999999999</v>
      </c>
      <c r="S4911">
        <v>3.104889</v>
      </c>
      <c r="T4911">
        <v>-0.18130499999999999</v>
      </c>
      <c r="U4911">
        <v>2.7557370000000001E-2</v>
      </c>
      <c r="V4911">
        <v>-9.2138730000000002E-2</v>
      </c>
      <c r="W4911">
        <v>1.64532999999999E-2</v>
      </c>
      <c r="X4911">
        <v>0.995610199999999</v>
      </c>
      <c r="Y4911">
        <v>-0.3361749</v>
      </c>
      <c r="Z4911">
        <v>2.87291E-2</v>
      </c>
      <c r="AA4911">
        <v>0.94136129999999996</v>
      </c>
      <c r="AB4911">
        <v>13</v>
      </c>
      <c r="AC4911">
        <v>18.8383</v>
      </c>
      <c r="AD4911">
        <v>-1.1060373140690001</v>
      </c>
      <c r="AE4911">
        <v>0.19907999999999801</v>
      </c>
      <c r="AF4911">
        <v>-6.36244405953137</v>
      </c>
      <c r="AG4911">
        <v>-1.1060373140690001</v>
      </c>
      <c r="AH4911">
        <v>17.6637040203947</v>
      </c>
      <c r="AI4911">
        <v>93.371468599213202</v>
      </c>
      <c r="AJ4911">
        <v>109.80895660942601</v>
      </c>
      <c r="AK4911">
        <v>18.807191514707501</v>
      </c>
    </row>
    <row r="4912" spans="1:37" x14ac:dyDescent="0.2">
      <c r="A4912" t="str">
        <f>"20200111155953140"</f>
        <v>20200111155953140</v>
      </c>
      <c r="B4912" t="str">
        <f>"1578729593134938"</f>
        <v>1578729593134938</v>
      </c>
      <c r="C4912" t="s">
        <v>37</v>
      </c>
      <c r="D4912">
        <v>5.3660040000000002</v>
      </c>
      <c r="E4912">
        <v>0.40352329999999997</v>
      </c>
      <c r="F4912" t="s">
        <v>78</v>
      </c>
      <c r="G4912">
        <v>-385.97550000000001</v>
      </c>
      <c r="H4912" s="1">
        <v>-2.6511209999999999E-6</v>
      </c>
      <c r="I4912">
        <v>22.4285</v>
      </c>
      <c r="J4912">
        <v>-405.39890000000003</v>
      </c>
      <c r="K4912">
        <v>1.1060779999999999</v>
      </c>
      <c r="L4912">
        <v>22.118289999999998</v>
      </c>
      <c r="M4912">
        <v>0.94531639999999995</v>
      </c>
      <c r="N4912">
        <v>0</v>
      </c>
      <c r="O4912">
        <v>-0.32602300000000001</v>
      </c>
      <c r="P4912">
        <v>0.97171969999999996</v>
      </c>
      <c r="Q4912">
        <v>8.0325850000000001E-3</v>
      </c>
      <c r="R4912">
        <v>-0.2360013</v>
      </c>
      <c r="S4912">
        <v>3.103577</v>
      </c>
      <c r="T4912">
        <v>-0.17601559999999999</v>
      </c>
      <c r="U4912">
        <v>4.5623780000000003E-2</v>
      </c>
      <c r="V4912">
        <v>-9.3787220000000004E-2</v>
      </c>
      <c r="W4912">
        <v>1.685474E-2</v>
      </c>
      <c r="X4912">
        <v>0.99544959999999905</v>
      </c>
      <c r="Y4912">
        <v>-0.33884259999999999</v>
      </c>
      <c r="Z4912">
        <v>2.782664E-2</v>
      </c>
      <c r="AA4912">
        <v>0.94043149999999998</v>
      </c>
      <c r="AB4912">
        <v>13</v>
      </c>
      <c r="AC4912">
        <v>19.423400000000001</v>
      </c>
      <c r="AD4912">
        <v>-1.106080651121</v>
      </c>
      <c r="AE4912">
        <v>0.31021000000000098</v>
      </c>
      <c r="AF4912">
        <v>-6.6045942954293499</v>
      </c>
      <c r="AG4912">
        <v>-1.106080651121</v>
      </c>
      <c r="AH4912">
        <v>18.2018969029501</v>
      </c>
      <c r="AI4912">
        <v>93.269360321394203</v>
      </c>
      <c r="AJ4912">
        <v>109.94340324124001</v>
      </c>
      <c r="AK4912">
        <v>19.394667593945101</v>
      </c>
    </row>
    <row r="4913" spans="1:37" x14ac:dyDescent="0.2">
      <c r="A4913" t="str">
        <f>"20200111155953155"</f>
        <v>20200111155953155</v>
      </c>
      <c r="B4913" t="str">
        <f>"1578729593145674"</f>
        <v>1578729593145674</v>
      </c>
      <c r="C4913" t="s">
        <v>37</v>
      </c>
      <c r="D4913">
        <v>5.2500660000000003</v>
      </c>
      <c r="E4913">
        <v>0.40380290000000002</v>
      </c>
      <c r="F4913" t="s">
        <v>78</v>
      </c>
      <c r="G4913">
        <v>-385.9117</v>
      </c>
      <c r="H4913" s="1">
        <v>-2.68433299999999E-6</v>
      </c>
      <c r="I4913">
        <v>22.440069999999999</v>
      </c>
      <c r="J4913">
        <v>-405.31689999999998</v>
      </c>
      <c r="K4913">
        <v>1.106115</v>
      </c>
      <c r="L4913">
        <v>22.093989999999899</v>
      </c>
      <c r="M4913">
        <v>0.94635079999999905</v>
      </c>
      <c r="N4913">
        <v>0</v>
      </c>
      <c r="O4913">
        <v>-0.32299859999999903</v>
      </c>
      <c r="P4913">
        <v>0.97281130000000005</v>
      </c>
      <c r="Q4913">
        <v>7.4829249999999996E-3</v>
      </c>
      <c r="R4913">
        <v>-0.2314783</v>
      </c>
      <c r="S4913">
        <v>3.1011959999999998</v>
      </c>
      <c r="T4913">
        <v>-0.17602200000000001</v>
      </c>
      <c r="U4913">
        <v>5.1208499999999997E-2</v>
      </c>
      <c r="V4913">
        <v>-9.5235730000000005E-2</v>
      </c>
      <c r="W4913">
        <v>1.6619220000000001E-2</v>
      </c>
      <c r="X4913">
        <v>0.99531599999999998</v>
      </c>
      <c r="Y4913">
        <v>-0.33754459999999997</v>
      </c>
      <c r="Z4913">
        <v>2.7648880000000001E-2</v>
      </c>
      <c r="AA4913">
        <v>0.94090339999999995</v>
      </c>
      <c r="AB4913">
        <v>13</v>
      </c>
      <c r="AC4913">
        <v>19.405199999999901</v>
      </c>
      <c r="AD4913">
        <v>-1.1061176843330001</v>
      </c>
      <c r="AE4913">
        <v>0.346080000000004</v>
      </c>
      <c r="AF4913">
        <v>-6.5743151686686296</v>
      </c>
      <c r="AG4913">
        <v>-1.1061176843330001</v>
      </c>
      <c r="AH4913">
        <v>18.194087404118299</v>
      </c>
      <c r="AI4913">
        <v>93.272446321540102</v>
      </c>
      <c r="AJ4913">
        <v>109.866992263675</v>
      </c>
      <c r="AK4913">
        <v>19.3770465431984</v>
      </c>
    </row>
    <row r="4914" spans="1:37" x14ac:dyDescent="0.2">
      <c r="A4914" t="str">
        <f>"20200111155953172"</f>
        <v>20200111155953172</v>
      </c>
      <c r="B4914" t="str">
        <f>"1578729593165194"</f>
        <v>1578729593165194</v>
      </c>
      <c r="C4914" t="s">
        <v>37</v>
      </c>
      <c r="D4914">
        <v>5.283766</v>
      </c>
      <c r="E4914">
        <v>0.40439890000000001</v>
      </c>
      <c r="F4914" t="s">
        <v>78</v>
      </c>
      <c r="G4914">
        <v>-385.80650000000003</v>
      </c>
      <c r="H4914" s="1">
        <v>-2.7477509999999999E-6</v>
      </c>
      <c r="I4914">
        <v>22.49155</v>
      </c>
      <c r="J4914">
        <v>-405.22680000000003</v>
      </c>
      <c r="K4914">
        <v>1.1061529999999999</v>
      </c>
      <c r="L4914">
        <v>22.06766</v>
      </c>
      <c r="M4914">
        <v>0.94748159999999904</v>
      </c>
      <c r="N4914">
        <v>0</v>
      </c>
      <c r="O4914">
        <v>-0.31965569999999999</v>
      </c>
      <c r="P4914">
        <v>0.97407250000000001</v>
      </c>
      <c r="Q4914">
        <v>6.4143519999999999E-3</v>
      </c>
      <c r="R4914">
        <v>-0.22614509999999999</v>
      </c>
      <c r="S4914">
        <v>3.1002200000000002</v>
      </c>
      <c r="T4914">
        <v>-0.17576369999999999</v>
      </c>
      <c r="U4914">
        <v>6.3171389999999994E-2</v>
      </c>
      <c r="V4914">
        <v>-9.7174949999999996E-2</v>
      </c>
      <c r="W4914">
        <v>1.5895949999999999E-2</v>
      </c>
      <c r="X4914">
        <v>0.99514040000000004</v>
      </c>
      <c r="Y4914">
        <v>-0.33786509999999997</v>
      </c>
      <c r="Z4914">
        <v>2.7446419999999999E-2</v>
      </c>
      <c r="AA4914">
        <v>0.94079429999999997</v>
      </c>
      <c r="AB4914">
        <v>13</v>
      </c>
      <c r="AC4914">
        <v>19.420300000000001</v>
      </c>
      <c r="AD4914">
        <v>-1.106155747751</v>
      </c>
      <c r="AE4914">
        <v>0.42388999999999999</v>
      </c>
      <c r="AF4914">
        <v>-6.5883997144128097</v>
      </c>
      <c r="AG4914">
        <v>-1.106155747751</v>
      </c>
      <c r="AH4914">
        <v>18.206740921918001</v>
      </c>
      <c r="AI4914">
        <v>93.269744068168706</v>
      </c>
      <c r="AJ4914">
        <v>109.89346539728599</v>
      </c>
      <c r="AK4914">
        <v>19.3937104838914</v>
      </c>
    </row>
    <row r="4915" spans="1:37" x14ac:dyDescent="0.2">
      <c r="A4915" t="str">
        <f>"20200111155953186"</f>
        <v>20200111155953186</v>
      </c>
      <c r="B4915" t="str">
        <f>"1578729593174955"</f>
        <v>1578729593174955</v>
      </c>
      <c r="C4915" t="s">
        <v>37</v>
      </c>
      <c r="D4915">
        <v>5.5677240000000001</v>
      </c>
      <c r="E4915">
        <v>0.40510930000000001</v>
      </c>
      <c r="F4915" t="s">
        <v>78</v>
      </c>
      <c r="G4915">
        <v>-385.88339999999999</v>
      </c>
      <c r="H4915" s="1">
        <v>-2.7237930000000001E-6</v>
      </c>
      <c r="I4915">
        <v>22.538039999999999</v>
      </c>
      <c r="J4915">
        <v>-405.14479999999998</v>
      </c>
      <c r="K4915">
        <v>1.1061879999999999</v>
      </c>
      <c r="L4915">
        <v>22.043949999999999</v>
      </c>
      <c r="M4915">
        <v>0.94850599999999996</v>
      </c>
      <c r="N4915">
        <v>0</v>
      </c>
      <c r="O4915">
        <v>-0.31659320000000002</v>
      </c>
      <c r="P4915">
        <v>0.97487349999999995</v>
      </c>
      <c r="Q4915">
        <v>5.6728630000000002E-3</v>
      </c>
      <c r="R4915">
        <v>-0.22268689999999999</v>
      </c>
      <c r="S4915">
        <v>3.0985109999999998</v>
      </c>
      <c r="T4915">
        <v>-0.17718879999999901</v>
      </c>
      <c r="U4915">
        <v>7.5347899999999995E-2</v>
      </c>
      <c r="V4915">
        <v>-9.7491640000000004E-2</v>
      </c>
      <c r="W4915">
        <v>1.546399E-2</v>
      </c>
      <c r="X4915">
        <v>0.99511620000000001</v>
      </c>
      <c r="Y4915">
        <v>-0.33851789999999998</v>
      </c>
      <c r="Z4915">
        <v>2.753616E-2</v>
      </c>
      <c r="AA4915">
        <v>0.94055699999999998</v>
      </c>
      <c r="AB4915">
        <v>13</v>
      </c>
      <c r="AC4915">
        <v>19.261399999999899</v>
      </c>
      <c r="AD4915">
        <v>-1.106190723793</v>
      </c>
      <c r="AE4915">
        <v>0.49408999999999897</v>
      </c>
      <c r="AF4915">
        <v>-6.5454463832569596</v>
      </c>
      <c r="AG4915">
        <v>-1.106190723793</v>
      </c>
      <c r="AH4915">
        <v>18.0545705456401</v>
      </c>
      <c r="AI4915">
        <v>93.296639472883896</v>
      </c>
      <c r="AJ4915">
        <v>109.927444659755</v>
      </c>
      <c r="AK4915">
        <v>19.2362689693452</v>
      </c>
    </row>
    <row r="4916" spans="1:37" x14ac:dyDescent="0.2">
      <c r="A4916" t="str">
        <f>"20200111155953203"</f>
        <v>20200111155953203</v>
      </c>
      <c r="B4916" t="str">
        <f>"1578729593195450"</f>
        <v>1578729593195450</v>
      </c>
      <c r="C4916" t="s">
        <v>37</v>
      </c>
      <c r="D4916">
        <v>5.6493699999999896</v>
      </c>
      <c r="E4916">
        <v>0.405746</v>
      </c>
      <c r="F4916" t="s">
        <v>78</v>
      </c>
      <c r="G4916">
        <v>-385.97179999999997</v>
      </c>
      <c r="H4916" s="1">
        <v>-2.6834399999999998E-6</v>
      </c>
      <c r="I4916">
        <v>22.543510000000001</v>
      </c>
      <c r="J4916">
        <v>-405.04570000000001</v>
      </c>
      <c r="K4916">
        <v>1.1062299999999901</v>
      </c>
      <c r="L4916">
        <v>22.015809999999998</v>
      </c>
      <c r="M4916">
        <v>0.94973869999999905</v>
      </c>
      <c r="N4916">
        <v>0</v>
      </c>
      <c r="O4916">
        <v>-0.31286429999999998</v>
      </c>
      <c r="P4916">
        <v>0.97583500000000001</v>
      </c>
      <c r="Q4916">
        <v>4.5981149999999998E-3</v>
      </c>
      <c r="R4916">
        <v>-0.21846079999999901</v>
      </c>
      <c r="S4916">
        <v>3.0967709999999999</v>
      </c>
      <c r="T4916">
        <v>-0.1786693</v>
      </c>
      <c r="U4916">
        <v>8.0688480000000007E-2</v>
      </c>
      <c r="V4916">
        <v>-9.7893690000000005E-2</v>
      </c>
      <c r="W4916">
        <v>1.4726410000000001E-2</v>
      </c>
      <c r="X4916">
        <v>0.99508790000000003</v>
      </c>
      <c r="Y4916">
        <v>-0.33644689999999999</v>
      </c>
      <c r="Z4916">
        <v>2.75158E-2</v>
      </c>
      <c r="AA4916">
        <v>0.94130029999999998</v>
      </c>
      <c r="AB4916">
        <v>13</v>
      </c>
      <c r="AC4916">
        <v>19.073899999999998</v>
      </c>
      <c r="AD4916">
        <v>-1.10623268343999</v>
      </c>
      <c r="AE4916">
        <v>0.52769999999999895</v>
      </c>
      <c r="AF4916">
        <v>-6.4474124246390803</v>
      </c>
      <c r="AG4916">
        <v>-1.10623268343999</v>
      </c>
      <c r="AH4916">
        <v>17.890997300661301</v>
      </c>
      <c r="AI4916">
        <v>93.329136516728099</v>
      </c>
      <c r="AJ4916">
        <v>109.817736946198</v>
      </c>
      <c r="AK4916">
        <v>19.049426819082299</v>
      </c>
    </row>
    <row r="4917" spans="1:37" x14ac:dyDescent="0.2">
      <c r="A4917" t="str">
        <f>"20200111155953216"</f>
        <v>20200111155953216</v>
      </c>
      <c r="B4917" t="str">
        <f>"1578729593205211"</f>
        <v>1578729593205211</v>
      </c>
      <c r="C4917" t="s">
        <v>37</v>
      </c>
      <c r="D4917">
        <v>5.5761180000000001</v>
      </c>
      <c r="E4917">
        <v>0.43027860000000001</v>
      </c>
      <c r="F4917" t="s">
        <v>78</v>
      </c>
      <c r="G4917">
        <v>-386.17869999999999</v>
      </c>
      <c r="H4917" s="1">
        <v>-2.5898109999999998E-6</v>
      </c>
      <c r="I4917">
        <v>22.559200000000001</v>
      </c>
      <c r="J4917">
        <v>-404.97379999999998</v>
      </c>
      <c r="K4917">
        <v>1.1062609999999999</v>
      </c>
      <c r="L4917">
        <v>21.995699999999999</v>
      </c>
      <c r="M4917">
        <v>0.95062909999999901</v>
      </c>
      <c r="N4917">
        <v>0</v>
      </c>
      <c r="O4917">
        <v>-0.31014069999999999</v>
      </c>
      <c r="P4917">
        <v>0.97653129999999999</v>
      </c>
      <c r="Q4917">
        <v>4.0899109999999999E-3</v>
      </c>
      <c r="R4917">
        <v>-0.21533730000000001</v>
      </c>
      <c r="S4917">
        <v>3.095062</v>
      </c>
      <c r="T4917">
        <v>-0.1814732</v>
      </c>
      <c r="U4917">
        <v>8.9141849999999995E-2</v>
      </c>
      <c r="V4917">
        <v>-9.8226240000000006E-2</v>
      </c>
      <c r="W4917">
        <v>1.443938E-2</v>
      </c>
      <c r="X4917">
        <v>0.99505940000000004</v>
      </c>
      <c r="Y4917">
        <v>-0.33630159999999998</v>
      </c>
      <c r="Z4917">
        <v>2.7805409999999999E-2</v>
      </c>
      <c r="AA4917">
        <v>0.94134379999999995</v>
      </c>
      <c r="AB4917">
        <v>13</v>
      </c>
      <c r="AC4917">
        <v>18.795099999999898</v>
      </c>
      <c r="AD4917">
        <v>-1.106263589811</v>
      </c>
      <c r="AE4917">
        <v>0.563500000000001</v>
      </c>
      <c r="AF4917">
        <v>-6.3432218160423099</v>
      </c>
      <c r="AG4917">
        <v>-1.106263589811</v>
      </c>
      <c r="AH4917">
        <v>17.632409494136699</v>
      </c>
      <c r="AI4917">
        <v>93.378612199952101</v>
      </c>
      <c r="AJ4917">
        <v>109.786086908299</v>
      </c>
      <c r="AK4917">
        <v>18.771311800366501</v>
      </c>
    </row>
    <row r="4918" spans="1:37" x14ac:dyDescent="0.2">
      <c r="A4918" t="str">
        <f>"20200111155953230"</f>
        <v>20200111155953230</v>
      </c>
      <c r="B4918" t="str">
        <f>"1578729593225707"</f>
        <v>1578729593225707</v>
      </c>
      <c r="C4918" t="s">
        <v>37</v>
      </c>
      <c r="D4918">
        <v>5.6745710000000003</v>
      </c>
      <c r="E4918">
        <v>0.4319289</v>
      </c>
      <c r="F4918" t="s">
        <v>78</v>
      </c>
      <c r="G4918">
        <v>-381.68490000000003</v>
      </c>
      <c r="H4918" s="1">
        <v>-4.3727919999999997E-6</v>
      </c>
      <c r="I4918">
        <v>21.27657</v>
      </c>
      <c r="J4918">
        <v>-404.89859999999999</v>
      </c>
      <c r="K4918">
        <v>1.106293</v>
      </c>
      <c r="L4918">
        <v>21.97485</v>
      </c>
      <c r="M4918">
        <v>0.95155429999999996</v>
      </c>
      <c r="N4918">
        <v>0</v>
      </c>
      <c r="O4918">
        <v>-0.30728169999999999</v>
      </c>
      <c r="P4918">
        <v>0.97709099999999904</v>
      </c>
      <c r="Q4918">
        <v>3.4092609999999998E-3</v>
      </c>
      <c r="R4918">
        <v>-0.21279410000000001</v>
      </c>
      <c r="S4918">
        <v>3.0519099999999999</v>
      </c>
      <c r="T4918">
        <v>-0.14497099999999999</v>
      </c>
      <c r="U4918">
        <v>-9.4238279999999994E-2</v>
      </c>
      <c r="V4918">
        <v>-9.782594E-2</v>
      </c>
      <c r="W4918">
        <v>1.398405E-2</v>
      </c>
      <c r="X4918">
        <v>0.99510529999999997</v>
      </c>
      <c r="Y4918">
        <v>-0.27713559999999998</v>
      </c>
      <c r="Z4918">
        <v>2.0964400000000001E-2</v>
      </c>
      <c r="AA4918">
        <v>0.96060210000000001</v>
      </c>
      <c r="AB4918">
        <v>13</v>
      </c>
      <c r="AC4918">
        <v>23.2136999999999</v>
      </c>
      <c r="AD4918">
        <v>-1.106297372792</v>
      </c>
      <c r="AE4918">
        <v>-0.69828000000000001</v>
      </c>
      <c r="AF4918">
        <v>-6.4544436211293101</v>
      </c>
      <c r="AG4918">
        <v>-1.106297372792</v>
      </c>
      <c r="AH4918">
        <v>22.254530749438199</v>
      </c>
      <c r="AI4918">
        <v>92.733433125355404</v>
      </c>
      <c r="AJ4918">
        <v>106.173654451909</v>
      </c>
      <c r="AK4918">
        <v>23.198014467041599</v>
      </c>
    </row>
    <row r="4919" spans="1:37" x14ac:dyDescent="0.2">
      <c r="A4919" t="str">
        <f>"20200111155953248"</f>
        <v>20200111155953248</v>
      </c>
      <c r="B4919" t="str">
        <f>"1578729593245226"</f>
        <v>1578729593245226</v>
      </c>
      <c r="C4919" t="s">
        <v>37</v>
      </c>
      <c r="D4919">
        <v>5.6118920000000001</v>
      </c>
      <c r="E4919">
        <v>0.43270379999999897</v>
      </c>
      <c r="F4919" t="s">
        <v>78</v>
      </c>
      <c r="G4919">
        <v>-384.89620000000002</v>
      </c>
      <c r="H4919" s="1">
        <v>-2.8693650000000001E-6</v>
      </c>
      <c r="I4919">
        <v>21.331309999999998</v>
      </c>
      <c r="J4919">
        <v>-404.80349999999999</v>
      </c>
      <c r="K4919">
        <v>1.106325</v>
      </c>
      <c r="L4919">
        <v>21.94885</v>
      </c>
      <c r="M4919">
        <v>0.95271759999999905</v>
      </c>
      <c r="N4919">
        <v>0</v>
      </c>
      <c r="O4919">
        <v>-0.30364580000000002</v>
      </c>
      <c r="P4919">
        <v>0.97765419999999903</v>
      </c>
      <c r="Q4919">
        <v>2.2073370000000002E-3</v>
      </c>
      <c r="R4919">
        <v>-0.21020820000000001</v>
      </c>
      <c r="S4919">
        <v>3.0495610000000002</v>
      </c>
      <c r="T4919">
        <v>-0.16866519999999999</v>
      </c>
      <c r="U4919">
        <v>-9.8114010000000001E-2</v>
      </c>
      <c r="V4919">
        <v>-9.6657450000000006E-2</v>
      </c>
      <c r="W4919">
        <v>1.3052869999999999E-2</v>
      </c>
      <c r="X4919">
        <v>0.99523209999999995</v>
      </c>
      <c r="Y4919">
        <v>-0.27200469999999999</v>
      </c>
      <c r="Z4919">
        <v>2.4068900000000001E-2</v>
      </c>
      <c r="AA4919">
        <v>0.96199489999999999</v>
      </c>
      <c r="AB4919">
        <v>13</v>
      </c>
      <c r="AC4919">
        <v>19.9072999999999</v>
      </c>
      <c r="AD4919">
        <v>-1.106327869365</v>
      </c>
      <c r="AE4919">
        <v>-0.61753999999999798</v>
      </c>
      <c r="AF4919">
        <v>-5.4399920670285002</v>
      </c>
      <c r="AG4919">
        <v>-1.106327869365</v>
      </c>
      <c r="AH4919">
        <v>19.095858077166302</v>
      </c>
      <c r="AI4919">
        <v>93.189145905587793</v>
      </c>
      <c r="AJ4919">
        <v>105.90109288700999</v>
      </c>
      <c r="AK4919">
        <v>19.886409196915</v>
      </c>
    </row>
    <row r="4920" spans="1:37" x14ac:dyDescent="0.2">
      <c r="A4920" t="str">
        <f>"20200111155953261"</f>
        <v>20200111155953261</v>
      </c>
      <c r="B4920" t="str">
        <f>"1578729593254987"</f>
        <v>1578729593254987</v>
      </c>
      <c r="C4920" t="s">
        <v>37</v>
      </c>
      <c r="D4920">
        <v>5.7188879999999997</v>
      </c>
      <c r="E4920">
        <v>0.43213409999999902</v>
      </c>
      <c r="F4920" t="s">
        <v>78</v>
      </c>
      <c r="G4920">
        <v>-386.49810000000002</v>
      </c>
      <c r="H4920" s="1">
        <v>-2.1237859999999999E-6</v>
      </c>
      <c r="I4920">
        <v>21.37509</v>
      </c>
      <c r="J4920">
        <v>-404.72309999999999</v>
      </c>
      <c r="K4920">
        <v>1.1063499999999999</v>
      </c>
      <c r="L4920">
        <v>21.927309999999999</v>
      </c>
      <c r="M4920">
        <v>0.95369509999999902</v>
      </c>
      <c r="N4920">
        <v>0</v>
      </c>
      <c r="O4920">
        <v>-0.30055419999999999</v>
      </c>
      <c r="P4920">
        <v>0.97821480000000005</v>
      </c>
      <c r="Q4920">
        <v>1.341084E-3</v>
      </c>
      <c r="R4920">
        <v>-0.20759179999999899</v>
      </c>
      <c r="S4920">
        <v>3.0484619999999998</v>
      </c>
      <c r="T4920">
        <v>-0.1842406</v>
      </c>
      <c r="U4920">
        <v>-9.5550540000000003E-2</v>
      </c>
      <c r="V4920">
        <v>-9.6090170000000003E-2</v>
      </c>
      <c r="W4920">
        <v>1.239823E-2</v>
      </c>
      <c r="X4920">
        <v>0.99529539999999905</v>
      </c>
      <c r="Y4920">
        <v>-0.26952300000000001</v>
      </c>
      <c r="Z4920">
        <v>2.604387E-2</v>
      </c>
      <c r="AA4920">
        <v>0.96264169999999905</v>
      </c>
      <c r="AB4920">
        <v>13</v>
      </c>
      <c r="AC4920">
        <v>18.224999999999898</v>
      </c>
      <c r="AD4920">
        <v>-1.1063521237859999</v>
      </c>
      <c r="AE4920">
        <v>-0.55222000000000104</v>
      </c>
      <c r="AF4920">
        <v>-4.9331171793005204</v>
      </c>
      <c r="AG4920">
        <v>-1.1063521237859999</v>
      </c>
      <c r="AH4920">
        <v>17.483859706390099</v>
      </c>
      <c r="AI4920">
        <v>93.485051209555607</v>
      </c>
      <c r="AJ4920">
        <v>105.756552971492</v>
      </c>
      <c r="AK4920">
        <v>18.2001376467115</v>
      </c>
    </row>
    <row r="4921" spans="1:37" x14ac:dyDescent="0.2">
      <c r="A4921" t="str">
        <f>"20200111155953282"</f>
        <v>20200111155953282</v>
      </c>
      <c r="B4921" t="str">
        <f>"1578729593275482"</f>
        <v>1578729593275482</v>
      </c>
      <c r="C4921" t="s">
        <v>37</v>
      </c>
      <c r="D4921">
        <v>5.2885479999999996</v>
      </c>
      <c r="E4921">
        <v>0.43081909999999901</v>
      </c>
      <c r="F4921" t="s">
        <v>78</v>
      </c>
      <c r="G4921">
        <v>-385.83519999999999</v>
      </c>
      <c r="H4921" s="1">
        <v>-2.44666599999999E-6</v>
      </c>
      <c r="I4921">
        <v>21.410889999999998</v>
      </c>
      <c r="J4921">
        <v>-404.61759999999998</v>
      </c>
      <c r="K4921">
        <v>1.106365</v>
      </c>
      <c r="L4921">
        <v>21.899480000000001</v>
      </c>
      <c r="M4921">
        <v>0.95497369999999904</v>
      </c>
      <c r="N4921">
        <v>0</v>
      </c>
      <c r="O4921">
        <v>-0.296456</v>
      </c>
      <c r="P4921">
        <v>0.97872039999999905</v>
      </c>
      <c r="Q4921">
        <v>-3.3714059999999998E-4</v>
      </c>
      <c r="R4921">
        <v>-0.2051992</v>
      </c>
      <c r="S4921">
        <v>3.0494080000000001</v>
      </c>
      <c r="T4921">
        <v>-0.17861779999999999</v>
      </c>
      <c r="U4921">
        <v>-8.3374019999999993E-2</v>
      </c>
      <c r="V4921">
        <v>-9.4244910000000001E-2</v>
      </c>
      <c r="W4921">
        <v>1.098212E-2</v>
      </c>
      <c r="X4921">
        <v>0.9954885</v>
      </c>
      <c r="Y4921">
        <v>-0.26930850000000001</v>
      </c>
      <c r="Z4921">
        <v>2.5009839999999998E-2</v>
      </c>
      <c r="AA4921">
        <v>0.96272919999999995</v>
      </c>
      <c r="AB4921">
        <v>13</v>
      </c>
      <c r="AC4921">
        <v>18.782399999999999</v>
      </c>
      <c r="AD4921">
        <v>-1.1063674466660001</v>
      </c>
      <c r="AE4921">
        <v>-0.48859000000000202</v>
      </c>
      <c r="AF4921">
        <v>-5.08429013249732</v>
      </c>
      <c r="AG4921">
        <v>-1.1063674466660001</v>
      </c>
      <c r="AH4921">
        <v>18.020317425051999</v>
      </c>
      <c r="AI4921">
        <v>93.381603070110501</v>
      </c>
      <c r="AJ4921">
        <v>105.755993384528</v>
      </c>
      <c r="AK4921">
        <v>18.756489415082001</v>
      </c>
    </row>
    <row r="4922" spans="1:37" x14ac:dyDescent="0.2">
      <c r="A4922" t="str">
        <f>"20200111155953295"</f>
        <v>20200111155953295</v>
      </c>
      <c r="B4922" t="str">
        <f>"1578729593285242"</f>
        <v>1578729593285242</v>
      </c>
      <c r="C4922" t="s">
        <v>37</v>
      </c>
      <c r="D4922">
        <v>5.3894699999999904</v>
      </c>
      <c r="E4922">
        <v>0.40591519999999998</v>
      </c>
      <c r="F4922" t="s">
        <v>78</v>
      </c>
      <c r="G4922">
        <v>-386.39530000000002</v>
      </c>
      <c r="H4922" s="1">
        <v>-2.20782E-6</v>
      </c>
      <c r="I4922">
        <v>21.508369999999999</v>
      </c>
      <c r="J4922">
        <v>-404.54160000000002</v>
      </c>
      <c r="K4922">
        <v>1.1063689999999999</v>
      </c>
      <c r="L4922">
        <v>21.879729999999999</v>
      </c>
      <c r="M4922">
        <v>0.95589480000000004</v>
      </c>
      <c r="N4922">
        <v>0</v>
      </c>
      <c r="O4922">
        <v>-0.29346559999999999</v>
      </c>
      <c r="P4922">
        <v>0.979222699999999</v>
      </c>
      <c r="Q4922">
        <v>-1.17461E-3</v>
      </c>
      <c r="R4922">
        <v>-0.20278489999999999</v>
      </c>
      <c r="S4922">
        <v>3.051361</v>
      </c>
      <c r="T4922">
        <v>-0.18526319999999999</v>
      </c>
      <c r="U4922">
        <v>-6.5490720000000002E-2</v>
      </c>
      <c r="V4922">
        <v>-9.3581479999999995E-2</v>
      </c>
      <c r="W4922">
        <v>1.031315E-2</v>
      </c>
      <c r="X4922">
        <v>0.99555819999999995</v>
      </c>
      <c r="Y4922">
        <v>-0.27187929999999999</v>
      </c>
      <c r="Z4922">
        <v>2.5831079999999999E-2</v>
      </c>
      <c r="AA4922">
        <v>0.96198459999999997</v>
      </c>
      <c r="AB4922">
        <v>13</v>
      </c>
      <c r="AC4922">
        <v>18.1463</v>
      </c>
      <c r="AD4922">
        <v>-1.1063712078200001</v>
      </c>
      <c r="AE4922">
        <v>-0.37135999999999503</v>
      </c>
      <c r="AF4922">
        <v>-4.9522879762632996</v>
      </c>
      <c r="AG4922">
        <v>-1.1063712078200001</v>
      </c>
      <c r="AH4922">
        <v>17.391561710723799</v>
      </c>
      <c r="AI4922">
        <v>93.501177926768307</v>
      </c>
      <c r="AJ4922">
        <v>105.89442744134899</v>
      </c>
      <c r="AK4922">
        <v>18.116722446051</v>
      </c>
    </row>
    <row r="4923" spans="1:37" x14ac:dyDescent="0.2">
      <c r="A4923" t="str">
        <f>"20200111155953315"</f>
        <v>20200111155953315</v>
      </c>
      <c r="B4923" t="str">
        <f>"1578729593305740"</f>
        <v>1578729593305740</v>
      </c>
      <c r="C4923" t="s">
        <v>37</v>
      </c>
      <c r="D4923">
        <v>5.6034069999999998</v>
      </c>
      <c r="E4923">
        <v>0.41047719999999999</v>
      </c>
      <c r="F4923" t="s">
        <v>78</v>
      </c>
      <c r="G4923">
        <v>-387.7353</v>
      </c>
      <c r="H4923" s="1">
        <v>-1.87232E-6</v>
      </c>
      <c r="I4923">
        <v>22.62801</v>
      </c>
      <c r="J4923">
        <v>-404.42899999999997</v>
      </c>
      <c r="K4923">
        <v>1.1063750000000001</v>
      </c>
      <c r="L4923">
        <v>21.851009999999999</v>
      </c>
      <c r="M4923">
        <v>0.95725210000000005</v>
      </c>
      <c r="N4923">
        <v>0</v>
      </c>
      <c r="O4923">
        <v>-0.28899839999999999</v>
      </c>
      <c r="P4923">
        <v>0.97996369999999899</v>
      </c>
      <c r="Q4923">
        <v>-1.8837319999999999E-3</v>
      </c>
      <c r="R4923">
        <v>-0.19916789999999901</v>
      </c>
      <c r="S4923">
        <v>3.0919189999999999</v>
      </c>
      <c r="T4923">
        <v>-0.20354349999999999</v>
      </c>
      <c r="U4923">
        <v>0.1376648</v>
      </c>
      <c r="V4923">
        <v>-9.2606330000000001E-2</v>
      </c>
      <c r="W4923">
        <v>9.8315720000000002E-3</v>
      </c>
      <c r="X4923">
        <v>0.99565429999999999</v>
      </c>
      <c r="Y4923">
        <v>-0.32998769999999999</v>
      </c>
      <c r="Z4923">
        <v>2.9664320000000001E-2</v>
      </c>
      <c r="AA4923">
        <v>0.94351909999999894</v>
      </c>
      <c r="AB4923">
        <v>13</v>
      </c>
      <c r="AC4923">
        <v>16.6937</v>
      </c>
      <c r="AD4923">
        <v>-1.10637687232</v>
      </c>
      <c r="AE4923">
        <v>0.77699999999999703</v>
      </c>
      <c r="AF4923">
        <v>-5.5443502104309701</v>
      </c>
      <c r="AG4923">
        <v>-1.10637687232</v>
      </c>
      <c r="AH4923">
        <v>15.687937762293201</v>
      </c>
      <c r="AI4923">
        <v>93.804202859132403</v>
      </c>
      <c r="AJ4923">
        <v>109.464164640625</v>
      </c>
      <c r="AK4923">
        <v>16.6755893530962</v>
      </c>
    </row>
    <row r="4924" spans="1:37" x14ac:dyDescent="0.2">
      <c r="A4924" t="str">
        <f>"20200111155953330"</f>
        <v>20200111155953330</v>
      </c>
      <c r="B4924" t="str">
        <f>"1578729593325259"</f>
        <v>1578729593325259</v>
      </c>
      <c r="C4924" t="s">
        <v>37</v>
      </c>
      <c r="D4924">
        <v>5.4076240000000002</v>
      </c>
      <c r="E4924">
        <v>0.41083569999999903</v>
      </c>
      <c r="F4924" t="s">
        <v>78</v>
      </c>
      <c r="G4924">
        <v>-389.00560000000002</v>
      </c>
      <c r="H4924" s="1">
        <v>-1.2169149999999999E-6</v>
      </c>
      <c r="I4924">
        <v>22.42165</v>
      </c>
      <c r="J4924">
        <v>-404.35629999999998</v>
      </c>
      <c r="K4924">
        <v>1.106376</v>
      </c>
      <c r="L4924">
        <v>21.832789999999999</v>
      </c>
      <c r="M4924">
        <v>0.9581248</v>
      </c>
      <c r="N4924">
        <v>0</v>
      </c>
      <c r="O4924">
        <v>-0.28608629999999902</v>
      </c>
      <c r="P4924">
        <v>0.98046710000000004</v>
      </c>
      <c r="Q4924">
        <v>-1.885105E-3</v>
      </c>
      <c r="R4924">
        <v>-0.19667399999999999</v>
      </c>
      <c r="S4924">
        <v>3.084076</v>
      </c>
      <c r="T4924">
        <v>-0.22123209999999999</v>
      </c>
      <c r="U4924">
        <v>0.114105199999999</v>
      </c>
      <c r="V4924">
        <v>-9.2112929999999996E-2</v>
      </c>
      <c r="W4924">
        <v>9.9636510000000005E-3</v>
      </c>
      <c r="X4924">
        <v>0.99569869999999905</v>
      </c>
      <c r="Y4924">
        <v>-0.31979639999999998</v>
      </c>
      <c r="Z4924">
        <v>3.1749859999999998E-2</v>
      </c>
      <c r="AA4924">
        <v>0.94695419999999997</v>
      </c>
      <c r="AB4924">
        <v>13</v>
      </c>
      <c r="AC4924">
        <v>15.3506999999999</v>
      </c>
      <c r="AD4924">
        <v>-1.1063772169149999</v>
      </c>
      <c r="AE4924">
        <v>0.58886000000000005</v>
      </c>
      <c r="AF4924">
        <v>-4.93062689261812</v>
      </c>
      <c r="AG4924">
        <v>-1.1063772169149999</v>
      </c>
      <c r="AH4924">
        <v>14.4654913712926</v>
      </c>
      <c r="AI4924">
        <v>94.140647202723898</v>
      </c>
      <c r="AJ4924">
        <v>108.821904486085</v>
      </c>
      <c r="AK4924">
        <v>15.3227149263197</v>
      </c>
    </row>
    <row r="4925" spans="1:37" x14ac:dyDescent="0.2">
      <c r="A4925" t="str">
        <f>"20200111155953342"</f>
        <v>20200111155953342</v>
      </c>
      <c r="B4925" t="str">
        <f>"1578729593335019"</f>
        <v>1578729593335019</v>
      </c>
      <c r="C4925" t="s">
        <v>37</v>
      </c>
      <c r="D4925">
        <v>5.364382</v>
      </c>
      <c r="E4925">
        <v>0.41059869999999998</v>
      </c>
      <c r="F4925" t="s">
        <v>78</v>
      </c>
      <c r="G4925">
        <v>-389.68189999999998</v>
      </c>
      <c r="H4925" s="1">
        <v>-8.9193690000000001E-7</v>
      </c>
      <c r="I4925">
        <v>22.401720000000001</v>
      </c>
      <c r="J4925">
        <v>-404.27780000000001</v>
      </c>
      <c r="K4925">
        <v>1.1063810000000001</v>
      </c>
      <c r="L4925">
        <v>21.813389999999998</v>
      </c>
      <c r="M4925">
        <v>0.95906209999999903</v>
      </c>
      <c r="N4925">
        <v>0</v>
      </c>
      <c r="O4925">
        <v>-0.28292240000000002</v>
      </c>
      <c r="P4925">
        <v>0.98107489999999997</v>
      </c>
      <c r="Q4925">
        <v>-1.8902979999999899E-3</v>
      </c>
      <c r="R4925">
        <v>-0.19362070000000001</v>
      </c>
      <c r="S4925">
        <v>3.0832519999999999</v>
      </c>
      <c r="T4925">
        <v>-0.2324618</v>
      </c>
      <c r="U4925">
        <v>0.1195374</v>
      </c>
      <c r="V4925">
        <v>-9.1927620000000002E-2</v>
      </c>
      <c r="W4925">
        <v>1.008905E-2</v>
      </c>
      <c r="X4925">
        <v>0.99571460000000001</v>
      </c>
      <c r="Y4925">
        <v>-0.31819799999999998</v>
      </c>
      <c r="Z4925">
        <v>3.3075010000000002E-2</v>
      </c>
      <c r="AA4925">
        <v>0.94744709999999999</v>
      </c>
      <c r="AB4925">
        <v>13</v>
      </c>
      <c r="AC4925">
        <v>14.5959</v>
      </c>
      <c r="AD4925">
        <v>-1.1063818919369</v>
      </c>
      <c r="AE4925">
        <v>0.58833000000000202</v>
      </c>
      <c r="AF4925">
        <v>-4.6673414337013304</v>
      </c>
      <c r="AG4925">
        <v>-1.1063818919369</v>
      </c>
      <c r="AH4925">
        <v>13.7540938205718</v>
      </c>
      <c r="AI4925">
        <v>94.356027349540199</v>
      </c>
      <c r="AJ4925">
        <v>108.744231400863</v>
      </c>
      <c r="AK4925">
        <v>14.5665113796901</v>
      </c>
    </row>
    <row r="4926" spans="1:37" x14ac:dyDescent="0.2">
      <c r="A4926" t="str">
        <f>"20200111155953360"</f>
        <v>20200111155953360</v>
      </c>
      <c r="B4926" t="str">
        <f>"1578729593355514"</f>
        <v>1578729593355514</v>
      </c>
      <c r="C4926" t="s">
        <v>37</v>
      </c>
      <c r="D4926">
        <v>5.5285570000000002</v>
      </c>
      <c r="E4926">
        <v>0.41093980000000002</v>
      </c>
      <c r="F4926" t="s">
        <v>78</v>
      </c>
      <c r="G4926">
        <v>-389.35480000000001</v>
      </c>
      <c r="H4926" s="1">
        <v>-1.058167E-6</v>
      </c>
      <c r="I4926">
        <v>22.445429999999899</v>
      </c>
      <c r="J4926">
        <v>-404.18880000000001</v>
      </c>
      <c r="K4926">
        <v>1.106392</v>
      </c>
      <c r="L4926">
        <v>21.791779999999999</v>
      </c>
      <c r="M4926">
        <v>0.96012090000000005</v>
      </c>
      <c r="N4926">
        <v>0</v>
      </c>
      <c r="O4926">
        <v>-0.2793021</v>
      </c>
      <c r="P4926">
        <v>0.98171109999999995</v>
      </c>
      <c r="Q4926">
        <v>-9.7788869999999991E-4</v>
      </c>
      <c r="R4926">
        <v>-0.1903753</v>
      </c>
      <c r="S4926">
        <v>3.0831909999999998</v>
      </c>
      <c r="T4926">
        <v>-0.22858600000000001</v>
      </c>
      <c r="U4926">
        <v>0.1305847</v>
      </c>
      <c r="V4926">
        <v>-9.1469369999999994E-2</v>
      </c>
      <c r="W4926">
        <v>1.11366E-2</v>
      </c>
      <c r="X4926">
        <v>0.99574560000000001</v>
      </c>
      <c r="Y4926">
        <v>-0.31807950000000002</v>
      </c>
      <c r="Z4926">
        <v>3.2261459999999999E-2</v>
      </c>
      <c r="AA4926">
        <v>0.947515</v>
      </c>
      <c r="AB4926">
        <v>13</v>
      </c>
      <c r="AC4926">
        <v>14.834</v>
      </c>
      <c r="AD4926">
        <v>-1.1063930581670001</v>
      </c>
      <c r="AE4926">
        <v>0.65364999999999895</v>
      </c>
      <c r="AF4926">
        <v>-4.7447841005821401</v>
      </c>
      <c r="AG4926">
        <v>-1.1063930581670001</v>
      </c>
      <c r="AH4926">
        <v>13.9833424566043</v>
      </c>
      <c r="AI4926">
        <v>94.284956727162694</v>
      </c>
      <c r="AJ4926">
        <v>108.74294163336</v>
      </c>
      <c r="AK4926">
        <v>14.807800242404999</v>
      </c>
    </row>
    <row r="4927" spans="1:37" x14ac:dyDescent="0.2">
      <c r="A4927" t="str">
        <f>"20200111155953374"</f>
        <v>20200111155953374</v>
      </c>
      <c r="B4927" t="str">
        <f>"1578729593365274"</f>
        <v>1578729593365274</v>
      </c>
      <c r="C4927" t="s">
        <v>37</v>
      </c>
      <c r="D4927">
        <v>5.4108130000000001</v>
      </c>
      <c r="E4927">
        <v>0.41114049999999902</v>
      </c>
      <c r="F4927" t="s">
        <v>78</v>
      </c>
      <c r="G4927">
        <v>-388.4</v>
      </c>
      <c r="H4927" s="1">
        <v>-1.5229789999999999E-6</v>
      </c>
      <c r="I4927">
        <v>22.496009999999998</v>
      </c>
      <c r="J4927">
        <v>-404.10750000000002</v>
      </c>
      <c r="K4927">
        <v>1.1064049999999901</v>
      </c>
      <c r="L4927">
        <v>21.77234</v>
      </c>
      <c r="M4927">
        <v>0.96108229999999994</v>
      </c>
      <c r="N4927">
        <v>0</v>
      </c>
      <c r="O4927">
        <v>-0.27597070000000001</v>
      </c>
      <c r="P4927">
        <v>0.98230930000000005</v>
      </c>
      <c r="Q4927">
        <v>-7.8958830000000002E-4</v>
      </c>
      <c r="R4927">
        <v>-0.1872644</v>
      </c>
      <c r="S4927">
        <v>3.0823360000000002</v>
      </c>
      <c r="T4927">
        <v>-0.21599380000000001</v>
      </c>
      <c r="U4927">
        <v>0.13748170000000001</v>
      </c>
      <c r="V4927">
        <v>-9.1172779999999995E-2</v>
      </c>
      <c r="W4927">
        <v>1.1436989999999999E-2</v>
      </c>
      <c r="X4927">
        <v>0.99576939999999903</v>
      </c>
      <c r="Y4927">
        <v>-0.31710429999999901</v>
      </c>
      <c r="Z4927">
        <v>3.0236599999999999E-2</v>
      </c>
      <c r="AA4927">
        <v>0.94790849999999904</v>
      </c>
      <c r="AB4927">
        <v>13</v>
      </c>
      <c r="AC4927">
        <v>15.7075</v>
      </c>
      <c r="AD4927">
        <v>-1.1064065229790001</v>
      </c>
      <c r="AE4927">
        <v>0.72367000000000203</v>
      </c>
      <c r="AF4927">
        <v>-5.0059366706137602</v>
      </c>
      <c r="AG4927">
        <v>-1.1064065229790001</v>
      </c>
      <c r="AH4927">
        <v>14.824292382421101</v>
      </c>
      <c r="AI4927">
        <v>94.044757365432403</v>
      </c>
      <c r="AJ4927">
        <v>108.65903840867</v>
      </c>
      <c r="AK4927">
        <v>15.685763672317499</v>
      </c>
    </row>
    <row r="4928" spans="1:37" x14ac:dyDescent="0.2">
      <c r="A4928" t="str">
        <f>"20200111155953394"</f>
        <v>20200111155953394</v>
      </c>
      <c r="B4928" t="str">
        <f>"1578729593384794"</f>
        <v>1578729593384794</v>
      </c>
      <c r="C4928" t="s">
        <v>37</v>
      </c>
      <c r="D4928">
        <v>5.6158049999999999</v>
      </c>
      <c r="E4928">
        <v>0.41181250000000003</v>
      </c>
      <c r="F4928" t="s">
        <v>78</v>
      </c>
      <c r="G4928">
        <v>-388.32850000000002</v>
      </c>
      <c r="H4928" s="1">
        <v>-1.563003E-6</v>
      </c>
      <c r="I4928">
        <v>22.51942</v>
      </c>
      <c r="J4928">
        <v>-403.99790000000002</v>
      </c>
      <c r="K4928">
        <v>1.1064259999999999</v>
      </c>
      <c r="L4928">
        <v>21.746700000000001</v>
      </c>
      <c r="M4928">
        <v>0.96236969999999999</v>
      </c>
      <c r="N4928">
        <v>0</v>
      </c>
      <c r="O4928">
        <v>-0.27144049999999997</v>
      </c>
      <c r="P4928">
        <v>0.98288949999999997</v>
      </c>
      <c r="Q4928">
        <v>-1.041029E-3</v>
      </c>
      <c r="R4928">
        <v>-0.18419430000000001</v>
      </c>
      <c r="S4928">
        <v>3.0816349999999999</v>
      </c>
      <c r="T4928">
        <v>-0.21608089999999899</v>
      </c>
      <c r="U4928">
        <v>0.14590449999999999</v>
      </c>
      <c r="V4928">
        <v>-8.9593060000000002E-2</v>
      </c>
      <c r="W4928">
        <v>1.132876E-2</v>
      </c>
      <c r="X4928">
        <v>0.99591399999999997</v>
      </c>
      <c r="Y4928">
        <v>-0.31524740000000001</v>
      </c>
      <c r="Z4928">
        <v>2.9881990000000001E-2</v>
      </c>
      <c r="AA4928">
        <v>0.94853899999999902</v>
      </c>
      <c r="AB4928">
        <v>13</v>
      </c>
      <c r="AC4928">
        <v>15.6693999999999</v>
      </c>
      <c r="AD4928">
        <v>-1.106427563003</v>
      </c>
      <c r="AE4928">
        <v>0.77271999999999896</v>
      </c>
      <c r="AF4928">
        <v>-4.9726306641871503</v>
      </c>
      <c r="AG4928">
        <v>-1.106427563003</v>
      </c>
      <c r="AH4928">
        <v>14.7976322082155</v>
      </c>
      <c r="AI4928">
        <v>94.054104317621807</v>
      </c>
      <c r="AJ4928">
        <v>108.57452728659899</v>
      </c>
      <c r="AK4928">
        <v>15.649957081225701</v>
      </c>
    </row>
    <row r="4929" spans="1:37" x14ac:dyDescent="0.2">
      <c r="A4929" t="str">
        <f>"20200111155953408"</f>
        <v>20200111155953408</v>
      </c>
      <c r="B4929" t="str">
        <f>"1578729593405290"</f>
        <v>1578729593405290</v>
      </c>
      <c r="C4929" t="s">
        <v>37</v>
      </c>
      <c r="D4929">
        <v>5.5767899999999999</v>
      </c>
      <c r="E4929">
        <v>0.41364770000000001</v>
      </c>
      <c r="F4929" t="s">
        <v>78</v>
      </c>
      <c r="G4929">
        <v>-388.01409999999998</v>
      </c>
      <c r="H4929" s="1">
        <v>-1.7138259999999899E-6</v>
      </c>
      <c r="I4929">
        <v>22.527739999999898</v>
      </c>
      <c r="J4929">
        <v>-403.923</v>
      </c>
      <c r="K4929">
        <v>1.106444</v>
      </c>
      <c r="L4929">
        <v>21.729489999999998</v>
      </c>
      <c r="M4929">
        <v>0.9632444</v>
      </c>
      <c r="N4929">
        <v>0</v>
      </c>
      <c r="O4929">
        <v>-0.26831549999999998</v>
      </c>
      <c r="P4929">
        <v>0.98330740000000005</v>
      </c>
      <c r="Q4929">
        <v>-1.021901E-3</v>
      </c>
      <c r="R4929">
        <v>-0.181949</v>
      </c>
      <c r="S4929">
        <v>3.0802309999999999</v>
      </c>
      <c r="T4929">
        <v>-0.213219299999999</v>
      </c>
      <c r="U4929">
        <v>0.1505127</v>
      </c>
      <c r="V4929">
        <v>-8.8636480000000004E-2</v>
      </c>
      <c r="W4929">
        <v>1.143651E-2</v>
      </c>
      <c r="X4929">
        <v>0.99599839999999995</v>
      </c>
      <c r="Y4929">
        <v>-0.31365209999999999</v>
      </c>
      <c r="Z4929">
        <v>2.9235049999999999E-2</v>
      </c>
      <c r="AA4929">
        <v>0.94908780000000004</v>
      </c>
      <c r="AB4929">
        <v>13</v>
      </c>
      <c r="AC4929">
        <v>15.908899999999999</v>
      </c>
      <c r="AD4929">
        <v>-1.106445713826</v>
      </c>
      <c r="AE4929">
        <v>0.79824999999999902</v>
      </c>
      <c r="AF4929">
        <v>-5.0137442410370703</v>
      </c>
      <c r="AG4929">
        <v>-1.106445713826</v>
      </c>
      <c r="AH4929">
        <v>15.038677921906601</v>
      </c>
      <c r="AI4929">
        <v>93.992576203809193</v>
      </c>
      <c r="AJ4929">
        <v>108.437868830394</v>
      </c>
      <c r="AK4929">
        <v>15.890993898149301</v>
      </c>
    </row>
    <row r="4930" spans="1:37" x14ac:dyDescent="0.2">
      <c r="A4930" t="str">
        <f>"20200111155953456"</f>
        <v>20200111155953456</v>
      </c>
      <c r="B4930" t="str">
        <f>"1578729593445306"</f>
        <v>1578729593445306</v>
      </c>
      <c r="C4930" t="s">
        <v>37</v>
      </c>
      <c r="D4930">
        <v>5.6200019999999897</v>
      </c>
      <c r="E4930">
        <v>0.41382529999999901</v>
      </c>
      <c r="F4930" t="s">
        <v>78</v>
      </c>
      <c r="G4930">
        <v>-387.72239999999999</v>
      </c>
      <c r="H4930" s="1">
        <v>-1.839755E-6</v>
      </c>
      <c r="I4930">
        <v>22.482700000000001</v>
      </c>
      <c r="J4930">
        <v>-403.661</v>
      </c>
      <c r="K4930">
        <v>1.1065039999999999</v>
      </c>
      <c r="L4930">
        <v>21.671720000000001</v>
      </c>
      <c r="M4930">
        <v>0.9662771</v>
      </c>
      <c r="N4930">
        <v>0</v>
      </c>
      <c r="O4930">
        <v>-0.25716810000000001</v>
      </c>
      <c r="P4930">
        <v>0.98460599999999998</v>
      </c>
      <c r="Q4930">
        <v>4.4698079999999998E-4</v>
      </c>
      <c r="R4930">
        <v>-0.17478740000000001</v>
      </c>
      <c r="S4930">
        <v>3.0771790000000001</v>
      </c>
      <c r="T4930">
        <v>-0.21016099999999999</v>
      </c>
      <c r="U4930">
        <v>0.14306640000000001</v>
      </c>
      <c r="V4930">
        <v>-8.4387089999999998E-2</v>
      </c>
      <c r="W4930">
        <v>1.3164439999999999E-2</v>
      </c>
      <c r="X4930">
        <v>0.99634609999999901</v>
      </c>
      <c r="Y4930">
        <v>-0.30050309999999902</v>
      </c>
      <c r="Z4930">
        <v>2.7655659999999999E-2</v>
      </c>
      <c r="AA4930">
        <v>0.9533798</v>
      </c>
      <c r="AB4930">
        <v>13</v>
      </c>
      <c r="AC4930">
        <v>15.938599999999999</v>
      </c>
      <c r="AD4930">
        <v>-1.1065058397550001</v>
      </c>
      <c r="AE4930">
        <v>0.81098000000000003</v>
      </c>
      <c r="AF4930">
        <v>-4.8595929988419204</v>
      </c>
      <c r="AG4930">
        <v>-1.1065058397550001</v>
      </c>
      <c r="AH4930">
        <v>15.121172189971</v>
      </c>
      <c r="AI4930">
        <v>93.985164795465593</v>
      </c>
      <c r="AJ4930">
        <v>107.81619715704799</v>
      </c>
      <c r="AK4930">
        <v>15.921364504544099</v>
      </c>
    </row>
    <row r="4931" spans="1:37" x14ac:dyDescent="0.2">
      <c r="A4931" t="str">
        <f>"20200111155953469"</f>
        <v>20200111155953469</v>
      </c>
      <c r="B4931" t="str">
        <f>"1578729593464827"</f>
        <v>1578729593464827</v>
      </c>
      <c r="C4931" t="s">
        <v>37</v>
      </c>
      <c r="D4931">
        <v>5.6377670000000002</v>
      </c>
      <c r="E4931">
        <v>0.41474090000000002</v>
      </c>
      <c r="F4931" t="s">
        <v>78</v>
      </c>
      <c r="G4931">
        <v>-386.72710000000001</v>
      </c>
      <c r="H4931" s="1">
        <v>-2.3342090000000001E-6</v>
      </c>
      <c r="I4931">
        <v>22.57272</v>
      </c>
      <c r="J4931">
        <v>-403.58870000000002</v>
      </c>
      <c r="K4931">
        <v>1.106527</v>
      </c>
      <c r="L4931">
        <v>21.656400000000001</v>
      </c>
      <c r="M4931">
        <v>0.96710429999999903</v>
      </c>
      <c r="N4931">
        <v>0</v>
      </c>
      <c r="O4931">
        <v>-0.25403680000000001</v>
      </c>
      <c r="P4931">
        <v>0.98459759999999996</v>
      </c>
      <c r="Q4931">
        <v>1.5243329999999999E-3</v>
      </c>
      <c r="R4931">
        <v>-0.1748294</v>
      </c>
      <c r="S4931">
        <v>3.07605</v>
      </c>
      <c r="T4931">
        <v>-0.20099700000000001</v>
      </c>
      <c r="U4931">
        <v>0.1636658</v>
      </c>
      <c r="V4931">
        <v>-8.1121940000000003E-2</v>
      </c>
      <c r="W4931">
        <v>1.431399E-2</v>
      </c>
      <c r="X4931">
        <v>0.99660139999999997</v>
      </c>
      <c r="Y4931">
        <v>-0.30390659999999903</v>
      </c>
      <c r="Z4931">
        <v>2.6372650000000001E-2</v>
      </c>
      <c r="AA4931">
        <v>0.95233670000000004</v>
      </c>
      <c r="AB4931">
        <v>13</v>
      </c>
      <c r="AC4931">
        <v>16.861599999999999</v>
      </c>
      <c r="AD4931">
        <v>-1.1065293342089999</v>
      </c>
      <c r="AE4931">
        <v>0.91631999999999802</v>
      </c>
      <c r="AF4931">
        <v>-5.1479904919241202</v>
      </c>
      <c r="AG4931">
        <v>-1.1065293342089999</v>
      </c>
      <c r="AH4931">
        <v>16.006819138587598</v>
      </c>
      <c r="AI4931">
        <v>93.765142974054399</v>
      </c>
      <c r="AJ4931">
        <v>107.828431381207</v>
      </c>
      <c r="AK4931">
        <v>16.850651981684901</v>
      </c>
    </row>
    <row r="4932" spans="1:37" x14ac:dyDescent="0.2">
      <c r="A4932" t="str">
        <f>"20200111155953483"</f>
        <v>20200111155953483</v>
      </c>
      <c r="B4932" t="str">
        <f>"1578729593475562"</f>
        <v>1578729593475562</v>
      </c>
      <c r="C4932" t="s">
        <v>37</v>
      </c>
      <c r="D4932">
        <v>5.6977769999999897</v>
      </c>
      <c r="E4932">
        <v>0.4151164</v>
      </c>
      <c r="F4932" t="s">
        <v>78</v>
      </c>
      <c r="G4932">
        <v>-386.19009999999997</v>
      </c>
      <c r="H4932" s="1">
        <v>-2.57939599999999E-6</v>
      </c>
      <c r="I4932">
        <v>22.540320000000001</v>
      </c>
      <c r="J4932">
        <v>-403.51260000000002</v>
      </c>
      <c r="K4932">
        <v>1.1065399999999901</v>
      </c>
      <c r="L4932">
        <v>21.640529999999998</v>
      </c>
      <c r="M4932">
        <v>0.96796890000000002</v>
      </c>
      <c r="N4932">
        <v>0</v>
      </c>
      <c r="O4932">
        <v>-0.25071949999999998</v>
      </c>
      <c r="P4932">
        <v>0.98469660000000003</v>
      </c>
      <c r="Q4932">
        <v>1.212858E-3</v>
      </c>
      <c r="R4932">
        <v>-0.1742737</v>
      </c>
      <c r="S4932">
        <v>3.074951</v>
      </c>
      <c r="T4932">
        <v>-0.19556389999999901</v>
      </c>
      <c r="U4932">
        <v>0.15621949999999901</v>
      </c>
      <c r="V4932">
        <v>-7.8266290000000002E-2</v>
      </c>
      <c r="W4932">
        <v>1.4071780000000001E-2</v>
      </c>
      <c r="X4932">
        <v>0.99683310000000003</v>
      </c>
      <c r="Y4932">
        <v>-0.29843409999999998</v>
      </c>
      <c r="Z4932">
        <v>2.5291029999999999E-2</v>
      </c>
      <c r="AA4932">
        <v>0.95409509999999897</v>
      </c>
      <c r="AB4932">
        <v>13</v>
      </c>
      <c r="AC4932">
        <v>17.322500000000002</v>
      </c>
      <c r="AD4932">
        <v>-1.10654257939599</v>
      </c>
      <c r="AE4932">
        <v>0.89979000000000298</v>
      </c>
      <c r="AF4932">
        <v>-5.1933813652722201</v>
      </c>
      <c r="AG4932">
        <v>-1.10654257939599</v>
      </c>
      <c r="AH4932">
        <v>16.4764502637309</v>
      </c>
      <c r="AI4932">
        <v>93.664932715094196</v>
      </c>
      <c r="AJ4932">
        <v>107.494864903462</v>
      </c>
      <c r="AK4932">
        <v>17.310952018256302</v>
      </c>
    </row>
    <row r="4933" spans="1:37" x14ac:dyDescent="0.2">
      <c r="A4933" t="str">
        <f>"20200111155953498"</f>
        <v>20200111155953498</v>
      </c>
      <c r="B4933" t="str">
        <f>"1578729593495082"</f>
        <v>1578729593495082</v>
      </c>
      <c r="C4933" t="s">
        <v>37</v>
      </c>
      <c r="D4933">
        <v>5.668717</v>
      </c>
      <c r="E4933">
        <v>0.41577979999999998</v>
      </c>
      <c r="F4933" t="s">
        <v>78</v>
      </c>
      <c r="G4933">
        <v>-386.14089999999999</v>
      </c>
      <c r="H4933" s="1">
        <v>-2.5965890000000002E-6</v>
      </c>
      <c r="I4933">
        <v>22.517399999999999</v>
      </c>
      <c r="J4933">
        <v>-403.43639999999999</v>
      </c>
      <c r="K4933">
        <v>1.106555</v>
      </c>
      <c r="L4933">
        <v>21.625029999999999</v>
      </c>
      <c r="M4933">
        <v>0.9688329</v>
      </c>
      <c r="N4933">
        <v>0</v>
      </c>
      <c r="O4933">
        <v>-0.2473563</v>
      </c>
      <c r="P4933">
        <v>0.98514419999999903</v>
      </c>
      <c r="Q4933">
        <v>9.302367E-4</v>
      </c>
      <c r="R4933">
        <v>-0.17172660000000001</v>
      </c>
      <c r="S4933">
        <v>3.074341</v>
      </c>
      <c r="T4933">
        <v>-0.19582849999999999</v>
      </c>
      <c r="U4933">
        <v>0.15518189999999901</v>
      </c>
      <c r="V4933">
        <v>-7.7381920000000007E-2</v>
      </c>
      <c r="W4933">
        <v>1.3841010000000001E-2</v>
      </c>
      <c r="X4933">
        <v>0.99690540000000005</v>
      </c>
      <c r="Y4933">
        <v>-0.29481760000000001</v>
      </c>
      <c r="Z4933">
        <v>2.5005940000000001E-2</v>
      </c>
      <c r="AA4933">
        <v>0.95522629999999997</v>
      </c>
      <c r="AB4933">
        <v>13</v>
      </c>
      <c r="AC4933">
        <v>17.295500000000001</v>
      </c>
      <c r="AD4933">
        <v>-1.106557596589</v>
      </c>
      <c r="AE4933">
        <v>0.892369999999999</v>
      </c>
      <c r="AF4933">
        <v>-5.1222535729868799</v>
      </c>
      <c r="AG4933">
        <v>-1.106557596589</v>
      </c>
      <c r="AH4933">
        <v>16.469946535486802</v>
      </c>
      <c r="AI4933">
        <v>93.670801148462999</v>
      </c>
      <c r="AJ4933">
        <v>107.27601163489</v>
      </c>
      <c r="AK4933">
        <v>17.283549700866999</v>
      </c>
    </row>
    <row r="4934" spans="1:37" x14ac:dyDescent="0.2">
      <c r="A4934" t="str">
        <f>"20200111155953516"</f>
        <v>20200111155953516</v>
      </c>
      <c r="B4934" t="str">
        <f>"1578729593505818"</f>
        <v>1578729593505818</v>
      </c>
      <c r="C4934" t="s">
        <v>37</v>
      </c>
      <c r="D4934">
        <v>5.7111089999999898</v>
      </c>
      <c r="E4934">
        <v>0.41604269999999999</v>
      </c>
      <c r="F4934" t="s">
        <v>78</v>
      </c>
      <c r="G4934">
        <v>-386.02</v>
      </c>
      <c r="H4934" s="1">
        <v>-2.6544290000000001E-6</v>
      </c>
      <c r="I4934">
        <v>22.520109999999999</v>
      </c>
      <c r="J4934">
        <v>-403.33420000000001</v>
      </c>
      <c r="K4934">
        <v>1.106576</v>
      </c>
      <c r="L4934">
        <v>21.604710000000001</v>
      </c>
      <c r="M4934">
        <v>0.96998549999999994</v>
      </c>
      <c r="N4934">
        <v>0</v>
      </c>
      <c r="O4934">
        <v>-0.24279519999999999</v>
      </c>
      <c r="P4934">
        <v>0.98576969999999997</v>
      </c>
      <c r="Q4934">
        <v>1.0867730000000001E-3</v>
      </c>
      <c r="R4934">
        <v>-0.16809830000000001</v>
      </c>
      <c r="S4934">
        <v>3.0729679999999999</v>
      </c>
      <c r="T4934">
        <v>-0.195242</v>
      </c>
      <c r="U4934">
        <v>0.1579285</v>
      </c>
      <c r="V4934">
        <v>-7.6362959999999994E-2</v>
      </c>
      <c r="W4934">
        <v>1.4052230000000001E-2</v>
      </c>
      <c r="X4934">
        <v>0.99698109999999995</v>
      </c>
      <c r="Y4934">
        <v>-0.29121599999999997</v>
      </c>
      <c r="Z4934">
        <v>2.4544590000000002E-2</v>
      </c>
      <c r="AA4934">
        <v>0.95634240000000004</v>
      </c>
      <c r="AB4934">
        <v>13</v>
      </c>
      <c r="AC4934">
        <v>17.3142</v>
      </c>
      <c r="AD4934">
        <v>-1.1065786544289999</v>
      </c>
      <c r="AE4934">
        <v>0.91539999999999799</v>
      </c>
      <c r="AF4934">
        <v>-5.0715262849161</v>
      </c>
      <c r="AG4934">
        <v>-1.1065786544289999</v>
      </c>
      <c r="AH4934">
        <v>16.506512349732802</v>
      </c>
      <c r="AI4934">
        <v>93.666640699134902</v>
      </c>
      <c r="AJ4934">
        <v>107.079259489753</v>
      </c>
      <c r="AK4934">
        <v>17.303463385372201</v>
      </c>
    </row>
    <row r="4935" spans="1:37" x14ac:dyDescent="0.2">
      <c r="A4935" t="str">
        <f>"20200111155953531"</f>
        <v>20200111155953531</v>
      </c>
      <c r="B4935" t="str">
        <f>"1578729593525338"</f>
        <v>1578729593525338</v>
      </c>
      <c r="C4935" t="s">
        <v>37</v>
      </c>
      <c r="D4935">
        <v>5.7025759999999996</v>
      </c>
      <c r="E4935">
        <v>0.41659970000000002</v>
      </c>
      <c r="F4935" t="s">
        <v>78</v>
      </c>
      <c r="G4935">
        <v>-385.95589999999999</v>
      </c>
      <c r="H4935" s="1">
        <v>-2.692951E-6</v>
      </c>
      <c r="I4935">
        <v>22.550920000000001</v>
      </c>
      <c r="J4935">
        <v>-403.25619999999998</v>
      </c>
      <c r="K4935">
        <v>1.106595</v>
      </c>
      <c r="L4935">
        <v>21.589569999999998</v>
      </c>
      <c r="M4935">
        <v>0.97085959999999905</v>
      </c>
      <c r="N4935">
        <v>0</v>
      </c>
      <c r="O4935">
        <v>-0.2392745</v>
      </c>
      <c r="P4935">
        <v>0.98635669999999898</v>
      </c>
      <c r="Q4935">
        <v>1.4617499999999999E-3</v>
      </c>
      <c r="R4935">
        <v>-0.1646156</v>
      </c>
      <c r="S4935">
        <v>3.0720519999999998</v>
      </c>
      <c r="T4935">
        <v>-0.19561529999999999</v>
      </c>
      <c r="U4935">
        <v>0.16726679999999999</v>
      </c>
      <c r="V4935">
        <v>-7.6269829999999997E-2</v>
      </c>
      <c r="W4935">
        <v>1.444558E-2</v>
      </c>
      <c r="X4935">
        <v>0.99698259999999905</v>
      </c>
      <c r="Y4935">
        <v>-0.29066340000000002</v>
      </c>
      <c r="Z4935">
        <v>2.4361219999999999E-2</v>
      </c>
      <c r="AA4935">
        <v>0.95651520000000001</v>
      </c>
      <c r="AB4935">
        <v>13</v>
      </c>
      <c r="AC4935">
        <v>17.300299999999901</v>
      </c>
      <c r="AD4935">
        <v>-1.106597692951</v>
      </c>
      <c r="AE4935">
        <v>0.96134999999999904</v>
      </c>
      <c r="AF4935">
        <v>-5.0527024759953596</v>
      </c>
      <c r="AG4935">
        <v>-1.106597692951</v>
      </c>
      <c r="AH4935">
        <v>16.500319931255799</v>
      </c>
      <c r="AI4935">
        <v>93.669127799021695</v>
      </c>
      <c r="AJ4935">
        <v>107.02555490256501</v>
      </c>
      <c r="AK4935">
        <v>17.292047842831401</v>
      </c>
    </row>
    <row r="4936" spans="1:37" x14ac:dyDescent="0.2">
      <c r="A4936" t="str">
        <f>"20200111155953543"</f>
        <v>20200111155953543</v>
      </c>
      <c r="B4936" t="str">
        <f>"1578729593535100"</f>
        <v>1578729593535100</v>
      </c>
      <c r="C4936" t="s">
        <v>37</v>
      </c>
      <c r="D4936">
        <v>5.6845369999999997</v>
      </c>
      <c r="E4936">
        <v>0.41690090000000002</v>
      </c>
      <c r="F4936" t="s">
        <v>78</v>
      </c>
      <c r="G4936">
        <v>-385.79129999999998</v>
      </c>
      <c r="H4936" s="1">
        <v>-2.7779570000000002E-6</v>
      </c>
      <c r="I4936">
        <v>22.578029999999998</v>
      </c>
      <c r="J4936">
        <v>-403.1823</v>
      </c>
      <c r="K4936">
        <v>1.106614</v>
      </c>
      <c r="L4936">
        <v>21.57544</v>
      </c>
      <c r="M4936">
        <v>0.97168489999999996</v>
      </c>
      <c r="N4936">
        <v>0</v>
      </c>
      <c r="O4936">
        <v>-0.2359011</v>
      </c>
      <c r="P4936">
        <v>0.98690250000000002</v>
      </c>
      <c r="Q4936">
        <v>1.8773360000000001E-3</v>
      </c>
      <c r="R4936">
        <v>-0.1613079</v>
      </c>
      <c r="S4936">
        <v>3.0708009999999999</v>
      </c>
      <c r="T4936">
        <v>-0.19456950000000001</v>
      </c>
      <c r="U4936">
        <v>0.1737976</v>
      </c>
      <c r="V4936">
        <v>-7.6152410000000004E-2</v>
      </c>
      <c r="W4936">
        <v>1.486229E-2</v>
      </c>
      <c r="X4936">
        <v>0.99698539999999902</v>
      </c>
      <c r="Y4936">
        <v>-0.28940979999999999</v>
      </c>
      <c r="Z4936">
        <v>2.3991640000000002E-2</v>
      </c>
      <c r="AA4936">
        <v>0.95690459999999999</v>
      </c>
      <c r="AB4936">
        <v>13</v>
      </c>
      <c r="AC4936">
        <v>17.390999999999998</v>
      </c>
      <c r="AD4936">
        <v>-1.106616777957</v>
      </c>
      <c r="AE4936">
        <v>1.0025899999999901</v>
      </c>
      <c r="AF4936">
        <v>-5.0568052761796896</v>
      </c>
      <c r="AG4936">
        <v>-1.106616777957</v>
      </c>
      <c r="AH4936">
        <v>16.596575948532699</v>
      </c>
      <c r="AI4936">
        <v>93.649522388220205</v>
      </c>
      <c r="AJ4936">
        <v>106.945437233581</v>
      </c>
      <c r="AK4936">
        <v>17.3851147108631</v>
      </c>
    </row>
    <row r="4937" spans="1:37" x14ac:dyDescent="0.2">
      <c r="A4937" t="str">
        <f>"20200111155953562"</f>
        <v>20200111155953562</v>
      </c>
      <c r="B4937" t="str">
        <f>"1578729593555595"</f>
        <v>1578729593555595</v>
      </c>
      <c r="C4937" t="s">
        <v>37</v>
      </c>
      <c r="D4937">
        <v>5.7568960000000002</v>
      </c>
      <c r="E4937">
        <v>0.41724259999999902</v>
      </c>
      <c r="F4937" t="s">
        <v>78</v>
      </c>
      <c r="G4937">
        <v>-385.57119999999998</v>
      </c>
      <c r="H4937" s="1">
        <v>-2.89270999999999E-6</v>
      </c>
      <c r="I4937">
        <v>22.618320000000001</v>
      </c>
      <c r="J4937">
        <v>-403.08960000000002</v>
      </c>
      <c r="K4937">
        <v>1.106641</v>
      </c>
      <c r="L4937">
        <v>21.558319999999998</v>
      </c>
      <c r="M4937">
        <v>0.97271640000000004</v>
      </c>
      <c r="N4937">
        <v>0</v>
      </c>
      <c r="O4937">
        <v>-0.23161279999999901</v>
      </c>
      <c r="P4937">
        <v>0.98758769999999996</v>
      </c>
      <c r="Q4937">
        <v>3.2471009999999901E-3</v>
      </c>
      <c r="R4937">
        <v>-0.15703539999999999</v>
      </c>
      <c r="S4937">
        <v>3.0699160000000001</v>
      </c>
      <c r="T4937">
        <v>-0.19290270000000001</v>
      </c>
      <c r="U4937">
        <v>0.18179319999999999</v>
      </c>
      <c r="V4937">
        <v>-7.6076699999999997E-2</v>
      </c>
      <c r="W4937">
        <v>1.6180110000000001E-2</v>
      </c>
      <c r="X4937">
        <v>0.99697069999999999</v>
      </c>
      <c r="Y4937">
        <v>-0.287716799999999</v>
      </c>
      <c r="Z4937">
        <v>2.347548E-2</v>
      </c>
      <c r="AA4937">
        <v>0.95742780000000005</v>
      </c>
      <c r="AB4937">
        <v>13</v>
      </c>
      <c r="AC4937">
        <v>17.5184</v>
      </c>
      <c r="AD4937">
        <v>-1.10664389271</v>
      </c>
      <c r="AE4937">
        <v>1.0599999999999901</v>
      </c>
      <c r="AF4937">
        <v>-5.0688653045489396</v>
      </c>
      <c r="AG4937">
        <v>-1.10664389271</v>
      </c>
      <c r="AH4937">
        <v>16.729905921714899</v>
      </c>
      <c r="AI4937">
        <v>93.622318774814502</v>
      </c>
      <c r="AJ4937">
        <v>106.855879460322</v>
      </c>
      <c r="AK4937">
        <v>17.515930130323198</v>
      </c>
    </row>
    <row r="4938" spans="1:37" x14ac:dyDescent="0.2">
      <c r="A4938" t="str">
        <f>"20200111155953576"</f>
        <v>20200111155953576</v>
      </c>
      <c r="B4938" t="str">
        <f>"1578729593565354"</f>
        <v>1578729593565354</v>
      </c>
      <c r="C4938" t="s">
        <v>37</v>
      </c>
      <c r="D4938">
        <v>5.7475199999999997</v>
      </c>
      <c r="E4938">
        <v>0.41759390000000002</v>
      </c>
      <c r="F4938" t="s">
        <v>78</v>
      </c>
      <c r="G4938">
        <v>-384.99669999999998</v>
      </c>
      <c r="H4938" s="1">
        <v>-3.1838119999999998E-6</v>
      </c>
      <c r="I4938">
        <v>22.69164</v>
      </c>
      <c r="J4938">
        <v>-403.01010000000002</v>
      </c>
      <c r="K4938">
        <v>1.1066559999999901</v>
      </c>
      <c r="L4938">
        <v>21.54401</v>
      </c>
      <c r="M4938">
        <v>0.97359719999999905</v>
      </c>
      <c r="N4938">
        <v>0</v>
      </c>
      <c r="O4938">
        <v>-0.22788749999999999</v>
      </c>
      <c r="P4938">
        <v>0.98824699999999999</v>
      </c>
      <c r="Q4938">
        <v>4.240939E-3</v>
      </c>
      <c r="R4938">
        <v>-0.15280859999999999</v>
      </c>
      <c r="S4938">
        <v>3.068848</v>
      </c>
      <c r="T4938">
        <v>-0.18770479999999901</v>
      </c>
      <c r="U4938">
        <v>0.19223019999999999</v>
      </c>
      <c r="V4938">
        <v>-7.6530490000000007E-2</v>
      </c>
      <c r="W4938">
        <v>1.708169E-2</v>
      </c>
      <c r="X4938">
        <v>0.9969209</v>
      </c>
      <c r="Y4938">
        <v>-0.28737620000000003</v>
      </c>
      <c r="Z4938">
        <v>2.2617129999999999E-2</v>
      </c>
      <c r="AA4938">
        <v>0.95755069999999998</v>
      </c>
      <c r="AB4938">
        <v>13</v>
      </c>
      <c r="AC4938">
        <v>18.013400000000001</v>
      </c>
      <c r="AD4938">
        <v>-1.1066591838119999</v>
      </c>
      <c r="AE4938">
        <v>1.1476299999999899</v>
      </c>
      <c r="AF4938">
        <v>-5.20325783400415</v>
      </c>
      <c r="AG4938">
        <v>-1.1066591838119999</v>
      </c>
      <c r="AH4938">
        <v>17.213079187898298</v>
      </c>
      <c r="AI4938">
        <v>93.521626725188298</v>
      </c>
      <c r="AJ4938">
        <v>106.819286129967</v>
      </c>
      <c r="AK4938">
        <v>18.016344850304701</v>
      </c>
    </row>
    <row r="4939" spans="1:37" x14ac:dyDescent="0.2">
      <c r="A4939" t="str">
        <f>"20200111155953589"</f>
        <v>20200111155953589</v>
      </c>
      <c r="B4939" t="str">
        <f>"1578729593584874"</f>
        <v>1578729593584874</v>
      </c>
      <c r="C4939" t="s">
        <v>37</v>
      </c>
      <c r="D4939">
        <v>5.7313179999999999</v>
      </c>
      <c r="E4939">
        <v>0.41840569999999999</v>
      </c>
      <c r="F4939" t="s">
        <v>78</v>
      </c>
      <c r="G4939">
        <v>-384.68880000000001</v>
      </c>
      <c r="H4939" s="1">
        <v>-3.345944E-6</v>
      </c>
      <c r="I4939">
        <v>22.753989999999899</v>
      </c>
      <c r="J4939">
        <v>-402.93729999999999</v>
      </c>
      <c r="K4939">
        <v>1.1066670000000001</v>
      </c>
      <c r="L4939">
        <v>21.531220000000001</v>
      </c>
      <c r="M4939">
        <v>0.97439690000000001</v>
      </c>
      <c r="N4939">
        <v>0</v>
      </c>
      <c r="O4939">
        <v>-0.22444909999999901</v>
      </c>
      <c r="P4939">
        <v>0.98881319999999995</v>
      </c>
      <c r="Q4939">
        <v>5.1686019999999996E-3</v>
      </c>
      <c r="R4939">
        <v>-0.1490697</v>
      </c>
      <c r="S4939">
        <v>3.0678099999999899</v>
      </c>
      <c r="T4939">
        <v>-0.18530479999999899</v>
      </c>
      <c r="U4939">
        <v>0.20260619999999999</v>
      </c>
      <c r="V4939">
        <v>-7.6785149999999996E-2</v>
      </c>
      <c r="W4939">
        <v>1.789696E-2</v>
      </c>
      <c r="X4939">
        <v>0.99688699999999997</v>
      </c>
      <c r="Y4939">
        <v>-0.2872711</v>
      </c>
      <c r="Z4939">
        <v>2.2127810000000001E-2</v>
      </c>
      <c r="AA4939">
        <v>0.95759369999999999</v>
      </c>
      <c r="AB4939">
        <v>13</v>
      </c>
      <c r="AC4939">
        <v>18.2484999999999</v>
      </c>
      <c r="AD4939">
        <v>-1.1066703459439999</v>
      </c>
      <c r="AE4939">
        <v>1.2227699999999899</v>
      </c>
      <c r="AF4939">
        <v>-5.2684912736305298</v>
      </c>
      <c r="AG4939">
        <v>-1.1066703459439999</v>
      </c>
      <c r="AH4939">
        <v>17.444479550186301</v>
      </c>
      <c r="AI4939">
        <v>93.4753221382947</v>
      </c>
      <c r="AJ4939">
        <v>106.80509406476</v>
      </c>
      <c r="AK4939">
        <v>18.256275258983699</v>
      </c>
    </row>
    <row r="4940" spans="1:37" x14ac:dyDescent="0.2">
      <c r="A4940" t="str">
        <f>"20200111155953606"</f>
        <v>20200111155953606</v>
      </c>
      <c r="B4940" t="str">
        <f>"1578729593595613"</f>
        <v>1578729593595613</v>
      </c>
      <c r="C4940" t="s">
        <v>37</v>
      </c>
      <c r="D4940">
        <v>5.7128110000000003</v>
      </c>
      <c r="E4940">
        <v>0.41872500000000001</v>
      </c>
      <c r="F4940" t="s">
        <v>78</v>
      </c>
      <c r="G4940">
        <v>-384.12639999999999</v>
      </c>
      <c r="H4940" s="1">
        <v>-3.6253930000000001E-6</v>
      </c>
      <c r="I4940">
        <v>22.80508</v>
      </c>
      <c r="J4940">
        <v>-402.84559999999999</v>
      </c>
      <c r="K4940">
        <v>1.1066769999999999</v>
      </c>
      <c r="L4940">
        <v>21.515439999999899</v>
      </c>
      <c r="M4940">
        <v>0.97540000000000004</v>
      </c>
      <c r="N4940">
        <v>0</v>
      </c>
      <c r="O4940">
        <v>-0.22005959999999999</v>
      </c>
      <c r="P4940">
        <v>0.98960919999999897</v>
      </c>
      <c r="Q4940">
        <v>6.4770879999999998E-3</v>
      </c>
      <c r="R4940">
        <v>-0.14363870000000001</v>
      </c>
      <c r="S4940">
        <v>3.0662229999999999</v>
      </c>
      <c r="T4940">
        <v>-0.18038959999999901</v>
      </c>
      <c r="U4940">
        <v>0.20764160000000001</v>
      </c>
      <c r="V4940">
        <v>-7.7776040000000005E-2</v>
      </c>
      <c r="W4940">
        <v>1.9015420000000002E-2</v>
      </c>
      <c r="X4940">
        <v>0.99678949999999999</v>
      </c>
      <c r="Y4940">
        <v>-0.28461579999999997</v>
      </c>
      <c r="Z4940">
        <v>2.122075E-2</v>
      </c>
      <c r="AA4940">
        <v>0.95840669999999994</v>
      </c>
      <c r="AB4940">
        <v>13</v>
      </c>
      <c r="AC4940">
        <v>18.719200000000001</v>
      </c>
      <c r="AD4940">
        <v>-1.1066806253929999</v>
      </c>
      <c r="AE4940">
        <v>1.2896399999999999</v>
      </c>
      <c r="AF4940">
        <v>-5.3590654777820603</v>
      </c>
      <c r="AG4940">
        <v>-1.1066806253929999</v>
      </c>
      <c r="AH4940">
        <v>17.914108282725401</v>
      </c>
      <c r="AI4940">
        <v>93.387125165986205</v>
      </c>
      <c r="AJ4940">
        <v>106.654729687536</v>
      </c>
      <c r="AK4940">
        <v>18.731246631417399</v>
      </c>
    </row>
    <row r="4941" spans="1:37" x14ac:dyDescent="0.2">
      <c r="A4941" t="str">
        <f>"20200111155953621"</f>
        <v>20200111155953621</v>
      </c>
      <c r="B4941" t="str">
        <f>"1578729593615130"</f>
        <v>1578729593615130</v>
      </c>
      <c r="C4941" t="s">
        <v>37</v>
      </c>
      <c r="D4941">
        <v>5.7553419999999997</v>
      </c>
      <c r="E4941">
        <v>0.41947309999999999</v>
      </c>
      <c r="F4941" t="s">
        <v>78</v>
      </c>
      <c r="G4941">
        <v>-383.78980000000001</v>
      </c>
      <c r="H4941" s="1">
        <v>-3.8088089999999999E-6</v>
      </c>
      <c r="I4941">
        <v>22.89639</v>
      </c>
      <c r="J4941">
        <v>-402.76150000000001</v>
      </c>
      <c r="K4941">
        <v>1.1066689999999999</v>
      </c>
      <c r="L4941">
        <v>21.5015</v>
      </c>
      <c r="M4941">
        <v>0.97631190000000001</v>
      </c>
      <c r="N4941">
        <v>0</v>
      </c>
      <c r="O4941">
        <v>-0.21598970000000001</v>
      </c>
      <c r="P4941">
        <v>0.99024990000000002</v>
      </c>
      <c r="Q4941">
        <v>7.2881730000000002E-3</v>
      </c>
      <c r="R4941">
        <v>-0.1391104</v>
      </c>
      <c r="S4941">
        <v>3.06488</v>
      </c>
      <c r="T4941">
        <v>-0.1779953</v>
      </c>
      <c r="U4941">
        <v>0.2221069</v>
      </c>
      <c r="V4941">
        <v>-7.8181039999999993E-2</v>
      </c>
      <c r="W4941">
        <v>1.9618509999999999E-2</v>
      </c>
      <c r="X4941">
        <v>0.99674609999999997</v>
      </c>
      <c r="Y4941">
        <v>-0.28517579999999998</v>
      </c>
      <c r="Z4941">
        <v>2.0730700000000001E-2</v>
      </c>
      <c r="AA4941">
        <v>0.95825099999999996</v>
      </c>
      <c r="AB4941">
        <v>13</v>
      </c>
      <c r="AC4941">
        <v>18.971699999999998</v>
      </c>
      <c r="AD4941">
        <v>-1.1066728088090001</v>
      </c>
      <c r="AE4941">
        <v>1.39489</v>
      </c>
      <c r="AF4941">
        <v>-5.4415693646791201</v>
      </c>
      <c r="AG4941">
        <v>-1.1066728088090001</v>
      </c>
      <c r="AH4941">
        <v>18.161039934978898</v>
      </c>
      <c r="AI4941">
        <v>93.340717283021505</v>
      </c>
      <c r="AJ4941">
        <v>106.679726553724</v>
      </c>
      <c r="AK4941">
        <v>18.991018229054198</v>
      </c>
    </row>
    <row r="4942" spans="1:37" x14ac:dyDescent="0.2">
      <c r="A4942" t="str">
        <f>"20200111155953640"</f>
        <v>20200111155953640</v>
      </c>
      <c r="B4942" t="str">
        <f>"1578729593635627"</f>
        <v>1578729593635627</v>
      </c>
      <c r="C4942" t="s">
        <v>37</v>
      </c>
      <c r="D4942">
        <v>5.4509089999999896</v>
      </c>
      <c r="E4942">
        <v>0.41931419999999903</v>
      </c>
      <c r="F4942" t="s">
        <v>78</v>
      </c>
      <c r="G4942">
        <v>-383.63679999999999</v>
      </c>
      <c r="H4942" s="1">
        <v>-3.8925119999999999E-6</v>
      </c>
      <c r="I4942">
        <v>22.939250000000001</v>
      </c>
      <c r="J4942">
        <v>-402.66309999999999</v>
      </c>
      <c r="K4942">
        <v>1.1066510000000001</v>
      </c>
      <c r="L4942">
        <v>21.48563</v>
      </c>
      <c r="M4942">
        <v>0.97736800000000001</v>
      </c>
      <c r="N4942">
        <v>0</v>
      </c>
      <c r="O4942">
        <v>-0.211175</v>
      </c>
      <c r="P4942">
        <v>0.99106839999999996</v>
      </c>
      <c r="Q4942">
        <v>8.633735E-3</v>
      </c>
      <c r="R4942">
        <v>-0.13307550000000001</v>
      </c>
      <c r="S4942">
        <v>3.063202</v>
      </c>
      <c r="T4942">
        <v>-0.17725560000000001</v>
      </c>
      <c r="U4942">
        <v>0.23028560000000001</v>
      </c>
      <c r="V4942">
        <v>-7.9344659999999997E-2</v>
      </c>
      <c r="W4942">
        <v>2.0695470000000001E-2</v>
      </c>
      <c r="X4942">
        <v>0.99663239999999997</v>
      </c>
      <c r="Y4942">
        <v>-0.28305150000000001</v>
      </c>
      <c r="Z4942">
        <v>2.0319299999999998E-2</v>
      </c>
      <c r="AA4942">
        <v>0.95888949999999995</v>
      </c>
      <c r="AB4942">
        <v>13</v>
      </c>
      <c r="AC4942">
        <v>19.0262999999999</v>
      </c>
      <c r="AD4942">
        <v>-1.1066548925120001</v>
      </c>
      <c r="AE4942">
        <v>1.4536199999999999</v>
      </c>
      <c r="AF4942">
        <v>-5.4207946124151398</v>
      </c>
      <c r="AG4942">
        <v>-1.1066548925120001</v>
      </c>
      <c r="AH4942">
        <v>18.228851331472999</v>
      </c>
      <c r="AI4942">
        <v>93.330316417453304</v>
      </c>
      <c r="AJ4942">
        <v>106.561132755833</v>
      </c>
      <c r="AK4942">
        <v>19.049953284615999</v>
      </c>
    </row>
    <row r="4943" spans="1:37" x14ac:dyDescent="0.2">
      <c r="A4943" t="str">
        <f>"20200111155953663"</f>
        <v>20200111155953663</v>
      </c>
      <c r="B4943" t="str">
        <f>"1578729593655147"</f>
        <v>1578729593655147</v>
      </c>
      <c r="C4943" t="s">
        <v>37</v>
      </c>
      <c r="D4943">
        <v>5.72281</v>
      </c>
      <c r="E4943">
        <v>0.41999300000000001</v>
      </c>
      <c r="F4943" t="s">
        <v>78</v>
      </c>
      <c r="G4943">
        <v>-383.31229999999999</v>
      </c>
      <c r="H4943" s="1">
        <v>-4.0676940000000003E-6</v>
      </c>
      <c r="I4943">
        <v>23.06738</v>
      </c>
      <c r="J4943">
        <v>-402.53250000000003</v>
      </c>
      <c r="K4943">
        <v>1.1066309999999999</v>
      </c>
      <c r="L4943">
        <v>21.46536</v>
      </c>
      <c r="M4943">
        <v>0.97874349999999999</v>
      </c>
      <c r="N4943">
        <v>0</v>
      </c>
      <c r="O4943">
        <v>-0.2047272</v>
      </c>
      <c r="P4943">
        <v>0.99198180000000002</v>
      </c>
      <c r="Q4943">
        <v>9.7333960000000001E-3</v>
      </c>
      <c r="R4943">
        <v>-0.12600719999999899</v>
      </c>
      <c r="S4943">
        <v>3.0621640000000001</v>
      </c>
      <c r="T4943">
        <v>-0.17512259999999999</v>
      </c>
      <c r="U4943">
        <v>0.25030520000000001</v>
      </c>
      <c r="V4943">
        <v>-7.9881839999999996E-2</v>
      </c>
      <c r="W4943">
        <v>2.1426299999999999E-2</v>
      </c>
      <c r="X4943">
        <v>0.99657399999999996</v>
      </c>
      <c r="Y4943">
        <v>-0.28301389999999998</v>
      </c>
      <c r="Z4943">
        <v>1.9714579999999999E-2</v>
      </c>
      <c r="AA4943">
        <v>0.95891309999999996</v>
      </c>
      <c r="AB4943">
        <v>13</v>
      </c>
      <c r="AC4943">
        <v>19.220199999999998</v>
      </c>
      <c r="AD4943">
        <v>-1.106635067694</v>
      </c>
      <c r="AE4943">
        <v>1.60201999999999</v>
      </c>
      <c r="AF4943">
        <v>-5.4852130476435601</v>
      </c>
      <c r="AG4943">
        <v>-1.106635067694</v>
      </c>
      <c r="AH4943">
        <v>18.4243793386206</v>
      </c>
      <c r="AI4943">
        <v>93.294686975150697</v>
      </c>
      <c r="AJ4943">
        <v>106.57905495659099</v>
      </c>
      <c r="AK4943">
        <v>19.255387749003599</v>
      </c>
    </row>
    <row r="4944" spans="1:37" x14ac:dyDescent="0.2">
      <c r="A4944" t="str">
        <f>"20200111155953685"</f>
        <v>20200111155953685</v>
      </c>
      <c r="B4944" t="str">
        <f>"1578729593675645"</f>
        <v>1578729593675645</v>
      </c>
      <c r="C4944" t="s">
        <v>37</v>
      </c>
      <c r="D4944">
        <v>5.7843169999999997</v>
      </c>
      <c r="E4944">
        <v>0.42079269999999902</v>
      </c>
      <c r="F4944" t="s">
        <v>78</v>
      </c>
      <c r="G4944">
        <v>-383.23430000000002</v>
      </c>
      <c r="H4944" s="1">
        <v>-4.1117909999999997E-6</v>
      </c>
      <c r="I4944">
        <v>23.147179999999999</v>
      </c>
      <c r="J4944">
        <v>-402.41250000000002</v>
      </c>
      <c r="K4944">
        <v>1.106603</v>
      </c>
      <c r="L4944">
        <v>21.44754</v>
      </c>
      <c r="M4944">
        <v>0.97998019999999997</v>
      </c>
      <c r="N4944">
        <v>0</v>
      </c>
      <c r="O4944">
        <v>-0.19874359999999999</v>
      </c>
      <c r="P4944">
        <v>0.9927279</v>
      </c>
      <c r="Q4944">
        <v>9.7923690000000004E-3</v>
      </c>
      <c r="R4944">
        <v>-0.119982199999999</v>
      </c>
      <c r="S4944">
        <v>3.0598450000000001</v>
      </c>
      <c r="T4944">
        <v>-0.17546419999999999</v>
      </c>
      <c r="U4944">
        <v>0.26666259999999897</v>
      </c>
      <c r="V4944">
        <v>-7.9842419999999997E-2</v>
      </c>
      <c r="W4944">
        <v>2.1141690000000001E-2</v>
      </c>
      <c r="X4944">
        <v>0.99658329999999995</v>
      </c>
      <c r="Y4944">
        <v>-0.28231030000000001</v>
      </c>
      <c r="Z4944">
        <v>1.940658E-2</v>
      </c>
      <c r="AA4944">
        <v>0.95912679999999995</v>
      </c>
      <c r="AB4944">
        <v>13</v>
      </c>
      <c r="AC4944">
        <v>19.1782</v>
      </c>
      <c r="AD4944">
        <v>-1.1066071117909999</v>
      </c>
      <c r="AE4944">
        <v>1.69963999999999</v>
      </c>
      <c r="AF4944">
        <v>-5.4595054756121097</v>
      </c>
      <c r="AG4944">
        <v>-1.1066071117909999</v>
      </c>
      <c r="AH4944">
        <v>18.396979525660701</v>
      </c>
      <c r="AI4944">
        <v>93.300357820241302</v>
      </c>
      <c r="AJ4944">
        <v>106.52883337774099</v>
      </c>
      <c r="AK4944">
        <v>19.2218530585811</v>
      </c>
    </row>
    <row r="4945" spans="1:37" x14ac:dyDescent="0.2">
      <c r="A4945" t="str">
        <f>"20200111155953698"</f>
        <v>20200111155953698</v>
      </c>
      <c r="B4945" t="str">
        <f>"1578729593695162"</f>
        <v>1578729593695162</v>
      </c>
      <c r="C4945" t="s">
        <v>37</v>
      </c>
      <c r="D4945">
        <v>5.7624959999999996</v>
      </c>
      <c r="E4945">
        <v>0.42162139999999998</v>
      </c>
      <c r="F4945" t="s">
        <v>78</v>
      </c>
      <c r="G4945">
        <v>-383.43450000000001</v>
      </c>
      <c r="H4945" s="1">
        <v>-4.0403969999999996E-6</v>
      </c>
      <c r="I4945">
        <v>23.178149999999999</v>
      </c>
      <c r="J4945">
        <v>-402.33819999999997</v>
      </c>
      <c r="K4945">
        <v>1.1065929999999999</v>
      </c>
      <c r="L4945">
        <v>21.437010000000001</v>
      </c>
      <c r="M4945">
        <v>0.98073259999999995</v>
      </c>
      <c r="N4945">
        <v>0</v>
      </c>
      <c r="O4945">
        <v>-0.19500970000000001</v>
      </c>
      <c r="P4945">
        <v>0.99316610000000005</v>
      </c>
      <c r="Q4945">
        <v>9.4417500000000005E-3</v>
      </c>
      <c r="R4945">
        <v>-0.1163265</v>
      </c>
      <c r="S4945">
        <v>3.0574340000000002</v>
      </c>
      <c r="T4945">
        <v>-0.1782792</v>
      </c>
      <c r="U4945">
        <v>0.27880859999999902</v>
      </c>
      <c r="V4945">
        <v>-7.9714080000000007E-2</v>
      </c>
      <c r="W4945">
        <v>2.0580089999999999E-2</v>
      </c>
      <c r="X4945">
        <v>0.99660530000000003</v>
      </c>
      <c r="Y4945">
        <v>-0.28248210000000001</v>
      </c>
      <c r="Z4945">
        <v>1.952071E-2</v>
      </c>
      <c r="AA4945">
        <v>0.95907399999999998</v>
      </c>
      <c r="AB4945">
        <v>13</v>
      </c>
      <c r="AC4945">
        <v>18.903699999999901</v>
      </c>
      <c r="AD4945">
        <v>-1.106597040397</v>
      </c>
      <c r="AE4945">
        <v>1.7411399999999899</v>
      </c>
      <c r="AF4945">
        <v>-5.3760934943354197</v>
      </c>
      <c r="AG4945">
        <v>-1.106597040397</v>
      </c>
      <c r="AH4945">
        <v>18.139525173867099</v>
      </c>
      <c r="AI4945">
        <v>93.347415449564494</v>
      </c>
      <c r="AJ4945">
        <v>106.508482708426</v>
      </c>
      <c r="AK4945">
        <v>18.951762762418898</v>
      </c>
    </row>
    <row r="4946" spans="1:37" x14ac:dyDescent="0.2">
      <c r="A4946" t="str">
        <f>"20200111155953717"</f>
        <v>20200111155953717</v>
      </c>
      <c r="B4946" t="str">
        <f>"1578729593715658"</f>
        <v>1578729593715658</v>
      </c>
      <c r="C4946" t="s">
        <v>37</v>
      </c>
      <c r="D4946">
        <v>5.9654730000000002</v>
      </c>
      <c r="E4946">
        <v>0.42194019999999999</v>
      </c>
      <c r="F4946" t="s">
        <v>78</v>
      </c>
      <c r="G4946">
        <v>-383.52620000000002</v>
      </c>
      <c r="H4946" s="1">
        <v>-4.0058690000000003E-6</v>
      </c>
      <c r="I4946">
        <v>23.181920000000002</v>
      </c>
      <c r="J4946">
        <v>-402.2319</v>
      </c>
      <c r="K4946">
        <v>1.1065799999999999</v>
      </c>
      <c r="L4946">
        <v>21.422329999999999</v>
      </c>
      <c r="M4946">
        <v>0.98178670000000001</v>
      </c>
      <c r="N4946">
        <v>0</v>
      </c>
      <c r="O4946">
        <v>-0.18964900000000001</v>
      </c>
      <c r="P4946">
        <v>0.99368330000000005</v>
      </c>
      <c r="Q4946">
        <v>8.7549109999999902E-3</v>
      </c>
      <c r="R4946">
        <v>-0.11187859999999999</v>
      </c>
      <c r="S4946">
        <v>3.055542</v>
      </c>
      <c r="T4946">
        <v>-0.17973919999999999</v>
      </c>
      <c r="U4946">
        <v>0.28341669999999902</v>
      </c>
      <c r="V4946">
        <v>-7.8727630000000007E-2</v>
      </c>
      <c r="W4946">
        <v>1.9596579999999999E-2</v>
      </c>
      <c r="X4946">
        <v>0.99670349999999996</v>
      </c>
      <c r="Y4946">
        <v>-0.27872929999999901</v>
      </c>
      <c r="Z4946">
        <v>1.927011E-2</v>
      </c>
      <c r="AA4946">
        <v>0.96017629999999998</v>
      </c>
      <c r="AB4946">
        <v>13</v>
      </c>
      <c r="AC4946">
        <v>18.705699999999901</v>
      </c>
      <c r="AD4946">
        <v>-1.106584005869</v>
      </c>
      <c r="AE4946">
        <v>1.75959</v>
      </c>
      <c r="AF4946">
        <v>-5.2571606511150604</v>
      </c>
      <c r="AG4946">
        <v>-1.106584005869</v>
      </c>
      <c r="AH4946">
        <v>17.970121305183199</v>
      </c>
      <c r="AI4946">
        <v>93.382354158341002</v>
      </c>
      <c r="AJ4946">
        <v>106.306841858938</v>
      </c>
      <c r="AK4946">
        <v>18.75599973333</v>
      </c>
    </row>
    <row r="4947" spans="1:37" x14ac:dyDescent="0.2">
      <c r="A4947" t="str">
        <f>"20200111155953732"</f>
        <v>20200111155953732</v>
      </c>
      <c r="B4947" t="str">
        <f>"1578729593725418"</f>
        <v>1578729593725418</v>
      </c>
      <c r="C4947" t="s">
        <v>37</v>
      </c>
      <c r="D4947">
        <v>6.0332749999999997</v>
      </c>
      <c r="E4947">
        <v>0.45164520000000002</v>
      </c>
      <c r="F4947" t="s">
        <v>78</v>
      </c>
      <c r="G4947">
        <v>-383.76130000000001</v>
      </c>
      <c r="H4947" s="1">
        <v>-3.9043579999999902E-6</v>
      </c>
      <c r="I4947">
        <v>23.204989999999999</v>
      </c>
      <c r="J4947">
        <v>-402.15010000000001</v>
      </c>
      <c r="K4947">
        <v>1.106581</v>
      </c>
      <c r="L4947">
        <v>21.411470000000001</v>
      </c>
      <c r="M4947">
        <v>0.98257999999999901</v>
      </c>
      <c r="N4947">
        <v>0</v>
      </c>
      <c r="O4947">
        <v>-0.1855088</v>
      </c>
      <c r="P4947">
        <v>0.99407559999999995</v>
      </c>
      <c r="Q4947">
        <v>8.7046009999999993E-3</v>
      </c>
      <c r="R4947">
        <v>-0.108341699999999</v>
      </c>
      <c r="S4947">
        <v>3.0538639999999999</v>
      </c>
      <c r="T4947">
        <v>-0.18295919999999999</v>
      </c>
      <c r="U4947">
        <v>0.29473879999999902</v>
      </c>
      <c r="V4947">
        <v>-7.8071680000000004E-2</v>
      </c>
      <c r="W4947">
        <v>1.931863E-2</v>
      </c>
      <c r="X4947">
        <v>0.99676049999999905</v>
      </c>
      <c r="Y4947">
        <v>-0.27823690000000001</v>
      </c>
      <c r="Z4947">
        <v>1.936328E-2</v>
      </c>
      <c r="AA4947">
        <v>0.96031730000000004</v>
      </c>
      <c r="AB4947">
        <v>13</v>
      </c>
      <c r="AC4947">
        <v>18.3888</v>
      </c>
      <c r="AD4947">
        <v>-1.1065849043580001</v>
      </c>
      <c r="AE4947">
        <v>1.79351999999999</v>
      </c>
      <c r="AF4947">
        <v>-5.1553861791785698</v>
      </c>
      <c r="AG4947">
        <v>-1.1065849043580001</v>
      </c>
      <c r="AH4947">
        <v>17.673446961130001</v>
      </c>
      <c r="AI4947">
        <v>93.4397823919888</v>
      </c>
      <c r="AJ4947">
        <v>106.26208940747399</v>
      </c>
      <c r="AK4947">
        <v>18.443244408045299</v>
      </c>
    </row>
    <row r="4948" spans="1:37" x14ac:dyDescent="0.2">
      <c r="A4948" t="str">
        <f>"20200111155953750"</f>
        <v>20200111155953750</v>
      </c>
      <c r="B4948" t="str">
        <f>"1578729593744938"</f>
        <v>1578729593744938</v>
      </c>
      <c r="C4948" t="s">
        <v>37</v>
      </c>
      <c r="D4948">
        <v>5.8529059999999999</v>
      </c>
      <c r="E4948">
        <v>0.44676629999999901</v>
      </c>
      <c r="F4948" t="s">
        <v>78</v>
      </c>
      <c r="G4948">
        <v>-383.57830000000001</v>
      </c>
      <c r="H4948" s="1">
        <v>-3.6273259999999999E-6</v>
      </c>
      <c r="I4948">
        <v>21.838739999999898</v>
      </c>
      <c r="J4948">
        <v>-402.04489999999998</v>
      </c>
      <c r="K4948">
        <v>1.1065860000000001</v>
      </c>
      <c r="L4948">
        <v>21.398039999999899</v>
      </c>
      <c r="M4948">
        <v>0.98358109999999999</v>
      </c>
      <c r="N4948">
        <v>0</v>
      </c>
      <c r="O4948">
        <v>-0.18014289999999999</v>
      </c>
      <c r="P4948">
        <v>0.99453879999999995</v>
      </c>
      <c r="Q4948">
        <v>8.9356959999999999E-3</v>
      </c>
      <c r="R4948">
        <v>-0.1039853</v>
      </c>
      <c r="S4948">
        <v>3.0270389999999998</v>
      </c>
      <c r="T4948">
        <v>-0.18036350000000001</v>
      </c>
      <c r="U4948">
        <v>6.9641110000000006E-2</v>
      </c>
      <c r="V4948">
        <v>-7.6998990000000003E-2</v>
      </c>
      <c r="W4948">
        <v>1.9259040000000002E-2</v>
      </c>
      <c r="X4948">
        <v>0.99684509999999904</v>
      </c>
      <c r="Y4948">
        <v>-0.20205409999999999</v>
      </c>
      <c r="Z4948">
        <v>1.669814E-2</v>
      </c>
      <c r="AA4948">
        <v>0.97923199999999999</v>
      </c>
      <c r="AB4948">
        <v>13</v>
      </c>
      <c r="AC4948">
        <v>18.4665999999999</v>
      </c>
      <c r="AD4948">
        <v>-1.1065896273260001</v>
      </c>
      <c r="AE4948">
        <v>0.44069999999999898</v>
      </c>
      <c r="AF4948">
        <v>-3.7468637617162899</v>
      </c>
      <c r="AG4948">
        <v>-1.1065896273260001</v>
      </c>
      <c r="AH4948">
        <v>18.020393557522599</v>
      </c>
      <c r="AI4948">
        <v>93.440582788840899</v>
      </c>
      <c r="AJ4948">
        <v>101.745783555812</v>
      </c>
      <c r="AK4948">
        <v>18.439037735743401</v>
      </c>
    </row>
    <row r="4949" spans="1:37" x14ac:dyDescent="0.2">
      <c r="A4949" t="str">
        <f>"20200111155953775"</f>
        <v>20200111155953775</v>
      </c>
      <c r="B4949" t="str">
        <f>"1578729593765434"</f>
        <v>1578729593765434</v>
      </c>
      <c r="C4949" t="s">
        <v>37</v>
      </c>
      <c r="D4949">
        <v>5.8269830000000002</v>
      </c>
      <c r="E4949">
        <v>0.44542539999999903</v>
      </c>
      <c r="F4949" t="s">
        <v>78</v>
      </c>
      <c r="G4949">
        <v>-385.53289999999998</v>
      </c>
      <c r="H4949" s="1">
        <v>-2.7642739999999899E-6</v>
      </c>
      <c r="I4949">
        <v>22.067499999999999</v>
      </c>
      <c r="J4949">
        <v>-401.90660000000003</v>
      </c>
      <c r="K4949">
        <v>1.1066020000000001</v>
      </c>
      <c r="L4949">
        <v>21.381319999999999</v>
      </c>
      <c r="M4949">
        <v>0.98485800000000001</v>
      </c>
      <c r="N4949">
        <v>0</v>
      </c>
      <c r="O4949">
        <v>-0.17304990000000001</v>
      </c>
      <c r="P4949">
        <v>0.99516130000000003</v>
      </c>
      <c r="Q4949">
        <v>1.0270690000000001E-2</v>
      </c>
      <c r="R4949">
        <v>-9.7718609999999997E-2</v>
      </c>
      <c r="S4949">
        <v>3.0311279999999998</v>
      </c>
      <c r="T4949">
        <v>-0.20313809999999999</v>
      </c>
      <c r="U4949">
        <v>0.1228943</v>
      </c>
      <c r="V4949">
        <v>-7.6099150000000004E-2</v>
      </c>
      <c r="W4949">
        <v>2.021587E-2</v>
      </c>
      <c r="X4949">
        <v>0.99689530000000004</v>
      </c>
      <c r="Y4949">
        <v>-0.211955899999999</v>
      </c>
      <c r="Z4949">
        <v>1.8637830000000001E-2</v>
      </c>
      <c r="AA4949">
        <v>0.97710149999999996</v>
      </c>
      <c r="AB4949">
        <v>13</v>
      </c>
      <c r="AC4949">
        <v>16.373699999999999</v>
      </c>
      <c r="AD4949">
        <v>-1.106604764274</v>
      </c>
      <c r="AE4949">
        <v>0.68617999999999602</v>
      </c>
      <c r="AF4949">
        <v>-3.4935181770495798</v>
      </c>
      <c r="AG4949">
        <v>-1.106604764274</v>
      </c>
      <c r="AH4949">
        <v>15.9352353847122</v>
      </c>
      <c r="AI4949">
        <v>93.880594376382007</v>
      </c>
      <c r="AJ4949">
        <v>102.365456006065</v>
      </c>
      <c r="AK4949">
        <v>16.351176414065002</v>
      </c>
    </row>
    <row r="4950" spans="1:37" x14ac:dyDescent="0.2">
      <c r="A4950" t="str">
        <f>"20200111155953787"</f>
        <v>20200111155953787</v>
      </c>
      <c r="B4950" t="str">
        <f>"1578729593784954"</f>
        <v>1578729593784954</v>
      </c>
      <c r="C4950" t="s">
        <v>37</v>
      </c>
      <c r="D4950">
        <v>5.8586790000000004</v>
      </c>
      <c r="E4950">
        <v>0.44537309999999902</v>
      </c>
      <c r="F4950" t="s">
        <v>78</v>
      </c>
      <c r="G4950">
        <v>-386.38420000000002</v>
      </c>
      <c r="H4950" s="1">
        <v>-2.3887239999999999E-6</v>
      </c>
      <c r="I4950">
        <v>22.168589999999998</v>
      </c>
      <c r="J4950">
        <v>-401.83319999999998</v>
      </c>
      <c r="K4950">
        <v>1.106611</v>
      </c>
      <c r="L4950">
        <v>21.37283</v>
      </c>
      <c r="M4950">
        <v>0.98551710000000003</v>
      </c>
      <c r="N4950">
        <v>0</v>
      </c>
      <c r="O4950">
        <v>-0.16926769999999999</v>
      </c>
      <c r="P4950">
        <v>0.99547719999999995</v>
      </c>
      <c r="Q4950">
        <v>1.108138E-2</v>
      </c>
      <c r="R4950">
        <v>-9.4353190000000003E-2</v>
      </c>
      <c r="S4950">
        <v>3.031952</v>
      </c>
      <c r="T4950">
        <v>-0.2161517</v>
      </c>
      <c r="U4950">
        <v>0.1537781</v>
      </c>
      <c r="V4950">
        <v>-7.5645649999999995E-2</v>
      </c>
      <c r="W4950">
        <v>2.0830379999999999E-2</v>
      </c>
      <c r="X4950">
        <v>0.99691719999999895</v>
      </c>
      <c r="Y4950">
        <v>-0.2180029</v>
      </c>
      <c r="Z4950">
        <v>1.9770059999999999E-2</v>
      </c>
      <c r="AA4950">
        <v>0.975747899999999</v>
      </c>
      <c r="AB4950">
        <v>13</v>
      </c>
      <c r="AC4950">
        <v>15.4489999999999</v>
      </c>
      <c r="AD4950">
        <v>-1.1066133887239999</v>
      </c>
      <c r="AE4950">
        <v>0.79575999999999703</v>
      </c>
      <c r="AF4950">
        <v>-3.38212208193025</v>
      </c>
      <c r="AG4950">
        <v>-1.1066133887239999</v>
      </c>
      <c r="AH4950">
        <v>15.0145120190342</v>
      </c>
      <c r="AI4950">
        <v>94.112565496199807</v>
      </c>
      <c r="AJ4950">
        <v>102.694391475982</v>
      </c>
      <c r="AK4950">
        <v>15.4304541131785</v>
      </c>
    </row>
    <row r="4951" spans="1:37" x14ac:dyDescent="0.2">
      <c r="A4951" t="str">
        <f>"20200111155953807"</f>
        <v>20200111155953807</v>
      </c>
      <c r="B4951" t="str">
        <f>"1578729593795693"</f>
        <v>1578729593795693</v>
      </c>
      <c r="C4951" t="s">
        <v>37</v>
      </c>
      <c r="D4951">
        <v>5.8308559999999998</v>
      </c>
      <c r="E4951">
        <v>0.44546599999999997</v>
      </c>
      <c r="F4951" t="s">
        <v>78</v>
      </c>
      <c r="G4951">
        <v>-386.6388</v>
      </c>
      <c r="H4951" s="1">
        <v>-2.276526E-6</v>
      </c>
      <c r="I4951">
        <v>22.199059999999999</v>
      </c>
      <c r="J4951">
        <v>-401.72019999999998</v>
      </c>
      <c r="K4951">
        <v>1.1066279999999999</v>
      </c>
      <c r="L4951">
        <v>21.360379999999999</v>
      </c>
      <c r="M4951">
        <v>0.9865081</v>
      </c>
      <c r="N4951">
        <v>0</v>
      </c>
      <c r="O4951">
        <v>-0.16341020000000001</v>
      </c>
      <c r="P4951">
        <v>0.99596269999999998</v>
      </c>
      <c r="Q4951">
        <v>1.1700149999999999E-2</v>
      </c>
      <c r="R4951">
        <v>-8.9002579999999998E-2</v>
      </c>
      <c r="S4951">
        <v>3.0317379999999998</v>
      </c>
      <c r="T4951">
        <v>-0.220801899999999</v>
      </c>
      <c r="U4951">
        <v>0.164856</v>
      </c>
      <c r="V4951">
        <v>-7.5082759999999998E-2</v>
      </c>
      <c r="W4951">
        <v>2.1155509999999999E-2</v>
      </c>
      <c r="X4951">
        <v>0.99695290000000003</v>
      </c>
      <c r="Y4951">
        <v>-0.2157432</v>
      </c>
      <c r="Z4951">
        <v>1.9690409999999998E-2</v>
      </c>
      <c r="AA4951">
        <v>0.9762516</v>
      </c>
      <c r="AB4951">
        <v>13</v>
      </c>
      <c r="AC4951">
        <v>15.081399999999901</v>
      </c>
      <c r="AD4951">
        <v>-1.1066302765260001</v>
      </c>
      <c r="AE4951">
        <v>0.83867999999999998</v>
      </c>
      <c r="AF4951">
        <v>-3.2744062259905702</v>
      </c>
      <c r="AG4951">
        <v>-1.1066302765260001</v>
      </c>
      <c r="AH4951">
        <v>14.6628985078317</v>
      </c>
      <c r="AI4951">
        <v>94.212640073127503</v>
      </c>
      <c r="AJ4951">
        <v>102.588314027138</v>
      </c>
      <c r="AK4951">
        <v>15.064758854780999</v>
      </c>
    </row>
    <row r="4952" spans="1:37" x14ac:dyDescent="0.2">
      <c r="A4952" t="str">
        <f>"20200111155953828"</f>
        <v>20200111155953828</v>
      </c>
      <c r="B4952" t="str">
        <f>"1578729593824971"</f>
        <v>1578729593824971</v>
      </c>
      <c r="C4952" t="s">
        <v>37</v>
      </c>
      <c r="D4952">
        <v>5.8050620000000004</v>
      </c>
      <c r="E4952">
        <v>0.44607749999999902</v>
      </c>
      <c r="F4952" t="s">
        <v>78</v>
      </c>
      <c r="G4952">
        <v>-386.3408</v>
      </c>
      <c r="H4952" s="1">
        <v>-2.4376070000000002E-6</v>
      </c>
      <c r="I4952">
        <v>22.275110000000002</v>
      </c>
      <c r="J4952">
        <v>-401.59570000000002</v>
      </c>
      <c r="K4952">
        <v>1.106643</v>
      </c>
      <c r="L4952">
        <v>21.347529999999999</v>
      </c>
      <c r="M4952">
        <v>0.9875642</v>
      </c>
      <c r="N4952">
        <v>0</v>
      </c>
      <c r="O4952">
        <v>-0.156921</v>
      </c>
      <c r="P4952">
        <v>0.99644049999999995</v>
      </c>
      <c r="Q4952">
        <v>1.205227E-2</v>
      </c>
      <c r="R4952">
        <v>-8.3434430000000004E-2</v>
      </c>
      <c r="S4952">
        <v>3.0308229999999998</v>
      </c>
      <c r="T4952">
        <v>-0.21808449999999999</v>
      </c>
      <c r="U4952">
        <v>0.18026729999999899</v>
      </c>
      <c r="V4952">
        <v>-7.410195E-2</v>
      </c>
      <c r="W4952">
        <v>2.1196989999999999E-2</v>
      </c>
      <c r="X4952">
        <v>0.99702539999999995</v>
      </c>
      <c r="Y4952">
        <v>-0.21433269999999999</v>
      </c>
      <c r="Z4952">
        <v>1.8939839999999999E-2</v>
      </c>
      <c r="AA4952">
        <v>0.97657709999999998</v>
      </c>
      <c r="AB4952">
        <v>13</v>
      </c>
      <c r="AC4952">
        <v>15.254899999999999</v>
      </c>
      <c r="AD4952">
        <v>-1.1066454376070001</v>
      </c>
      <c r="AE4952">
        <v>0.92758000000000196</v>
      </c>
      <c r="AF4952">
        <v>-3.2927479700697302</v>
      </c>
      <c r="AG4952">
        <v>-1.1066454376070001</v>
      </c>
      <c r="AH4952">
        <v>14.842506219207101</v>
      </c>
      <c r="AI4952">
        <v>94.163190399404499</v>
      </c>
      <c r="AJ4952">
        <v>102.508254721618</v>
      </c>
      <c r="AK4952">
        <v>15.2435837054866</v>
      </c>
    </row>
    <row r="4953" spans="1:37" x14ac:dyDescent="0.2">
      <c r="A4953" t="str">
        <f>"20200111155953841"</f>
        <v>20200111155953841</v>
      </c>
      <c r="B4953" t="str">
        <f>"1578729593835706"</f>
        <v>1578729593835706</v>
      </c>
      <c r="C4953" t="s">
        <v>37</v>
      </c>
      <c r="D4953">
        <v>5.8261430000000001</v>
      </c>
      <c r="E4953">
        <v>0.44609359999999998</v>
      </c>
      <c r="F4953" t="s">
        <v>78</v>
      </c>
      <c r="G4953">
        <v>-386.39870000000002</v>
      </c>
      <c r="H4953" s="1">
        <v>-2.4205789999999998E-6</v>
      </c>
      <c r="I4953">
        <v>22.313960000000002</v>
      </c>
      <c r="J4953">
        <v>-401.51530000000002</v>
      </c>
      <c r="K4953">
        <v>1.1066549999999999</v>
      </c>
      <c r="L4953">
        <v>21.339690000000001</v>
      </c>
      <c r="M4953">
        <v>0.98822649999999901</v>
      </c>
      <c r="N4953">
        <v>0</v>
      </c>
      <c r="O4953">
        <v>-0.15270629999999999</v>
      </c>
      <c r="P4953">
        <v>0.99674459999999998</v>
      </c>
      <c r="Q4953">
        <v>1.230857E-2</v>
      </c>
      <c r="R4953">
        <v>-7.9678239999999997E-2</v>
      </c>
      <c r="S4953">
        <v>3.029541</v>
      </c>
      <c r="T4953">
        <v>-0.220611</v>
      </c>
      <c r="U4953">
        <v>0.19265750000000001</v>
      </c>
      <c r="V4953">
        <v>-7.3606920000000006E-2</v>
      </c>
      <c r="W4953">
        <v>2.1259440000000001E-2</v>
      </c>
      <c r="X4953">
        <v>0.99706070000000002</v>
      </c>
      <c r="Y4953">
        <v>-0.21415809999999999</v>
      </c>
      <c r="Z4953">
        <v>1.8854739999999998E-2</v>
      </c>
      <c r="AA4953">
        <v>0.97661699999999996</v>
      </c>
      <c r="AB4953">
        <v>13</v>
      </c>
      <c r="AC4953">
        <v>15.1166</v>
      </c>
      <c r="AD4953">
        <v>-1.1066574205790001</v>
      </c>
      <c r="AE4953">
        <v>0.97426999999999997</v>
      </c>
      <c r="AF4953">
        <v>-3.2539780354469601</v>
      </c>
      <c r="AG4953">
        <v>-1.1066574205790001</v>
      </c>
      <c r="AH4953">
        <v>14.711985388748801</v>
      </c>
      <c r="AI4953">
        <v>94.200628386716701</v>
      </c>
      <c r="AJ4953">
        <v>102.471820199294</v>
      </c>
      <c r="AK4953">
        <v>15.1081295262005</v>
      </c>
    </row>
    <row r="4954" spans="1:37" x14ac:dyDescent="0.2">
      <c r="A4954" t="str">
        <f>"20200111155953855"</f>
        <v>20200111155953855</v>
      </c>
      <c r="B4954" t="str">
        <f>"1578729593845467"</f>
        <v>1578729593845467</v>
      </c>
      <c r="C4954" t="s">
        <v>37</v>
      </c>
      <c r="D4954">
        <v>5.8632559999999998</v>
      </c>
      <c r="E4954">
        <v>0.44639499999999999</v>
      </c>
      <c r="F4954" t="s">
        <v>78</v>
      </c>
      <c r="G4954">
        <v>-386.4058</v>
      </c>
      <c r="H4954" s="1">
        <v>-2.4290989999999999E-6</v>
      </c>
      <c r="I4954">
        <v>22.358609999999999</v>
      </c>
      <c r="J4954">
        <v>-401.43819999999999</v>
      </c>
      <c r="K4954">
        <v>1.1066670000000001</v>
      </c>
      <c r="L4954">
        <v>21.332550000000001</v>
      </c>
      <c r="M4954">
        <v>0.98884620000000001</v>
      </c>
      <c r="N4954">
        <v>0</v>
      </c>
      <c r="O4954">
        <v>-0.1486526</v>
      </c>
      <c r="P4954">
        <v>0.99698750000000003</v>
      </c>
      <c r="Q4954">
        <v>1.2554539999999999E-2</v>
      </c>
      <c r="R4954">
        <v>-7.654002E-2</v>
      </c>
      <c r="S4954">
        <v>3.02887</v>
      </c>
      <c r="T4954">
        <v>-0.2218426</v>
      </c>
      <c r="U4954">
        <v>0.2042542</v>
      </c>
      <c r="V4954">
        <v>-7.265829E-2</v>
      </c>
      <c r="W4954">
        <v>2.1331429999999998E-2</v>
      </c>
      <c r="X4954">
        <v>0.99712869999999998</v>
      </c>
      <c r="Y4954">
        <v>-0.21389050000000001</v>
      </c>
      <c r="Z4954">
        <v>1.8658210000000001E-2</v>
      </c>
      <c r="AA4954">
        <v>0.97667939999999998</v>
      </c>
      <c r="AB4954">
        <v>13</v>
      </c>
      <c r="AC4954">
        <v>15.0323999999999</v>
      </c>
      <c r="AD4954">
        <v>-1.106669429099</v>
      </c>
      <c r="AE4954">
        <v>1.02606</v>
      </c>
      <c r="AF4954">
        <v>-3.2319249540057098</v>
      </c>
      <c r="AG4954">
        <v>-1.106669429099</v>
      </c>
      <c r="AH4954">
        <v>14.6338906156271</v>
      </c>
      <c r="AI4954">
        <v>94.223299746568003</v>
      </c>
      <c r="AJ4954">
        <v>102.45397610188</v>
      </c>
      <c r="AK4954">
        <v>15.0273354485673</v>
      </c>
    </row>
    <row r="4955" spans="1:37" x14ac:dyDescent="0.2">
      <c r="A4955" t="str">
        <f>"20200111155953868"</f>
        <v>20200111155953868</v>
      </c>
      <c r="B4955" t="str">
        <f>"1578729593864986"</f>
        <v>1578729593864986</v>
      </c>
      <c r="C4955" t="s">
        <v>37</v>
      </c>
      <c r="D4955">
        <v>5.8120419999999999</v>
      </c>
      <c r="E4955">
        <v>0.44705889999999998</v>
      </c>
      <c r="F4955" t="s">
        <v>78</v>
      </c>
      <c r="G4955">
        <v>-386.26679999999999</v>
      </c>
      <c r="H4955" s="1">
        <v>-2.5038920000000001E-6</v>
      </c>
      <c r="I4955">
        <v>22.39274</v>
      </c>
      <c r="J4955">
        <v>-401.35980000000001</v>
      </c>
      <c r="K4955">
        <v>1.106679</v>
      </c>
      <c r="L4955">
        <v>21.325530000000001</v>
      </c>
      <c r="M4955">
        <v>0.98946080000000003</v>
      </c>
      <c r="N4955">
        <v>0</v>
      </c>
      <c r="O4955">
        <v>-0.144515899999999</v>
      </c>
      <c r="P4955">
        <v>0.99723980000000001</v>
      </c>
      <c r="Q4955">
        <v>1.274518E-2</v>
      </c>
      <c r="R4955">
        <v>-7.3148679999999994E-2</v>
      </c>
      <c r="S4955">
        <v>3.0281370000000001</v>
      </c>
      <c r="T4955">
        <v>-0.2208852</v>
      </c>
      <c r="U4955">
        <v>0.21160889999999999</v>
      </c>
      <c r="V4955">
        <v>-7.1880860000000005E-2</v>
      </c>
      <c r="W4955">
        <v>2.1348590000000001E-2</v>
      </c>
      <c r="X4955">
        <v>0.99718479999999998</v>
      </c>
      <c r="Y4955">
        <v>-0.2122057</v>
      </c>
      <c r="Z4955">
        <v>1.8220730000000001E-2</v>
      </c>
      <c r="AA4955">
        <v>0.97705509999999995</v>
      </c>
      <c r="AB4955">
        <v>13</v>
      </c>
      <c r="AC4955">
        <v>15.093</v>
      </c>
      <c r="AD4955">
        <v>-1.1066815038919999</v>
      </c>
      <c r="AE4955">
        <v>1.06720999999999</v>
      </c>
      <c r="AF4955">
        <v>-3.2200482035773499</v>
      </c>
      <c r="AG4955">
        <v>-1.1066815038919999</v>
      </c>
      <c r="AH4955">
        <v>14.7016633262533</v>
      </c>
      <c r="AI4955">
        <v>94.205551483843493</v>
      </c>
      <c r="AJ4955">
        <v>102.35418418435999</v>
      </c>
      <c r="AK4955">
        <v>15.090803787171801</v>
      </c>
    </row>
    <row r="4956" spans="1:37" x14ac:dyDescent="0.2">
      <c r="A4956" t="str">
        <f>"20200111155953886"</f>
        <v>20200111155953886</v>
      </c>
      <c r="B4956" t="str">
        <f>"1578729593875724"</f>
        <v>1578729593875724</v>
      </c>
      <c r="C4956" t="s">
        <v>37</v>
      </c>
      <c r="D4956">
        <v>5.8488829999999998</v>
      </c>
      <c r="E4956">
        <v>0.44747819999999999</v>
      </c>
      <c r="F4956" t="s">
        <v>78</v>
      </c>
      <c r="G4956">
        <v>-386.0949</v>
      </c>
      <c r="H4956" s="1">
        <v>-2.5920540000000001E-6</v>
      </c>
      <c r="I4956">
        <v>22.418679999999998</v>
      </c>
      <c r="J4956">
        <v>-401.2516</v>
      </c>
      <c r="K4956">
        <v>1.1067049999999901</v>
      </c>
      <c r="L4956">
        <v>21.31644</v>
      </c>
      <c r="M4956">
        <v>0.99028359999999904</v>
      </c>
      <c r="N4956">
        <v>0</v>
      </c>
      <c r="O4956">
        <v>-0.13877970000000001</v>
      </c>
      <c r="P4956">
        <v>0.99750319999999904</v>
      </c>
      <c r="Q4956">
        <v>1.3004740000000001E-2</v>
      </c>
      <c r="R4956">
        <v>-6.9411429999999996E-2</v>
      </c>
      <c r="S4956">
        <v>3.02697799999999</v>
      </c>
      <c r="T4956">
        <v>-0.21945039999999999</v>
      </c>
      <c r="U4956">
        <v>0.216766399999999</v>
      </c>
      <c r="V4956">
        <v>-6.9839810000000002E-2</v>
      </c>
      <c r="W4956">
        <v>2.1389579999999998E-2</v>
      </c>
      <c r="X4956">
        <v>0.99732889999999996</v>
      </c>
      <c r="Y4956">
        <v>-0.20826129999999901</v>
      </c>
      <c r="Z4956">
        <v>1.75535E-2</v>
      </c>
      <c r="AA4956">
        <v>0.97791569999999906</v>
      </c>
      <c r="AB4956">
        <v>14</v>
      </c>
      <c r="AC4956">
        <v>15.156700000000001</v>
      </c>
      <c r="AD4956">
        <v>-1.1067075920539999</v>
      </c>
      <c r="AE4956">
        <v>1.1022399999999899</v>
      </c>
      <c r="AF4956">
        <v>-3.1782420941254701</v>
      </c>
      <c r="AG4956">
        <v>-1.1067075920539999</v>
      </c>
      <c r="AH4956">
        <v>14.778667469125701</v>
      </c>
      <c r="AI4956">
        <v>94.187246790662499</v>
      </c>
      <c r="AJ4956">
        <v>102.13695057824999</v>
      </c>
      <c r="AK4956">
        <v>15.157012788349</v>
      </c>
    </row>
    <row r="4957" spans="1:37" x14ac:dyDescent="0.2">
      <c r="A4957" t="str">
        <f>"20200111155953900"</f>
        <v>20200111155953900</v>
      </c>
      <c r="B4957" t="str">
        <f>"1578729593895242"</f>
        <v>1578729593895242</v>
      </c>
      <c r="C4957" t="s">
        <v>37</v>
      </c>
      <c r="D4957">
        <v>5.8360609999999999</v>
      </c>
      <c r="E4957">
        <v>0.44790940000000001</v>
      </c>
      <c r="F4957" t="s">
        <v>78</v>
      </c>
      <c r="G4957">
        <v>-385.8073</v>
      </c>
      <c r="H4957" s="1">
        <v>-2.74009599999999E-6</v>
      </c>
      <c r="I4957">
        <v>22.464220000000001</v>
      </c>
      <c r="J4957">
        <v>-401.17070000000001</v>
      </c>
      <c r="K4957">
        <v>1.106725</v>
      </c>
      <c r="L4957">
        <v>21.310120000000001</v>
      </c>
      <c r="M4957">
        <v>0.99087899999999995</v>
      </c>
      <c r="N4957">
        <v>0</v>
      </c>
      <c r="O4957">
        <v>-0.13447339999999999</v>
      </c>
      <c r="P4957">
        <v>0.99774439999999998</v>
      </c>
      <c r="Q4957">
        <v>1.280922E-2</v>
      </c>
      <c r="R4957">
        <v>-6.5895300000000004E-2</v>
      </c>
      <c r="S4957">
        <v>3.02597</v>
      </c>
      <c r="T4957">
        <v>-0.21683569999999999</v>
      </c>
      <c r="U4957">
        <v>0.224884</v>
      </c>
      <c r="V4957">
        <v>-6.9018540000000003E-2</v>
      </c>
      <c r="W4957">
        <v>2.103681E-2</v>
      </c>
      <c r="X4957">
        <v>0.99739349999999904</v>
      </c>
      <c r="Y4957">
        <v>-0.20667840000000001</v>
      </c>
      <c r="Z4957">
        <v>1.6986480000000002E-2</v>
      </c>
      <c r="AA4957">
        <v>0.97826150000000001</v>
      </c>
      <c r="AB4957">
        <v>14</v>
      </c>
      <c r="AC4957">
        <v>15.3634</v>
      </c>
      <c r="AD4957">
        <v>-1.1067277400960001</v>
      </c>
      <c r="AE4957">
        <v>1.1540999999999899</v>
      </c>
      <c r="AF4957">
        <v>-3.1931862467013299</v>
      </c>
      <c r="AG4957">
        <v>-1.1067277400960001</v>
      </c>
      <c r="AH4957">
        <v>14.991287702056701</v>
      </c>
      <c r="AI4957">
        <v>94.129870120190503</v>
      </c>
      <c r="AJ4957">
        <v>102.02446010077099</v>
      </c>
      <c r="AK4957">
        <v>15.3674978985733</v>
      </c>
    </row>
    <row r="4958" spans="1:37" x14ac:dyDescent="0.2">
      <c r="A4958" t="str">
        <f>"20200111155953918"</f>
        <v>20200111155953918</v>
      </c>
      <c r="B4958" t="str">
        <f>"1578729593915738"</f>
        <v>1578729593915738</v>
      </c>
      <c r="C4958" t="s">
        <v>37</v>
      </c>
      <c r="D4958">
        <v>5.8295250000000003</v>
      </c>
      <c r="E4958">
        <v>0.4486001</v>
      </c>
      <c r="F4958" t="s">
        <v>78</v>
      </c>
      <c r="G4958">
        <v>-385.96089999999998</v>
      </c>
      <c r="H4958" s="1">
        <v>-2.6711819999999999E-6</v>
      </c>
      <c r="I4958">
        <v>22.478010000000001</v>
      </c>
      <c r="J4958">
        <v>-401.06479999999999</v>
      </c>
      <c r="K4958">
        <v>1.1067579999999999</v>
      </c>
      <c r="L4958">
        <v>21.30237</v>
      </c>
      <c r="M4958">
        <v>0.99163269999999903</v>
      </c>
      <c r="N4958">
        <v>0</v>
      </c>
      <c r="O4958">
        <v>-0.12881019999999899</v>
      </c>
      <c r="P4958">
        <v>0.99797219999999998</v>
      </c>
      <c r="Q4958">
        <v>1.279663E-2</v>
      </c>
      <c r="R4958">
        <v>-6.2350299999999997E-2</v>
      </c>
      <c r="S4958">
        <v>3.0249329999999999</v>
      </c>
      <c r="T4958">
        <v>-0.22010589999999899</v>
      </c>
      <c r="U4958">
        <v>0.23226929999999901</v>
      </c>
      <c r="V4958">
        <v>-6.6864209999999993E-2</v>
      </c>
      <c r="W4958">
        <v>2.0838969999999998E-2</v>
      </c>
      <c r="X4958">
        <v>0.99754449999999995</v>
      </c>
      <c r="Y4958">
        <v>-0.20348440000000001</v>
      </c>
      <c r="Z4958">
        <v>1.672154E-2</v>
      </c>
      <c r="AA4958">
        <v>0.97893539999999901</v>
      </c>
      <c r="AB4958">
        <v>14</v>
      </c>
      <c r="AC4958">
        <v>15.103899999999999</v>
      </c>
      <c r="AD4958">
        <v>-1.1067606711819999</v>
      </c>
      <c r="AE4958">
        <v>1.17564</v>
      </c>
      <c r="AF4958">
        <v>-3.0949342740406798</v>
      </c>
      <c r="AG4958">
        <v>-1.1067606711819999</v>
      </c>
      <c r="AH4958">
        <v>14.7479131414735</v>
      </c>
      <c r="AI4958">
        <v>94.200570257056398</v>
      </c>
      <c r="AJ4958">
        <v>101.85186269402701</v>
      </c>
      <c r="AK4958">
        <v>15.1097478262331</v>
      </c>
    </row>
    <row r="4959" spans="1:37" x14ac:dyDescent="0.2">
      <c r="A4959" t="str">
        <f>"20200111155953933"</f>
        <v>20200111155953933</v>
      </c>
      <c r="B4959" t="str">
        <f>"1578729593925498"</f>
        <v>1578729593925498</v>
      </c>
      <c r="C4959" t="s">
        <v>37</v>
      </c>
      <c r="D4959">
        <v>5.8252309999999996</v>
      </c>
      <c r="E4959">
        <v>0.44897189999999998</v>
      </c>
      <c r="F4959" t="s">
        <v>78</v>
      </c>
      <c r="G4959">
        <v>-386.0883</v>
      </c>
      <c r="H4959" s="1">
        <v>-2.6117369999999999E-6</v>
      </c>
      <c r="I4959">
        <v>22.481020000000001</v>
      </c>
      <c r="J4959">
        <v>-400.97559999999999</v>
      </c>
      <c r="K4959">
        <v>1.106789</v>
      </c>
      <c r="L4959">
        <v>21.29636</v>
      </c>
      <c r="M4959">
        <v>0.9922453</v>
      </c>
      <c r="N4959">
        <v>0</v>
      </c>
      <c r="O4959">
        <v>-0.12401429999999999</v>
      </c>
      <c r="P4959">
        <v>0.998206699999999</v>
      </c>
      <c r="Q4959">
        <v>1.2752060000000001E-2</v>
      </c>
      <c r="R4959">
        <v>-5.848925E-2</v>
      </c>
      <c r="S4959">
        <v>3.0238339999999999</v>
      </c>
      <c r="T4959">
        <v>-0.22346189999999999</v>
      </c>
      <c r="U4959">
        <v>0.2379761</v>
      </c>
      <c r="V4959">
        <v>-6.5900769999999997E-2</v>
      </c>
      <c r="W4959">
        <v>2.0640639999999998E-2</v>
      </c>
      <c r="X4959">
        <v>0.99761270000000002</v>
      </c>
      <c r="Y4959">
        <v>-0.20060749999999999</v>
      </c>
      <c r="Z4959">
        <v>1.652286E-2</v>
      </c>
      <c r="AA4959">
        <v>0.97953239999999997</v>
      </c>
      <c r="AB4959">
        <v>14</v>
      </c>
      <c r="AC4959">
        <v>14.8872999999999</v>
      </c>
      <c r="AD4959">
        <v>-1.106791611737</v>
      </c>
      <c r="AE4959">
        <v>1.18466</v>
      </c>
      <c r="AF4959">
        <v>-3.0053105178485202</v>
      </c>
      <c r="AG4959">
        <v>-1.106791611737</v>
      </c>
      <c r="AH4959">
        <v>14.545559162331701</v>
      </c>
      <c r="AI4959">
        <v>94.261659095724994</v>
      </c>
      <c r="AJ4959">
        <v>101.67382251009199</v>
      </c>
      <c r="AK4959">
        <v>14.893964224657999</v>
      </c>
    </row>
    <row r="4960" spans="1:37" x14ac:dyDescent="0.2">
      <c r="A4960" t="str">
        <f>"20200111155953945"</f>
        <v>20200111155953945</v>
      </c>
      <c r="B4960" t="str">
        <f>"1578729593935259"</f>
        <v>1578729593935259</v>
      </c>
      <c r="C4960" t="s">
        <v>37</v>
      </c>
      <c r="D4960">
        <v>5.8487400000000003</v>
      </c>
      <c r="E4960">
        <v>0.44931779999999999</v>
      </c>
      <c r="F4960" t="s">
        <v>78</v>
      </c>
      <c r="G4960">
        <v>-386.04379999999998</v>
      </c>
      <c r="H4960" s="1">
        <v>-2.642418E-6</v>
      </c>
      <c r="I4960">
        <v>22.517139999999898</v>
      </c>
      <c r="J4960">
        <v>-400.89490000000001</v>
      </c>
      <c r="K4960">
        <v>1.1068169999999999</v>
      </c>
      <c r="L4960">
        <v>21.291170000000001</v>
      </c>
      <c r="M4960">
        <v>0.99278099999999903</v>
      </c>
      <c r="N4960">
        <v>0</v>
      </c>
      <c r="O4960">
        <v>-0.1196598</v>
      </c>
      <c r="P4960">
        <v>0.99838819999999995</v>
      </c>
      <c r="Q4960">
        <v>1.260474E-2</v>
      </c>
      <c r="R4960">
        <v>-5.5339140000000002E-2</v>
      </c>
      <c r="S4960">
        <v>3.0227360000000001</v>
      </c>
      <c r="T4960">
        <v>-0.22405429999999901</v>
      </c>
      <c r="U4960">
        <v>0.2471313</v>
      </c>
      <c r="V4960">
        <v>-6.4671870000000006E-2</v>
      </c>
      <c r="W4960">
        <v>2.0361270000000001E-2</v>
      </c>
      <c r="X4960">
        <v>0.9976988</v>
      </c>
      <c r="Y4960">
        <v>-0.199295899999999</v>
      </c>
      <c r="Z4960">
        <v>1.6201699999999999E-2</v>
      </c>
      <c r="AA4960">
        <v>0.97980540000000005</v>
      </c>
      <c r="AB4960">
        <v>14</v>
      </c>
      <c r="AC4960">
        <v>14.851100000000001</v>
      </c>
      <c r="AD4960">
        <v>-1.1068196424179999</v>
      </c>
      <c r="AE4960">
        <v>1.22596999999999</v>
      </c>
      <c r="AF4960">
        <v>-2.9778720019967801</v>
      </c>
      <c r="AG4960">
        <v>-1.1068196424179999</v>
      </c>
      <c r="AH4960">
        <v>14.517592069015301</v>
      </c>
      <c r="AI4960">
        <v>94.271200009705794</v>
      </c>
      <c r="AJ4960">
        <v>101.591813338162</v>
      </c>
      <c r="AK4960">
        <v>14.8611322201054</v>
      </c>
    </row>
    <row r="4961" spans="1:37" x14ac:dyDescent="0.2">
      <c r="A4961" t="str">
        <f>"20200111155953965"</f>
        <v>20200111155953965</v>
      </c>
      <c r="B4961" t="str">
        <f>"1578729593955754"</f>
        <v>1578729593955754</v>
      </c>
      <c r="C4961" t="s">
        <v>37</v>
      </c>
      <c r="D4961">
        <v>5.922911</v>
      </c>
      <c r="E4961">
        <v>0.45002199999999998</v>
      </c>
      <c r="F4961" t="s">
        <v>78</v>
      </c>
      <c r="G4961">
        <v>-386.0806</v>
      </c>
      <c r="H4961" s="1">
        <v>-2.63088099999999E-6</v>
      </c>
      <c r="I4961">
        <v>22.53922</v>
      </c>
      <c r="J4961">
        <v>-400.779</v>
      </c>
      <c r="K4961">
        <v>1.1068639999999901</v>
      </c>
      <c r="L4961">
        <v>21.284520000000001</v>
      </c>
      <c r="M4961">
        <v>0.99352280000000004</v>
      </c>
      <c r="N4961">
        <v>0</v>
      </c>
      <c r="O4961">
        <v>-0.113347699999999</v>
      </c>
      <c r="P4961">
        <v>0.99859730000000002</v>
      </c>
      <c r="Q4961">
        <v>1.1703409999999999E-2</v>
      </c>
      <c r="R4961">
        <v>-5.1639690000000002E-2</v>
      </c>
      <c r="S4961">
        <v>3.02182</v>
      </c>
      <c r="T4961">
        <v>-0.22576839999999901</v>
      </c>
      <c r="U4961">
        <v>0.25457759999999902</v>
      </c>
      <c r="V4961">
        <v>-6.2023099999999998E-2</v>
      </c>
      <c r="W4961">
        <v>1.9287169999999999E-2</v>
      </c>
      <c r="X4961">
        <v>0.99788829999999995</v>
      </c>
      <c r="Y4961">
        <v>-0.19550339999999999</v>
      </c>
      <c r="Z4961">
        <v>1.571881E-2</v>
      </c>
      <c r="AA4961">
        <v>0.98057709999999998</v>
      </c>
      <c r="AB4961">
        <v>14</v>
      </c>
      <c r="AC4961">
        <v>14.6983999999999</v>
      </c>
      <c r="AD4961">
        <v>-1.10686663088099</v>
      </c>
      <c r="AE4961">
        <v>1.2546999999999899</v>
      </c>
      <c r="AF4961">
        <v>-2.8963909189586601</v>
      </c>
      <c r="AG4961">
        <v>-1.10686663088099</v>
      </c>
      <c r="AH4961">
        <v>14.380486253773199</v>
      </c>
      <c r="AI4961">
        <v>94.315064193417996</v>
      </c>
      <c r="AJ4961">
        <v>101.387657015108</v>
      </c>
      <c r="AK4961">
        <v>14.7109693422611</v>
      </c>
    </row>
    <row r="4962" spans="1:37" x14ac:dyDescent="0.2">
      <c r="A4962" t="str">
        <f>"20200111155953987"</f>
        <v>20200111155953987</v>
      </c>
      <c r="B4962" t="str">
        <f>"1578729593985544"</f>
        <v>1578729593985544</v>
      </c>
      <c r="C4962" t="s">
        <v>37</v>
      </c>
      <c r="D4962">
        <v>5.8634839999999997</v>
      </c>
      <c r="E4962">
        <v>0.45130599999999998</v>
      </c>
      <c r="F4962" t="s">
        <v>78</v>
      </c>
      <c r="G4962">
        <v>-386.1044</v>
      </c>
      <c r="H4962" s="1">
        <v>-2.6237470000000002E-6</v>
      </c>
      <c r="I4962">
        <v>22.554729999999999</v>
      </c>
      <c r="J4962">
        <v>-400.64210000000003</v>
      </c>
      <c r="K4962">
        <v>1.1069260000000001</v>
      </c>
      <c r="L4962">
        <v>21.277739999999898</v>
      </c>
      <c r="M4962">
        <v>0.99435509999999905</v>
      </c>
      <c r="N4962">
        <v>0</v>
      </c>
      <c r="O4962">
        <v>-0.105813799999999</v>
      </c>
      <c r="P4962">
        <v>0.99880000000000002</v>
      </c>
      <c r="Q4962">
        <v>1.101128E-2</v>
      </c>
      <c r="R4962">
        <v>-4.7719449999999997E-2</v>
      </c>
      <c r="S4962">
        <v>3.020416</v>
      </c>
      <c r="T4962">
        <v>-0.22782240000000001</v>
      </c>
      <c r="U4962">
        <v>0.26144410000000001</v>
      </c>
      <c r="V4962">
        <v>-5.8373559999999998E-2</v>
      </c>
      <c r="W4962">
        <v>1.8409950000000001E-2</v>
      </c>
      <c r="X4962">
        <v>0.99812500000000004</v>
      </c>
      <c r="Y4962">
        <v>-0.19033900000000001</v>
      </c>
      <c r="Z4962">
        <v>1.5108160000000001E-2</v>
      </c>
      <c r="AA4962">
        <v>0.98160210000000003</v>
      </c>
      <c r="AB4962">
        <v>14</v>
      </c>
      <c r="AC4962">
        <v>14.537699999999999</v>
      </c>
      <c r="AD4962">
        <v>-1.106928623747</v>
      </c>
      <c r="AE4962">
        <v>1.2769900000000001</v>
      </c>
      <c r="AF4962">
        <v>-2.7920934935067199</v>
      </c>
      <c r="AG4962">
        <v>-1.106928623747</v>
      </c>
      <c r="AH4962">
        <v>14.239032400276701</v>
      </c>
      <c r="AI4962">
        <v>94.362431022063106</v>
      </c>
      <c r="AJ4962">
        <v>101.09421262546201</v>
      </c>
      <c r="AK4962">
        <v>14.5523579103417</v>
      </c>
    </row>
    <row r="4963" spans="1:37" x14ac:dyDescent="0.2">
      <c r="A4963" t="str">
        <f>"20200111155954002"</f>
        <v>20200111155954002</v>
      </c>
      <c r="B4963" t="str">
        <f>"1578729593995305"</f>
        <v>1578729593995305</v>
      </c>
      <c r="C4963" t="s">
        <v>37</v>
      </c>
      <c r="D4963">
        <v>5.8889559999999896</v>
      </c>
      <c r="E4963">
        <v>0.45130599999999998</v>
      </c>
      <c r="F4963" t="s">
        <v>78</v>
      </c>
      <c r="G4963">
        <v>-386.14980000000003</v>
      </c>
      <c r="H4963" s="1">
        <v>-2.6001799999999898E-6</v>
      </c>
      <c r="I4963">
        <v>22.546779999999998</v>
      </c>
      <c r="J4963">
        <v>-400.54770000000002</v>
      </c>
      <c r="K4963">
        <v>1.106976</v>
      </c>
      <c r="L4963">
        <v>21.273710000000001</v>
      </c>
      <c r="M4963">
        <v>0.99489989999999995</v>
      </c>
      <c r="N4963">
        <v>0</v>
      </c>
      <c r="O4963">
        <v>-0.1005736</v>
      </c>
      <c r="P4963">
        <v>0.99894629999999995</v>
      </c>
      <c r="Q4963">
        <v>1.1076020000000001E-2</v>
      </c>
      <c r="R4963">
        <v>-4.4541940000000002E-2</v>
      </c>
      <c r="S4963">
        <v>3.0187680000000001</v>
      </c>
      <c r="T4963">
        <v>-0.230575</v>
      </c>
      <c r="U4963">
        <v>0.2643433</v>
      </c>
      <c r="V4963">
        <v>-5.6292189999999999E-2</v>
      </c>
      <c r="W4963">
        <v>1.8353689999999999E-2</v>
      </c>
      <c r="X4963">
        <v>0.99824559999999996</v>
      </c>
      <c r="Y4963">
        <v>-0.18615370000000001</v>
      </c>
      <c r="Z4963">
        <v>1.4740420000000001E-2</v>
      </c>
      <c r="AA4963">
        <v>0.98241009999999995</v>
      </c>
      <c r="AB4963">
        <v>14</v>
      </c>
      <c r="AC4963">
        <v>14.3978999999999</v>
      </c>
      <c r="AD4963">
        <v>-1.1069786001799999</v>
      </c>
      <c r="AE4963">
        <v>1.2730699999999899</v>
      </c>
      <c r="AF4963">
        <v>-2.6988761265402701</v>
      </c>
      <c r="AG4963">
        <v>-1.1069786001799999</v>
      </c>
      <c r="AH4963">
        <v>14.1140671343036</v>
      </c>
      <c r="AI4963">
        <v>94.405087980282104</v>
      </c>
      <c r="AJ4963">
        <v>100.825355477277</v>
      </c>
      <c r="AK4963">
        <v>14.412363617370101</v>
      </c>
    </row>
    <row r="4964" spans="1:37" x14ac:dyDescent="0.2">
      <c r="A4964" t="str">
        <f>"20200111155954019"</f>
        <v>20200111155954019</v>
      </c>
      <c r="B4964" t="str">
        <f>"1578729594015799"</f>
        <v>1578729594015799</v>
      </c>
      <c r="C4964" t="s">
        <v>37</v>
      </c>
      <c r="D4964">
        <v>5.8948229999999997</v>
      </c>
      <c r="E4964">
        <v>0.46313710000000002</v>
      </c>
      <c r="F4964" t="s">
        <v>78</v>
      </c>
      <c r="G4964">
        <v>-385.99590000000001</v>
      </c>
      <c r="H4964" s="1">
        <v>-2.6863450000000002E-6</v>
      </c>
      <c r="I4964">
        <v>22.597290000000001</v>
      </c>
      <c r="J4964">
        <v>-400.44630000000001</v>
      </c>
      <c r="K4964">
        <v>1.107035</v>
      </c>
      <c r="L4964">
        <v>21.270019999999999</v>
      </c>
      <c r="M4964">
        <v>0.99545819999999996</v>
      </c>
      <c r="N4964">
        <v>0</v>
      </c>
      <c r="O4964">
        <v>-9.4897990000000002E-2</v>
      </c>
      <c r="P4964">
        <v>0.99901289999999998</v>
      </c>
      <c r="Q4964">
        <v>1.1431159999999999E-2</v>
      </c>
      <c r="R4964">
        <v>-4.2926730000000003E-2</v>
      </c>
      <c r="S4964">
        <v>3.0179749999999999</v>
      </c>
      <c r="T4964">
        <v>-0.2295835</v>
      </c>
      <c r="U4964">
        <v>0.27450559999999902</v>
      </c>
      <c r="V4964">
        <v>-5.2216459999999999E-2</v>
      </c>
      <c r="W4964">
        <v>1.8603990000000001E-2</v>
      </c>
      <c r="X4964">
        <v>0.99846250000000003</v>
      </c>
      <c r="Y4964">
        <v>-0.18388470000000001</v>
      </c>
      <c r="Z4964">
        <v>1.4163520000000001E-2</v>
      </c>
      <c r="AA4964">
        <v>0.98284579999999999</v>
      </c>
      <c r="AB4964">
        <v>14</v>
      </c>
      <c r="AC4964">
        <v>14.4504</v>
      </c>
      <c r="AD4964">
        <v>-1.107037686345</v>
      </c>
      <c r="AE4964">
        <v>1.32726999999999</v>
      </c>
      <c r="AF4964">
        <v>-2.6770527076997301</v>
      </c>
      <c r="AG4964">
        <v>-1.107037686345</v>
      </c>
      <c r="AH4964">
        <v>14.1767155001384</v>
      </c>
      <c r="AI4964">
        <v>94.387841668147601</v>
      </c>
      <c r="AJ4964">
        <v>100.693500731939</v>
      </c>
      <c r="AK4964">
        <v>14.469671938598101</v>
      </c>
    </row>
    <row r="4965" spans="1:37" x14ac:dyDescent="0.2">
      <c r="A4965" t="str">
        <f>"20200111155954042"</f>
        <v>20200111155954042</v>
      </c>
      <c r="B4965" t="str">
        <f>"1578729594035319"</f>
        <v>1578729594035319</v>
      </c>
      <c r="C4965" t="s">
        <v>37</v>
      </c>
      <c r="D4965">
        <v>5.8696989999999998</v>
      </c>
      <c r="E4965">
        <v>0.46624480000000001</v>
      </c>
      <c r="F4965" t="s">
        <v>78</v>
      </c>
      <c r="G4965">
        <v>-386.47410000000002</v>
      </c>
      <c r="H4965" s="1">
        <v>-2.3374709999999999E-6</v>
      </c>
      <c r="I4965">
        <v>22.135619999999999</v>
      </c>
      <c r="J4965">
        <v>-400.3014</v>
      </c>
      <c r="K4965">
        <v>1.1071229999999901</v>
      </c>
      <c r="L4965">
        <v>21.265779999999999</v>
      </c>
      <c r="M4965">
        <v>0.99620679999999995</v>
      </c>
      <c r="N4965">
        <v>0</v>
      </c>
      <c r="O4965">
        <v>-8.6702500000000002E-2</v>
      </c>
      <c r="P4965">
        <v>0.99918410000000002</v>
      </c>
      <c r="Q4965">
        <v>1.226697E-2</v>
      </c>
      <c r="R4965">
        <v>-3.8479380000000001E-2</v>
      </c>
      <c r="S4965">
        <v>3.0137330000000002</v>
      </c>
      <c r="T4965">
        <v>-0.23878240000000001</v>
      </c>
      <c r="U4965">
        <v>0.1867065</v>
      </c>
      <c r="V4965">
        <v>-4.8451859999999999E-2</v>
      </c>
      <c r="W4965">
        <v>1.928622E-2</v>
      </c>
      <c r="X4965">
        <v>0.99863930000000001</v>
      </c>
      <c r="Y4965">
        <v>-0.14740809999999999</v>
      </c>
      <c r="Z4965">
        <v>1.2675570000000001E-2</v>
      </c>
      <c r="AA4965">
        <v>0.9889945</v>
      </c>
      <c r="AB4965">
        <v>14</v>
      </c>
      <c r="AC4965">
        <v>13.8272999999999</v>
      </c>
      <c r="AD4965">
        <v>-1.1071253374709999</v>
      </c>
      <c r="AE4965">
        <v>0.86983999999999995</v>
      </c>
      <c r="AF4965">
        <v>-2.05235291972203</v>
      </c>
      <c r="AG4965">
        <v>-1.1071253374709999</v>
      </c>
      <c r="AH4965">
        <v>13.6128808171292</v>
      </c>
      <c r="AI4965">
        <v>94.597854116052602</v>
      </c>
      <c r="AJ4965">
        <v>98.573656135331802</v>
      </c>
      <c r="AK4965">
        <v>13.8111695073707</v>
      </c>
    </row>
    <row r="4966" spans="1:37" x14ac:dyDescent="0.2">
      <c r="A4966" t="str">
        <f>"20200111155954055"</f>
        <v>20200111155954055</v>
      </c>
      <c r="B4966" t="str">
        <f>"1578729594045079"</f>
        <v>1578729594045079</v>
      </c>
      <c r="C4966" t="s">
        <v>37</v>
      </c>
      <c r="D4966">
        <v>5.835941</v>
      </c>
      <c r="E4966">
        <v>0.46590389999999998</v>
      </c>
      <c r="F4966" t="s">
        <v>78</v>
      </c>
      <c r="G4966">
        <v>-385.79250000000002</v>
      </c>
      <c r="H4966" s="1">
        <v>-2.6534589999999899E-6</v>
      </c>
      <c r="I4966">
        <v>22.112220000000001</v>
      </c>
      <c r="J4966">
        <v>-400.21300000000002</v>
      </c>
      <c r="K4966">
        <v>1.1071850000000001</v>
      </c>
      <c r="L4966">
        <v>21.26389</v>
      </c>
      <c r="M4966">
        <v>0.9966353</v>
      </c>
      <c r="N4966">
        <v>0</v>
      </c>
      <c r="O4966">
        <v>-8.1636959999999995E-2</v>
      </c>
      <c r="P4966">
        <v>0.99928159999999899</v>
      </c>
      <c r="Q4966">
        <v>1.249898E-2</v>
      </c>
      <c r="R4966">
        <v>-3.5775220000000003E-2</v>
      </c>
      <c r="S4966">
        <v>3.0120239999999998</v>
      </c>
      <c r="T4966">
        <v>-0.22983719999999999</v>
      </c>
      <c r="U4966">
        <v>0.17572019999999999</v>
      </c>
      <c r="V4966">
        <v>-4.6080660000000002E-2</v>
      </c>
      <c r="W4966">
        <v>1.9432100000000001E-2</v>
      </c>
      <c r="X4966">
        <v>0.99874869999999905</v>
      </c>
      <c r="Y4966">
        <v>-0.13890739999999999</v>
      </c>
      <c r="Z4966">
        <v>1.15014E-2</v>
      </c>
      <c r="AA4966">
        <v>0.99023859999999997</v>
      </c>
      <c r="AB4966">
        <v>14</v>
      </c>
      <c r="AC4966">
        <v>14.420500000000001</v>
      </c>
      <c r="AD4966">
        <v>-1.1071876534589999</v>
      </c>
      <c r="AE4966">
        <v>0.84833000000000003</v>
      </c>
      <c r="AF4966">
        <v>-2.0109618192618002</v>
      </c>
      <c r="AG4966">
        <v>-1.1071876534589999</v>
      </c>
      <c r="AH4966">
        <v>14.219571869653899</v>
      </c>
      <c r="AI4966">
        <v>94.408582375171207</v>
      </c>
      <c r="AJ4966">
        <v>98.049509166646203</v>
      </c>
      <c r="AK4966">
        <v>14.4036820325483</v>
      </c>
    </row>
    <row r="4967" spans="1:37" x14ac:dyDescent="0.2">
      <c r="A4967" t="str">
        <f>"20200111155954070"</f>
        <v>20200111155954070</v>
      </c>
      <c r="B4967" t="str">
        <f>"1578729594065106"</f>
        <v>1578729594065106</v>
      </c>
      <c r="C4967" t="s">
        <v>37</v>
      </c>
      <c r="D4967">
        <v>5.9139949999999999</v>
      </c>
      <c r="E4967">
        <v>0.46602749999999998</v>
      </c>
      <c r="F4967" t="s">
        <v>78</v>
      </c>
      <c r="G4967">
        <v>-385.88659999999999</v>
      </c>
      <c r="H4967" s="1">
        <v>-2.6207149999999999E-6</v>
      </c>
      <c r="I4967">
        <v>22.156359999999999</v>
      </c>
      <c r="J4967">
        <v>-400.12090000000001</v>
      </c>
      <c r="K4967">
        <v>1.107243</v>
      </c>
      <c r="L4967">
        <v>21.26239</v>
      </c>
      <c r="M4967">
        <v>0.99705769999999905</v>
      </c>
      <c r="N4967">
        <v>0</v>
      </c>
      <c r="O4967">
        <v>-7.6315250000000001E-2</v>
      </c>
      <c r="P4967">
        <v>0.99938959999999999</v>
      </c>
      <c r="Q4967">
        <v>1.264586E-2</v>
      </c>
      <c r="R4967">
        <v>-3.2565199999999898E-2</v>
      </c>
      <c r="S4967">
        <v>3.0118099999999899</v>
      </c>
      <c r="T4967">
        <v>-0.232761</v>
      </c>
      <c r="U4967">
        <v>0.18762210000000001</v>
      </c>
      <c r="V4967">
        <v>-4.3960279999999997E-2</v>
      </c>
      <c r="W4967">
        <v>1.948884E-2</v>
      </c>
      <c r="X4967">
        <v>0.99884319999999904</v>
      </c>
      <c r="Y4967">
        <v>-0.1375276</v>
      </c>
      <c r="Z4967">
        <v>1.118397E-2</v>
      </c>
      <c r="AA4967">
        <v>0.99043479999999995</v>
      </c>
      <c r="AB4967">
        <v>14</v>
      </c>
      <c r="AC4967">
        <v>14.234299999999999</v>
      </c>
      <c r="AD4967">
        <v>-1.1072456207150001</v>
      </c>
      <c r="AE4967">
        <v>0.89396999999999904</v>
      </c>
      <c r="AF4967">
        <v>-1.9658369492802099</v>
      </c>
      <c r="AG4967">
        <v>-1.1072456207150001</v>
      </c>
      <c r="AH4967">
        <v>14.039941909782399</v>
      </c>
      <c r="AI4967">
        <v>94.4658548908033</v>
      </c>
      <c r="AJ4967">
        <v>97.970591323630899</v>
      </c>
      <c r="AK4967">
        <v>14.220073016894499</v>
      </c>
    </row>
    <row r="4968" spans="1:37" x14ac:dyDescent="0.2">
      <c r="A4968" t="str">
        <f>"20200111155954087"</f>
        <v>20200111155954087</v>
      </c>
      <c r="B4968" t="str">
        <f>"1578729594074866"</f>
        <v>1578729594074866</v>
      </c>
      <c r="C4968" t="s">
        <v>37</v>
      </c>
      <c r="D4968">
        <v>5.8900069999999998</v>
      </c>
      <c r="E4968">
        <v>0.46629009999999999</v>
      </c>
      <c r="F4968" t="s">
        <v>78</v>
      </c>
      <c r="G4968">
        <v>-385.57400000000001</v>
      </c>
      <c r="H4968" s="1">
        <v>-2.783181E-6</v>
      </c>
      <c r="I4968">
        <v>22.2117</v>
      </c>
      <c r="J4968">
        <v>-400.0145</v>
      </c>
      <c r="K4968">
        <v>1.1073090000000001</v>
      </c>
      <c r="L4968">
        <v>21.261229999999902</v>
      </c>
      <c r="M4968">
        <v>0.99751409999999996</v>
      </c>
      <c r="N4968">
        <v>0</v>
      </c>
      <c r="O4968">
        <v>-7.0110859999999997E-2</v>
      </c>
      <c r="P4968">
        <v>0.99943289999999996</v>
      </c>
      <c r="Q4968">
        <v>1.2214910000000001E-2</v>
      </c>
      <c r="R4968">
        <v>-3.1389479999999997E-2</v>
      </c>
      <c r="S4968">
        <v>3.011139</v>
      </c>
      <c r="T4968">
        <v>-0.229194799999999</v>
      </c>
      <c r="U4968">
        <v>0.1965027</v>
      </c>
      <c r="V4968">
        <v>-3.8920070000000001E-2</v>
      </c>
      <c r="W4968">
        <v>1.8978709999999999E-2</v>
      </c>
      <c r="X4968">
        <v>0.99906209999999995</v>
      </c>
      <c r="Y4968">
        <v>-0.13433429999999999</v>
      </c>
      <c r="Z4968">
        <v>1.042277E-2</v>
      </c>
      <c r="AA4968">
        <v>0.99088129999999996</v>
      </c>
      <c r="AB4968">
        <v>14</v>
      </c>
      <c r="AC4968">
        <v>14.440499999999901</v>
      </c>
      <c r="AD4968">
        <v>-1.107311783181</v>
      </c>
      <c r="AE4968">
        <v>0.95047000000000204</v>
      </c>
      <c r="AF4968">
        <v>-1.94918050986658</v>
      </c>
      <c r="AG4968">
        <v>-1.107311783181</v>
      </c>
      <c r="AH4968">
        <v>14.254866497284899</v>
      </c>
      <c r="AI4968">
        <v>94.401001638067001</v>
      </c>
      <c r="AJ4968">
        <v>97.786217222859406</v>
      </c>
      <c r="AK4968">
        <v>14.4300610844387</v>
      </c>
    </row>
    <row r="4969" spans="1:37" x14ac:dyDescent="0.2">
      <c r="A4969" t="str">
        <f>"20200111155954101"</f>
        <v>20200111155954101</v>
      </c>
      <c r="B4969" t="str">
        <f>"1578729594095364"</f>
        <v>1578729594095364</v>
      </c>
      <c r="C4969" t="s">
        <v>37</v>
      </c>
      <c r="D4969">
        <v>5.8535870000000001</v>
      </c>
      <c r="E4969">
        <v>0.466078299999999</v>
      </c>
      <c r="F4969" t="s">
        <v>78</v>
      </c>
      <c r="G4969">
        <v>-385.62799999999999</v>
      </c>
      <c r="H4969" s="1">
        <v>-2.7575420000000002E-6</v>
      </c>
      <c r="I4969">
        <v>22.211120000000001</v>
      </c>
      <c r="J4969">
        <v>-399.92380000000003</v>
      </c>
      <c r="K4969">
        <v>1.1073549999999901</v>
      </c>
      <c r="L4969">
        <v>21.260960000000001</v>
      </c>
      <c r="M4969">
        <v>0.99787519999999996</v>
      </c>
      <c r="N4969">
        <v>0</v>
      </c>
      <c r="O4969">
        <v>-6.4780009999999999E-2</v>
      </c>
      <c r="P4969">
        <v>0.99951389999999996</v>
      </c>
      <c r="Q4969">
        <v>1.1655270000000001E-2</v>
      </c>
      <c r="R4969">
        <v>-2.891467E-2</v>
      </c>
      <c r="S4969">
        <v>3.0107729999999999</v>
      </c>
      <c r="T4969">
        <v>-0.23173550000000001</v>
      </c>
      <c r="U4969">
        <v>0.19879150000000001</v>
      </c>
      <c r="V4969">
        <v>-3.605295E-2</v>
      </c>
      <c r="W4969">
        <v>1.834129E-2</v>
      </c>
      <c r="X4969">
        <v>0.999181599999999</v>
      </c>
      <c r="Y4969">
        <v>-0.12981229999999999</v>
      </c>
      <c r="Z4969">
        <v>9.9564130000000008E-3</v>
      </c>
      <c r="AA4969">
        <v>0.99148860000000005</v>
      </c>
      <c r="AB4969">
        <v>15</v>
      </c>
      <c r="AC4969">
        <v>14.2957999999999</v>
      </c>
      <c r="AD4969">
        <v>-1.1073577575419999</v>
      </c>
      <c r="AE4969">
        <v>0.95016</v>
      </c>
      <c r="AF4969">
        <v>-1.86313887957826</v>
      </c>
      <c r="AG4969">
        <v>-1.1073577575419999</v>
      </c>
      <c r="AH4969">
        <v>14.119870208117399</v>
      </c>
      <c r="AI4969">
        <v>94.445890450652001</v>
      </c>
      <c r="AJ4969">
        <v>97.516842345744806</v>
      </c>
      <c r="AK4969">
        <v>14.2852463185577</v>
      </c>
    </row>
    <row r="4970" spans="1:37" x14ac:dyDescent="0.2">
      <c r="A4970" t="str">
        <f>"20200111155954120"</f>
        <v>20200111155954120</v>
      </c>
      <c r="B4970" t="str">
        <f>"1578729594115859"</f>
        <v>1578729594115859</v>
      </c>
      <c r="C4970" t="s">
        <v>37</v>
      </c>
      <c r="D4970">
        <v>5.9248479999999999</v>
      </c>
      <c r="E4970">
        <v>0.46662209999999898</v>
      </c>
      <c r="F4970" t="s">
        <v>78</v>
      </c>
      <c r="G4970">
        <v>-386.20940000000002</v>
      </c>
      <c r="H4970" s="1">
        <v>-2.483399E-6</v>
      </c>
      <c r="I4970">
        <v>22.213719999999999</v>
      </c>
      <c r="J4970">
        <v>-399.80090000000001</v>
      </c>
      <c r="K4970">
        <v>1.107399</v>
      </c>
      <c r="L4970">
        <v>21.26135</v>
      </c>
      <c r="M4970">
        <v>0.99832069999999995</v>
      </c>
      <c r="N4970">
        <v>0</v>
      </c>
      <c r="O4970">
        <v>-5.7521740000000002E-2</v>
      </c>
      <c r="P4970">
        <v>0.99957850000000004</v>
      </c>
      <c r="Q4970">
        <v>1.037686E-2</v>
      </c>
      <c r="R4970">
        <v>-2.711827E-2</v>
      </c>
      <c r="S4970">
        <v>3.0103759999999999</v>
      </c>
      <c r="T4970">
        <v>-0.24307039999999899</v>
      </c>
      <c r="U4970">
        <v>0.20913699999999999</v>
      </c>
      <c r="V4970">
        <v>-3.0573079999999999E-2</v>
      </c>
      <c r="W4970">
        <v>1.697251E-2</v>
      </c>
      <c r="X4970">
        <v>0.99938839999999995</v>
      </c>
      <c r="Y4970">
        <v>-0.12598019999999999</v>
      </c>
      <c r="Z4970">
        <v>9.7036850000000001E-3</v>
      </c>
      <c r="AA4970">
        <v>0.99198529999999996</v>
      </c>
      <c r="AB4970">
        <v>15</v>
      </c>
      <c r="AC4970">
        <v>13.5914999999999</v>
      </c>
      <c r="AD4970">
        <v>-1.107401483399</v>
      </c>
      <c r="AE4970">
        <v>0.95237000000000205</v>
      </c>
      <c r="AF4970">
        <v>-1.7212473425711099</v>
      </c>
      <c r="AG4970">
        <v>-1.107401483399</v>
      </c>
      <c r="AH4970">
        <v>13.425520628673</v>
      </c>
      <c r="AI4970">
        <v>94.677245162518005</v>
      </c>
      <c r="AJ4970">
        <v>97.305871844007697</v>
      </c>
      <c r="AK4970">
        <v>13.580634543741599</v>
      </c>
    </row>
    <row r="4971" spans="1:37" x14ac:dyDescent="0.2">
      <c r="A4971" t="str">
        <f>"20200111155954144"</f>
        <v>20200111155954144</v>
      </c>
      <c r="B4971" t="str">
        <f>"1578729594135379"</f>
        <v>1578729594135379</v>
      </c>
      <c r="C4971" t="s">
        <v>37</v>
      </c>
      <c r="D4971">
        <v>5.9300459999999999</v>
      </c>
      <c r="E4971">
        <v>0.46512870000000001</v>
      </c>
      <c r="F4971" t="s">
        <v>78</v>
      </c>
      <c r="G4971">
        <v>-386.12079999999997</v>
      </c>
      <c r="H4971" s="1">
        <v>-2.526851E-6</v>
      </c>
      <c r="I4971">
        <v>22.219639999999998</v>
      </c>
      <c r="J4971">
        <v>-399.64909999999998</v>
      </c>
      <c r="K4971">
        <v>1.1074269999999999</v>
      </c>
      <c r="L4971">
        <v>21.263059999999999</v>
      </c>
      <c r="M4971">
        <v>0.99880100000000005</v>
      </c>
      <c r="N4971">
        <v>0</v>
      </c>
      <c r="O4971">
        <v>-4.8499699999999903E-2</v>
      </c>
      <c r="P4971">
        <v>0.99967419999999996</v>
      </c>
      <c r="Q4971">
        <v>1.1085100000000001E-2</v>
      </c>
      <c r="R4971">
        <v>-2.300406E-2</v>
      </c>
      <c r="S4971">
        <v>3.0095209999999999</v>
      </c>
      <c r="T4971">
        <v>-0.24361910000000001</v>
      </c>
      <c r="U4971">
        <v>0.21081539999999999</v>
      </c>
      <c r="V4971">
        <v>-2.5663579999999998E-2</v>
      </c>
      <c r="W4971">
        <v>1.7544629999999999E-2</v>
      </c>
      <c r="X4971">
        <v>0.99951669999999904</v>
      </c>
      <c r="Y4971">
        <v>-0.11763709999999999</v>
      </c>
      <c r="Z4971">
        <v>8.6632020000000001E-3</v>
      </c>
      <c r="AA4971">
        <v>0.99301890000000004</v>
      </c>
      <c r="AB4971">
        <v>15</v>
      </c>
      <c r="AC4971">
        <v>13.5283</v>
      </c>
      <c r="AD4971">
        <v>-1.1074295268509999</v>
      </c>
      <c r="AE4971">
        <v>0.95657999999999799</v>
      </c>
      <c r="AF4971">
        <v>-1.60091278540727</v>
      </c>
      <c r="AG4971">
        <v>-1.1074295268509999</v>
      </c>
      <c r="AH4971">
        <v>13.3767910892518</v>
      </c>
      <c r="AI4971">
        <v>94.699193714868699</v>
      </c>
      <c r="AJ4971">
        <v>96.824607257001205</v>
      </c>
      <c r="AK4971">
        <v>13.5176869970017</v>
      </c>
    </row>
    <row r="4972" spans="1:37" x14ac:dyDescent="0.2">
      <c r="A4972" t="str">
        <f>"20200111155954157"</f>
        <v>20200111155954157</v>
      </c>
      <c r="B4972" t="str">
        <f>"1578729594145140"</f>
        <v>1578729594145140</v>
      </c>
      <c r="C4972" t="s">
        <v>37</v>
      </c>
      <c r="D4972">
        <v>5.9732789999999998</v>
      </c>
      <c r="E4972">
        <v>0.46512870000000001</v>
      </c>
      <c r="F4972" t="s">
        <v>78</v>
      </c>
      <c r="G4972">
        <v>-386.0446</v>
      </c>
      <c r="H4972" s="1">
        <v>-2.5929109999999999E-6</v>
      </c>
      <c r="I4972">
        <v>22.33249</v>
      </c>
      <c r="J4972">
        <v>-399.55869999999999</v>
      </c>
      <c r="K4972">
        <v>1.107434</v>
      </c>
      <c r="L4972">
        <v>21.264890000000001</v>
      </c>
      <c r="M4972">
        <v>0.99904850000000001</v>
      </c>
      <c r="N4972">
        <v>0</v>
      </c>
      <c r="O4972">
        <v>-4.3114960000000001E-2</v>
      </c>
      <c r="P4972">
        <v>0.9997239</v>
      </c>
      <c r="Q4972">
        <v>1.2919409999999999E-2</v>
      </c>
      <c r="R4972">
        <v>-1.9634160000000001E-2</v>
      </c>
      <c r="S4972">
        <v>3.009125</v>
      </c>
      <c r="T4972">
        <v>-0.24494679999999999</v>
      </c>
      <c r="U4972">
        <v>0.23654169999999999</v>
      </c>
      <c r="V4972">
        <v>-2.366008E-2</v>
      </c>
      <c r="W4972">
        <v>1.9278110000000001E-2</v>
      </c>
      <c r="X4972">
        <v>0.99953419999999904</v>
      </c>
      <c r="Y4972">
        <v>-0.12073779999999899</v>
      </c>
      <c r="Z4972">
        <v>8.3976680000000005E-3</v>
      </c>
      <c r="AA4972">
        <v>0.99264889999999995</v>
      </c>
      <c r="AB4972">
        <v>15</v>
      </c>
      <c r="AC4972">
        <v>13.5140999999999</v>
      </c>
      <c r="AD4972">
        <v>-1.1074365929109999</v>
      </c>
      <c r="AE4972">
        <v>1.0675999999999899</v>
      </c>
      <c r="AF4972">
        <v>-1.6383459798683599</v>
      </c>
      <c r="AG4972">
        <v>-1.1074365929109999</v>
      </c>
      <c r="AH4972">
        <v>13.3663007833987</v>
      </c>
      <c r="AI4972">
        <v>94.701277717180503</v>
      </c>
      <c r="AJ4972">
        <v>96.988051396011798</v>
      </c>
      <c r="AK4972">
        <v>13.511794477024599</v>
      </c>
    </row>
    <row r="4973" spans="1:37" x14ac:dyDescent="0.2">
      <c r="A4973" t="str">
        <f>"20200111155954178"</f>
        <v>20200111155954178</v>
      </c>
      <c r="B4973" t="str">
        <f>"1578729594175396"</f>
        <v>1578729594175396</v>
      </c>
      <c r="C4973" t="s">
        <v>37</v>
      </c>
      <c r="D4973">
        <v>5.678572</v>
      </c>
      <c r="E4973">
        <v>0.42067060000000001</v>
      </c>
      <c r="F4973" t="s">
        <v>78</v>
      </c>
      <c r="G4973">
        <v>-385.61930000000001</v>
      </c>
      <c r="H4973" s="1">
        <v>-2.8144250000000002E-6</v>
      </c>
      <c r="I4973">
        <v>22.409549999999999</v>
      </c>
      <c r="J4973">
        <v>-399.42270000000002</v>
      </c>
      <c r="K4973">
        <v>1.10744</v>
      </c>
      <c r="L4973">
        <v>21.268370000000001</v>
      </c>
      <c r="M4973">
        <v>0.99936630000000004</v>
      </c>
      <c r="N4973">
        <v>0</v>
      </c>
      <c r="O4973">
        <v>-3.5021620000000003E-2</v>
      </c>
      <c r="P4973">
        <v>0.99974850000000004</v>
      </c>
      <c r="Q4973">
        <v>1.695723E-2</v>
      </c>
      <c r="R4973">
        <v>-1.469342E-2</v>
      </c>
      <c r="S4973">
        <v>3.008759</v>
      </c>
      <c r="T4973">
        <v>-0.23903559999999999</v>
      </c>
      <c r="U4973">
        <v>0.24707029999999999</v>
      </c>
      <c r="V4973">
        <v>-2.0536929999999998E-2</v>
      </c>
      <c r="W4973">
        <v>2.3150589999999999E-2</v>
      </c>
      <c r="X4973">
        <v>0.99952099999999899</v>
      </c>
      <c r="Y4973">
        <v>-0.11622249999999899</v>
      </c>
      <c r="Z4973">
        <v>7.3757219999999899E-3</v>
      </c>
      <c r="AA4973">
        <v>0.99319579999999996</v>
      </c>
      <c r="AB4973">
        <v>15</v>
      </c>
      <c r="AC4973">
        <v>13.8034</v>
      </c>
      <c r="AD4973">
        <v>-1.1074428144249999</v>
      </c>
      <c r="AE4973">
        <v>1.1411799999999901</v>
      </c>
      <c r="AF4973">
        <v>-1.6135912690024301</v>
      </c>
      <c r="AG4973">
        <v>-1.1074428144249999</v>
      </c>
      <c r="AH4973">
        <v>13.6675868600506</v>
      </c>
      <c r="AI4973">
        <v>94.600569864341793</v>
      </c>
      <c r="AJ4973">
        <v>96.733155788924293</v>
      </c>
      <c r="AK4973">
        <v>13.806992320837001</v>
      </c>
    </row>
    <row r="4974" spans="1:37" x14ac:dyDescent="0.2">
      <c r="A4974" t="str">
        <f>"20200111155954198"</f>
        <v>20200111155954198</v>
      </c>
      <c r="B4974" t="str">
        <f>"1578729594195892"</f>
        <v>1578729594195892</v>
      </c>
      <c r="C4974" t="s">
        <v>37</v>
      </c>
      <c r="D4974">
        <v>5.6802830000000002</v>
      </c>
      <c r="E4974">
        <v>0.41713359999999899</v>
      </c>
      <c r="F4974" t="s">
        <v>78</v>
      </c>
      <c r="G4974">
        <v>-388.30810000000002</v>
      </c>
      <c r="H4974" s="1">
        <v>-1.8534680000000001E-6</v>
      </c>
      <c r="I4974">
        <v>23.574860000000001</v>
      </c>
      <c r="J4974">
        <v>-399.28449999999998</v>
      </c>
      <c r="K4974">
        <v>1.107418</v>
      </c>
      <c r="L4974">
        <v>21.272950000000002</v>
      </c>
      <c r="M4974">
        <v>0.99962099999999898</v>
      </c>
      <c r="N4974">
        <v>0</v>
      </c>
      <c r="O4974">
        <v>-2.6834810000000001E-2</v>
      </c>
      <c r="P4974">
        <v>0.99977389999999999</v>
      </c>
      <c r="Q4974">
        <v>1.9513220000000001E-2</v>
      </c>
      <c r="R4974">
        <v>-8.4701180000000004E-3</v>
      </c>
      <c r="S4974">
        <v>3.015015</v>
      </c>
      <c r="T4974">
        <v>-0.30041129999999999</v>
      </c>
      <c r="U4974">
        <v>0.62567139999999999</v>
      </c>
      <c r="V4974">
        <v>-1.8591259999999998E-2</v>
      </c>
      <c r="W4974">
        <v>2.5508799999999901E-2</v>
      </c>
      <c r="X4974">
        <v>0.99950169999999905</v>
      </c>
      <c r="Y4974">
        <v>-0.22817950000000001</v>
      </c>
      <c r="Z4974">
        <v>1.386188E-2</v>
      </c>
      <c r="AA4974">
        <v>0.97352039999999995</v>
      </c>
      <c r="AB4974">
        <v>15</v>
      </c>
      <c r="AC4974">
        <v>10.9763999999999</v>
      </c>
      <c r="AD4974">
        <v>-1.107419853468</v>
      </c>
      <c r="AE4974">
        <v>2.3019099999999901</v>
      </c>
      <c r="AF4974">
        <v>-2.5705726378073201</v>
      </c>
      <c r="AG4974">
        <v>-1.107419853468</v>
      </c>
      <c r="AH4974">
        <v>10.8053207707543</v>
      </c>
      <c r="AI4974">
        <v>95.693900165495606</v>
      </c>
      <c r="AJ4974">
        <v>103.38184498189899</v>
      </c>
      <c r="AK4974">
        <v>11.161952310281301</v>
      </c>
    </row>
    <row r="4975" spans="1:37" x14ac:dyDescent="0.2">
      <c r="A4975" t="str">
        <f>"20200111155954214"</f>
        <v>20200111155954214</v>
      </c>
      <c r="B4975" t="str">
        <f>"1578729594205651"</f>
        <v>1578729594205651</v>
      </c>
      <c r="C4975" t="s">
        <v>37</v>
      </c>
      <c r="D4975">
        <v>5.6228129999999998</v>
      </c>
      <c r="E4975">
        <v>0.41573969999999999</v>
      </c>
      <c r="F4975" t="s">
        <v>78</v>
      </c>
      <c r="G4975">
        <v>-388.56549999999999</v>
      </c>
      <c r="H4975" s="1">
        <v>-1.757628E-6</v>
      </c>
      <c r="I4975">
        <v>23.671889999999902</v>
      </c>
      <c r="J4975">
        <v>-399.17669999999998</v>
      </c>
      <c r="K4975">
        <v>1.1073789999999999</v>
      </c>
      <c r="L4975">
        <v>21.277249999999999</v>
      </c>
      <c r="M4975">
        <v>0.99977199999999899</v>
      </c>
      <c r="N4975">
        <v>0</v>
      </c>
      <c r="O4975">
        <v>-2.050223E-2</v>
      </c>
      <c r="P4975">
        <v>0.99980270000000004</v>
      </c>
      <c r="Q4975">
        <v>1.9684139999999999E-2</v>
      </c>
      <c r="R4975">
        <v>-2.71950599999999E-3</v>
      </c>
      <c r="S4975">
        <v>3.012451</v>
      </c>
      <c r="T4975">
        <v>-0.31122699999999998</v>
      </c>
      <c r="U4975">
        <v>0.67419430000000002</v>
      </c>
      <c r="V4975">
        <v>-1.8008380000000001E-2</v>
      </c>
      <c r="W4975">
        <v>2.5504510000000001E-2</v>
      </c>
      <c r="X4975">
        <v>0.99951250000000003</v>
      </c>
      <c r="Y4975">
        <v>-0.2370544</v>
      </c>
      <c r="Z4975">
        <v>1.4152929999999999E-2</v>
      </c>
      <c r="AA4975">
        <v>0.97139330000000002</v>
      </c>
      <c r="AB4975">
        <v>15</v>
      </c>
      <c r="AC4975">
        <v>10.611199999999901</v>
      </c>
      <c r="AD4975">
        <v>-1.1073807576279999</v>
      </c>
      <c r="AE4975">
        <v>2.3946399999999901</v>
      </c>
      <c r="AF4975">
        <v>-2.5849059861428301</v>
      </c>
      <c r="AG4975">
        <v>-1.1073807576279999</v>
      </c>
      <c r="AH4975">
        <v>10.4515619724666</v>
      </c>
      <c r="AI4975">
        <v>95.872482757301995</v>
      </c>
      <c r="AJ4975">
        <v>103.891765066</v>
      </c>
      <c r="AK4975">
        <v>10.823270243501799</v>
      </c>
    </row>
    <row r="4976" spans="1:37" x14ac:dyDescent="0.2">
      <c r="A4976" t="str">
        <f>"20200111155954232"</f>
        <v>20200111155954232</v>
      </c>
      <c r="B4976" t="str">
        <f>"1578729594225171"</f>
        <v>1578729594225171</v>
      </c>
      <c r="C4976" t="s">
        <v>37</v>
      </c>
      <c r="D4976">
        <v>5.6880449999999998</v>
      </c>
      <c r="E4976">
        <v>0.4145508</v>
      </c>
      <c r="F4976" t="s">
        <v>78</v>
      </c>
      <c r="G4976">
        <v>-388.8451</v>
      </c>
      <c r="H4976" s="1">
        <v>-1.630719E-6</v>
      </c>
      <c r="I4976">
        <v>23.691679999999899</v>
      </c>
      <c r="J4976">
        <v>-399.05489999999998</v>
      </c>
      <c r="K4976">
        <v>1.107313</v>
      </c>
      <c r="L4976">
        <v>21.28284</v>
      </c>
      <c r="M4976">
        <v>0.99989319999999904</v>
      </c>
      <c r="N4976">
        <v>0</v>
      </c>
      <c r="O4976">
        <v>-1.342603E-2</v>
      </c>
      <c r="P4976">
        <v>0.99983719999999998</v>
      </c>
      <c r="Q4976">
        <v>1.7789719999999998E-2</v>
      </c>
      <c r="R4976">
        <v>3.044153E-3</v>
      </c>
      <c r="S4976">
        <v>3.0088810000000001</v>
      </c>
      <c r="T4976">
        <v>-0.3225034</v>
      </c>
      <c r="U4976">
        <v>0.70315550000000004</v>
      </c>
      <c r="V4976">
        <v>-1.6676630000000001E-2</v>
      </c>
      <c r="W4976">
        <v>2.3406110000000001E-2</v>
      </c>
      <c r="X4976">
        <v>0.99958689999999994</v>
      </c>
      <c r="Y4976">
        <v>-0.23924200000000001</v>
      </c>
      <c r="Z4976">
        <v>1.4032859999999999E-2</v>
      </c>
      <c r="AA4976">
        <v>0.97085859999999902</v>
      </c>
      <c r="AB4976">
        <v>15</v>
      </c>
      <c r="AC4976">
        <v>10.2097999999999</v>
      </c>
      <c r="AD4976">
        <v>-1.107314630719</v>
      </c>
      <c r="AE4976">
        <v>2.4088399999999899</v>
      </c>
      <c r="AF4976">
        <v>-2.51764940557897</v>
      </c>
      <c r="AG4976">
        <v>-1.107314630719</v>
      </c>
      <c r="AH4976">
        <v>10.064395788886699</v>
      </c>
      <c r="AI4976">
        <v>96.092347228630302</v>
      </c>
      <c r="AJ4976">
        <v>104.04455058531499</v>
      </c>
      <c r="AK4976">
        <v>10.433444628509699</v>
      </c>
    </row>
    <row r="4977" spans="1:37" x14ac:dyDescent="0.2">
      <c r="A4977" t="str">
        <f>"20200111155954247"</f>
        <v>20200111155954247</v>
      </c>
      <c r="B4977" t="str">
        <f>"1578729594245668"</f>
        <v>1578729594245668</v>
      </c>
      <c r="C4977" t="s">
        <v>37</v>
      </c>
      <c r="D4977">
        <v>5.6315150000000003</v>
      </c>
      <c r="E4977">
        <v>0.413885</v>
      </c>
      <c r="F4977" t="s">
        <v>78</v>
      </c>
      <c r="G4977">
        <v>-389.24770000000001</v>
      </c>
      <c r="H4977" s="1">
        <v>-1.433266E-6</v>
      </c>
      <c r="I4977">
        <v>23.66478</v>
      </c>
      <c r="J4977">
        <v>-398.95119999999997</v>
      </c>
      <c r="K4977">
        <v>1.107248</v>
      </c>
      <c r="L4977">
        <v>21.28809</v>
      </c>
      <c r="M4977">
        <v>0.99995659999999897</v>
      </c>
      <c r="N4977">
        <v>0</v>
      </c>
      <c r="O4977">
        <v>-7.4708429999999996E-3</v>
      </c>
      <c r="P4977">
        <v>0.99982349999999998</v>
      </c>
      <c r="Q4977">
        <v>1.692225E-2</v>
      </c>
      <c r="R4977">
        <v>8.1621290000000006E-3</v>
      </c>
      <c r="S4977">
        <v>3.00430299999999</v>
      </c>
      <c r="T4977">
        <v>-0.33920990000000001</v>
      </c>
      <c r="U4977">
        <v>0.72967530000000003</v>
      </c>
      <c r="V4977">
        <v>-1.582954E-2</v>
      </c>
      <c r="W4977">
        <v>2.2351139999999999E-2</v>
      </c>
      <c r="X4977">
        <v>0.99962479999999998</v>
      </c>
      <c r="Y4977">
        <v>-0.2417723</v>
      </c>
      <c r="Z4977">
        <v>1.4241729999999999E-2</v>
      </c>
      <c r="AA4977">
        <v>0.97022849999999905</v>
      </c>
      <c r="AB4977">
        <v>15</v>
      </c>
      <c r="AC4977">
        <v>9.7034999999999592</v>
      </c>
      <c r="AD4977">
        <v>-1.1072494332659999</v>
      </c>
      <c r="AE4977">
        <v>2.37669</v>
      </c>
      <c r="AF4977">
        <v>-2.4193987720734902</v>
      </c>
      <c r="AG4977">
        <v>-1.1072494332659999</v>
      </c>
      <c r="AH4977">
        <v>9.5679425984648194</v>
      </c>
      <c r="AI4977">
        <v>96.401451561362705</v>
      </c>
      <c r="AJ4977">
        <v>104.19064084214</v>
      </c>
      <c r="AK4977">
        <v>9.9310129036919701</v>
      </c>
    </row>
    <row r="4978" spans="1:37" x14ac:dyDescent="0.2">
      <c r="A4978" t="str">
        <f>"20200111155954265"</f>
        <v>20200111155954265</v>
      </c>
      <c r="B4978" t="str">
        <f>"1578729594255427"</f>
        <v>1578729594255427</v>
      </c>
      <c r="C4978" t="s">
        <v>37</v>
      </c>
      <c r="D4978">
        <v>5.6824209999999997</v>
      </c>
      <c r="E4978">
        <v>0.4142441</v>
      </c>
      <c r="F4978" t="s">
        <v>78</v>
      </c>
      <c r="G4978">
        <v>-389.52800000000002</v>
      </c>
      <c r="H4978" s="1">
        <v>-1.2958279999999899E-6</v>
      </c>
      <c r="I4978">
        <v>23.6463</v>
      </c>
      <c r="J4978">
        <v>-398.82420000000002</v>
      </c>
      <c r="K4978">
        <v>1.1071519999999999</v>
      </c>
      <c r="L4978">
        <v>21.295259999999999</v>
      </c>
      <c r="M4978">
        <v>0.99998589999999998</v>
      </c>
      <c r="N4978">
        <v>0</v>
      </c>
      <c r="O4978">
        <v>-3.0320310000000002E-4</v>
      </c>
      <c r="P4978">
        <v>0.99982919999999997</v>
      </c>
      <c r="Q4978">
        <v>1.3049750000000001E-2</v>
      </c>
      <c r="R4978">
        <v>1.309833E-2</v>
      </c>
      <c r="S4978">
        <v>3.0003359999999999</v>
      </c>
      <c r="T4978">
        <v>-0.35254839999999998</v>
      </c>
      <c r="U4978">
        <v>0.75085449999999998</v>
      </c>
      <c r="V4978">
        <v>-1.356126E-2</v>
      </c>
      <c r="W4978">
        <v>1.8245939999999999E-2</v>
      </c>
      <c r="X4978">
        <v>0.99974159999999901</v>
      </c>
      <c r="Y4978">
        <v>-0.2414984</v>
      </c>
      <c r="Z4978">
        <v>1.396213E-2</v>
      </c>
      <c r="AA4978">
        <v>0.97030079999999996</v>
      </c>
      <c r="AB4978">
        <v>16</v>
      </c>
      <c r="AC4978">
        <v>9.2962000000000007</v>
      </c>
      <c r="AD4978">
        <v>-1.1071532958279999</v>
      </c>
      <c r="AE4978">
        <v>2.3510399999999998</v>
      </c>
      <c r="AF4978">
        <v>-2.32289093068457</v>
      </c>
      <c r="AG4978">
        <v>-1.1071532958279999</v>
      </c>
      <c r="AH4978">
        <v>9.1731942139546803</v>
      </c>
      <c r="AI4978">
        <v>96.673347352585594</v>
      </c>
      <c r="AJ4978">
        <v>104.210072415439</v>
      </c>
      <c r="AK4978">
        <v>9.5272820249665706</v>
      </c>
    </row>
    <row r="4979" spans="1:37" x14ac:dyDescent="0.2">
      <c r="A4979" t="str">
        <f>"20200111155954288"</f>
        <v>20200111155954288</v>
      </c>
      <c r="B4979" t="str">
        <f>"1578729594285387"</f>
        <v>1578729594285387</v>
      </c>
      <c r="C4979" t="s">
        <v>37</v>
      </c>
      <c r="D4979">
        <v>5.7528569999999997</v>
      </c>
      <c r="E4979">
        <v>0.41370299999999999</v>
      </c>
      <c r="F4979" t="s">
        <v>78</v>
      </c>
      <c r="G4979">
        <v>-389.76799999999997</v>
      </c>
      <c r="H4979" s="1">
        <v>-1.1699030000000001E-6</v>
      </c>
      <c r="I4979">
        <v>23.59947</v>
      </c>
      <c r="J4979">
        <v>-398.67329999999998</v>
      </c>
      <c r="K4979">
        <v>1.107016</v>
      </c>
      <c r="L4979">
        <v>21.304749999999999</v>
      </c>
      <c r="M4979">
        <v>0.9999555</v>
      </c>
      <c r="N4979">
        <v>0</v>
      </c>
      <c r="O4979">
        <v>8.0000469999999997E-3</v>
      </c>
      <c r="P4979">
        <v>0.999783599999999</v>
      </c>
      <c r="Q4979">
        <v>9.2625019999999902E-3</v>
      </c>
      <c r="R4979">
        <v>1.8625559999999999E-2</v>
      </c>
      <c r="S4979">
        <v>2.9952999999999999</v>
      </c>
      <c r="T4979">
        <v>-0.36619000000000002</v>
      </c>
      <c r="U4979">
        <v>0.76211549999999995</v>
      </c>
      <c r="V4979">
        <v>-1.0748829999999999E-2</v>
      </c>
      <c r="W4979">
        <v>1.4163800000000001E-2</v>
      </c>
      <c r="X4979">
        <v>0.99984189999999995</v>
      </c>
      <c r="Y4979">
        <v>-0.23721729999999899</v>
      </c>
      <c r="Z4979">
        <v>1.3263520000000001E-2</v>
      </c>
      <c r="AA4979">
        <v>0.97136599999999995</v>
      </c>
      <c r="AB4979">
        <v>16</v>
      </c>
      <c r="AC4979">
        <v>8.9052999999999507</v>
      </c>
      <c r="AD4979">
        <v>-1.107017169903</v>
      </c>
      <c r="AE4979">
        <v>2.2947199999999999</v>
      </c>
      <c r="AF4979">
        <v>-2.1916442170922399</v>
      </c>
      <c r="AG4979">
        <v>-1.107017169903</v>
      </c>
      <c r="AH4979">
        <v>8.7959134467424605</v>
      </c>
      <c r="AI4979">
        <v>96.962600650649193</v>
      </c>
      <c r="AJ4979">
        <v>103.991270936047</v>
      </c>
      <c r="AK4979">
        <v>9.1321894828873695</v>
      </c>
    </row>
    <row r="4980" spans="1:37" x14ac:dyDescent="0.2">
      <c r="A4980" t="str">
        <f>"20200111155954302"</f>
        <v>20200111155954302</v>
      </c>
      <c r="B4980" t="str">
        <f>"1578729594295146"</f>
        <v>1578729594295146</v>
      </c>
      <c r="C4980" t="s">
        <v>37</v>
      </c>
      <c r="D4980">
        <v>5.6086429999999998</v>
      </c>
      <c r="E4980">
        <v>0.41453790000000001</v>
      </c>
      <c r="F4980" t="s">
        <v>78</v>
      </c>
      <c r="G4980">
        <v>-389.8698</v>
      </c>
      <c r="H4980" s="1">
        <v>-1.1244139999999999E-6</v>
      </c>
      <c r="I4980">
        <v>23.609259999999999</v>
      </c>
      <c r="J4980">
        <v>-398.56659999999999</v>
      </c>
      <c r="K4980">
        <v>1.1069199999999999</v>
      </c>
      <c r="L4980">
        <v>21.31204</v>
      </c>
      <c r="M4980">
        <v>0.99989430000000001</v>
      </c>
      <c r="N4980">
        <v>0</v>
      </c>
      <c r="O4980">
        <v>1.37437999999999E-2</v>
      </c>
      <c r="P4980">
        <v>0.99971489999999996</v>
      </c>
      <c r="Q4980">
        <v>7.3918999999999999E-3</v>
      </c>
      <c r="R4980">
        <v>2.2711749999999999E-2</v>
      </c>
      <c r="S4980">
        <v>2.9895939999999999</v>
      </c>
      <c r="T4980">
        <v>-0.37593300000000002</v>
      </c>
      <c r="U4980">
        <v>0.78259279999999998</v>
      </c>
      <c r="V4980">
        <v>-9.0727740000000005E-3</v>
      </c>
      <c r="W4980">
        <v>1.2072569999999999E-2</v>
      </c>
      <c r="X4980">
        <v>0.99988600000000005</v>
      </c>
      <c r="Y4980">
        <v>-0.2382659</v>
      </c>
      <c r="Z4980">
        <v>1.298494E-2</v>
      </c>
      <c r="AA4980">
        <v>0.97111309999999995</v>
      </c>
      <c r="AB4980">
        <v>16</v>
      </c>
      <c r="AC4980">
        <v>8.6967999999999908</v>
      </c>
      <c r="AD4980">
        <v>-1.106921124414</v>
      </c>
      <c r="AE4980">
        <v>2.2972199999999998</v>
      </c>
      <c r="AF4980">
        <v>-2.1449921650395898</v>
      </c>
      <c r="AG4980">
        <v>-1.106921124414</v>
      </c>
      <c r="AH4980">
        <v>8.5973583839781895</v>
      </c>
      <c r="AI4980">
        <v>97.120613938243096</v>
      </c>
      <c r="AJ4980">
        <v>104.008971718407</v>
      </c>
      <c r="AK4980">
        <v>8.9297725024949699</v>
      </c>
    </row>
    <row r="4981" spans="1:37" x14ac:dyDescent="0.2">
      <c r="A4981" t="str">
        <f>"20200111155954321"</f>
        <v>20200111155954321</v>
      </c>
      <c r="B4981" t="str">
        <f>"1578729594315642"</f>
        <v>1578729594315642</v>
      </c>
      <c r="C4981" t="s">
        <v>37</v>
      </c>
      <c r="D4981">
        <v>5.6420459999999997</v>
      </c>
      <c r="E4981">
        <v>0.41518440000000001</v>
      </c>
      <c r="F4981" t="s">
        <v>78</v>
      </c>
      <c r="G4981">
        <v>-389.85300000000001</v>
      </c>
      <c r="H4981" s="1">
        <v>-1.132854E-6</v>
      </c>
      <c r="I4981">
        <v>23.611079999999902</v>
      </c>
      <c r="J4981">
        <v>-398.43400000000003</v>
      </c>
      <c r="K4981">
        <v>1.1067959999999999</v>
      </c>
      <c r="L4981">
        <v>21.321809999999999</v>
      </c>
      <c r="M4981">
        <v>0.99977569999999905</v>
      </c>
      <c r="N4981">
        <v>0</v>
      </c>
      <c r="O4981">
        <v>2.070516E-2</v>
      </c>
      <c r="P4981">
        <v>0.99962220000000002</v>
      </c>
      <c r="Q4981">
        <v>4.7671090000000003E-3</v>
      </c>
      <c r="R4981">
        <v>2.707319E-2</v>
      </c>
      <c r="S4981">
        <v>2.985779</v>
      </c>
      <c r="T4981">
        <v>-0.37929350000000001</v>
      </c>
      <c r="U4981">
        <v>0.78778079999999995</v>
      </c>
      <c r="V4981">
        <v>-6.4468260000000001E-3</v>
      </c>
      <c r="W4981">
        <v>9.1687999999999995E-3</v>
      </c>
      <c r="X4981">
        <v>0.99993719999999997</v>
      </c>
      <c r="Y4981">
        <v>-0.23344239999999999</v>
      </c>
      <c r="Z4981">
        <v>1.1948240000000001E-2</v>
      </c>
      <c r="AA4981">
        <v>0.97229719999999997</v>
      </c>
      <c r="AB4981">
        <v>16</v>
      </c>
      <c r="AC4981">
        <v>8.5810000000000102</v>
      </c>
      <c r="AD4981">
        <v>-1.1067971328539901</v>
      </c>
      <c r="AE4981">
        <v>2.2892699999999899</v>
      </c>
      <c r="AF4981">
        <v>-2.0788202547219998</v>
      </c>
      <c r="AG4981">
        <v>-1.1067971328539901</v>
      </c>
      <c r="AH4981">
        <v>8.4946301761783296</v>
      </c>
      <c r="AI4981">
        <v>97.212955597991197</v>
      </c>
      <c r="AJ4981">
        <v>103.751256700871</v>
      </c>
      <c r="AK4981">
        <v>8.8150573097839704</v>
      </c>
    </row>
    <row r="4982" spans="1:37" x14ac:dyDescent="0.2">
      <c r="A4982" t="str">
        <f>"20200111155954335"</f>
        <v>20200111155954335</v>
      </c>
      <c r="B4982" t="str">
        <f>"1578729594325402"</f>
        <v>1578729594325402</v>
      </c>
      <c r="C4982" t="s">
        <v>37</v>
      </c>
      <c r="D4982">
        <v>5.628711</v>
      </c>
      <c r="E4982">
        <v>0.41536840000000003</v>
      </c>
      <c r="F4982" t="s">
        <v>78</v>
      </c>
      <c r="G4982">
        <v>-389.90800000000002</v>
      </c>
      <c r="H4982" s="1">
        <v>-1.102636E-6</v>
      </c>
      <c r="I4982">
        <v>23.595289999999999</v>
      </c>
      <c r="J4982">
        <v>-398.33819999999997</v>
      </c>
      <c r="K4982">
        <v>1.1067049999999901</v>
      </c>
      <c r="L4982">
        <v>21.329279999999901</v>
      </c>
      <c r="M4982">
        <v>0.99966369999999904</v>
      </c>
      <c r="N4982">
        <v>0</v>
      </c>
      <c r="O4982">
        <v>2.558498E-2</v>
      </c>
      <c r="P4982">
        <v>0.99952569999999996</v>
      </c>
      <c r="Q4982">
        <v>4.113879E-3</v>
      </c>
      <c r="R4982">
        <v>3.051972E-2</v>
      </c>
      <c r="S4982">
        <v>2.9814449999999999</v>
      </c>
      <c r="T4982">
        <v>-0.38703609999999999</v>
      </c>
      <c r="U4982">
        <v>0.79501339999999998</v>
      </c>
      <c r="V4982">
        <v>-5.0049919999999998E-3</v>
      </c>
      <c r="W4982">
        <v>8.3014669999999999E-3</v>
      </c>
      <c r="X4982">
        <v>0.99995299999999998</v>
      </c>
      <c r="Y4982">
        <v>-0.23123649999999901</v>
      </c>
      <c r="Z4982">
        <v>1.1444319999999999E-2</v>
      </c>
      <c r="AA4982">
        <v>0.97283019999999998</v>
      </c>
      <c r="AB4982">
        <v>16</v>
      </c>
      <c r="AC4982">
        <v>8.4301999999999495</v>
      </c>
      <c r="AD4982">
        <v>-1.1067061026360001</v>
      </c>
      <c r="AE4982">
        <v>2.2660100000000001</v>
      </c>
      <c r="AF4982">
        <v>-2.01715835562291</v>
      </c>
      <c r="AG4982">
        <v>-1.1067061026360001</v>
      </c>
      <c r="AH4982">
        <v>8.3511894926292403</v>
      </c>
      <c r="AI4982">
        <v>97.340209433471401</v>
      </c>
      <c r="AJ4982">
        <v>103.579212098371</v>
      </c>
      <c r="AK4982">
        <v>8.6623375696789893</v>
      </c>
    </row>
    <row r="4983" spans="1:37" x14ac:dyDescent="0.2">
      <c r="A4983" t="str">
        <f>"20200111155954355"</f>
        <v>20200111155954355</v>
      </c>
      <c r="B4983" t="str">
        <f>"1578729594345898"</f>
        <v>1578729594345898</v>
      </c>
      <c r="C4983" t="s">
        <v>37</v>
      </c>
      <c r="D4983">
        <v>5.6704679999999996</v>
      </c>
      <c r="E4983">
        <v>0.41610259999999999</v>
      </c>
      <c r="F4983" t="s">
        <v>78</v>
      </c>
      <c r="G4983">
        <v>-389.87060000000002</v>
      </c>
      <c r="H4983" s="1">
        <v>-1.1255849999999899E-6</v>
      </c>
      <c r="I4983">
        <v>23.61514</v>
      </c>
      <c r="J4983">
        <v>-398.18939999999998</v>
      </c>
      <c r="K4983">
        <v>1.106552</v>
      </c>
      <c r="L4983">
        <v>21.34149</v>
      </c>
      <c r="M4983">
        <v>0.99945010000000001</v>
      </c>
      <c r="N4983">
        <v>0</v>
      </c>
      <c r="O4983">
        <v>3.2935300000000001E-2</v>
      </c>
      <c r="P4983">
        <v>0.99938110000000002</v>
      </c>
      <c r="Q4983">
        <v>4.813403E-3</v>
      </c>
      <c r="R4983">
        <v>3.4850560000000003E-2</v>
      </c>
      <c r="S4983">
        <v>2.9784549999999999</v>
      </c>
      <c r="T4983">
        <v>-0.38928190000000001</v>
      </c>
      <c r="U4983">
        <v>0.80404659999999994</v>
      </c>
      <c r="V4983">
        <v>-1.9857759999999999E-3</v>
      </c>
      <c r="W4983">
        <v>8.6614640000000007E-3</v>
      </c>
      <c r="X4983">
        <v>0.99996049999999903</v>
      </c>
      <c r="Y4983">
        <v>-0.2271493</v>
      </c>
      <c r="Z4983">
        <v>1.0317689999999999E-2</v>
      </c>
      <c r="AA4983">
        <v>0.97380529999999998</v>
      </c>
      <c r="AB4983">
        <v>16</v>
      </c>
      <c r="AC4983">
        <v>8.3187999999999498</v>
      </c>
      <c r="AD4983">
        <v>-1.1065531255850001</v>
      </c>
      <c r="AE4983">
        <v>2.2736499999999999</v>
      </c>
      <c r="AF4983">
        <v>-1.9660630217855899</v>
      </c>
      <c r="AG4983">
        <v>-1.1065531255850001</v>
      </c>
      <c r="AH4983">
        <v>8.2532885586277196</v>
      </c>
      <c r="AI4983">
        <v>97.430838889843002</v>
      </c>
      <c r="AJ4983">
        <v>103.39902998427</v>
      </c>
      <c r="AK4983">
        <v>8.5560876373112205</v>
      </c>
    </row>
    <row r="4984" spans="1:37" x14ac:dyDescent="0.2">
      <c r="A4984" t="str">
        <f>"20200111155954369"</f>
        <v>20200111155954369</v>
      </c>
      <c r="B4984" t="str">
        <f>"1578729594365272"</f>
        <v>1578729594365272</v>
      </c>
      <c r="C4984" t="s">
        <v>37</v>
      </c>
      <c r="D4984">
        <v>5.726566</v>
      </c>
      <c r="E4984">
        <v>0.41684729999999998</v>
      </c>
      <c r="F4984" t="s">
        <v>78</v>
      </c>
      <c r="G4984">
        <v>-389.6189</v>
      </c>
      <c r="H4984" s="1">
        <v>-1.2618970000000001E-6</v>
      </c>
      <c r="I4984">
        <v>23.68027</v>
      </c>
      <c r="J4984">
        <v>-398.09039999999999</v>
      </c>
      <c r="K4984">
        <v>1.106447</v>
      </c>
      <c r="L4984">
        <v>21.350010000000001</v>
      </c>
      <c r="M4984">
        <v>0.99928399999999995</v>
      </c>
      <c r="N4984">
        <v>0</v>
      </c>
      <c r="O4984">
        <v>3.7662679999999997E-2</v>
      </c>
      <c r="P4984">
        <v>0.99925940000000002</v>
      </c>
      <c r="Q4984">
        <v>6.1904269999999897E-3</v>
      </c>
      <c r="R4984">
        <v>3.797934E-2</v>
      </c>
      <c r="S4984">
        <v>2.975403</v>
      </c>
      <c r="T4984">
        <v>-0.38416099999999997</v>
      </c>
      <c r="U4984">
        <v>0.81195069999999903</v>
      </c>
      <c r="V4984">
        <v>-3.941506E-4</v>
      </c>
      <c r="W4984">
        <v>9.801532E-3</v>
      </c>
      <c r="X4984">
        <v>0.9999519</v>
      </c>
      <c r="Y4984">
        <v>-0.22529399999999999</v>
      </c>
      <c r="Z4984">
        <v>9.4771040000000001E-3</v>
      </c>
      <c r="AA4984">
        <v>0.97424469999999996</v>
      </c>
      <c r="AB4984">
        <v>17</v>
      </c>
      <c r="AC4984">
        <v>8.47149999999999</v>
      </c>
      <c r="AD4984">
        <v>-1.106448261897</v>
      </c>
      <c r="AE4984">
        <v>2.3302599999999898</v>
      </c>
      <c r="AF4984">
        <v>-1.9781741259977701</v>
      </c>
      <c r="AG4984">
        <v>-1.106448261897</v>
      </c>
      <c r="AH4984">
        <v>8.4197287117687392</v>
      </c>
      <c r="AI4984">
        <v>97.290140365449503</v>
      </c>
      <c r="AJ4984">
        <v>103.221571024355</v>
      </c>
      <c r="AK4984">
        <v>8.7194743080534902</v>
      </c>
    </row>
    <row r="4985" spans="1:37" x14ac:dyDescent="0.2">
      <c r="A4985" t="str">
        <f>"20200111155954383"</f>
        <v>20200111155954383</v>
      </c>
      <c r="B4985" t="str">
        <f>"1578729594375032"</f>
        <v>1578729594375032</v>
      </c>
      <c r="C4985" t="s">
        <v>37</v>
      </c>
      <c r="D4985">
        <v>5.8357950000000001</v>
      </c>
      <c r="E4985">
        <v>0.41733869999999901</v>
      </c>
      <c r="F4985" t="s">
        <v>78</v>
      </c>
      <c r="G4985">
        <v>-389.30430000000001</v>
      </c>
      <c r="H4985" s="1">
        <v>-1.43174E-6</v>
      </c>
      <c r="I4985">
        <v>23.759650000000001</v>
      </c>
      <c r="J4985">
        <v>-397.97680000000003</v>
      </c>
      <c r="K4985">
        <v>1.10632</v>
      </c>
      <c r="L4985">
        <v>21.360139999999902</v>
      </c>
      <c r="M4985">
        <v>0.9990734</v>
      </c>
      <c r="N4985">
        <v>0</v>
      </c>
      <c r="O4985">
        <v>4.2911350000000001E-2</v>
      </c>
      <c r="P4985">
        <v>0.99910409999999905</v>
      </c>
      <c r="Q4985">
        <v>7.9453140000000002E-3</v>
      </c>
      <c r="R4985">
        <v>4.1569309999999998E-2</v>
      </c>
      <c r="S4985">
        <v>2.9735719999999999</v>
      </c>
      <c r="T4985">
        <v>-0.3744673</v>
      </c>
      <c r="U4985">
        <v>0.81552119999999995</v>
      </c>
      <c r="V4985">
        <v>1.256547E-3</v>
      </c>
      <c r="W4985">
        <v>1.127774E-2</v>
      </c>
      <c r="X4985">
        <v>0.99993559999999904</v>
      </c>
      <c r="Y4985">
        <v>-0.2215538</v>
      </c>
      <c r="Z4985">
        <v>8.3690069999999995E-3</v>
      </c>
      <c r="AA4985">
        <v>0.97511229999999904</v>
      </c>
      <c r="AB4985">
        <v>17</v>
      </c>
      <c r="AC4985">
        <v>8.6725000000000101</v>
      </c>
      <c r="AD4985">
        <v>-1.1063214317399901</v>
      </c>
      <c r="AE4985">
        <v>2.3995099999999998</v>
      </c>
      <c r="AF4985">
        <v>-1.9949925700672999</v>
      </c>
      <c r="AG4985">
        <v>-1.1063214317399901</v>
      </c>
      <c r="AH4985">
        <v>8.63692195379266</v>
      </c>
      <c r="AI4985">
        <v>97.114067703290999</v>
      </c>
      <c r="AJ4985">
        <v>103.006310700732</v>
      </c>
      <c r="AK4985">
        <v>8.9331049081971798</v>
      </c>
    </row>
    <row r="4986" spans="1:37" x14ac:dyDescent="0.2">
      <c r="A4986" t="str">
        <f>"20200111155954399"</f>
        <v>20200111155954399</v>
      </c>
      <c r="B4986" t="str">
        <f>"1578729594395528"</f>
        <v>1578729594395528</v>
      </c>
      <c r="C4986" t="s">
        <v>37</v>
      </c>
      <c r="D4986">
        <v>5.7719699999999996</v>
      </c>
      <c r="E4986">
        <v>0.4180526</v>
      </c>
      <c r="F4986" t="s">
        <v>78</v>
      </c>
      <c r="G4986">
        <v>-388.93340000000001</v>
      </c>
      <c r="H4986" s="1">
        <v>-1.634539E-6</v>
      </c>
      <c r="I4986">
        <v>23.862960000000001</v>
      </c>
      <c r="J4986">
        <v>-397.863</v>
      </c>
      <c r="K4986">
        <v>1.106206</v>
      </c>
      <c r="L4986">
        <v>21.370729999999998</v>
      </c>
      <c r="M4986">
        <v>0.99884569999999995</v>
      </c>
      <c r="N4986">
        <v>0</v>
      </c>
      <c r="O4986">
        <v>4.793977E-2</v>
      </c>
      <c r="P4986">
        <v>0.99896549999999995</v>
      </c>
      <c r="Q4986">
        <v>1.207012E-2</v>
      </c>
      <c r="R4986">
        <v>4.3848020000000001E-2</v>
      </c>
      <c r="S4986">
        <v>2.9714049999999999</v>
      </c>
      <c r="T4986">
        <v>-0.36350690000000002</v>
      </c>
      <c r="U4986">
        <v>0.82235720000000001</v>
      </c>
      <c r="V4986">
        <v>3.981254E-3</v>
      </c>
      <c r="W4986">
        <v>1.5128819999999999E-2</v>
      </c>
      <c r="X4986">
        <v>0.99987760000000003</v>
      </c>
      <c r="Y4986">
        <v>-0.21903909999999999</v>
      </c>
      <c r="Z4986">
        <v>7.3793009999999996E-3</v>
      </c>
      <c r="AA4986">
        <v>0.97568820000000001</v>
      </c>
      <c r="AB4986">
        <v>17</v>
      </c>
      <c r="AC4986">
        <v>8.9296000000000504</v>
      </c>
      <c r="AD4986">
        <v>-1.106207634539</v>
      </c>
      <c r="AE4986">
        <v>2.4922300000000002</v>
      </c>
      <c r="AF4986">
        <v>-2.0323441450245801</v>
      </c>
      <c r="AG4986">
        <v>-1.106207634539</v>
      </c>
      <c r="AH4986">
        <v>8.9119271353397007</v>
      </c>
      <c r="AI4986">
        <v>96.900359986072004</v>
      </c>
      <c r="AJ4986">
        <v>102.846478694067</v>
      </c>
      <c r="AK4986">
        <v>9.2074189282410792</v>
      </c>
    </row>
    <row r="4987" spans="1:37" x14ac:dyDescent="0.2">
      <c r="A4987" t="str">
        <f>"20200111155954422"</f>
        <v>20200111155954422</v>
      </c>
      <c r="B4987" t="str">
        <f>"1578729594415048"</f>
        <v>1578729594415048</v>
      </c>
      <c r="C4987" t="s">
        <v>37</v>
      </c>
      <c r="D4987">
        <v>5.6927440000000002</v>
      </c>
      <c r="E4987">
        <v>0.41861419999999999</v>
      </c>
      <c r="F4987" t="s">
        <v>78</v>
      </c>
      <c r="G4987">
        <v>-388.42020000000002</v>
      </c>
      <c r="H4987" s="1">
        <v>-1.91035999999999E-6</v>
      </c>
      <c r="I4987">
        <v>23.987729999999999</v>
      </c>
      <c r="J4987">
        <v>-397.68560000000002</v>
      </c>
      <c r="K4987">
        <v>1.1060140000000001</v>
      </c>
      <c r="L4987">
        <v>21.38785</v>
      </c>
      <c r="M4987">
        <v>0.99846029999999997</v>
      </c>
      <c r="N4987">
        <v>0</v>
      </c>
      <c r="O4987">
        <v>5.541393E-2</v>
      </c>
      <c r="P4987">
        <v>0.99869159999999901</v>
      </c>
      <c r="Q4987">
        <v>1.514998E-2</v>
      </c>
      <c r="R4987">
        <v>4.8846189999999998E-2</v>
      </c>
      <c r="S4987">
        <v>2.97113</v>
      </c>
      <c r="T4987">
        <v>-0.3480626</v>
      </c>
      <c r="U4987">
        <v>0.82342530000000003</v>
      </c>
      <c r="V4987">
        <v>6.4462159999999899E-3</v>
      </c>
      <c r="W4987">
        <v>1.776871E-2</v>
      </c>
      <c r="X4987">
        <v>0.99982139999999997</v>
      </c>
      <c r="Y4987">
        <v>-0.21227070000000001</v>
      </c>
      <c r="Z4987">
        <v>5.8275139999999998E-3</v>
      </c>
      <c r="AA4987">
        <v>0.97719349999999905</v>
      </c>
      <c r="AB4987">
        <v>17</v>
      </c>
      <c r="AC4987">
        <v>9.2653999999999996</v>
      </c>
      <c r="AD4987">
        <v>-1.10601591036</v>
      </c>
      <c r="AE4987">
        <v>2.59987999999999</v>
      </c>
      <c r="AF4987">
        <v>-2.05530227809896</v>
      </c>
      <c r="AG4987">
        <v>-1.10601591036</v>
      </c>
      <c r="AH4987">
        <v>9.2727471120722598</v>
      </c>
      <c r="AI4987">
        <v>96.642163687187207</v>
      </c>
      <c r="AJ4987">
        <v>102.497548392561</v>
      </c>
      <c r="AK4987">
        <v>9.5619756145250996</v>
      </c>
    </row>
    <row r="4988" spans="1:37" x14ac:dyDescent="0.2">
      <c r="A4988" t="str">
        <f>"20200111155954436"</f>
        <v>20200111155954436</v>
      </c>
      <c r="B4988" t="str">
        <f>"1578729594425784"</f>
        <v>1578729594425784</v>
      </c>
      <c r="C4988" t="s">
        <v>37</v>
      </c>
      <c r="D4988">
        <v>5.7298980000000004</v>
      </c>
      <c r="E4988">
        <v>0.41883589999999998</v>
      </c>
      <c r="F4988" t="s">
        <v>78</v>
      </c>
      <c r="G4988">
        <v>-387.96390000000002</v>
      </c>
      <c r="H4988" s="1">
        <v>-2.160973E-6</v>
      </c>
      <c r="I4988">
        <v>24.119</v>
      </c>
      <c r="J4988">
        <v>-397.5797</v>
      </c>
      <c r="K4988">
        <v>1.105896</v>
      </c>
      <c r="L4988">
        <v>21.398499999999999</v>
      </c>
      <c r="M4988">
        <v>0.99822060000000001</v>
      </c>
      <c r="N4988">
        <v>0</v>
      </c>
      <c r="O4988">
        <v>5.9584739999999997E-2</v>
      </c>
      <c r="P4988">
        <v>0.99852809999999903</v>
      </c>
      <c r="Q4988">
        <v>1.62881E-2</v>
      </c>
      <c r="R4988">
        <v>5.1736560000000001E-2</v>
      </c>
      <c r="S4988">
        <v>2.9682919999999999</v>
      </c>
      <c r="T4988">
        <v>-0.33769559999999998</v>
      </c>
      <c r="U4988">
        <v>0.83389279999999999</v>
      </c>
      <c r="V4988">
        <v>7.7263409999999899E-3</v>
      </c>
      <c r="W4988">
        <v>1.8644979999999998E-2</v>
      </c>
      <c r="X4988">
        <v>0.99979629999999997</v>
      </c>
      <c r="Y4988">
        <v>-0.21171219999999999</v>
      </c>
      <c r="Z4988">
        <v>5.1649859999999999E-3</v>
      </c>
      <c r="AA4988">
        <v>0.97731840000000003</v>
      </c>
      <c r="AB4988">
        <v>17</v>
      </c>
      <c r="AC4988">
        <v>9.6157999999999806</v>
      </c>
      <c r="AD4988">
        <v>-1.1058981609730001</v>
      </c>
      <c r="AE4988">
        <v>2.7204999999999999</v>
      </c>
      <c r="AF4988">
        <v>-2.11678627909862</v>
      </c>
      <c r="AG4988">
        <v>-1.1058981609730001</v>
      </c>
      <c r="AH4988">
        <v>9.6427244619543604</v>
      </c>
      <c r="AI4988">
        <v>96.391624987129902</v>
      </c>
      <c r="AJ4988">
        <v>102.381270884741</v>
      </c>
      <c r="AK4988">
        <v>9.9340792196859695</v>
      </c>
    </row>
    <row r="4989" spans="1:37" x14ac:dyDescent="0.2">
      <c r="A4989" t="str">
        <f>"20200111155954456"</f>
        <v>20200111155954456</v>
      </c>
      <c r="B4989" t="str">
        <f>"1578729594445304"</f>
        <v>1578729594445304</v>
      </c>
      <c r="C4989" t="s">
        <v>37</v>
      </c>
      <c r="D4989">
        <v>5.7062439999999999</v>
      </c>
      <c r="E4989">
        <v>0.41967959999999899</v>
      </c>
      <c r="F4989" t="s">
        <v>78</v>
      </c>
      <c r="G4989">
        <v>-387.7552</v>
      </c>
      <c r="H4989" s="1">
        <v>-2.2767749999999999E-6</v>
      </c>
      <c r="I4989">
        <v>24.18336</v>
      </c>
      <c r="J4989">
        <v>-397.42540000000002</v>
      </c>
      <c r="K4989">
        <v>1.105712</v>
      </c>
      <c r="L4989">
        <v>21.414429999999999</v>
      </c>
      <c r="M4989">
        <v>0.99786070000000004</v>
      </c>
      <c r="N4989">
        <v>0</v>
      </c>
      <c r="O4989">
        <v>6.534856E-2</v>
      </c>
      <c r="P4989">
        <v>0.99831150000000002</v>
      </c>
      <c r="Q4989">
        <v>1.7786529999999998E-2</v>
      </c>
      <c r="R4989">
        <v>5.5299319999999999E-2</v>
      </c>
      <c r="S4989">
        <v>2.966278</v>
      </c>
      <c r="T4989">
        <v>-0.33389809999999998</v>
      </c>
      <c r="U4989">
        <v>0.84082029999999996</v>
      </c>
      <c r="V4989">
        <v>9.9303199999999994E-3</v>
      </c>
      <c r="W4989">
        <v>1.9766780000000001E-2</v>
      </c>
      <c r="X4989">
        <v>0.99975530000000001</v>
      </c>
      <c r="Y4989">
        <v>-0.20842739999999901</v>
      </c>
      <c r="Z4989">
        <v>4.2976350000000002E-3</v>
      </c>
      <c r="AA4989">
        <v>0.97802840000000002</v>
      </c>
      <c r="AB4989">
        <v>17</v>
      </c>
      <c r="AC4989">
        <v>9.6702000000000208</v>
      </c>
      <c r="AD4989">
        <v>-1.1057142767749999</v>
      </c>
      <c r="AE4989">
        <v>2.7689300000000001</v>
      </c>
      <c r="AF4989">
        <v>-2.1056332164487901</v>
      </c>
      <c r="AG4989">
        <v>-1.1057142767749999</v>
      </c>
      <c r="AH4989">
        <v>9.7131075643713594</v>
      </c>
      <c r="AI4989">
        <v>96.348232881892002</v>
      </c>
      <c r="AJ4989">
        <v>102.231470011102</v>
      </c>
      <c r="AK4989">
        <v>10.000037692985201</v>
      </c>
    </row>
    <row r="4990" spans="1:37" x14ac:dyDescent="0.2">
      <c r="A4990" t="str">
        <f>"20200111155954478"</f>
        <v>20200111155954478</v>
      </c>
      <c r="B4990" t="str">
        <f>"1578729594475560"</f>
        <v>1578729594475560</v>
      </c>
      <c r="C4990" t="s">
        <v>37</v>
      </c>
      <c r="D4990">
        <v>5.6743579999999998</v>
      </c>
      <c r="E4990">
        <v>0.42051480000000002</v>
      </c>
      <c r="F4990" t="s">
        <v>78</v>
      </c>
      <c r="G4990">
        <v>-387.44420000000002</v>
      </c>
      <c r="H4990" s="1">
        <v>-2.4437730000000001E-6</v>
      </c>
      <c r="I4990">
        <v>24.25864</v>
      </c>
      <c r="J4990">
        <v>-397.25199999999899</v>
      </c>
      <c r="K4990">
        <v>1.105494</v>
      </c>
      <c r="L4990">
        <v>21.432829999999999</v>
      </c>
      <c r="M4990">
        <v>0.9974518</v>
      </c>
      <c r="N4990">
        <v>0</v>
      </c>
      <c r="O4990">
        <v>7.1328180000000005E-2</v>
      </c>
      <c r="P4990">
        <v>0.99802659999999999</v>
      </c>
      <c r="Q4990">
        <v>1.8308809999999998E-2</v>
      </c>
      <c r="R4990">
        <v>6.0065E-2</v>
      </c>
      <c r="S4990">
        <v>2.964172</v>
      </c>
      <c r="T4990">
        <v>-0.32837189999999999</v>
      </c>
      <c r="U4990">
        <v>0.84466549999999996</v>
      </c>
      <c r="V4990">
        <v>1.11562E-2</v>
      </c>
      <c r="W4990">
        <v>1.9866890000000002E-2</v>
      </c>
      <c r="X4990">
        <v>0.99974039999999997</v>
      </c>
      <c r="Y4990">
        <v>-0.20400579999999999</v>
      </c>
      <c r="Z4990">
        <v>3.3462800000000001E-3</v>
      </c>
      <c r="AA4990">
        <v>0.97896399999999995</v>
      </c>
      <c r="AB4990">
        <v>18</v>
      </c>
      <c r="AC4990">
        <v>9.8077999999999292</v>
      </c>
      <c r="AD4990">
        <v>-1.1054964437729999</v>
      </c>
      <c r="AE4990">
        <v>2.8258100000000002</v>
      </c>
      <c r="AF4990">
        <v>-2.0944686904181702</v>
      </c>
      <c r="AG4990">
        <v>-1.1054964437729999</v>
      </c>
      <c r="AH4990">
        <v>9.8686091504605304</v>
      </c>
      <c r="AI4990">
        <v>96.253561451444</v>
      </c>
      <c r="AJ4990">
        <v>101.982395742645</v>
      </c>
      <c r="AK4990">
        <v>10.148811164214701</v>
      </c>
    </row>
    <row r="4991" spans="1:37" x14ac:dyDescent="0.2">
      <c r="A4991" t="str">
        <f>"20200111155954493"</f>
        <v>20200111155954493</v>
      </c>
      <c r="B4991" t="str">
        <f>"1578729594485321"</f>
        <v>1578729594485321</v>
      </c>
      <c r="C4991" t="s">
        <v>37</v>
      </c>
      <c r="D4991">
        <v>5.7863709999999999</v>
      </c>
      <c r="E4991">
        <v>0.42101159999999999</v>
      </c>
      <c r="F4991" t="s">
        <v>78</v>
      </c>
      <c r="G4991">
        <v>-387.39010000000002</v>
      </c>
      <c r="H4991" s="1">
        <v>-2.4721629999999998E-6</v>
      </c>
      <c r="I4991">
        <v>24.269120000000001</v>
      </c>
      <c r="J4991">
        <v>-397.13260000000002</v>
      </c>
      <c r="K4991">
        <v>1.1053389999999901</v>
      </c>
      <c r="L4991">
        <v>21.445829999999901</v>
      </c>
      <c r="M4991">
        <v>0.99717250000000002</v>
      </c>
      <c r="N4991">
        <v>0</v>
      </c>
      <c r="O4991">
        <v>7.5137770000000006E-2</v>
      </c>
      <c r="P4991">
        <v>0.99779599999999902</v>
      </c>
      <c r="Q4991">
        <v>1.8674619999999999E-2</v>
      </c>
      <c r="R4991">
        <v>6.3674729999999999E-2</v>
      </c>
      <c r="S4991">
        <v>2.9608150000000002</v>
      </c>
      <c r="T4991">
        <v>-0.33190059999999999</v>
      </c>
      <c r="U4991">
        <v>0.85153199999999996</v>
      </c>
      <c r="V4991">
        <v>1.1363730000000001E-2</v>
      </c>
      <c r="W4991">
        <v>1.9946510000000001E-2</v>
      </c>
      <c r="X4991">
        <v>0.99973650000000003</v>
      </c>
      <c r="Y4991">
        <v>-0.20266999999999999</v>
      </c>
      <c r="Z4991">
        <v>2.8972959999999902E-3</v>
      </c>
      <c r="AA4991">
        <v>0.97924279999999997</v>
      </c>
      <c r="AB4991">
        <v>18</v>
      </c>
      <c r="AC4991">
        <v>9.7424999999999997</v>
      </c>
      <c r="AD4991">
        <v>-1.1053414721629999</v>
      </c>
      <c r="AE4991">
        <v>2.8232900000000001</v>
      </c>
      <c r="AF4991">
        <v>-2.0588303209263601</v>
      </c>
      <c r="AG4991">
        <v>-1.1053414721629999</v>
      </c>
      <c r="AH4991">
        <v>9.8105951626834909</v>
      </c>
      <c r="AI4991">
        <v>96.292368820224198</v>
      </c>
      <c r="AJ4991">
        <v>101.851977821468</v>
      </c>
      <c r="AK4991">
        <v>10.0850552555014</v>
      </c>
    </row>
    <row r="4992" spans="1:37" x14ac:dyDescent="0.2">
      <c r="A4992" t="str">
        <f>"20200111155954511"</f>
        <v>20200111155954511</v>
      </c>
      <c r="B4992" t="str">
        <f>"1578729594505817"</f>
        <v>1578729594505817</v>
      </c>
      <c r="C4992" t="s">
        <v>37</v>
      </c>
      <c r="D4992">
        <v>5.670223</v>
      </c>
      <c r="E4992">
        <v>0.42211679999999902</v>
      </c>
      <c r="F4992" t="s">
        <v>78</v>
      </c>
      <c r="G4992">
        <v>-387.33519999999999</v>
      </c>
      <c r="H4992" s="1">
        <v>-2.5025720000000001E-6</v>
      </c>
      <c r="I4992">
        <v>24.285920000000001</v>
      </c>
      <c r="J4992">
        <v>-396.9853</v>
      </c>
      <c r="K4992">
        <v>1.105138</v>
      </c>
      <c r="L4992">
        <v>21.462129999999998</v>
      </c>
      <c r="M4992">
        <v>0.996834</v>
      </c>
      <c r="N4992">
        <v>0</v>
      </c>
      <c r="O4992">
        <v>7.9506170000000001E-2</v>
      </c>
      <c r="P4992">
        <v>0.99752549999999995</v>
      </c>
      <c r="Q4992">
        <v>1.8478729999999999E-2</v>
      </c>
      <c r="R4992">
        <v>6.7834569999999997E-2</v>
      </c>
      <c r="S4992">
        <v>2.9581599999999999</v>
      </c>
      <c r="T4992">
        <v>-0.33373839999999999</v>
      </c>
      <c r="U4992">
        <v>0.85751339999999998</v>
      </c>
      <c r="V4992">
        <v>1.1586630000000001E-2</v>
      </c>
      <c r="W4992">
        <v>1.9407310000000001E-2</v>
      </c>
      <c r="X4992">
        <v>0.99974449999999904</v>
      </c>
      <c r="Y4992">
        <v>-0.20047000000000001</v>
      </c>
      <c r="Z4992">
        <v>2.316116E-3</v>
      </c>
      <c r="AA4992">
        <v>0.97969709999999999</v>
      </c>
      <c r="AB4992">
        <v>18</v>
      </c>
      <c r="AC4992">
        <v>9.6501000000000001</v>
      </c>
      <c r="AD4992">
        <v>-1.105140502572</v>
      </c>
      <c r="AE4992">
        <v>2.8237899999999998</v>
      </c>
      <c r="AF4992">
        <v>-2.02316691504444</v>
      </c>
      <c r="AG4992">
        <v>-1.105140502572</v>
      </c>
      <c r="AH4992">
        <v>9.7265567330051805</v>
      </c>
      <c r="AI4992">
        <v>96.347484877247197</v>
      </c>
      <c r="AJ4992">
        <v>101.75022701240199</v>
      </c>
      <c r="AK4992">
        <v>9.9960214974220598</v>
      </c>
    </row>
    <row r="4993" spans="1:37" x14ac:dyDescent="0.2">
      <c r="A4993" t="str">
        <f>"20200111155954535"</f>
        <v>20200111155954535</v>
      </c>
      <c r="B4993" t="str">
        <f>"1578729594525335"</f>
        <v>1578729594525335</v>
      </c>
      <c r="C4993" t="s">
        <v>37</v>
      </c>
      <c r="D4993">
        <v>5.6626440000000002</v>
      </c>
      <c r="E4993">
        <v>0.42266530000000002</v>
      </c>
      <c r="F4993" t="s">
        <v>78</v>
      </c>
      <c r="G4993">
        <v>-387.40359999999998</v>
      </c>
      <c r="H4993" s="1">
        <v>-2.4601169999999998E-6</v>
      </c>
      <c r="I4993">
        <v>24.247859999999999</v>
      </c>
      <c r="J4993">
        <v>-396.7937</v>
      </c>
      <c r="K4993">
        <v>1.104835</v>
      </c>
      <c r="L4993">
        <v>21.483729999999898</v>
      </c>
      <c r="M4993">
        <v>0.99641469999999899</v>
      </c>
      <c r="N4993">
        <v>0</v>
      </c>
      <c r="O4993">
        <v>8.4602250000000004E-2</v>
      </c>
      <c r="P4993">
        <v>0.99720819999999999</v>
      </c>
      <c r="Q4993">
        <v>1.4421959999999999E-2</v>
      </c>
      <c r="R4993">
        <v>7.3265730000000001E-2</v>
      </c>
      <c r="S4993">
        <v>2.9553529999999899</v>
      </c>
      <c r="T4993">
        <v>-0.34086659999999902</v>
      </c>
      <c r="U4993">
        <v>0.85922240000000005</v>
      </c>
      <c r="V4993">
        <v>1.129225E-2</v>
      </c>
      <c r="W4993">
        <v>1.492427E-2</v>
      </c>
      <c r="X4993">
        <v>0.99982490000000002</v>
      </c>
      <c r="Y4993">
        <v>-0.19625589999999901</v>
      </c>
      <c r="Z4993">
        <v>1.560671E-3</v>
      </c>
      <c r="AA4993">
        <v>0.98055149999999902</v>
      </c>
      <c r="AB4993">
        <v>18</v>
      </c>
      <c r="AC4993">
        <v>9.3901000000000092</v>
      </c>
      <c r="AD4993">
        <v>-1.1048374601169999</v>
      </c>
      <c r="AE4993">
        <v>2.7641300000000002</v>
      </c>
      <c r="AF4993">
        <v>-1.93514285073243</v>
      </c>
      <c r="AG4993">
        <v>-1.1048374601169999</v>
      </c>
      <c r="AH4993">
        <v>9.4696439541892197</v>
      </c>
      <c r="AI4993">
        <v>96.521126321210204</v>
      </c>
      <c r="AJ4993">
        <v>101.549503984691</v>
      </c>
      <c r="AK4993">
        <v>9.7282886616882003</v>
      </c>
    </row>
    <row r="4994" spans="1:37" x14ac:dyDescent="0.2">
      <c r="A4994" t="str">
        <f>"20200111155954548"</f>
        <v>20200111155954548</v>
      </c>
      <c r="B4994" t="str">
        <f>"1578729594545832"</f>
        <v>1578729594545832</v>
      </c>
      <c r="C4994" t="s">
        <v>37</v>
      </c>
      <c r="D4994">
        <v>5.6485269999999996</v>
      </c>
      <c r="E4994">
        <v>0.42334629999999901</v>
      </c>
      <c r="F4994" t="s">
        <v>78</v>
      </c>
      <c r="G4994">
        <v>-387.64109999999999</v>
      </c>
      <c r="H4994" s="1">
        <v>-2.3302729999999998E-6</v>
      </c>
      <c r="I4994">
        <v>24.181829999999898</v>
      </c>
      <c r="J4994">
        <v>-396.67610000000002</v>
      </c>
      <c r="K4994">
        <v>1.1046400000000001</v>
      </c>
      <c r="L4994">
        <v>21.497129999999999</v>
      </c>
      <c r="M4994">
        <v>0.99616879999999997</v>
      </c>
      <c r="N4994">
        <v>0</v>
      </c>
      <c r="O4994">
        <v>8.7452450000000001E-2</v>
      </c>
      <c r="P4994">
        <v>0.99699490000000002</v>
      </c>
      <c r="Q4994">
        <v>1.1296809999999999E-2</v>
      </c>
      <c r="R4994">
        <v>7.6640630000000001E-2</v>
      </c>
      <c r="S4994">
        <v>2.9496769999999999</v>
      </c>
      <c r="T4994">
        <v>-0.35606539999999998</v>
      </c>
      <c r="U4994">
        <v>0.86953740000000002</v>
      </c>
      <c r="V4994">
        <v>1.079215E-2</v>
      </c>
      <c r="W4994">
        <v>1.155E-2</v>
      </c>
      <c r="X4994">
        <v>0.99987510000000002</v>
      </c>
      <c r="Y4994">
        <v>-0.19706479999999901</v>
      </c>
      <c r="Z4994">
        <v>1.347305E-3</v>
      </c>
      <c r="AA4994">
        <v>0.98038950000000002</v>
      </c>
      <c r="AB4994">
        <v>19</v>
      </c>
      <c r="AC4994">
        <v>9.0350000000000197</v>
      </c>
      <c r="AD4994">
        <v>-1.104642330273</v>
      </c>
      <c r="AE4994">
        <v>2.6846999999999901</v>
      </c>
      <c r="AF4994">
        <v>-1.8587506591860401</v>
      </c>
      <c r="AG4994">
        <v>-1.104642330273</v>
      </c>
      <c r="AH4994">
        <v>9.1100379567542706</v>
      </c>
      <c r="AI4994">
        <v>96.775423912187904</v>
      </c>
      <c r="AJ4994">
        <v>101.53195939088501</v>
      </c>
      <c r="AK4994">
        <v>9.3631180845036397</v>
      </c>
    </row>
    <row r="4995" spans="1:37" x14ac:dyDescent="0.2">
      <c r="A4995" t="str">
        <f>"20200111155954568"</f>
        <v>20200111155954568</v>
      </c>
      <c r="B4995" t="str">
        <f>"1578729594555608"</f>
        <v>1578729594555608</v>
      </c>
      <c r="C4995" t="s">
        <v>37</v>
      </c>
      <c r="D4995">
        <v>5.8264829999999996</v>
      </c>
      <c r="E4995">
        <v>0.42334629999999901</v>
      </c>
      <c r="F4995" t="s">
        <v>78</v>
      </c>
      <c r="G4995">
        <v>-387.87560000000002</v>
      </c>
      <c r="H4995" s="1">
        <v>-2.1993089999999999E-6</v>
      </c>
      <c r="I4995">
        <v>24.106159999999999</v>
      </c>
      <c r="J4995">
        <v>-396.51589999999999</v>
      </c>
      <c r="K4995">
        <v>1.1043499999999999</v>
      </c>
      <c r="L4995">
        <v>21.515560000000001</v>
      </c>
      <c r="M4995">
        <v>0.99585689999999905</v>
      </c>
      <c r="N4995">
        <v>0</v>
      </c>
      <c r="O4995">
        <v>9.0933879999999995E-2</v>
      </c>
      <c r="P4995">
        <v>0.99665630000000005</v>
      </c>
      <c r="Q4995">
        <v>3.4668070000000001E-3</v>
      </c>
      <c r="R4995">
        <v>8.1634059999999994E-2</v>
      </c>
      <c r="S4995">
        <v>2.9461059999999999</v>
      </c>
      <c r="T4995">
        <v>-0.36979659999999998</v>
      </c>
      <c r="U4995">
        <v>0.87341309999999905</v>
      </c>
      <c r="V4995">
        <v>9.320877E-3</v>
      </c>
      <c r="W4995">
        <v>3.3987140000000002E-3</v>
      </c>
      <c r="X4995">
        <v>0.99995080000000003</v>
      </c>
      <c r="Y4995">
        <v>-0.19512669999999999</v>
      </c>
      <c r="Z4995">
        <v>8.5957259999999995E-4</v>
      </c>
      <c r="AA4995">
        <v>0.98077769999999997</v>
      </c>
      <c r="AB4995">
        <v>19</v>
      </c>
      <c r="AC4995">
        <v>8.6402999999999608</v>
      </c>
      <c r="AD4995">
        <v>-1.104352199309</v>
      </c>
      <c r="AE4995">
        <v>2.59059999999999</v>
      </c>
      <c r="AF4995">
        <v>-1.76767527809553</v>
      </c>
      <c r="AG4995">
        <v>-1.104352199309</v>
      </c>
      <c r="AH4995">
        <v>8.7095289525342103</v>
      </c>
      <c r="AI4995">
        <v>97.083526183525507</v>
      </c>
      <c r="AJ4995">
        <v>101.472844144817</v>
      </c>
      <c r="AK4995">
        <v>8.9554544409505201</v>
      </c>
    </row>
    <row r="4996" spans="1:37" x14ac:dyDescent="0.2">
      <c r="A4996" t="str">
        <f>"20200111155954635"</f>
        <v>20200111155954635</v>
      </c>
      <c r="B4996" t="str">
        <f>"1578729594625864"</f>
        <v>1578729594625864</v>
      </c>
      <c r="C4996" t="s">
        <v>37</v>
      </c>
      <c r="D4996">
        <v>5.82897</v>
      </c>
      <c r="E4996">
        <v>0.51228560000000001</v>
      </c>
      <c r="F4996" t="s">
        <v>78</v>
      </c>
      <c r="G4996">
        <v>-388.3048</v>
      </c>
      <c r="H4996" s="1">
        <v>-1.966225E-6</v>
      </c>
      <c r="I4996">
        <v>23.992809999999999</v>
      </c>
      <c r="J4996">
        <v>-395.92599999999999</v>
      </c>
      <c r="K4996">
        <v>1.103291</v>
      </c>
      <c r="L4996">
        <v>21.583559999999999</v>
      </c>
      <c r="M4996">
        <v>0.99498209999999998</v>
      </c>
      <c r="N4996">
        <v>0</v>
      </c>
      <c r="O4996">
        <v>0.10004879999999999</v>
      </c>
      <c r="P4996">
        <v>0.99530989999999997</v>
      </c>
      <c r="Q4996">
        <v>-1.2848599999999899E-2</v>
      </c>
      <c r="R4996">
        <v>9.5881919999999995E-2</v>
      </c>
      <c r="S4996">
        <v>2.938812</v>
      </c>
      <c r="T4996">
        <v>-0.39525650000000001</v>
      </c>
      <c r="U4996">
        <v>0.88662719999999995</v>
      </c>
      <c r="V4996">
        <v>4.203147E-3</v>
      </c>
      <c r="W4996">
        <v>-1.385786E-2</v>
      </c>
      <c r="X4996">
        <v>0.99989519999999998</v>
      </c>
      <c r="Y4996">
        <v>-0.190857</v>
      </c>
      <c r="Z4996">
        <v>-5.409503E-4</v>
      </c>
      <c r="AA4996">
        <v>0.98161769999999904</v>
      </c>
      <c r="AB4996">
        <v>20</v>
      </c>
      <c r="AC4996">
        <v>7.6211999999999804</v>
      </c>
      <c r="AD4996">
        <v>-1.1032929662249999</v>
      </c>
      <c r="AE4996">
        <v>2.4092500000000001</v>
      </c>
      <c r="AF4996">
        <v>-1.60410605176568</v>
      </c>
      <c r="AG4996">
        <v>-1.1032929662249999</v>
      </c>
      <c r="AH4996">
        <v>7.6777183761882597</v>
      </c>
      <c r="AI4996">
        <v>98.006881884119807</v>
      </c>
      <c r="AJ4996">
        <v>101.80105195356199</v>
      </c>
      <c r="AK4996">
        <v>7.9207178373359399</v>
      </c>
    </row>
    <row r="4997" spans="1:37" x14ac:dyDescent="0.2">
      <c r="A4997" t="str">
        <f>"20200111155954680"</f>
        <v>20200111155954680</v>
      </c>
      <c r="B4997" t="str">
        <f>"1578729594675507"</f>
        <v>1578729594675507</v>
      </c>
      <c r="C4997" t="s">
        <v>37</v>
      </c>
      <c r="D4997">
        <v>6.0761890000000003</v>
      </c>
      <c r="E4997">
        <v>0.51423750000000001</v>
      </c>
      <c r="F4997" t="s">
        <v>38</v>
      </c>
      <c r="G4997">
        <v>-395.11840000000001</v>
      </c>
      <c r="H4997">
        <v>1.0466959999999901</v>
      </c>
      <c r="I4997">
        <v>21.637779999999999</v>
      </c>
      <c r="J4997">
        <v>-395.52350000000001</v>
      </c>
      <c r="K4997">
        <v>1.102603</v>
      </c>
      <c r="L4997">
        <v>21.629089999999898</v>
      </c>
      <c r="M4997">
        <v>0.99465910000000002</v>
      </c>
      <c r="N4997">
        <v>0</v>
      </c>
      <c r="O4997">
        <v>0.103206399999999</v>
      </c>
      <c r="P4997">
        <v>0.99461959999999905</v>
      </c>
      <c r="Q4997">
        <v>-1.9907330000000001E-2</v>
      </c>
      <c r="R4997">
        <v>0.1016664</v>
      </c>
      <c r="S4997">
        <v>2.9920650000000002</v>
      </c>
      <c r="T4997">
        <v>-0.20970939999999999</v>
      </c>
      <c r="U4997">
        <v>0.20123289999999999</v>
      </c>
      <c r="V4997">
        <v>1.5327729999999901E-3</v>
      </c>
      <c r="W4997">
        <v>-2.1347129999999999E-2</v>
      </c>
      <c r="X4997">
        <v>0.99977090000000002</v>
      </c>
      <c r="Y4997">
        <v>3.5889850000000001E-2</v>
      </c>
      <c r="Z4997">
        <v>-8.4554799999999996E-3</v>
      </c>
      <c r="AA4997">
        <v>0.99931999999999999</v>
      </c>
      <c r="AB4997">
        <v>20</v>
      </c>
      <c r="AC4997">
        <v>0.40510000000000401</v>
      </c>
      <c r="AD4997">
        <v>-5.5907000000000102E-2</v>
      </c>
      <c r="AE4997">
        <v>8.6900000000014101E-3</v>
      </c>
      <c r="AF4997">
        <v>3.2545766066236201E-2</v>
      </c>
      <c r="AG4997">
        <v>-5.5907000000000102E-2</v>
      </c>
      <c r="AH4997">
        <v>0.39628928554529302</v>
      </c>
      <c r="AI4997">
        <v>98.003485315218597</v>
      </c>
      <c r="AJ4997">
        <v>85.305047062430802</v>
      </c>
      <c r="AK4997">
        <v>0.40153457805752801</v>
      </c>
    </row>
    <row r="4998" spans="1:37" x14ac:dyDescent="0.2">
      <c r="A4998" t="str">
        <f>"20200111155954702"</f>
        <v>20200111155954702</v>
      </c>
      <c r="B4998" t="str">
        <f>"1578729594695026"</f>
        <v>1578729594695026</v>
      </c>
      <c r="C4998" t="s">
        <v>37</v>
      </c>
      <c r="D4998">
        <v>5.7813889999999999</v>
      </c>
      <c r="E4998">
        <v>0.51876009999999995</v>
      </c>
      <c r="F4998" t="s">
        <v>38</v>
      </c>
      <c r="G4998">
        <v>-394.75729999999999</v>
      </c>
      <c r="H4998">
        <v>1.0434540000000001</v>
      </c>
      <c r="I4998">
        <v>21.680759999999999</v>
      </c>
      <c r="J4998">
        <v>-395.31849999999997</v>
      </c>
      <c r="K4998">
        <v>1.102276</v>
      </c>
      <c r="L4998">
        <v>21.651700000000002</v>
      </c>
      <c r="M4998">
        <v>0.99458530000000001</v>
      </c>
      <c r="N4998">
        <v>0</v>
      </c>
      <c r="O4998">
        <v>0.1039123</v>
      </c>
      <c r="P4998">
        <v>0.99426569999999903</v>
      </c>
      <c r="Q4998">
        <v>-2.043203E-2</v>
      </c>
      <c r="R4998">
        <v>0.1049696</v>
      </c>
      <c r="S4998">
        <v>2.990875</v>
      </c>
      <c r="T4998">
        <v>-0.2308904</v>
      </c>
      <c r="U4998">
        <v>0.2032166</v>
      </c>
      <c r="V4998">
        <v>-1.0962839999999899E-3</v>
      </c>
      <c r="W4998">
        <v>-2.203111E-2</v>
      </c>
      <c r="X4998">
        <v>0.99975669999999905</v>
      </c>
      <c r="Y4998">
        <v>3.583882E-2</v>
      </c>
      <c r="Z4998">
        <v>-9.3625649999999998E-3</v>
      </c>
      <c r="AA4998">
        <v>0.99931369999999897</v>
      </c>
      <c r="AB4998">
        <v>20</v>
      </c>
      <c r="AC4998">
        <v>0.56119999999998504</v>
      </c>
      <c r="AD4998">
        <v>-5.8821999999999902E-2</v>
      </c>
      <c r="AE4998">
        <v>2.9059999999997602E-2</v>
      </c>
      <c r="AF4998">
        <v>2.9094190542431599E-2</v>
      </c>
      <c r="AG4998">
        <v>-5.8821999999999902E-2</v>
      </c>
      <c r="AH4998">
        <v>0.55509953082310504</v>
      </c>
      <c r="AI4998">
        <v>96.040634665360301</v>
      </c>
      <c r="AJ4998">
        <v>86.999726518681697</v>
      </c>
      <c r="AK4998">
        <v>0.55896510510706299</v>
      </c>
    </row>
    <row r="4999" spans="1:37" x14ac:dyDescent="0.2">
      <c r="A4999" t="str">
        <f>"20200111155954724"</f>
        <v>20200111155954724</v>
      </c>
      <c r="B4999" t="str">
        <f>"1578729594715522"</f>
        <v>1578729594715522</v>
      </c>
      <c r="C4999" t="s">
        <v>37</v>
      </c>
      <c r="D4999">
        <v>4.7319449999999996</v>
      </c>
      <c r="E4999">
        <v>0.450055599999999</v>
      </c>
      <c r="F4999" t="s">
        <v>38</v>
      </c>
      <c r="G4999">
        <v>-394.56650000000002</v>
      </c>
      <c r="H4999">
        <v>1.0527979999999999</v>
      </c>
      <c r="I4999">
        <v>21.69548</v>
      </c>
      <c r="J4999">
        <v>-395.11349999999999</v>
      </c>
      <c r="K4999">
        <v>1.101982</v>
      </c>
      <c r="L4999">
        <v>21.673739999999999</v>
      </c>
      <c r="M4999">
        <v>0.99457030000000002</v>
      </c>
      <c r="N4999">
        <v>0</v>
      </c>
      <c r="O4999">
        <v>0.1040527</v>
      </c>
      <c r="P4999">
        <v>0.99376609999999999</v>
      </c>
      <c r="Q4999">
        <v>-1.842674E-2</v>
      </c>
      <c r="R4999">
        <v>0.109951299999999</v>
      </c>
      <c r="S4999">
        <v>2.994812</v>
      </c>
      <c r="T4999">
        <v>-0.19697809999999999</v>
      </c>
      <c r="U4999">
        <v>0.1748352</v>
      </c>
      <c r="V4999">
        <v>-5.9762080000000002E-3</v>
      </c>
      <c r="W4999">
        <v>-2.014519E-2</v>
      </c>
      <c r="X4999">
        <v>0.99977919999999998</v>
      </c>
      <c r="Y4999">
        <v>4.5591079999999999E-2</v>
      </c>
      <c r="Z4999">
        <v>-8.3126699999999994E-3</v>
      </c>
      <c r="AA4999">
        <v>0.99892559999999997</v>
      </c>
      <c r="AB4999">
        <v>21</v>
      </c>
      <c r="AC4999">
        <v>0.54699999999996796</v>
      </c>
      <c r="AD4999">
        <v>-4.9184000000000103E-2</v>
      </c>
      <c r="AE4999">
        <v>2.1740000000001199E-2</v>
      </c>
      <c r="AF4999">
        <v>3.50122972670825E-2</v>
      </c>
      <c r="AG4999">
        <v>-4.9184000000000103E-2</v>
      </c>
      <c r="AH4999">
        <v>0.54191843638760395</v>
      </c>
      <c r="AI4999">
        <v>95.175171205250194</v>
      </c>
      <c r="AJ4999">
        <v>86.303368788277496</v>
      </c>
      <c r="AK4999">
        <v>0.54527105049938596</v>
      </c>
    </row>
    <row r="5000" spans="1:37" x14ac:dyDescent="0.2">
      <c r="A5000" t="str">
        <f>"20200111155954746"</f>
        <v>20200111155954746</v>
      </c>
      <c r="B5000" t="str">
        <f>"1578729594735044"</f>
        <v>1578729594735044</v>
      </c>
      <c r="C5000" t="s">
        <v>37</v>
      </c>
      <c r="D5000">
        <v>4.7467069999999998</v>
      </c>
      <c r="E5000">
        <v>0.45154840000000002</v>
      </c>
      <c r="F5000" t="s">
        <v>39</v>
      </c>
      <c r="G5000">
        <v>-393.0222</v>
      </c>
      <c r="H5000" s="1">
        <v>-3.9849389999999998E-6</v>
      </c>
      <c r="I5000">
        <v>22.269760000000002</v>
      </c>
      <c r="J5000">
        <v>-394.90359999999998</v>
      </c>
      <c r="K5000">
        <v>1.101721</v>
      </c>
      <c r="L5000">
        <v>21.695679999999999</v>
      </c>
      <c r="M5000">
        <v>0.99461359999999999</v>
      </c>
      <c r="N5000">
        <v>0</v>
      </c>
      <c r="O5000">
        <v>0.10363699999999899</v>
      </c>
      <c r="P5000">
        <v>0.9936045</v>
      </c>
      <c r="Q5000">
        <v>-1.209577E-2</v>
      </c>
      <c r="R5000">
        <v>0.11226709999999999</v>
      </c>
      <c r="S5000">
        <v>2.8990480000000001</v>
      </c>
      <c r="T5000">
        <v>-1.527625</v>
      </c>
      <c r="U5000">
        <v>0.82623289999999905</v>
      </c>
      <c r="V5000">
        <v>-8.7159330000000004E-3</v>
      </c>
      <c r="W5000">
        <v>-1.390308E-2</v>
      </c>
      <c r="X5000">
        <v>0.99986540000000002</v>
      </c>
      <c r="Y5000">
        <v>-0.1654775</v>
      </c>
      <c r="Z5000">
        <v>-9.9268180000000004E-3</v>
      </c>
      <c r="AA5000">
        <v>0.98616360000000003</v>
      </c>
      <c r="AB5000">
        <v>21</v>
      </c>
      <c r="AC5000">
        <v>1.88139999999998</v>
      </c>
      <c r="AD5000">
        <v>-1.1017249849389901</v>
      </c>
      <c r="AE5000">
        <v>0.57408000000000203</v>
      </c>
      <c r="AF5000">
        <v>-0.28621777429887901</v>
      </c>
      <c r="AG5000">
        <v>-1.1017249849389901</v>
      </c>
      <c r="AH5000">
        <v>1.4697097324817501</v>
      </c>
      <c r="AI5000">
        <v>126.345557727111</v>
      </c>
      <c r="AJ5000">
        <v>101.020101281427</v>
      </c>
      <c r="AK5000">
        <v>1.8589688686244901</v>
      </c>
    </row>
    <row r="5001" spans="1:37" x14ac:dyDescent="0.2">
      <c r="A5001" t="str">
        <f>"20200111155954768"</f>
        <v>20200111155954768</v>
      </c>
      <c r="B5001" t="str">
        <f>"1578729594765485"</f>
        <v>1578729594765485</v>
      </c>
      <c r="C5001" t="s">
        <v>37</v>
      </c>
      <c r="D5001">
        <v>4.7228409999999998</v>
      </c>
      <c r="E5001">
        <v>0.45509549999999999</v>
      </c>
      <c r="F5001" t="s">
        <v>39</v>
      </c>
      <c r="G5001">
        <v>-392.78660000000002</v>
      </c>
      <c r="H5001" s="1">
        <v>-4.1037269999999999E-6</v>
      </c>
      <c r="I5001">
        <v>22.297699999999999</v>
      </c>
      <c r="J5001">
        <v>-394.69569999999999</v>
      </c>
      <c r="K5001">
        <v>1.101494</v>
      </c>
      <c r="L5001">
        <v>21.716739999999898</v>
      </c>
      <c r="M5001">
        <v>0.99470590000000003</v>
      </c>
      <c r="N5001">
        <v>0</v>
      </c>
      <c r="O5001">
        <v>0.102746399999999</v>
      </c>
      <c r="P5001">
        <v>0.99346999999999996</v>
      </c>
      <c r="Q5001">
        <v>-4.8516540000000004E-3</v>
      </c>
      <c r="R5001">
        <v>0.113992</v>
      </c>
      <c r="S5001">
        <v>2.9075319999999998</v>
      </c>
      <c r="T5001">
        <v>-1.5131600000000001</v>
      </c>
      <c r="U5001">
        <v>0.82684329999999995</v>
      </c>
      <c r="V5001">
        <v>-1.133088E-2</v>
      </c>
      <c r="W5001">
        <v>-6.7186930000000004E-3</v>
      </c>
      <c r="X5001">
        <v>0.99991319999999995</v>
      </c>
      <c r="Y5001">
        <v>-0.16581989999999999</v>
      </c>
      <c r="Z5001">
        <v>-9.3119699999999993E-3</v>
      </c>
      <c r="AA5001">
        <v>0.98611209999999905</v>
      </c>
      <c r="AB5001">
        <v>21</v>
      </c>
      <c r="AC5001">
        <v>1.9090999999999601</v>
      </c>
      <c r="AD5001">
        <v>-1.101498103727</v>
      </c>
      <c r="AE5001">
        <v>0.58096000000000003</v>
      </c>
      <c r="AF5001">
        <v>-0.29258608869026298</v>
      </c>
      <c r="AG5001">
        <v>-1.101498103727</v>
      </c>
      <c r="AH5001">
        <v>1.5012759758012899</v>
      </c>
      <c r="AI5001">
        <v>125.759871587798</v>
      </c>
      <c r="AJ5001">
        <v>101.02822596674901</v>
      </c>
      <c r="AK5001">
        <v>1.88486982238227</v>
      </c>
    </row>
    <row r="5002" spans="1:37" x14ac:dyDescent="0.2">
      <c r="A5002" t="str">
        <f>"20200111155954791"</f>
        <v>20200111155954791</v>
      </c>
      <c r="B5002" t="str">
        <f>"1578729594785983"</f>
        <v>1578729594785983</v>
      </c>
      <c r="C5002" t="s">
        <v>37</v>
      </c>
      <c r="D5002">
        <v>4.752167</v>
      </c>
      <c r="E5002">
        <v>0.45619189999999998</v>
      </c>
      <c r="F5002" t="s">
        <v>39</v>
      </c>
      <c r="G5002">
        <v>-392.515999999999</v>
      </c>
      <c r="H5002" s="1">
        <v>-4.2247539999999998E-6</v>
      </c>
      <c r="I5002">
        <v>22.32037</v>
      </c>
      <c r="J5002">
        <v>-394.46550000000002</v>
      </c>
      <c r="K5002">
        <v>1.1012770000000001</v>
      </c>
      <c r="L5002">
        <v>21.739229999999999</v>
      </c>
      <c r="M5002">
        <v>0.99485049999999997</v>
      </c>
      <c r="N5002">
        <v>0</v>
      </c>
      <c r="O5002">
        <v>0.1013355</v>
      </c>
      <c r="P5002">
        <v>0.9932957</v>
      </c>
      <c r="Q5002" s="1">
        <v>5.277991E-5</v>
      </c>
      <c r="R5002">
        <v>0.1156037</v>
      </c>
      <c r="S5002">
        <v>2.9197389999999999</v>
      </c>
      <c r="T5002">
        <v>-1.475455</v>
      </c>
      <c r="U5002">
        <v>0.80856319999999904</v>
      </c>
      <c r="V5002">
        <v>-1.435878E-2</v>
      </c>
      <c r="W5002">
        <v>-1.857945E-3</v>
      </c>
      <c r="X5002">
        <v>0.99989519999999998</v>
      </c>
      <c r="Y5002">
        <v>-0.16115279999999901</v>
      </c>
      <c r="Z5002">
        <v>-9.5212649999999992E-3</v>
      </c>
      <c r="AA5002">
        <v>0.98688349999999903</v>
      </c>
      <c r="AB5002">
        <v>22</v>
      </c>
      <c r="AC5002">
        <v>1.94950000000005</v>
      </c>
      <c r="AD5002">
        <v>-1.101281224754</v>
      </c>
      <c r="AE5002">
        <v>0.58114000000000099</v>
      </c>
      <c r="AF5002">
        <v>-0.29433316178894597</v>
      </c>
      <c r="AG5002">
        <v>-1.101281224754</v>
      </c>
      <c r="AH5002">
        <v>1.5454295882636</v>
      </c>
      <c r="AI5002">
        <v>124.992884370384</v>
      </c>
      <c r="AJ5002">
        <v>100.783067914038</v>
      </c>
      <c r="AK5002">
        <v>1.9203658397307899</v>
      </c>
    </row>
    <row r="5003" spans="1:37" x14ac:dyDescent="0.2">
      <c r="A5003" t="str">
        <f>"20200111155954813"</f>
        <v>20200111155954813</v>
      </c>
      <c r="B5003" t="str">
        <f>"1578729594805501"</f>
        <v>1578729594805501</v>
      </c>
      <c r="C5003" t="s">
        <v>37</v>
      </c>
      <c r="D5003">
        <v>4.7426399999999997</v>
      </c>
      <c r="E5003">
        <v>0.4571018</v>
      </c>
      <c r="F5003" t="s">
        <v>39</v>
      </c>
      <c r="G5003">
        <v>-392.26010000000002</v>
      </c>
      <c r="H5003" s="1">
        <v>-4.3284419999999998E-6</v>
      </c>
      <c r="I5003">
        <v>22.350929999999899</v>
      </c>
      <c r="J5003">
        <v>-394.25549999999998</v>
      </c>
      <c r="K5003">
        <v>1.101105</v>
      </c>
      <c r="L5003">
        <v>21.759060000000002</v>
      </c>
      <c r="M5003">
        <v>0.99501059999999997</v>
      </c>
      <c r="N5003">
        <v>0</v>
      </c>
      <c r="O5003">
        <v>9.9749649999999995E-2</v>
      </c>
      <c r="P5003">
        <v>0.99310119999999902</v>
      </c>
      <c r="Q5003">
        <v>1.6420600000000001E-3</v>
      </c>
      <c r="R5003">
        <v>0.11724900000000001</v>
      </c>
      <c r="S5003">
        <v>2.9258419999999998</v>
      </c>
      <c r="T5003">
        <v>-1.461022</v>
      </c>
      <c r="U5003">
        <v>0.81152340000000001</v>
      </c>
      <c r="V5003">
        <v>-1.760374E-2</v>
      </c>
      <c r="W5003">
        <v>-2.9186840000000001E-4</v>
      </c>
      <c r="X5003">
        <v>0.99984499999999998</v>
      </c>
      <c r="Y5003">
        <v>-0.1629091</v>
      </c>
      <c r="Z5003">
        <v>-8.2831080000000008E-3</v>
      </c>
      <c r="AA5003">
        <v>0.98660630000000005</v>
      </c>
      <c r="AB5003">
        <v>22</v>
      </c>
      <c r="AC5003">
        <v>1.9953999999999601</v>
      </c>
      <c r="AD5003">
        <v>-1.1011093284419999</v>
      </c>
      <c r="AE5003">
        <v>0.59186999999999601</v>
      </c>
      <c r="AF5003">
        <v>-0.304619003409631</v>
      </c>
      <c r="AG5003">
        <v>-1.1011093284419999</v>
      </c>
      <c r="AH5003">
        <v>1.5973992051430299</v>
      </c>
      <c r="AI5003">
        <v>124.102402678776</v>
      </c>
      <c r="AJ5003">
        <v>100.796497828809</v>
      </c>
      <c r="AK5003">
        <v>1.9639039464830901</v>
      </c>
    </row>
    <row r="5004" spans="1:37" x14ac:dyDescent="0.2">
      <c r="A5004" t="str">
        <f>"20200111155954835"</f>
        <v>20200111155954835</v>
      </c>
      <c r="B5004" t="str">
        <f>"1578729594825025"</f>
        <v>1578729594825025</v>
      </c>
      <c r="C5004" t="s">
        <v>37</v>
      </c>
      <c r="D5004">
        <v>4.7654379999999996</v>
      </c>
      <c r="E5004">
        <v>0.45850379999999902</v>
      </c>
      <c r="F5004" t="s">
        <v>39</v>
      </c>
      <c r="G5004">
        <v>-392.04689999999999</v>
      </c>
      <c r="H5004" s="1">
        <v>-4.4145229999999901E-6</v>
      </c>
      <c r="I5004">
        <v>22.37472</v>
      </c>
      <c r="J5004">
        <v>-394.03</v>
      </c>
      <c r="K5004">
        <v>1.100948</v>
      </c>
      <c r="L5004">
        <v>21.77966</v>
      </c>
      <c r="M5004">
        <v>0.99520499999999901</v>
      </c>
      <c r="N5004">
        <v>0</v>
      </c>
      <c r="O5004">
        <v>9.7789520000000005E-2</v>
      </c>
      <c r="P5004">
        <v>0.99322619999999895</v>
      </c>
      <c r="Q5004">
        <v>1.6600339999999999E-3</v>
      </c>
      <c r="R5004">
        <v>0.11618530000000001</v>
      </c>
      <c r="S5004">
        <v>2.9269099999999999</v>
      </c>
      <c r="T5004">
        <v>-1.459282</v>
      </c>
      <c r="U5004">
        <v>0.81591800000000003</v>
      </c>
      <c r="V5004">
        <v>-1.850243E-2</v>
      </c>
      <c r="W5004">
        <v>-2.960735E-4</v>
      </c>
      <c r="X5004">
        <v>0.99982879999999996</v>
      </c>
      <c r="Y5004">
        <v>-0.16564619999999999</v>
      </c>
      <c r="Z5004">
        <v>-6.7361299999999999E-3</v>
      </c>
      <c r="AA5004">
        <v>0.98616219999999999</v>
      </c>
      <c r="AB5004">
        <v>22</v>
      </c>
      <c r="AC5004">
        <v>1.9830999999999701</v>
      </c>
      <c r="AD5004">
        <v>-1.1009524145230001</v>
      </c>
      <c r="AE5004">
        <v>0.59506000000000003</v>
      </c>
      <c r="AF5004">
        <v>-0.31048957854641501</v>
      </c>
      <c r="AG5004">
        <v>-1.1009524145230001</v>
      </c>
      <c r="AH5004">
        <v>1.5839273223176</v>
      </c>
      <c r="AI5004">
        <v>124.297744871429</v>
      </c>
      <c r="AJ5004">
        <v>101.090782776984</v>
      </c>
      <c r="AK5004">
        <v>1.9537977786388601</v>
      </c>
    </row>
    <row r="5005" spans="1:37" x14ac:dyDescent="0.2">
      <c r="A5005" t="str">
        <f>"20200111155954857"</f>
        <v>20200111155954857</v>
      </c>
      <c r="B5005" t="str">
        <f>"1578729594845517"</f>
        <v>1578729594845517</v>
      </c>
      <c r="C5005" t="s">
        <v>37</v>
      </c>
      <c r="D5005">
        <v>4.8007</v>
      </c>
      <c r="E5005">
        <v>0.45888999999999902</v>
      </c>
      <c r="F5005" t="s">
        <v>39</v>
      </c>
      <c r="G5005">
        <v>-391.82429999999999</v>
      </c>
      <c r="H5005" s="1">
        <v>-4.5026260000000002E-6</v>
      </c>
      <c r="I5005">
        <v>22.389469999999999</v>
      </c>
      <c r="J5005">
        <v>-393.8116</v>
      </c>
      <c r="K5005">
        <v>1.100827</v>
      </c>
      <c r="L5005">
        <v>21.79889</v>
      </c>
      <c r="M5005">
        <v>0.99540810000000002</v>
      </c>
      <c r="N5005">
        <v>0</v>
      </c>
      <c r="O5005">
        <v>9.5702280000000001E-2</v>
      </c>
      <c r="P5005">
        <v>0.9934788</v>
      </c>
      <c r="Q5005">
        <v>2.5899479999999999E-3</v>
      </c>
      <c r="R5005">
        <v>0.1139894</v>
      </c>
      <c r="S5005">
        <v>2.9281619999999999</v>
      </c>
      <c r="T5005">
        <v>-1.461606</v>
      </c>
      <c r="U5005">
        <v>0.80957029999999996</v>
      </c>
      <c r="V5005">
        <v>-1.8385619999999998E-2</v>
      </c>
      <c r="W5005">
        <v>6.1637559999999896E-4</v>
      </c>
      <c r="X5005">
        <v>0.99983080000000002</v>
      </c>
      <c r="Y5005">
        <v>-0.16539579999999901</v>
      </c>
      <c r="Z5005">
        <v>-5.8451559999999998E-3</v>
      </c>
      <c r="AA5005">
        <v>0.98620989999999997</v>
      </c>
      <c r="AB5005">
        <v>22</v>
      </c>
      <c r="AC5005">
        <v>1.9873000000000001</v>
      </c>
      <c r="AD5005">
        <v>-1.100831502626</v>
      </c>
      <c r="AE5005">
        <v>0.59058000000000199</v>
      </c>
      <c r="AF5005">
        <v>-0.31021651179927101</v>
      </c>
      <c r="AG5005">
        <v>-1.100831502626</v>
      </c>
      <c r="AH5005">
        <v>1.58719929933523</v>
      </c>
      <c r="AI5005">
        <v>124.24269270831201</v>
      </c>
      <c r="AJ5005">
        <v>101.058990186033</v>
      </c>
      <c r="AK5005">
        <v>1.95633992372925</v>
      </c>
    </row>
    <row r="5006" spans="1:37" x14ac:dyDescent="0.2">
      <c r="A5006" t="str">
        <f>"20200111155954890"</f>
        <v>20200111155954890</v>
      </c>
      <c r="B5006" t="str">
        <f>"1578729594885066"</f>
        <v>1578729594885066</v>
      </c>
      <c r="C5006" t="s">
        <v>37</v>
      </c>
      <c r="D5006">
        <v>4.7358029999999998</v>
      </c>
      <c r="E5006">
        <v>0.46057510000000002</v>
      </c>
      <c r="F5006" t="s">
        <v>39</v>
      </c>
      <c r="G5006">
        <v>-391.60120000000001</v>
      </c>
      <c r="H5006" s="1">
        <v>-4.5917410000000001E-6</v>
      </c>
      <c r="I5006">
        <v>22.408809999999999</v>
      </c>
      <c r="J5006">
        <v>-393.46390000000002</v>
      </c>
      <c r="K5006">
        <v>1.1007119999999999</v>
      </c>
      <c r="L5006">
        <v>21.828189999999999</v>
      </c>
      <c r="M5006">
        <v>0.99574359999999995</v>
      </c>
      <c r="N5006">
        <v>0</v>
      </c>
      <c r="O5006">
        <v>9.2144329999999997E-2</v>
      </c>
      <c r="P5006">
        <v>0.99427129999999997</v>
      </c>
      <c r="Q5006">
        <v>6.3421390000000001E-3</v>
      </c>
      <c r="R5006">
        <v>0.106698499999999</v>
      </c>
      <c r="S5006">
        <v>2.9307560000000001</v>
      </c>
      <c r="T5006">
        <v>-1.4596229999999999</v>
      </c>
      <c r="U5006">
        <v>0.80871579999999998</v>
      </c>
      <c r="V5006">
        <v>-1.4608980000000001E-2</v>
      </c>
      <c r="W5006">
        <v>4.33998299999999E-3</v>
      </c>
      <c r="X5006">
        <v>0.99988390000000005</v>
      </c>
      <c r="Y5006">
        <v>-0.16780719999999999</v>
      </c>
      <c r="Z5006">
        <v>-3.6433709999999998E-3</v>
      </c>
      <c r="AA5006">
        <v>0.985813099999999</v>
      </c>
      <c r="AB5006">
        <v>22</v>
      </c>
      <c r="AC5006">
        <v>1.86270000000001</v>
      </c>
      <c r="AD5006">
        <v>-1.100716591741</v>
      </c>
      <c r="AE5006">
        <v>0.58061999999999903</v>
      </c>
      <c r="AF5006">
        <v>-0.30836820989004399</v>
      </c>
      <c r="AG5006">
        <v>-1.100716591741</v>
      </c>
      <c r="AH5006">
        <v>1.44756223245961</v>
      </c>
      <c r="AI5006">
        <v>126.638395740465</v>
      </c>
      <c r="AJ5006">
        <v>102.025724799796</v>
      </c>
      <c r="AK5006">
        <v>1.8444794347045901</v>
      </c>
    </row>
    <row r="5007" spans="1:37" x14ac:dyDescent="0.2">
      <c r="A5007" t="str">
        <f>"20200111155954914"</f>
        <v>20200111155954914</v>
      </c>
      <c r="B5007" t="str">
        <f>"1578729594905562"</f>
        <v>1578729594905562</v>
      </c>
      <c r="C5007" t="s">
        <v>37</v>
      </c>
      <c r="D5007">
        <v>4.8068799999999996</v>
      </c>
      <c r="E5007">
        <v>0.46123029999999998</v>
      </c>
      <c r="F5007" t="s">
        <v>39</v>
      </c>
      <c r="G5007">
        <v>-391.23610000000002</v>
      </c>
      <c r="H5007" s="1">
        <v>-4.7341359999999901E-6</v>
      </c>
      <c r="I5007">
        <v>22.421050000000001</v>
      </c>
      <c r="J5007">
        <v>-393.22469999999998</v>
      </c>
      <c r="K5007">
        <v>1.100678</v>
      </c>
      <c r="L5007">
        <v>21.84741</v>
      </c>
      <c r="M5007">
        <v>0.99597459999999904</v>
      </c>
      <c r="N5007">
        <v>0</v>
      </c>
      <c r="O5007">
        <v>8.9612189999999994E-2</v>
      </c>
      <c r="P5007">
        <v>0.99496200000000001</v>
      </c>
      <c r="Q5007">
        <v>8.4028650000000007E-3</v>
      </c>
      <c r="R5007">
        <v>9.9901899999999905E-2</v>
      </c>
      <c r="S5007">
        <v>2.9425349999999999</v>
      </c>
      <c r="T5007">
        <v>-1.4538089999999999</v>
      </c>
      <c r="U5007">
        <v>0.78305049999999998</v>
      </c>
      <c r="V5007">
        <v>-1.031104E-2</v>
      </c>
      <c r="W5007">
        <v>6.3836769999999999E-3</v>
      </c>
      <c r="X5007">
        <v>0.99992639999999999</v>
      </c>
      <c r="Y5007">
        <v>-0.1617575</v>
      </c>
      <c r="Z5007">
        <v>-3.8624670000000001E-3</v>
      </c>
      <c r="AA5007">
        <v>0.98682300000000001</v>
      </c>
      <c r="AB5007">
        <v>23</v>
      </c>
      <c r="AC5007">
        <v>1.98859999999996</v>
      </c>
      <c r="AD5007">
        <v>-1.1006827341359999</v>
      </c>
      <c r="AE5007">
        <v>0.57364000000000004</v>
      </c>
      <c r="AF5007">
        <v>-0.30645585894711203</v>
      </c>
      <c r="AG5007">
        <v>-1.1006827341359999</v>
      </c>
      <c r="AH5007">
        <v>1.5840089390479899</v>
      </c>
      <c r="AI5007">
        <v>124.302631128074</v>
      </c>
      <c r="AJ5007">
        <v>100.949651548849</v>
      </c>
      <c r="AK5007">
        <v>1.9530750097454199</v>
      </c>
    </row>
    <row r="5008" spans="1:37" x14ac:dyDescent="0.2">
      <c r="A5008" t="str">
        <f>"20200111155954936"</f>
        <v>20200111155954936</v>
      </c>
      <c r="B5008" t="str">
        <f>"1578729594925085"</f>
        <v>1578729594925085</v>
      </c>
      <c r="C5008" t="s">
        <v>37</v>
      </c>
      <c r="D5008">
        <v>4.7341959999999998</v>
      </c>
      <c r="E5008">
        <v>0.46184560000000002</v>
      </c>
      <c r="F5008" t="s">
        <v>39</v>
      </c>
      <c r="G5008">
        <v>-390.98790000000002</v>
      </c>
      <c r="H5008" s="1">
        <v>-4.829549E-6</v>
      </c>
      <c r="I5008">
        <v>22.421669999999999</v>
      </c>
      <c r="J5008">
        <v>-392.98829999999998</v>
      </c>
      <c r="K5008">
        <v>1.1006670000000001</v>
      </c>
      <c r="L5008">
        <v>21.86581</v>
      </c>
      <c r="M5008">
        <v>0.99619789999999997</v>
      </c>
      <c r="N5008">
        <v>0</v>
      </c>
      <c r="O5008">
        <v>8.7094950000000004E-2</v>
      </c>
      <c r="P5008">
        <v>0.99568250000000003</v>
      </c>
      <c r="Q5008">
        <v>9.3111319999999997E-3</v>
      </c>
      <c r="R5008">
        <v>9.2357599999999998E-2</v>
      </c>
      <c r="S5008">
        <v>2.9513849999999899</v>
      </c>
      <c r="T5008">
        <v>-1.4523219999999999</v>
      </c>
      <c r="U5008">
        <v>0.75772090000000003</v>
      </c>
      <c r="V5008">
        <v>-5.2548839999999996E-3</v>
      </c>
      <c r="W5008">
        <v>7.2805880000000002E-3</v>
      </c>
      <c r="X5008">
        <v>0.99995970000000001</v>
      </c>
      <c r="Y5008">
        <v>-0.15596679999999999</v>
      </c>
      <c r="Z5008">
        <v>-4.0393959999999998E-3</v>
      </c>
      <c r="AA5008">
        <v>0.98775400000000002</v>
      </c>
      <c r="AB5008">
        <v>23</v>
      </c>
      <c r="AC5008">
        <v>2.0003999999999502</v>
      </c>
      <c r="AD5008">
        <v>-1.1006718295489999</v>
      </c>
      <c r="AE5008">
        <v>0.55586000000000202</v>
      </c>
      <c r="AF5008">
        <v>-0.29625957261151498</v>
      </c>
      <c r="AG5008">
        <v>-1.1006718295489999</v>
      </c>
      <c r="AH5008">
        <v>1.59339209168463</v>
      </c>
      <c r="AI5008">
        <v>124.18174564108099</v>
      </c>
      <c r="AJ5008">
        <v>100.53273759513</v>
      </c>
      <c r="AK5008">
        <v>1.9591188245152</v>
      </c>
    </row>
    <row r="5009" spans="1:37" x14ac:dyDescent="0.2">
      <c r="A5009" t="str">
        <f>"20200111155954958"</f>
        <v>20200111155954958</v>
      </c>
      <c r="B5009" t="str">
        <f>"1578729594955338"</f>
        <v>1578729594955338</v>
      </c>
      <c r="C5009" t="s">
        <v>37</v>
      </c>
      <c r="D5009">
        <v>4.8472799999999996</v>
      </c>
      <c r="E5009">
        <v>0.4621228</v>
      </c>
      <c r="F5009" t="s">
        <v>39</v>
      </c>
      <c r="G5009">
        <v>-390.75040000000001</v>
      </c>
      <c r="H5009" s="1">
        <v>-4.9196380000000001E-6</v>
      </c>
      <c r="I5009">
        <v>22.41534</v>
      </c>
      <c r="J5009">
        <v>-392.76029999999997</v>
      </c>
      <c r="K5009">
        <v>1.1006860000000001</v>
      </c>
      <c r="L5009">
        <v>21.882929999999899</v>
      </c>
      <c r="M5009">
        <v>0.99640609999999996</v>
      </c>
      <c r="N5009">
        <v>0</v>
      </c>
      <c r="O5009">
        <v>8.4680619999999998E-2</v>
      </c>
      <c r="P5009">
        <v>0.99638209999999905</v>
      </c>
      <c r="Q5009">
        <v>9.1922129999999994E-3</v>
      </c>
      <c r="R5009">
        <v>8.4489699999999904E-2</v>
      </c>
      <c r="S5009">
        <v>2.9592290000000001</v>
      </c>
      <c r="T5009">
        <v>-1.455392</v>
      </c>
      <c r="U5009">
        <v>0.72662349999999998</v>
      </c>
      <c r="V5009">
        <v>2.1979779999999901E-4</v>
      </c>
      <c r="W5009">
        <v>7.1570899999999996E-3</v>
      </c>
      <c r="X5009">
        <v>0.99997440000000004</v>
      </c>
      <c r="Y5009">
        <v>-0.148483</v>
      </c>
      <c r="Z5009">
        <v>-4.6649839999999996E-3</v>
      </c>
      <c r="AA5009">
        <v>0.98890389999999995</v>
      </c>
      <c r="AB5009">
        <v>23</v>
      </c>
      <c r="AC5009">
        <v>2.0098999999999498</v>
      </c>
      <c r="AD5009">
        <v>-1.1006909196379999</v>
      </c>
      <c r="AE5009">
        <v>0.53241000000000205</v>
      </c>
      <c r="AF5009">
        <v>-0.28142990378307098</v>
      </c>
      <c r="AG5009">
        <v>-1.1006909196379999</v>
      </c>
      <c r="AH5009">
        <v>1.5995173768036099</v>
      </c>
      <c r="AI5009">
        <v>124.126633249853</v>
      </c>
      <c r="AJ5009">
        <v>99.978870615611697</v>
      </c>
      <c r="AK5009">
        <v>1.9619324988422999</v>
      </c>
    </row>
    <row r="5010" spans="1:37" x14ac:dyDescent="0.2">
      <c r="A5010" t="str">
        <f>"20200111155954980"</f>
        <v>20200111155954980</v>
      </c>
      <c r="B5010" t="str">
        <f>"1578729594975366"</f>
        <v>1578729594975366</v>
      </c>
      <c r="C5010" t="s">
        <v>37</v>
      </c>
      <c r="D5010">
        <v>5.8391330000000004</v>
      </c>
      <c r="E5010">
        <v>0.53911779999999998</v>
      </c>
      <c r="F5010" t="s">
        <v>39</v>
      </c>
      <c r="G5010">
        <v>-390.53050000000002</v>
      </c>
      <c r="H5010" s="1">
        <v>-5.0024910000000003E-6</v>
      </c>
      <c r="I5010">
        <v>22.406420000000001</v>
      </c>
      <c r="J5010">
        <v>-392.52460000000002</v>
      </c>
      <c r="K5010">
        <v>1.100724</v>
      </c>
      <c r="L5010">
        <v>21.90015</v>
      </c>
      <c r="M5010">
        <v>0.99661200000000005</v>
      </c>
      <c r="N5010">
        <v>0</v>
      </c>
      <c r="O5010">
        <v>8.2223180000000007E-2</v>
      </c>
      <c r="P5010">
        <v>0.99712409999999996</v>
      </c>
      <c r="Q5010">
        <v>9.3720969999999994E-3</v>
      </c>
      <c r="R5010">
        <v>7.520454E-2</v>
      </c>
      <c r="S5010">
        <v>2.965363</v>
      </c>
      <c r="T5010">
        <v>-1.463784</v>
      </c>
      <c r="U5010">
        <v>0.69616699999999998</v>
      </c>
      <c r="V5010">
        <v>7.0689289999999998E-3</v>
      </c>
      <c r="W5010">
        <v>7.336853E-3</v>
      </c>
      <c r="X5010">
        <v>0.99994810000000001</v>
      </c>
      <c r="Y5010">
        <v>-0.1412823</v>
      </c>
      <c r="Z5010">
        <v>-5.2251219999999996E-3</v>
      </c>
      <c r="AA5010">
        <v>0.98995549999999999</v>
      </c>
      <c r="AB5010">
        <v>24</v>
      </c>
      <c r="AC5010">
        <v>1.9941</v>
      </c>
      <c r="AD5010">
        <v>-1.1007290024909999</v>
      </c>
      <c r="AE5010">
        <v>0.50627</v>
      </c>
      <c r="AF5010">
        <v>-0.264797155253923</v>
      </c>
      <c r="AG5010">
        <v>-1.1007290024909999</v>
      </c>
      <c r="AH5010">
        <v>1.5774398460160799</v>
      </c>
      <c r="AI5010">
        <v>124.53443207536</v>
      </c>
      <c r="AJ5010">
        <v>99.529120593494596</v>
      </c>
      <c r="AK5010">
        <v>1.9416586564467599</v>
      </c>
    </row>
    <row r="5011" spans="1:37" x14ac:dyDescent="0.2">
      <c r="A5011" t="str">
        <f>"20200111155955002"</f>
        <v>20200111155955002</v>
      </c>
      <c r="B5011" t="str">
        <f>"1578729594995862"</f>
        <v>1578729594995862</v>
      </c>
      <c r="C5011" t="s">
        <v>37</v>
      </c>
      <c r="D5011">
        <v>5.7962629999999997</v>
      </c>
      <c r="E5011">
        <v>0.53672519999999901</v>
      </c>
      <c r="F5011" t="s">
        <v>77</v>
      </c>
      <c r="G5011">
        <v>-363.21429999999998</v>
      </c>
      <c r="H5011" s="1">
        <v>-3.6249939999999999E-6</v>
      </c>
      <c r="I5011">
        <v>21.183150000000001</v>
      </c>
      <c r="J5011">
        <v>-392.2747</v>
      </c>
      <c r="K5011">
        <v>1.100797</v>
      </c>
      <c r="L5011">
        <v>21.917819999999999</v>
      </c>
      <c r="M5011">
        <v>0.99681869999999995</v>
      </c>
      <c r="N5011">
        <v>0</v>
      </c>
      <c r="O5011">
        <v>7.9678730000000003E-2</v>
      </c>
      <c r="P5011">
        <v>0.99779130000000005</v>
      </c>
      <c r="Q5011">
        <v>1.061522E-2</v>
      </c>
      <c r="R5011">
        <v>6.5574389999999996E-2</v>
      </c>
      <c r="S5011">
        <v>3.0152890000000001</v>
      </c>
      <c r="T5011">
        <v>-0.113236899999999</v>
      </c>
      <c r="U5011">
        <v>-7.3760989999999999E-2</v>
      </c>
      <c r="V5011">
        <v>1.417326E-2</v>
      </c>
      <c r="W5011">
        <v>8.5918469999999997E-3</v>
      </c>
      <c r="X5011">
        <v>0.99986260000000005</v>
      </c>
      <c r="Y5011">
        <v>0.103903</v>
      </c>
      <c r="Z5011">
        <v>-4.9391460000000002E-3</v>
      </c>
      <c r="AA5011">
        <v>0.99457510000000005</v>
      </c>
      <c r="AB5011">
        <v>24</v>
      </c>
      <c r="AC5011">
        <v>29.060400000000001</v>
      </c>
      <c r="AD5011">
        <v>-1.1008006249940001</v>
      </c>
      <c r="AE5011">
        <v>-0.73467000000000104</v>
      </c>
      <c r="AF5011">
        <v>3.04347010815852</v>
      </c>
      <c r="AG5011">
        <v>-1.1008006249940001</v>
      </c>
      <c r="AH5011">
        <v>28.86807157985</v>
      </c>
      <c r="AI5011">
        <v>92.171727020887602</v>
      </c>
      <c r="AJ5011">
        <v>83.981717613643099</v>
      </c>
      <c r="AK5011">
        <v>29.048924748681902</v>
      </c>
    </row>
    <row r="5012" spans="1:37" x14ac:dyDescent="0.2">
      <c r="A5012" t="str">
        <f>"20200111155955025"</f>
        <v>20200111155955025</v>
      </c>
      <c r="B5012" t="str">
        <f>"1578729595015381"</f>
        <v>1578729595015381</v>
      </c>
      <c r="C5012" t="s">
        <v>37</v>
      </c>
      <c r="D5012">
        <v>5.849202</v>
      </c>
      <c r="E5012">
        <v>0.53307299999999902</v>
      </c>
      <c r="F5012" t="s">
        <v>77</v>
      </c>
      <c r="G5012">
        <v>-365.05560000000003</v>
      </c>
      <c r="H5012" s="1">
        <v>-2.7514960000000001E-6</v>
      </c>
      <c r="I5012">
        <v>21.171600000000002</v>
      </c>
      <c r="J5012">
        <v>-392.02780000000001</v>
      </c>
      <c r="K5012">
        <v>1.100867</v>
      </c>
      <c r="L5012">
        <v>21.934750000000001</v>
      </c>
      <c r="M5012">
        <v>0.99701070000000003</v>
      </c>
      <c r="N5012">
        <v>0</v>
      </c>
      <c r="O5012">
        <v>7.7239550000000004E-2</v>
      </c>
      <c r="P5012">
        <v>0.99832449999999995</v>
      </c>
      <c r="Q5012">
        <v>1.377139E-2</v>
      </c>
      <c r="R5012">
        <v>5.6202050000000003E-2</v>
      </c>
      <c r="S5012">
        <v>3.0133359999999998</v>
      </c>
      <c r="T5012">
        <v>-0.12186569999999999</v>
      </c>
      <c r="U5012">
        <v>-8.2611080000000003E-2</v>
      </c>
      <c r="V5012">
        <v>2.1124090000000002E-2</v>
      </c>
      <c r="W5012">
        <v>1.177076E-2</v>
      </c>
      <c r="X5012">
        <v>0.99970759999999903</v>
      </c>
      <c r="Y5012">
        <v>0.1043853</v>
      </c>
      <c r="Z5012">
        <v>-5.22989099999999E-3</v>
      </c>
      <c r="AA5012">
        <v>0.99452320000000005</v>
      </c>
      <c r="AB5012">
        <v>24</v>
      </c>
      <c r="AC5012">
        <v>26.972199999999901</v>
      </c>
      <c r="AD5012">
        <v>-1.100869751496</v>
      </c>
      <c r="AE5012">
        <v>-0.763149999999999</v>
      </c>
      <c r="AF5012">
        <v>2.83946821099889</v>
      </c>
      <c r="AG5012">
        <v>-1.100869751496</v>
      </c>
      <c r="AH5012">
        <v>26.7880869234946</v>
      </c>
      <c r="AI5012">
        <v>92.340179305452196</v>
      </c>
      <c r="AJ5012">
        <v>83.949387919599701</v>
      </c>
      <c r="AK5012">
        <v>26.960639735579999</v>
      </c>
    </row>
    <row r="5013" spans="1:37" x14ac:dyDescent="0.2">
      <c r="A5013" t="str">
        <f>"20200111155955047"</f>
        <v>20200111155955047</v>
      </c>
      <c r="B5013" t="str">
        <f>"1578729595045638"</f>
        <v>1578729595045638</v>
      </c>
      <c r="C5013" t="s">
        <v>37</v>
      </c>
      <c r="D5013">
        <v>5.9213899999999997</v>
      </c>
      <c r="E5013">
        <v>0.53608750000000005</v>
      </c>
      <c r="F5013" t="s">
        <v>77</v>
      </c>
      <c r="G5013">
        <v>-365.15440000000001</v>
      </c>
      <c r="H5013" s="1">
        <v>-2.7167050000000001E-6</v>
      </c>
      <c r="I5013">
        <v>21.216290000000001</v>
      </c>
      <c r="J5013">
        <v>-391.78129999999999</v>
      </c>
      <c r="K5013">
        <v>1.100935</v>
      </c>
      <c r="L5013">
        <v>21.95111</v>
      </c>
      <c r="M5013">
        <v>0.99719040000000003</v>
      </c>
      <c r="N5013">
        <v>0</v>
      </c>
      <c r="O5013">
        <v>7.4888819999999995E-2</v>
      </c>
      <c r="P5013">
        <v>0.998695</v>
      </c>
      <c r="Q5013">
        <v>1.6555509999999999E-2</v>
      </c>
      <c r="R5013">
        <v>4.8319979999999998E-2</v>
      </c>
      <c r="S5013">
        <v>3.0112299999999999</v>
      </c>
      <c r="T5013">
        <v>-0.12335499999999899</v>
      </c>
      <c r="U5013">
        <v>-8.0505370000000007E-2</v>
      </c>
      <c r="V5013">
        <v>2.6664210000000001E-2</v>
      </c>
      <c r="W5013">
        <v>1.4592910000000001E-2</v>
      </c>
      <c r="X5013">
        <v>0.99953789999999998</v>
      </c>
      <c r="Y5013">
        <v>0.10136489999999999</v>
      </c>
      <c r="Z5013">
        <v>-5.1395670000000003E-3</v>
      </c>
      <c r="AA5013">
        <v>0.99483600000000005</v>
      </c>
      <c r="AB5013">
        <v>25</v>
      </c>
      <c r="AC5013">
        <v>26.6268999999999</v>
      </c>
      <c r="AD5013">
        <v>-1.1009377167049901</v>
      </c>
      <c r="AE5013">
        <v>-0.73481999999999903</v>
      </c>
      <c r="AF5013">
        <v>2.7221664566708901</v>
      </c>
      <c r="AG5013">
        <v>-1.1009377167049901</v>
      </c>
      <c r="AH5013">
        <v>26.4519119072854</v>
      </c>
      <c r="AI5013">
        <v>92.370788208890204</v>
      </c>
      <c r="AJ5013">
        <v>84.124374515052196</v>
      </c>
      <c r="AK5013">
        <v>26.6143926781108</v>
      </c>
    </row>
    <row r="5014" spans="1:37" x14ac:dyDescent="0.2">
      <c r="A5014" t="str">
        <f>"20200111155955070"</f>
        <v>20200111155955070</v>
      </c>
      <c r="B5014" t="str">
        <f>"1578729595065158"</f>
        <v>1578729595065158</v>
      </c>
      <c r="C5014" t="s">
        <v>37</v>
      </c>
      <c r="D5014">
        <v>4.7329980000000003</v>
      </c>
      <c r="E5014">
        <v>0.53837349999999995</v>
      </c>
      <c r="F5014" t="s">
        <v>77</v>
      </c>
      <c r="G5014">
        <v>-364.04520000000002</v>
      </c>
      <c r="H5014" s="1">
        <v>-3.1236839999999998E-6</v>
      </c>
      <c r="I5014">
        <v>20.775359999999999</v>
      </c>
      <c r="J5014">
        <v>-391.53930000000003</v>
      </c>
      <c r="K5014">
        <v>1.1009799999999901</v>
      </c>
      <c r="L5014">
        <v>21.96677</v>
      </c>
      <c r="M5014">
        <v>0.99735649999999998</v>
      </c>
      <c r="N5014">
        <v>0</v>
      </c>
      <c r="O5014">
        <v>7.2643490000000005E-2</v>
      </c>
      <c r="P5014">
        <v>0.998942</v>
      </c>
      <c r="Q5014">
        <v>1.91664E-2</v>
      </c>
      <c r="R5014">
        <v>4.1806129999999997E-2</v>
      </c>
      <c r="S5014">
        <v>3.0121150000000001</v>
      </c>
      <c r="T5014">
        <v>-0.1195609</v>
      </c>
      <c r="U5014">
        <v>-0.12768550000000001</v>
      </c>
      <c r="V5014">
        <v>3.0936689999999999E-2</v>
      </c>
      <c r="W5014">
        <v>1.7252839999999998E-2</v>
      </c>
      <c r="X5014">
        <v>0.99937240000000005</v>
      </c>
      <c r="Y5014">
        <v>0.11467189999999999</v>
      </c>
      <c r="Z5014">
        <v>-5.1541809999999999E-3</v>
      </c>
      <c r="AA5014">
        <v>0.99339</v>
      </c>
      <c r="AB5014">
        <v>25</v>
      </c>
      <c r="AC5014">
        <v>27.4941</v>
      </c>
      <c r="AD5014">
        <v>-1.10098312368399</v>
      </c>
      <c r="AE5014">
        <v>-1.1914100000000001</v>
      </c>
      <c r="AF5014">
        <v>3.18044212432422</v>
      </c>
      <c r="AG5014">
        <v>-1.10098312368399</v>
      </c>
      <c r="AH5014">
        <v>27.291230473953199</v>
      </c>
      <c r="AI5014">
        <v>92.294661788786797</v>
      </c>
      <c r="AJ5014">
        <v>83.352896370016296</v>
      </c>
      <c r="AK5014">
        <v>27.497975138676001</v>
      </c>
    </row>
    <row r="5015" spans="1:37" x14ac:dyDescent="0.2">
      <c r="A5015" t="str">
        <f>"20200111155955091"</f>
        <v>20200111155955091</v>
      </c>
      <c r="B5015" t="str">
        <f>"1578729595085654"</f>
        <v>1578729595085654</v>
      </c>
      <c r="C5015" t="s">
        <v>37</v>
      </c>
      <c r="D5015">
        <v>5.9031880000000001</v>
      </c>
      <c r="E5015">
        <v>0.55061759999999904</v>
      </c>
      <c r="F5015" t="s">
        <v>77</v>
      </c>
      <c r="G5015">
        <v>-365.18880000000001</v>
      </c>
      <c r="H5015" s="1">
        <v>-2.5182790000000002E-6</v>
      </c>
      <c r="I5015">
        <v>20.531700000000001</v>
      </c>
      <c r="J5015">
        <v>-391.28339999999997</v>
      </c>
      <c r="K5015">
        <v>1.10102099999999</v>
      </c>
      <c r="L5015">
        <v>21.98282</v>
      </c>
      <c r="M5015">
        <v>0.99752269999999899</v>
      </c>
      <c r="N5015">
        <v>0</v>
      </c>
      <c r="O5015">
        <v>7.0325170000000006E-2</v>
      </c>
      <c r="P5015">
        <v>0.99913159999999901</v>
      </c>
      <c r="Q5015">
        <v>2.1610339999999999E-2</v>
      </c>
      <c r="R5015">
        <v>3.56263E-2</v>
      </c>
      <c r="S5015">
        <v>3.0124819999999999</v>
      </c>
      <c r="T5015">
        <v>-0.12586820000000001</v>
      </c>
      <c r="U5015">
        <v>-0.1640625</v>
      </c>
      <c r="V5015">
        <v>3.4799389999999999E-2</v>
      </c>
      <c r="W5015">
        <v>1.975677E-2</v>
      </c>
      <c r="X5015">
        <v>0.99919899999999995</v>
      </c>
      <c r="Y5015">
        <v>0.12429749999999901</v>
      </c>
      <c r="Z5015">
        <v>-5.5281409999999899E-3</v>
      </c>
      <c r="AA5015">
        <v>0.99222960000000004</v>
      </c>
      <c r="AB5015">
        <v>25</v>
      </c>
      <c r="AC5015">
        <v>26.0945999999999</v>
      </c>
      <c r="AD5015">
        <v>-1.10102351827899</v>
      </c>
      <c r="AE5015">
        <v>-1.45111999999999</v>
      </c>
      <c r="AF5015">
        <v>3.2768212494794899</v>
      </c>
      <c r="AG5015">
        <v>-1.10102351827899</v>
      </c>
      <c r="AH5015">
        <v>25.882006773794</v>
      </c>
      <c r="AI5015">
        <v>92.416632217622094</v>
      </c>
      <c r="AJ5015">
        <v>82.784391758956005</v>
      </c>
      <c r="AK5015">
        <v>26.1118380227736</v>
      </c>
    </row>
    <row r="5016" spans="1:37" x14ac:dyDescent="0.2">
      <c r="A5016" t="str">
        <f>"20200111155955115"</f>
        <v>20200111155955115</v>
      </c>
      <c r="B5016" t="str">
        <f>"1578729595105175"</f>
        <v>1578729595105175</v>
      </c>
      <c r="C5016" t="s">
        <v>37</v>
      </c>
      <c r="D5016">
        <v>5.8224960000000001</v>
      </c>
      <c r="E5016">
        <v>0.55564049999999998</v>
      </c>
      <c r="F5016" t="s">
        <v>77</v>
      </c>
      <c r="G5016">
        <v>-363.0985</v>
      </c>
      <c r="H5016" s="1">
        <v>-3.308112E-6</v>
      </c>
      <c r="I5016">
        <v>19.360910000000001</v>
      </c>
      <c r="J5016">
        <v>-391.01179999999999</v>
      </c>
      <c r="K5016">
        <v>1.101056</v>
      </c>
      <c r="L5016">
        <v>21.999300000000002</v>
      </c>
      <c r="M5016">
        <v>0.99768989999999902</v>
      </c>
      <c r="N5016">
        <v>0</v>
      </c>
      <c r="O5016">
        <v>6.7914199999999994E-2</v>
      </c>
      <c r="P5016">
        <v>0.99926630000000005</v>
      </c>
      <c r="Q5016">
        <v>2.2235729999999999E-2</v>
      </c>
      <c r="R5016">
        <v>3.118779E-2</v>
      </c>
      <c r="S5016">
        <v>3.0151669999999999</v>
      </c>
      <c r="T5016">
        <v>-0.1177859</v>
      </c>
      <c r="U5016">
        <v>-0.28048709999999999</v>
      </c>
      <c r="V5016">
        <v>3.682349E-2</v>
      </c>
      <c r="W5016">
        <v>2.0457570000000001E-2</v>
      </c>
      <c r="X5016">
        <v>0.99911240000000001</v>
      </c>
      <c r="Y5016">
        <v>0.15986149999999999</v>
      </c>
      <c r="Z5016">
        <v>-5.7614190000000003E-3</v>
      </c>
      <c r="AA5016">
        <v>0.98712269999999902</v>
      </c>
      <c r="AB5016">
        <v>25</v>
      </c>
      <c r="AC5016">
        <v>27.9132999999999</v>
      </c>
      <c r="AD5016">
        <v>-1.1010593081119999</v>
      </c>
      <c r="AE5016">
        <v>-2.6383899999999998</v>
      </c>
      <c r="AF5016">
        <v>4.5210379377213901</v>
      </c>
      <c r="AG5016">
        <v>-1.1010593081119999</v>
      </c>
      <c r="AH5016">
        <v>27.6270622551908</v>
      </c>
      <c r="AI5016">
        <v>92.252351635772399</v>
      </c>
      <c r="AJ5016">
        <v>80.706194663207498</v>
      </c>
      <c r="AK5016">
        <v>28.016186116002402</v>
      </c>
    </row>
    <row r="5017" spans="1:37" x14ac:dyDescent="0.2">
      <c r="A5017" t="str">
        <f>"20200111155955136"</f>
        <v>20200111155955136</v>
      </c>
      <c r="B5017" t="str">
        <f>"1578729595125670"</f>
        <v>1578729595125670</v>
      </c>
      <c r="C5017" t="s">
        <v>37</v>
      </c>
      <c r="D5017">
        <v>5.8478859999999999</v>
      </c>
      <c r="E5017">
        <v>0.55868169999999995</v>
      </c>
      <c r="F5017" t="s">
        <v>77</v>
      </c>
      <c r="G5017">
        <v>-367.34129999999999</v>
      </c>
      <c r="H5017" s="1">
        <v>-1.295833E-6</v>
      </c>
      <c r="I5017">
        <v>19.39865</v>
      </c>
      <c r="J5017">
        <v>-390.76830000000001</v>
      </c>
      <c r="K5017">
        <v>1.101062</v>
      </c>
      <c r="L5017">
        <v>22.013670000000001</v>
      </c>
      <c r="M5017">
        <v>0.99783310000000003</v>
      </c>
      <c r="N5017">
        <v>0</v>
      </c>
      <c r="O5017">
        <v>6.5779270000000001E-2</v>
      </c>
      <c r="P5017">
        <v>0.99934239999999996</v>
      </c>
      <c r="Q5017">
        <v>2.102331E-2</v>
      </c>
      <c r="R5017">
        <v>2.9546260000000001E-2</v>
      </c>
      <c r="S5017">
        <v>3.0156860000000001</v>
      </c>
      <c r="T5017">
        <v>-0.14027779999999901</v>
      </c>
      <c r="U5017">
        <v>-0.33132929999999999</v>
      </c>
      <c r="V5017">
        <v>3.6324139999999998E-2</v>
      </c>
      <c r="W5017">
        <v>1.9323880000000002E-2</v>
      </c>
      <c r="X5017">
        <v>0.99915319999999996</v>
      </c>
      <c r="Y5017">
        <v>0.17410419999999999</v>
      </c>
      <c r="Z5017">
        <v>-7.0850899999999996E-3</v>
      </c>
      <c r="AA5017">
        <v>0.98470179999999996</v>
      </c>
      <c r="AB5017">
        <v>25</v>
      </c>
      <c r="AC5017">
        <v>23.427</v>
      </c>
      <c r="AD5017">
        <v>-1.101063295833</v>
      </c>
      <c r="AE5017">
        <v>-2.6150199999999999</v>
      </c>
      <c r="AF5017">
        <v>4.1413334920709701</v>
      </c>
      <c r="AG5017">
        <v>-1.101063295833</v>
      </c>
      <c r="AH5017">
        <v>23.1537307349735</v>
      </c>
      <c r="AI5017">
        <v>92.680148724429898</v>
      </c>
      <c r="AJ5017">
        <v>79.859168968426999</v>
      </c>
      <c r="AK5017">
        <v>23.546936752402299</v>
      </c>
    </row>
    <row r="5018" spans="1:37" x14ac:dyDescent="0.2">
      <c r="A5018" t="str">
        <f>"20200111155955158"</f>
        <v>20200111155955158</v>
      </c>
      <c r="B5018" t="str">
        <f>"1578729595155925"</f>
        <v>1578729595155925</v>
      </c>
      <c r="C5018" t="s">
        <v>37</v>
      </c>
      <c r="D5018">
        <v>5.8858169999999896</v>
      </c>
      <c r="E5018">
        <v>0.56148399999999998</v>
      </c>
      <c r="F5018" t="s">
        <v>76</v>
      </c>
      <c r="G5018">
        <v>-370.48149999999998</v>
      </c>
      <c r="H5018" s="1">
        <v>-4.4826759999999996E-6</v>
      </c>
      <c r="I5018">
        <v>19.600909999999999</v>
      </c>
      <c r="J5018">
        <v>-390.51310000000001</v>
      </c>
      <c r="K5018">
        <v>1.1010530000000001</v>
      </c>
      <c r="L5018">
        <v>22.028169999999999</v>
      </c>
      <c r="M5018">
        <v>0.99797729999999996</v>
      </c>
      <c r="N5018">
        <v>0</v>
      </c>
      <c r="O5018">
        <v>6.3556210000000002E-2</v>
      </c>
      <c r="P5018">
        <v>0.99937790000000004</v>
      </c>
      <c r="Q5018">
        <v>1.9342720000000001E-2</v>
      </c>
      <c r="R5018">
        <v>2.9487610000000001E-2</v>
      </c>
      <c r="S5018">
        <v>3.016022</v>
      </c>
      <c r="T5018">
        <v>-0.1636947</v>
      </c>
      <c r="U5018">
        <v>-0.35870359999999901</v>
      </c>
      <c r="V5018">
        <v>3.4153910000000003E-2</v>
      </c>
      <c r="W5018">
        <v>1.773342E-2</v>
      </c>
      <c r="X5018">
        <v>0.99925919999999901</v>
      </c>
      <c r="Y5018">
        <v>0.1806181</v>
      </c>
      <c r="Z5018">
        <v>-8.3171689999999993E-3</v>
      </c>
      <c r="AA5018">
        <v>0.98351809999999995</v>
      </c>
      <c r="AB5018">
        <v>26</v>
      </c>
      <c r="AC5018">
        <v>20.031600000000001</v>
      </c>
      <c r="AD5018">
        <v>-1.101057482676</v>
      </c>
      <c r="AE5018">
        <v>-2.42726</v>
      </c>
      <c r="AF5018">
        <v>3.68451568340463</v>
      </c>
      <c r="AG5018">
        <v>-1.101057482676</v>
      </c>
      <c r="AH5018">
        <v>19.7779439056971</v>
      </c>
      <c r="AI5018">
        <v>93.132636823660903</v>
      </c>
      <c r="AJ5018">
        <v>79.447101716616302</v>
      </c>
      <c r="AK5018">
        <v>20.148326196940399</v>
      </c>
    </row>
    <row r="5019" spans="1:37" x14ac:dyDescent="0.2">
      <c r="A5019" t="str">
        <f>"20200111155955180"</f>
        <v>20200111155955180</v>
      </c>
      <c r="B5019" t="str">
        <f>"1578729595175953"</f>
        <v>1578729595175953</v>
      </c>
      <c r="C5019" t="s">
        <v>37</v>
      </c>
      <c r="D5019">
        <v>5.9141919999999999</v>
      </c>
      <c r="E5019">
        <v>0.56253769999999903</v>
      </c>
      <c r="F5019" t="s">
        <v>76</v>
      </c>
      <c r="G5019">
        <v>-372.76990000000001</v>
      </c>
      <c r="H5019" s="1">
        <v>-3.44597899999999E-6</v>
      </c>
      <c r="I5019">
        <v>19.79598</v>
      </c>
      <c r="J5019">
        <v>-390.25479999999999</v>
      </c>
      <c r="K5019">
        <v>1.1010329999999999</v>
      </c>
      <c r="L5019">
        <v>22.04233</v>
      </c>
      <c r="M5019">
        <v>0.99811759999999905</v>
      </c>
      <c r="N5019">
        <v>0</v>
      </c>
      <c r="O5019">
        <v>6.1313020000000003E-2</v>
      </c>
      <c r="P5019">
        <v>0.99934920000000005</v>
      </c>
      <c r="Q5019">
        <v>1.7457810000000001E-2</v>
      </c>
      <c r="R5019">
        <v>3.1564080000000001E-2</v>
      </c>
      <c r="S5019">
        <v>3.0166930000000001</v>
      </c>
      <c r="T5019">
        <v>-0.1872019</v>
      </c>
      <c r="U5019">
        <v>-0.37951659999999998</v>
      </c>
      <c r="V5019">
        <v>2.9827639999999999E-2</v>
      </c>
      <c r="W5019">
        <v>1.5949350000000001E-2</v>
      </c>
      <c r="X5019">
        <v>0.99942779999999998</v>
      </c>
      <c r="Y5019">
        <v>0.18495320000000001</v>
      </c>
      <c r="Z5019">
        <v>-9.4988350000000006E-3</v>
      </c>
      <c r="AA5019">
        <v>0.98270139999999995</v>
      </c>
      <c r="AB5019">
        <v>26</v>
      </c>
      <c r="AC5019">
        <v>17.4848999999999</v>
      </c>
      <c r="AD5019">
        <v>-1.1010364459790001</v>
      </c>
      <c r="AE5019">
        <v>-2.2463500000000001</v>
      </c>
      <c r="AF5019">
        <v>3.3012986477571702</v>
      </c>
      <c r="AG5019">
        <v>-1.1010364459790001</v>
      </c>
      <c r="AH5019">
        <v>17.246993786594</v>
      </c>
      <c r="AI5019">
        <v>93.587806391433404</v>
      </c>
      <c r="AJ5019">
        <v>79.163915609685802</v>
      </c>
      <c r="AK5019">
        <v>17.594591461351701</v>
      </c>
    </row>
    <row r="5020" spans="1:37" x14ac:dyDescent="0.2">
      <c r="A5020" t="str">
        <f>"20200111155955204"</f>
        <v>20200111155955204</v>
      </c>
      <c r="B5020" t="str">
        <f>"1578729595195473"</f>
        <v>1578729595195473</v>
      </c>
      <c r="C5020" t="s">
        <v>37</v>
      </c>
      <c r="D5020">
        <v>5.9234559999999998</v>
      </c>
      <c r="E5020">
        <v>0.56374859999999904</v>
      </c>
      <c r="F5020" t="s">
        <v>76</v>
      </c>
      <c r="G5020">
        <v>-373.81150000000002</v>
      </c>
      <c r="H5020" s="1">
        <v>-2.9988809999999999E-6</v>
      </c>
      <c r="I5020">
        <v>19.966059999999999</v>
      </c>
      <c r="J5020">
        <v>-389.97309999999999</v>
      </c>
      <c r="K5020">
        <v>1.1010009999999999</v>
      </c>
      <c r="L5020">
        <v>22.057189999999999</v>
      </c>
      <c r="M5020">
        <v>0.99826510000000002</v>
      </c>
      <c r="N5020">
        <v>0</v>
      </c>
      <c r="O5020">
        <v>5.8865880000000002E-2</v>
      </c>
      <c r="P5020">
        <v>0.99931510000000001</v>
      </c>
      <c r="Q5020">
        <v>1.6386999999999999E-2</v>
      </c>
      <c r="R5020">
        <v>3.3181330000000002E-2</v>
      </c>
      <c r="S5020">
        <v>3.017487</v>
      </c>
      <c r="T5020">
        <v>-0.20204949999999999</v>
      </c>
      <c r="U5020">
        <v>-0.38101199999999902</v>
      </c>
      <c r="V5020">
        <v>2.5758509999999998E-2</v>
      </c>
      <c r="W5020">
        <v>1.498769E-2</v>
      </c>
      <c r="X5020">
        <v>0.99955579999999999</v>
      </c>
      <c r="Y5020">
        <v>0.18292439999999999</v>
      </c>
      <c r="Z5020">
        <v>-1.001694E-2</v>
      </c>
      <c r="AA5020">
        <v>0.98307599999999995</v>
      </c>
      <c r="AB5020">
        <v>26</v>
      </c>
      <c r="AC5020">
        <v>16.1615999999999</v>
      </c>
      <c r="AD5020">
        <v>-1.1010039988810001</v>
      </c>
      <c r="AE5020">
        <v>-2.0911299999999899</v>
      </c>
      <c r="AF5020">
        <v>3.0250632622358</v>
      </c>
      <c r="AG5020">
        <v>-1.1010039988810001</v>
      </c>
      <c r="AH5020">
        <v>15.9377291679594</v>
      </c>
      <c r="AI5020">
        <v>93.882703730820694</v>
      </c>
      <c r="AJ5020">
        <v>79.252807749612899</v>
      </c>
      <c r="AK5020">
        <v>16.2595949696573</v>
      </c>
    </row>
    <row r="5021" spans="1:37" x14ac:dyDescent="0.2">
      <c r="A5021" t="str">
        <f>"20200111155955226"</f>
        <v>20200111155955226</v>
      </c>
      <c r="B5021" t="str">
        <f>"1578729595215972"</f>
        <v>1578729595215972</v>
      </c>
      <c r="C5021" t="s">
        <v>37</v>
      </c>
      <c r="D5021">
        <v>5.894126</v>
      </c>
      <c r="E5021">
        <v>0.56446649999999998</v>
      </c>
      <c r="F5021" t="s">
        <v>76</v>
      </c>
      <c r="G5021">
        <v>-373.96249999999998</v>
      </c>
      <c r="H5021" s="1">
        <v>-2.93986899999999E-6</v>
      </c>
      <c r="I5021">
        <v>20.012629999999898</v>
      </c>
      <c r="J5021">
        <v>-389.71559999999999</v>
      </c>
      <c r="K5021">
        <v>1.1009549999999999</v>
      </c>
      <c r="L5021">
        <v>22.070160000000001</v>
      </c>
      <c r="M5021">
        <v>0.99839480000000003</v>
      </c>
      <c r="N5021">
        <v>0</v>
      </c>
      <c r="O5021">
        <v>5.6626320000000001E-2</v>
      </c>
      <c r="P5021">
        <v>0.99922169999999899</v>
      </c>
      <c r="Q5021">
        <v>1.419051E-2</v>
      </c>
      <c r="R5021">
        <v>3.6806480000000003E-2</v>
      </c>
      <c r="S5021">
        <v>3.0182799999999999</v>
      </c>
      <c r="T5021">
        <v>-0.207559299999999</v>
      </c>
      <c r="U5021">
        <v>-0.38543699999999997</v>
      </c>
      <c r="V5021">
        <v>1.988467E-2</v>
      </c>
      <c r="W5021">
        <v>1.2900780000000001E-2</v>
      </c>
      <c r="X5021">
        <v>0.99971900000000002</v>
      </c>
      <c r="Y5021">
        <v>0.18208350000000001</v>
      </c>
      <c r="Z5021">
        <v>-1.0103839999999999E-2</v>
      </c>
      <c r="AA5021">
        <v>0.98323110000000002</v>
      </c>
      <c r="AB5021">
        <v>26</v>
      </c>
      <c r="AC5021">
        <v>15.7531</v>
      </c>
      <c r="AD5021">
        <v>-1.1009579398689999</v>
      </c>
      <c r="AE5021">
        <v>-2.0575299999999999</v>
      </c>
      <c r="AF5021">
        <v>2.9321875315704098</v>
      </c>
      <c r="AG5021">
        <v>-1.1009579398689999</v>
      </c>
      <c r="AH5021">
        <v>15.536698521447599</v>
      </c>
      <c r="AI5021">
        <v>93.983221317575598</v>
      </c>
      <c r="AJ5021">
        <v>79.312470357889893</v>
      </c>
      <c r="AK5021">
        <v>15.849253390996401</v>
      </c>
    </row>
    <row r="5022" spans="1:37" x14ac:dyDescent="0.2">
      <c r="A5022" t="str">
        <f>"20200111155955248"</f>
        <v>20200111155955248</v>
      </c>
      <c r="B5022" t="str">
        <f>"1578729595245249"</f>
        <v>1578729595245249</v>
      </c>
      <c r="C5022" t="s">
        <v>37</v>
      </c>
      <c r="D5022">
        <v>5.938936</v>
      </c>
      <c r="E5022">
        <v>0.565061699999999</v>
      </c>
      <c r="F5022" t="s">
        <v>38</v>
      </c>
      <c r="G5022">
        <v>-388.755</v>
      </c>
      <c r="H5022">
        <v>1.0308299999999999</v>
      </c>
      <c r="I5022">
        <v>21.949339999999999</v>
      </c>
      <c r="J5022">
        <v>-389.44850000000002</v>
      </c>
      <c r="K5022">
        <v>1.1009089999999999</v>
      </c>
      <c r="L5022">
        <v>22.082979999999999</v>
      </c>
      <c r="M5022">
        <v>0.99852399999999997</v>
      </c>
      <c r="N5022">
        <v>0</v>
      </c>
      <c r="O5022">
        <v>5.4301149999999999E-2</v>
      </c>
      <c r="P5022">
        <v>0.99914939999999997</v>
      </c>
      <c r="Q5022">
        <v>1.081069E-2</v>
      </c>
      <c r="R5022">
        <v>3.9793990000000001E-2</v>
      </c>
      <c r="S5022">
        <v>3.0194399999999999</v>
      </c>
      <c r="T5022">
        <v>-0.22039719999999999</v>
      </c>
      <c r="U5022">
        <v>-0.37936399999999998</v>
      </c>
      <c r="V5022">
        <v>1.455767E-2</v>
      </c>
      <c r="W5022">
        <v>9.6327419999999997E-3</v>
      </c>
      <c r="X5022">
        <v>0.99984769999999901</v>
      </c>
      <c r="Y5022">
        <v>0.1777455</v>
      </c>
      <c r="Z5022">
        <v>-1.0397959999999999E-2</v>
      </c>
      <c r="AA5022">
        <v>0.98402149999999999</v>
      </c>
      <c r="AB5022">
        <v>27</v>
      </c>
      <c r="AC5022">
        <v>0.69350000000002798</v>
      </c>
      <c r="AD5022">
        <v>-7.0079000000000002E-2</v>
      </c>
      <c r="AE5022">
        <v>-0.13363999999999901</v>
      </c>
      <c r="AF5022">
        <v>0.169432512214233</v>
      </c>
      <c r="AG5022">
        <v>-7.0079000000000002E-2</v>
      </c>
      <c r="AH5022">
        <v>0.67853929055290396</v>
      </c>
      <c r="AI5022">
        <v>95.722084625358093</v>
      </c>
      <c r="AJ5022">
        <v>75.979835842170601</v>
      </c>
      <c r="AK5022">
        <v>0.70287553041791495</v>
      </c>
    </row>
    <row r="5023" spans="1:37" x14ac:dyDescent="0.2">
      <c r="A5023" t="str">
        <f>"20200111155955396"</f>
        <v>20200111155955396</v>
      </c>
      <c r="B5023" t="str">
        <f>"1578729595385324"</f>
        <v>1578729595385324</v>
      </c>
      <c r="C5023" t="s">
        <v>37</v>
      </c>
      <c r="D5023">
        <v>5.950088</v>
      </c>
      <c r="E5023">
        <v>0.4894116</v>
      </c>
      <c r="F5023" t="s">
        <v>38</v>
      </c>
      <c r="G5023">
        <v>-387.02769999999998</v>
      </c>
      <c r="H5023">
        <v>1.0281629999999999</v>
      </c>
      <c r="I5023">
        <v>22.06166</v>
      </c>
      <c r="J5023">
        <v>-387.5985</v>
      </c>
      <c r="K5023">
        <v>1.100646</v>
      </c>
      <c r="L5023">
        <v>22.15503</v>
      </c>
      <c r="M5023">
        <v>0.99927029999999994</v>
      </c>
      <c r="N5023">
        <v>0</v>
      </c>
      <c r="O5023">
        <v>3.8193190000000002E-2</v>
      </c>
      <c r="P5023">
        <v>0.99888120000000002</v>
      </c>
      <c r="Q5023">
        <v>-7.9710739999999999E-3</v>
      </c>
      <c r="R5023">
        <v>4.6617100000000002E-2</v>
      </c>
      <c r="S5023">
        <v>3.0180660000000001</v>
      </c>
      <c r="T5023">
        <v>-0.29171199999999903</v>
      </c>
      <c r="U5023">
        <v>-0.35183720000000002</v>
      </c>
      <c r="V5023">
        <v>-8.4699579999999997E-3</v>
      </c>
      <c r="W5023">
        <v>-8.4235950000000007E-3</v>
      </c>
      <c r="X5023">
        <v>0.9999287</v>
      </c>
      <c r="Y5023">
        <v>0.1527657</v>
      </c>
      <c r="Z5023">
        <v>-1.101297E-2</v>
      </c>
      <c r="AA5023">
        <v>0.98820110000000005</v>
      </c>
      <c r="AB5023">
        <v>28</v>
      </c>
      <c r="AC5023">
        <v>0.57080000000001896</v>
      </c>
      <c r="AD5023">
        <v>-7.2483000000000006E-2</v>
      </c>
      <c r="AE5023">
        <v>-9.3370000000000106E-2</v>
      </c>
      <c r="AF5023">
        <v>0.113322820381449</v>
      </c>
      <c r="AG5023">
        <v>-7.2483000000000006E-2</v>
      </c>
      <c r="AH5023">
        <v>0.55805323450812905</v>
      </c>
      <c r="AI5023">
        <v>97.254028331468803</v>
      </c>
      <c r="AJ5023">
        <v>78.521138607028703</v>
      </c>
      <c r="AK5023">
        <v>0.57403768121369103</v>
      </c>
    </row>
    <row r="5024" spans="1:37" x14ac:dyDescent="0.2">
      <c r="A5024" t="str">
        <f>"20200111155955416"</f>
        <v>20200111155955416</v>
      </c>
      <c r="B5024" t="str">
        <f>"1578729595405822"</f>
        <v>1578729595405822</v>
      </c>
      <c r="C5024" t="s">
        <v>37</v>
      </c>
      <c r="D5024">
        <v>6.0732910000000002</v>
      </c>
      <c r="E5024">
        <v>0.49057600000000001</v>
      </c>
      <c r="F5024" t="s">
        <v>38</v>
      </c>
      <c r="G5024">
        <v>-386.77809999999999</v>
      </c>
      <c r="H5024">
        <v>1.0224659999999901</v>
      </c>
      <c r="I5024">
        <v>22.223459999999999</v>
      </c>
      <c r="J5024">
        <v>-387.34320000000002</v>
      </c>
      <c r="K5024">
        <v>1.100622</v>
      </c>
      <c r="L5024">
        <v>22.162659999999999</v>
      </c>
      <c r="M5024">
        <v>0.99935260000000004</v>
      </c>
      <c r="N5024">
        <v>0</v>
      </c>
      <c r="O5024">
        <v>3.5977910000000002E-2</v>
      </c>
      <c r="P5024">
        <v>0.99890509999999999</v>
      </c>
      <c r="Q5024">
        <v>-9.5817449999999992E-3</v>
      </c>
      <c r="R5024">
        <v>4.5793889999999997E-2</v>
      </c>
      <c r="S5024">
        <v>2.9893800000000001</v>
      </c>
      <c r="T5024">
        <v>-0.28472509999999901</v>
      </c>
      <c r="U5024">
        <v>0.25012210000000001</v>
      </c>
      <c r="V5024">
        <v>-9.8706599999999999E-3</v>
      </c>
      <c r="W5024">
        <v>-9.9404619999999902E-3</v>
      </c>
      <c r="X5024">
        <v>0.99990190000000001</v>
      </c>
      <c r="Y5024">
        <v>-4.7420810000000001E-2</v>
      </c>
      <c r="Z5024">
        <v>-1.1619359999999999E-3</v>
      </c>
      <c r="AA5024">
        <v>0.99887429999999999</v>
      </c>
      <c r="AB5024">
        <v>28</v>
      </c>
      <c r="AC5024">
        <v>0.56510000000002902</v>
      </c>
      <c r="AD5024">
        <v>-7.81560000000001E-2</v>
      </c>
      <c r="AE5024">
        <v>6.0800000000000402E-2</v>
      </c>
      <c r="AF5024">
        <v>-3.9679214233412703E-2</v>
      </c>
      <c r="AG5024">
        <v>-7.81560000000001E-2</v>
      </c>
      <c r="AH5024">
        <v>0.55640045763940704</v>
      </c>
      <c r="AI5024">
        <v>97.975867178715305</v>
      </c>
      <c r="AJ5024">
        <v>94.079092966110295</v>
      </c>
      <c r="AK5024">
        <v>0.56326216776872395</v>
      </c>
    </row>
    <row r="5025" spans="1:37" x14ac:dyDescent="0.2">
      <c r="A5025" t="str">
        <f>"20200111155955432"</f>
        <v>20200111155955432</v>
      </c>
      <c r="B5025" t="str">
        <f>"1578729595425339"</f>
        <v>1578729595425339</v>
      </c>
      <c r="C5025" t="s">
        <v>37</v>
      </c>
      <c r="D5025">
        <v>5.9573150000000004</v>
      </c>
      <c r="E5025">
        <v>0.49102219999999902</v>
      </c>
      <c r="F5025" t="s">
        <v>38</v>
      </c>
      <c r="G5025">
        <v>-386.51760000000002</v>
      </c>
      <c r="H5025">
        <v>1.0272429999999999</v>
      </c>
      <c r="I5025">
        <v>22.227350000000001</v>
      </c>
      <c r="J5025">
        <v>-387.15219999999999</v>
      </c>
      <c r="K5025">
        <v>1.1006100000000001</v>
      </c>
      <c r="L5025">
        <v>22.168029999999899</v>
      </c>
      <c r="M5025">
        <v>0.99941069999999999</v>
      </c>
      <c r="N5025">
        <v>0</v>
      </c>
      <c r="O5025">
        <v>3.432317E-2</v>
      </c>
      <c r="P5025">
        <v>0.99896209999999996</v>
      </c>
      <c r="Q5025">
        <v>-9.9802459999999999E-3</v>
      </c>
      <c r="R5025">
        <v>4.4444160000000003E-2</v>
      </c>
      <c r="S5025">
        <v>2.98996</v>
      </c>
      <c r="T5025">
        <v>-0.26562770000000002</v>
      </c>
      <c r="U5025">
        <v>0.23538209999999901</v>
      </c>
      <c r="V5025">
        <v>-1.0177200000000001E-2</v>
      </c>
      <c r="W5025">
        <v>-1.02694999999999E-2</v>
      </c>
      <c r="X5025">
        <v>0.99989550000000005</v>
      </c>
      <c r="Y5025">
        <v>-4.4179199999999898E-2</v>
      </c>
      <c r="Z5025">
        <v>-1.0815569999999999E-3</v>
      </c>
      <c r="AA5025">
        <v>0.99902299999999999</v>
      </c>
      <c r="AB5025">
        <v>28</v>
      </c>
      <c r="AC5025">
        <v>0.63459999999997696</v>
      </c>
      <c r="AD5025">
        <v>-7.3366999999999905E-2</v>
      </c>
      <c r="AE5025">
        <v>5.9320000000003099E-2</v>
      </c>
      <c r="AF5025">
        <v>-3.7013130161559903E-2</v>
      </c>
      <c r="AG5025">
        <v>-7.3366999999999905E-2</v>
      </c>
      <c r="AH5025">
        <v>0.627941768996365</v>
      </c>
      <c r="AI5025">
        <v>96.652625297259206</v>
      </c>
      <c r="AJ5025">
        <v>93.3733147671621</v>
      </c>
      <c r="AK5025">
        <v>0.63329578693027899</v>
      </c>
    </row>
    <row r="5026" spans="1:37" x14ac:dyDescent="0.2">
      <c r="A5026" t="str">
        <f>"20200111155955449"</f>
        <v>20200111155955449</v>
      </c>
      <c r="B5026" t="str">
        <f>"1578729595445836"</f>
        <v>1578729595445836</v>
      </c>
      <c r="C5026" t="s">
        <v>37</v>
      </c>
      <c r="D5026">
        <v>5.9182790000000001</v>
      </c>
      <c r="E5026">
        <v>0.49052440000000003</v>
      </c>
      <c r="F5026" t="s">
        <v>38</v>
      </c>
      <c r="G5026">
        <v>-386.2602</v>
      </c>
      <c r="H5026">
        <v>1.02427</v>
      </c>
      <c r="I5026">
        <v>22.235529999999901</v>
      </c>
      <c r="J5026">
        <v>-386.92070000000001</v>
      </c>
      <c r="K5026">
        <v>1.1005909999999901</v>
      </c>
      <c r="L5026">
        <v>22.17407</v>
      </c>
      <c r="M5026">
        <v>0.99947759999999997</v>
      </c>
      <c r="N5026">
        <v>0</v>
      </c>
      <c r="O5026">
        <v>3.2320210000000002E-2</v>
      </c>
      <c r="P5026">
        <v>0.999021099999999</v>
      </c>
      <c r="Q5026">
        <v>-1.0264189999999999E-2</v>
      </c>
      <c r="R5026">
        <v>4.3031599999999899E-2</v>
      </c>
      <c r="S5026">
        <v>2.99044799999999</v>
      </c>
      <c r="T5026">
        <v>-0.25595679999999998</v>
      </c>
      <c r="U5026">
        <v>0.22650149999999999</v>
      </c>
      <c r="V5026">
        <v>-1.076887E-2</v>
      </c>
      <c r="W5026">
        <v>-1.0464080000000001E-2</v>
      </c>
      <c r="X5026">
        <v>0.99988729999999904</v>
      </c>
      <c r="Y5026">
        <v>-4.3218350000000003E-2</v>
      </c>
      <c r="Z5026">
        <v>-9.1259640000000003E-4</v>
      </c>
      <c r="AA5026">
        <v>0.99906519999999999</v>
      </c>
      <c r="AB5026">
        <v>29</v>
      </c>
      <c r="AC5026">
        <v>0.66050000000001297</v>
      </c>
      <c r="AD5026">
        <v>-7.6320999999999806E-2</v>
      </c>
      <c r="AE5026">
        <v>6.1459999999996698E-2</v>
      </c>
      <c r="AF5026">
        <v>-3.9556769681284402E-2</v>
      </c>
      <c r="AG5026">
        <v>-7.6320999999999806E-2</v>
      </c>
      <c r="AH5026">
        <v>0.65349089847479502</v>
      </c>
      <c r="AI5026">
        <v>96.649317729198501</v>
      </c>
      <c r="AJ5026">
        <v>93.463971586905302</v>
      </c>
      <c r="AK5026">
        <v>0.65912061677511902</v>
      </c>
    </row>
    <row r="5027" spans="1:37" x14ac:dyDescent="0.2">
      <c r="A5027" t="str">
        <f>"20200111155955473"</f>
        <v>20200111155955473</v>
      </c>
      <c r="B5027" t="str">
        <f>"1578729595465356"</f>
        <v>1578729595465356</v>
      </c>
      <c r="C5027" t="s">
        <v>37</v>
      </c>
      <c r="D5027">
        <v>5.9588179999999999</v>
      </c>
      <c r="E5027">
        <v>0.49051359999999899</v>
      </c>
      <c r="F5027" t="s">
        <v>38</v>
      </c>
      <c r="G5027">
        <v>-386.00150000000002</v>
      </c>
      <c r="H5027">
        <v>1.0206850000000001</v>
      </c>
      <c r="I5027">
        <v>22.243359999999999</v>
      </c>
      <c r="J5027">
        <v>-386.61680000000001</v>
      </c>
      <c r="K5027">
        <v>1.1005609999999999</v>
      </c>
      <c r="L5027">
        <v>22.181339999999999</v>
      </c>
      <c r="M5027">
        <v>0.99955919999999898</v>
      </c>
      <c r="N5027">
        <v>0</v>
      </c>
      <c r="O5027">
        <v>2.9691740000000001E-2</v>
      </c>
      <c r="P5027">
        <v>0.99909479999999995</v>
      </c>
      <c r="Q5027">
        <v>-1.152712E-2</v>
      </c>
      <c r="R5027">
        <v>4.0948650000000003E-2</v>
      </c>
      <c r="S5027">
        <v>2.9905400000000002</v>
      </c>
      <c r="T5027">
        <v>-0.25982729999999998</v>
      </c>
      <c r="U5027">
        <v>0.2260132</v>
      </c>
      <c r="V5027">
        <v>-1.132037E-2</v>
      </c>
      <c r="W5027">
        <v>-1.160163E-2</v>
      </c>
      <c r="X5027">
        <v>0.9998686</v>
      </c>
      <c r="Y5027">
        <v>-4.5660810000000003E-2</v>
      </c>
      <c r="Z5027">
        <v>-5.9316749999999998E-4</v>
      </c>
      <c r="AA5027">
        <v>0.99895679999999998</v>
      </c>
      <c r="AB5027">
        <v>29</v>
      </c>
      <c r="AC5027">
        <v>0.61529999999998997</v>
      </c>
      <c r="AD5027">
        <v>-7.9876000000000003E-2</v>
      </c>
      <c r="AE5027">
        <v>6.2020000000000401E-2</v>
      </c>
      <c r="AF5027">
        <v>-4.3005871837210802E-2</v>
      </c>
      <c r="AG5027">
        <v>-7.9876000000000003E-2</v>
      </c>
      <c r="AH5027">
        <v>0.60674794964638501</v>
      </c>
      <c r="AI5027">
        <v>97.481084476457198</v>
      </c>
      <c r="AJ5027">
        <v>94.054304554667894</v>
      </c>
      <c r="AK5027">
        <v>0.61349226139257096</v>
      </c>
    </row>
    <row r="5028" spans="1:37" x14ac:dyDescent="0.2">
      <c r="A5028" t="str">
        <f>"20200111155955486"</f>
        <v>20200111155955486</v>
      </c>
      <c r="B5028" t="str">
        <f>"1578729595475117"</f>
        <v>1578729595475117</v>
      </c>
      <c r="C5028" t="s">
        <v>37</v>
      </c>
      <c r="D5028">
        <v>5.9418239999999898</v>
      </c>
      <c r="E5028">
        <v>0.49050949999999999</v>
      </c>
      <c r="F5028" t="s">
        <v>38</v>
      </c>
      <c r="G5028">
        <v>-385.7371</v>
      </c>
      <c r="H5028">
        <v>1.024017</v>
      </c>
      <c r="I5028">
        <v>22.24569</v>
      </c>
      <c r="J5028">
        <v>-386.42919999999998</v>
      </c>
      <c r="K5028">
        <v>1.100544</v>
      </c>
      <c r="L5028">
        <v>22.185459999999999</v>
      </c>
      <c r="M5028">
        <v>0.99960599999999999</v>
      </c>
      <c r="N5028">
        <v>0</v>
      </c>
      <c r="O5028">
        <v>2.807198E-2</v>
      </c>
      <c r="P5028">
        <v>0.99914439999999904</v>
      </c>
      <c r="Q5028">
        <v>-1.230287E-2</v>
      </c>
      <c r="R5028">
        <v>3.9487370000000001E-2</v>
      </c>
      <c r="S5028">
        <v>2.990723</v>
      </c>
      <c r="T5028">
        <v>-0.26014609999999999</v>
      </c>
      <c r="U5028">
        <v>0.2191467</v>
      </c>
      <c r="V5028">
        <v>-1.14819E-2</v>
      </c>
      <c r="W5028">
        <v>-1.2295789999999999E-2</v>
      </c>
      <c r="X5028">
        <v>0.99985849999999898</v>
      </c>
      <c r="Y5028">
        <v>-4.499032E-2</v>
      </c>
      <c r="Z5028">
        <v>-4.8267360000000002E-4</v>
      </c>
      <c r="AA5028">
        <v>0.99898729999999902</v>
      </c>
      <c r="AB5028">
        <v>29</v>
      </c>
      <c r="AC5028">
        <v>0.69209999999998195</v>
      </c>
      <c r="AD5028">
        <v>-7.6526999999999998E-2</v>
      </c>
      <c r="AE5028">
        <v>6.0230000000000603E-2</v>
      </c>
      <c r="AF5028">
        <v>-4.0288771764847298E-2</v>
      </c>
      <c r="AG5028">
        <v>-7.6526999999999998E-2</v>
      </c>
      <c r="AH5028">
        <v>0.68520355084084805</v>
      </c>
      <c r="AI5028">
        <v>96.361776264430105</v>
      </c>
      <c r="AJ5028">
        <v>93.365017425646002</v>
      </c>
      <c r="AK5028">
        <v>0.69063990106583595</v>
      </c>
    </row>
    <row r="5029" spans="1:37" x14ac:dyDescent="0.2">
      <c r="A5029" t="str">
        <f>"20200111155955506"</f>
        <v>20200111155955506</v>
      </c>
      <c r="B5029" t="str">
        <f>"1578729595495611"</f>
        <v>1578729595495611</v>
      </c>
      <c r="C5029" t="s">
        <v>37</v>
      </c>
      <c r="D5029">
        <v>5.8604349999999998</v>
      </c>
      <c r="E5029">
        <v>0.49073670000000003</v>
      </c>
      <c r="F5029" t="s">
        <v>38</v>
      </c>
      <c r="G5029">
        <v>-385.47739999999999</v>
      </c>
      <c r="H5029">
        <v>1.0169629999999901</v>
      </c>
      <c r="I5029">
        <v>22.25366</v>
      </c>
      <c r="J5029">
        <v>-386.17410000000001</v>
      </c>
      <c r="K5029">
        <v>1.100525</v>
      </c>
      <c r="L5029">
        <v>22.190550000000002</v>
      </c>
      <c r="M5029">
        <v>0.99966540000000004</v>
      </c>
      <c r="N5029">
        <v>0</v>
      </c>
      <c r="O5029">
        <v>2.587095E-2</v>
      </c>
      <c r="P5029">
        <v>0.99919400000000003</v>
      </c>
      <c r="Q5029">
        <v>-1.3347019999999999E-2</v>
      </c>
      <c r="R5029">
        <v>3.7861350000000002E-2</v>
      </c>
      <c r="S5029">
        <v>2.9908450000000002</v>
      </c>
      <c r="T5029">
        <v>-0.26258159999999903</v>
      </c>
      <c r="U5029">
        <v>0.2147522</v>
      </c>
      <c r="V5029">
        <v>-1.2062460000000001E-2</v>
      </c>
      <c r="W5029">
        <v>-1.3218250000000001E-2</v>
      </c>
      <c r="X5029">
        <v>0.999839899999999</v>
      </c>
      <c r="Y5029">
        <v>-4.5714409999999997E-2</v>
      </c>
      <c r="Z5029">
        <v>-2.6303230000000001E-4</v>
      </c>
      <c r="AA5029">
        <v>0.99895449999999997</v>
      </c>
      <c r="AB5029">
        <v>29</v>
      </c>
      <c r="AC5029">
        <v>0.69670000000002097</v>
      </c>
      <c r="AD5029">
        <v>-8.3562000000000095E-2</v>
      </c>
      <c r="AE5029">
        <v>6.3109999999998195E-2</v>
      </c>
      <c r="AF5029">
        <v>-4.4430631124895002E-2</v>
      </c>
      <c r="AG5029">
        <v>-8.3562000000000095E-2</v>
      </c>
      <c r="AH5029">
        <v>0.68827884749486901</v>
      </c>
      <c r="AI5029">
        <v>96.908002666607302</v>
      </c>
      <c r="AJ5029">
        <v>93.693503593527893</v>
      </c>
      <c r="AK5029">
        <v>0.69475496452707797</v>
      </c>
    </row>
    <row r="5030" spans="1:37" x14ac:dyDescent="0.2">
      <c r="A5030" t="str">
        <f>"20200111155956334"</f>
        <v>20200111155956334</v>
      </c>
      <c r="B5030" t="str">
        <f>"1578729596325211"</f>
        <v>1578729596325211</v>
      </c>
      <c r="C5030" t="s">
        <v>37</v>
      </c>
      <c r="D5030">
        <v>4.5634459999999999</v>
      </c>
      <c r="E5030">
        <v>0.48682839999999999</v>
      </c>
      <c r="F5030" t="s">
        <v>77</v>
      </c>
      <c r="G5030">
        <v>-362.93270000000001</v>
      </c>
      <c r="H5030" s="1">
        <v>-4.0889680000000001E-6</v>
      </c>
      <c r="I5030">
        <v>22.42672</v>
      </c>
      <c r="J5030">
        <v>-375.166</v>
      </c>
      <c r="K5030">
        <v>1.103361</v>
      </c>
      <c r="L5030">
        <v>21.97879</v>
      </c>
      <c r="M5030">
        <v>0.99889789999999901</v>
      </c>
      <c r="N5030">
        <v>0</v>
      </c>
      <c r="O5030">
        <v>-4.4442620000000002E-2</v>
      </c>
      <c r="P5030">
        <v>0.99988999999999995</v>
      </c>
      <c r="Q5030">
        <v>-1.312261E-2</v>
      </c>
      <c r="R5030">
        <v>-6.9112369999999998E-3</v>
      </c>
      <c r="S5030">
        <v>2.997223</v>
      </c>
      <c r="T5030">
        <v>-0.26027489999999998</v>
      </c>
      <c r="U5030">
        <v>0.10034179999999999</v>
      </c>
      <c r="V5030">
        <v>-3.7533270000000001E-2</v>
      </c>
      <c r="W5030">
        <v>2.0626210000000002E-3</v>
      </c>
      <c r="X5030">
        <v>0.99929330000000005</v>
      </c>
      <c r="Y5030">
        <v>-7.7391150000000006E-2</v>
      </c>
      <c r="Z5030">
        <v>7.20424699999999E-3</v>
      </c>
      <c r="AA5030">
        <v>0.99697479999999905</v>
      </c>
      <c r="AB5030">
        <v>29</v>
      </c>
      <c r="AC5030">
        <v>12.2332999999999</v>
      </c>
      <c r="AD5030">
        <v>-1.103365088968</v>
      </c>
      <c r="AE5030">
        <v>0.447929999999999</v>
      </c>
      <c r="AF5030">
        <v>-0.98324132410174503</v>
      </c>
      <c r="AG5030">
        <v>-1.103365088968</v>
      </c>
      <c r="AH5030">
        <v>12.102976091086299</v>
      </c>
      <c r="AI5030">
        <v>95.191947108125206</v>
      </c>
      <c r="AJ5030">
        <v>94.644488280325703</v>
      </c>
      <c r="AK5030">
        <v>12.192875308243799</v>
      </c>
    </row>
    <row r="5031" spans="1:37" x14ac:dyDescent="0.2">
      <c r="A5031" t="str">
        <f>"20200111155956543"</f>
        <v>20200111155956543</v>
      </c>
      <c r="B5031" t="str">
        <f>"1578729596536028"</f>
        <v>1578729596536028</v>
      </c>
      <c r="C5031" t="s">
        <v>37</v>
      </c>
      <c r="D5031">
        <v>6.1890729999999996</v>
      </c>
      <c r="E5031">
        <v>0.48682839999999999</v>
      </c>
      <c r="F5031" t="s">
        <v>77</v>
      </c>
      <c r="G5031">
        <v>-362.3107</v>
      </c>
      <c r="H5031" s="1">
        <v>-4.3325789999999999E-6</v>
      </c>
      <c r="I5031">
        <v>22.392229999999898</v>
      </c>
      <c r="J5031">
        <v>-372.5138</v>
      </c>
      <c r="K5031">
        <v>1.103831</v>
      </c>
      <c r="L5031">
        <v>21.837769999999999</v>
      </c>
      <c r="M5031">
        <v>0.99843009999999999</v>
      </c>
      <c r="N5031">
        <v>0</v>
      </c>
      <c r="O5031">
        <v>-5.3912620000000001E-2</v>
      </c>
      <c r="P5031">
        <v>0.99980590000000003</v>
      </c>
      <c r="Q5031">
        <v>-1.4978770000000001E-2</v>
      </c>
      <c r="R5031">
        <v>-1.281875E-2</v>
      </c>
      <c r="S5031">
        <v>2.9975890000000001</v>
      </c>
      <c r="T5031">
        <v>-0.25728200000000001</v>
      </c>
      <c r="U5031">
        <v>9.6405030000000003E-2</v>
      </c>
      <c r="V5031">
        <v>-4.1108279999999997E-2</v>
      </c>
      <c r="W5031">
        <v>2.673307E-4</v>
      </c>
      <c r="X5031">
        <v>0.99915469999999895</v>
      </c>
      <c r="Y5031">
        <v>-8.5476410000000003E-2</v>
      </c>
      <c r="Z5031">
        <v>8.27800699999999E-3</v>
      </c>
      <c r="AA5031">
        <v>0.99630580000000002</v>
      </c>
      <c r="AB5031">
        <v>28</v>
      </c>
      <c r="AC5031">
        <v>10.203099999999999</v>
      </c>
      <c r="AD5031">
        <v>-1.103835332579</v>
      </c>
      <c r="AE5031">
        <v>0.55445999999999496</v>
      </c>
      <c r="AF5031">
        <v>-1.09106030865798</v>
      </c>
      <c r="AG5031">
        <v>-1.103835332579</v>
      </c>
      <c r="AH5031">
        <v>10.041183254372401</v>
      </c>
      <c r="AI5031">
        <v>96.236962122121994</v>
      </c>
      <c r="AJ5031">
        <v>96.201346331062794</v>
      </c>
      <c r="AK5031">
        <v>10.1604245081821</v>
      </c>
    </row>
    <row r="5032" spans="1:37" x14ac:dyDescent="0.2">
      <c r="A5032" t="str">
        <f>"20200111155956591"</f>
        <v>20200111155956591</v>
      </c>
      <c r="B5032" t="str">
        <f>"1578729596585804"</f>
        <v>1578729596585804</v>
      </c>
      <c r="C5032" t="s">
        <v>37</v>
      </c>
      <c r="D5032">
        <v>6.1095129999999997</v>
      </c>
      <c r="E5032">
        <v>0.48682839999999999</v>
      </c>
      <c r="F5032" t="s">
        <v>41</v>
      </c>
      <c r="G5032">
        <v>-359.390999999999</v>
      </c>
      <c r="H5032">
        <v>-0.05</v>
      </c>
      <c r="I5032">
        <v>22.17672</v>
      </c>
      <c r="J5032">
        <v>-371.91930000000002</v>
      </c>
      <c r="K5032">
        <v>1.1040399999999999</v>
      </c>
      <c r="L5032">
        <v>21.803920000000002</v>
      </c>
      <c r="M5032">
        <v>0.99836559999999896</v>
      </c>
      <c r="N5032">
        <v>0</v>
      </c>
      <c r="O5032">
        <v>-5.5093910000000003E-2</v>
      </c>
      <c r="P5032">
        <v>0.99976719999999897</v>
      </c>
      <c r="Q5032">
        <v>-1.39676E-2</v>
      </c>
      <c r="R5032">
        <v>-1.6441609999999999E-2</v>
      </c>
      <c r="S5032">
        <v>2.99762</v>
      </c>
      <c r="T5032">
        <v>-0.263567</v>
      </c>
      <c r="U5032">
        <v>7.7423099999999995E-2</v>
      </c>
      <c r="V5032">
        <v>-3.8669750000000003E-2</v>
      </c>
      <c r="W5032">
        <v>1.2562910000000001E-3</v>
      </c>
      <c r="X5032">
        <v>0.99925119999999901</v>
      </c>
      <c r="Y5032">
        <v>-8.034007E-2</v>
      </c>
      <c r="Z5032">
        <v>8.3581880000000008E-3</v>
      </c>
      <c r="AA5032">
        <v>0.99673250000000002</v>
      </c>
      <c r="AB5032">
        <v>28</v>
      </c>
      <c r="AC5032">
        <v>12.5283</v>
      </c>
      <c r="AD5032">
        <v>-1.15404</v>
      </c>
      <c r="AE5032">
        <v>0.37279999999999802</v>
      </c>
      <c r="AF5032">
        <v>-1.0536142251124601</v>
      </c>
      <c r="AG5032">
        <v>-1.15404</v>
      </c>
      <c r="AH5032">
        <v>12.3837415156377</v>
      </c>
      <c r="AI5032">
        <v>95.304957409613394</v>
      </c>
      <c r="AJ5032">
        <v>94.863038921239905</v>
      </c>
      <c r="AK5032">
        <v>12.4819455688242</v>
      </c>
    </row>
    <row r="5033" spans="1:37" x14ac:dyDescent="0.2">
      <c r="A5033" t="str">
        <f>"20200111155956610"</f>
        <v>20200111155956610</v>
      </c>
      <c r="B5033" t="str">
        <f>"1578729596605324"</f>
        <v>1578729596605324</v>
      </c>
      <c r="C5033" t="s">
        <v>37</v>
      </c>
      <c r="D5033">
        <v>6.1114629999999996</v>
      </c>
      <c r="E5033">
        <v>0.55940859999999903</v>
      </c>
      <c r="F5033" t="s">
        <v>39</v>
      </c>
      <c r="G5033">
        <v>-359.20069999999998</v>
      </c>
      <c r="H5033" s="1">
        <v>-9.829466E-7</v>
      </c>
      <c r="I5033">
        <v>22.088259999999998</v>
      </c>
      <c r="J5033">
        <v>-371.6902</v>
      </c>
      <c r="K5033">
        <v>1.104136</v>
      </c>
      <c r="L5033">
        <v>21.79092</v>
      </c>
      <c r="M5033">
        <v>0.99834979999999995</v>
      </c>
      <c r="N5033">
        <v>0</v>
      </c>
      <c r="O5033">
        <v>-5.5381079999999999E-2</v>
      </c>
      <c r="P5033">
        <v>0.99975210000000003</v>
      </c>
      <c r="Q5033">
        <v>-1.343782E-2</v>
      </c>
      <c r="R5033">
        <v>-1.776757E-2</v>
      </c>
      <c r="S5033">
        <v>2.9981689999999999</v>
      </c>
      <c r="T5033">
        <v>-0.2602583</v>
      </c>
      <c r="U5033">
        <v>6.7047120000000002E-2</v>
      </c>
      <c r="V5033">
        <v>-3.7632400000000003E-2</v>
      </c>
      <c r="W5033">
        <v>1.7750889999999899E-3</v>
      </c>
      <c r="X5033">
        <v>0.99929000000000001</v>
      </c>
      <c r="Y5033">
        <v>-7.7198059999999999E-2</v>
      </c>
      <c r="Z5033">
        <v>8.1411399999999998E-3</v>
      </c>
      <c r="AA5033">
        <v>0.99698249999999999</v>
      </c>
      <c r="AB5033">
        <v>28</v>
      </c>
      <c r="AC5033">
        <v>12.4895</v>
      </c>
      <c r="AD5033">
        <v>-1.1041369829465999</v>
      </c>
      <c r="AE5033">
        <v>0.29734000000000099</v>
      </c>
      <c r="AF5033">
        <v>-0.98098282057458497</v>
      </c>
      <c r="AG5033">
        <v>-1.1041369829465999</v>
      </c>
      <c r="AH5033">
        <v>12.3573350782186</v>
      </c>
      <c r="AI5033">
        <v>95.089932744703304</v>
      </c>
      <c r="AJ5033">
        <v>94.538887265086601</v>
      </c>
      <c r="AK5033">
        <v>12.4452873010929</v>
      </c>
    </row>
    <row r="5034" spans="1:37" x14ac:dyDescent="0.2">
      <c r="A5034" t="str">
        <f>"20200111155956634"</f>
        <v>20200111155956634</v>
      </c>
      <c r="B5034" t="str">
        <f>"1578729596625820"</f>
        <v>1578729596625820</v>
      </c>
      <c r="C5034" t="s">
        <v>37</v>
      </c>
      <c r="D5034">
        <v>6.1007790000000002</v>
      </c>
      <c r="E5034">
        <v>0.55909310000000001</v>
      </c>
      <c r="F5034" t="s">
        <v>38</v>
      </c>
      <c r="G5034">
        <v>-370.7878</v>
      </c>
      <c r="H5034">
        <v>1.0358639999999999</v>
      </c>
      <c r="I5034">
        <v>21.63428</v>
      </c>
      <c r="J5034">
        <v>-371.3843</v>
      </c>
      <c r="K5034">
        <v>1.104266</v>
      </c>
      <c r="L5034">
        <v>21.773620000000001</v>
      </c>
      <c r="M5034">
        <v>0.99833709999999898</v>
      </c>
      <c r="N5034">
        <v>0</v>
      </c>
      <c r="O5034">
        <v>-5.5610409999999999E-2</v>
      </c>
      <c r="P5034">
        <v>0.99972799999999995</v>
      </c>
      <c r="Q5034">
        <v>-1.327484E-2</v>
      </c>
      <c r="R5034">
        <v>-1.9177509999999998E-2</v>
      </c>
      <c r="S5034">
        <v>2.9884949999999999</v>
      </c>
      <c r="T5034">
        <v>-0.22614999999999999</v>
      </c>
      <c r="U5034">
        <v>-0.51773069999999999</v>
      </c>
      <c r="V5034">
        <v>-3.6452560000000002E-2</v>
      </c>
      <c r="W5034">
        <v>1.9238619999999999E-3</v>
      </c>
      <c r="X5034">
        <v>0.99933359999999904</v>
      </c>
      <c r="Y5034">
        <v>0.1154681</v>
      </c>
      <c r="Z5034">
        <v>-1.6539589999999999E-4</v>
      </c>
      <c r="AA5034">
        <v>0.99331119999999995</v>
      </c>
      <c r="AB5034">
        <v>28</v>
      </c>
      <c r="AC5034">
        <v>0.59649999999999104</v>
      </c>
      <c r="AD5034">
        <v>-6.8402000000000004E-2</v>
      </c>
      <c r="AE5034">
        <v>-0.13933999999999999</v>
      </c>
      <c r="AF5034">
        <v>0.10464405479102699</v>
      </c>
      <c r="AG5034">
        <v>-6.8402000000000004E-2</v>
      </c>
      <c r="AH5034">
        <v>0.59589596445584403</v>
      </c>
      <c r="AI5034">
        <v>96.450383002043907</v>
      </c>
      <c r="AJ5034">
        <v>80.039961377918004</v>
      </c>
      <c r="AK5034">
        <v>0.60886879724770604</v>
      </c>
    </row>
    <row r="5035" spans="1:37" x14ac:dyDescent="0.2">
      <c r="A5035" t="str">
        <f>"20200111155956658"</f>
        <v>20200111155956658</v>
      </c>
      <c r="B5035" t="str">
        <f>"1578729596645339"</f>
        <v>1578729596645339</v>
      </c>
      <c r="C5035" t="s">
        <v>37</v>
      </c>
      <c r="D5035">
        <v>6.1715200000000001</v>
      </c>
      <c r="E5035">
        <v>0.55841280000000004</v>
      </c>
      <c r="F5035" t="s">
        <v>38</v>
      </c>
      <c r="G5035">
        <v>-370.53789999999998</v>
      </c>
      <c r="H5035">
        <v>1.038146</v>
      </c>
      <c r="I5035">
        <v>21.626449999999998</v>
      </c>
      <c r="J5035">
        <v>-371.10570000000001</v>
      </c>
      <c r="K5035">
        <v>1.104384</v>
      </c>
      <c r="L5035">
        <v>21.757999999999999</v>
      </c>
      <c r="M5035">
        <v>0.99833400000000005</v>
      </c>
      <c r="N5035">
        <v>0</v>
      </c>
      <c r="O5035">
        <v>-5.5665949999999999E-2</v>
      </c>
      <c r="P5035">
        <v>0.99971359999999998</v>
      </c>
      <c r="Q5035">
        <v>-1.2804070000000001E-2</v>
      </c>
      <c r="R5035">
        <v>-2.022117E-2</v>
      </c>
      <c r="S5035">
        <v>2.987762</v>
      </c>
      <c r="T5035">
        <v>-0.23345179999999999</v>
      </c>
      <c r="U5035">
        <v>-0.5187988</v>
      </c>
      <c r="V5035">
        <v>-3.5466119999999997E-2</v>
      </c>
      <c r="W5035">
        <v>2.3821020000000001E-3</v>
      </c>
      <c r="X5035">
        <v>0.99936800000000003</v>
      </c>
      <c r="Y5035">
        <v>0.1157868</v>
      </c>
      <c r="Z5035">
        <v>-1.7882139999999999E-4</v>
      </c>
      <c r="AA5035">
        <v>0.99327410000000005</v>
      </c>
      <c r="AB5035">
        <v>28</v>
      </c>
      <c r="AC5035">
        <v>0.56780000000003295</v>
      </c>
      <c r="AD5035">
        <v>-6.6238000000000005E-2</v>
      </c>
      <c r="AE5035">
        <v>-0.131550000000004</v>
      </c>
      <c r="AF5035">
        <v>9.84634885591847E-2</v>
      </c>
      <c r="AG5035">
        <v>-6.6238000000000005E-2</v>
      </c>
      <c r="AH5035">
        <v>0.56692094571696805</v>
      </c>
      <c r="AI5035">
        <v>96.566689795371801</v>
      </c>
      <c r="AJ5035">
        <v>80.1470893542391</v>
      </c>
      <c r="AK5035">
        <v>0.57920798502426196</v>
      </c>
    </row>
    <row r="5036" spans="1:37" x14ac:dyDescent="0.2">
      <c r="A5036" t="str">
        <f>"20200111155956679"</f>
        <v>20200111155956679</v>
      </c>
      <c r="B5036" t="str">
        <f>"1578729596675476"</f>
        <v>1578729596675476</v>
      </c>
      <c r="C5036" t="s">
        <v>37</v>
      </c>
      <c r="D5036">
        <v>6.0865010000000002</v>
      </c>
      <c r="E5036">
        <v>0.55860849999999995</v>
      </c>
      <c r="F5036" t="s">
        <v>38</v>
      </c>
      <c r="G5036">
        <v>-370.28879999999998</v>
      </c>
      <c r="H5036">
        <v>1.039933</v>
      </c>
      <c r="I5036">
        <v>21.616579999999999</v>
      </c>
      <c r="J5036">
        <v>-370.83330000000001</v>
      </c>
      <c r="K5036">
        <v>1.1045020000000001</v>
      </c>
      <c r="L5036">
        <v>21.74286</v>
      </c>
      <c r="M5036">
        <v>0.99834020000000001</v>
      </c>
      <c r="N5036">
        <v>0</v>
      </c>
      <c r="O5036">
        <v>-5.5554999999999903E-2</v>
      </c>
      <c r="P5036">
        <v>0.99970309999999996</v>
      </c>
      <c r="Q5036">
        <v>-1.2825929999999999E-2</v>
      </c>
      <c r="R5036">
        <v>-2.0722129999999998E-2</v>
      </c>
      <c r="S5036">
        <v>2.9874269999999998</v>
      </c>
      <c r="T5036">
        <v>-0.2356993</v>
      </c>
      <c r="U5036">
        <v>-0.51614380000000004</v>
      </c>
      <c r="V5036">
        <v>-3.4855179999999999E-2</v>
      </c>
      <c r="W5036">
        <v>2.347769E-3</v>
      </c>
      <c r="X5036">
        <v>0.99938959999999999</v>
      </c>
      <c r="Y5036">
        <v>0.1150573</v>
      </c>
      <c r="Z5036">
        <v>-1.6066989999999901E-4</v>
      </c>
      <c r="AA5036">
        <v>0.99335890000000004</v>
      </c>
      <c r="AB5036">
        <v>28</v>
      </c>
      <c r="AC5036">
        <v>0.54450000000002696</v>
      </c>
      <c r="AD5036">
        <v>-6.4569000000000099E-2</v>
      </c>
      <c r="AE5036">
        <v>-0.126280000000001</v>
      </c>
      <c r="AF5036">
        <v>9.4569768822590605E-2</v>
      </c>
      <c r="AG5036">
        <v>-6.4569000000000099E-2</v>
      </c>
      <c r="AH5036">
        <v>0.54342351779627796</v>
      </c>
      <c r="AI5036">
        <v>96.676633673576006</v>
      </c>
      <c r="AJ5036">
        <v>80.127916597091001</v>
      </c>
      <c r="AK5036">
        <v>0.55535728736574597</v>
      </c>
    </row>
    <row r="5037" spans="1:37" x14ac:dyDescent="0.2">
      <c r="A5037" t="str">
        <f>"20200111155956699"</f>
        <v>20200111155956699</v>
      </c>
      <c r="B5037" t="str">
        <f>"1578729596695971"</f>
        <v>1578729596695971</v>
      </c>
      <c r="C5037" t="s">
        <v>37</v>
      </c>
      <c r="D5037">
        <v>6.1047900000000004</v>
      </c>
      <c r="E5037">
        <v>0.55890359999999994</v>
      </c>
      <c r="F5037" t="s">
        <v>38</v>
      </c>
      <c r="G5037">
        <v>-370.03969999999998</v>
      </c>
      <c r="H5037">
        <v>1.0425420000000001</v>
      </c>
      <c r="I5037">
        <v>21.604649999999999</v>
      </c>
      <c r="J5037">
        <v>-370.57440000000003</v>
      </c>
      <c r="K5037">
        <v>1.1046290000000001</v>
      </c>
      <c r="L5037">
        <v>21.7287</v>
      </c>
      <c r="M5037">
        <v>0.9983554</v>
      </c>
      <c r="N5037">
        <v>0</v>
      </c>
      <c r="O5037">
        <v>-5.5283220000000001E-2</v>
      </c>
      <c r="P5037">
        <v>0.99969640000000004</v>
      </c>
      <c r="Q5037">
        <v>-1.2859840000000001E-2</v>
      </c>
      <c r="R5037">
        <v>-2.1029639999999999E-2</v>
      </c>
      <c r="S5037">
        <v>2.987152</v>
      </c>
      <c r="T5037">
        <v>-0.23319519999999999</v>
      </c>
      <c r="U5037">
        <v>-0.51937869999999997</v>
      </c>
      <c r="V5037">
        <v>-3.427666E-2</v>
      </c>
      <c r="W5037">
        <v>2.3010389999999999E-3</v>
      </c>
      <c r="X5037">
        <v>0.99940969999999996</v>
      </c>
      <c r="Y5037">
        <v>0.1163863</v>
      </c>
      <c r="Z5037">
        <v>-2.313703E-4</v>
      </c>
      <c r="AA5037">
        <v>0.99320399999999998</v>
      </c>
      <c r="AB5037">
        <v>28</v>
      </c>
      <c r="AC5037">
        <v>0.53470000000004303</v>
      </c>
      <c r="AD5037">
        <v>-6.2087000000000003E-2</v>
      </c>
      <c r="AE5037">
        <v>-0.12404999999999999</v>
      </c>
      <c r="AF5037">
        <v>9.3105694093017402E-2</v>
      </c>
      <c r="AG5037">
        <v>-6.2087000000000003E-2</v>
      </c>
      <c r="AH5037">
        <v>0.53390982749881799</v>
      </c>
      <c r="AI5037">
        <v>96.535235300935597</v>
      </c>
      <c r="AJ5037">
        <v>80.107965727848594</v>
      </c>
      <c r="AK5037">
        <v>0.545511841980868</v>
      </c>
    </row>
    <row r="5038" spans="1:37" x14ac:dyDescent="0.2">
      <c r="A5038" t="str">
        <f>"20200111155956723"</f>
        <v>20200111155956723</v>
      </c>
      <c r="B5038" t="str">
        <f>"1578729596715492"</f>
        <v>1578729596715492</v>
      </c>
      <c r="C5038" t="s">
        <v>37</v>
      </c>
      <c r="D5038">
        <v>6.1182879999999997</v>
      </c>
      <c r="E5038">
        <v>0.55863759999999996</v>
      </c>
      <c r="F5038" t="s">
        <v>38</v>
      </c>
      <c r="G5038">
        <v>-369.79050000000001</v>
      </c>
      <c r="H5038">
        <v>1.0449310000000001</v>
      </c>
      <c r="I5038">
        <v>21.591419999999999</v>
      </c>
      <c r="J5038">
        <v>-370.29270000000002</v>
      </c>
      <c r="K5038">
        <v>1.1047689999999999</v>
      </c>
      <c r="L5038">
        <v>21.713529999999999</v>
      </c>
      <c r="M5038">
        <v>0.99838150000000003</v>
      </c>
      <c r="N5038">
        <v>0</v>
      </c>
      <c r="O5038">
        <v>-5.4811680000000002E-2</v>
      </c>
      <c r="P5038">
        <v>0.99970029999999999</v>
      </c>
      <c r="Q5038">
        <v>-1.2341410000000001E-2</v>
      </c>
      <c r="R5038">
        <v>-2.1152190000000001E-2</v>
      </c>
      <c r="S5038">
        <v>2.98696899999999</v>
      </c>
      <c r="T5038">
        <v>-0.22744420000000001</v>
      </c>
      <c r="U5038">
        <v>-0.5229492</v>
      </c>
      <c r="V5038">
        <v>-3.3683299999999999E-2</v>
      </c>
      <c r="W5038">
        <v>2.805054E-3</v>
      </c>
      <c r="X5038">
        <v>0.9994286</v>
      </c>
      <c r="Y5038">
        <v>0.1180206</v>
      </c>
      <c r="Z5038">
        <v>-3.2283410000000001E-4</v>
      </c>
      <c r="AA5038">
        <v>0.99301109999999904</v>
      </c>
      <c r="AB5038">
        <v>28</v>
      </c>
      <c r="AC5038">
        <v>0.50220000000001597</v>
      </c>
      <c r="AD5038">
        <v>-5.9838000000000002E-2</v>
      </c>
      <c r="AE5038">
        <v>-0.122109999999999</v>
      </c>
      <c r="AF5038">
        <v>9.3148181725764001E-2</v>
      </c>
      <c r="AG5038">
        <v>-5.9838000000000002E-2</v>
      </c>
      <c r="AH5038">
        <v>0.50141738508426004</v>
      </c>
      <c r="AI5038">
        <v>96.691936045561604</v>
      </c>
      <c r="AJ5038">
        <v>79.476143857529195</v>
      </c>
      <c r="AK5038">
        <v>0.51349446352181105</v>
      </c>
    </row>
    <row r="5039" spans="1:37" x14ac:dyDescent="0.2">
      <c r="A5039" t="str">
        <f>"20200111155956745"</f>
        <v>20200111155956745</v>
      </c>
      <c r="B5039" t="str">
        <f>"1578729596735991"</f>
        <v>1578729596735991</v>
      </c>
      <c r="C5039" t="s">
        <v>37</v>
      </c>
      <c r="D5039">
        <v>6.1195129999999898</v>
      </c>
      <c r="E5039">
        <v>0.55836490000000005</v>
      </c>
      <c r="F5039" t="s">
        <v>38</v>
      </c>
      <c r="G5039">
        <v>-369.54140000000001</v>
      </c>
      <c r="H5039">
        <v>1.0477609999999999</v>
      </c>
      <c r="I5039">
        <v>21.582239999999999</v>
      </c>
      <c r="J5039">
        <v>-370.01310000000001</v>
      </c>
      <c r="K5039">
        <v>1.1049100000000001</v>
      </c>
      <c r="L5039">
        <v>21.69885</v>
      </c>
      <c r="M5039">
        <v>0.99841650000000004</v>
      </c>
      <c r="N5039">
        <v>0</v>
      </c>
      <c r="O5039">
        <v>-5.417056E-2</v>
      </c>
      <c r="P5039">
        <v>0.99972269999999896</v>
      </c>
      <c r="Q5039">
        <v>-1.1349669999999999E-2</v>
      </c>
      <c r="R5039">
        <v>-2.0643430000000001E-2</v>
      </c>
      <c r="S5039">
        <v>2.9870299999999999</v>
      </c>
      <c r="T5039">
        <v>-0.2266677</v>
      </c>
      <c r="U5039">
        <v>-0.52139279999999999</v>
      </c>
      <c r="V5039">
        <v>-3.3552609999999997E-2</v>
      </c>
      <c r="W5039">
        <v>3.7816120000000002E-3</v>
      </c>
      <c r="X5039">
        <v>0.99942980000000003</v>
      </c>
      <c r="Y5039">
        <v>0.1181518</v>
      </c>
      <c r="Z5039">
        <v>-3.7471759999999998E-4</v>
      </c>
      <c r="AA5039">
        <v>0.99299550000000003</v>
      </c>
      <c r="AB5039">
        <v>28</v>
      </c>
      <c r="AC5039">
        <v>0.47169999999999801</v>
      </c>
      <c r="AD5039">
        <v>-5.7148999999999797E-2</v>
      </c>
      <c r="AE5039">
        <v>-0.116610000000001</v>
      </c>
      <c r="AF5039">
        <v>8.9643490266135495E-2</v>
      </c>
      <c r="AG5039">
        <v>-5.7148999999999797E-2</v>
      </c>
      <c r="AH5039">
        <v>0.47081194894271999</v>
      </c>
      <c r="AI5039">
        <v>96.799940870349701</v>
      </c>
      <c r="AJ5039">
        <v>79.219809618400006</v>
      </c>
      <c r="AK5039">
        <v>0.48266536525354398</v>
      </c>
    </row>
    <row r="5040" spans="1:37" x14ac:dyDescent="0.2">
      <c r="A5040" t="str">
        <f>"20200111155956759"</f>
        <v>20200111155956759</v>
      </c>
      <c r="B5040" t="str">
        <f>"1578729596755508"</f>
        <v>1578729596755508</v>
      </c>
      <c r="C5040" t="s">
        <v>37</v>
      </c>
      <c r="D5040">
        <v>6.1479619999999997</v>
      </c>
      <c r="E5040">
        <v>0.55832649999999995</v>
      </c>
      <c r="F5040" t="s">
        <v>38</v>
      </c>
      <c r="G5040">
        <v>-369.06</v>
      </c>
      <c r="H5040">
        <v>1.0333209999999999</v>
      </c>
      <c r="I5040">
        <v>21.533670000000001</v>
      </c>
      <c r="J5040">
        <v>-369.83640000000003</v>
      </c>
      <c r="K5040">
        <v>1.1049949999999999</v>
      </c>
      <c r="L5040">
        <v>21.68976</v>
      </c>
      <c r="M5040">
        <v>0.99844359999999999</v>
      </c>
      <c r="N5040">
        <v>0</v>
      </c>
      <c r="O5040">
        <v>-5.3670549999999997E-2</v>
      </c>
      <c r="P5040">
        <v>0.99974669999999899</v>
      </c>
      <c r="Q5040">
        <v>-1.04531E-2</v>
      </c>
      <c r="R5040">
        <v>-1.9946149999999999E-2</v>
      </c>
      <c r="S5040">
        <v>2.9876099999999899</v>
      </c>
      <c r="T5040">
        <v>-0.2244178</v>
      </c>
      <c r="U5040">
        <v>-0.51776120000000003</v>
      </c>
      <c r="V5040">
        <v>-3.3751690000000001E-2</v>
      </c>
      <c r="W5040">
        <v>4.6689979999999997E-3</v>
      </c>
      <c r="X5040">
        <v>0.99941930000000001</v>
      </c>
      <c r="Y5040">
        <v>0.11744889999999999</v>
      </c>
      <c r="Z5040">
        <v>-3.8188089999999897E-4</v>
      </c>
      <c r="AA5040">
        <v>0.99307889999999999</v>
      </c>
      <c r="AB5040">
        <v>28</v>
      </c>
      <c r="AC5040">
        <v>0.77640000000002296</v>
      </c>
      <c r="AD5040">
        <v>-7.1674000000000196E-2</v>
      </c>
      <c r="AE5040">
        <v>-0.15608999999999801</v>
      </c>
      <c r="AF5040">
        <v>0.113262620885777</v>
      </c>
      <c r="AG5040">
        <v>-7.1674000000000196E-2</v>
      </c>
      <c r="AH5040">
        <v>0.77729220704713198</v>
      </c>
      <c r="AI5040">
        <v>95.213587226809096</v>
      </c>
      <c r="AJ5040">
        <v>81.709530985593702</v>
      </c>
      <c r="AK5040">
        <v>0.78876407036712604</v>
      </c>
    </row>
    <row r="5041" spans="1:37" x14ac:dyDescent="0.2">
      <c r="A5041" t="str">
        <f>"20200111155956777"</f>
        <v>20200111155956777</v>
      </c>
      <c r="B5041" t="str">
        <f>"1578729596776003"</f>
        <v>1578729596776003</v>
      </c>
      <c r="C5041" t="s">
        <v>37</v>
      </c>
      <c r="D5041">
        <v>6.1641639999999898</v>
      </c>
      <c r="E5041">
        <v>0.55828449999999996</v>
      </c>
      <c r="F5041" t="s">
        <v>38</v>
      </c>
      <c r="G5041">
        <v>-369.05040000000002</v>
      </c>
      <c r="H5041">
        <v>1.0470950000000001</v>
      </c>
      <c r="I5041">
        <v>21.554120000000001</v>
      </c>
      <c r="J5041">
        <v>-369.61770000000001</v>
      </c>
      <c r="K5041">
        <v>1.1050869999999999</v>
      </c>
      <c r="L5041">
        <v>21.678739999999902</v>
      </c>
      <c r="M5041">
        <v>0.99847980000000003</v>
      </c>
      <c r="N5041">
        <v>0</v>
      </c>
      <c r="O5041">
        <v>-5.2992129999999998E-2</v>
      </c>
      <c r="P5041">
        <v>0.9997895</v>
      </c>
      <c r="Q5041">
        <v>-9.0620630000000004E-3</v>
      </c>
      <c r="R5041">
        <v>-1.840758E-2</v>
      </c>
      <c r="S5041">
        <v>2.9880979999999999</v>
      </c>
      <c r="T5041">
        <v>-0.22015789999999899</v>
      </c>
      <c r="U5041">
        <v>-0.51565550000000004</v>
      </c>
      <c r="V5041">
        <v>-3.4613989999999997E-2</v>
      </c>
      <c r="W5041">
        <v>6.0484680000000004E-3</v>
      </c>
      <c r="X5041">
        <v>0.9993824</v>
      </c>
      <c r="Y5041">
        <v>0.1174216</v>
      </c>
      <c r="Z5041">
        <v>-4.2299299999999998E-4</v>
      </c>
      <c r="AA5041">
        <v>0.99308200000000002</v>
      </c>
      <c r="AB5041">
        <v>28</v>
      </c>
      <c r="AC5041">
        <v>0.56729999999998804</v>
      </c>
      <c r="AD5041">
        <v>-5.7992000000000002E-2</v>
      </c>
      <c r="AE5041">
        <v>-0.124619999999996</v>
      </c>
      <c r="AF5041">
        <v>9.3447408456505496E-2</v>
      </c>
      <c r="AG5041">
        <v>-5.7992000000000002E-2</v>
      </c>
      <c r="AH5041">
        <v>0.56745055221932805</v>
      </c>
      <c r="AI5041">
        <v>95.758198716313998</v>
      </c>
      <c r="AJ5041">
        <v>80.648498795977801</v>
      </c>
      <c r="AK5041">
        <v>0.578010051318537</v>
      </c>
    </row>
    <row r="5042" spans="1:37" x14ac:dyDescent="0.2">
      <c r="A5042" t="str">
        <f>"20200111155956791"</f>
        <v>20200111155956791</v>
      </c>
      <c r="B5042" t="str">
        <f>"1578729596785764"</f>
        <v>1578729596785764</v>
      </c>
      <c r="C5042" t="s">
        <v>37</v>
      </c>
      <c r="D5042">
        <v>6.187627</v>
      </c>
      <c r="E5042">
        <v>0.55816869999999996</v>
      </c>
      <c r="F5042" t="s">
        <v>38</v>
      </c>
      <c r="G5042">
        <v>-368.80549999999999</v>
      </c>
      <c r="H5042">
        <v>1.0466169999999999</v>
      </c>
      <c r="I5042">
        <v>21.539670000000001</v>
      </c>
      <c r="J5042">
        <v>-369.4479</v>
      </c>
      <c r="K5042">
        <v>1.105145</v>
      </c>
      <c r="L5042">
        <v>21.670349999999999</v>
      </c>
      <c r="M5042">
        <v>0.99851009999999996</v>
      </c>
      <c r="N5042">
        <v>0</v>
      </c>
      <c r="O5042">
        <v>-5.241987E-2</v>
      </c>
      <c r="P5042">
        <v>0.9998224</v>
      </c>
      <c r="Q5042">
        <v>-8.0324109999999997E-3</v>
      </c>
      <c r="R5042">
        <v>-1.706237E-2</v>
      </c>
      <c r="S5042">
        <v>2.989258</v>
      </c>
      <c r="T5042">
        <v>-0.2152599</v>
      </c>
      <c r="U5042">
        <v>-0.51126099999999997</v>
      </c>
      <c r="V5042">
        <v>-3.5389080000000003E-2</v>
      </c>
      <c r="W5042">
        <v>7.06983099999999E-3</v>
      </c>
      <c r="X5042">
        <v>0.99934859999999903</v>
      </c>
      <c r="Y5042">
        <v>0.1165165</v>
      </c>
      <c r="Z5042">
        <v>-4.2187889999999899E-4</v>
      </c>
      <c r="AA5042">
        <v>0.99318869999999904</v>
      </c>
      <c r="AB5042">
        <v>28</v>
      </c>
      <c r="AC5042">
        <v>0.64240000000000896</v>
      </c>
      <c r="AD5042">
        <v>-5.8528000000000101E-2</v>
      </c>
      <c r="AE5042">
        <v>-0.13067999999999799</v>
      </c>
      <c r="AF5042">
        <v>9.6056244785861195E-2</v>
      </c>
      <c r="AG5042">
        <v>-5.8528000000000101E-2</v>
      </c>
      <c r="AH5042">
        <v>0.64324040460224796</v>
      </c>
      <c r="AI5042">
        <v>95.142277915057704</v>
      </c>
      <c r="AJ5042">
        <v>81.506680869449895</v>
      </c>
      <c r="AK5042">
        <v>0.65300118457719902</v>
      </c>
    </row>
    <row r="5043" spans="1:37" x14ac:dyDescent="0.2">
      <c r="A5043" t="str">
        <f>"20200111155956805"</f>
        <v>20200111155956805</v>
      </c>
      <c r="B5043" t="str">
        <f>"1578729596795524"</f>
        <v>1578729596795524</v>
      </c>
      <c r="C5043" t="s">
        <v>37</v>
      </c>
      <c r="D5043">
        <v>6.1939039999999999</v>
      </c>
      <c r="E5043">
        <v>0.55801599999999996</v>
      </c>
      <c r="F5043" t="s">
        <v>38</v>
      </c>
      <c r="G5043">
        <v>-368.56439999999998</v>
      </c>
      <c r="H5043">
        <v>1.0422910000000001</v>
      </c>
      <c r="I5043">
        <v>21.520529999999901</v>
      </c>
      <c r="J5043">
        <v>-369.27420000000001</v>
      </c>
      <c r="K5043">
        <v>1.1051979999999999</v>
      </c>
      <c r="L5043">
        <v>21.66187</v>
      </c>
      <c r="M5043">
        <v>0.99854219999999905</v>
      </c>
      <c r="N5043">
        <v>0</v>
      </c>
      <c r="O5043">
        <v>-5.1801260000000002E-2</v>
      </c>
      <c r="P5043">
        <v>0.99985059999999903</v>
      </c>
      <c r="Q5043">
        <v>-7.1583409999999899E-3</v>
      </c>
      <c r="R5043">
        <v>-1.5727830000000002E-2</v>
      </c>
      <c r="S5043">
        <v>2.990173</v>
      </c>
      <c r="T5043">
        <v>-0.21276700000000001</v>
      </c>
      <c r="U5043">
        <v>-0.50640870000000004</v>
      </c>
      <c r="V5043">
        <v>-3.6106010000000001E-2</v>
      </c>
      <c r="W5043">
        <v>7.9352659999999998E-3</v>
      </c>
      <c r="X5043">
        <v>0.99931650000000005</v>
      </c>
      <c r="Y5043">
        <v>0.1155195</v>
      </c>
      <c r="Z5043">
        <v>-4.2523559999999998E-4</v>
      </c>
      <c r="AA5043">
        <v>0.99330509999999905</v>
      </c>
      <c r="AB5043">
        <v>27</v>
      </c>
      <c r="AC5043">
        <v>0.70980000000002896</v>
      </c>
      <c r="AD5043">
        <v>-6.2906999999999796E-2</v>
      </c>
      <c r="AE5043">
        <v>-0.14134000000000299</v>
      </c>
      <c r="AF5043">
        <v>0.10359476451486101</v>
      </c>
      <c r="AG5043">
        <v>-6.2906999999999796E-2</v>
      </c>
      <c r="AH5043">
        <v>0.71079911140862795</v>
      </c>
      <c r="AI5043">
        <v>95.004998069673803</v>
      </c>
      <c r="AJ5043">
        <v>81.707862285705801</v>
      </c>
      <c r="AK5043">
        <v>0.72105793294518605</v>
      </c>
    </row>
    <row r="5044" spans="1:37" x14ac:dyDescent="0.2">
      <c r="A5044" t="str">
        <f>"20200111155956822"</f>
        <v>20200111155956822</v>
      </c>
      <c r="B5044" t="str">
        <f>"1578729596815047"</f>
        <v>1578729596815047</v>
      </c>
      <c r="C5044" t="s">
        <v>37</v>
      </c>
      <c r="D5044">
        <v>6.1425869999999998</v>
      </c>
      <c r="E5044">
        <v>0.55795479999999997</v>
      </c>
      <c r="F5044" t="s">
        <v>38</v>
      </c>
      <c r="G5044">
        <v>-368.32330000000002</v>
      </c>
      <c r="H5044">
        <v>1.03826</v>
      </c>
      <c r="I5044">
        <v>21.502400000000002</v>
      </c>
      <c r="J5044">
        <v>-369.06479999999999</v>
      </c>
      <c r="K5044">
        <v>1.10524</v>
      </c>
      <c r="L5044">
        <v>21.651859999999999</v>
      </c>
      <c r="M5044">
        <v>0.99858329999999995</v>
      </c>
      <c r="N5044">
        <v>0</v>
      </c>
      <c r="O5044">
        <v>-5.100818E-2</v>
      </c>
      <c r="P5044">
        <v>0.99990400000000002</v>
      </c>
      <c r="Q5044">
        <v>-6.407406E-3</v>
      </c>
      <c r="R5044">
        <v>-1.229593E-2</v>
      </c>
      <c r="S5044">
        <v>2.991028</v>
      </c>
      <c r="T5044">
        <v>-0.21062139999999999</v>
      </c>
      <c r="U5044">
        <v>-0.50125120000000001</v>
      </c>
      <c r="V5044">
        <v>-3.8745040000000001E-2</v>
      </c>
      <c r="W5044">
        <v>8.6733850000000005E-3</v>
      </c>
      <c r="X5044">
        <v>0.99921150000000003</v>
      </c>
      <c r="Y5044">
        <v>0.1145996</v>
      </c>
      <c r="Z5044">
        <v>-4.4396049999999998E-4</v>
      </c>
      <c r="AA5044">
        <v>0.99341170000000001</v>
      </c>
      <c r="AB5044">
        <v>27</v>
      </c>
      <c r="AC5044">
        <v>0.74149999999997296</v>
      </c>
      <c r="AD5044">
        <v>-6.6979999999999998E-2</v>
      </c>
      <c r="AE5044">
        <v>-0.14945999999999701</v>
      </c>
      <c r="AF5044">
        <v>0.110571493177965</v>
      </c>
      <c r="AG5044">
        <v>-6.6979999999999998E-2</v>
      </c>
      <c r="AH5044">
        <v>0.742338389850693</v>
      </c>
      <c r="AI5044">
        <v>95.099784665915294</v>
      </c>
      <c r="AJ5044">
        <v>81.528065828248899</v>
      </c>
      <c r="AK5044">
        <v>0.75351088946990297</v>
      </c>
    </row>
    <row r="5045" spans="1:37" x14ac:dyDescent="0.2">
      <c r="A5045" t="str">
        <f>"20200111155956860"</f>
        <v>20200111155956860</v>
      </c>
      <c r="B5045" t="str">
        <f>"1578729596855060"</f>
        <v>1578729596855060</v>
      </c>
      <c r="C5045" t="s">
        <v>37</v>
      </c>
      <c r="D5045">
        <v>6.1057410000000001</v>
      </c>
      <c r="E5045">
        <v>0.53090170000000003</v>
      </c>
      <c r="F5045" t="s">
        <v>38</v>
      </c>
      <c r="G5045">
        <v>-368.31020000000001</v>
      </c>
      <c r="H5045">
        <v>1.0524719999999901</v>
      </c>
      <c r="I5045">
        <v>21.52805</v>
      </c>
      <c r="J5045">
        <v>-368.59620000000001</v>
      </c>
      <c r="K5045">
        <v>1.1052839999999999</v>
      </c>
      <c r="L5045">
        <v>21.630220000000001</v>
      </c>
      <c r="M5045">
        <v>0.99867629999999996</v>
      </c>
      <c r="N5045">
        <v>0</v>
      </c>
      <c r="O5045">
        <v>-4.9154589999999998E-2</v>
      </c>
      <c r="P5045">
        <v>0.99995840000000003</v>
      </c>
      <c r="Q5045">
        <v>-5.9567780000000002E-3</v>
      </c>
      <c r="R5045">
        <v>-6.9110980000000001E-3</v>
      </c>
      <c r="S5045">
        <v>2.99295</v>
      </c>
      <c r="T5045">
        <v>-0.20939099999999999</v>
      </c>
      <c r="U5045">
        <v>-0.49050899999999997</v>
      </c>
      <c r="V5045">
        <v>-4.2272339999999999E-2</v>
      </c>
      <c r="W5045">
        <v>9.1020449999999996E-3</v>
      </c>
      <c r="X5045">
        <v>0.99906469999999903</v>
      </c>
      <c r="Y5045">
        <v>0.1128705</v>
      </c>
      <c r="Z5045">
        <v>-5.0942999999999995E-4</v>
      </c>
      <c r="AA5045">
        <v>0.99360949999999904</v>
      </c>
      <c r="AB5045">
        <v>27</v>
      </c>
      <c r="AC5045">
        <v>0.28600000000000098</v>
      </c>
      <c r="AD5045">
        <v>-5.2811999999999998E-2</v>
      </c>
      <c r="AE5045">
        <v>-0.10217</v>
      </c>
      <c r="AF5045">
        <v>8.5404086220911293E-2</v>
      </c>
      <c r="AG5045">
        <v>-5.2811999999999998E-2</v>
      </c>
      <c r="AH5045">
        <v>0.28214504822903003</v>
      </c>
      <c r="AI5045">
        <v>100.15694711986499</v>
      </c>
      <c r="AJ5045">
        <v>73.159163049796703</v>
      </c>
      <c r="AK5045">
        <v>0.29948087339159102</v>
      </c>
    </row>
    <row r="5046" spans="1:37" x14ac:dyDescent="0.2">
      <c r="A5046" t="str">
        <f>"20200111155956878"</f>
        <v>20200111155956878</v>
      </c>
      <c r="B5046" t="str">
        <f>"1578729596875556"</f>
        <v>1578729596875556</v>
      </c>
      <c r="C5046" t="s">
        <v>37</v>
      </c>
      <c r="D5046">
        <v>6.058624</v>
      </c>
      <c r="E5046">
        <v>0.53112590000000004</v>
      </c>
      <c r="F5046" t="s">
        <v>38</v>
      </c>
      <c r="G5046">
        <v>-367.83839999999998</v>
      </c>
      <c r="H5046">
        <v>1.025339</v>
      </c>
      <c r="I5046">
        <v>21.565670000000001</v>
      </c>
      <c r="J5046">
        <v>-368.38810000000001</v>
      </c>
      <c r="K5046">
        <v>1.105294</v>
      </c>
      <c r="L5046">
        <v>21.62088</v>
      </c>
      <c r="M5046">
        <v>0.99871710000000002</v>
      </c>
      <c r="N5046">
        <v>0</v>
      </c>
      <c r="O5046">
        <v>-4.8320660000000001E-2</v>
      </c>
      <c r="P5046">
        <v>0.99997519999999995</v>
      </c>
      <c r="Q5046">
        <v>-5.9147100000000001E-3</v>
      </c>
      <c r="R5046">
        <v>-3.8852459999999902E-3</v>
      </c>
      <c r="S5046">
        <v>2.996521</v>
      </c>
      <c r="T5046">
        <v>-0.31624039999999998</v>
      </c>
      <c r="U5046">
        <v>-0.2538147</v>
      </c>
      <c r="V5046">
        <v>-4.4461720000000003E-2</v>
      </c>
      <c r="W5046">
        <v>9.1339919999999901E-3</v>
      </c>
      <c r="X5046">
        <v>0.99896929999999995</v>
      </c>
      <c r="Y5046">
        <v>3.6215070000000002E-2</v>
      </c>
      <c r="Z5046">
        <v>3.170614E-3</v>
      </c>
      <c r="AA5046">
        <v>0.99933899999999998</v>
      </c>
      <c r="AB5046">
        <v>27</v>
      </c>
      <c r="AC5046">
        <v>0.54970000000002905</v>
      </c>
      <c r="AD5046">
        <v>-7.9954999999999998E-2</v>
      </c>
      <c r="AE5046">
        <v>-5.5209999999998802E-2</v>
      </c>
      <c r="AF5046">
        <v>2.7994240847765601E-2</v>
      </c>
      <c r="AG5046">
        <v>-7.9954999999999998E-2</v>
      </c>
      <c r="AH5046">
        <v>0.54040698847318003</v>
      </c>
      <c r="AI5046">
        <v>98.404936470334903</v>
      </c>
      <c r="AJ5046">
        <v>87.034606368324901</v>
      </c>
      <c r="AK5046">
        <v>0.54700657467373703</v>
      </c>
    </row>
    <row r="5047" spans="1:37" x14ac:dyDescent="0.2">
      <c r="A5047" t="str">
        <f>"20200111155956900"</f>
        <v>20200111155956900</v>
      </c>
      <c r="B5047" t="str">
        <f>"1578729596895076"</f>
        <v>1578729596895076</v>
      </c>
      <c r="C5047" t="s">
        <v>37</v>
      </c>
      <c r="D5047">
        <v>6.0466239999999898</v>
      </c>
      <c r="E5047">
        <v>0.53117040000000004</v>
      </c>
      <c r="F5047" t="s">
        <v>38</v>
      </c>
      <c r="G5047">
        <v>-367.59739999999999</v>
      </c>
      <c r="H5047">
        <v>1.021706</v>
      </c>
      <c r="I5047">
        <v>21.555810000000001</v>
      </c>
      <c r="J5047">
        <v>-368.12310000000002</v>
      </c>
      <c r="K5047">
        <v>1.105294</v>
      </c>
      <c r="L5047">
        <v>21.609249999999999</v>
      </c>
      <c r="M5047">
        <v>0.99876779999999998</v>
      </c>
      <c r="N5047">
        <v>0</v>
      </c>
      <c r="O5047">
        <v>-4.7263520000000003E-2</v>
      </c>
      <c r="P5047">
        <v>0.99997959999999997</v>
      </c>
      <c r="Q5047">
        <v>-5.8521569999999898E-3</v>
      </c>
      <c r="R5047">
        <v>-2.6314749999999999E-3</v>
      </c>
      <c r="S5047">
        <v>2.99725299999999</v>
      </c>
      <c r="T5047">
        <v>-0.31679079999999998</v>
      </c>
      <c r="U5047">
        <v>-0.24676509999999999</v>
      </c>
      <c r="V5047">
        <v>-4.4657000000000002E-2</v>
      </c>
      <c r="W5047">
        <v>9.1902559999999904E-3</v>
      </c>
      <c r="X5047">
        <v>0.99896010000000002</v>
      </c>
      <c r="Y5047">
        <v>3.4919659999999998E-2</v>
      </c>
      <c r="Z5047">
        <v>3.1328209999999901E-3</v>
      </c>
      <c r="AA5047">
        <v>0.99938519999999897</v>
      </c>
      <c r="AB5047">
        <v>27</v>
      </c>
      <c r="AC5047">
        <v>0.52570000000002803</v>
      </c>
      <c r="AD5047">
        <v>-8.3587999999999996E-2</v>
      </c>
      <c r="AE5047">
        <v>-5.3439999999998301E-2</v>
      </c>
      <c r="AF5047">
        <v>2.78344720204565E-2</v>
      </c>
      <c r="AG5047">
        <v>-8.3587999999999996E-2</v>
      </c>
      <c r="AH5047">
        <v>0.51475742098390997</v>
      </c>
      <c r="AI5047">
        <v>99.210146970430003</v>
      </c>
      <c r="AJ5047">
        <v>86.904860248311195</v>
      </c>
      <c r="AK5047">
        <v>0.522242198634565</v>
      </c>
    </row>
    <row r="5048" spans="1:37" x14ac:dyDescent="0.2">
      <c r="A5048" t="str">
        <f>"20200111155956914"</f>
        <v>20200111155956914</v>
      </c>
      <c r="B5048" t="str">
        <f>"1578729596905813"</f>
        <v>1578729596905813</v>
      </c>
      <c r="C5048" t="s">
        <v>37</v>
      </c>
      <c r="D5048">
        <v>6.0341990000000001</v>
      </c>
      <c r="E5048">
        <v>0.53141539999999998</v>
      </c>
      <c r="F5048" t="s">
        <v>38</v>
      </c>
      <c r="G5048">
        <v>-367.35390000000001</v>
      </c>
      <c r="H5048">
        <v>1.023709</v>
      </c>
      <c r="I5048">
        <v>21.546500000000002</v>
      </c>
      <c r="J5048">
        <v>-367.9554</v>
      </c>
      <c r="K5048">
        <v>1.1052959999999901</v>
      </c>
      <c r="L5048">
        <v>21.60202</v>
      </c>
      <c r="M5048">
        <v>0.99879910000000005</v>
      </c>
      <c r="N5048">
        <v>0</v>
      </c>
      <c r="O5048">
        <v>-4.6599439999999999E-2</v>
      </c>
      <c r="P5048">
        <v>0.99997919999999996</v>
      </c>
      <c r="Q5048">
        <v>-6.2495279999999999E-3</v>
      </c>
      <c r="R5048">
        <v>-1.6555750000000001E-3</v>
      </c>
      <c r="S5048">
        <v>2.9975589999999999</v>
      </c>
      <c r="T5048">
        <v>-0.31804739999999998</v>
      </c>
      <c r="U5048">
        <v>-0.2433167</v>
      </c>
      <c r="V5048">
        <v>-4.4966779999999998E-2</v>
      </c>
      <c r="W5048">
        <v>8.7887750000000004E-3</v>
      </c>
      <c r="X5048">
        <v>0.9989498</v>
      </c>
      <c r="Y5048">
        <v>3.4433270000000002E-2</v>
      </c>
      <c r="Z5048">
        <v>3.1006979999999998E-3</v>
      </c>
      <c r="AA5048">
        <v>0.99940219999999902</v>
      </c>
      <c r="AB5048">
        <v>27</v>
      </c>
      <c r="AC5048">
        <v>0.60149999999998705</v>
      </c>
      <c r="AD5048">
        <v>-8.1586999999999799E-2</v>
      </c>
      <c r="AE5048">
        <v>-5.5519999999997703E-2</v>
      </c>
      <c r="AF5048">
        <v>2.69355278631652E-2</v>
      </c>
      <c r="AG5048">
        <v>-8.1586999999999799E-2</v>
      </c>
      <c r="AH5048">
        <v>0.59262294026378504</v>
      </c>
      <c r="AI5048">
        <v>97.830708925419998</v>
      </c>
      <c r="AJ5048">
        <v>87.397619040791099</v>
      </c>
      <c r="AK5048">
        <v>0.59881876269632806</v>
      </c>
    </row>
    <row r="5049" spans="1:37" x14ac:dyDescent="0.2">
      <c r="A5049" t="str">
        <f>"20200111155956934"</f>
        <v>20200111155956934</v>
      </c>
      <c r="B5049" t="str">
        <f>"1578729596925331"</f>
        <v>1578729596925331</v>
      </c>
      <c r="C5049" t="s">
        <v>37</v>
      </c>
      <c r="D5049">
        <v>5.9637779999999996</v>
      </c>
      <c r="E5049">
        <v>0.53211759999999997</v>
      </c>
      <c r="F5049" t="s">
        <v>38</v>
      </c>
      <c r="G5049">
        <v>-367.11619999999999</v>
      </c>
      <c r="H5049">
        <v>1.0154559999999999</v>
      </c>
      <c r="I5049">
        <v>21.533999999999999</v>
      </c>
      <c r="J5049">
        <v>-367.71</v>
      </c>
      <c r="K5049">
        <v>1.105294</v>
      </c>
      <c r="L5049">
        <v>21.591639999999899</v>
      </c>
      <c r="M5049">
        <v>0.9988437</v>
      </c>
      <c r="N5049">
        <v>0</v>
      </c>
      <c r="O5049">
        <v>-4.5634040000000001E-2</v>
      </c>
      <c r="P5049">
        <v>0.9999768</v>
      </c>
      <c r="Q5049">
        <v>-6.8179030000000002E-3</v>
      </c>
      <c r="R5049">
        <v>-4.9573680000000004E-4</v>
      </c>
      <c r="S5049">
        <v>2.99762</v>
      </c>
      <c r="T5049">
        <v>-0.32091959999999897</v>
      </c>
      <c r="U5049">
        <v>-0.242340099999999</v>
      </c>
      <c r="V5049">
        <v>-4.5158480000000001E-2</v>
      </c>
      <c r="W5049">
        <v>8.2151589999999997E-3</v>
      </c>
      <c r="X5049">
        <v>0.99894609999999995</v>
      </c>
      <c r="Y5049">
        <v>3.5066300000000002E-2</v>
      </c>
      <c r="Z5049">
        <v>2.9920659999999998E-3</v>
      </c>
      <c r="AA5049">
        <v>0.9993805</v>
      </c>
      <c r="AB5049">
        <v>27</v>
      </c>
      <c r="AC5049">
        <v>0.593799999999987</v>
      </c>
      <c r="AD5049">
        <v>-8.9838000000000001E-2</v>
      </c>
      <c r="AE5049">
        <v>-5.7639999999995702E-2</v>
      </c>
      <c r="AF5049">
        <v>2.98035197978746E-2</v>
      </c>
      <c r="AG5049">
        <v>-8.9838000000000001E-2</v>
      </c>
      <c r="AH5049">
        <v>0.58260083286960596</v>
      </c>
      <c r="AI5049">
        <v>98.754787577965104</v>
      </c>
      <c r="AJ5049">
        <v>87.071530687718095</v>
      </c>
      <c r="AK5049">
        <v>0.590239651748932</v>
      </c>
    </row>
    <row r="5050" spans="1:37" x14ac:dyDescent="0.2">
      <c r="A5050" t="str">
        <f>"20200111155956947"</f>
        <v>20200111155956947</v>
      </c>
      <c r="B5050" t="str">
        <f>"1578729596945828"</f>
        <v>1578729596945828</v>
      </c>
      <c r="C5050" t="s">
        <v>37</v>
      </c>
      <c r="D5050">
        <v>5.9786029999999997</v>
      </c>
      <c r="E5050">
        <v>0.53258479999999997</v>
      </c>
      <c r="F5050" t="s">
        <v>38</v>
      </c>
      <c r="G5050">
        <v>-366.875</v>
      </c>
      <c r="H5050">
        <v>1.014931</v>
      </c>
      <c r="I5050">
        <v>21.523299999999999</v>
      </c>
      <c r="J5050">
        <v>-367.55160000000001</v>
      </c>
      <c r="K5050">
        <v>1.1052869999999999</v>
      </c>
      <c r="L5050">
        <v>21.585079999999898</v>
      </c>
      <c r="M5050">
        <v>0.99887190000000003</v>
      </c>
      <c r="N5050">
        <v>0</v>
      </c>
      <c r="O5050">
        <v>-4.5014789999999999E-2</v>
      </c>
      <c r="P5050">
        <v>0.99997429999999998</v>
      </c>
      <c r="Q5050">
        <v>-7.1811690000000003E-3</v>
      </c>
      <c r="R5050" s="1">
        <v>-5.331897E-5</v>
      </c>
      <c r="S5050">
        <v>2.9977419999999899</v>
      </c>
      <c r="T5050">
        <v>-0.32445380000000001</v>
      </c>
      <c r="U5050">
        <v>-0.24484249999999999</v>
      </c>
      <c r="V5050">
        <v>-4.4980470000000002E-2</v>
      </c>
      <c r="W5050">
        <v>7.8489609999999998E-3</v>
      </c>
      <c r="X5050">
        <v>0.99895699999999998</v>
      </c>
      <c r="Y5050">
        <v>3.6500770000000002E-2</v>
      </c>
      <c r="Z5050">
        <v>2.8806959999999999E-3</v>
      </c>
      <c r="AA5050">
        <v>0.99932940000000003</v>
      </c>
      <c r="AB5050">
        <v>27</v>
      </c>
      <c r="AC5050">
        <v>0.67660000000000697</v>
      </c>
      <c r="AD5050">
        <v>-9.0356000000000103E-2</v>
      </c>
      <c r="AE5050">
        <v>-6.1779999999998801E-2</v>
      </c>
      <c r="AF5050">
        <v>3.0713652083653498E-2</v>
      </c>
      <c r="AG5050">
        <v>-9.0356000000000103E-2</v>
      </c>
      <c r="AH5050">
        <v>0.66690012973340596</v>
      </c>
      <c r="AI5050">
        <v>97.707753091287799</v>
      </c>
      <c r="AJ5050">
        <v>87.363143315919004</v>
      </c>
      <c r="AK5050">
        <v>0.67369378667073199</v>
      </c>
    </row>
    <row r="5051" spans="1:37" x14ac:dyDescent="0.2">
      <c r="A5051" t="str">
        <f>"20200111155956967"</f>
        <v>20200111155956967</v>
      </c>
      <c r="B5051" t="str">
        <f>"1578729596955587"</f>
        <v>1578729596955587</v>
      </c>
      <c r="C5051" t="s">
        <v>37</v>
      </c>
      <c r="D5051">
        <v>5.9267099999999999</v>
      </c>
      <c r="E5051">
        <v>0.53285009999999999</v>
      </c>
      <c r="F5051" t="s">
        <v>38</v>
      </c>
      <c r="G5051">
        <v>-366.63799999999998</v>
      </c>
      <c r="H5051">
        <v>1.007188</v>
      </c>
      <c r="I5051">
        <v>21.50949</v>
      </c>
      <c r="J5051">
        <v>-367.32170000000002</v>
      </c>
      <c r="K5051">
        <v>1.105281</v>
      </c>
      <c r="L5051">
        <v>21.575710000000001</v>
      </c>
      <c r="M5051">
        <v>0.99891189999999996</v>
      </c>
      <c r="N5051">
        <v>0</v>
      </c>
      <c r="O5051">
        <v>-4.4120810000000003E-2</v>
      </c>
      <c r="P5051">
        <v>0.99996600000000002</v>
      </c>
      <c r="Q5051">
        <v>-8.2556230000000001E-3</v>
      </c>
      <c r="R5051">
        <v>2.0789220000000001E-4</v>
      </c>
      <c r="S5051">
        <v>2.9977109999999998</v>
      </c>
      <c r="T5051">
        <v>-0.32190629999999998</v>
      </c>
      <c r="U5051">
        <v>-0.24774169999999901</v>
      </c>
      <c r="V5051">
        <v>-4.43449E-2</v>
      </c>
      <c r="W5051">
        <v>6.771338E-3</v>
      </c>
      <c r="X5051">
        <v>0.99899329999999997</v>
      </c>
      <c r="Y5051">
        <v>3.8339570000000003E-2</v>
      </c>
      <c r="Z5051">
        <v>2.6644030000000001E-3</v>
      </c>
      <c r="AA5051">
        <v>0.99926119999999996</v>
      </c>
      <c r="AB5051">
        <v>27</v>
      </c>
      <c r="AC5051">
        <v>0.68369999999998698</v>
      </c>
      <c r="AD5051">
        <v>-9.8093E-2</v>
      </c>
      <c r="AE5051">
        <v>-6.6220000000001195E-2</v>
      </c>
      <c r="AF5051">
        <v>3.5267434483438102E-2</v>
      </c>
      <c r="AG5051">
        <v>-9.8093E-2</v>
      </c>
      <c r="AH5051">
        <v>0.67224667704300001</v>
      </c>
      <c r="AI5051">
        <v>98.290661650406093</v>
      </c>
      <c r="AJ5051">
        <v>86.996899408280399</v>
      </c>
      <c r="AK5051">
        <v>0.68028054755328704</v>
      </c>
    </row>
    <row r="5052" spans="1:37" x14ac:dyDescent="0.2">
      <c r="A5052" t="str">
        <f>"20200111155956991"</f>
        <v>20200111155956991</v>
      </c>
      <c r="B5052" t="str">
        <f>"1578729596985844"</f>
        <v>1578729596985844</v>
      </c>
      <c r="C5052" t="s">
        <v>37</v>
      </c>
      <c r="D5052">
        <v>5.9073190000000002</v>
      </c>
      <c r="E5052">
        <v>0.53371119999999905</v>
      </c>
      <c r="F5052" t="s">
        <v>38</v>
      </c>
      <c r="G5052">
        <v>-366.39830000000001</v>
      </c>
      <c r="H5052">
        <v>1.0054080000000001</v>
      </c>
      <c r="I5052">
        <v>21.498429999999999</v>
      </c>
      <c r="J5052">
        <v>-367.03530000000001</v>
      </c>
      <c r="K5052">
        <v>1.1052679999999999</v>
      </c>
      <c r="L5052">
        <v>21.56439</v>
      </c>
      <c r="M5052">
        <v>0.99896030000000002</v>
      </c>
      <c r="N5052">
        <v>0</v>
      </c>
      <c r="O5052">
        <v>-4.3012269999999998E-2</v>
      </c>
      <c r="P5052">
        <v>0.99995820000000002</v>
      </c>
      <c r="Q5052">
        <v>-9.1526730000000001E-3</v>
      </c>
      <c r="R5052">
        <v>3.1368260000000001E-4</v>
      </c>
      <c r="S5052">
        <v>2.9974669999999999</v>
      </c>
      <c r="T5052">
        <v>-0.32433020000000001</v>
      </c>
      <c r="U5052">
        <v>-0.2495117</v>
      </c>
      <c r="V5052">
        <v>-4.3339540000000003E-2</v>
      </c>
      <c r="W5052">
        <v>5.8706100000000001E-3</v>
      </c>
      <c r="X5052">
        <v>0.99904319999999902</v>
      </c>
      <c r="Y5052">
        <v>4.0025459999999999E-2</v>
      </c>
      <c r="Z5052">
        <v>2.474487E-3</v>
      </c>
      <c r="AA5052">
        <v>0.99919559999999996</v>
      </c>
      <c r="AB5052">
        <v>27</v>
      </c>
      <c r="AC5052">
        <v>0.63700000000000001</v>
      </c>
      <c r="AD5052">
        <v>-9.9860000000000004E-2</v>
      </c>
      <c r="AE5052">
        <v>-6.5960000000000393E-2</v>
      </c>
      <c r="AF5052">
        <v>3.7583168437747803E-2</v>
      </c>
      <c r="AG5052">
        <v>-9.9860000000000004E-2</v>
      </c>
      <c r="AH5052">
        <v>0.62407347949854297</v>
      </c>
      <c r="AI5052">
        <v>99.074848031931097</v>
      </c>
      <c r="AJ5052">
        <v>86.553676069255204</v>
      </c>
      <c r="AK5052">
        <v>0.63312891417407102</v>
      </c>
    </row>
    <row r="5053" spans="1:37" x14ac:dyDescent="0.2">
      <c r="A5053" t="str">
        <f>"20200111155957005"</f>
        <v>20200111155957005</v>
      </c>
      <c r="B5053" t="str">
        <f>"1578729596995604"</f>
        <v>1578729596995604</v>
      </c>
      <c r="C5053" t="s">
        <v>37</v>
      </c>
      <c r="D5053">
        <v>5.8737539999999999</v>
      </c>
      <c r="E5053">
        <v>0.53389790000000004</v>
      </c>
      <c r="F5053" t="s">
        <v>38</v>
      </c>
      <c r="G5053">
        <v>-366.1558</v>
      </c>
      <c r="H5053">
        <v>1.0101169999999999</v>
      </c>
      <c r="I5053">
        <v>21.489170000000001</v>
      </c>
      <c r="J5053">
        <v>-366.85820000000001</v>
      </c>
      <c r="K5053">
        <v>1.1052660000000001</v>
      </c>
      <c r="L5053">
        <v>21.557500000000001</v>
      </c>
      <c r="M5053">
        <v>0.99898949999999997</v>
      </c>
      <c r="N5053">
        <v>0</v>
      </c>
      <c r="O5053">
        <v>-4.2328190000000002E-2</v>
      </c>
      <c r="P5053">
        <v>0.99995900000000004</v>
      </c>
      <c r="Q5053">
        <v>-9.0546989999999994E-3</v>
      </c>
      <c r="R5053">
        <v>3.8277709999999998E-4</v>
      </c>
      <c r="S5053">
        <v>2.997223</v>
      </c>
      <c r="T5053">
        <v>-0.32422030000000002</v>
      </c>
      <c r="U5053">
        <v>-0.25650020000000001</v>
      </c>
      <c r="V5053">
        <v>-4.2724499999999999E-2</v>
      </c>
      <c r="W5053">
        <v>5.9664540000000004E-3</v>
      </c>
      <c r="X5053">
        <v>0.99906909999999904</v>
      </c>
      <c r="Y5053">
        <v>4.3008320000000003E-2</v>
      </c>
      <c r="Z5053">
        <v>2.2394389999999902E-3</v>
      </c>
      <c r="AA5053">
        <v>0.99907219999999997</v>
      </c>
      <c r="AB5053">
        <v>27</v>
      </c>
      <c r="AC5053">
        <v>0.70240000000001102</v>
      </c>
      <c r="AD5053">
        <v>-9.5149000000000095E-2</v>
      </c>
      <c r="AE5053">
        <v>-6.8329999999999502E-2</v>
      </c>
      <c r="AF5053">
        <v>3.7846060861256803E-2</v>
      </c>
      <c r="AG5053">
        <v>-9.5149000000000095E-2</v>
      </c>
      <c r="AH5053">
        <v>0.69208220415495303</v>
      </c>
      <c r="AI5053">
        <v>97.816543067679603</v>
      </c>
      <c r="AJ5053">
        <v>86.869935462654794</v>
      </c>
      <c r="AK5053">
        <v>0.69961663347271297</v>
      </c>
    </row>
    <row r="5054" spans="1:37" x14ac:dyDescent="0.2">
      <c r="A5054" t="str">
        <f>"20200111155957023"</f>
        <v>20200111155957023</v>
      </c>
      <c r="B5054" t="str">
        <f>"1578729597015126"</f>
        <v>1578729597015126</v>
      </c>
      <c r="C5054" t="s">
        <v>37</v>
      </c>
      <c r="D5054">
        <v>5.8545579999999999</v>
      </c>
      <c r="E5054">
        <v>0.53390249999999995</v>
      </c>
      <c r="F5054" t="s">
        <v>38</v>
      </c>
      <c r="G5054">
        <v>-365.91910000000001</v>
      </c>
      <c r="H5054">
        <v>1.004348</v>
      </c>
      <c r="I5054">
        <v>21.476379999999999</v>
      </c>
      <c r="J5054">
        <v>-366.63159999999999</v>
      </c>
      <c r="K5054">
        <v>1.105262</v>
      </c>
      <c r="L5054">
        <v>21.548860000000001</v>
      </c>
      <c r="M5054">
        <v>0.99902619999999898</v>
      </c>
      <c r="N5054">
        <v>0</v>
      </c>
      <c r="O5054">
        <v>-4.1454350000000001E-2</v>
      </c>
      <c r="P5054">
        <v>0.99996130000000005</v>
      </c>
      <c r="Q5054">
        <v>-8.8094579999999992E-3</v>
      </c>
      <c r="R5054" s="1">
        <v>-1.7171510000000001E-5</v>
      </c>
      <c r="S5054">
        <v>2.9973139999999998</v>
      </c>
      <c r="T5054">
        <v>-0.32216939999999999</v>
      </c>
      <c r="U5054">
        <v>-0.2579651</v>
      </c>
      <c r="V5054">
        <v>-4.1451950000000001E-2</v>
      </c>
      <c r="W5054">
        <v>6.2105900000000002E-3</v>
      </c>
      <c r="X5054">
        <v>0.99912119999999904</v>
      </c>
      <c r="Y5054">
        <v>4.4351679999999997E-2</v>
      </c>
      <c r="Z5054">
        <v>2.0600219999999999E-3</v>
      </c>
      <c r="AA5054">
        <v>0.99901379999999995</v>
      </c>
      <c r="AB5054">
        <v>27</v>
      </c>
      <c r="AC5054">
        <v>0.71249999999997704</v>
      </c>
      <c r="AD5054">
        <v>-0.100914</v>
      </c>
      <c r="AE5054">
        <v>-7.2480000000002306E-2</v>
      </c>
      <c r="AF5054">
        <v>4.2043331813392003E-2</v>
      </c>
      <c r="AG5054">
        <v>-0.100914</v>
      </c>
      <c r="AH5054">
        <v>0.70097474741639298</v>
      </c>
      <c r="AI5054">
        <v>98.1776555345633</v>
      </c>
      <c r="AJ5054">
        <v>86.567603764103296</v>
      </c>
      <c r="AK5054">
        <v>0.70944828822222605</v>
      </c>
    </row>
    <row r="5055" spans="1:37" x14ac:dyDescent="0.2">
      <c r="A5055" t="str">
        <f>"20200111155957036"</f>
        <v>20200111155957036</v>
      </c>
      <c r="B5055" t="str">
        <f>"1578729597025860"</f>
        <v>1578729597025860</v>
      </c>
      <c r="C5055" t="s">
        <v>37</v>
      </c>
      <c r="D5055">
        <v>4.7654990000000002</v>
      </c>
      <c r="E5055">
        <v>0.53390249999999995</v>
      </c>
      <c r="F5055" t="s">
        <v>38</v>
      </c>
      <c r="G5055">
        <v>-365.90710000000001</v>
      </c>
      <c r="H5055">
        <v>1.027482</v>
      </c>
      <c r="I5055">
        <v>21.485910000000001</v>
      </c>
      <c r="J5055">
        <v>-366.48599999999999</v>
      </c>
      <c r="K5055">
        <v>1.105253</v>
      </c>
      <c r="L5055">
        <v>21.543489999999998</v>
      </c>
      <c r="M5055">
        <v>0.99904950000000003</v>
      </c>
      <c r="N5055">
        <v>0</v>
      </c>
      <c r="O5055">
        <v>-4.0893390000000002E-2</v>
      </c>
      <c r="P5055">
        <v>0.99996439999999998</v>
      </c>
      <c r="Q5055">
        <v>-8.4513929999999998E-3</v>
      </c>
      <c r="R5055" s="1">
        <v>7.5609449999999897E-5</v>
      </c>
      <c r="S5055">
        <v>2.9972840000000001</v>
      </c>
      <c r="T5055">
        <v>-0.3218625</v>
      </c>
      <c r="U5055">
        <v>-0.25921630000000001</v>
      </c>
      <c r="V5055">
        <v>-4.0984489999999998E-2</v>
      </c>
      <c r="W5055">
        <v>6.5667800000000004E-3</v>
      </c>
      <c r="X5055">
        <v>0.99913819999999998</v>
      </c>
      <c r="Y5055">
        <v>4.531876E-2</v>
      </c>
      <c r="Z5055">
        <v>1.9464949999999999E-3</v>
      </c>
      <c r="AA5055">
        <v>0.99897069999999999</v>
      </c>
      <c r="AB5055">
        <v>27</v>
      </c>
      <c r="AC5055">
        <v>0.57889999999997599</v>
      </c>
      <c r="AD5055">
        <v>-7.7771000000000007E-2</v>
      </c>
      <c r="AE5055">
        <v>-5.7579999999997897E-2</v>
      </c>
      <c r="AF5055">
        <v>3.3261521525977597E-2</v>
      </c>
      <c r="AG5055">
        <v>-7.7771000000000007E-2</v>
      </c>
      <c r="AH5055">
        <v>0.57057374182499998</v>
      </c>
      <c r="AI5055">
        <v>97.748768910834897</v>
      </c>
      <c r="AJ5055">
        <v>86.663725832203696</v>
      </c>
      <c r="AK5055">
        <v>0.57680937242333796</v>
      </c>
    </row>
    <row r="5056" spans="1:37" x14ac:dyDescent="0.2">
      <c r="A5056" t="str">
        <f>"20200111155957057"</f>
        <v>20200111155957057</v>
      </c>
      <c r="B5056" t="str">
        <f>"1578729597045380"</f>
        <v>1578729597045380</v>
      </c>
      <c r="C5056" t="s">
        <v>37</v>
      </c>
      <c r="D5056">
        <v>6.2256199999999904</v>
      </c>
      <c r="E5056">
        <v>0.53147509999999998</v>
      </c>
      <c r="F5056" t="s">
        <v>38</v>
      </c>
      <c r="G5056">
        <v>-365.67259999999999</v>
      </c>
      <c r="H5056">
        <v>1.0181690000000001</v>
      </c>
      <c r="I5056">
        <v>21.473269999999999</v>
      </c>
      <c r="J5056">
        <v>-366.23660000000001</v>
      </c>
      <c r="K5056">
        <v>1.1052580000000001</v>
      </c>
      <c r="L5056">
        <v>21.534329999999901</v>
      </c>
      <c r="M5056">
        <v>0.99908839999999999</v>
      </c>
      <c r="N5056">
        <v>0</v>
      </c>
      <c r="O5056">
        <v>-3.9932170000000003E-2</v>
      </c>
      <c r="P5056">
        <v>0.99997199999999997</v>
      </c>
      <c r="Q5056">
        <v>-7.508079E-3</v>
      </c>
      <c r="R5056">
        <v>2.7771889999999899E-4</v>
      </c>
      <c r="S5056">
        <v>2.9973749999999999</v>
      </c>
      <c r="T5056">
        <v>-0.32085059999999999</v>
      </c>
      <c r="U5056">
        <v>-0.2589417</v>
      </c>
      <c r="V5056">
        <v>-4.0226690000000002E-2</v>
      </c>
      <c r="W5056">
        <v>7.5066019999999898E-3</v>
      </c>
      <c r="X5056">
        <v>0.99916240000000001</v>
      </c>
      <c r="Y5056">
        <v>4.6176269999999998E-2</v>
      </c>
      <c r="Z5056">
        <v>1.792409E-3</v>
      </c>
      <c r="AA5056">
        <v>0.99893169999999898</v>
      </c>
      <c r="AB5056">
        <v>27</v>
      </c>
      <c r="AC5056">
        <v>0.56400000000002104</v>
      </c>
      <c r="AD5056">
        <v>-8.7088999999999903E-2</v>
      </c>
      <c r="AE5056">
        <v>-6.1059999999997602E-2</v>
      </c>
      <c r="AF5056">
        <v>3.7600831741096401E-2</v>
      </c>
      <c r="AG5056">
        <v>-8.7088999999999903E-2</v>
      </c>
      <c r="AH5056">
        <v>0.55295694353439795</v>
      </c>
      <c r="AI5056">
        <v>98.930096068377097</v>
      </c>
      <c r="AJ5056">
        <v>86.109900392816101</v>
      </c>
      <c r="AK5056">
        <v>0.56103448902141995</v>
      </c>
    </row>
    <row r="5057" spans="1:37" x14ac:dyDescent="0.2">
      <c r="A5057" t="str">
        <f>"20200111155957071"</f>
        <v>20200111155957071</v>
      </c>
      <c r="B5057" t="str">
        <f>"1578729597065876"</f>
        <v>1578729597065876</v>
      </c>
      <c r="C5057" t="s">
        <v>37</v>
      </c>
      <c r="D5057">
        <v>5.6199079999999997</v>
      </c>
      <c r="E5057">
        <v>0.44197500000000001</v>
      </c>
      <c r="F5057" t="s">
        <v>38</v>
      </c>
      <c r="G5057">
        <v>-365.42849999999999</v>
      </c>
      <c r="H5057">
        <v>1.028241</v>
      </c>
      <c r="I5057">
        <v>21.469470000000001</v>
      </c>
      <c r="J5057">
        <v>-366.0659</v>
      </c>
      <c r="K5057">
        <v>1.1052569999999999</v>
      </c>
      <c r="L5057">
        <v>21.52826</v>
      </c>
      <c r="M5057">
        <v>0.99911439999999996</v>
      </c>
      <c r="N5057">
        <v>0</v>
      </c>
      <c r="O5057">
        <v>-3.9274419999999997E-2</v>
      </c>
      <c r="P5057">
        <v>0.99997530000000001</v>
      </c>
      <c r="Q5057">
        <v>-7.024176E-3</v>
      </c>
      <c r="R5057">
        <v>3.6884949999999999E-4</v>
      </c>
      <c r="S5057">
        <v>2.9980159999999998</v>
      </c>
      <c r="T5057">
        <v>-0.28576950000000001</v>
      </c>
      <c r="U5057">
        <v>-0.2401123</v>
      </c>
      <c r="V5057">
        <v>-3.9661009999999997E-2</v>
      </c>
      <c r="W5057">
        <v>7.9877149999999994E-3</v>
      </c>
      <c r="X5057">
        <v>0.99918130000000005</v>
      </c>
      <c r="Y5057">
        <v>4.0613549999999998E-2</v>
      </c>
      <c r="Z5057">
        <v>1.7992779999999901E-3</v>
      </c>
      <c r="AA5057">
        <v>0.99917330000000004</v>
      </c>
      <c r="AB5057">
        <v>27</v>
      </c>
      <c r="AC5057">
        <v>0.63740000000001296</v>
      </c>
      <c r="AD5057">
        <v>-7.7015999999999904E-2</v>
      </c>
      <c r="AE5057">
        <v>-5.8789999999998302E-2</v>
      </c>
      <c r="AF5057">
        <v>3.3227253071678002E-2</v>
      </c>
      <c r="AG5057">
        <v>-7.7015999999999904E-2</v>
      </c>
      <c r="AH5057">
        <v>0.63009583341874997</v>
      </c>
      <c r="AI5057">
        <v>96.959066541270602</v>
      </c>
      <c r="AJ5057">
        <v>86.981380448651393</v>
      </c>
      <c r="AK5057">
        <v>0.63565420937358597</v>
      </c>
    </row>
    <row r="5058" spans="1:37" x14ac:dyDescent="0.2">
      <c r="A5058" t="str">
        <f>"20200111155957091"</f>
        <v>20200111155957091</v>
      </c>
      <c r="B5058" t="str">
        <f>"1578729597085397"</f>
        <v>1578729597085397</v>
      </c>
      <c r="C5058" t="s">
        <v>37</v>
      </c>
      <c r="D5058">
        <v>5.8251140000000001</v>
      </c>
      <c r="E5058">
        <v>0.45003769999999998</v>
      </c>
      <c r="F5058" t="s">
        <v>39</v>
      </c>
      <c r="G5058">
        <v>-346.07619999999997</v>
      </c>
      <c r="H5058" s="1">
        <v>-3.0076880000000001E-6</v>
      </c>
      <c r="I5058">
        <v>24.6602</v>
      </c>
      <c r="J5058">
        <v>-365.84109999999998</v>
      </c>
      <c r="K5058">
        <v>1.1052599999999999</v>
      </c>
      <c r="L5058">
        <v>21.520389999999999</v>
      </c>
      <c r="M5058">
        <v>0.99914840000000005</v>
      </c>
      <c r="N5058">
        <v>0</v>
      </c>
      <c r="O5058">
        <v>-3.8407589999999998E-2</v>
      </c>
      <c r="P5058">
        <v>0.99998180000000003</v>
      </c>
      <c r="Q5058">
        <v>-6.0399210000000002E-3</v>
      </c>
      <c r="R5058">
        <v>6.4571780000000003E-4</v>
      </c>
      <c r="S5058">
        <v>2.9987490000000001</v>
      </c>
      <c r="T5058">
        <v>-0.1658047</v>
      </c>
      <c r="U5058">
        <v>0.46984860000000001</v>
      </c>
      <c r="V5058">
        <v>-3.9073209999999997E-2</v>
      </c>
      <c r="W5058">
        <v>8.9690109999999903E-3</v>
      </c>
      <c r="X5058">
        <v>0.99919609999999903</v>
      </c>
      <c r="Y5058">
        <v>-0.19228339999999999</v>
      </c>
      <c r="Z5058">
        <v>7.3901849999999996E-3</v>
      </c>
      <c r="AA5058">
        <v>0.98131159999999995</v>
      </c>
      <c r="AB5058">
        <v>27</v>
      </c>
      <c r="AC5058">
        <v>19.764900000000001</v>
      </c>
      <c r="AD5058">
        <v>-1.1052630076879999</v>
      </c>
      <c r="AE5058">
        <v>3.1398100000000002</v>
      </c>
      <c r="AF5058">
        <v>-3.8848519597580098</v>
      </c>
      <c r="AG5058">
        <v>-1.1052630076879999</v>
      </c>
      <c r="AH5058">
        <v>19.570015951683398</v>
      </c>
      <c r="AI5058">
        <v>93.170740778160095</v>
      </c>
      <c r="AJ5058">
        <v>101.227844576148</v>
      </c>
      <c r="AK5058">
        <v>19.982472454992699</v>
      </c>
    </row>
    <row r="5059" spans="1:37" x14ac:dyDescent="0.2">
      <c r="A5059" t="str">
        <f>"20200111155957103"</f>
        <v>20200111155957103</v>
      </c>
      <c r="B5059" t="str">
        <f>"1578729597095156"</f>
        <v>1578729597095156</v>
      </c>
      <c r="C5059" t="s">
        <v>37</v>
      </c>
      <c r="D5059">
        <v>5.7054429999999998</v>
      </c>
      <c r="E5059">
        <v>0.45045230000000003</v>
      </c>
      <c r="F5059" t="s">
        <v>39</v>
      </c>
      <c r="G5059">
        <v>-350.12869999999998</v>
      </c>
      <c r="H5059" s="1">
        <v>-4.9492939999999996E-6</v>
      </c>
      <c r="I5059">
        <v>23.658660000000001</v>
      </c>
      <c r="J5059">
        <v>-365.67070000000001</v>
      </c>
      <c r="K5059">
        <v>1.1052599999999999</v>
      </c>
      <c r="L5059">
        <v>21.514530000000001</v>
      </c>
      <c r="M5059">
        <v>0.99917350000000005</v>
      </c>
      <c r="N5059">
        <v>0</v>
      </c>
      <c r="O5059">
        <v>-3.7750550000000001E-2</v>
      </c>
      <c r="P5059">
        <v>0.99998359999999997</v>
      </c>
      <c r="Q5059">
        <v>-5.6484079999999997E-3</v>
      </c>
      <c r="R5059">
        <v>1.050879E-3</v>
      </c>
      <c r="S5059">
        <v>2.998535</v>
      </c>
      <c r="T5059">
        <v>-0.21092739999999999</v>
      </c>
      <c r="U5059">
        <v>0.40808109999999997</v>
      </c>
      <c r="V5059">
        <v>-3.8821029999999999E-2</v>
      </c>
      <c r="W5059">
        <v>9.3571409999999994E-3</v>
      </c>
      <c r="X5059">
        <v>0.99920239999999905</v>
      </c>
      <c r="Y5059">
        <v>-0.17165559999999999</v>
      </c>
      <c r="Z5059">
        <v>8.6440319999999994E-3</v>
      </c>
      <c r="AA5059">
        <v>0.98511909999999903</v>
      </c>
      <c r="AB5059">
        <v>27</v>
      </c>
      <c r="AC5059">
        <v>15.542</v>
      </c>
      <c r="AD5059">
        <v>-1.1052649492940001</v>
      </c>
      <c r="AE5059">
        <v>2.1441300000000001</v>
      </c>
      <c r="AF5059">
        <v>-2.7159083741743402</v>
      </c>
      <c r="AG5059">
        <v>-1.1052649492940001</v>
      </c>
      <c r="AH5059">
        <v>15.373670555257</v>
      </c>
      <c r="AI5059">
        <v>94.049618957794607</v>
      </c>
      <c r="AJ5059">
        <v>100.018488776848</v>
      </c>
      <c r="AK5059">
        <v>15.650799188751501</v>
      </c>
    </row>
    <row r="5060" spans="1:37" x14ac:dyDescent="0.2">
      <c r="A5060" t="str">
        <f>"20200111155957118"</f>
        <v>20200111155957118</v>
      </c>
      <c r="B5060" t="str">
        <f>"1578729597115652"</f>
        <v>1578729597115652</v>
      </c>
      <c r="C5060" t="s">
        <v>37</v>
      </c>
      <c r="D5060">
        <v>5.7310919999999896</v>
      </c>
      <c r="E5060">
        <v>0.451001599999999</v>
      </c>
      <c r="F5060" t="s">
        <v>39</v>
      </c>
      <c r="G5060">
        <v>-350.93279999999999</v>
      </c>
      <c r="H5060" s="1">
        <v>-4.6497569999999998E-6</v>
      </c>
      <c r="I5060">
        <v>23.51267</v>
      </c>
      <c r="J5060">
        <v>-365.51229999999998</v>
      </c>
      <c r="K5060">
        <v>1.1052599999999999</v>
      </c>
      <c r="L5060">
        <v>21.509250000000002</v>
      </c>
      <c r="M5060">
        <v>0.99919650000000004</v>
      </c>
      <c r="N5060">
        <v>0</v>
      </c>
      <c r="O5060">
        <v>-3.7139400000000003E-2</v>
      </c>
      <c r="P5060">
        <v>0.99998529999999997</v>
      </c>
      <c r="Q5060">
        <v>-5.2822869999999897E-3</v>
      </c>
      <c r="R5060">
        <v>1.381586E-3</v>
      </c>
      <c r="S5060">
        <v>2.9983219999999999</v>
      </c>
      <c r="T5060">
        <v>-0.22485859999999999</v>
      </c>
      <c r="U5060">
        <v>0.40652470000000002</v>
      </c>
      <c r="V5060">
        <v>-3.8541220000000001E-2</v>
      </c>
      <c r="W5060">
        <v>9.7204749999999993E-3</v>
      </c>
      <c r="X5060">
        <v>0.99920969999999998</v>
      </c>
      <c r="Y5060">
        <v>-0.1704956</v>
      </c>
      <c r="Z5060">
        <v>9.1255429999999998E-3</v>
      </c>
      <c r="AA5060">
        <v>0.98531619999999998</v>
      </c>
      <c r="AB5060">
        <v>27</v>
      </c>
      <c r="AC5060">
        <v>14.5794999999999</v>
      </c>
      <c r="AD5060">
        <v>-1.105264649757</v>
      </c>
      <c r="AE5060">
        <v>2.00341999999999</v>
      </c>
      <c r="AF5060">
        <v>-2.5293061354158701</v>
      </c>
      <c r="AG5060">
        <v>-1.105264649757</v>
      </c>
      <c r="AH5060">
        <v>14.4137233180337</v>
      </c>
      <c r="AI5060">
        <v>94.319199500686594</v>
      </c>
      <c r="AJ5060">
        <v>99.952873969787404</v>
      </c>
      <c r="AK5060">
        <v>14.675640339061299</v>
      </c>
    </row>
    <row r="5061" spans="1:37" x14ac:dyDescent="0.2">
      <c r="A5061" t="str">
        <f>"20200111155957136"</f>
        <v>20200111155957136</v>
      </c>
      <c r="B5061" t="str">
        <f>"1578729597125412"</f>
        <v>1578729597125412</v>
      </c>
      <c r="C5061" t="s">
        <v>37</v>
      </c>
      <c r="D5061">
        <v>5.7838269999999996</v>
      </c>
      <c r="E5061">
        <v>0.45183990000000002</v>
      </c>
      <c r="F5061" t="s">
        <v>39</v>
      </c>
      <c r="G5061">
        <v>-351.79750000000001</v>
      </c>
      <c r="H5061" s="1">
        <v>-4.3277409999999997E-6</v>
      </c>
      <c r="I5061">
        <v>23.356210000000001</v>
      </c>
      <c r="J5061">
        <v>-365.30040000000002</v>
      </c>
      <c r="K5061">
        <v>1.105267</v>
      </c>
      <c r="L5061">
        <v>21.502289999999999</v>
      </c>
      <c r="M5061">
        <v>0.99922639999999996</v>
      </c>
      <c r="N5061">
        <v>0</v>
      </c>
      <c r="O5061">
        <v>-3.6321079999999999E-2</v>
      </c>
      <c r="P5061">
        <v>0.99998779999999998</v>
      </c>
      <c r="Q5061">
        <v>-4.6215620000000001E-3</v>
      </c>
      <c r="R5061">
        <v>1.745997E-3</v>
      </c>
      <c r="S5061">
        <v>2.9981689999999999</v>
      </c>
      <c r="T5061">
        <v>-0.241619</v>
      </c>
      <c r="U5061">
        <v>0.40377809999999997</v>
      </c>
      <c r="V5061">
        <v>-3.8087849999999999E-2</v>
      </c>
      <c r="W5061">
        <v>1.0377050000000001E-2</v>
      </c>
      <c r="X5061">
        <v>0.99922049999999996</v>
      </c>
      <c r="Y5061">
        <v>-0.1687284</v>
      </c>
      <c r="Z5061">
        <v>9.6683419999999999E-3</v>
      </c>
      <c r="AA5061">
        <v>0.98561520000000002</v>
      </c>
      <c r="AB5061">
        <v>27</v>
      </c>
      <c r="AC5061">
        <v>13.5029</v>
      </c>
      <c r="AD5061">
        <v>-1.105271327741</v>
      </c>
      <c r="AE5061">
        <v>1.85392</v>
      </c>
      <c r="AF5061">
        <v>-2.32788356982753</v>
      </c>
      <c r="AG5061">
        <v>-1.105271327741</v>
      </c>
      <c r="AH5061">
        <v>13.338925282401901</v>
      </c>
      <c r="AI5061">
        <v>94.666530038078903</v>
      </c>
      <c r="AJ5061">
        <v>99.899451574535306</v>
      </c>
      <c r="AK5061">
        <v>13.5855656603654</v>
      </c>
    </row>
    <row r="5062" spans="1:37" x14ac:dyDescent="0.2">
      <c r="A5062" t="str">
        <f>"20200111155957149"</f>
        <v>20200111155957149</v>
      </c>
      <c r="B5062" t="str">
        <f>"1578729597145908"</f>
        <v>1578729597145908</v>
      </c>
      <c r="C5062" t="s">
        <v>37</v>
      </c>
      <c r="D5062">
        <v>5.8338939999999999</v>
      </c>
      <c r="E5062">
        <v>0.4528469</v>
      </c>
      <c r="F5062" t="s">
        <v>39</v>
      </c>
      <c r="G5062">
        <v>-351.27969999999999</v>
      </c>
      <c r="H5062" s="1">
        <v>-4.5054219999999901E-6</v>
      </c>
      <c r="I5062">
        <v>23.364550000000001</v>
      </c>
      <c r="J5062">
        <v>-365.140999999999</v>
      </c>
      <c r="K5062">
        <v>1.10527</v>
      </c>
      <c r="L5062">
        <v>21.497160000000001</v>
      </c>
      <c r="M5062">
        <v>0.99924869999999899</v>
      </c>
      <c r="N5062">
        <v>0</v>
      </c>
      <c r="O5062">
        <v>-3.5705639999999997E-2</v>
      </c>
      <c r="P5062">
        <v>0.99998929999999997</v>
      </c>
      <c r="Q5062">
        <v>-4.2149800000000001E-3</v>
      </c>
      <c r="R5062">
        <v>2.0010470000000002E-3</v>
      </c>
      <c r="S5062">
        <v>2.9982599999999899</v>
      </c>
      <c r="T5062">
        <v>-0.23635789999999901</v>
      </c>
      <c r="U5062">
        <v>0.39825440000000001</v>
      </c>
      <c r="V5062">
        <v>-3.772843E-2</v>
      </c>
      <c r="W5062">
        <v>1.07809E-2</v>
      </c>
      <c r="X5062">
        <v>0.99922979999999995</v>
      </c>
      <c r="Y5062">
        <v>-0.16636999999999999</v>
      </c>
      <c r="Z5062">
        <v>9.3186280000000007E-3</v>
      </c>
      <c r="AA5062">
        <v>0.98601939999999999</v>
      </c>
      <c r="AB5062">
        <v>27</v>
      </c>
      <c r="AC5062">
        <v>13.8612999999999</v>
      </c>
      <c r="AD5062">
        <v>-1.1052745054219999</v>
      </c>
      <c r="AE5062">
        <v>1.8673900000000001</v>
      </c>
      <c r="AF5062">
        <v>-2.3465281179248398</v>
      </c>
      <c r="AG5062">
        <v>-1.1052745054219999</v>
      </c>
      <c r="AH5062">
        <v>13.700219815824701</v>
      </c>
      <c r="AI5062">
        <v>94.546465205610602</v>
      </c>
      <c r="AJ5062">
        <v>99.719123859689006</v>
      </c>
      <c r="AK5062">
        <v>13.943595266016001</v>
      </c>
    </row>
    <row r="5063" spans="1:37" x14ac:dyDescent="0.2">
      <c r="A5063" t="str">
        <f>"20200111155957169"</f>
        <v>20200111155957169</v>
      </c>
      <c r="B5063" t="str">
        <f>"1578729597165427"</f>
        <v>1578729597165427</v>
      </c>
      <c r="C5063" t="s">
        <v>37</v>
      </c>
      <c r="D5063">
        <v>5.6951890000000001</v>
      </c>
      <c r="E5063">
        <v>0.45270709999999997</v>
      </c>
      <c r="F5063" t="s">
        <v>39</v>
      </c>
      <c r="G5063">
        <v>-351.28019999999998</v>
      </c>
      <c r="H5063" s="1">
        <v>-4.4947119999999998E-6</v>
      </c>
      <c r="I5063">
        <v>23.30519</v>
      </c>
      <c r="J5063">
        <v>-364.91160000000002</v>
      </c>
      <c r="K5063">
        <v>1.105275</v>
      </c>
      <c r="L5063">
        <v>21.48996</v>
      </c>
      <c r="M5063">
        <v>0.99928009999999901</v>
      </c>
      <c r="N5063">
        <v>0</v>
      </c>
      <c r="O5063">
        <v>-3.4818660000000001E-2</v>
      </c>
      <c r="P5063">
        <v>0.99999309999999997</v>
      </c>
      <c r="Q5063">
        <v>-2.7246229999999998E-3</v>
      </c>
      <c r="R5063">
        <v>2.5595829999999998E-3</v>
      </c>
      <c r="S5063">
        <v>2.99823</v>
      </c>
      <c r="T5063">
        <v>-0.23908260000000001</v>
      </c>
      <c r="U5063">
        <v>0.3911133</v>
      </c>
      <c r="V5063">
        <v>-3.7402360000000003E-2</v>
      </c>
      <c r="W5063">
        <v>1.2266630000000001E-2</v>
      </c>
      <c r="X5063">
        <v>0.99922500000000003</v>
      </c>
      <c r="Y5063">
        <v>-0.1631851</v>
      </c>
      <c r="Z5063">
        <v>9.2306060000000006E-3</v>
      </c>
      <c r="AA5063">
        <v>0.98655230000000005</v>
      </c>
      <c r="AB5063">
        <v>27</v>
      </c>
      <c r="AC5063">
        <v>13.631399999999999</v>
      </c>
      <c r="AD5063">
        <v>-1.1052794947119999</v>
      </c>
      <c r="AE5063">
        <v>1.8152299999999999</v>
      </c>
      <c r="AF5063">
        <v>-2.2741193201363901</v>
      </c>
      <c r="AG5063">
        <v>-1.1052794947119999</v>
      </c>
      <c r="AH5063">
        <v>13.4728873924378</v>
      </c>
      <c r="AI5063">
        <v>94.6247603494554</v>
      </c>
      <c r="AJ5063">
        <v>99.580778042912598</v>
      </c>
      <c r="AK5063">
        <v>13.708098195335401</v>
      </c>
    </row>
    <row r="5064" spans="1:37" x14ac:dyDescent="0.2">
      <c r="A5064" t="str">
        <f>"20200111155957191"</f>
        <v>20200111155957191</v>
      </c>
      <c r="B5064" t="str">
        <f>"1578729597185455"</f>
        <v>1578729597185455</v>
      </c>
      <c r="C5064" t="s">
        <v>37</v>
      </c>
      <c r="D5064">
        <v>5.8552669999999898</v>
      </c>
      <c r="E5064">
        <v>0.453092099999999</v>
      </c>
      <c r="F5064" t="s">
        <v>39</v>
      </c>
      <c r="G5064">
        <v>-351.10820000000001</v>
      </c>
      <c r="H5064" s="1">
        <v>-4.5531719999999999E-6</v>
      </c>
      <c r="I5064">
        <v>23.304739999999999</v>
      </c>
      <c r="J5064">
        <v>-364.64449999999999</v>
      </c>
      <c r="K5064">
        <v>1.1052759999999999</v>
      </c>
      <c r="L5064">
        <v>21.481809999999999</v>
      </c>
      <c r="M5064">
        <v>0.99931559999999897</v>
      </c>
      <c r="N5064">
        <v>0</v>
      </c>
      <c r="O5064">
        <v>-3.3785889999999999E-2</v>
      </c>
      <c r="P5064">
        <v>0.99999490000000002</v>
      </c>
      <c r="Q5064">
        <v>-1.054946E-3</v>
      </c>
      <c r="R5064">
        <v>3.0321429999999902E-3</v>
      </c>
      <c r="S5064">
        <v>2.998383</v>
      </c>
      <c r="T5064">
        <v>-0.24009029999999901</v>
      </c>
      <c r="U5064">
        <v>0.39422610000000002</v>
      </c>
      <c r="V5064">
        <v>-3.6844559999999998E-2</v>
      </c>
      <c r="W5064">
        <v>1.3931600000000001E-2</v>
      </c>
      <c r="X5064">
        <v>0.99922389999999905</v>
      </c>
      <c r="Y5064">
        <v>-0.16316429999999901</v>
      </c>
      <c r="Z5064">
        <v>9.1852119999999999E-3</v>
      </c>
      <c r="AA5064">
        <v>0.98655619999999999</v>
      </c>
      <c r="AB5064">
        <v>27</v>
      </c>
      <c r="AC5064">
        <v>13.536299999999899</v>
      </c>
      <c r="AD5064">
        <v>-1.105280553172</v>
      </c>
      <c r="AE5064">
        <v>1.8229299999999899</v>
      </c>
      <c r="AF5064">
        <v>-2.26444821141218</v>
      </c>
      <c r="AG5064">
        <v>-1.105280553172</v>
      </c>
      <c r="AH5064">
        <v>13.3793597535781</v>
      </c>
      <c r="AI5064">
        <v>94.6566039583806</v>
      </c>
      <c r="AJ5064">
        <v>99.606240234061303</v>
      </c>
      <c r="AK5064">
        <v>13.614574478075101</v>
      </c>
    </row>
    <row r="5065" spans="1:37" x14ac:dyDescent="0.2">
      <c r="A5065" t="str">
        <f>"20200111155957205"</f>
        <v>20200111155957205</v>
      </c>
      <c r="B5065" t="str">
        <f>"1578729597195215"</f>
        <v>1578729597195215</v>
      </c>
      <c r="C5065" t="s">
        <v>37</v>
      </c>
      <c r="D5065">
        <v>5.6303429999999999</v>
      </c>
      <c r="E5065">
        <v>0.45280199999999998</v>
      </c>
      <c r="F5065" t="s">
        <v>39</v>
      </c>
      <c r="G5065">
        <v>-350.64089999999999</v>
      </c>
      <c r="H5065" s="1">
        <v>-4.7142660000000002E-6</v>
      </c>
      <c r="I5065">
        <v>23.316389999999998</v>
      </c>
      <c r="J5065">
        <v>-364.4742</v>
      </c>
      <c r="K5065">
        <v>1.1052789999999999</v>
      </c>
      <c r="L5065">
        <v>21.476779999999899</v>
      </c>
      <c r="M5065">
        <v>0.9993379</v>
      </c>
      <c r="N5065">
        <v>0</v>
      </c>
      <c r="O5065">
        <v>-3.3127299999999998E-2</v>
      </c>
      <c r="P5065">
        <v>0.99999389999999999</v>
      </c>
      <c r="Q5065">
        <v>-4.0605289999999999E-4</v>
      </c>
      <c r="R5065">
        <v>3.493969E-3</v>
      </c>
      <c r="S5065">
        <v>2.9985659999999998</v>
      </c>
      <c r="T5065">
        <v>-0.23667199999999999</v>
      </c>
      <c r="U5065">
        <v>0.3928528</v>
      </c>
      <c r="V5065">
        <v>-3.6648390000000003E-2</v>
      </c>
      <c r="W5065">
        <v>1.457718E-2</v>
      </c>
      <c r="X5065">
        <v>0.9992219</v>
      </c>
      <c r="Y5065">
        <v>-0.1620849</v>
      </c>
      <c r="Z5065">
        <v>8.960483E-3</v>
      </c>
      <c r="AA5065">
        <v>0.98673609999999901</v>
      </c>
      <c r="AB5065">
        <v>26</v>
      </c>
      <c r="AC5065">
        <v>13.833299999999999</v>
      </c>
      <c r="AD5065">
        <v>-1.1052837142659999</v>
      </c>
      <c r="AE5065">
        <v>1.83961</v>
      </c>
      <c r="AF5065">
        <v>-2.28259288522207</v>
      </c>
      <c r="AG5065">
        <v>-1.1052837142659999</v>
      </c>
      <c r="AH5065">
        <v>13.678948031378001</v>
      </c>
      <c r="AI5065">
        <v>94.556829704537506</v>
      </c>
      <c r="AJ5065">
        <v>99.473603426421306</v>
      </c>
      <c r="AK5065">
        <v>13.9120631688412</v>
      </c>
    </row>
    <row r="5066" spans="1:37" x14ac:dyDescent="0.2">
      <c r="A5066" t="str">
        <f>"20200111155957217"</f>
        <v>20200111155957217</v>
      </c>
      <c r="B5066" t="str">
        <f>"1578729597215712"</f>
        <v>1578729597215712</v>
      </c>
      <c r="C5066" t="s">
        <v>37</v>
      </c>
      <c r="D5066">
        <v>5.7418769999999997</v>
      </c>
      <c r="E5066">
        <v>0.4526327</v>
      </c>
      <c r="F5066" t="s">
        <v>39</v>
      </c>
      <c r="G5066">
        <v>-350.4966</v>
      </c>
      <c r="H5066" s="1">
        <v>-4.7650159999999997E-6</v>
      </c>
      <c r="I5066">
        <v>23.32574</v>
      </c>
      <c r="J5066">
        <v>-364.3297</v>
      </c>
      <c r="K5066">
        <v>1.105278</v>
      </c>
      <c r="L5066">
        <v>21.4726</v>
      </c>
      <c r="M5066">
        <v>0.99935620000000003</v>
      </c>
      <c r="N5066">
        <v>0</v>
      </c>
      <c r="O5066">
        <v>-3.2568479999999997E-2</v>
      </c>
      <c r="P5066">
        <v>0.99999319999999903</v>
      </c>
      <c r="Q5066" s="1">
        <v>-9.1381369999999993E-6</v>
      </c>
      <c r="R5066">
        <v>3.6870559999999902E-3</v>
      </c>
      <c r="S5066">
        <v>2.998535</v>
      </c>
      <c r="T5066">
        <v>-0.23711119999999999</v>
      </c>
      <c r="U5066">
        <v>0.39666750000000001</v>
      </c>
      <c r="V5066">
        <v>-3.6283200000000002E-2</v>
      </c>
      <c r="W5066">
        <v>1.4971480000000001E-2</v>
      </c>
      <c r="X5066">
        <v>0.99922939999999905</v>
      </c>
      <c r="Y5066">
        <v>-0.16276589999999999</v>
      </c>
      <c r="Z5066">
        <v>8.9592259999999903E-3</v>
      </c>
      <c r="AA5066">
        <v>0.9866241</v>
      </c>
      <c r="AB5066">
        <v>26</v>
      </c>
      <c r="AC5066">
        <v>13.8331</v>
      </c>
      <c r="AD5066">
        <v>-1.105282765016</v>
      </c>
      <c r="AE5066">
        <v>1.85314</v>
      </c>
      <c r="AF5066">
        <v>-2.2883788194406298</v>
      </c>
      <c r="AG5066">
        <v>-1.105282765016</v>
      </c>
      <c r="AH5066">
        <v>13.6796052754655</v>
      </c>
      <c r="AI5066">
        <v>94.556301780091502</v>
      </c>
      <c r="AJ5066">
        <v>99.496732293700106</v>
      </c>
      <c r="AK5066">
        <v>13.9136597667346</v>
      </c>
    </row>
    <row r="5067" spans="1:37" x14ac:dyDescent="0.2">
      <c r="A5067" t="str">
        <f>"20200111155957236"</f>
        <v>20200111155957236</v>
      </c>
      <c r="B5067" t="str">
        <f>"1578729597225470"</f>
        <v>1578729597225470</v>
      </c>
      <c r="C5067" t="s">
        <v>37</v>
      </c>
      <c r="D5067">
        <v>5.8029820000000001</v>
      </c>
      <c r="E5067">
        <v>0.4526693</v>
      </c>
      <c r="F5067" t="s">
        <v>39</v>
      </c>
      <c r="G5067">
        <v>-350.61950000000002</v>
      </c>
      <c r="H5067" s="1">
        <v>-4.7180910000000002E-6</v>
      </c>
      <c r="I5067">
        <v>23.296939999999999</v>
      </c>
      <c r="J5067">
        <v>-364.1146</v>
      </c>
      <c r="K5067">
        <v>1.1052789999999999</v>
      </c>
      <c r="L5067">
        <v>21.466550000000002</v>
      </c>
      <c r="M5067">
        <v>0.99938300000000002</v>
      </c>
      <c r="N5067">
        <v>0</v>
      </c>
      <c r="O5067">
        <v>-3.1735619999999999E-2</v>
      </c>
      <c r="P5067">
        <v>0.99999380000000004</v>
      </c>
      <c r="Q5067">
        <v>1.917202E-4</v>
      </c>
      <c r="R5067">
        <v>3.5434540000000001E-3</v>
      </c>
      <c r="S5067">
        <v>2.998535</v>
      </c>
      <c r="T5067">
        <v>-0.2417347</v>
      </c>
      <c r="U5067">
        <v>0.39901729999999902</v>
      </c>
      <c r="V5067">
        <v>-3.5307270000000002E-2</v>
      </c>
      <c r="W5067">
        <v>1.516934E-2</v>
      </c>
      <c r="X5067">
        <v>0.99926139999999997</v>
      </c>
      <c r="Y5067">
        <v>-0.16268299999999999</v>
      </c>
      <c r="Z5067">
        <v>9.0627950000000002E-3</v>
      </c>
      <c r="AA5067">
        <v>0.98663679999999998</v>
      </c>
      <c r="AB5067">
        <v>26</v>
      </c>
      <c r="AC5067">
        <v>13.4950999999999</v>
      </c>
      <c r="AD5067">
        <v>-1.105283718091</v>
      </c>
      <c r="AE5067">
        <v>1.83038999999999</v>
      </c>
      <c r="AF5067">
        <v>-2.2430172493622602</v>
      </c>
      <c r="AG5067">
        <v>-1.105283718091</v>
      </c>
      <c r="AH5067">
        <v>13.3423218091291</v>
      </c>
      <c r="AI5067">
        <v>94.670353363561304</v>
      </c>
      <c r="AJ5067">
        <v>99.542930271733994</v>
      </c>
      <c r="AK5067">
        <v>13.574620795321501</v>
      </c>
    </row>
    <row r="5068" spans="1:37" x14ac:dyDescent="0.2">
      <c r="A5068" t="str">
        <f>"20200111155957249"</f>
        <v>20200111155957249</v>
      </c>
      <c r="B5068" t="str">
        <f>"1578729597245968"</f>
        <v>1578729597245968</v>
      </c>
      <c r="C5068" t="s">
        <v>37</v>
      </c>
      <c r="D5068">
        <v>5.7355460000000003</v>
      </c>
      <c r="E5068">
        <v>0.4524764</v>
      </c>
      <c r="F5068" t="s">
        <v>39</v>
      </c>
      <c r="G5068">
        <v>-350.44959999999998</v>
      </c>
      <c r="H5068" s="1">
        <v>-4.773241E-6</v>
      </c>
      <c r="I5068">
        <v>23.2819</v>
      </c>
      <c r="J5068">
        <v>-363.95519999999999</v>
      </c>
      <c r="K5068">
        <v>1.1052770000000001</v>
      </c>
      <c r="L5068">
        <v>21.462160000000001</v>
      </c>
      <c r="M5068">
        <v>0.99940249999999997</v>
      </c>
      <c r="N5068">
        <v>0</v>
      </c>
      <c r="O5068">
        <v>-3.1119339999999999E-2</v>
      </c>
      <c r="P5068">
        <v>0.99999340000000003</v>
      </c>
      <c r="Q5068">
        <v>2.225935E-4</v>
      </c>
      <c r="R5068">
        <v>3.718009E-3</v>
      </c>
      <c r="S5068">
        <v>2.9986269999999999</v>
      </c>
      <c r="T5068">
        <v>-0.2425426</v>
      </c>
      <c r="U5068">
        <v>0.39837649999999902</v>
      </c>
      <c r="V5068">
        <v>-3.4865550000000002E-2</v>
      </c>
      <c r="W5068">
        <v>1.5197469999999999E-2</v>
      </c>
      <c r="X5068">
        <v>0.99927649999999901</v>
      </c>
      <c r="Y5068">
        <v>-0.16186389999999901</v>
      </c>
      <c r="Z5068">
        <v>9.0103240000000001E-3</v>
      </c>
      <c r="AA5068">
        <v>0.98677190000000004</v>
      </c>
      <c r="AB5068">
        <v>26</v>
      </c>
      <c r="AC5068">
        <v>13.505599999999999</v>
      </c>
      <c r="AD5068">
        <v>-1.1052817732410001</v>
      </c>
      <c r="AE5068">
        <v>1.8197399999999999</v>
      </c>
      <c r="AF5068">
        <v>-2.2245578656702198</v>
      </c>
      <c r="AG5068">
        <v>-1.1052817732410001</v>
      </c>
      <c r="AH5068">
        <v>13.3545733960253</v>
      </c>
      <c r="AI5068">
        <v>94.667241557109193</v>
      </c>
      <c r="AJ5068">
        <v>99.457294632684196</v>
      </c>
      <c r="AK5068">
        <v>13.5836275009954</v>
      </c>
    </row>
    <row r="5069" spans="1:37" x14ac:dyDescent="0.2">
      <c r="A5069" t="str">
        <f>"20200111155957268"</f>
        <v>20200111155957268</v>
      </c>
      <c r="B5069" t="str">
        <f>"1578729597265487"</f>
        <v>1578729597265487</v>
      </c>
      <c r="C5069" t="s">
        <v>37</v>
      </c>
      <c r="D5069">
        <v>5.8200560000000001</v>
      </c>
      <c r="E5069">
        <v>0.45285999999999998</v>
      </c>
      <c r="F5069" t="s">
        <v>39</v>
      </c>
      <c r="G5069">
        <v>-350.56790000000001</v>
      </c>
      <c r="H5069" s="1">
        <v>-4.7274629999999997E-6</v>
      </c>
      <c r="I5069">
        <v>23.25074</v>
      </c>
      <c r="J5069">
        <v>-363.74299999999999</v>
      </c>
      <c r="K5069">
        <v>1.1052709999999999</v>
      </c>
      <c r="L5069">
        <v>21.45645</v>
      </c>
      <c r="M5069">
        <v>0.99942770000000003</v>
      </c>
      <c r="N5069">
        <v>0</v>
      </c>
      <c r="O5069">
        <v>-3.029768E-2</v>
      </c>
      <c r="P5069">
        <v>0.99999300000000002</v>
      </c>
      <c r="Q5069">
        <v>3.4420940000000003E-4</v>
      </c>
      <c r="R5069">
        <v>3.73491599999999E-3</v>
      </c>
      <c r="S5069">
        <v>2.9985659999999998</v>
      </c>
      <c r="T5069">
        <v>-0.247566799999999</v>
      </c>
      <c r="U5069">
        <v>0.40063480000000001</v>
      </c>
      <c r="V5069">
        <v>-3.4060689999999998E-2</v>
      </c>
      <c r="W5069">
        <v>1.531571E-2</v>
      </c>
      <c r="X5069">
        <v>0.99930239999999904</v>
      </c>
      <c r="Y5069">
        <v>-0.16176270000000001</v>
      </c>
      <c r="Z5069">
        <v>9.1244629999999993E-3</v>
      </c>
      <c r="AA5069">
        <v>0.98678750000000004</v>
      </c>
      <c r="AB5069">
        <v>26</v>
      </c>
      <c r="AC5069">
        <v>13.1751</v>
      </c>
      <c r="AD5069">
        <v>-1.1052757274629901</v>
      </c>
      <c r="AE5069">
        <v>1.7942899999999999</v>
      </c>
      <c r="AF5069">
        <v>-2.1776396361583599</v>
      </c>
      <c r="AG5069">
        <v>-1.1052757274629901</v>
      </c>
      <c r="AH5069">
        <v>13.024685986400801</v>
      </c>
      <c r="AI5069">
        <v>94.784407694289598</v>
      </c>
      <c r="AJ5069">
        <v>99.491675508061903</v>
      </c>
      <c r="AK5069">
        <v>13.251648722443299</v>
      </c>
    </row>
    <row r="5070" spans="1:37" x14ac:dyDescent="0.2">
      <c r="A5070" t="str">
        <f>"20200111155957292"</f>
        <v>20200111155957292</v>
      </c>
      <c r="B5070" t="str">
        <f>"1578729597285516"</f>
        <v>1578729597285516</v>
      </c>
      <c r="C5070" t="s">
        <v>37</v>
      </c>
      <c r="D5070">
        <v>6.3050139999999999</v>
      </c>
      <c r="E5070">
        <v>0.4532292</v>
      </c>
      <c r="F5070" t="s">
        <v>39</v>
      </c>
      <c r="G5070">
        <v>-350.47019999999998</v>
      </c>
      <c r="H5070" s="1">
        <v>-4.7547319999999996E-6</v>
      </c>
      <c r="I5070">
        <v>23.217020000000002</v>
      </c>
      <c r="J5070">
        <v>-363.46280000000002</v>
      </c>
      <c r="K5070">
        <v>1.1052690000000001</v>
      </c>
      <c r="L5070">
        <v>21.449189999999899</v>
      </c>
      <c r="M5070">
        <v>0.99946019999999902</v>
      </c>
      <c r="N5070">
        <v>0</v>
      </c>
      <c r="O5070">
        <v>-2.9212459999999999E-2</v>
      </c>
      <c r="P5070">
        <v>0.99999059999999995</v>
      </c>
      <c r="Q5070">
        <v>-4.9813280000000004E-4</v>
      </c>
      <c r="R5070">
        <v>4.2947430000000002E-3</v>
      </c>
      <c r="S5070">
        <v>2.998596</v>
      </c>
      <c r="T5070">
        <v>-0.24970400000000001</v>
      </c>
      <c r="U5070">
        <v>0.39776609999999901</v>
      </c>
      <c r="V5070">
        <v>-3.3533130000000001E-2</v>
      </c>
      <c r="W5070">
        <v>1.4468470000000001E-2</v>
      </c>
      <c r="X5070">
        <v>0.99933280000000002</v>
      </c>
      <c r="Y5070">
        <v>-0.1597614</v>
      </c>
      <c r="Z5070">
        <v>9.0307259999999993E-3</v>
      </c>
      <c r="AA5070">
        <v>0.98711439999999995</v>
      </c>
      <c r="AB5070">
        <v>26</v>
      </c>
      <c r="AC5070">
        <v>12.992599999999999</v>
      </c>
      <c r="AD5070">
        <v>-1.105273754732</v>
      </c>
      <c r="AE5070">
        <v>1.76783</v>
      </c>
      <c r="AF5070">
        <v>-2.13151903124534</v>
      </c>
      <c r="AG5070">
        <v>-1.105273754732</v>
      </c>
      <c r="AH5070">
        <v>12.844144178024999</v>
      </c>
      <c r="AI5070">
        <v>94.852302583610495</v>
      </c>
      <c r="AJ5070">
        <v>99.422509964906894</v>
      </c>
      <c r="AK5070">
        <v>13.0666385547069</v>
      </c>
    </row>
    <row r="5071" spans="1:37" x14ac:dyDescent="0.2">
      <c r="A5071" t="str">
        <f>"20200111155957306"</f>
        <v>20200111155957306</v>
      </c>
      <c r="B5071" t="str">
        <f>"1578729597295276"</f>
        <v>1578729597295276</v>
      </c>
      <c r="C5071" t="s">
        <v>37</v>
      </c>
      <c r="D5071">
        <v>5.8142430000000003</v>
      </c>
      <c r="E5071">
        <v>0.45364449999999901</v>
      </c>
      <c r="F5071" t="s">
        <v>39</v>
      </c>
      <c r="G5071">
        <v>-350.40710000000001</v>
      </c>
      <c r="H5071" s="1">
        <v>-4.7689649999999997E-6</v>
      </c>
      <c r="I5071">
        <v>23.176279999999998</v>
      </c>
      <c r="J5071">
        <v>-363.30189999999999</v>
      </c>
      <c r="K5071">
        <v>1.1052649999999999</v>
      </c>
      <c r="L5071">
        <v>21.44519</v>
      </c>
      <c r="M5071">
        <v>0.99947830000000004</v>
      </c>
      <c r="N5071">
        <v>0</v>
      </c>
      <c r="O5071">
        <v>-2.8589509999999999E-2</v>
      </c>
      <c r="P5071">
        <v>0.9999884</v>
      </c>
      <c r="Q5071">
        <v>-8.3963389999999998E-4</v>
      </c>
      <c r="R5071">
        <v>4.7858650000000003E-3</v>
      </c>
      <c r="S5071">
        <v>2.9981689999999999</v>
      </c>
      <c r="T5071">
        <v>-0.2538205</v>
      </c>
      <c r="U5071">
        <v>0.39663699999999902</v>
      </c>
      <c r="V5071">
        <v>-3.3400829999999999E-2</v>
      </c>
      <c r="W5071">
        <v>1.412327E-2</v>
      </c>
      <c r="X5071">
        <v>0.99934230000000002</v>
      </c>
      <c r="Y5071">
        <v>-0.15878320000000001</v>
      </c>
      <c r="Z5071">
        <v>9.0869820000000004E-3</v>
      </c>
      <c r="AA5071">
        <v>0.98727169999999898</v>
      </c>
      <c r="AB5071">
        <v>26</v>
      </c>
      <c r="AC5071">
        <v>12.894799999999901</v>
      </c>
      <c r="AD5071">
        <v>-1.105269768965</v>
      </c>
      <c r="AE5071">
        <v>1.73108999999999</v>
      </c>
      <c r="AF5071">
        <v>-2.0840395855398599</v>
      </c>
      <c r="AG5071">
        <v>-1.105269768965</v>
      </c>
      <c r="AH5071">
        <v>12.7480301536598</v>
      </c>
      <c r="AI5071">
        <v>94.890622372933194</v>
      </c>
      <c r="AJ5071">
        <v>99.284546341988005</v>
      </c>
      <c r="AK5071">
        <v>12.964455833350801</v>
      </c>
    </row>
    <row r="5072" spans="1:37" x14ac:dyDescent="0.2">
      <c r="A5072" t="str">
        <f>"20200111155957319"</f>
        <v>20200111155957319</v>
      </c>
      <c r="B5072" t="str">
        <f>"1578729597315772"</f>
        <v>1578729597315772</v>
      </c>
      <c r="C5072" t="s">
        <v>37</v>
      </c>
      <c r="D5072">
        <v>8.1641449999999995</v>
      </c>
      <c r="E5072">
        <v>0.45392339999999998</v>
      </c>
      <c r="F5072" t="s">
        <v>39</v>
      </c>
      <c r="G5072">
        <v>-350.18689999999998</v>
      </c>
      <c r="H5072" s="1">
        <v>-4.843198E-6</v>
      </c>
      <c r="I5072">
        <v>23.172160000000002</v>
      </c>
      <c r="J5072">
        <v>-363.1395</v>
      </c>
      <c r="K5072">
        <v>1.105264</v>
      </c>
      <c r="L5072">
        <v>21.441220000000001</v>
      </c>
      <c r="M5072">
        <v>0.9994963</v>
      </c>
      <c r="N5072">
        <v>0</v>
      </c>
      <c r="O5072">
        <v>-2.7960240000000001E-2</v>
      </c>
      <c r="P5072">
        <v>0.99998469999999995</v>
      </c>
      <c r="Q5072">
        <v>-1.277762E-3</v>
      </c>
      <c r="R5072">
        <v>5.4241539999999996E-3</v>
      </c>
      <c r="S5072">
        <v>2.9978940000000001</v>
      </c>
      <c r="T5072">
        <v>-0.25264639999999999</v>
      </c>
      <c r="U5072">
        <v>0.3947754</v>
      </c>
      <c r="V5072">
        <v>-3.340866E-2</v>
      </c>
      <c r="W5072">
        <v>1.368129E-2</v>
      </c>
      <c r="X5072">
        <v>0.99934809999999996</v>
      </c>
      <c r="Y5072">
        <v>-0.157583</v>
      </c>
      <c r="Z5072">
        <v>8.9432599999999998E-3</v>
      </c>
      <c r="AA5072">
        <v>0.98746529999999999</v>
      </c>
      <c r="AB5072">
        <v>26</v>
      </c>
      <c r="AC5072">
        <v>12.9526</v>
      </c>
      <c r="AD5072">
        <v>-1.105268843198</v>
      </c>
      <c r="AE5072">
        <v>1.7309399999999999</v>
      </c>
      <c r="AF5072">
        <v>-2.0775990857092301</v>
      </c>
      <c r="AG5072">
        <v>-1.105268843198</v>
      </c>
      <c r="AH5072">
        <v>12.8075100356628</v>
      </c>
      <c r="AI5072">
        <v>94.868985057774296</v>
      </c>
      <c r="AJ5072">
        <v>99.214102065163203</v>
      </c>
      <c r="AK5072">
        <v>13.0219180803093</v>
      </c>
    </row>
    <row r="5073" spans="1:37" x14ac:dyDescent="0.2">
      <c r="A5073" t="str">
        <f>"20200111155957337"</f>
        <v>20200111155957337</v>
      </c>
      <c r="B5073" t="str">
        <f>"1578729597325531"</f>
        <v>1578729597325531</v>
      </c>
      <c r="C5073" t="s">
        <v>37</v>
      </c>
      <c r="D5073">
        <v>5.8480669999999897</v>
      </c>
      <c r="E5073">
        <v>0.45392500000000002</v>
      </c>
      <c r="F5073" t="s">
        <v>39</v>
      </c>
      <c r="G5073">
        <v>-349.94479999999999</v>
      </c>
      <c r="H5073" s="1">
        <v>-9.534907E-7</v>
      </c>
      <c r="I5073">
        <v>23.177240000000001</v>
      </c>
      <c r="J5073">
        <v>-362.94069999999999</v>
      </c>
      <c r="K5073">
        <v>1.1052549999999901</v>
      </c>
      <c r="L5073">
        <v>21.43655</v>
      </c>
      <c r="M5073">
        <v>0.99951749999999995</v>
      </c>
      <c r="N5073">
        <v>0</v>
      </c>
      <c r="O5073">
        <v>-2.7189959999999999E-2</v>
      </c>
      <c r="P5073">
        <v>0.99997769999999997</v>
      </c>
      <c r="Q5073">
        <v>-2.1583459999999998E-3</v>
      </c>
      <c r="R5073">
        <v>6.3335259999999999E-3</v>
      </c>
      <c r="S5073">
        <v>2.9975890000000001</v>
      </c>
      <c r="T5073">
        <v>-0.25109480000000001</v>
      </c>
      <c r="U5073">
        <v>0.39440920000000002</v>
      </c>
      <c r="V5073">
        <v>-3.3545819999999997E-2</v>
      </c>
      <c r="W5073">
        <v>1.279636E-2</v>
      </c>
      <c r="X5073">
        <v>0.99935529999999995</v>
      </c>
      <c r="Y5073">
        <v>-0.156729799999999</v>
      </c>
      <c r="Z5073">
        <v>8.7897849999999996E-3</v>
      </c>
      <c r="AA5073">
        <v>0.98760239999999999</v>
      </c>
      <c r="AB5073">
        <v>26</v>
      </c>
      <c r="AC5073">
        <v>12.995900000000001</v>
      </c>
      <c r="AD5073">
        <v>-1.1052559534906901</v>
      </c>
      <c r="AE5073">
        <v>1.7406900000000001</v>
      </c>
      <c r="AF5073">
        <v>-2.0786742540158398</v>
      </c>
      <c r="AG5073">
        <v>-1.1052559534906901</v>
      </c>
      <c r="AH5073">
        <v>12.8524373432261</v>
      </c>
      <c r="AI5073">
        <v>94.852358428821205</v>
      </c>
      <c r="AJ5073">
        <v>99.187113590036105</v>
      </c>
      <c r="AK5073">
        <v>13.0662780866851</v>
      </c>
    </row>
    <row r="5074" spans="1:37" x14ac:dyDescent="0.2">
      <c r="A5074" t="str">
        <f>"20200111155957350"</f>
        <v>20200111155957350</v>
      </c>
      <c r="B5074" t="str">
        <f>"1578729597346028"</f>
        <v>1578729597346028</v>
      </c>
      <c r="C5074" t="s">
        <v>37</v>
      </c>
      <c r="D5074">
        <v>5.8414779999999897</v>
      </c>
      <c r="E5074">
        <v>0.4539725</v>
      </c>
      <c r="F5074" t="s">
        <v>39</v>
      </c>
      <c r="G5074">
        <v>-349.96550000000002</v>
      </c>
      <c r="H5074" s="1">
        <v>-4.91577E-6</v>
      </c>
      <c r="I5074">
        <v>23.156579999999899</v>
      </c>
      <c r="J5074">
        <v>-362.77379999999999</v>
      </c>
      <c r="K5074">
        <v>1.105253</v>
      </c>
      <c r="L5074">
        <v>21.43271</v>
      </c>
      <c r="M5074">
        <v>0.9995349</v>
      </c>
      <c r="N5074">
        <v>0</v>
      </c>
      <c r="O5074">
        <v>-2.6542690000000001E-2</v>
      </c>
      <c r="P5074">
        <v>0.99997369999999997</v>
      </c>
      <c r="Q5074">
        <v>-2.2058450000000001E-3</v>
      </c>
      <c r="R5074">
        <v>6.9206950000000001E-3</v>
      </c>
      <c r="S5074">
        <v>2.9970089999999998</v>
      </c>
      <c r="T5074">
        <v>-0.2552915</v>
      </c>
      <c r="U5074">
        <v>0.3973083</v>
      </c>
      <c r="V5074">
        <v>-3.3485319999999999E-2</v>
      </c>
      <c r="W5074">
        <v>1.274486E-2</v>
      </c>
      <c r="X5074">
        <v>0.99935790000000002</v>
      </c>
      <c r="Y5074">
        <v>-0.1570337</v>
      </c>
      <c r="Z5074">
        <v>8.8953560000000001E-3</v>
      </c>
      <c r="AA5074">
        <v>0.98755319999999902</v>
      </c>
      <c r="AB5074">
        <v>26</v>
      </c>
      <c r="AC5074">
        <v>12.8082999999999</v>
      </c>
      <c r="AD5074">
        <v>-1.10525791577</v>
      </c>
      <c r="AE5074">
        <v>1.72386999999999</v>
      </c>
      <c r="AF5074">
        <v>-2.04828666198414</v>
      </c>
      <c r="AG5074">
        <v>-1.10525791577</v>
      </c>
      <c r="AH5074">
        <v>12.6653919429382</v>
      </c>
      <c r="AI5074">
        <v>94.923686426591104</v>
      </c>
      <c r="AJ5074">
        <v>99.186513954428705</v>
      </c>
      <c r="AK5074">
        <v>12.877469719563599</v>
      </c>
    </row>
    <row r="5075" spans="1:37" x14ac:dyDescent="0.2">
      <c r="A5075" t="str">
        <f>"20200111155957369"</f>
        <v>20200111155957369</v>
      </c>
      <c r="B5075" t="str">
        <f>"1578729597365548"</f>
        <v>1578729597365548</v>
      </c>
      <c r="C5075" t="s">
        <v>37</v>
      </c>
      <c r="D5075">
        <v>5.7279229999999997</v>
      </c>
      <c r="E5075">
        <v>0.45361200000000002</v>
      </c>
      <c r="F5075" t="s">
        <v>39</v>
      </c>
      <c r="G5075">
        <v>-349.93830000000003</v>
      </c>
      <c r="H5075" s="1">
        <v>-9.4649330000000001E-7</v>
      </c>
      <c r="I5075">
        <v>23.14049</v>
      </c>
      <c r="J5075">
        <v>-362.56569999999999</v>
      </c>
      <c r="K5075">
        <v>1.105248</v>
      </c>
      <c r="L5075">
        <v>21.428070000000002</v>
      </c>
      <c r="M5075">
        <v>0.99955620000000001</v>
      </c>
      <c r="N5075">
        <v>0</v>
      </c>
      <c r="O5075">
        <v>-2.5736169999999999E-2</v>
      </c>
      <c r="P5075">
        <v>0.99996849999999904</v>
      </c>
      <c r="Q5075">
        <v>-1.857465E-3</v>
      </c>
      <c r="R5075">
        <v>7.732208E-3</v>
      </c>
      <c r="S5075">
        <v>2.9967649999999999</v>
      </c>
      <c r="T5075">
        <v>-0.25804890000000003</v>
      </c>
      <c r="U5075">
        <v>0.39874270000000001</v>
      </c>
      <c r="V5075">
        <v>-3.3490409999999998E-2</v>
      </c>
      <c r="W5075">
        <v>1.308816E-2</v>
      </c>
      <c r="X5075">
        <v>0.9993533</v>
      </c>
      <c r="Y5075">
        <v>-0.156701799999999</v>
      </c>
      <c r="Z5075">
        <v>8.9082620000000001E-3</v>
      </c>
      <c r="AA5075">
        <v>0.98760579999999998</v>
      </c>
      <c r="AB5075">
        <v>26</v>
      </c>
      <c r="AC5075">
        <v>12.6273999999999</v>
      </c>
      <c r="AD5075">
        <v>-1.1052489464933</v>
      </c>
      <c r="AE5075">
        <v>1.7124199999999901</v>
      </c>
      <c r="AF5075">
        <v>-2.0216616515616002</v>
      </c>
      <c r="AG5075">
        <v>-1.1052489464933</v>
      </c>
      <c r="AH5075">
        <v>12.485216925224</v>
      </c>
      <c r="AI5075">
        <v>94.994185563902903</v>
      </c>
      <c r="AJ5075">
        <v>99.1977540803843</v>
      </c>
      <c r="AK5075">
        <v>12.696036103328399</v>
      </c>
    </row>
    <row r="5076" spans="1:37" x14ac:dyDescent="0.2">
      <c r="A5076" t="str">
        <f>"20200111155957392"</f>
        <v>20200111155957392</v>
      </c>
      <c r="B5076" t="str">
        <f>"1578729597385578"</f>
        <v>1578729597385578</v>
      </c>
      <c r="C5076" t="s">
        <v>37</v>
      </c>
      <c r="D5076">
        <v>5.8040339999999997</v>
      </c>
      <c r="E5076">
        <v>0.45336080000000001</v>
      </c>
      <c r="F5076" t="s">
        <v>39</v>
      </c>
      <c r="G5076">
        <v>-349.89670000000001</v>
      </c>
      <c r="H5076" s="1">
        <v>-9.6339810000000005E-7</v>
      </c>
      <c r="I5076">
        <v>23.136939999999999</v>
      </c>
      <c r="J5076">
        <v>-362.30220000000003</v>
      </c>
      <c r="K5076">
        <v>1.1052409999999999</v>
      </c>
      <c r="L5076">
        <v>21.42249</v>
      </c>
      <c r="M5076">
        <v>0.99958199999999997</v>
      </c>
      <c r="N5076">
        <v>0</v>
      </c>
      <c r="O5076">
        <v>-2.4714969999999999E-2</v>
      </c>
      <c r="P5076">
        <v>0.99996289999999999</v>
      </c>
      <c r="Q5076">
        <v>-1.4523959999999999E-3</v>
      </c>
      <c r="R5076">
        <v>8.5161690000000005E-3</v>
      </c>
      <c r="S5076">
        <v>2.9964900000000001</v>
      </c>
      <c r="T5076">
        <v>-0.26141510000000001</v>
      </c>
      <c r="U5076">
        <v>0.40420529999999999</v>
      </c>
      <c r="V5076">
        <v>-3.3253390000000001E-2</v>
      </c>
      <c r="W5076">
        <v>1.348771E-2</v>
      </c>
      <c r="X5076">
        <v>0.99935589999999996</v>
      </c>
      <c r="Y5076">
        <v>-0.15745709999999999</v>
      </c>
      <c r="Z5076">
        <v>8.9679400000000006E-3</v>
      </c>
      <c r="AA5076">
        <v>0.9874851</v>
      </c>
      <c r="AB5076">
        <v>26</v>
      </c>
      <c r="AC5076">
        <v>12.4055</v>
      </c>
      <c r="AD5076">
        <v>-1.1052419633981001</v>
      </c>
      <c r="AE5076">
        <v>1.71444999999999</v>
      </c>
      <c r="AF5076">
        <v>-2.0049461509354698</v>
      </c>
      <c r="AG5076">
        <v>-1.1052419633981001</v>
      </c>
      <c r="AH5076">
        <v>12.263812222023301</v>
      </c>
      <c r="AI5076">
        <v>95.082597183697104</v>
      </c>
      <c r="AJ5076">
        <v>99.284847548044695</v>
      </c>
      <c r="AK5076">
        <v>12.4756746944947</v>
      </c>
    </row>
    <row r="5077" spans="1:37" x14ac:dyDescent="0.2">
      <c r="A5077" t="str">
        <f>"20200111155957405"</f>
        <v>20200111155957405</v>
      </c>
      <c r="B5077" t="str">
        <f>"1578729597395338"</f>
        <v>1578729597395338</v>
      </c>
      <c r="C5077" t="s">
        <v>37</v>
      </c>
      <c r="D5077">
        <v>5.7986559999999896</v>
      </c>
      <c r="E5077">
        <v>0.45336179999999898</v>
      </c>
      <c r="F5077" t="s">
        <v>39</v>
      </c>
      <c r="G5077">
        <v>-349.77440000000001</v>
      </c>
      <c r="H5077" s="1">
        <v>-1.014654E-6</v>
      </c>
      <c r="I5077">
        <v>23.132349999999999</v>
      </c>
      <c r="J5077">
        <v>-362.14499999999998</v>
      </c>
      <c r="K5077">
        <v>1.105237</v>
      </c>
      <c r="L5077">
        <v>21.419219999999999</v>
      </c>
      <c r="M5077">
        <v>0.99959699999999996</v>
      </c>
      <c r="N5077">
        <v>0</v>
      </c>
      <c r="O5077">
        <v>-2.410704E-2</v>
      </c>
      <c r="P5077">
        <v>0.99995900000000004</v>
      </c>
      <c r="Q5077">
        <v>-1.8374750000000001E-3</v>
      </c>
      <c r="R5077">
        <v>8.8877959999999999E-3</v>
      </c>
      <c r="S5077">
        <v>2.9962770000000001</v>
      </c>
      <c r="T5077">
        <v>-0.2643394</v>
      </c>
      <c r="U5077">
        <v>0.408966099999999</v>
      </c>
      <c r="V5077">
        <v>-3.3015780000000002E-2</v>
      </c>
      <c r="W5077">
        <v>1.3099120000000001E-2</v>
      </c>
      <c r="X5077">
        <v>0.99936899999999995</v>
      </c>
      <c r="Y5077">
        <v>-0.15839</v>
      </c>
      <c r="Z5077">
        <v>9.0551299999999998E-3</v>
      </c>
      <c r="AA5077">
        <v>0.98733510000000002</v>
      </c>
      <c r="AB5077">
        <v>26</v>
      </c>
      <c r="AC5077">
        <v>12.3705999999999</v>
      </c>
      <c r="AD5077">
        <v>-1.105238014654</v>
      </c>
      <c r="AE5077">
        <v>1.71312999999999</v>
      </c>
      <c r="AF5077">
        <v>-1.9952569603824899</v>
      </c>
      <c r="AG5077">
        <v>-1.105238014654</v>
      </c>
      <c r="AH5077">
        <v>12.2299146159608</v>
      </c>
      <c r="AI5077">
        <v>95.096865888469694</v>
      </c>
      <c r="AJ5077">
        <v>99.265921992779397</v>
      </c>
      <c r="AK5077">
        <v>12.4407963137688</v>
      </c>
    </row>
    <row r="5078" spans="1:37" x14ac:dyDescent="0.2">
      <c r="A5078" t="str">
        <f>"20200111155957417"</f>
        <v>20200111155957417</v>
      </c>
      <c r="B5078" t="str">
        <f>"1578729597406074"</f>
        <v>1578729597406074</v>
      </c>
      <c r="C5078" t="s">
        <v>37</v>
      </c>
      <c r="D5078">
        <v>5.7354830000000003</v>
      </c>
      <c r="E5078">
        <v>0.4532119</v>
      </c>
      <c r="F5078" t="s">
        <v>39</v>
      </c>
      <c r="G5078">
        <v>-349.74560000000002</v>
      </c>
      <c r="H5078" s="1">
        <v>-1.022971E-6</v>
      </c>
      <c r="I5078">
        <v>23.117159999999998</v>
      </c>
      <c r="J5078">
        <v>-362.00209999999998</v>
      </c>
      <c r="K5078">
        <v>1.1052329999999999</v>
      </c>
      <c r="L5078">
        <v>21.416409999999999</v>
      </c>
      <c r="M5078">
        <v>0.99961009999999995</v>
      </c>
      <c r="N5078">
        <v>0</v>
      </c>
      <c r="O5078">
        <v>-2.3555989999999999E-2</v>
      </c>
      <c r="P5078">
        <v>0.99995599999999996</v>
      </c>
      <c r="Q5078">
        <v>-2.1868069999999998E-3</v>
      </c>
      <c r="R5078">
        <v>9.1388659999999903E-3</v>
      </c>
      <c r="S5078">
        <v>2.9959720000000001</v>
      </c>
      <c r="T5078">
        <v>-0.26704850000000002</v>
      </c>
      <c r="U5078">
        <v>0.41027829999999899</v>
      </c>
      <c r="V5078">
        <v>-3.2715229999999998E-2</v>
      </c>
      <c r="W5078">
        <v>1.274725E-2</v>
      </c>
      <c r="X5078">
        <v>0.99938340000000003</v>
      </c>
      <c r="Y5078">
        <v>-0.158272</v>
      </c>
      <c r="Z5078">
        <v>9.0941689999999992E-3</v>
      </c>
      <c r="AA5078">
        <v>0.9873537</v>
      </c>
      <c r="AB5078">
        <v>26</v>
      </c>
      <c r="AC5078">
        <v>12.2564999999999</v>
      </c>
      <c r="AD5078">
        <v>-1.10523402297099</v>
      </c>
      <c r="AE5078">
        <v>1.70075</v>
      </c>
      <c r="AF5078">
        <v>-1.97328162196117</v>
      </c>
      <c r="AG5078">
        <v>-1.10523402297099</v>
      </c>
      <c r="AH5078">
        <v>12.1163668785419</v>
      </c>
      <c r="AI5078">
        <v>95.144588618245194</v>
      </c>
      <c r="AJ5078">
        <v>99.2500275054349</v>
      </c>
      <c r="AK5078">
        <v>12.3256532865617</v>
      </c>
    </row>
    <row r="5079" spans="1:37" x14ac:dyDescent="0.2">
      <c r="A5079" t="str">
        <f>"20200111155957436"</f>
        <v>20200111155957436</v>
      </c>
      <c r="B5079" t="str">
        <f>"1578729597425594"</f>
        <v>1578729597425594</v>
      </c>
      <c r="C5079" t="s">
        <v>37</v>
      </c>
      <c r="D5079">
        <v>5.7766929999999999</v>
      </c>
      <c r="E5079">
        <v>0.4531403</v>
      </c>
      <c r="F5079" t="s">
        <v>39</v>
      </c>
      <c r="G5079">
        <v>-349.74509999999998</v>
      </c>
      <c r="H5079" s="1">
        <v>-1.0194750000000001E-6</v>
      </c>
      <c r="I5079">
        <v>23.103200000000001</v>
      </c>
      <c r="J5079">
        <v>-361.78379999999999</v>
      </c>
      <c r="K5079">
        <v>1.105224</v>
      </c>
      <c r="L5079">
        <v>21.412199999999999</v>
      </c>
      <c r="M5079">
        <v>0.99962960000000001</v>
      </c>
      <c r="N5079">
        <v>0</v>
      </c>
      <c r="O5079">
        <v>-2.27177E-2</v>
      </c>
      <c r="P5079">
        <v>0.99994869999999902</v>
      </c>
      <c r="Q5079">
        <v>-3.1801440000000002E-3</v>
      </c>
      <c r="R5079">
        <v>9.6165950000000004E-3</v>
      </c>
      <c r="S5079">
        <v>2.9957889999999998</v>
      </c>
      <c r="T5079">
        <v>-0.27013280000000001</v>
      </c>
      <c r="U5079">
        <v>0.41229250000000001</v>
      </c>
      <c r="V5079">
        <v>-3.2352980000000003E-2</v>
      </c>
      <c r="W5079">
        <v>1.174978E-2</v>
      </c>
      <c r="X5079">
        <v>0.99940739999999995</v>
      </c>
      <c r="Y5079">
        <v>-0.15809129999999999</v>
      </c>
      <c r="Z5079">
        <v>9.1157019999999998E-3</v>
      </c>
      <c r="AA5079">
        <v>0.98738239999999999</v>
      </c>
      <c r="AB5079">
        <v>26</v>
      </c>
      <c r="AC5079">
        <v>12.0387</v>
      </c>
      <c r="AD5079">
        <v>-1.105225019475</v>
      </c>
      <c r="AE5079">
        <v>1.6910000000000001</v>
      </c>
      <c r="AF5079">
        <v>-1.947985155072</v>
      </c>
      <c r="AG5079">
        <v>-1.105225019475</v>
      </c>
      <c r="AH5079">
        <v>11.8988254082204</v>
      </c>
      <c r="AI5079">
        <v>95.237378650990806</v>
      </c>
      <c r="AJ5079">
        <v>99.297550983436494</v>
      </c>
      <c r="AK5079">
        <v>12.107774965011799</v>
      </c>
    </row>
    <row r="5080" spans="1:37" x14ac:dyDescent="0.2">
      <c r="A5080" t="str">
        <f>"20200111155957459"</f>
        <v>20200111155957459</v>
      </c>
      <c r="B5080" t="str">
        <f>"1578729597455852"</f>
        <v>1578729597455852</v>
      </c>
      <c r="C5080" t="s">
        <v>37</v>
      </c>
      <c r="D5080">
        <v>5.6512019999999996</v>
      </c>
      <c r="E5080">
        <v>0.45272429999999902</v>
      </c>
      <c r="F5080" t="s">
        <v>39</v>
      </c>
      <c r="G5080">
        <v>-349.7724</v>
      </c>
      <c r="H5080" s="1">
        <v>-1.0000989999999999E-6</v>
      </c>
      <c r="I5080">
        <v>23.07451</v>
      </c>
      <c r="J5080">
        <v>-361.52440000000001</v>
      </c>
      <c r="K5080">
        <v>1.1052120000000001</v>
      </c>
      <c r="L5080">
        <v>21.40747</v>
      </c>
      <c r="M5080">
        <v>0.99965159999999997</v>
      </c>
      <c r="N5080">
        <v>0</v>
      </c>
      <c r="O5080">
        <v>-2.173309E-2</v>
      </c>
      <c r="P5080">
        <v>0.99994110000000003</v>
      </c>
      <c r="Q5080">
        <v>-3.7942229999999898E-3</v>
      </c>
      <c r="R5080">
        <v>1.017177E-2</v>
      </c>
      <c r="S5080">
        <v>2.9952700000000001</v>
      </c>
      <c r="T5080">
        <v>-0.27560970000000001</v>
      </c>
      <c r="U5080">
        <v>0.4145508</v>
      </c>
      <c r="V5080">
        <v>-3.1921909999999998E-2</v>
      </c>
      <c r="W5080">
        <v>1.113136E-2</v>
      </c>
      <c r="X5080">
        <v>0.99942839999999999</v>
      </c>
      <c r="Y5080">
        <v>-0.15784799999999999</v>
      </c>
      <c r="Z5080">
        <v>9.1997190000000003E-3</v>
      </c>
      <c r="AA5080">
        <v>0.98742059999999998</v>
      </c>
      <c r="AB5080">
        <v>26</v>
      </c>
      <c r="AC5080">
        <v>11.752000000000001</v>
      </c>
      <c r="AD5080">
        <v>-1.1052130000989999</v>
      </c>
      <c r="AE5080">
        <v>1.6670400000000001</v>
      </c>
      <c r="AF5080">
        <v>-1.9055609909614</v>
      </c>
      <c r="AG5080">
        <v>-1.1052130000989999</v>
      </c>
      <c r="AH5080">
        <v>11.6123115568647</v>
      </c>
      <c r="AI5080">
        <v>95.365470091320404</v>
      </c>
      <c r="AJ5080">
        <v>99.319085430764801</v>
      </c>
      <c r="AK5080">
        <v>11.819409382856501</v>
      </c>
    </row>
    <row r="5081" spans="1:37" x14ac:dyDescent="0.2">
      <c r="A5081" t="str">
        <f>"20200111155957481"</f>
        <v>20200111155957481</v>
      </c>
      <c r="B5081" t="str">
        <f>"1578729597475879"</f>
        <v>1578729597475879</v>
      </c>
      <c r="C5081" t="s">
        <v>37</v>
      </c>
      <c r="D5081">
        <v>5.6352729999999998</v>
      </c>
      <c r="E5081">
        <v>0.45224189999999997</v>
      </c>
      <c r="F5081" t="s">
        <v>39</v>
      </c>
      <c r="G5081">
        <v>-349.58710000000002</v>
      </c>
      <c r="H5081" s="1">
        <v>-1.080818E-6</v>
      </c>
      <c r="I5081">
        <v>23.079000000000001</v>
      </c>
      <c r="J5081">
        <v>-361.27030000000002</v>
      </c>
      <c r="K5081">
        <v>1.1052010000000001</v>
      </c>
      <c r="L5081">
        <v>21.403020000000001</v>
      </c>
      <c r="M5081">
        <v>0.9996718</v>
      </c>
      <c r="N5081">
        <v>0</v>
      </c>
      <c r="O5081">
        <v>-2.078371E-2</v>
      </c>
      <c r="P5081">
        <v>0.99992999999999899</v>
      </c>
      <c r="Q5081">
        <v>-3.6938840000000001E-3</v>
      </c>
      <c r="R5081">
        <v>1.1262930000000001E-2</v>
      </c>
      <c r="S5081">
        <v>2.9948429999999999</v>
      </c>
      <c r="T5081">
        <v>-0.27727429999999997</v>
      </c>
      <c r="U5081">
        <v>0.41937259999999998</v>
      </c>
      <c r="V5081">
        <v>-3.2063420000000002E-2</v>
      </c>
      <c r="W5081">
        <v>1.122624E-2</v>
      </c>
      <c r="X5081">
        <v>0.99942279999999994</v>
      </c>
      <c r="Y5081">
        <v>-0.15848129999999999</v>
      </c>
      <c r="Z5081">
        <v>9.1971090000000002E-3</v>
      </c>
      <c r="AA5081">
        <v>0.98731919999999995</v>
      </c>
      <c r="AB5081">
        <v>26</v>
      </c>
      <c r="AC5081">
        <v>11.683199999999999</v>
      </c>
      <c r="AD5081">
        <v>-1.1052020808180001</v>
      </c>
      <c r="AE5081">
        <v>1.67597999999999</v>
      </c>
      <c r="AF5081">
        <v>-1.90178999423617</v>
      </c>
      <c r="AG5081">
        <v>-1.1052020808180001</v>
      </c>
      <c r="AH5081">
        <v>11.544612670516999</v>
      </c>
      <c r="AI5081">
        <v>95.396149672297</v>
      </c>
      <c r="AJ5081">
        <v>99.354546607381295</v>
      </c>
      <c r="AK5081">
        <v>11.7522916290349</v>
      </c>
    </row>
    <row r="5082" spans="1:37" x14ac:dyDescent="0.2">
      <c r="A5082" t="str">
        <f>"20200111155957494"</f>
        <v>20200111155957494</v>
      </c>
      <c r="B5082" t="str">
        <f>"1578729597485639"</f>
        <v>1578729597485639</v>
      </c>
      <c r="C5082" t="s">
        <v>37</v>
      </c>
      <c r="D5082">
        <v>5.6670559999999996</v>
      </c>
      <c r="E5082">
        <v>0.45211629999999903</v>
      </c>
      <c r="F5082" t="s">
        <v>39</v>
      </c>
      <c r="G5082">
        <v>-349.20359999999999</v>
      </c>
      <c r="H5082" s="1">
        <v>-1.2564810000000001E-6</v>
      </c>
      <c r="I5082">
        <v>23.12096</v>
      </c>
      <c r="J5082">
        <v>-361.11669999999998</v>
      </c>
      <c r="K5082">
        <v>1.105189</v>
      </c>
      <c r="L5082">
        <v>21.400479999999899</v>
      </c>
      <c r="M5082">
        <v>0.9996834</v>
      </c>
      <c r="N5082">
        <v>0</v>
      </c>
      <c r="O5082">
        <v>-2.0222540000000001E-2</v>
      </c>
      <c r="P5082">
        <v>0.99992329999999996</v>
      </c>
      <c r="Q5082">
        <v>-3.4267830000000001E-3</v>
      </c>
      <c r="R5082">
        <v>1.190244E-2</v>
      </c>
      <c r="S5082">
        <v>2.994354</v>
      </c>
      <c r="T5082">
        <v>-0.27425640000000001</v>
      </c>
      <c r="U5082">
        <v>0.426330599999999</v>
      </c>
      <c r="V5082">
        <v>-3.214148E-2</v>
      </c>
      <c r="W5082">
        <v>1.149039E-2</v>
      </c>
      <c r="X5082">
        <v>0.99941729999999995</v>
      </c>
      <c r="Y5082">
        <v>-0.16020979999999899</v>
      </c>
      <c r="Z5082">
        <v>9.124966E-3</v>
      </c>
      <c r="AA5082">
        <v>0.98704080000000005</v>
      </c>
      <c r="AB5082">
        <v>26</v>
      </c>
      <c r="AC5082">
        <v>11.913099999999901</v>
      </c>
      <c r="AD5082">
        <v>-1.1051902564810001</v>
      </c>
      <c r="AE5082">
        <v>1.72048</v>
      </c>
      <c r="AF5082">
        <v>-1.9446734270828701</v>
      </c>
      <c r="AG5082">
        <v>-1.1051902564810001</v>
      </c>
      <c r="AH5082">
        <v>11.776582963612</v>
      </c>
      <c r="AI5082">
        <v>95.290076450648101</v>
      </c>
      <c r="AJ5082">
        <v>99.376665740285404</v>
      </c>
      <c r="AK5082">
        <v>11.987122529609</v>
      </c>
    </row>
    <row r="5083" spans="1:37" x14ac:dyDescent="0.2">
      <c r="A5083" t="str">
        <f>"20200111155957509"</f>
        <v>20200111155957509</v>
      </c>
      <c r="B5083" t="str">
        <f>"1578729597506135"</f>
        <v>1578729597506135</v>
      </c>
      <c r="C5083" t="s">
        <v>37</v>
      </c>
      <c r="D5083">
        <v>5.6189029999999898</v>
      </c>
      <c r="E5083">
        <v>0.45188970000000001</v>
      </c>
      <c r="F5083" t="s">
        <v>39</v>
      </c>
      <c r="G5083">
        <v>-348.97309999999999</v>
      </c>
      <c r="H5083" s="1">
        <v>-1.3607219999999999E-6</v>
      </c>
      <c r="I5083">
        <v>23.140989999999999</v>
      </c>
      <c r="J5083">
        <v>-360.964</v>
      </c>
      <c r="K5083">
        <v>1.1051739999999901</v>
      </c>
      <c r="L5083">
        <v>21.39798</v>
      </c>
      <c r="M5083">
        <v>0.99969459999999999</v>
      </c>
      <c r="N5083">
        <v>0</v>
      </c>
      <c r="O5083">
        <v>-1.967201E-2</v>
      </c>
      <c r="P5083">
        <v>0.99991240000000003</v>
      </c>
      <c r="Q5083">
        <v>-3.5397039999999999E-3</v>
      </c>
      <c r="R5083">
        <v>1.277374E-2</v>
      </c>
      <c r="S5083">
        <v>2.994202</v>
      </c>
      <c r="T5083">
        <v>-0.2725012</v>
      </c>
      <c r="U5083">
        <v>0.42916870000000001</v>
      </c>
      <c r="V5083">
        <v>-3.2461289999999997E-2</v>
      </c>
      <c r="W5083">
        <v>1.137405E-2</v>
      </c>
      <c r="X5083">
        <v>0.99940819999999997</v>
      </c>
      <c r="Y5083">
        <v>-0.1606004</v>
      </c>
      <c r="Z5083">
        <v>9.0345269999999901E-3</v>
      </c>
      <c r="AA5083">
        <v>0.98697819999999903</v>
      </c>
      <c r="AB5083">
        <v>26</v>
      </c>
      <c r="AC5083">
        <v>11.9909</v>
      </c>
      <c r="AD5083">
        <v>-1.1051753607219901</v>
      </c>
      <c r="AE5083">
        <v>1.74300999999999</v>
      </c>
      <c r="AF5083">
        <v>-1.96225983235479</v>
      </c>
      <c r="AG5083">
        <v>-1.1051753607219901</v>
      </c>
      <c r="AH5083">
        <v>11.8556579946728</v>
      </c>
      <c r="AI5083">
        <v>95.254599186849006</v>
      </c>
      <c r="AJ5083">
        <v>99.397969700597699</v>
      </c>
      <c r="AK5083">
        <v>12.0676635151246</v>
      </c>
    </row>
    <row r="5084" spans="1:37" x14ac:dyDescent="0.2">
      <c r="A5084" t="str">
        <f>"20200111155957527"</f>
        <v>20200111155957527</v>
      </c>
      <c r="B5084" t="str">
        <f>"1578729597515897"</f>
        <v>1578729597515897</v>
      </c>
      <c r="C5084" t="s">
        <v>37</v>
      </c>
      <c r="D5084">
        <v>5.75868</v>
      </c>
      <c r="E5084">
        <v>0.45192840000000001</v>
      </c>
      <c r="F5084" t="s">
        <v>39</v>
      </c>
      <c r="G5084">
        <v>-348.6961</v>
      </c>
      <c r="H5084" s="1">
        <v>-1.488446E-6</v>
      </c>
      <c r="I5084">
        <v>23.17446</v>
      </c>
      <c r="J5084">
        <v>-360.75209999999998</v>
      </c>
      <c r="K5084">
        <v>1.105156</v>
      </c>
      <c r="L5084">
        <v>21.394679999999902</v>
      </c>
      <c r="M5084">
        <v>0.99970899999999996</v>
      </c>
      <c r="N5084">
        <v>0</v>
      </c>
      <c r="O5084">
        <v>-1.892777E-2</v>
      </c>
      <c r="P5084">
        <v>0.99989349999999999</v>
      </c>
      <c r="Q5084">
        <v>-3.4453550000000002E-3</v>
      </c>
      <c r="R5084">
        <v>1.4182480000000001E-2</v>
      </c>
      <c r="S5084">
        <v>2.993744</v>
      </c>
      <c r="T5084">
        <v>-0.26969549999999998</v>
      </c>
      <c r="U5084">
        <v>0.43353269999999999</v>
      </c>
      <c r="V5084">
        <v>-3.3124609999999999E-2</v>
      </c>
      <c r="W5084">
        <v>1.146322E-2</v>
      </c>
      <c r="X5084">
        <v>0.99938549999999904</v>
      </c>
      <c r="Y5084">
        <v>-0.16131129999999999</v>
      </c>
      <c r="Z5084">
        <v>8.9074949999999996E-3</v>
      </c>
      <c r="AA5084">
        <v>0.98686339999999995</v>
      </c>
      <c r="AB5084">
        <v>26</v>
      </c>
      <c r="AC5084">
        <v>12.0559999999999</v>
      </c>
      <c r="AD5084">
        <v>-1.105157488446</v>
      </c>
      <c r="AE5084">
        <v>1.7797799999999999</v>
      </c>
      <c r="AF5084">
        <v>-1.9913034897416</v>
      </c>
      <c r="AG5084">
        <v>-1.105157488446</v>
      </c>
      <c r="AH5084">
        <v>11.9221023091419</v>
      </c>
      <c r="AI5084">
        <v>95.224120260492597</v>
      </c>
      <c r="AJ5084">
        <v>99.482364242064406</v>
      </c>
      <c r="AK5084">
        <v>12.137676306945</v>
      </c>
    </row>
    <row r="5085" spans="1:37" x14ac:dyDescent="0.2">
      <c r="A5085" t="str">
        <f>"20200111155957540"</f>
        <v>20200111155957540</v>
      </c>
      <c r="B5085" t="str">
        <f>"1578729597535416"</f>
        <v>1578729597535416</v>
      </c>
      <c r="C5085" t="s">
        <v>37</v>
      </c>
      <c r="D5085">
        <v>5.5933159999999997</v>
      </c>
      <c r="E5085">
        <v>0.45165919999999998</v>
      </c>
      <c r="F5085" t="s">
        <v>39</v>
      </c>
      <c r="G5085">
        <v>-348.38619999999997</v>
      </c>
      <c r="H5085" s="1">
        <v>-1.628556E-6</v>
      </c>
      <c r="I5085">
        <v>23.201429999999998</v>
      </c>
      <c r="J5085">
        <v>-360.5908</v>
      </c>
      <c r="K5085">
        <v>1.1051389999999901</v>
      </c>
      <c r="L5085">
        <v>21.392240000000001</v>
      </c>
      <c r="M5085">
        <v>0.99971909999999897</v>
      </c>
      <c r="N5085">
        <v>0</v>
      </c>
      <c r="O5085">
        <v>-1.8376819999999999E-2</v>
      </c>
      <c r="P5085">
        <v>0.99988099999999902</v>
      </c>
      <c r="Q5085">
        <v>-3.458947E-3</v>
      </c>
      <c r="R5085">
        <v>1.5044170000000001E-2</v>
      </c>
      <c r="S5085">
        <v>2.9931950000000001</v>
      </c>
      <c r="T5085">
        <v>-0.26750580000000002</v>
      </c>
      <c r="U5085">
        <v>0.4373474</v>
      </c>
      <c r="V5085">
        <v>-3.3434859999999997E-2</v>
      </c>
      <c r="W5085">
        <v>1.1446049999999999E-2</v>
      </c>
      <c r="X5085">
        <v>0.99937529999999997</v>
      </c>
      <c r="Y5085">
        <v>-0.1620356</v>
      </c>
      <c r="Z5085">
        <v>8.8194759999999997E-3</v>
      </c>
      <c r="AA5085">
        <v>0.98674549999999905</v>
      </c>
      <c r="AB5085">
        <v>26</v>
      </c>
      <c r="AC5085">
        <v>12.204599999999999</v>
      </c>
      <c r="AD5085">
        <v>-1.1051406285559999</v>
      </c>
      <c r="AE5085">
        <v>1.8091899999999901</v>
      </c>
      <c r="AF5085">
        <v>-2.01700840819468</v>
      </c>
      <c r="AG5085">
        <v>-1.1051406285559999</v>
      </c>
      <c r="AH5085">
        <v>12.072428123921499</v>
      </c>
      <c r="AI5085">
        <v>95.159303325516305</v>
      </c>
      <c r="AJ5085">
        <v>99.485118691207902</v>
      </c>
      <c r="AK5085">
        <v>12.289555709417</v>
      </c>
    </row>
    <row r="5086" spans="1:37" x14ac:dyDescent="0.2">
      <c r="A5086" t="str">
        <f>"20200111155957558"</f>
        <v>20200111155957558</v>
      </c>
      <c r="B5086" t="str">
        <f>"1578729597555911"</f>
        <v>1578729597555911</v>
      </c>
      <c r="C5086" t="s">
        <v>37</v>
      </c>
      <c r="D5086">
        <v>5.5673579999999996</v>
      </c>
      <c r="E5086">
        <v>0.45147340000000002</v>
      </c>
      <c r="F5086" t="s">
        <v>39</v>
      </c>
      <c r="G5086">
        <v>-348.1644</v>
      </c>
      <c r="H5086" s="1">
        <v>-1.730661E-6</v>
      </c>
      <c r="I5086">
        <v>23.227499999999999</v>
      </c>
      <c r="J5086">
        <v>-360.38510000000002</v>
      </c>
      <c r="K5086">
        <v>1.105116</v>
      </c>
      <c r="L5086">
        <v>21.389250000000001</v>
      </c>
      <c r="M5086">
        <v>0.999731699999999</v>
      </c>
      <c r="N5086">
        <v>0</v>
      </c>
      <c r="O5086">
        <v>-1.7692550000000001E-2</v>
      </c>
      <c r="P5086">
        <v>0.99986459999999999</v>
      </c>
      <c r="Q5086">
        <v>-3.6617820000000001E-3</v>
      </c>
      <c r="R5086">
        <v>1.605548E-2</v>
      </c>
      <c r="S5086">
        <v>2.992737</v>
      </c>
      <c r="T5086">
        <v>-0.26615800000000001</v>
      </c>
      <c r="U5086">
        <v>0.44201659999999998</v>
      </c>
      <c r="V5086">
        <v>-3.376088E-2</v>
      </c>
      <c r="W5086">
        <v>1.123912E-2</v>
      </c>
      <c r="X5086">
        <v>0.9993668</v>
      </c>
      <c r="Y5086">
        <v>-0.16289509999999999</v>
      </c>
      <c r="Z5086">
        <v>8.7530500000000001E-3</v>
      </c>
      <c r="AA5086">
        <v>0.98660460000000005</v>
      </c>
      <c r="AB5086">
        <v>26</v>
      </c>
      <c r="AC5086">
        <v>12.220700000000001</v>
      </c>
      <c r="AD5086">
        <v>-1.1051177306610001</v>
      </c>
      <c r="AE5086">
        <v>1.8382499999999899</v>
      </c>
      <c r="AF5086">
        <v>-2.0379053067317101</v>
      </c>
      <c r="AG5086">
        <v>-1.1051177306610001</v>
      </c>
      <c r="AH5086">
        <v>12.0895836313634</v>
      </c>
      <c r="AI5086">
        <v>95.150668102768194</v>
      </c>
      <c r="AJ5086">
        <v>99.568229931537999</v>
      </c>
      <c r="AK5086">
        <v>12.3098487243977</v>
      </c>
    </row>
    <row r="5087" spans="1:37" x14ac:dyDescent="0.2">
      <c r="A5087" t="str">
        <f>"20200111155957573"</f>
        <v>20200111155957573</v>
      </c>
      <c r="B5087" t="str">
        <f>"1578729597565671"</f>
        <v>1578729597565671</v>
      </c>
      <c r="C5087" t="s">
        <v>37</v>
      </c>
      <c r="D5087">
        <v>5.5767030000000002</v>
      </c>
      <c r="E5087">
        <v>0.45142270000000001</v>
      </c>
      <c r="F5087" t="s">
        <v>39</v>
      </c>
      <c r="G5087">
        <v>-347.92059999999998</v>
      </c>
      <c r="H5087" s="1">
        <v>-1.8409039999999999E-6</v>
      </c>
      <c r="I5087">
        <v>23.248839999999898</v>
      </c>
      <c r="J5087">
        <v>-360.23230000000001</v>
      </c>
      <c r="K5087">
        <v>1.1051010000000001</v>
      </c>
      <c r="L5087">
        <v>21.387079999999902</v>
      </c>
      <c r="M5087">
        <v>0.99974039999999997</v>
      </c>
      <c r="N5087">
        <v>0</v>
      </c>
      <c r="O5087">
        <v>-1.7199409999999998E-2</v>
      </c>
      <c r="P5087">
        <v>0.99984989999999996</v>
      </c>
      <c r="Q5087">
        <v>-3.7514379999999902E-3</v>
      </c>
      <c r="R5087">
        <v>1.6928550000000001E-2</v>
      </c>
      <c r="S5087">
        <v>2.9922789999999999</v>
      </c>
      <c r="T5087">
        <v>-0.2652987</v>
      </c>
      <c r="U5087">
        <v>0.4464417</v>
      </c>
      <c r="V5087">
        <v>-3.4139759999999998E-2</v>
      </c>
      <c r="W5087">
        <v>1.114566E-2</v>
      </c>
      <c r="X5087">
        <v>0.99935490000000005</v>
      </c>
      <c r="Y5087">
        <v>-0.16386049999999999</v>
      </c>
      <c r="Z5087">
        <v>8.7243319999999996E-3</v>
      </c>
      <c r="AA5087">
        <v>0.98644500000000002</v>
      </c>
      <c r="AB5087">
        <v>26</v>
      </c>
      <c r="AC5087">
        <v>12.3117</v>
      </c>
      <c r="AD5087">
        <v>-1.105102840904</v>
      </c>
      <c r="AE5087">
        <v>1.8617600000000001</v>
      </c>
      <c r="AF5087">
        <v>-2.0570591145076902</v>
      </c>
      <c r="AG5087">
        <v>-1.105102840904</v>
      </c>
      <c r="AH5087">
        <v>12.1818992353416</v>
      </c>
      <c r="AI5087">
        <v>95.111528942665302</v>
      </c>
      <c r="AJ5087">
        <v>99.584658805226098</v>
      </c>
      <c r="AK5087">
        <v>12.403685479307001</v>
      </c>
    </row>
    <row r="5088" spans="1:37" x14ac:dyDescent="0.2">
      <c r="A5088" t="str">
        <f>"20200111155957585"</f>
        <v>20200111155957585</v>
      </c>
      <c r="B5088" t="str">
        <f>"1578729597575940"</f>
        <v>1578729597575940</v>
      </c>
      <c r="C5088" t="s">
        <v>37</v>
      </c>
      <c r="D5088">
        <v>5.5829360000000001</v>
      </c>
      <c r="E5088">
        <v>0.45134560000000001</v>
      </c>
      <c r="F5088" t="s">
        <v>39</v>
      </c>
      <c r="G5088">
        <v>-347.74099999999999</v>
      </c>
      <c r="H5088" s="1">
        <v>-1.9216989999999999E-6</v>
      </c>
      <c r="I5088">
        <v>23.26294</v>
      </c>
      <c r="J5088">
        <v>-360.0763</v>
      </c>
      <c r="K5088">
        <v>1.105084</v>
      </c>
      <c r="L5088">
        <v>21.38495</v>
      </c>
      <c r="M5088">
        <v>0.99974879999999999</v>
      </c>
      <c r="N5088">
        <v>0</v>
      </c>
      <c r="O5088">
        <v>-1.6707360000000001E-2</v>
      </c>
      <c r="P5088">
        <v>0.99984099999999998</v>
      </c>
      <c r="Q5088">
        <v>-3.684994E-3</v>
      </c>
      <c r="R5088">
        <v>1.744921E-2</v>
      </c>
      <c r="S5088">
        <v>2.9918209999999998</v>
      </c>
      <c r="T5088">
        <v>-0.264685</v>
      </c>
      <c r="U5088">
        <v>0.4493103</v>
      </c>
      <c r="V5088">
        <v>-3.4168329999999997E-2</v>
      </c>
      <c r="W5088">
        <v>1.120956E-2</v>
      </c>
      <c r="X5088">
        <v>0.99935319999999905</v>
      </c>
      <c r="Y5088">
        <v>-0.16432529999999901</v>
      </c>
      <c r="Z5088">
        <v>8.6821099999999998E-3</v>
      </c>
      <c r="AA5088">
        <v>0.98636800000000002</v>
      </c>
      <c r="AB5088">
        <v>26</v>
      </c>
      <c r="AC5088">
        <v>12.3353</v>
      </c>
      <c r="AD5088">
        <v>-1.1050859216990001</v>
      </c>
      <c r="AE5088">
        <v>1.87799</v>
      </c>
      <c r="AF5088">
        <v>-2.0676225506293902</v>
      </c>
      <c r="AG5088">
        <v>-1.1050859216990001</v>
      </c>
      <c r="AH5088">
        <v>12.2064499325484</v>
      </c>
      <c r="AI5088">
        <v>95.100786147874501</v>
      </c>
      <c r="AJ5088">
        <v>99.613945388001099</v>
      </c>
      <c r="AK5088">
        <v>12.429549382902801</v>
      </c>
    </row>
    <row r="5089" spans="1:37" x14ac:dyDescent="0.2">
      <c r="A5089" t="str">
        <f>"20200111155957605"</f>
        <v>20200111155957605</v>
      </c>
      <c r="B5089" t="str">
        <f>"1578729597595459"</f>
        <v>1578729597595459</v>
      </c>
      <c r="C5089" t="s">
        <v>37</v>
      </c>
      <c r="D5089">
        <v>5.6197710000000001</v>
      </c>
      <c r="E5089">
        <v>0.45124619999999999</v>
      </c>
      <c r="F5089" t="s">
        <v>39</v>
      </c>
      <c r="G5089">
        <v>-347.53120000000001</v>
      </c>
      <c r="H5089" s="1">
        <v>-2.0156639999999999E-6</v>
      </c>
      <c r="I5089">
        <v>23.277709999999999</v>
      </c>
      <c r="J5089">
        <v>-359.85750000000002</v>
      </c>
      <c r="K5089">
        <v>1.1050610000000001</v>
      </c>
      <c r="L5089">
        <v>21.382079999999998</v>
      </c>
      <c r="M5089">
        <v>0.99975959999999997</v>
      </c>
      <c r="N5089">
        <v>0</v>
      </c>
      <c r="O5089">
        <v>-1.6046029999999999E-2</v>
      </c>
      <c r="P5089">
        <v>0.999834</v>
      </c>
      <c r="Q5089">
        <v>-3.62204E-3</v>
      </c>
      <c r="R5089">
        <v>1.7857520000000002E-2</v>
      </c>
      <c r="S5089">
        <v>2.991638</v>
      </c>
      <c r="T5089">
        <v>-0.2635285</v>
      </c>
      <c r="U5089">
        <v>0.451385499999999</v>
      </c>
      <c r="V5089">
        <v>-3.391479E-2</v>
      </c>
      <c r="W5089">
        <v>1.126868E-2</v>
      </c>
      <c r="X5089">
        <v>0.99936119999999995</v>
      </c>
      <c r="Y5089">
        <v>-0.16435920000000001</v>
      </c>
      <c r="Z5089">
        <v>8.5880290000000005E-3</v>
      </c>
      <c r="AA5089">
        <v>0.9863632</v>
      </c>
      <c r="AB5089">
        <v>25</v>
      </c>
      <c r="AC5089">
        <v>12.3263</v>
      </c>
      <c r="AD5089">
        <v>-1.105063015664</v>
      </c>
      <c r="AE5089">
        <v>1.8956299999999999</v>
      </c>
      <c r="AF5089">
        <v>-2.0768892981448399</v>
      </c>
      <c r="AG5089">
        <v>-1.105063015664</v>
      </c>
      <c r="AH5089">
        <v>12.1985143804663</v>
      </c>
      <c r="AI5089">
        <v>95.103252716512401</v>
      </c>
      <c r="AJ5089">
        <v>99.662387324029197</v>
      </c>
      <c r="AK5089">
        <v>12.4233001459266</v>
      </c>
    </row>
    <row r="5090" spans="1:37" x14ac:dyDescent="0.2">
      <c r="A5090" t="str">
        <f>"20200111155957618"</f>
        <v>20200111155957618</v>
      </c>
      <c r="B5090" t="str">
        <f>"1578729597615957"</f>
        <v>1578729597615957</v>
      </c>
      <c r="C5090" t="s">
        <v>37</v>
      </c>
      <c r="D5090">
        <v>5.6013500000000001</v>
      </c>
      <c r="E5090">
        <v>0.4511598</v>
      </c>
      <c r="F5090" t="s">
        <v>39</v>
      </c>
      <c r="G5090">
        <v>-347.19199999999898</v>
      </c>
      <c r="H5090" s="1">
        <v>-2.1674260000000001E-6</v>
      </c>
      <c r="I5090">
        <v>23.301269999999999</v>
      </c>
      <c r="J5090">
        <v>-359.69959999999998</v>
      </c>
      <c r="K5090">
        <v>1.1050450000000001</v>
      </c>
      <c r="L5090">
        <v>21.38007</v>
      </c>
      <c r="M5090">
        <v>0.99976690000000001</v>
      </c>
      <c r="N5090">
        <v>0</v>
      </c>
      <c r="O5090">
        <v>-1.5590110000000001E-2</v>
      </c>
      <c r="P5090">
        <v>0.99983319999999998</v>
      </c>
      <c r="Q5090">
        <v>-3.5858270000000002E-3</v>
      </c>
      <c r="R5090">
        <v>1.791123E-2</v>
      </c>
      <c r="S5090">
        <v>2.991425</v>
      </c>
      <c r="T5090">
        <v>-0.2610017</v>
      </c>
      <c r="U5090">
        <v>0.45330809999999999</v>
      </c>
      <c r="V5090">
        <v>-3.3512099999999899E-2</v>
      </c>
      <c r="W5090">
        <v>1.130301E-2</v>
      </c>
      <c r="X5090">
        <v>0.9993744</v>
      </c>
      <c r="Y5090">
        <v>-0.16455359999999999</v>
      </c>
      <c r="Z5090">
        <v>8.4750999999999993E-3</v>
      </c>
      <c r="AA5090">
        <v>0.98633169999999903</v>
      </c>
      <c r="AB5090">
        <v>25</v>
      </c>
      <c r="AC5090">
        <v>12.5076</v>
      </c>
      <c r="AD5090">
        <v>-1.1050471674259901</v>
      </c>
      <c r="AE5090">
        <v>1.9212</v>
      </c>
      <c r="AF5090">
        <v>-2.0999691056329</v>
      </c>
      <c r="AG5090">
        <v>-1.1050471674259901</v>
      </c>
      <c r="AH5090">
        <v>12.381703978325101</v>
      </c>
      <c r="AI5090">
        <v>95.028608500271503</v>
      </c>
      <c r="AJ5090">
        <v>99.625913705567697</v>
      </c>
      <c r="AK5090">
        <v>12.6070453673222</v>
      </c>
    </row>
    <row r="5091" spans="1:37" x14ac:dyDescent="0.2">
      <c r="A5091" t="str">
        <f>"20200111155957633"</f>
        <v>20200111155957633</v>
      </c>
      <c r="B5091" t="str">
        <f>"1578729597625715"</f>
        <v>1578729597625715</v>
      </c>
      <c r="C5091" t="s">
        <v>37</v>
      </c>
      <c r="D5091">
        <v>5.598611</v>
      </c>
      <c r="E5091">
        <v>0.45110459999999902</v>
      </c>
      <c r="F5091" t="s">
        <v>39</v>
      </c>
      <c r="G5091">
        <v>-346.93040000000002</v>
      </c>
      <c r="H5091" s="1">
        <v>-2.2841350000000002E-6</v>
      </c>
      <c r="I5091">
        <v>23.318079999999998</v>
      </c>
      <c r="J5091">
        <v>-359.53519999999997</v>
      </c>
      <c r="K5091">
        <v>1.1050229999999901</v>
      </c>
      <c r="L5091">
        <v>21.378019999999999</v>
      </c>
      <c r="M5091">
        <v>0.99977419999999995</v>
      </c>
      <c r="N5091">
        <v>0</v>
      </c>
      <c r="O5091">
        <v>-1.512692E-2</v>
      </c>
      <c r="P5091">
        <v>0.99983140000000004</v>
      </c>
      <c r="Q5091">
        <v>-3.701013E-3</v>
      </c>
      <c r="R5091">
        <v>1.7995690000000002E-2</v>
      </c>
      <c r="S5091">
        <v>2.99145499999999</v>
      </c>
      <c r="T5091">
        <v>-0.25888049999999901</v>
      </c>
      <c r="U5091">
        <v>0.45404049999999901</v>
      </c>
      <c r="V5091">
        <v>-3.3132830000000002E-2</v>
      </c>
      <c r="W5091">
        <v>1.118572E-2</v>
      </c>
      <c r="X5091">
        <v>0.99938830000000001</v>
      </c>
      <c r="Y5091">
        <v>-0.16434460000000001</v>
      </c>
      <c r="Z5091">
        <v>8.3574540000000003E-3</v>
      </c>
      <c r="AA5091">
        <v>0.98636759999999901</v>
      </c>
      <c r="AB5091">
        <v>25</v>
      </c>
      <c r="AC5091">
        <v>12.6047999999999</v>
      </c>
      <c r="AD5091">
        <v>-1.1050252841349999</v>
      </c>
      <c r="AE5091">
        <v>1.9400599999999899</v>
      </c>
      <c r="AF5091">
        <v>-2.1146549146451399</v>
      </c>
      <c r="AG5091">
        <v>-1.1050252841349999</v>
      </c>
      <c r="AH5091">
        <v>12.480309222538899</v>
      </c>
      <c r="AI5091">
        <v>94.989114723491895</v>
      </c>
      <c r="AJ5091">
        <v>99.616819289449595</v>
      </c>
      <c r="AK5091">
        <v>12.706335607751001</v>
      </c>
    </row>
    <row r="5092" spans="1:37" x14ac:dyDescent="0.2">
      <c r="A5092" t="str">
        <f>"20200111155957650"</f>
        <v>20200111155957650</v>
      </c>
      <c r="B5092" t="str">
        <f>"1578729597646212"</f>
        <v>1578729597646212</v>
      </c>
      <c r="C5092" t="s">
        <v>37</v>
      </c>
      <c r="D5092">
        <v>5.6139029999999996</v>
      </c>
      <c r="E5092">
        <v>0.45100559999999901</v>
      </c>
      <c r="F5092" t="s">
        <v>39</v>
      </c>
      <c r="G5092">
        <v>-346.71210000000002</v>
      </c>
      <c r="H5092" s="1">
        <v>-2.3801120000000002E-6</v>
      </c>
      <c r="I5092">
        <v>23.326889999999999</v>
      </c>
      <c r="J5092">
        <v>-359.35</v>
      </c>
      <c r="K5092">
        <v>1.1050040000000001</v>
      </c>
      <c r="L5092">
        <v>21.375789999999999</v>
      </c>
      <c r="M5092">
        <v>0.99978180000000005</v>
      </c>
      <c r="N5092">
        <v>0</v>
      </c>
      <c r="O5092">
        <v>-1.462097E-2</v>
      </c>
      <c r="P5092">
        <v>0.99983709999999903</v>
      </c>
      <c r="Q5092">
        <v>-3.9293929999999998E-3</v>
      </c>
      <c r="R5092">
        <v>1.7623840000000002E-2</v>
      </c>
      <c r="S5092">
        <v>2.9913639999999999</v>
      </c>
      <c r="T5092">
        <v>-0.25778000000000001</v>
      </c>
      <c r="U5092">
        <v>0.45465090000000002</v>
      </c>
      <c r="V5092">
        <v>-3.2254619999999998E-2</v>
      </c>
      <c r="W5092">
        <v>1.095494E-2</v>
      </c>
      <c r="X5092">
        <v>0.99941959999999996</v>
      </c>
      <c r="Y5092">
        <v>-0.16405510000000001</v>
      </c>
      <c r="Z5092">
        <v>8.2665020000000002E-3</v>
      </c>
      <c r="AA5092">
        <v>0.98641650000000003</v>
      </c>
      <c r="AB5092">
        <v>25</v>
      </c>
      <c r="AC5092">
        <v>12.6379</v>
      </c>
      <c r="AD5092">
        <v>-1.105006380112</v>
      </c>
      <c r="AE5092">
        <v>1.9511000000000001</v>
      </c>
      <c r="AF5092">
        <v>-2.1198611801896798</v>
      </c>
      <c r="AG5092">
        <v>-1.105006380112</v>
      </c>
      <c r="AH5092">
        <v>12.5145715437297</v>
      </c>
      <c r="AI5092">
        <v>94.975478554022004</v>
      </c>
      <c r="AJ5092">
        <v>99.614152861508103</v>
      </c>
      <c r="AK5092">
        <v>12.7408536388459</v>
      </c>
    </row>
    <row r="5093" spans="1:37" x14ac:dyDescent="0.2">
      <c r="A5093" t="str">
        <f>"20200111155957673"</f>
        <v>20200111155957673</v>
      </c>
      <c r="B5093" t="str">
        <f>"1578729597665731"</f>
        <v>1578729597665731</v>
      </c>
      <c r="C5093" t="s">
        <v>37</v>
      </c>
      <c r="D5093">
        <v>5.5540079999999996</v>
      </c>
      <c r="E5093">
        <v>0.45090749999999902</v>
      </c>
      <c r="F5093" t="s">
        <v>39</v>
      </c>
      <c r="G5093">
        <v>-346.48860000000002</v>
      </c>
      <c r="H5093" s="1">
        <v>-2.4764589999999998E-6</v>
      </c>
      <c r="I5093">
        <v>23.328600000000002</v>
      </c>
      <c r="J5093">
        <v>-359.09629999999999</v>
      </c>
      <c r="K5093">
        <v>1.1049739999999999</v>
      </c>
      <c r="L5093">
        <v>21.372889999999899</v>
      </c>
      <c r="M5093">
        <v>0.99979130000000005</v>
      </c>
      <c r="N5093">
        <v>0</v>
      </c>
      <c r="O5093">
        <v>-1.3958709999999999E-2</v>
      </c>
      <c r="P5093">
        <v>0.99984289999999998</v>
      </c>
      <c r="Q5093">
        <v>-4.2043829999999999E-3</v>
      </c>
      <c r="R5093">
        <v>1.721754E-2</v>
      </c>
      <c r="S5093">
        <v>2.99145499999999</v>
      </c>
      <c r="T5093">
        <v>-0.25701439999999998</v>
      </c>
      <c r="U5093">
        <v>0.45422360000000001</v>
      </c>
      <c r="V5093">
        <v>-3.1185290000000001E-2</v>
      </c>
      <c r="W5093">
        <v>1.0676959999999999E-2</v>
      </c>
      <c r="X5093">
        <v>0.99945659999999903</v>
      </c>
      <c r="Y5093">
        <v>-0.16326860000000001</v>
      </c>
      <c r="Z5093">
        <v>8.1518389999999993E-3</v>
      </c>
      <c r="AA5093">
        <v>0.98654799999999998</v>
      </c>
      <c r="AB5093">
        <v>25</v>
      </c>
      <c r="AC5093">
        <v>12.6076999999999</v>
      </c>
      <c r="AD5093">
        <v>-1.104976476459</v>
      </c>
      <c r="AE5093">
        <v>1.9557100000000001</v>
      </c>
      <c r="AF5093">
        <v>-2.1156570942818198</v>
      </c>
      <c r="AG5093">
        <v>-1.104976476459</v>
      </c>
      <c r="AH5093">
        <v>12.4855177124614</v>
      </c>
      <c r="AI5093">
        <v>94.986816956474399</v>
      </c>
      <c r="AJ5093">
        <v>99.617353066238095</v>
      </c>
      <c r="AK5093">
        <v>12.7116140006806</v>
      </c>
    </row>
    <row r="5094" spans="1:37" x14ac:dyDescent="0.2">
      <c r="A5094" t="str">
        <f>"20200111155957694"</f>
        <v>20200111155957694</v>
      </c>
      <c r="B5094" t="str">
        <f>"1578729597685759"</f>
        <v>1578729597685759</v>
      </c>
      <c r="C5094" t="s">
        <v>37</v>
      </c>
      <c r="D5094">
        <v>5.5910120000000001</v>
      </c>
      <c r="E5094">
        <v>0.45070729999999998</v>
      </c>
      <c r="F5094" t="s">
        <v>39</v>
      </c>
      <c r="G5094">
        <v>-346.20420000000001</v>
      </c>
      <c r="H5094" s="1">
        <v>-2.59831399999999E-6</v>
      </c>
      <c r="I5094">
        <v>23.328029999999998</v>
      </c>
      <c r="J5094">
        <v>-358.84679999999997</v>
      </c>
      <c r="K5094">
        <v>1.104954</v>
      </c>
      <c r="L5094">
        <v>21.37012</v>
      </c>
      <c r="M5094">
        <v>0.99979989999999996</v>
      </c>
      <c r="N5094">
        <v>0</v>
      </c>
      <c r="O5094">
        <v>-1.33367E-2</v>
      </c>
      <c r="P5094">
        <v>0.99984229999999996</v>
      </c>
      <c r="Q5094">
        <v>-4.70846299999999E-3</v>
      </c>
      <c r="R5094">
        <v>1.7120779999999999E-2</v>
      </c>
      <c r="S5094">
        <v>2.9915769999999999</v>
      </c>
      <c r="T5094">
        <v>-0.25640679999999999</v>
      </c>
      <c r="U5094">
        <v>0.45370479999999902</v>
      </c>
      <c r="V5094">
        <v>-3.0465809999999999E-2</v>
      </c>
      <c r="W5094">
        <v>1.0168679999999999E-2</v>
      </c>
      <c r="X5094">
        <v>0.99948409999999999</v>
      </c>
      <c r="Y5094">
        <v>-0.16248969999999999</v>
      </c>
      <c r="Z5094">
        <v>8.0463449999999999E-3</v>
      </c>
      <c r="AA5094">
        <v>0.98667739999999904</v>
      </c>
      <c r="AB5094">
        <v>25</v>
      </c>
      <c r="AC5094">
        <v>12.6425999999999</v>
      </c>
      <c r="AD5094">
        <v>-1.1049565983139999</v>
      </c>
      <c r="AE5094">
        <v>1.95790999999999</v>
      </c>
      <c r="AF5094">
        <v>-2.11062042060101</v>
      </c>
      <c r="AG5094">
        <v>-1.1049565983139999</v>
      </c>
      <c r="AH5094">
        <v>12.521949682285801</v>
      </c>
      <c r="AI5094">
        <v>94.973019690209497</v>
      </c>
      <c r="AJ5094">
        <v>99.567484462239406</v>
      </c>
      <c r="AK5094">
        <v>12.7465631246118</v>
      </c>
    </row>
    <row r="5095" spans="1:37" x14ac:dyDescent="0.2">
      <c r="A5095" t="str">
        <f>"20200111155957716"</f>
        <v>20200111155957716</v>
      </c>
      <c r="B5095" t="str">
        <f>"1578729597706255"</f>
        <v>1578729597706255</v>
      </c>
      <c r="C5095" t="s">
        <v>37</v>
      </c>
      <c r="D5095">
        <v>5.5532849999999998</v>
      </c>
      <c r="E5095">
        <v>0.45057809999999998</v>
      </c>
      <c r="F5095" t="s">
        <v>39</v>
      </c>
      <c r="G5095">
        <v>-345.99810000000002</v>
      </c>
      <c r="H5095" s="1">
        <v>-2.685962E-6</v>
      </c>
      <c r="I5095">
        <v>23.325189999999999</v>
      </c>
      <c r="J5095">
        <v>-358.6</v>
      </c>
      <c r="K5095">
        <v>1.10493</v>
      </c>
      <c r="L5095">
        <v>21.367519999999999</v>
      </c>
      <c r="M5095">
        <v>0.99980780000000002</v>
      </c>
      <c r="N5095">
        <v>0</v>
      </c>
      <c r="O5095">
        <v>-1.274394E-2</v>
      </c>
      <c r="P5095">
        <v>0.99983999999999995</v>
      </c>
      <c r="Q5095">
        <v>-4.8270730000000003E-3</v>
      </c>
      <c r="R5095">
        <v>1.7228E-2</v>
      </c>
      <c r="S5095">
        <v>2.99145499999999</v>
      </c>
      <c r="T5095">
        <v>-0.2572567</v>
      </c>
      <c r="U5095">
        <v>0.4552002</v>
      </c>
      <c r="V5095">
        <v>-2.997973E-2</v>
      </c>
      <c r="W5095">
        <v>1.0046619999999999E-2</v>
      </c>
      <c r="X5095">
        <v>0.99950000000000006</v>
      </c>
      <c r="Y5095">
        <v>-0.16239110000000001</v>
      </c>
      <c r="Z5095">
        <v>8.0181179999999994E-3</v>
      </c>
      <c r="AA5095">
        <v>0.98669390000000001</v>
      </c>
      <c r="AB5095">
        <v>25</v>
      </c>
      <c r="AC5095">
        <v>12.601900000000001</v>
      </c>
      <c r="AD5095">
        <v>-1.1049326859619999</v>
      </c>
      <c r="AE5095">
        <v>1.95766999999999</v>
      </c>
      <c r="AF5095">
        <v>-2.1023452043858999</v>
      </c>
      <c r="AG5095">
        <v>-1.1049326859619999</v>
      </c>
      <c r="AH5095">
        <v>12.4822261183539</v>
      </c>
      <c r="AI5095">
        <v>94.988761636167197</v>
      </c>
      <c r="AJ5095">
        <v>99.560433669631195</v>
      </c>
      <c r="AK5095">
        <v>12.7061678120756</v>
      </c>
    </row>
    <row r="5096" spans="1:37" x14ac:dyDescent="0.2">
      <c r="A5096" t="str">
        <f>"20200111155957738"</f>
        <v>20200111155957738</v>
      </c>
      <c r="B5096" t="str">
        <f>"1578729597735535"</f>
        <v>1578729597735535</v>
      </c>
      <c r="C5096" t="s">
        <v>37</v>
      </c>
      <c r="D5096">
        <v>5.5762830000000001</v>
      </c>
      <c r="E5096">
        <v>0.45043319999999998</v>
      </c>
      <c r="F5096" t="s">
        <v>39</v>
      </c>
      <c r="G5096">
        <v>-345.70800000000003</v>
      </c>
      <c r="H5096" s="1">
        <v>-2.8131490000000001E-6</v>
      </c>
      <c r="I5096">
        <v>23.335429999999999</v>
      </c>
      <c r="J5096">
        <v>-358.35770000000002</v>
      </c>
      <c r="K5096">
        <v>1.1049199999999999</v>
      </c>
      <c r="L5096">
        <v>21.365079999999999</v>
      </c>
      <c r="M5096">
        <v>0.99981489999999995</v>
      </c>
      <c r="N5096">
        <v>0</v>
      </c>
      <c r="O5096">
        <v>-1.217816E-2</v>
      </c>
      <c r="P5096">
        <v>0.99983469999999997</v>
      </c>
      <c r="Q5096">
        <v>-4.2602530000000003E-3</v>
      </c>
      <c r="R5096">
        <v>1.7680399999999999E-2</v>
      </c>
      <c r="S5096">
        <v>2.9913639999999999</v>
      </c>
      <c r="T5096">
        <v>-0.25637939999999998</v>
      </c>
      <c r="U5096">
        <v>0.4566345</v>
      </c>
      <c r="V5096">
        <v>-2.98666E-2</v>
      </c>
      <c r="W5096">
        <v>1.0608299999999999E-2</v>
      </c>
      <c r="X5096">
        <v>0.99949759999999999</v>
      </c>
      <c r="Y5096">
        <v>-0.16230629999999999</v>
      </c>
      <c r="Z5096">
        <v>7.9390699999999995E-3</v>
      </c>
      <c r="AA5096">
        <v>0.98670849999999899</v>
      </c>
      <c r="AB5096">
        <v>25</v>
      </c>
      <c r="AC5096">
        <v>12.6496999999999</v>
      </c>
      <c r="AD5096">
        <v>-1.1049228131490001</v>
      </c>
      <c r="AE5096">
        <v>1.97035</v>
      </c>
      <c r="AF5096">
        <v>-2.1085645206405998</v>
      </c>
      <c r="AG5096">
        <v>-1.1049228131490001</v>
      </c>
      <c r="AH5096">
        <v>12.531418501083101</v>
      </c>
      <c r="AI5096">
        <v>94.9693656520638</v>
      </c>
      <c r="AJ5096">
        <v>99.551247826389201</v>
      </c>
      <c r="AK5096">
        <v>12.755522271158</v>
      </c>
    </row>
    <row r="5097" spans="1:37" x14ac:dyDescent="0.2">
      <c r="A5097" t="str">
        <f>"20200111155957752"</f>
        <v>20200111155957752</v>
      </c>
      <c r="B5097" t="str">
        <f>"1578729597745297"</f>
        <v>1578729597745297</v>
      </c>
      <c r="C5097" t="s">
        <v>37</v>
      </c>
      <c r="D5097">
        <v>5.826193</v>
      </c>
      <c r="E5097">
        <v>0.45055909999999899</v>
      </c>
      <c r="F5097" t="s">
        <v>39</v>
      </c>
      <c r="G5097">
        <v>-345.28289999999998</v>
      </c>
      <c r="H5097" s="1">
        <v>-3.005522E-6</v>
      </c>
      <c r="I5097">
        <v>23.373069999999998</v>
      </c>
      <c r="J5097">
        <v>-358.19979999999998</v>
      </c>
      <c r="K5097">
        <v>1.1049149999999901</v>
      </c>
      <c r="L5097">
        <v>21.363589999999999</v>
      </c>
      <c r="M5097">
        <v>0.99981929999999997</v>
      </c>
      <c r="N5097">
        <v>0</v>
      </c>
      <c r="O5097">
        <v>-1.1815630000000001E-2</v>
      </c>
      <c r="P5097">
        <v>0.99982990000000005</v>
      </c>
      <c r="Q5097">
        <v>-3.889492E-3</v>
      </c>
      <c r="R5097">
        <v>1.8042969999999998E-2</v>
      </c>
      <c r="S5097">
        <v>2.9913020000000001</v>
      </c>
      <c r="T5097">
        <v>-0.2527875</v>
      </c>
      <c r="U5097">
        <v>0.45941159999999998</v>
      </c>
      <c r="V5097">
        <v>-2.9866960000000001E-2</v>
      </c>
      <c r="W5097">
        <v>1.0975449999999999E-2</v>
      </c>
      <c r="X5097">
        <v>0.99949359999999998</v>
      </c>
      <c r="Y5097">
        <v>-0.16286339999999999</v>
      </c>
      <c r="Z5097">
        <v>7.8207889999999999E-3</v>
      </c>
      <c r="AA5097">
        <v>0.98661759999999998</v>
      </c>
      <c r="AB5097">
        <v>25</v>
      </c>
      <c r="AC5097">
        <v>12.916899999999901</v>
      </c>
      <c r="AD5097">
        <v>-1.10491800552199</v>
      </c>
      <c r="AE5097">
        <v>2.0094799999999999</v>
      </c>
      <c r="AF5097">
        <v>-2.1466417400369102</v>
      </c>
      <c r="AG5097">
        <v>-1.10491800552199</v>
      </c>
      <c r="AH5097">
        <v>12.8007998263614</v>
      </c>
      <c r="AI5097">
        <v>94.865724085382396</v>
      </c>
      <c r="AJ5097">
        <v>99.519689939234695</v>
      </c>
      <c r="AK5097">
        <v>13.026488043735</v>
      </c>
    </row>
    <row r="5098" spans="1:37" x14ac:dyDescent="0.2">
      <c r="A5098" t="str">
        <f>"20200111155957773"</f>
        <v>20200111155957773</v>
      </c>
      <c r="B5098" t="str">
        <f>"1578729597765793"</f>
        <v>1578729597765793</v>
      </c>
      <c r="C5098" t="s">
        <v>37</v>
      </c>
      <c r="D5098">
        <v>5.5976220000000003</v>
      </c>
      <c r="E5098">
        <v>0.45074150000000002</v>
      </c>
      <c r="F5098" t="s">
        <v>39</v>
      </c>
      <c r="G5098">
        <v>-344.97989999999999</v>
      </c>
      <c r="H5098" s="1">
        <v>-3.1409759999999998E-6</v>
      </c>
      <c r="I5098">
        <v>23.393599999999999</v>
      </c>
      <c r="J5098">
        <v>-357.96879999999999</v>
      </c>
      <c r="K5098">
        <v>1.104911</v>
      </c>
      <c r="L5098">
        <v>21.361450000000001</v>
      </c>
      <c r="M5098">
        <v>0.99982539999999998</v>
      </c>
      <c r="N5098">
        <v>0</v>
      </c>
      <c r="O5098">
        <v>-1.129061E-2</v>
      </c>
      <c r="P5098">
        <v>0.99981989999999998</v>
      </c>
      <c r="Q5098">
        <v>-3.347348E-3</v>
      </c>
      <c r="R5098">
        <v>1.868241E-2</v>
      </c>
      <c r="S5098">
        <v>2.9912719999999999</v>
      </c>
      <c r="T5098">
        <v>-0.25001020000000002</v>
      </c>
      <c r="U5098">
        <v>0.459350599999999</v>
      </c>
      <c r="V5098">
        <v>-2.998116E-2</v>
      </c>
      <c r="W5098">
        <v>1.151137E-2</v>
      </c>
      <c r="X5098">
        <v>0.99948419999999905</v>
      </c>
      <c r="Y5098">
        <v>-0.16234399999999999</v>
      </c>
      <c r="Z5098">
        <v>7.6701349999999998E-3</v>
      </c>
      <c r="AA5098">
        <v>0.98670440000000004</v>
      </c>
      <c r="AB5098">
        <v>25</v>
      </c>
      <c r="AC5098">
        <v>12.988899999999999</v>
      </c>
      <c r="AD5098">
        <v>-1.1049141409759999</v>
      </c>
      <c r="AE5098">
        <v>2.0321499999999899</v>
      </c>
      <c r="AF5098">
        <v>-2.1634084210733202</v>
      </c>
      <c r="AG5098">
        <v>-1.1049141409759999</v>
      </c>
      <c r="AH5098">
        <v>12.8741903950788</v>
      </c>
      <c r="AI5098">
        <v>94.837829447358502</v>
      </c>
      <c r="AJ5098">
        <v>99.538992205939806</v>
      </c>
      <c r="AK5098">
        <v>13.1013720496763</v>
      </c>
    </row>
    <row r="5099" spans="1:37" x14ac:dyDescent="0.2">
      <c r="A5099" t="str">
        <f>"20200111155957786"</f>
        <v>20200111155957786</v>
      </c>
      <c r="B5099" t="str">
        <f>"1578729597776059"</f>
        <v>1578729597776059</v>
      </c>
      <c r="C5099" t="s">
        <v>37</v>
      </c>
      <c r="D5099">
        <v>5.6692919999999898</v>
      </c>
      <c r="E5099">
        <v>0.45061210000000002</v>
      </c>
      <c r="F5099" t="s">
        <v>39</v>
      </c>
      <c r="G5099">
        <v>-344.52809999999999</v>
      </c>
      <c r="H5099" s="1">
        <v>-3.3440199999999998E-6</v>
      </c>
      <c r="I5099">
        <v>23.428229999999999</v>
      </c>
      <c r="J5099">
        <v>-357.81599999999997</v>
      </c>
      <c r="K5099">
        <v>1.104908</v>
      </c>
      <c r="L5099">
        <v>21.360139999999902</v>
      </c>
      <c r="M5099">
        <v>0.99982929999999903</v>
      </c>
      <c r="N5099">
        <v>0</v>
      </c>
      <c r="O5099">
        <v>-1.094505E-2</v>
      </c>
      <c r="P5099">
        <v>0.99980849999999899</v>
      </c>
      <c r="Q5099">
        <v>-3.131025E-3</v>
      </c>
      <c r="R5099">
        <v>1.9319840000000001E-2</v>
      </c>
      <c r="S5099">
        <v>2.9911189999999999</v>
      </c>
      <c r="T5099">
        <v>-0.24588840000000001</v>
      </c>
      <c r="U5099">
        <v>0.45996090000000001</v>
      </c>
      <c r="V5099">
        <v>-3.0273709999999999E-2</v>
      </c>
      <c r="W5099">
        <v>1.172403E-2</v>
      </c>
      <c r="X5099">
        <v>0.999472899999999</v>
      </c>
      <c r="Y5099">
        <v>-0.16222809999999999</v>
      </c>
      <c r="Z5099">
        <v>7.511429E-3</v>
      </c>
      <c r="AA5099">
        <v>0.98672469999999901</v>
      </c>
      <c r="AB5099">
        <v>25</v>
      </c>
      <c r="AC5099">
        <v>13.287899999999899</v>
      </c>
      <c r="AD5099">
        <v>-1.10491134402</v>
      </c>
      <c r="AE5099">
        <v>2.0680900000000002</v>
      </c>
      <c r="AF5099">
        <v>-2.19857704608778</v>
      </c>
      <c r="AG5099">
        <v>-1.10491134402</v>
      </c>
      <c r="AH5099">
        <v>13.1755222698861</v>
      </c>
      <c r="AI5099">
        <v>94.728580962761598</v>
      </c>
      <c r="AJ5099">
        <v>99.473562526373598</v>
      </c>
      <c r="AK5099">
        <v>13.403318887126099</v>
      </c>
    </row>
    <row r="5100" spans="1:37" x14ac:dyDescent="0.2">
      <c r="A5100" t="str">
        <f>"20200111155957806"</f>
        <v>20200111155957806</v>
      </c>
      <c r="B5100" t="str">
        <f>"1578729597795579"</f>
        <v>1578729597795579</v>
      </c>
      <c r="C5100" t="s">
        <v>37</v>
      </c>
      <c r="D5100">
        <v>5.5991059999999999</v>
      </c>
      <c r="E5100">
        <v>0.45049119999999998</v>
      </c>
      <c r="F5100" t="s">
        <v>39</v>
      </c>
      <c r="G5100">
        <v>-344.33769999999998</v>
      </c>
      <c r="H5100" s="1">
        <v>-3.4303969999999999E-6</v>
      </c>
      <c r="I5100">
        <v>23.445959999999999</v>
      </c>
      <c r="J5100">
        <v>-357.59429999999998</v>
      </c>
      <c r="K5100">
        <v>1.104914</v>
      </c>
      <c r="L5100">
        <v>21.358280000000001</v>
      </c>
      <c r="M5100">
        <v>0.99983469999999997</v>
      </c>
      <c r="N5100">
        <v>0</v>
      </c>
      <c r="O5100">
        <v>-1.0444510000000001E-2</v>
      </c>
      <c r="P5100">
        <v>0.99979379999999995</v>
      </c>
      <c r="Q5100">
        <v>-3.859304E-3</v>
      </c>
      <c r="R5100">
        <v>1.9937E-2</v>
      </c>
      <c r="S5100">
        <v>2.9908139999999999</v>
      </c>
      <c r="T5100">
        <v>-0.2451779</v>
      </c>
      <c r="U5100">
        <v>0.462860099999999</v>
      </c>
      <c r="V5100">
        <v>-3.03892999999999E-2</v>
      </c>
      <c r="W5100">
        <v>1.099022E-2</v>
      </c>
      <c r="X5100">
        <v>0.99947770000000002</v>
      </c>
      <c r="Y5100">
        <v>-0.1626869</v>
      </c>
      <c r="Z5100">
        <v>7.4679239999999999E-3</v>
      </c>
      <c r="AA5100">
        <v>0.98664949999999996</v>
      </c>
      <c r="AB5100">
        <v>25</v>
      </c>
      <c r="AC5100">
        <v>13.256599999999899</v>
      </c>
      <c r="AD5100">
        <v>-1.104917430397</v>
      </c>
      <c r="AE5100">
        <v>2.08767999999999</v>
      </c>
      <c r="AF5100">
        <v>-2.21105174329765</v>
      </c>
      <c r="AG5100">
        <v>-1.104917430397</v>
      </c>
      <c r="AH5100">
        <v>13.1449618362665</v>
      </c>
      <c r="AI5100">
        <v>94.738522491712899</v>
      </c>
      <c r="AJ5100">
        <v>99.5480731729198</v>
      </c>
      <c r="AK5100">
        <v>13.375336033776399</v>
      </c>
    </row>
    <row r="5101" spans="1:37" x14ac:dyDescent="0.2">
      <c r="A5101" t="str">
        <f>"20200111155957819"</f>
        <v>20200111155957819</v>
      </c>
      <c r="B5101" t="str">
        <f>"1578729597816075"</f>
        <v>1578729597816075</v>
      </c>
      <c r="C5101" t="s">
        <v>37</v>
      </c>
      <c r="D5101">
        <v>5.6561760000000003</v>
      </c>
      <c r="E5101">
        <v>0.45032689999999997</v>
      </c>
      <c r="F5101" t="s">
        <v>39</v>
      </c>
      <c r="G5101">
        <v>-344.23390000000001</v>
      </c>
      <c r="H5101" s="1">
        <v>-3.47297399999999E-6</v>
      </c>
      <c r="I5101">
        <v>23.43854</v>
      </c>
      <c r="J5101">
        <v>-357.43779999999998</v>
      </c>
      <c r="K5101">
        <v>1.104916</v>
      </c>
      <c r="L5101">
        <v>21.357060000000001</v>
      </c>
      <c r="M5101">
        <v>0.99983849999999996</v>
      </c>
      <c r="N5101">
        <v>0</v>
      </c>
      <c r="O5101">
        <v>-1.009058E-2</v>
      </c>
      <c r="P5101">
        <v>0.999778099999999</v>
      </c>
      <c r="Q5101">
        <v>-4.1467880000000002E-3</v>
      </c>
      <c r="R5101">
        <v>2.0659799999999999E-2</v>
      </c>
      <c r="S5101">
        <v>2.9904169999999999</v>
      </c>
      <c r="T5101">
        <v>-0.24730969999999999</v>
      </c>
      <c r="U5101">
        <v>0.46563719999999997</v>
      </c>
      <c r="V5101">
        <v>-3.075779E-2</v>
      </c>
      <c r="W5101">
        <v>1.069842E-2</v>
      </c>
      <c r="X5101">
        <v>0.99946959999999996</v>
      </c>
      <c r="Y5101">
        <v>-0.16324149999999901</v>
      </c>
      <c r="Z5101">
        <v>7.5267930000000004E-3</v>
      </c>
      <c r="AA5101">
        <v>0.98655740000000003</v>
      </c>
      <c r="AB5101">
        <v>25</v>
      </c>
      <c r="AC5101">
        <v>13.2038999999999</v>
      </c>
      <c r="AD5101">
        <v>-1.1049194729739999</v>
      </c>
      <c r="AE5101">
        <v>2.0814799999999898</v>
      </c>
      <c r="AF5101">
        <v>-2.1995944494044601</v>
      </c>
      <c r="AG5101">
        <v>-1.1049194729739999</v>
      </c>
      <c r="AH5101">
        <v>13.092762259434499</v>
      </c>
      <c r="AI5101">
        <v>94.757495034185993</v>
      </c>
      <c r="AJ5101">
        <v>99.536679977728298</v>
      </c>
      <c r="AK5101">
        <v>13.3221427092521</v>
      </c>
    </row>
    <row r="5102" spans="1:37" x14ac:dyDescent="0.2">
      <c r="A5102" t="str">
        <f>"20200111155957838"</f>
        <v>20200111155957838</v>
      </c>
      <c r="B5102" t="str">
        <f>"1578729597835595"</f>
        <v>1578729597835595</v>
      </c>
      <c r="C5102" t="s">
        <v>37</v>
      </c>
      <c r="D5102">
        <v>6.046278</v>
      </c>
      <c r="E5102">
        <v>0.45033050000000002</v>
      </c>
      <c r="F5102" t="s">
        <v>39</v>
      </c>
      <c r="G5102">
        <v>-344.13199999999898</v>
      </c>
      <c r="H5102" s="1">
        <v>-3.5183019999999999E-6</v>
      </c>
      <c r="I5102">
        <v>23.44464</v>
      </c>
      <c r="J5102">
        <v>-357.23579999999998</v>
      </c>
      <c r="K5102">
        <v>1.1049229999999901</v>
      </c>
      <c r="L5102">
        <v>21.355529999999899</v>
      </c>
      <c r="M5102">
        <v>0.99984289999999998</v>
      </c>
      <c r="N5102">
        <v>0</v>
      </c>
      <c r="O5102">
        <v>-9.6319690000000006E-3</v>
      </c>
      <c r="P5102">
        <v>0.99975630000000004</v>
      </c>
      <c r="Q5102">
        <v>-4.7426909999999899E-3</v>
      </c>
      <c r="R5102">
        <v>2.1564679999999999E-2</v>
      </c>
      <c r="S5102">
        <v>2.9899290000000001</v>
      </c>
      <c r="T5102">
        <v>-0.2482848</v>
      </c>
      <c r="U5102">
        <v>0.46911619999999998</v>
      </c>
      <c r="V5102">
        <v>-3.120359E-2</v>
      </c>
      <c r="W5102">
        <v>1.0097160000000001E-2</v>
      </c>
      <c r="X5102">
        <v>0.99946209999999902</v>
      </c>
      <c r="Y5102">
        <v>-0.16392870000000001</v>
      </c>
      <c r="Z5102">
        <v>7.54742E-3</v>
      </c>
      <c r="AA5102">
        <v>0.98644330000000002</v>
      </c>
      <c r="AB5102">
        <v>25</v>
      </c>
      <c r="AC5102">
        <v>13.1038</v>
      </c>
      <c r="AD5102">
        <v>-1.1049265183019901</v>
      </c>
      <c r="AE5102">
        <v>2.0891099999999998</v>
      </c>
      <c r="AF5102">
        <v>-2.1999881470828702</v>
      </c>
      <c r="AG5102">
        <v>-1.1049265183019901</v>
      </c>
      <c r="AH5102">
        <v>12.992976751657899</v>
      </c>
      <c r="AI5102">
        <v>94.792859950659206</v>
      </c>
      <c r="AJ5102">
        <v>99.610248549747993</v>
      </c>
      <c r="AK5102">
        <v>13.2241542386375</v>
      </c>
    </row>
    <row r="5103" spans="1:37" x14ac:dyDescent="0.2">
      <c r="A5103" t="str">
        <f>"20200111155957865"</f>
        <v>20200111155957865</v>
      </c>
      <c r="B5103" t="str">
        <f>"1578729597856092"</f>
        <v>1578729597856092</v>
      </c>
      <c r="C5103" t="s">
        <v>37</v>
      </c>
      <c r="D5103">
        <v>6.3673070000000003</v>
      </c>
      <c r="E5103">
        <v>0.45033050000000002</v>
      </c>
      <c r="F5103" t="s">
        <v>39</v>
      </c>
      <c r="G5103">
        <v>-344.00940000000003</v>
      </c>
      <c r="H5103" s="1">
        <v>-3.5705599999999999E-6</v>
      </c>
      <c r="I5103">
        <v>23.443439999999999</v>
      </c>
      <c r="J5103">
        <v>-356.92950000000002</v>
      </c>
      <c r="K5103">
        <v>1.1049309999999899</v>
      </c>
      <c r="L5103">
        <v>21.353390000000001</v>
      </c>
      <c r="M5103">
        <v>0.99984959999999901</v>
      </c>
      <c r="N5103">
        <v>0</v>
      </c>
      <c r="O5103">
        <v>-8.9341090000000008E-3</v>
      </c>
      <c r="P5103">
        <v>0.99972989999999995</v>
      </c>
      <c r="Q5103">
        <v>-4.528008E-3</v>
      </c>
      <c r="R5103">
        <v>2.279378E-2</v>
      </c>
      <c r="S5103">
        <v>2.9894099999999999</v>
      </c>
      <c r="T5103">
        <v>-0.24973319999999999</v>
      </c>
      <c r="U5103">
        <v>0.4719238</v>
      </c>
      <c r="V5103">
        <v>-3.1734909999999998E-2</v>
      </c>
      <c r="W5103">
        <v>1.0303140000000001E-2</v>
      </c>
      <c r="X5103">
        <v>0.99944319999999898</v>
      </c>
      <c r="Y5103">
        <v>-0.16416510000000001</v>
      </c>
      <c r="Z5103">
        <v>7.543981E-3</v>
      </c>
      <c r="AA5103">
        <v>0.98640399999999995</v>
      </c>
      <c r="AB5103">
        <v>25</v>
      </c>
      <c r="AC5103">
        <v>12.9200999999999</v>
      </c>
      <c r="AD5103">
        <v>-1.10493457056</v>
      </c>
      <c r="AE5103">
        <v>2.09004999999999</v>
      </c>
      <c r="AF5103">
        <v>-2.18980161793435</v>
      </c>
      <c r="AG5103">
        <v>-1.10493457056</v>
      </c>
      <c r="AH5103">
        <v>12.809612007889999</v>
      </c>
      <c r="AI5103">
        <v>94.859874150068805</v>
      </c>
      <c r="AJ5103">
        <v>99.700932360927695</v>
      </c>
      <c r="AK5103">
        <v>13.0423261469649</v>
      </c>
    </row>
    <row r="5104" spans="1:37" x14ac:dyDescent="0.2">
      <c r="A5104" t="str">
        <f>"20200111155957883"</f>
        <v>20200111155957883</v>
      </c>
      <c r="B5104" t="str">
        <f>"1578729597875142"</f>
        <v>1578729597875142</v>
      </c>
      <c r="C5104" t="s">
        <v>37</v>
      </c>
      <c r="D5104">
        <v>5.92157</v>
      </c>
      <c r="E5104">
        <v>0.66636490000000004</v>
      </c>
      <c r="F5104" t="s">
        <v>39</v>
      </c>
      <c r="G5104">
        <v>-343.67189999999999</v>
      </c>
      <c r="H5104" s="1">
        <v>-3.7088789999999998E-6</v>
      </c>
      <c r="I5104">
        <v>23.463419999999999</v>
      </c>
      <c r="J5104">
        <v>-356.72489999999999</v>
      </c>
      <c r="K5104">
        <v>1.1049340000000001</v>
      </c>
      <c r="L5104">
        <v>21.352079999999901</v>
      </c>
      <c r="M5104">
        <v>0.99985380000000001</v>
      </c>
      <c r="N5104">
        <v>0</v>
      </c>
      <c r="O5104">
        <v>-8.4675310000000004E-3</v>
      </c>
      <c r="P5104">
        <v>0.99971829999999995</v>
      </c>
      <c r="Q5104">
        <v>-3.8238690000000001E-3</v>
      </c>
      <c r="R5104">
        <v>2.342965E-2</v>
      </c>
      <c r="S5104">
        <v>2.9888309999999998</v>
      </c>
      <c r="T5104">
        <v>-0.2490994</v>
      </c>
      <c r="U5104">
        <v>0.47570800000000002</v>
      </c>
      <c r="V5104">
        <v>-3.1904809999999999E-2</v>
      </c>
      <c r="W5104">
        <v>1.100167E-2</v>
      </c>
      <c r="X5104">
        <v>0.99943040000000005</v>
      </c>
      <c r="Y5104">
        <v>-0.164954399999999</v>
      </c>
      <c r="Z5104">
        <v>7.5196369999999896E-3</v>
      </c>
      <c r="AA5104">
        <v>0.9862725</v>
      </c>
      <c r="AB5104">
        <v>25</v>
      </c>
      <c r="AC5104">
        <v>13.0529999999999</v>
      </c>
      <c r="AD5104">
        <v>-1.104937708879</v>
      </c>
      <c r="AE5104">
        <v>2.1113400000000002</v>
      </c>
      <c r="AF5104">
        <v>-2.20639603825984</v>
      </c>
      <c r="AG5104">
        <v>-1.104937708879</v>
      </c>
      <c r="AH5104">
        <v>12.944263112321901</v>
      </c>
      <c r="AI5104">
        <v>94.809965969478299</v>
      </c>
      <c r="AJ5104">
        <v>99.673301894122204</v>
      </c>
      <c r="AK5104">
        <v>13.177367655915599</v>
      </c>
    </row>
    <row r="5105" spans="1:37" x14ac:dyDescent="0.2">
      <c r="A5105" t="str">
        <f>"20200111155957906"</f>
        <v>20200111155957906</v>
      </c>
      <c r="B5105" t="str">
        <f>"1578729597895638"</f>
        <v>1578729597895638</v>
      </c>
      <c r="C5105" t="s">
        <v>37</v>
      </c>
      <c r="D5105">
        <v>5.7682890000000002</v>
      </c>
      <c r="E5105">
        <v>0.58271660000000003</v>
      </c>
      <c r="F5105" t="s">
        <v>41</v>
      </c>
      <c r="G5105">
        <v>-306.89249999999998</v>
      </c>
      <c r="H5105">
        <v>-0.05</v>
      </c>
      <c r="I5105">
        <v>0.71563719999999997</v>
      </c>
      <c r="J5105">
        <v>-356.48649999999998</v>
      </c>
      <c r="K5105">
        <v>1.10493</v>
      </c>
      <c r="L5105">
        <v>21.350709999999999</v>
      </c>
      <c r="M5105">
        <v>0.99985840000000004</v>
      </c>
      <c r="N5105">
        <v>0</v>
      </c>
      <c r="O5105">
        <v>-7.9255209999999996E-3</v>
      </c>
      <c r="P5105">
        <v>0.99970389999999998</v>
      </c>
      <c r="Q5105">
        <v>-3.1159019999999998E-3</v>
      </c>
      <c r="R5105">
        <v>2.4140559999999998E-2</v>
      </c>
      <c r="S5105">
        <v>3.0299680000000002</v>
      </c>
      <c r="T5105">
        <v>-7.0223690000000005E-2</v>
      </c>
      <c r="U5105">
        <v>-1.254761</v>
      </c>
      <c r="V5105">
        <v>-3.2073730000000002E-2</v>
      </c>
      <c r="W5105">
        <v>1.170448E-2</v>
      </c>
      <c r="X5105">
        <v>0.99941689999999905</v>
      </c>
      <c r="Y5105">
        <v>0.37518770000000001</v>
      </c>
      <c r="Z5105">
        <v>-3.9989520000000001E-3</v>
      </c>
      <c r="AA5105">
        <v>0.92694019999999999</v>
      </c>
      <c r="AB5105">
        <v>25</v>
      </c>
      <c r="AC5105">
        <v>49.593999999999902</v>
      </c>
      <c r="AD5105">
        <v>-1.15493</v>
      </c>
      <c r="AE5105">
        <v>-20.6350728</v>
      </c>
      <c r="AF5105">
        <v>20.2319700254065</v>
      </c>
      <c r="AG5105">
        <v>-1.15493</v>
      </c>
      <c r="AH5105">
        <v>49.733012943892099</v>
      </c>
      <c r="AI5105">
        <v>91.232285133458703</v>
      </c>
      <c r="AJ5105">
        <v>67.862934566608203</v>
      </c>
      <c r="AK5105">
        <v>53.703249909956</v>
      </c>
    </row>
    <row r="5106" spans="1:37" x14ac:dyDescent="0.2">
      <c r="A5106" t="str">
        <f>"20200111155958341"</f>
        <v>20200111155958341</v>
      </c>
      <c r="B5106" t="str">
        <f>"1578729598335854"</f>
        <v>1578729598335854</v>
      </c>
      <c r="C5106" t="s">
        <v>37</v>
      </c>
      <c r="D5106">
        <v>5.7161739999999996</v>
      </c>
      <c r="E5106">
        <v>0.52764609999999901</v>
      </c>
      <c r="F5106" t="s">
        <v>39</v>
      </c>
      <c r="G5106">
        <v>-339.2731</v>
      </c>
      <c r="H5106" s="1">
        <v>-4.2471209999999999E-7</v>
      </c>
      <c r="I5106">
        <v>18.897410000000001</v>
      </c>
      <c r="J5106">
        <v>-351.77099999999899</v>
      </c>
      <c r="K5106">
        <v>1.104787</v>
      </c>
      <c r="L5106">
        <v>21.339020000000001</v>
      </c>
      <c r="M5106">
        <v>0.99989089999999903</v>
      </c>
      <c r="N5106">
        <v>0</v>
      </c>
      <c r="O5106">
        <v>-1.106451E-3</v>
      </c>
      <c r="P5106">
        <v>0.99976369999999903</v>
      </c>
      <c r="Q5106">
        <v>8.8941880000000008E-3</v>
      </c>
      <c r="R5106">
        <v>1.984909E-2</v>
      </c>
      <c r="S5106">
        <v>3.0147400000000002</v>
      </c>
      <c r="T5106">
        <v>-0.26368150000000001</v>
      </c>
      <c r="U5106">
        <v>-0.58273319999999995</v>
      </c>
      <c r="V5106">
        <v>-2.0964690000000001E-2</v>
      </c>
      <c r="W5106">
        <v>2.3621570000000001E-2</v>
      </c>
      <c r="X5106">
        <v>0.99950110000000003</v>
      </c>
      <c r="Y5106">
        <v>0.18800739999999999</v>
      </c>
      <c r="Z5106">
        <v>-8.0357329999999998E-3</v>
      </c>
      <c r="AA5106">
        <v>0.98213479999999997</v>
      </c>
      <c r="AB5106">
        <v>24</v>
      </c>
      <c r="AC5106">
        <v>12.4978999999999</v>
      </c>
      <c r="AD5106">
        <v>-1.1047874247120999</v>
      </c>
      <c r="AE5106">
        <v>-2.4416099999999998</v>
      </c>
      <c r="AF5106">
        <v>2.4096415457501998</v>
      </c>
      <c r="AG5106">
        <v>-1.1047874247120999</v>
      </c>
      <c r="AH5106">
        <v>12.4072062894588</v>
      </c>
      <c r="AI5106">
        <v>94.995570314412106</v>
      </c>
      <c r="AJ5106">
        <v>79.009233866674705</v>
      </c>
      <c r="AK5106">
        <v>12.6872256834185</v>
      </c>
    </row>
    <row r="5107" spans="1:37" x14ac:dyDescent="0.2">
      <c r="A5107" t="str">
        <f>"20200111155958356"</f>
        <v>20200111155958356</v>
      </c>
      <c r="B5107" t="str">
        <f>"1578729598345614"</f>
        <v>1578729598345614</v>
      </c>
      <c r="C5107" t="s">
        <v>37</v>
      </c>
      <c r="D5107">
        <v>5.6515269999999997</v>
      </c>
      <c r="E5107">
        <v>0.528286699999999</v>
      </c>
      <c r="F5107" t="s">
        <v>38</v>
      </c>
      <c r="G5107">
        <v>-351.02710000000002</v>
      </c>
      <c r="H5107">
        <v>1.020939</v>
      </c>
      <c r="I5107">
        <v>21.304269999999999</v>
      </c>
      <c r="J5107">
        <v>-351.625</v>
      </c>
      <c r="K5107">
        <v>1.1047929999999999</v>
      </c>
      <c r="L5107">
        <v>21.33905</v>
      </c>
      <c r="M5107">
        <v>0.99989099999999997</v>
      </c>
      <c r="N5107">
        <v>0</v>
      </c>
      <c r="O5107">
        <v>-9.4285349999999996E-4</v>
      </c>
      <c r="P5107">
        <v>0.9997625</v>
      </c>
      <c r="Q5107">
        <v>9.1689809999999997E-3</v>
      </c>
      <c r="R5107">
        <v>1.9773889999999999E-2</v>
      </c>
      <c r="S5107">
        <v>3.0065</v>
      </c>
      <c r="T5107">
        <v>-0.33893119999999999</v>
      </c>
      <c r="U5107">
        <v>-0.13912959999999999</v>
      </c>
      <c r="V5107">
        <v>-2.0725299999999999E-2</v>
      </c>
      <c r="W5107">
        <v>2.3892819999999999E-2</v>
      </c>
      <c r="X5107">
        <v>0.99949969999999999</v>
      </c>
      <c r="Y5107">
        <v>4.5006329999999997E-2</v>
      </c>
      <c r="Z5107">
        <v>-2.4215859999999999E-3</v>
      </c>
      <c r="AA5107">
        <v>0.99898369999999903</v>
      </c>
      <c r="AB5107">
        <v>24</v>
      </c>
      <c r="AC5107">
        <v>0.597899999999981</v>
      </c>
      <c r="AD5107">
        <v>-8.3854000000000095E-2</v>
      </c>
      <c r="AE5107">
        <v>-3.4779999999997799E-2</v>
      </c>
      <c r="AF5107">
        <v>3.3558345695518098E-2</v>
      </c>
      <c r="AG5107">
        <v>-8.3854000000000095E-2</v>
      </c>
      <c r="AH5107">
        <v>0.58643659130856995</v>
      </c>
      <c r="AI5107">
        <v>98.124394378015097</v>
      </c>
      <c r="AJ5107">
        <v>86.724868524016202</v>
      </c>
      <c r="AK5107">
        <v>0.59335110306414196</v>
      </c>
    </row>
    <row r="5108" spans="1:37" x14ac:dyDescent="0.2">
      <c r="A5108" t="str">
        <f>"20200111155958376"</f>
        <v>20200111155958376</v>
      </c>
      <c r="B5108" t="str">
        <f>"1578729598365133"</f>
        <v>1578729598365133</v>
      </c>
      <c r="C5108" t="s">
        <v>37</v>
      </c>
      <c r="D5108">
        <v>5.7123699999999999</v>
      </c>
      <c r="E5108">
        <v>0.52914819999999996</v>
      </c>
      <c r="F5108" t="s">
        <v>38</v>
      </c>
      <c r="G5108">
        <v>-350.8193</v>
      </c>
      <c r="H5108">
        <v>1.013442</v>
      </c>
      <c r="I5108">
        <v>21.30039</v>
      </c>
      <c r="J5108">
        <v>-351.40719999999999</v>
      </c>
      <c r="K5108">
        <v>1.1047959999999999</v>
      </c>
      <c r="L5108">
        <v>21.339110000000002</v>
      </c>
      <c r="M5108">
        <v>0.99989119999999998</v>
      </c>
      <c r="N5108">
        <v>0</v>
      </c>
      <c r="O5108">
        <v>-6.9758839999999999E-4</v>
      </c>
      <c r="P5108">
        <v>0.99976919999999903</v>
      </c>
      <c r="Q5108">
        <v>9.9733419999999996E-3</v>
      </c>
      <c r="R5108">
        <v>1.9028630000000001E-2</v>
      </c>
      <c r="S5108">
        <v>3.0066830000000002</v>
      </c>
      <c r="T5108">
        <v>-0.34091529999999998</v>
      </c>
      <c r="U5108">
        <v>-0.14416499999999999</v>
      </c>
      <c r="V5108">
        <v>-1.9735490000000001E-2</v>
      </c>
      <c r="W5108">
        <v>2.469271E-2</v>
      </c>
      <c r="X5108">
        <v>0.99950030000000001</v>
      </c>
      <c r="Y5108">
        <v>4.6900919999999999E-2</v>
      </c>
      <c r="Z5108">
        <v>-2.5701439999999999E-3</v>
      </c>
      <c r="AA5108">
        <v>0.99889619999999901</v>
      </c>
      <c r="AB5108">
        <v>24</v>
      </c>
      <c r="AC5108">
        <v>0.58789999999998999</v>
      </c>
      <c r="AD5108">
        <v>-9.1353999999999894E-2</v>
      </c>
      <c r="AE5108">
        <v>-3.8720000000001399E-2</v>
      </c>
      <c r="AF5108">
        <v>3.7410417059259002E-2</v>
      </c>
      <c r="AG5108">
        <v>-9.1353999999999894E-2</v>
      </c>
      <c r="AH5108">
        <v>0.57412385347049599</v>
      </c>
      <c r="AI5108">
        <v>99.022233313427606</v>
      </c>
      <c r="AJ5108">
        <v>86.271827005764607</v>
      </c>
      <c r="AK5108">
        <v>0.58254896081304497</v>
      </c>
    </row>
    <row r="5109" spans="1:37" x14ac:dyDescent="0.2">
      <c r="A5109" t="str">
        <f>"20200111155958397"</f>
        <v>20200111155958397</v>
      </c>
      <c r="B5109" t="str">
        <f>"1578729598385629"</f>
        <v>1578729598385629</v>
      </c>
      <c r="C5109" t="s">
        <v>37</v>
      </c>
      <c r="D5109">
        <v>5.6903189999999997</v>
      </c>
      <c r="E5109">
        <v>0.52986679999999997</v>
      </c>
      <c r="F5109" t="s">
        <v>38</v>
      </c>
      <c r="G5109">
        <v>-350.60759999999999</v>
      </c>
      <c r="H5109">
        <v>1.0143770000000001</v>
      </c>
      <c r="I5109">
        <v>21.298279999999998</v>
      </c>
      <c r="J5109">
        <v>-351.1884</v>
      </c>
      <c r="K5109">
        <v>1.1048020000000001</v>
      </c>
      <c r="L5109">
        <v>21.339230000000001</v>
      </c>
      <c r="M5109">
        <v>0.99989150000000004</v>
      </c>
      <c r="N5109">
        <v>0</v>
      </c>
      <c r="O5109">
        <v>-4.498374E-4</v>
      </c>
      <c r="P5109">
        <v>0.99978480000000003</v>
      </c>
      <c r="Q5109">
        <v>1.0347439999999999E-2</v>
      </c>
      <c r="R5109">
        <v>1.798754E-2</v>
      </c>
      <c r="S5109">
        <v>3.0069889999999999</v>
      </c>
      <c r="T5109">
        <v>-0.34004069999999997</v>
      </c>
      <c r="U5109">
        <v>-0.15280150000000001</v>
      </c>
      <c r="V5109">
        <v>-1.8446580000000001E-2</v>
      </c>
      <c r="W5109">
        <v>2.5062149999999998E-2</v>
      </c>
      <c r="X5109">
        <v>0.99951569999999901</v>
      </c>
      <c r="Y5109">
        <v>4.9985769999999999E-2</v>
      </c>
      <c r="Z5109">
        <v>-2.7648239999999999E-3</v>
      </c>
      <c r="AA5109">
        <v>0.99874609999999997</v>
      </c>
      <c r="AB5109">
        <v>24</v>
      </c>
      <c r="AC5109">
        <v>0.58080000000000997</v>
      </c>
      <c r="AD5109">
        <v>-9.0424999999999894E-2</v>
      </c>
      <c r="AE5109">
        <v>-4.09500000000022E-2</v>
      </c>
      <c r="AF5109">
        <v>3.9730419837796897E-2</v>
      </c>
      <c r="AG5109">
        <v>-9.0424999999999894E-2</v>
      </c>
      <c r="AH5109">
        <v>0.56713918941641706</v>
      </c>
      <c r="AI5109">
        <v>99.037240235228197</v>
      </c>
      <c r="AJ5109">
        <v>85.992743051883394</v>
      </c>
      <c r="AK5109">
        <v>0.57567529654953797</v>
      </c>
    </row>
    <row r="5110" spans="1:37" x14ac:dyDescent="0.2">
      <c r="A5110" t="str">
        <f>"20200111155958413"</f>
        <v>20200111155958413</v>
      </c>
      <c r="B5110" t="str">
        <f>"1578729598406126"</f>
        <v>1578729598406126</v>
      </c>
      <c r="C5110" t="s">
        <v>37</v>
      </c>
      <c r="D5110">
        <v>5.6908659999999998</v>
      </c>
      <c r="E5110">
        <v>0.5306052</v>
      </c>
      <c r="F5110" t="s">
        <v>38</v>
      </c>
      <c r="G5110">
        <v>-350.39609999999999</v>
      </c>
      <c r="H5110">
        <v>1.0156099999999999</v>
      </c>
      <c r="I5110">
        <v>21.296610000000001</v>
      </c>
      <c r="J5110">
        <v>-351.02260000000001</v>
      </c>
      <c r="K5110">
        <v>1.1048020000000001</v>
      </c>
      <c r="L5110">
        <v>21.339359999999999</v>
      </c>
      <c r="M5110">
        <v>0.99989169999999905</v>
      </c>
      <c r="N5110">
        <v>0</v>
      </c>
      <c r="O5110">
        <v>-2.6135090000000002E-4</v>
      </c>
      <c r="P5110">
        <v>0.99979240000000003</v>
      </c>
      <c r="Q5110">
        <v>1.0716069999999999E-2</v>
      </c>
      <c r="R5110">
        <v>1.73367E-2</v>
      </c>
      <c r="S5110">
        <v>3.0070189999999899</v>
      </c>
      <c r="T5110">
        <v>-0.33854959999999901</v>
      </c>
      <c r="U5110">
        <v>-0.16122439999999999</v>
      </c>
      <c r="V5110">
        <v>-1.7607589999999999E-2</v>
      </c>
      <c r="W5110">
        <v>2.5427290000000002E-2</v>
      </c>
      <c r="X5110">
        <v>0.99952160000000001</v>
      </c>
      <c r="Y5110">
        <v>5.294621E-2</v>
      </c>
      <c r="Z5110">
        <v>-2.9397E-3</v>
      </c>
      <c r="AA5110">
        <v>0.99859299999999995</v>
      </c>
      <c r="AB5110">
        <v>24</v>
      </c>
      <c r="AC5110">
        <v>0.62650000000002104</v>
      </c>
      <c r="AD5110">
        <v>-8.9191999999999896E-2</v>
      </c>
      <c r="AE5110">
        <v>-4.2749999999997998E-2</v>
      </c>
      <c r="AF5110">
        <v>4.1744098683442102E-2</v>
      </c>
      <c r="AG5110">
        <v>-8.9191999999999896E-2</v>
      </c>
      <c r="AH5110">
        <v>0.61412185326690905</v>
      </c>
      <c r="AI5110">
        <v>98.244812352158803</v>
      </c>
      <c r="AJ5110">
        <v>86.111378878986997</v>
      </c>
      <c r="AK5110">
        <v>0.62196738925676498</v>
      </c>
    </row>
    <row r="5111" spans="1:37" x14ac:dyDescent="0.2">
      <c r="A5111" t="str">
        <f>"20200111155958431"</f>
        <v>20200111155958431</v>
      </c>
      <c r="B5111" t="str">
        <f>"1578729598425645"</f>
        <v>1578729598425645</v>
      </c>
      <c r="C5111" t="s">
        <v>37</v>
      </c>
      <c r="D5111">
        <v>5.6979410000000001</v>
      </c>
      <c r="E5111">
        <v>0.53105669999999905</v>
      </c>
      <c r="F5111" t="s">
        <v>38</v>
      </c>
      <c r="G5111">
        <v>-350.1875</v>
      </c>
      <c r="H5111">
        <v>1.0119229999999999</v>
      </c>
      <c r="I5111">
        <v>21.292259999999999</v>
      </c>
      <c r="J5111">
        <v>-350.83409999999998</v>
      </c>
      <c r="K5111">
        <v>1.104808</v>
      </c>
      <c r="L5111">
        <v>21.33954</v>
      </c>
      <c r="M5111">
        <v>0.9998918</v>
      </c>
      <c r="N5111">
        <v>0</v>
      </c>
      <c r="O5111" s="1">
        <v>-4.6819929999999997E-5</v>
      </c>
      <c r="P5111">
        <v>0.99980590000000003</v>
      </c>
      <c r="Q5111">
        <v>1.127304E-2</v>
      </c>
      <c r="R5111">
        <v>1.615801E-2</v>
      </c>
      <c r="S5111">
        <v>3.0071409999999998</v>
      </c>
      <c r="T5111">
        <v>-0.33448270000000002</v>
      </c>
      <c r="U5111">
        <v>-0.16906740000000001</v>
      </c>
      <c r="V5111">
        <v>-1.621469E-2</v>
      </c>
      <c r="W5111">
        <v>2.5980710000000001E-2</v>
      </c>
      <c r="X5111">
        <v>0.9995309</v>
      </c>
      <c r="Y5111">
        <v>5.5744170000000003E-2</v>
      </c>
      <c r="Z5111">
        <v>-3.0830620000000001E-3</v>
      </c>
      <c r="AA5111">
        <v>0.99844029999999995</v>
      </c>
      <c r="AB5111">
        <v>24</v>
      </c>
      <c r="AC5111">
        <v>0.64659999999997797</v>
      </c>
      <c r="AD5111">
        <v>-9.2885000000000106E-2</v>
      </c>
      <c r="AE5111">
        <v>-4.7280000000000599E-2</v>
      </c>
      <c r="AF5111">
        <v>4.6299382649952599E-2</v>
      </c>
      <c r="AG5111">
        <v>-9.2885000000000106E-2</v>
      </c>
      <c r="AH5111">
        <v>0.63359701283473602</v>
      </c>
      <c r="AI5111">
        <v>98.318256019040703</v>
      </c>
      <c r="AJ5111">
        <v>85.820604404525</v>
      </c>
      <c r="AK5111">
        <v>0.64204083260480205</v>
      </c>
    </row>
    <row r="5112" spans="1:37" x14ac:dyDescent="0.2">
      <c r="A5112" t="str">
        <f>"20200111155958444"</f>
        <v>20200111155958444</v>
      </c>
      <c r="B5112" t="str">
        <f>"1578729598435406"</f>
        <v>1578729598435406</v>
      </c>
      <c r="C5112" t="s">
        <v>37</v>
      </c>
      <c r="D5112">
        <v>5.6591290000000001</v>
      </c>
      <c r="E5112">
        <v>0.53128450000000005</v>
      </c>
      <c r="F5112" t="s">
        <v>38</v>
      </c>
      <c r="G5112">
        <v>-349.97820000000002</v>
      </c>
      <c r="H5112">
        <v>1.0104799999999901</v>
      </c>
      <c r="I5112">
        <v>21.289339999999999</v>
      </c>
      <c r="J5112">
        <v>-350.68799999999999</v>
      </c>
      <c r="K5112">
        <v>1.1048119999999999</v>
      </c>
      <c r="L5112">
        <v>21.33972</v>
      </c>
      <c r="M5112">
        <v>0.99989169999999905</v>
      </c>
      <c r="N5112">
        <v>0</v>
      </c>
      <c r="O5112">
        <v>1.19426399999999E-4</v>
      </c>
      <c r="P5112">
        <v>0.99981149999999996</v>
      </c>
      <c r="Q5112">
        <v>1.1373909999999999E-2</v>
      </c>
      <c r="R5112">
        <v>1.5735869999999999E-2</v>
      </c>
      <c r="S5112">
        <v>3.0071720000000002</v>
      </c>
      <c r="T5112">
        <v>-0.33147080000000001</v>
      </c>
      <c r="U5112">
        <v>-0.17599489999999901</v>
      </c>
      <c r="V5112">
        <v>-1.5626499999999901E-2</v>
      </c>
      <c r="W5112">
        <v>2.6077960000000001E-2</v>
      </c>
      <c r="X5112">
        <v>0.99953780000000003</v>
      </c>
      <c r="Y5112">
        <v>5.8192340000000002E-2</v>
      </c>
      <c r="Z5112">
        <v>-3.2079000000000001E-3</v>
      </c>
      <c r="AA5112">
        <v>0.99830030000000003</v>
      </c>
      <c r="AB5112">
        <v>24</v>
      </c>
      <c r="AC5112">
        <v>0.70980000000002896</v>
      </c>
      <c r="AD5112">
        <v>-9.4332000000000304E-2</v>
      </c>
      <c r="AE5112">
        <v>-5.0380000000000501E-2</v>
      </c>
      <c r="AF5112">
        <v>4.9593240008869797E-2</v>
      </c>
      <c r="AG5112">
        <v>-9.4332000000000304E-2</v>
      </c>
      <c r="AH5112">
        <v>0.69753568142520805</v>
      </c>
      <c r="AI5112">
        <v>97.682571998628902</v>
      </c>
      <c r="AJ5112">
        <v>85.933240277669597</v>
      </c>
      <c r="AK5112">
        <v>0.70563024491578197</v>
      </c>
    </row>
    <row r="5113" spans="1:37" x14ac:dyDescent="0.2">
      <c r="A5113" t="str">
        <f>"20200111155958465"</f>
        <v>20200111155958465</v>
      </c>
      <c r="B5113" t="str">
        <f>"1578729598455904"</f>
        <v>1578729598455904</v>
      </c>
      <c r="C5113" t="s">
        <v>37</v>
      </c>
      <c r="D5113">
        <v>5.6555910000000003</v>
      </c>
      <c r="E5113">
        <v>0.5309545</v>
      </c>
      <c r="F5113" t="s">
        <v>38</v>
      </c>
      <c r="G5113">
        <v>-349.97039999999998</v>
      </c>
      <c r="H5113">
        <v>1.026243</v>
      </c>
      <c r="I5113">
        <v>21.296849999999999</v>
      </c>
      <c r="J5113">
        <v>-350.47390000000001</v>
      </c>
      <c r="K5113">
        <v>1.1048169999999999</v>
      </c>
      <c r="L5113">
        <v>21.34</v>
      </c>
      <c r="M5113">
        <v>0.9998918</v>
      </c>
      <c r="N5113">
        <v>0</v>
      </c>
      <c r="O5113">
        <v>3.6197089999999898E-4</v>
      </c>
      <c r="P5113">
        <v>0.99980650000000004</v>
      </c>
      <c r="Q5113">
        <v>1.22833E-2</v>
      </c>
      <c r="R5113">
        <v>1.5371849999999999E-2</v>
      </c>
      <c r="S5113">
        <v>3.0071110000000001</v>
      </c>
      <c r="T5113">
        <v>-0.32931949999999999</v>
      </c>
      <c r="U5113">
        <v>-0.17916869999999999</v>
      </c>
      <c r="V5113">
        <v>-1.5019879999999999E-2</v>
      </c>
      <c r="W5113">
        <v>2.698219E-2</v>
      </c>
      <c r="X5113">
        <v>0.99952299999999905</v>
      </c>
      <c r="Y5113">
        <v>5.9481039999999999E-2</v>
      </c>
      <c r="Z5113">
        <v>-3.283925E-3</v>
      </c>
      <c r="AA5113">
        <v>0.998224</v>
      </c>
      <c r="AB5113">
        <v>24</v>
      </c>
      <c r="AC5113">
        <v>0.50350000000003003</v>
      </c>
      <c r="AD5113">
        <v>-7.8573999999999894E-2</v>
      </c>
      <c r="AE5113">
        <v>-4.3150000000000598E-2</v>
      </c>
      <c r="AF5113">
        <v>4.2309405738518401E-2</v>
      </c>
      <c r="AG5113">
        <v>-7.8573999999999894E-2</v>
      </c>
      <c r="AH5113">
        <v>0.491599536967392</v>
      </c>
      <c r="AI5113">
        <v>99.048074536981304</v>
      </c>
      <c r="AJ5113">
        <v>85.080972792160793</v>
      </c>
      <c r="AK5113">
        <v>0.49963393002927797</v>
      </c>
    </row>
    <row r="5114" spans="1:37" x14ac:dyDescent="0.2">
      <c r="A5114" t="str">
        <f>"20200111155958478"</f>
        <v>20200111155958478</v>
      </c>
      <c r="B5114" t="str">
        <f>"1578729598475422"</f>
        <v>1578729598475422</v>
      </c>
      <c r="C5114" t="s">
        <v>37</v>
      </c>
      <c r="D5114">
        <v>4.679392</v>
      </c>
      <c r="E5114">
        <v>0.53043759999999995</v>
      </c>
      <c r="F5114" t="s">
        <v>38</v>
      </c>
      <c r="G5114">
        <v>-349.5616</v>
      </c>
      <c r="H5114">
        <v>1.00607</v>
      </c>
      <c r="I5114">
        <v>21.286020000000001</v>
      </c>
      <c r="J5114">
        <v>-350.33019999999999</v>
      </c>
      <c r="K5114">
        <v>1.1048180000000001</v>
      </c>
      <c r="L5114">
        <v>21.340209999999999</v>
      </c>
      <c r="M5114">
        <v>0.99989189999999994</v>
      </c>
      <c r="N5114">
        <v>0</v>
      </c>
      <c r="O5114">
        <v>5.2464150000000001E-4</v>
      </c>
      <c r="P5114">
        <v>0.99979589999999996</v>
      </c>
      <c r="Q5114">
        <v>1.294965E-2</v>
      </c>
      <c r="R5114">
        <v>1.551553E-2</v>
      </c>
      <c r="S5114">
        <v>3.0073240000000001</v>
      </c>
      <c r="T5114">
        <v>-0.32549050000000002</v>
      </c>
      <c r="U5114">
        <v>-0.177612299999999</v>
      </c>
      <c r="V5114">
        <v>-1.500102E-2</v>
      </c>
      <c r="W5114">
        <v>2.7644269999999999E-2</v>
      </c>
      <c r="X5114">
        <v>0.99950530000000004</v>
      </c>
      <c r="Y5114">
        <v>5.9133749999999999E-2</v>
      </c>
      <c r="Z5114">
        <v>-3.2446049999999998E-3</v>
      </c>
      <c r="AA5114">
        <v>0.99824480000000004</v>
      </c>
      <c r="AB5114">
        <v>23</v>
      </c>
      <c r="AC5114">
        <v>0.76859999999999196</v>
      </c>
      <c r="AD5114">
        <v>-9.8748000000000002E-2</v>
      </c>
      <c r="AE5114">
        <v>-5.4189999999998399E-2</v>
      </c>
      <c r="AF5114">
        <v>5.3711077229328698E-2</v>
      </c>
      <c r="AG5114">
        <v>-9.8748000000000002E-2</v>
      </c>
      <c r="AH5114">
        <v>0.75615175462040896</v>
      </c>
      <c r="AI5114">
        <v>97.421821116064507</v>
      </c>
      <c r="AJ5114">
        <v>85.936982409523793</v>
      </c>
      <c r="AK5114">
        <v>0.76446159049141105</v>
      </c>
    </row>
    <row r="5115" spans="1:37" x14ac:dyDescent="0.2">
      <c r="A5115" t="str">
        <f>"20200111155958497"</f>
        <v>20200111155958497</v>
      </c>
      <c r="B5115" t="str">
        <f>"1578729598495918"</f>
        <v>1578729598495918</v>
      </c>
      <c r="C5115" t="s">
        <v>37</v>
      </c>
      <c r="D5115">
        <v>5.5238180000000003</v>
      </c>
      <c r="E5115">
        <v>0.49119030000000002</v>
      </c>
      <c r="F5115" t="s">
        <v>38</v>
      </c>
      <c r="G5115">
        <v>-349.55360000000002</v>
      </c>
      <c r="H5115">
        <v>1.02210499999999</v>
      </c>
      <c r="I5115">
        <v>21.295390000000001</v>
      </c>
      <c r="J5115">
        <v>-350.1336</v>
      </c>
      <c r="K5115">
        <v>1.1048229999999899</v>
      </c>
      <c r="L5115">
        <v>21.340579999999999</v>
      </c>
      <c r="M5115">
        <v>0.99989169999999905</v>
      </c>
      <c r="N5115">
        <v>0</v>
      </c>
      <c r="O5115">
        <v>7.4662030000000002E-4</v>
      </c>
      <c r="P5115">
        <v>0.99976949999999998</v>
      </c>
      <c r="Q5115">
        <v>1.4131799999999899E-2</v>
      </c>
      <c r="R5115">
        <v>1.6174640000000001E-2</v>
      </c>
      <c r="S5115">
        <v>3.0074160000000001</v>
      </c>
      <c r="T5115">
        <v>-0.32030429999999999</v>
      </c>
      <c r="U5115">
        <v>-0.17318729999999999</v>
      </c>
      <c r="V5115">
        <v>-1.543898E-2</v>
      </c>
      <c r="W5115">
        <v>2.8821119999999999E-2</v>
      </c>
      <c r="X5115">
        <v>0.9994653</v>
      </c>
      <c r="Y5115">
        <v>5.7906300000000001E-2</v>
      </c>
      <c r="Z5115">
        <v>-3.1516700000000001E-3</v>
      </c>
      <c r="AA5115">
        <v>0.99831709999999996</v>
      </c>
      <c r="AB5115">
        <v>23</v>
      </c>
      <c r="AC5115">
        <v>0.57999999999998397</v>
      </c>
      <c r="AD5115">
        <v>-8.2718E-2</v>
      </c>
      <c r="AE5115">
        <v>-4.5189999999998003E-2</v>
      </c>
      <c r="AF5115">
        <v>4.4718992354929502E-2</v>
      </c>
      <c r="AG5115">
        <v>-8.2718E-2</v>
      </c>
      <c r="AH5115">
        <v>0.568473298996934</v>
      </c>
      <c r="AI5115">
        <v>98.2538042537292</v>
      </c>
      <c r="AJ5115">
        <v>85.502086169778195</v>
      </c>
      <c r="AK5115">
        <v>0.57619783709564298</v>
      </c>
    </row>
    <row r="5116" spans="1:37" x14ac:dyDescent="0.2">
      <c r="A5116" t="str">
        <f>"20200111155958513"</f>
        <v>20200111155958513</v>
      </c>
      <c r="B5116" t="str">
        <f>"1578729598505677"</f>
        <v>1578729598505677</v>
      </c>
      <c r="C5116" t="s">
        <v>37</v>
      </c>
      <c r="D5116">
        <v>5.5384519999999897</v>
      </c>
      <c r="E5116">
        <v>0.43463549999999901</v>
      </c>
      <c r="F5116" t="s">
        <v>39</v>
      </c>
      <c r="G5116">
        <v>-335.1798</v>
      </c>
      <c r="H5116" s="1">
        <v>-2.68949E-6</v>
      </c>
      <c r="I5116">
        <v>22.01905</v>
      </c>
      <c r="J5116">
        <v>-349.97399999999999</v>
      </c>
      <c r="K5116">
        <v>1.1048249999999999</v>
      </c>
      <c r="L5116">
        <v>21.340910000000001</v>
      </c>
      <c r="M5116">
        <v>0.99989159999999899</v>
      </c>
      <c r="N5116">
        <v>0</v>
      </c>
      <c r="O5116">
        <v>9.2657470000000002E-4</v>
      </c>
      <c r="P5116">
        <v>0.99975559999999997</v>
      </c>
      <c r="Q5116">
        <v>1.470601E-2</v>
      </c>
      <c r="R5116">
        <v>1.651002E-2</v>
      </c>
      <c r="S5116">
        <v>3.0015559999999999</v>
      </c>
      <c r="T5116">
        <v>-0.22176209999999999</v>
      </c>
      <c r="U5116">
        <v>0.13619999999999999</v>
      </c>
      <c r="V5116">
        <v>-1.559456E-2</v>
      </c>
      <c r="W5116">
        <v>2.9391179999999999E-2</v>
      </c>
      <c r="X5116">
        <v>0.99944630000000001</v>
      </c>
      <c r="Y5116">
        <v>-4.4286119999999998E-2</v>
      </c>
      <c r="Z5116">
        <v>1.5645819999999999E-3</v>
      </c>
      <c r="AA5116">
        <v>0.99901770000000001</v>
      </c>
      <c r="AB5116">
        <v>23</v>
      </c>
      <c r="AC5116">
        <v>14.794199999999901</v>
      </c>
      <c r="AD5116">
        <v>-1.10482768949</v>
      </c>
      <c r="AE5116">
        <v>0.67813999999999897</v>
      </c>
      <c r="AF5116">
        <v>-0.66075295802369105</v>
      </c>
      <c r="AG5116">
        <v>-1.10482768949</v>
      </c>
      <c r="AH5116">
        <v>14.7129390140501</v>
      </c>
      <c r="AI5116">
        <v>94.290101288037704</v>
      </c>
      <c r="AJ5116">
        <v>92.571405661079993</v>
      </c>
      <c r="AK5116">
        <v>14.7691507246069</v>
      </c>
    </row>
    <row r="5117" spans="1:37" x14ac:dyDescent="0.2">
      <c r="A5117" t="str">
        <f>"20200111155958532"</f>
        <v>20200111155958532</v>
      </c>
      <c r="B5117" t="str">
        <f>"1578729598525200"</f>
        <v>1578729598525200</v>
      </c>
      <c r="C5117" t="s">
        <v>37</v>
      </c>
      <c r="D5117">
        <v>5.5455050000000004</v>
      </c>
      <c r="E5117">
        <v>0.43542209999999998</v>
      </c>
      <c r="F5117" t="s">
        <v>39</v>
      </c>
      <c r="G5117">
        <v>-334.36290000000002</v>
      </c>
      <c r="H5117" s="1">
        <v>-3.6415979999999999E-6</v>
      </c>
      <c r="I5117">
        <v>24.40982</v>
      </c>
      <c r="J5117">
        <v>-349.78379999999999</v>
      </c>
      <c r="K5117">
        <v>1.1048279999999999</v>
      </c>
      <c r="L5117">
        <v>21.341339999999999</v>
      </c>
      <c r="M5117">
        <v>0.99989150000000004</v>
      </c>
      <c r="N5117">
        <v>0</v>
      </c>
      <c r="O5117">
        <v>1.1407430000000001E-3</v>
      </c>
      <c r="P5117">
        <v>0.99974089999999904</v>
      </c>
      <c r="Q5117">
        <v>1.5465059999999999E-2</v>
      </c>
      <c r="R5117">
        <v>1.6705560000000001E-2</v>
      </c>
      <c r="S5117">
        <v>2.9941709999999899</v>
      </c>
      <c r="T5117">
        <v>-0.21190320000000001</v>
      </c>
      <c r="U5117">
        <v>0.58862300000000001</v>
      </c>
      <c r="V5117">
        <v>-1.5576110000000001E-2</v>
      </c>
      <c r="W5117">
        <v>3.01452E-2</v>
      </c>
      <c r="X5117">
        <v>0.99942419999999998</v>
      </c>
      <c r="Y5117">
        <v>-0.19131999999999999</v>
      </c>
      <c r="Z5117">
        <v>6.6178440000000003E-3</v>
      </c>
      <c r="AA5117">
        <v>0.98150539999999997</v>
      </c>
      <c r="AB5117">
        <v>23</v>
      </c>
      <c r="AC5117">
        <v>15.4208999999999</v>
      </c>
      <c r="AD5117">
        <v>-1.104831641598</v>
      </c>
      <c r="AE5117">
        <v>3.0684800000000001</v>
      </c>
      <c r="AF5117">
        <v>-3.0358950220108101</v>
      </c>
      <c r="AG5117">
        <v>-1.104831641598</v>
      </c>
      <c r="AH5117">
        <v>15.348606598773999</v>
      </c>
      <c r="AI5117">
        <v>94.039205389611894</v>
      </c>
      <c r="AJ5117">
        <v>101.188465487564</v>
      </c>
      <c r="AK5117">
        <v>15.6849302218682</v>
      </c>
    </row>
    <row r="5118" spans="1:37" x14ac:dyDescent="0.2">
      <c r="A5118" t="str">
        <f>"20200111155958554"</f>
        <v>20200111155958554</v>
      </c>
      <c r="B5118" t="str">
        <f>"1578729598545693"</f>
        <v>1578729598545693</v>
      </c>
      <c r="C5118" t="s">
        <v>37</v>
      </c>
      <c r="D5118">
        <v>5.4653499999999999</v>
      </c>
      <c r="E5118">
        <v>0.43258540000000001</v>
      </c>
      <c r="F5118" t="s">
        <v>39</v>
      </c>
      <c r="G5118">
        <v>-331.27640000000002</v>
      </c>
      <c r="H5118" s="1">
        <v>-4.7848899999999999E-6</v>
      </c>
      <c r="I5118">
        <v>24.933810000000001</v>
      </c>
      <c r="J5118">
        <v>-349.54349999999999</v>
      </c>
      <c r="K5118">
        <v>1.104827</v>
      </c>
      <c r="L5118">
        <v>21.341950000000001</v>
      </c>
      <c r="M5118">
        <v>0.99989119999999998</v>
      </c>
      <c r="N5118">
        <v>0</v>
      </c>
      <c r="O5118">
        <v>1.4116579999999899E-3</v>
      </c>
      <c r="P5118">
        <v>0.99974989999999997</v>
      </c>
      <c r="Q5118">
        <v>1.5146420000000001E-2</v>
      </c>
      <c r="R5118">
        <v>1.645512E-2</v>
      </c>
      <c r="S5118">
        <v>2.9938349999999998</v>
      </c>
      <c r="T5118">
        <v>-0.1787224</v>
      </c>
      <c r="U5118">
        <v>0.58114619999999995</v>
      </c>
      <c r="V5118">
        <v>-1.5054410000000001E-2</v>
      </c>
      <c r="W5118">
        <v>2.9821090000000001E-2</v>
      </c>
      <c r="X5118">
        <v>0.99944189999999999</v>
      </c>
      <c r="Y5118">
        <v>-0.18884970000000001</v>
      </c>
      <c r="Z5118">
        <v>5.4964819999999996E-3</v>
      </c>
      <c r="AA5118">
        <v>0.98199059999999905</v>
      </c>
      <c r="AB5118">
        <v>23</v>
      </c>
      <c r="AC5118">
        <v>18.2670999999999</v>
      </c>
      <c r="AD5118">
        <v>-1.10483178489</v>
      </c>
      <c r="AE5118">
        <v>3.5918600000000001</v>
      </c>
      <c r="AF5118">
        <v>-3.5535514526530201</v>
      </c>
      <c r="AG5118">
        <v>-1.10483178489</v>
      </c>
      <c r="AH5118">
        <v>18.208025785174701</v>
      </c>
      <c r="AI5118">
        <v>93.408207128779097</v>
      </c>
      <c r="AJ5118">
        <v>101.043261953231</v>
      </c>
      <c r="AK5118">
        <v>18.584417779234901</v>
      </c>
    </row>
    <row r="5119" spans="1:37" x14ac:dyDescent="0.2">
      <c r="A5119" t="str">
        <f>"20200111155958567"</f>
        <v>20200111155958567</v>
      </c>
      <c r="B5119" t="str">
        <f>"1578729598555454"</f>
        <v>1578729598555454</v>
      </c>
      <c r="C5119" t="s">
        <v>37</v>
      </c>
      <c r="D5119">
        <v>5.4674389999999997</v>
      </c>
      <c r="E5119">
        <v>0.43176809999999899</v>
      </c>
      <c r="F5119" t="s">
        <v>39</v>
      </c>
      <c r="G5119">
        <v>-332.74439999999998</v>
      </c>
      <c r="H5119" s="1">
        <v>-4.249823E-6</v>
      </c>
      <c r="I5119">
        <v>24.733699999999999</v>
      </c>
      <c r="J5119">
        <v>-349.41109999999998</v>
      </c>
      <c r="K5119">
        <v>1.1048249999999999</v>
      </c>
      <c r="L5119">
        <v>21.34225</v>
      </c>
      <c r="M5119">
        <v>0.99989110000000003</v>
      </c>
      <c r="N5119">
        <v>0</v>
      </c>
      <c r="O5119">
        <v>1.560617E-3</v>
      </c>
      <c r="P5119">
        <v>0.99975709999999995</v>
      </c>
      <c r="Q5119">
        <v>1.455564E-2</v>
      </c>
      <c r="R5119">
        <v>1.656142E-2</v>
      </c>
      <c r="S5119">
        <v>2.9937740000000002</v>
      </c>
      <c r="T5119">
        <v>-0.19689289999999901</v>
      </c>
      <c r="U5119">
        <v>0.60446169999999899</v>
      </c>
      <c r="V5119">
        <v>-1.5011780000000001E-2</v>
      </c>
      <c r="W5119">
        <v>2.922721E-2</v>
      </c>
      <c r="X5119">
        <v>0.99946000000000002</v>
      </c>
      <c r="Y5119">
        <v>-0.19597879999999901</v>
      </c>
      <c r="Z5119">
        <v>6.2719439999999998E-3</v>
      </c>
      <c r="AA5119">
        <v>0.98058809999999996</v>
      </c>
      <c r="AB5119">
        <v>23</v>
      </c>
      <c r="AC5119">
        <v>16.666699999999899</v>
      </c>
      <c r="AD5119">
        <v>-1.1048292498229999</v>
      </c>
      <c r="AE5119">
        <v>3.3914499999999901</v>
      </c>
      <c r="AF5119">
        <v>-3.3512916419340901</v>
      </c>
      <c r="AG5119">
        <v>-1.1048292498229999</v>
      </c>
      <c r="AH5119">
        <v>16.601919660566399</v>
      </c>
      <c r="AI5119">
        <v>93.732259083043203</v>
      </c>
      <c r="AJ5119">
        <v>101.412460333453</v>
      </c>
      <c r="AK5119">
        <v>16.972788213975399</v>
      </c>
    </row>
    <row r="5120" spans="1:37" x14ac:dyDescent="0.2">
      <c r="A5120" t="str">
        <f>"20200111155958579"</f>
        <v>20200111155958579</v>
      </c>
      <c r="B5120" t="str">
        <f>"1578729598575950"</f>
        <v>1578729598575950</v>
      </c>
      <c r="C5120" t="s">
        <v>37</v>
      </c>
      <c r="D5120">
        <v>5.7397489999999998</v>
      </c>
      <c r="E5120">
        <v>0.43277489999999902</v>
      </c>
      <c r="F5120" t="s">
        <v>39</v>
      </c>
      <c r="G5120">
        <v>-333.3664</v>
      </c>
      <c r="H5120" s="1">
        <v>-4.0182129999999996E-6</v>
      </c>
      <c r="I5120">
        <v>24.621289999999998</v>
      </c>
      <c r="J5120">
        <v>-349.27670000000001</v>
      </c>
      <c r="K5120">
        <v>1.104824</v>
      </c>
      <c r="L5120">
        <v>21.342649999999999</v>
      </c>
      <c r="M5120">
        <v>0.99989089999999903</v>
      </c>
      <c r="N5120">
        <v>0</v>
      </c>
      <c r="O5120">
        <v>1.712019E-3</v>
      </c>
      <c r="P5120">
        <v>0.99976769999999904</v>
      </c>
      <c r="Q5120">
        <v>1.398014E-2</v>
      </c>
      <c r="R5120">
        <v>1.6413359999999998E-2</v>
      </c>
      <c r="S5120">
        <v>2.9936219999999998</v>
      </c>
      <c r="T5120">
        <v>-0.20613870000000001</v>
      </c>
      <c r="U5120">
        <v>0.61181640000000004</v>
      </c>
      <c r="V5120">
        <v>-1.471226E-2</v>
      </c>
      <c r="W5120">
        <v>2.864858E-2</v>
      </c>
      <c r="X5120">
        <v>0.99948130000000002</v>
      </c>
      <c r="Y5120">
        <v>-0.19811010000000001</v>
      </c>
      <c r="Z5120">
        <v>6.6267899999999996E-3</v>
      </c>
      <c r="AA5120">
        <v>0.98015739999999996</v>
      </c>
      <c r="AB5120">
        <v>23</v>
      </c>
      <c r="AC5120">
        <v>15.910299999999999</v>
      </c>
      <c r="AD5120">
        <v>-1.1048280182129999</v>
      </c>
      <c r="AE5120">
        <v>3.2786400000000002</v>
      </c>
      <c r="AF5120">
        <v>-3.23642302154895</v>
      </c>
      <c r="AG5120">
        <v>-1.1048280182129999</v>
      </c>
      <c r="AH5120">
        <v>15.842608287848901</v>
      </c>
      <c r="AI5120">
        <v>93.908750860835198</v>
      </c>
      <c r="AJ5120">
        <v>101.545861210251</v>
      </c>
      <c r="AK5120">
        <v>16.207508022100701</v>
      </c>
    </row>
    <row r="5121" spans="1:37" x14ac:dyDescent="0.2">
      <c r="A5121" t="str">
        <f>"20200111155958597"</f>
        <v>20200111155958597</v>
      </c>
      <c r="B5121" t="str">
        <f>"1578729598585709"</f>
        <v>1578729598585709</v>
      </c>
      <c r="C5121" t="s">
        <v>37</v>
      </c>
      <c r="D5121">
        <v>5.5903429999999998</v>
      </c>
      <c r="E5121">
        <v>0.43266689999999902</v>
      </c>
      <c r="F5121" t="s">
        <v>39</v>
      </c>
      <c r="G5121">
        <v>-333.3612</v>
      </c>
      <c r="H5121" s="1">
        <v>-4.0072919999999902E-6</v>
      </c>
      <c r="I5121">
        <v>24.549630000000001</v>
      </c>
      <c r="J5121">
        <v>-349.10509999999999</v>
      </c>
      <c r="K5121">
        <v>1.1048129999999901</v>
      </c>
      <c r="L5121">
        <v>21.343170000000001</v>
      </c>
      <c r="M5121">
        <v>0.99989059999999896</v>
      </c>
      <c r="N5121">
        <v>0</v>
      </c>
      <c r="O5121">
        <v>1.9052079999999901E-3</v>
      </c>
      <c r="P5121">
        <v>0.99978020000000001</v>
      </c>
      <c r="Q5121">
        <v>1.3238339999999999E-2</v>
      </c>
      <c r="R5121">
        <v>1.6276099999999901E-2</v>
      </c>
      <c r="S5121">
        <v>2.9936829999999999</v>
      </c>
      <c r="T5121">
        <v>-0.20781620000000001</v>
      </c>
      <c r="U5121">
        <v>0.60324100000000003</v>
      </c>
      <c r="V5121">
        <v>-1.4381329999999999E-2</v>
      </c>
      <c r="W5121">
        <v>2.79031E-2</v>
      </c>
      <c r="X5121">
        <v>0.99950720000000004</v>
      </c>
      <c r="Y5121">
        <v>-0.195218899999999</v>
      </c>
      <c r="Z5121">
        <v>6.5698350000000004E-3</v>
      </c>
      <c r="AA5121">
        <v>0.98073770000000005</v>
      </c>
      <c r="AB5121">
        <v>23</v>
      </c>
      <c r="AC5121">
        <v>15.743899999999901</v>
      </c>
      <c r="AD5121">
        <v>-1.1048170072919901</v>
      </c>
      <c r="AE5121">
        <v>3.2064599999999999</v>
      </c>
      <c r="AF5121">
        <v>-3.1615069747585598</v>
      </c>
      <c r="AG5121">
        <v>-1.1048170072919901</v>
      </c>
      <c r="AH5121">
        <v>15.6758607814499</v>
      </c>
      <c r="AI5121">
        <v>93.9521599199891</v>
      </c>
      <c r="AJ5121">
        <v>101.40245501731</v>
      </c>
      <c r="AK5121">
        <v>16.0296087977982</v>
      </c>
    </row>
    <row r="5122" spans="1:37" x14ac:dyDescent="0.2">
      <c r="A5122" t="str">
        <f>"20200111155958621"</f>
        <v>20200111155958621</v>
      </c>
      <c r="B5122" t="str">
        <f>"1578729598615966"</f>
        <v>1578729598615966</v>
      </c>
      <c r="C5122" t="s">
        <v>37</v>
      </c>
      <c r="D5122">
        <v>5.5388080000000004</v>
      </c>
      <c r="E5122">
        <v>0.43160019999999999</v>
      </c>
      <c r="F5122" t="s">
        <v>39</v>
      </c>
      <c r="G5122">
        <v>-333.5564</v>
      </c>
      <c r="H5122" s="1">
        <v>-3.9282220000000001E-6</v>
      </c>
      <c r="I5122">
        <v>24.478439999999999</v>
      </c>
      <c r="J5122">
        <v>-348.85649999999998</v>
      </c>
      <c r="K5122">
        <v>1.104808</v>
      </c>
      <c r="L5122">
        <v>21.343959999999999</v>
      </c>
      <c r="M5122">
        <v>0.9998901</v>
      </c>
      <c r="N5122">
        <v>0</v>
      </c>
      <c r="O5122">
        <v>2.185307E-3</v>
      </c>
      <c r="P5122">
        <v>0.99978590000000001</v>
      </c>
      <c r="Q5122">
        <v>1.290523E-2</v>
      </c>
      <c r="R5122">
        <v>1.617973E-2</v>
      </c>
      <c r="S5122">
        <v>2.9936829999999999</v>
      </c>
      <c r="T5122">
        <v>-0.2127172</v>
      </c>
      <c r="U5122">
        <v>0.60366819999999999</v>
      </c>
      <c r="V5122">
        <v>-1.400447E-2</v>
      </c>
      <c r="W5122">
        <v>2.7564200000000001E-2</v>
      </c>
      <c r="X5122">
        <v>0.99952189999999996</v>
      </c>
      <c r="Y5122">
        <v>-0.1950585</v>
      </c>
      <c r="Z5122">
        <v>6.6989930000000003E-3</v>
      </c>
      <c r="AA5122">
        <v>0.98076869999999905</v>
      </c>
      <c r="AB5122">
        <v>23</v>
      </c>
      <c r="AC5122">
        <v>15.300099999999899</v>
      </c>
      <c r="AD5122">
        <v>-1.1048119282219999</v>
      </c>
      <c r="AE5122">
        <v>3.1344799999999999</v>
      </c>
      <c r="AF5122">
        <v>-3.0855926460489802</v>
      </c>
      <c r="AG5122">
        <v>-1.1048119282219999</v>
      </c>
      <c r="AH5122">
        <v>15.230696866773901</v>
      </c>
      <c r="AI5122">
        <v>94.066556467217794</v>
      </c>
      <c r="AJ5122">
        <v>101.452570515096</v>
      </c>
      <c r="AK5122">
        <v>15.5793330544555</v>
      </c>
    </row>
    <row r="5123" spans="1:37" x14ac:dyDescent="0.2">
      <c r="A5123" t="str">
        <f>"20200111155958635"</f>
        <v>20200111155958635</v>
      </c>
      <c r="B5123" t="str">
        <f>"1578729598625726"</f>
        <v>1578729598625726</v>
      </c>
      <c r="C5123" t="s">
        <v>37</v>
      </c>
      <c r="D5123">
        <v>5.5697519999999896</v>
      </c>
      <c r="E5123">
        <v>0.43154599999999999</v>
      </c>
      <c r="F5123" t="s">
        <v>39</v>
      </c>
      <c r="G5123">
        <v>-333.99259999999998</v>
      </c>
      <c r="H5123" s="1">
        <v>-3.7630259999999899E-6</v>
      </c>
      <c r="I5123">
        <v>24.383949999999999</v>
      </c>
      <c r="J5123">
        <v>-348.70760000000001</v>
      </c>
      <c r="K5123">
        <v>1.104811</v>
      </c>
      <c r="L5123">
        <v>21.34451</v>
      </c>
      <c r="M5123">
        <v>0.99988980000000005</v>
      </c>
      <c r="N5123">
        <v>0</v>
      </c>
      <c r="O5123">
        <v>2.3530439999999999E-3</v>
      </c>
      <c r="P5123">
        <v>0.99977990000000005</v>
      </c>
      <c r="Q5123">
        <v>1.3026299999999999E-2</v>
      </c>
      <c r="R5123">
        <v>1.6454420000000001E-2</v>
      </c>
      <c r="S5123">
        <v>2.9936219999999998</v>
      </c>
      <c r="T5123">
        <v>-0.2225105</v>
      </c>
      <c r="U5123">
        <v>0.61227419999999899</v>
      </c>
      <c r="V5123">
        <v>-1.411167E-2</v>
      </c>
      <c r="W5123">
        <v>2.7680980000000001E-2</v>
      </c>
      <c r="X5123">
        <v>0.999517199999999</v>
      </c>
      <c r="Y5123">
        <v>-0.19755519999999999</v>
      </c>
      <c r="Z5123">
        <v>7.0841589999999996E-3</v>
      </c>
      <c r="AA5123">
        <v>0.98026619999999998</v>
      </c>
      <c r="AB5123">
        <v>23</v>
      </c>
      <c r="AC5123">
        <v>14.715</v>
      </c>
      <c r="AD5123">
        <v>-1.1048147630259999</v>
      </c>
      <c r="AE5123">
        <v>3.0394399999999901</v>
      </c>
      <c r="AF5123">
        <v>-2.98864480181919</v>
      </c>
      <c r="AG5123">
        <v>-1.1048147630259999</v>
      </c>
      <c r="AH5123">
        <v>14.6429453100143</v>
      </c>
      <c r="AI5123">
        <v>94.227970347211993</v>
      </c>
      <c r="AJ5123">
        <v>101.535704809051</v>
      </c>
      <c r="AK5123">
        <v>14.985608454917999</v>
      </c>
    </row>
    <row r="5124" spans="1:37" x14ac:dyDescent="0.2">
      <c r="A5124" t="str">
        <f>"20200111155958655"</f>
        <v>20200111155958655</v>
      </c>
      <c r="B5124" t="str">
        <f>"1578729598645245"</f>
        <v>1578729598645245</v>
      </c>
      <c r="C5124" t="s">
        <v>37</v>
      </c>
      <c r="D5124">
        <v>5.6020310000000002</v>
      </c>
      <c r="E5124">
        <v>0.43140479999999998</v>
      </c>
      <c r="F5124" t="s">
        <v>39</v>
      </c>
      <c r="G5124">
        <v>-333.8546</v>
      </c>
      <c r="H5124" s="1">
        <v>-3.8109030000000001E-6</v>
      </c>
      <c r="I5124">
        <v>24.389050000000001</v>
      </c>
      <c r="J5124">
        <v>-348.4984</v>
      </c>
      <c r="K5124">
        <v>1.104808</v>
      </c>
      <c r="L5124">
        <v>21.345279999999999</v>
      </c>
      <c r="M5124">
        <v>0.99988920000000003</v>
      </c>
      <c r="N5124">
        <v>0</v>
      </c>
      <c r="O5124">
        <v>2.5887939999999902E-3</v>
      </c>
      <c r="P5124">
        <v>0.99977000000000005</v>
      </c>
      <c r="Q5124">
        <v>1.3147239999999999E-2</v>
      </c>
      <c r="R5124">
        <v>1.694234E-2</v>
      </c>
      <c r="S5124">
        <v>2.9935</v>
      </c>
      <c r="T5124">
        <v>-0.22266610000000001</v>
      </c>
      <c r="U5124">
        <v>0.61361690000000002</v>
      </c>
      <c r="V5124">
        <v>-1.436374E-2</v>
      </c>
      <c r="W5124">
        <v>2.7797280000000001E-2</v>
      </c>
      <c r="X5124">
        <v>0.99951029999999996</v>
      </c>
      <c r="Y5124">
        <v>-0.1977534</v>
      </c>
      <c r="Z5124">
        <v>7.0790200000000001E-3</v>
      </c>
      <c r="AA5124">
        <v>0.98022619999999905</v>
      </c>
      <c r="AB5124">
        <v>23</v>
      </c>
      <c r="AC5124">
        <v>14.643800000000001</v>
      </c>
      <c r="AD5124">
        <v>-1.1048118109029901</v>
      </c>
      <c r="AE5124">
        <v>3.0437699999999999</v>
      </c>
      <c r="AF5124">
        <v>-2.9895340775429702</v>
      </c>
      <c r="AG5124">
        <v>-1.1048118109029901</v>
      </c>
      <c r="AH5124">
        <v>14.572121249844299</v>
      </c>
      <c r="AI5124">
        <v>94.2475576135094</v>
      </c>
      <c r="AJ5124">
        <v>101.593612961377</v>
      </c>
      <c r="AK5124">
        <v>14.9165894512943</v>
      </c>
    </row>
    <row r="5125" spans="1:37" x14ac:dyDescent="0.2">
      <c r="A5125" t="str">
        <f>"20200111155958671"</f>
        <v>20200111155958671</v>
      </c>
      <c r="B5125" t="str">
        <f>"1578729598665743"</f>
        <v>1578729598665743</v>
      </c>
      <c r="C5125" t="s">
        <v>37</v>
      </c>
      <c r="D5125">
        <v>5.6155150000000003</v>
      </c>
      <c r="E5125">
        <v>0.43142789999999998</v>
      </c>
      <c r="F5125" t="s">
        <v>39</v>
      </c>
      <c r="G5125">
        <v>-333.7559</v>
      </c>
      <c r="H5125" s="1">
        <v>-3.843034E-6</v>
      </c>
      <c r="I5125">
        <v>24.380849999999999</v>
      </c>
      <c r="J5125">
        <v>-348.34199999999998</v>
      </c>
      <c r="K5125">
        <v>1.1048039999999999</v>
      </c>
      <c r="L5125">
        <v>21.345890000000001</v>
      </c>
      <c r="M5125">
        <v>0.99988880000000002</v>
      </c>
      <c r="N5125">
        <v>0</v>
      </c>
      <c r="O5125">
        <v>2.7650559999999901E-3</v>
      </c>
      <c r="P5125">
        <v>0.99976589999999999</v>
      </c>
      <c r="Q5125">
        <v>1.3025470000000001E-2</v>
      </c>
      <c r="R5125">
        <v>1.7279449999999998E-2</v>
      </c>
      <c r="S5125">
        <v>2.9931950000000001</v>
      </c>
      <c r="T5125">
        <v>-0.2243116</v>
      </c>
      <c r="U5125">
        <v>0.61633300000000002</v>
      </c>
      <c r="V5125">
        <v>-1.452488E-2</v>
      </c>
      <c r="W5125">
        <v>2.767145E-2</v>
      </c>
      <c r="X5125">
        <v>0.9995115</v>
      </c>
      <c r="Y5125">
        <v>-0.1984446</v>
      </c>
      <c r="Z5125">
        <v>7.1438040000000001E-3</v>
      </c>
      <c r="AA5125">
        <v>0.98008609999999896</v>
      </c>
      <c r="AB5125">
        <v>23</v>
      </c>
      <c r="AC5125">
        <v>14.586099999999901</v>
      </c>
      <c r="AD5125">
        <v>-1.104807843034</v>
      </c>
      <c r="AE5125">
        <v>3.0349599999999901</v>
      </c>
      <c r="AF5125">
        <v>-2.97823518854229</v>
      </c>
      <c r="AG5125">
        <v>-1.104807843034</v>
      </c>
      <c r="AH5125">
        <v>14.5146202038352</v>
      </c>
      <c r="AI5125">
        <v>94.264278825679995</v>
      </c>
      <c r="AJ5125">
        <v>101.595498249873</v>
      </c>
      <c r="AK5125">
        <v>14.8581521351036</v>
      </c>
    </row>
    <row r="5126" spans="1:37" x14ac:dyDescent="0.2">
      <c r="A5126" t="str">
        <f>"20200111155958688"</f>
        <v>20200111155958688</v>
      </c>
      <c r="B5126" t="str">
        <f>"1578729598685262"</f>
        <v>1578729598685262</v>
      </c>
      <c r="C5126" t="s">
        <v>37</v>
      </c>
      <c r="D5126">
        <v>5.6342439999999998</v>
      </c>
      <c r="E5126">
        <v>0.43111250000000001</v>
      </c>
      <c r="F5126" t="s">
        <v>39</v>
      </c>
      <c r="G5126">
        <v>-333.63490000000002</v>
      </c>
      <c r="H5126" s="1">
        <v>-3.8838119999999901E-6</v>
      </c>
      <c r="I5126">
        <v>24.378620000000002</v>
      </c>
      <c r="J5126">
        <v>-348.1669</v>
      </c>
      <c r="K5126">
        <v>1.1048</v>
      </c>
      <c r="L5126">
        <v>21.346620000000001</v>
      </c>
      <c r="M5126">
        <v>0.99988840000000001</v>
      </c>
      <c r="N5126">
        <v>0</v>
      </c>
      <c r="O5126">
        <v>2.9621779999999898E-3</v>
      </c>
      <c r="P5126">
        <v>0.99975559999999997</v>
      </c>
      <c r="Q5126">
        <v>1.296051E-2</v>
      </c>
      <c r="R5126">
        <v>1.7925429999999999E-2</v>
      </c>
      <c r="S5126">
        <v>2.99295</v>
      </c>
      <c r="T5126">
        <v>-0.22483220000000001</v>
      </c>
      <c r="U5126">
        <v>0.6171875</v>
      </c>
      <c r="V5126">
        <v>-1.49734E-2</v>
      </c>
      <c r="W5126">
        <v>2.7601850000000001E-2</v>
      </c>
      <c r="X5126">
        <v>0.99950680000000003</v>
      </c>
      <c r="Y5126">
        <v>-0.198533399999999</v>
      </c>
      <c r="Z5126">
        <v>7.149369E-3</v>
      </c>
      <c r="AA5126">
        <v>0.98006800000000005</v>
      </c>
      <c r="AB5126">
        <v>23</v>
      </c>
      <c r="AC5126">
        <v>14.531999999999901</v>
      </c>
      <c r="AD5126">
        <v>-1.104803883812</v>
      </c>
      <c r="AE5126">
        <v>3.032</v>
      </c>
      <c r="AF5126">
        <v>-2.9724718500962002</v>
      </c>
      <c r="AG5126">
        <v>-1.104803883812</v>
      </c>
      <c r="AH5126">
        <v>14.4608232428149</v>
      </c>
      <c r="AI5126">
        <v>94.279762093268303</v>
      </c>
      <c r="AJ5126">
        <v>101.615553397563</v>
      </c>
      <c r="AK5126">
        <v>14.804444919727199</v>
      </c>
    </row>
    <row r="5127" spans="1:37" x14ac:dyDescent="0.2">
      <c r="A5127" t="str">
        <f>"20200111155958709"</f>
        <v>20200111155958709</v>
      </c>
      <c r="B5127" t="str">
        <f>"1578729598705758"</f>
        <v>1578729598705758</v>
      </c>
      <c r="C5127" t="s">
        <v>37</v>
      </c>
      <c r="D5127">
        <v>5.6561879999999896</v>
      </c>
      <c r="E5127">
        <v>0.4309113</v>
      </c>
      <c r="F5127" t="s">
        <v>39</v>
      </c>
      <c r="G5127">
        <v>-333.6703</v>
      </c>
      <c r="H5127" s="1">
        <v>-3.8681959999999902E-6</v>
      </c>
      <c r="I5127">
        <v>24.358419999999999</v>
      </c>
      <c r="J5127">
        <v>-347.94450000000001</v>
      </c>
      <c r="K5127">
        <v>1.104795</v>
      </c>
      <c r="L5127">
        <v>21.347560000000001</v>
      </c>
      <c r="M5127">
        <v>0.99988779999999999</v>
      </c>
      <c r="N5127">
        <v>0</v>
      </c>
      <c r="O5127">
        <v>3.2131870000000002E-3</v>
      </c>
      <c r="P5127">
        <v>0.9997431</v>
      </c>
      <c r="Q5127">
        <v>1.261141E-2</v>
      </c>
      <c r="R5127">
        <v>1.8847030000000001E-2</v>
      </c>
      <c r="S5127">
        <v>2.9925229999999998</v>
      </c>
      <c r="T5127">
        <v>-0.22806190000000001</v>
      </c>
      <c r="U5127">
        <v>0.62173459999999903</v>
      </c>
      <c r="V5127">
        <v>-1.5644129999999999E-2</v>
      </c>
      <c r="W5127">
        <v>2.7247219999999999E-2</v>
      </c>
      <c r="X5127">
        <v>0.99950629999999996</v>
      </c>
      <c r="Y5127">
        <v>-0.19972509999999999</v>
      </c>
      <c r="Z5127">
        <v>7.27766099999999E-3</v>
      </c>
      <c r="AA5127">
        <v>0.97982499999999995</v>
      </c>
      <c r="AB5127">
        <v>23</v>
      </c>
      <c r="AC5127">
        <v>14.2742</v>
      </c>
      <c r="AD5127">
        <v>-1.1047988681959999</v>
      </c>
      <c r="AE5127">
        <v>3.0108600000000001</v>
      </c>
      <c r="AF5127">
        <v>-2.94806575780526</v>
      </c>
      <c r="AG5127">
        <v>-1.1047988681959999</v>
      </c>
      <c r="AH5127">
        <v>14.2023467289045</v>
      </c>
      <c r="AI5127">
        <v>94.355596025583196</v>
      </c>
      <c r="AJ5127">
        <v>101.726693445827</v>
      </c>
      <c r="AK5127">
        <v>14.5471070958983</v>
      </c>
    </row>
    <row r="5128" spans="1:37" x14ac:dyDescent="0.2">
      <c r="A5128" t="str">
        <f>"20200111155958723"</f>
        <v>20200111155958723</v>
      </c>
      <c r="B5128" t="str">
        <f>"1578729598715517"</f>
        <v>1578729598715517</v>
      </c>
      <c r="C5128" t="s">
        <v>37</v>
      </c>
      <c r="D5128">
        <v>5.660628</v>
      </c>
      <c r="E5128">
        <v>0.43078620000000001</v>
      </c>
      <c r="F5128" t="s">
        <v>39</v>
      </c>
      <c r="G5128">
        <v>-333.65629999999999</v>
      </c>
      <c r="H5128" s="1">
        <v>-3.8692710000000002E-6</v>
      </c>
      <c r="I5128">
        <v>24.337599999999998</v>
      </c>
      <c r="J5128">
        <v>-347.79649999999998</v>
      </c>
      <c r="K5128">
        <v>1.104797</v>
      </c>
      <c r="L5128">
        <v>21.348240000000001</v>
      </c>
      <c r="M5128">
        <v>0.99988709999999903</v>
      </c>
      <c r="N5128">
        <v>0</v>
      </c>
      <c r="O5128">
        <v>3.3805059999999902E-3</v>
      </c>
      <c r="P5128">
        <v>0.99973519999999905</v>
      </c>
      <c r="Q5128">
        <v>1.2713830000000001E-2</v>
      </c>
      <c r="R5128">
        <v>1.918023E-2</v>
      </c>
      <c r="S5128">
        <v>2.9918209999999998</v>
      </c>
      <c r="T5128">
        <v>-0.23133310000000001</v>
      </c>
      <c r="U5128">
        <v>0.62609859999999995</v>
      </c>
      <c r="V5128">
        <v>-1.5809940000000001E-2</v>
      </c>
      <c r="W5128">
        <v>2.7345890000000001E-2</v>
      </c>
      <c r="X5128">
        <v>0.99950099999999997</v>
      </c>
      <c r="Y5128">
        <v>-0.20095769999999999</v>
      </c>
      <c r="Z5128">
        <v>7.4166500000000003E-3</v>
      </c>
      <c r="AA5128">
        <v>0.97957190000000005</v>
      </c>
      <c r="AB5128">
        <v>23</v>
      </c>
      <c r="AC5128">
        <v>14.140199999999901</v>
      </c>
      <c r="AD5128">
        <v>-1.1048008692710001</v>
      </c>
      <c r="AE5128">
        <v>2.9893599999999898</v>
      </c>
      <c r="AF5128">
        <v>-2.9244479482852102</v>
      </c>
      <c r="AG5128">
        <v>-1.1048008692710001</v>
      </c>
      <c r="AH5128">
        <v>14.0680203027638</v>
      </c>
      <c r="AI5128">
        <v>94.396765982333804</v>
      </c>
      <c r="AJ5128">
        <v>101.74334575931999</v>
      </c>
      <c r="AK5128">
        <v>14.411182324915201</v>
      </c>
    </row>
    <row r="5129" spans="1:37" x14ac:dyDescent="0.2">
      <c r="A5129" t="str">
        <f>"20200111155958736"</f>
        <v>20200111155958736</v>
      </c>
      <c r="B5129" t="str">
        <f>"1578729598725278"</f>
        <v>1578729598725278</v>
      </c>
      <c r="C5129" t="s">
        <v>37</v>
      </c>
      <c r="D5129">
        <v>5.6529419999999897</v>
      </c>
      <c r="E5129">
        <v>0.4308303</v>
      </c>
      <c r="F5129" t="s">
        <v>39</v>
      </c>
      <c r="G5129">
        <v>-333.53660000000002</v>
      </c>
      <c r="H5129" s="1">
        <v>-3.9106539999999997E-6</v>
      </c>
      <c r="I5129">
        <v>24.341329999999999</v>
      </c>
      <c r="J5129">
        <v>-347.67149999999998</v>
      </c>
      <c r="K5129">
        <v>1.1048020000000001</v>
      </c>
      <c r="L5129">
        <v>21.348849999999999</v>
      </c>
      <c r="M5129">
        <v>0.99988679999999996</v>
      </c>
      <c r="N5129">
        <v>0</v>
      </c>
      <c r="O5129">
        <v>3.5215369999999999E-3</v>
      </c>
      <c r="P5129">
        <v>0.999726</v>
      </c>
      <c r="Q5129">
        <v>1.285712E-2</v>
      </c>
      <c r="R5129">
        <v>1.9566190000000001E-2</v>
      </c>
      <c r="S5129">
        <v>2.9916990000000001</v>
      </c>
      <c r="T5129">
        <v>-0.23178460000000001</v>
      </c>
      <c r="U5129">
        <v>0.62796019999999997</v>
      </c>
      <c r="V5129">
        <v>-1.6054849999999999E-2</v>
      </c>
      <c r="W5129">
        <v>2.7485550000000001E-2</v>
      </c>
      <c r="X5129">
        <v>0.99949319999999897</v>
      </c>
      <c r="Y5129">
        <v>-0.20140829999999901</v>
      </c>
      <c r="Z5129">
        <v>7.4373599999999996E-3</v>
      </c>
      <c r="AA5129">
        <v>0.97947909999999905</v>
      </c>
      <c r="AB5129">
        <v>23</v>
      </c>
      <c r="AC5129">
        <v>14.134899999999901</v>
      </c>
      <c r="AD5129">
        <v>-1.104805910654</v>
      </c>
      <c r="AE5129">
        <v>2.99248</v>
      </c>
      <c r="AF5129">
        <v>-2.9255732530147198</v>
      </c>
      <c r="AG5129">
        <v>-1.104805910654</v>
      </c>
      <c r="AH5129">
        <v>14.0631223005735</v>
      </c>
      <c r="AI5129">
        <v>94.398178196455405</v>
      </c>
      <c r="AJ5129">
        <v>101.751716758714</v>
      </c>
      <c r="AK5129">
        <v>14.4066298557248</v>
      </c>
    </row>
    <row r="5130" spans="1:37" x14ac:dyDescent="0.2">
      <c r="A5130" t="str">
        <f>"20200111155958755"</f>
        <v>20200111155958755</v>
      </c>
      <c r="B5130" t="str">
        <f>"1578729598745773"</f>
        <v>1578729598745773</v>
      </c>
      <c r="C5130" t="s">
        <v>37</v>
      </c>
      <c r="D5130">
        <v>5.6294329999999997</v>
      </c>
      <c r="E5130">
        <v>0.430701099999999</v>
      </c>
      <c r="F5130" t="s">
        <v>39</v>
      </c>
      <c r="G5130">
        <v>-333.37759999999997</v>
      </c>
      <c r="H5130" s="1">
        <v>-3.9667450000000003E-6</v>
      </c>
      <c r="I5130">
        <v>24.352609999999999</v>
      </c>
      <c r="J5130">
        <v>-347.47989999999999</v>
      </c>
      <c r="K5130">
        <v>1.1048020000000001</v>
      </c>
      <c r="L5130">
        <v>21.34976</v>
      </c>
      <c r="M5130">
        <v>0.99988600000000005</v>
      </c>
      <c r="N5130">
        <v>0</v>
      </c>
      <c r="O5130">
        <v>3.7379140000000002E-3</v>
      </c>
      <c r="P5130">
        <v>0.999718</v>
      </c>
      <c r="Q5130">
        <v>1.295747E-2</v>
      </c>
      <c r="R5130">
        <v>1.9902139999999999E-2</v>
      </c>
      <c r="S5130">
        <v>2.9915159999999998</v>
      </c>
      <c r="T5130">
        <v>-0.2312208</v>
      </c>
      <c r="U5130">
        <v>0.6286621</v>
      </c>
      <c r="V5130">
        <v>-1.617443E-2</v>
      </c>
      <c r="W5130">
        <v>2.7581359999999999E-2</v>
      </c>
      <c r="X5130">
        <v>0.99948869999999901</v>
      </c>
      <c r="Y5130">
        <v>-0.20143179999999999</v>
      </c>
      <c r="Z5130">
        <v>7.4039700000000002E-3</v>
      </c>
      <c r="AA5130">
        <v>0.97947450000000003</v>
      </c>
      <c r="AB5130">
        <v>23</v>
      </c>
      <c r="AC5130">
        <v>14.1023</v>
      </c>
      <c r="AD5130">
        <v>-1.1048059667450001</v>
      </c>
      <c r="AE5130">
        <v>3.00285</v>
      </c>
      <c r="AF5130">
        <v>-2.9328903112879199</v>
      </c>
      <c r="AG5130">
        <v>-1.1048059667450001</v>
      </c>
      <c r="AH5130">
        <v>14.0310465670804</v>
      </c>
      <c r="AI5130">
        <v>94.407318510543405</v>
      </c>
      <c r="AJ5130">
        <v>101.806463545475</v>
      </c>
      <c r="AK5130">
        <v>14.3768115230666</v>
      </c>
    </row>
    <row r="5131" spans="1:37" x14ac:dyDescent="0.2">
      <c r="A5131" t="str">
        <f>"20200111155958768"</f>
        <v>20200111155958768</v>
      </c>
      <c r="B5131" t="str">
        <f>"1578729598765294"</f>
        <v>1578729598765294</v>
      </c>
      <c r="C5131" t="s">
        <v>37</v>
      </c>
      <c r="D5131">
        <v>5.6039000000000003</v>
      </c>
      <c r="E5131">
        <v>0.4299925</v>
      </c>
      <c r="F5131" t="s">
        <v>39</v>
      </c>
      <c r="G5131">
        <v>-333.24770000000001</v>
      </c>
      <c r="H5131" s="1">
        <v>-4.0106540000000004E-6</v>
      </c>
      <c r="I5131">
        <v>24.350819999999999</v>
      </c>
      <c r="J5131">
        <v>-347.3485</v>
      </c>
      <c r="K5131">
        <v>1.1048039999999999</v>
      </c>
      <c r="L5131">
        <v>21.350429999999999</v>
      </c>
      <c r="M5131">
        <v>0.99988529999999998</v>
      </c>
      <c r="N5131">
        <v>0</v>
      </c>
      <c r="O5131">
        <v>3.88651599999999E-3</v>
      </c>
      <c r="P5131">
        <v>0.99971339999999997</v>
      </c>
      <c r="Q5131">
        <v>1.289687E-2</v>
      </c>
      <c r="R5131">
        <v>2.0168499999999999E-2</v>
      </c>
      <c r="S5131">
        <v>2.9912719999999999</v>
      </c>
      <c r="T5131">
        <v>-0.23220370000000001</v>
      </c>
      <c r="U5131">
        <v>0.63076779999999999</v>
      </c>
      <c r="V5131">
        <v>-1.629218E-2</v>
      </c>
      <c r="W5131">
        <v>2.751748E-2</v>
      </c>
      <c r="X5131">
        <v>0.9994885</v>
      </c>
      <c r="Y5131">
        <v>-0.20195669999999999</v>
      </c>
      <c r="Z5131">
        <v>7.4441450000000001E-3</v>
      </c>
      <c r="AA5131">
        <v>0.97936619999999996</v>
      </c>
      <c r="AB5131">
        <v>23</v>
      </c>
      <c r="AC5131">
        <v>14.1007999999999</v>
      </c>
      <c r="AD5131">
        <v>-1.1048080106539999</v>
      </c>
      <c r="AE5131">
        <v>3.0003899999999999</v>
      </c>
      <c r="AF5131">
        <v>-2.92836040859574</v>
      </c>
      <c r="AG5131">
        <v>-1.1048080106539999</v>
      </c>
      <c r="AH5131">
        <v>14.0299587661481</v>
      </c>
      <c r="AI5131">
        <v>94.407936476500595</v>
      </c>
      <c r="AJ5131">
        <v>101.78962738102101</v>
      </c>
      <c r="AK5131">
        <v>14.3748265520963</v>
      </c>
    </row>
    <row r="5132" spans="1:37" x14ac:dyDescent="0.2">
      <c r="A5132" t="str">
        <f>"20200111155958780"</f>
        <v>20200111155958780</v>
      </c>
      <c r="B5132" t="str">
        <f>"1578729598776031"</f>
        <v>1578729598776031</v>
      </c>
      <c r="C5132" t="s">
        <v>37</v>
      </c>
      <c r="D5132">
        <v>5.284179</v>
      </c>
      <c r="E5132">
        <v>0.42949559999999998</v>
      </c>
      <c r="F5132" t="s">
        <v>39</v>
      </c>
      <c r="G5132">
        <v>-333.20690000000002</v>
      </c>
      <c r="H5132" s="1">
        <v>-4.0268070000000001E-6</v>
      </c>
      <c r="I5132">
        <v>24.363669999999999</v>
      </c>
      <c r="J5132">
        <v>-347.21460000000002</v>
      </c>
      <c r="K5132">
        <v>1.104803</v>
      </c>
      <c r="L5132">
        <v>21.351099999999999</v>
      </c>
      <c r="M5132">
        <v>0.99988480000000002</v>
      </c>
      <c r="N5132">
        <v>0</v>
      </c>
      <c r="O5132">
        <v>4.0378009999999997E-3</v>
      </c>
      <c r="P5132">
        <v>0.99971690000000002</v>
      </c>
      <c r="Q5132">
        <v>1.2963540000000001E-2</v>
      </c>
      <c r="R5132">
        <v>1.995779E-2</v>
      </c>
      <c r="S5132">
        <v>2.991028</v>
      </c>
      <c r="T5132">
        <v>-0.23367179999999901</v>
      </c>
      <c r="U5132">
        <v>0.63732909999999998</v>
      </c>
      <c r="V5132">
        <v>-1.5930420000000001E-2</v>
      </c>
      <c r="W5132">
        <v>2.7580879999999999E-2</v>
      </c>
      <c r="X5132">
        <v>0.99949259999999995</v>
      </c>
      <c r="Y5132">
        <v>-0.2038681</v>
      </c>
      <c r="Z5132">
        <v>7.5520469999999897E-3</v>
      </c>
      <c r="AA5132">
        <v>0.97896919999999898</v>
      </c>
      <c r="AB5132">
        <v>23</v>
      </c>
      <c r="AC5132">
        <v>14.0077</v>
      </c>
      <c r="AD5132">
        <v>-1.104807026807</v>
      </c>
      <c r="AE5132">
        <v>3.0125700000000002</v>
      </c>
      <c r="AF5132">
        <v>-2.9385076134498802</v>
      </c>
      <c r="AG5132">
        <v>-1.104807026807</v>
      </c>
      <c r="AH5132">
        <v>13.936886802787001</v>
      </c>
      <c r="AI5132">
        <v>94.435368002522594</v>
      </c>
      <c r="AJ5132">
        <v>101.906081085963</v>
      </c>
      <c r="AK5132">
        <v>14.2860855140407</v>
      </c>
    </row>
    <row r="5133" spans="1:37" x14ac:dyDescent="0.2">
      <c r="A5133" t="str">
        <f>"20200111155958799"</f>
        <v>20200111155958799</v>
      </c>
      <c r="B5133" t="str">
        <f>"1578729598795549"</f>
        <v>1578729598795549</v>
      </c>
      <c r="C5133" t="s">
        <v>37</v>
      </c>
      <c r="D5133">
        <v>5.5090309999999896</v>
      </c>
      <c r="E5133">
        <v>0.429110099999999</v>
      </c>
      <c r="F5133" t="s">
        <v>39</v>
      </c>
      <c r="G5133">
        <v>-333.1361</v>
      </c>
      <c r="H5133" s="1">
        <v>-4.0514690000000003E-6</v>
      </c>
      <c r="I5133">
        <v>24.366810000000001</v>
      </c>
      <c r="J5133">
        <v>-347.03739999999999</v>
      </c>
      <c r="K5133">
        <v>1.104797</v>
      </c>
      <c r="L5133">
        <v>21.352079999999901</v>
      </c>
      <c r="M5133">
        <v>0.999884199999999</v>
      </c>
      <c r="N5133">
        <v>0</v>
      </c>
      <c r="O5133">
        <v>4.2379649999999998E-3</v>
      </c>
      <c r="P5133">
        <v>0.99972000000000005</v>
      </c>
      <c r="Q5133">
        <v>1.282929E-2</v>
      </c>
      <c r="R5133">
        <v>1.9893959999999999E-2</v>
      </c>
      <c r="S5133">
        <v>2.9910580000000002</v>
      </c>
      <c r="T5133">
        <v>-0.2347214</v>
      </c>
      <c r="U5133">
        <v>0.64071659999999997</v>
      </c>
      <c r="V5133">
        <v>-1.566644E-2</v>
      </c>
      <c r="W5133">
        <v>2.7442649999999999E-2</v>
      </c>
      <c r="X5133">
        <v>0.99950059999999996</v>
      </c>
      <c r="Y5133">
        <v>-0.2047234</v>
      </c>
      <c r="Z5133">
        <v>7.6025379999999998E-3</v>
      </c>
      <c r="AA5133">
        <v>0.9787903</v>
      </c>
      <c r="AB5133">
        <v>23</v>
      </c>
      <c r="AC5133">
        <v>13.9012999999999</v>
      </c>
      <c r="AD5133">
        <v>-1.1048010514690001</v>
      </c>
      <c r="AE5133">
        <v>3.0147300000000001</v>
      </c>
      <c r="AF5133">
        <v>-2.9380595452390899</v>
      </c>
      <c r="AG5133">
        <v>-1.1048010514690001</v>
      </c>
      <c r="AH5133">
        <v>13.830520137138899</v>
      </c>
      <c r="AI5133">
        <v>94.467884783402894</v>
      </c>
      <c r="AJ5133">
        <v>101.993228917648</v>
      </c>
      <c r="AK5133">
        <v>14.1822447630304</v>
      </c>
    </row>
    <row r="5134" spans="1:37" x14ac:dyDescent="0.2">
      <c r="A5134" t="str">
        <f>"20200111155958812"</f>
        <v>20200111155958812</v>
      </c>
      <c r="B5134" t="str">
        <f>"1578729598805309"</f>
        <v>1578729598805309</v>
      </c>
      <c r="C5134" t="s">
        <v>37</v>
      </c>
      <c r="D5134">
        <v>5.6104209999999997</v>
      </c>
      <c r="E5134">
        <v>0.42924989999999902</v>
      </c>
      <c r="F5134" t="s">
        <v>39</v>
      </c>
      <c r="G5134">
        <v>-333.1508</v>
      </c>
      <c r="H5134" s="1">
        <v>-4.0419009999999996E-6</v>
      </c>
      <c r="I5134">
        <v>24.34122</v>
      </c>
      <c r="J5134">
        <v>-346.89929999999998</v>
      </c>
      <c r="K5134">
        <v>1.1047929999999999</v>
      </c>
      <c r="L5134">
        <v>21.35284</v>
      </c>
      <c r="M5134">
        <v>0.99988359999999998</v>
      </c>
      <c r="N5134">
        <v>0</v>
      </c>
      <c r="O5134">
        <v>4.3939599999999997E-3</v>
      </c>
      <c r="P5134">
        <v>0.99972039999999995</v>
      </c>
      <c r="Q5134">
        <v>1.2716949999999999E-2</v>
      </c>
      <c r="R5134">
        <v>1.994421E-2</v>
      </c>
      <c r="S5134">
        <v>2.9910890000000001</v>
      </c>
      <c r="T5134">
        <v>-0.23796829999999999</v>
      </c>
      <c r="U5134">
        <v>0.64385990000000004</v>
      </c>
      <c r="V5134">
        <v>-1.556021E-2</v>
      </c>
      <c r="W5134">
        <v>2.7327299999999902E-2</v>
      </c>
      <c r="X5134">
        <v>0.99950539999999999</v>
      </c>
      <c r="Y5134">
        <v>-0.20553369999999899</v>
      </c>
      <c r="Z5134">
        <v>7.7260419999999998E-3</v>
      </c>
      <c r="AA5134">
        <v>0.97861949999999998</v>
      </c>
      <c r="AB5134">
        <v>23</v>
      </c>
      <c r="AC5134">
        <v>13.7484999999999</v>
      </c>
      <c r="AD5134">
        <v>-1.104797041901</v>
      </c>
      <c r="AE5134">
        <v>2.9883799999999998</v>
      </c>
      <c r="AF5134">
        <v>-2.9099912354113502</v>
      </c>
      <c r="AG5134">
        <v>-1.104797041901</v>
      </c>
      <c r="AH5134">
        <v>13.6771656207194</v>
      </c>
      <c r="AI5134">
        <v>94.517456441350006</v>
      </c>
      <c r="AJ5134">
        <v>102.011302034007</v>
      </c>
      <c r="AK5134">
        <v>14.0268843622008</v>
      </c>
    </row>
    <row r="5135" spans="1:37" x14ac:dyDescent="0.2">
      <c r="A5135" t="str">
        <f>"20200111155958825"</f>
        <v>20200111155958825</v>
      </c>
      <c r="B5135" t="str">
        <f>"1578729598816046"</f>
        <v>1578729598816046</v>
      </c>
      <c r="C5135" t="s">
        <v>37</v>
      </c>
      <c r="D5135">
        <v>5.5237049999999996</v>
      </c>
      <c r="E5135">
        <v>0.429208599999999</v>
      </c>
      <c r="F5135" t="s">
        <v>39</v>
      </c>
      <c r="G5135">
        <v>-332.90269999999998</v>
      </c>
      <c r="H5135" s="1">
        <v>-4.1296880000000001E-6</v>
      </c>
      <c r="I5135">
        <v>24.360029999999998</v>
      </c>
      <c r="J5135">
        <v>-346.76209999999998</v>
      </c>
      <c r="K5135">
        <v>1.1047899999999999</v>
      </c>
      <c r="L5135">
        <v>21.35361</v>
      </c>
      <c r="M5135">
        <v>0.99988299999999997</v>
      </c>
      <c r="N5135">
        <v>0</v>
      </c>
      <c r="O5135">
        <v>4.5488819999999998E-3</v>
      </c>
      <c r="P5135">
        <v>0.99972490000000003</v>
      </c>
      <c r="Q5135">
        <v>1.2424610000000001E-2</v>
      </c>
      <c r="R5135">
        <v>1.990097E-2</v>
      </c>
      <c r="S5135">
        <v>2.991028</v>
      </c>
      <c r="T5135">
        <v>-0.236090299999999</v>
      </c>
      <c r="U5135">
        <v>0.64263919999999997</v>
      </c>
      <c r="V5135">
        <v>-1.536207E-2</v>
      </c>
      <c r="W5135">
        <v>2.703177E-2</v>
      </c>
      <c r="X5135">
        <v>0.99951650000000003</v>
      </c>
      <c r="Y5135">
        <v>-0.2050159</v>
      </c>
      <c r="Z5135">
        <v>7.6334840000000003E-3</v>
      </c>
      <c r="AA5135">
        <v>0.97872890000000001</v>
      </c>
      <c r="AB5135">
        <v>23</v>
      </c>
      <c r="AC5135">
        <v>13.8593999999999</v>
      </c>
      <c r="AD5135">
        <v>-1.1047941296879999</v>
      </c>
      <c r="AE5135">
        <v>3.0064199999999901</v>
      </c>
      <c r="AF5135">
        <v>-2.9255825587923701</v>
      </c>
      <c r="AG5135">
        <v>-1.1047941296879999</v>
      </c>
      <c r="AH5135">
        <v>13.789249432875</v>
      </c>
      <c r="AI5135">
        <v>94.481418560147901</v>
      </c>
      <c r="AJ5135">
        <v>101.97847939190601</v>
      </c>
      <c r="AK5135">
        <v>14.1394131172177</v>
      </c>
    </row>
    <row r="5136" spans="1:37" x14ac:dyDescent="0.2">
      <c r="A5136" t="str">
        <f>"20200111155958839"</f>
        <v>20200111155958839</v>
      </c>
      <c r="B5136" t="str">
        <f>"1578729598835565"</f>
        <v>1578729598835565</v>
      </c>
      <c r="C5136" t="s">
        <v>37</v>
      </c>
      <c r="D5136">
        <v>5.5299379999999996</v>
      </c>
      <c r="E5136">
        <v>0.42930379999999901</v>
      </c>
      <c r="F5136" t="s">
        <v>39</v>
      </c>
      <c r="G5136">
        <v>-332.81950000000001</v>
      </c>
      <c r="H5136" s="1">
        <v>-4.1562019999999998E-6</v>
      </c>
      <c r="I5136">
        <v>24.349969999999999</v>
      </c>
      <c r="J5136">
        <v>-346.6275</v>
      </c>
      <c r="K5136">
        <v>1.1047899999999999</v>
      </c>
      <c r="L5136">
        <v>21.354429999999901</v>
      </c>
      <c r="M5136">
        <v>0.9998823</v>
      </c>
      <c r="N5136">
        <v>0</v>
      </c>
      <c r="O5136">
        <v>4.7009419999999996E-3</v>
      </c>
      <c r="P5136">
        <v>0.99973419999999902</v>
      </c>
      <c r="Q5136">
        <v>1.161975E-2</v>
      </c>
      <c r="R5136">
        <v>1.9923280000000002E-2</v>
      </c>
      <c r="S5136">
        <v>2.990936</v>
      </c>
      <c r="T5136">
        <v>-0.236998599999999</v>
      </c>
      <c r="U5136">
        <v>0.64279169999999997</v>
      </c>
      <c r="V5136">
        <v>-1.523181E-2</v>
      </c>
      <c r="W5136">
        <v>2.6223819999999998E-2</v>
      </c>
      <c r="X5136">
        <v>0.99953999999999998</v>
      </c>
      <c r="Y5136">
        <v>-0.20491709999999999</v>
      </c>
      <c r="Z5136">
        <v>7.647193E-3</v>
      </c>
      <c r="AA5136">
        <v>0.97874950000000005</v>
      </c>
      <c r="AB5136">
        <v>23</v>
      </c>
      <c r="AC5136">
        <v>13.8079999999999</v>
      </c>
      <c r="AD5136">
        <v>-1.1047941562019901</v>
      </c>
      <c r="AE5136">
        <v>2.9955400000000001</v>
      </c>
      <c r="AF5136">
        <v>-2.9127805196015202</v>
      </c>
      <c r="AG5136">
        <v>-1.1047941562019901</v>
      </c>
      <c r="AH5136">
        <v>13.737936525785001</v>
      </c>
      <c r="AI5136">
        <v>94.498215519643594</v>
      </c>
      <c r="AJ5136">
        <v>101.970835311033</v>
      </c>
      <c r="AK5136">
        <v>14.0867228434951</v>
      </c>
    </row>
    <row r="5137" spans="1:37" x14ac:dyDescent="0.2">
      <c r="A5137" t="str">
        <f>"20200111155958856"</f>
        <v>20200111155958856</v>
      </c>
      <c r="B5137" t="str">
        <f>"1578729598845325"</f>
        <v>1578729598845325</v>
      </c>
      <c r="C5137" t="s">
        <v>37</v>
      </c>
      <c r="D5137">
        <v>5.4420359999999999</v>
      </c>
      <c r="E5137">
        <v>0.42919669999999999</v>
      </c>
      <c r="F5137" t="s">
        <v>39</v>
      </c>
      <c r="G5137">
        <v>-332.74259999999998</v>
      </c>
      <c r="H5137" s="1">
        <v>-4.1796550000000002E-6</v>
      </c>
      <c r="I5137">
        <v>24.334629999999901</v>
      </c>
      <c r="J5137">
        <v>-346.46100000000001</v>
      </c>
      <c r="K5137">
        <v>1.104787</v>
      </c>
      <c r="L5137">
        <v>21.355409999999999</v>
      </c>
      <c r="M5137">
        <v>0.99988140000000003</v>
      </c>
      <c r="N5137">
        <v>0</v>
      </c>
      <c r="O5137">
        <v>4.8891259999999997E-3</v>
      </c>
      <c r="P5137">
        <v>0.99973279999999998</v>
      </c>
      <c r="Q5137">
        <v>1.1001840000000001E-2</v>
      </c>
      <c r="R5137">
        <v>2.0337359999999999E-2</v>
      </c>
      <c r="S5137">
        <v>2.99075299999999</v>
      </c>
      <c r="T5137">
        <v>-0.2379677</v>
      </c>
      <c r="U5137">
        <v>0.64193730000000004</v>
      </c>
      <c r="V5137">
        <v>-1.545797E-2</v>
      </c>
      <c r="W5137">
        <v>2.5601760000000001E-2</v>
      </c>
      <c r="X5137">
        <v>0.99955269999999996</v>
      </c>
      <c r="Y5137">
        <v>-0.20447470000000001</v>
      </c>
      <c r="Z5137">
        <v>7.6468999999999903E-3</v>
      </c>
      <c r="AA5137">
        <v>0.97884199999999999</v>
      </c>
      <c r="AB5137">
        <v>23</v>
      </c>
      <c r="AC5137">
        <v>13.718400000000001</v>
      </c>
      <c r="AD5137">
        <v>-1.1047911796550001</v>
      </c>
      <c r="AE5137">
        <v>2.97921999999999</v>
      </c>
      <c r="AF5137">
        <v>-2.8941810038662501</v>
      </c>
      <c r="AG5137">
        <v>-1.1047911796550001</v>
      </c>
      <c r="AH5137">
        <v>13.6482721465889</v>
      </c>
      <c r="AI5137">
        <v>94.527605016458494</v>
      </c>
      <c r="AJ5137">
        <v>101.972488625514</v>
      </c>
      <c r="AK5137">
        <v>13.9954342491092</v>
      </c>
    </row>
    <row r="5138" spans="1:37" x14ac:dyDescent="0.2">
      <c r="A5138" t="str">
        <f>"20200111155958870"</f>
        <v>20200111155958870</v>
      </c>
      <c r="B5138" t="str">
        <f>"1578729598865822"</f>
        <v>1578729598865822</v>
      </c>
      <c r="C5138" t="s">
        <v>37</v>
      </c>
      <c r="D5138">
        <v>5.1001269999999996</v>
      </c>
      <c r="E5138">
        <v>0.42877179999999998</v>
      </c>
      <c r="F5138" t="s">
        <v>39</v>
      </c>
      <c r="G5138">
        <v>-332.75240000000002</v>
      </c>
      <c r="H5138" s="1">
        <v>-4.1713569999999901E-6</v>
      </c>
      <c r="I5138">
        <v>24.306650000000001</v>
      </c>
      <c r="J5138">
        <v>-346.31979999999999</v>
      </c>
      <c r="K5138">
        <v>1.1047910000000001</v>
      </c>
      <c r="L5138">
        <v>21.356259999999999</v>
      </c>
      <c r="M5138">
        <v>0.99988060000000001</v>
      </c>
      <c r="N5138">
        <v>0</v>
      </c>
      <c r="O5138">
        <v>5.0488759999999999E-3</v>
      </c>
      <c r="P5138">
        <v>0.99972719999999904</v>
      </c>
      <c r="Q5138">
        <v>1.08967E-2</v>
      </c>
      <c r="R5138">
        <v>2.0667709999999999E-2</v>
      </c>
      <c r="S5138">
        <v>2.9903869999999899</v>
      </c>
      <c r="T5138">
        <v>-0.24099859999999901</v>
      </c>
      <c r="U5138">
        <v>0.6437988</v>
      </c>
      <c r="V5138">
        <v>-1.562817E-2</v>
      </c>
      <c r="W5138">
        <v>2.5493539999999999E-2</v>
      </c>
      <c r="X5138">
        <v>0.99955280000000002</v>
      </c>
      <c r="Y5138">
        <v>-0.20490900000000001</v>
      </c>
      <c r="Z5138">
        <v>7.7489859999999898E-3</v>
      </c>
      <c r="AA5138">
        <v>0.97875029999999996</v>
      </c>
      <c r="AB5138">
        <v>23</v>
      </c>
      <c r="AC5138">
        <v>13.5673999999999</v>
      </c>
      <c r="AD5138">
        <v>-1.1047951713569999</v>
      </c>
      <c r="AE5138">
        <v>2.9503900000000001</v>
      </c>
      <c r="AF5138">
        <v>-2.86371348901422</v>
      </c>
      <c r="AG5138">
        <v>-1.1047951713569999</v>
      </c>
      <c r="AH5138">
        <v>13.496671220644799</v>
      </c>
      <c r="AI5138">
        <v>94.578147464881994</v>
      </c>
      <c r="AJ5138">
        <v>101.979314192562</v>
      </c>
      <c r="AK5138">
        <v>13.841299120964001</v>
      </c>
    </row>
    <row r="5139" spans="1:37" x14ac:dyDescent="0.2">
      <c r="A5139" t="str">
        <f>"20200111155958888"</f>
        <v>20200111155958888</v>
      </c>
      <c r="B5139" t="str">
        <f>"1578729598885341"</f>
        <v>1578729598885341</v>
      </c>
      <c r="C5139" t="s">
        <v>37</v>
      </c>
      <c r="D5139">
        <v>5.1787869999999998</v>
      </c>
      <c r="E5139">
        <v>0.42834559999999999</v>
      </c>
      <c r="F5139" t="s">
        <v>39</v>
      </c>
      <c r="G5139">
        <v>-332.71370000000002</v>
      </c>
      <c r="H5139" s="1">
        <v>-4.1843290000000001E-6</v>
      </c>
      <c r="I5139">
        <v>24.305440000000001</v>
      </c>
      <c r="J5139">
        <v>-346.13339999999999</v>
      </c>
      <c r="K5139">
        <v>1.1047929999999999</v>
      </c>
      <c r="L5139">
        <v>21.357479999999999</v>
      </c>
      <c r="M5139">
        <v>0.99987969999999904</v>
      </c>
      <c r="N5139">
        <v>0</v>
      </c>
      <c r="O5139">
        <v>5.2594119999999998E-3</v>
      </c>
      <c r="P5139">
        <v>0.99971330000000003</v>
      </c>
      <c r="Q5139">
        <v>1.0957160000000001E-2</v>
      </c>
      <c r="R5139">
        <v>2.128855E-2</v>
      </c>
      <c r="S5139">
        <v>2.9901119999999999</v>
      </c>
      <c r="T5139">
        <v>-0.24279200000000001</v>
      </c>
      <c r="U5139">
        <v>0.64813229999999999</v>
      </c>
      <c r="V5139">
        <v>-1.6038520000000001E-2</v>
      </c>
      <c r="W5139">
        <v>2.554932E-2</v>
      </c>
      <c r="X5139">
        <v>0.99954489999999996</v>
      </c>
      <c r="Y5139">
        <v>-0.20606450000000001</v>
      </c>
      <c r="Z5139">
        <v>7.8354219999999999E-3</v>
      </c>
      <c r="AA5139">
        <v>0.97850700000000002</v>
      </c>
      <c r="AB5139">
        <v>23</v>
      </c>
      <c r="AC5139">
        <v>13.419699999999899</v>
      </c>
      <c r="AD5139">
        <v>-1.1047971843290001</v>
      </c>
      <c r="AE5139">
        <v>2.9479600000000001</v>
      </c>
      <c r="AF5139">
        <v>-2.8588476778510401</v>
      </c>
      <c r="AG5139">
        <v>-1.1047971843290001</v>
      </c>
      <c r="AH5139">
        <v>13.348712505442601</v>
      </c>
      <c r="AI5139">
        <v>94.626814164620001</v>
      </c>
      <c r="AJ5139">
        <v>102.088228947514</v>
      </c>
      <c r="AK5139">
        <v>13.6960473282117</v>
      </c>
    </row>
    <row r="5140" spans="1:37" x14ac:dyDescent="0.2">
      <c r="A5140" t="str">
        <f>"20200111155958902"</f>
        <v>20200111155958902</v>
      </c>
      <c r="B5140" t="str">
        <f>"1578729598896078"</f>
        <v>1578729598896078</v>
      </c>
      <c r="C5140" t="s">
        <v>37</v>
      </c>
      <c r="D5140">
        <v>5.1181839999999896</v>
      </c>
      <c r="E5140">
        <v>0.42816340000000003</v>
      </c>
      <c r="F5140" t="s">
        <v>39</v>
      </c>
      <c r="G5140">
        <v>-332.55</v>
      </c>
      <c r="H5140" s="1">
        <v>-4.2436530000000003E-6</v>
      </c>
      <c r="I5140">
        <v>24.325949999999999</v>
      </c>
      <c r="J5140">
        <v>-345.9896</v>
      </c>
      <c r="K5140">
        <v>1.104795</v>
      </c>
      <c r="L5140">
        <v>21.358429999999998</v>
      </c>
      <c r="M5140">
        <v>0.99987879999999996</v>
      </c>
      <c r="N5140">
        <v>0</v>
      </c>
      <c r="O5140">
        <v>5.4222019999999897E-3</v>
      </c>
      <c r="P5140">
        <v>0.99970400000000004</v>
      </c>
      <c r="Q5140">
        <v>1.1342939999999999E-2</v>
      </c>
      <c r="R5140">
        <v>2.1522550000000001E-2</v>
      </c>
      <c r="S5140">
        <v>2.9895939999999999</v>
      </c>
      <c r="T5140">
        <v>-0.24315609999999999</v>
      </c>
      <c r="U5140">
        <v>0.65335080000000001</v>
      </c>
      <c r="V5140">
        <v>-1.6109849999999998E-2</v>
      </c>
      <c r="W5140">
        <v>2.5931139999999998E-2</v>
      </c>
      <c r="X5140">
        <v>0.99953389999999998</v>
      </c>
      <c r="Y5140">
        <v>-0.20756479999999899</v>
      </c>
      <c r="Z5140">
        <v>7.8941719999999996E-3</v>
      </c>
      <c r="AA5140">
        <v>0.97818939999999999</v>
      </c>
      <c r="AB5140">
        <v>23</v>
      </c>
      <c r="AC5140">
        <v>13.439599999999899</v>
      </c>
      <c r="AD5140">
        <v>-1.1047992436530001</v>
      </c>
      <c r="AE5140">
        <v>2.9675199999999999</v>
      </c>
      <c r="AF5140">
        <v>-2.8760645270238898</v>
      </c>
      <c r="AG5140">
        <v>-1.1047992436530001</v>
      </c>
      <c r="AH5140">
        <v>13.369349516093701</v>
      </c>
      <c r="AI5140">
        <v>94.618808360948705</v>
      </c>
      <c r="AJ5140">
        <v>102.140656769305</v>
      </c>
      <c r="AK5140">
        <v>13.719760749220599</v>
      </c>
    </row>
    <row r="5141" spans="1:37" x14ac:dyDescent="0.2">
      <c r="A5141" t="str">
        <f>"20200111155958916"</f>
        <v>20200111155958916</v>
      </c>
      <c r="B5141" t="str">
        <f>"1578729598905838"</f>
        <v>1578729598905838</v>
      </c>
      <c r="C5141" t="s">
        <v>37</v>
      </c>
      <c r="D5141">
        <v>5.1320360000000003</v>
      </c>
      <c r="E5141">
        <v>0.42799989999999999</v>
      </c>
      <c r="F5141" t="s">
        <v>39</v>
      </c>
      <c r="G5141">
        <v>-332.35570000000001</v>
      </c>
      <c r="H5141" s="1">
        <v>-4.313729E-6</v>
      </c>
      <c r="I5141">
        <v>24.348289999999999</v>
      </c>
      <c r="J5141">
        <v>-345.85180000000003</v>
      </c>
      <c r="K5141">
        <v>1.1047959999999999</v>
      </c>
      <c r="L5141">
        <v>21.359379999999899</v>
      </c>
      <c r="M5141">
        <v>0.99987809999999899</v>
      </c>
      <c r="N5141">
        <v>0</v>
      </c>
      <c r="O5141">
        <v>5.5778980000000004E-3</v>
      </c>
      <c r="P5141">
        <v>0.99969249999999898</v>
      </c>
      <c r="Q5141">
        <v>1.152338E-2</v>
      </c>
      <c r="R5141">
        <v>2.19624E-2</v>
      </c>
      <c r="S5141">
        <v>2.9895320000000001</v>
      </c>
      <c r="T5141">
        <v>-0.2422512</v>
      </c>
      <c r="U5141">
        <v>0.65560909999999994</v>
      </c>
      <c r="V5141">
        <v>-1.639384E-2</v>
      </c>
      <c r="W5141">
        <v>2.610846E-2</v>
      </c>
      <c r="X5141">
        <v>0.99952469999999904</v>
      </c>
      <c r="Y5141">
        <v>-0.20812539999999999</v>
      </c>
      <c r="Z5141">
        <v>7.8743830000000004E-3</v>
      </c>
      <c r="AA5141">
        <v>0.97807040000000001</v>
      </c>
      <c r="AB5141">
        <v>23</v>
      </c>
      <c r="AC5141">
        <v>13.4961</v>
      </c>
      <c r="AD5141">
        <v>-1.1048003137289999</v>
      </c>
      <c r="AE5141">
        <v>2.9889100000000002</v>
      </c>
      <c r="AF5141">
        <v>-2.89508220252943</v>
      </c>
      <c r="AG5141">
        <v>-1.1048003137289999</v>
      </c>
      <c r="AH5141">
        <v>13.4267949610499</v>
      </c>
      <c r="AI5141">
        <v>94.598669067556202</v>
      </c>
      <c r="AJ5141">
        <v>102.167816140616</v>
      </c>
      <c r="AK5141">
        <v>13.7797281402317</v>
      </c>
    </row>
    <row r="5142" spans="1:37" x14ac:dyDescent="0.2">
      <c r="A5142" t="str">
        <f>"20200111155958933"</f>
        <v>20200111155958933</v>
      </c>
      <c r="B5142" t="str">
        <f>"1578729598925357"</f>
        <v>1578729598925357</v>
      </c>
      <c r="C5142" t="s">
        <v>37</v>
      </c>
      <c r="D5142">
        <v>5.1256139999999997</v>
      </c>
      <c r="E5142">
        <v>0.4275622</v>
      </c>
      <c r="F5142" t="s">
        <v>39</v>
      </c>
      <c r="G5142">
        <v>-332.17039999999997</v>
      </c>
      <c r="H5142" s="1">
        <v>-4.3809690000000003E-6</v>
      </c>
      <c r="I5142">
        <v>24.371779999999902</v>
      </c>
      <c r="J5142">
        <v>-345.68169999999998</v>
      </c>
      <c r="K5142">
        <v>1.104792</v>
      </c>
      <c r="L5142">
        <v>21.360529999999901</v>
      </c>
      <c r="M5142">
        <v>0.99987680000000001</v>
      </c>
      <c r="N5142">
        <v>0</v>
      </c>
      <c r="O5142">
        <v>5.7705509999999996E-3</v>
      </c>
      <c r="P5142">
        <v>0.99969180000000002</v>
      </c>
      <c r="Q5142">
        <v>1.138874E-2</v>
      </c>
      <c r="R5142">
        <v>2.205449E-2</v>
      </c>
      <c r="S5142">
        <v>2.9892880000000002</v>
      </c>
      <c r="T5142">
        <v>-0.2413902</v>
      </c>
      <c r="U5142">
        <v>0.65820310000000004</v>
      </c>
      <c r="V5142">
        <v>-1.6293330000000002E-2</v>
      </c>
      <c r="W5142">
        <v>2.5969269999999999E-2</v>
      </c>
      <c r="X5142">
        <v>0.99952999999999903</v>
      </c>
      <c r="Y5142">
        <v>-0.20876639999999899</v>
      </c>
      <c r="Z5142">
        <v>7.8565800000000002E-3</v>
      </c>
      <c r="AA5142">
        <v>0.97793399999999997</v>
      </c>
      <c r="AB5142">
        <v>22</v>
      </c>
      <c r="AC5142">
        <v>13.5113</v>
      </c>
      <c r="AD5142">
        <v>-1.104796380969</v>
      </c>
      <c r="AE5142">
        <v>3.01125</v>
      </c>
      <c r="AF5142">
        <v>-2.9146584754976499</v>
      </c>
      <c r="AG5142">
        <v>-1.104796380969</v>
      </c>
      <c r="AH5142">
        <v>13.442826994641599</v>
      </c>
      <c r="AI5142">
        <v>94.592059168602802</v>
      </c>
      <c r="AJ5142">
        <v>102.233451656158</v>
      </c>
      <c r="AK5142">
        <v>13.7994712463941</v>
      </c>
    </row>
    <row r="5143" spans="1:37" x14ac:dyDescent="0.2">
      <c r="A5143" t="str">
        <f>"20200111155958946"</f>
        <v>20200111155958946</v>
      </c>
      <c r="B5143" t="str">
        <f>"1578729598936094"</f>
        <v>1578729598936094</v>
      </c>
      <c r="C5143" t="s">
        <v>37</v>
      </c>
      <c r="D5143">
        <v>5.2113059999999898</v>
      </c>
      <c r="E5143">
        <v>0.42748339999999901</v>
      </c>
      <c r="F5143" t="s">
        <v>39</v>
      </c>
      <c r="G5143">
        <v>-331.96679999999998</v>
      </c>
      <c r="H5143" s="1">
        <v>-4.4549789999999998E-6</v>
      </c>
      <c r="I5143">
        <v>24.39845</v>
      </c>
      <c r="J5143">
        <v>-345.5498</v>
      </c>
      <c r="K5143">
        <v>1.1047929999999999</v>
      </c>
      <c r="L5143">
        <v>21.36148</v>
      </c>
      <c r="M5143">
        <v>0.99987619999999899</v>
      </c>
      <c r="N5143">
        <v>0</v>
      </c>
      <c r="O5143">
        <v>5.9196309999999999E-3</v>
      </c>
      <c r="P5143">
        <v>0.99969509999999995</v>
      </c>
      <c r="Q5143">
        <v>1.107324E-2</v>
      </c>
      <c r="R5143">
        <v>2.207719E-2</v>
      </c>
      <c r="S5143">
        <v>2.9890750000000001</v>
      </c>
      <c r="T5143">
        <v>-0.24078260000000001</v>
      </c>
      <c r="U5143">
        <v>0.66210939999999996</v>
      </c>
      <c r="V5143">
        <v>-1.616716E-2</v>
      </c>
      <c r="W5143">
        <v>2.5650849999999999E-2</v>
      </c>
      <c r="X5143">
        <v>0.99954019999999999</v>
      </c>
      <c r="Y5143">
        <v>-0.20985409999999999</v>
      </c>
      <c r="Z5143">
        <v>7.8676990000000006E-3</v>
      </c>
      <c r="AA5143">
        <v>0.97770109999999999</v>
      </c>
      <c r="AB5143">
        <v>22</v>
      </c>
      <c r="AC5143">
        <v>13.583</v>
      </c>
      <c r="AD5143">
        <v>-1.1047974549789901</v>
      </c>
      <c r="AE5143">
        <v>3.0369700000000002</v>
      </c>
      <c r="AF5143">
        <v>-2.9379905011929601</v>
      </c>
      <c r="AG5143">
        <v>-1.1047974549789901</v>
      </c>
      <c r="AH5143">
        <v>13.515584038964199</v>
      </c>
      <c r="AI5143">
        <v>94.566921311011498</v>
      </c>
      <c r="AJ5143">
        <v>102.264045331793</v>
      </c>
      <c r="AK5143">
        <v>13.875279367131</v>
      </c>
    </row>
    <row r="5144" spans="1:37" x14ac:dyDescent="0.2">
      <c r="A5144" t="str">
        <f>"20200111155958958"</f>
        <v>20200111155958958</v>
      </c>
      <c r="B5144" t="str">
        <f>"1578729598955613"</f>
        <v>1578729598955613</v>
      </c>
      <c r="C5144" t="s">
        <v>37</v>
      </c>
      <c r="D5144">
        <v>5.3772010000000003</v>
      </c>
      <c r="E5144">
        <v>0.42740429999999902</v>
      </c>
      <c r="F5144" t="s">
        <v>39</v>
      </c>
      <c r="G5144">
        <v>-331.84460000000001</v>
      </c>
      <c r="H5144" s="1">
        <v>-4.4970139999999901E-6</v>
      </c>
      <c r="I5144">
        <v>24.401</v>
      </c>
      <c r="J5144">
        <v>-345.42320000000001</v>
      </c>
      <c r="K5144">
        <v>1.1047929999999999</v>
      </c>
      <c r="L5144">
        <v>21.362369999999999</v>
      </c>
      <c r="M5144">
        <v>0.99987539999999997</v>
      </c>
      <c r="N5144">
        <v>0</v>
      </c>
      <c r="O5144">
        <v>6.0629880000000001E-3</v>
      </c>
      <c r="P5144">
        <v>0.99969629999999998</v>
      </c>
      <c r="Q5144">
        <v>1.102152E-2</v>
      </c>
      <c r="R5144">
        <v>2.2047979999999998E-2</v>
      </c>
      <c r="S5144">
        <v>2.988953</v>
      </c>
      <c r="T5144">
        <v>-0.240944299999999</v>
      </c>
      <c r="U5144">
        <v>0.66290280000000001</v>
      </c>
      <c r="V5144">
        <v>-1.599418E-2</v>
      </c>
      <c r="W5144">
        <v>2.559604E-2</v>
      </c>
      <c r="X5144">
        <v>0.9995444</v>
      </c>
      <c r="Y5144">
        <v>-0.20996899999999999</v>
      </c>
      <c r="Z5144">
        <v>7.8662309999999996E-3</v>
      </c>
      <c r="AA5144">
        <v>0.9776764</v>
      </c>
      <c r="AB5144">
        <v>22</v>
      </c>
      <c r="AC5144">
        <v>13.5785999999999</v>
      </c>
      <c r="AD5144">
        <v>-1.104797497014</v>
      </c>
      <c r="AE5144">
        <v>3.0386299999999902</v>
      </c>
      <c r="AF5144">
        <v>-2.9377183732638499</v>
      </c>
      <c r="AG5144">
        <v>-1.104797497014</v>
      </c>
      <c r="AH5144">
        <v>13.511594944915</v>
      </c>
      <c r="AI5144">
        <v>94.568222507946004</v>
      </c>
      <c r="AJ5144">
        <v>102.266454610491</v>
      </c>
      <c r="AK5144">
        <v>13.871336082204699</v>
      </c>
    </row>
    <row r="5145" spans="1:37" x14ac:dyDescent="0.2">
      <c r="A5145" t="str">
        <f>"20200111155958972"</f>
        <v>20200111155958972</v>
      </c>
      <c r="B5145" t="str">
        <f>"1578729598965374"</f>
        <v>1578729598965374</v>
      </c>
      <c r="C5145" t="s">
        <v>37</v>
      </c>
      <c r="D5145">
        <v>5.4043359999999998</v>
      </c>
      <c r="E5145">
        <v>0.42740429999999902</v>
      </c>
      <c r="F5145" t="s">
        <v>39</v>
      </c>
      <c r="G5145">
        <v>-331.50580000000002</v>
      </c>
      <c r="H5145" s="1">
        <v>-4.621172E-6</v>
      </c>
      <c r="I5145">
        <v>24.450990000000001</v>
      </c>
      <c r="J5145">
        <v>-345.29790000000003</v>
      </c>
      <c r="K5145">
        <v>1.1047990000000001</v>
      </c>
      <c r="L5145">
        <v>21.363309999999998</v>
      </c>
      <c r="M5145">
        <v>0.9998745</v>
      </c>
      <c r="N5145">
        <v>0</v>
      </c>
      <c r="O5145">
        <v>6.2048559999999999E-3</v>
      </c>
      <c r="P5145">
        <v>0.99969269999999999</v>
      </c>
      <c r="Q5145">
        <v>1.119499E-2</v>
      </c>
      <c r="R5145">
        <v>2.2127979999999998E-2</v>
      </c>
      <c r="S5145">
        <v>2.9888919999999999</v>
      </c>
      <c r="T5145">
        <v>-0.23726649999999999</v>
      </c>
      <c r="U5145">
        <v>0.66333009999999903</v>
      </c>
      <c r="V5145">
        <v>-1.5932620000000002E-2</v>
      </c>
      <c r="W5145">
        <v>2.5766689999999998E-2</v>
      </c>
      <c r="X5145">
        <v>0.99954100000000001</v>
      </c>
      <c r="Y5145">
        <v>-0.20998720000000001</v>
      </c>
      <c r="Z5145">
        <v>7.7361640000000002E-3</v>
      </c>
      <c r="AA5145">
        <v>0.97767349999999997</v>
      </c>
      <c r="AB5145">
        <v>22</v>
      </c>
      <c r="AC5145">
        <v>13.7921</v>
      </c>
      <c r="AD5145">
        <v>-1.104803621172</v>
      </c>
      <c r="AE5145">
        <v>3.08767999999999</v>
      </c>
      <c r="AF5145">
        <v>-2.9838011932025701</v>
      </c>
      <c r="AG5145">
        <v>-1.104803621172</v>
      </c>
      <c r="AH5145">
        <v>13.7271166890897</v>
      </c>
      <c r="AI5145">
        <v>94.496873312861993</v>
      </c>
      <c r="AJ5145">
        <v>102.263360406217</v>
      </c>
      <c r="AK5145">
        <v>14.091039464773299</v>
      </c>
    </row>
    <row r="5146" spans="1:37" x14ac:dyDescent="0.2">
      <c r="A5146" t="str">
        <f>"20200111155958990"</f>
        <v>20200111155958990</v>
      </c>
      <c r="B5146" t="str">
        <f>"1578729598985870"</f>
        <v>1578729598985870</v>
      </c>
      <c r="C5146" t="s">
        <v>37</v>
      </c>
      <c r="D5146">
        <v>5.3900819999999996</v>
      </c>
      <c r="E5146">
        <v>0.48505159999999897</v>
      </c>
      <c r="F5146" t="s">
        <v>39</v>
      </c>
      <c r="G5146">
        <v>-331.3426</v>
      </c>
      <c r="H5146" s="1">
        <v>-4.678577E-6</v>
      </c>
      <c r="I5146">
        <v>24.461500000000001</v>
      </c>
      <c r="J5146">
        <v>-345.11610000000002</v>
      </c>
      <c r="K5146">
        <v>1.1048020000000001</v>
      </c>
      <c r="L5146">
        <v>21.364650000000001</v>
      </c>
      <c r="M5146">
        <v>0.99987329999999996</v>
      </c>
      <c r="N5146">
        <v>0</v>
      </c>
      <c r="O5146">
        <v>6.410565E-3</v>
      </c>
      <c r="P5146">
        <v>0.99969110000000005</v>
      </c>
      <c r="Q5146">
        <v>1.154529E-2</v>
      </c>
      <c r="R5146">
        <v>2.2014200000000001E-2</v>
      </c>
      <c r="S5146">
        <v>2.9888919999999999</v>
      </c>
      <c r="T5146">
        <v>-0.23662279999999999</v>
      </c>
      <c r="U5146">
        <v>0.663574199999999</v>
      </c>
      <c r="V5146">
        <v>-1.561362E-2</v>
      </c>
      <c r="W5146">
        <v>2.6112750000000001E-2</v>
      </c>
      <c r="X5146">
        <v>0.99953709999999996</v>
      </c>
      <c r="Y5146">
        <v>-0.20986649999999901</v>
      </c>
      <c r="Z5146">
        <v>7.6943979999999999E-3</v>
      </c>
      <c r="AA5146">
        <v>0.97769980000000001</v>
      </c>
      <c r="AB5146">
        <v>22</v>
      </c>
      <c r="AC5146">
        <v>13.7735</v>
      </c>
      <c r="AD5146">
        <v>-1.1048066785770001</v>
      </c>
      <c r="AE5146">
        <v>3.0968499999999999</v>
      </c>
      <c r="AF5146">
        <v>-2.9901679841591799</v>
      </c>
      <c r="AG5146">
        <v>-1.1048066785770001</v>
      </c>
      <c r="AH5146">
        <v>13.709111082281</v>
      </c>
      <c r="AI5146">
        <v>94.502068647474402</v>
      </c>
      <c r="AJ5146">
        <v>102.304382157482</v>
      </c>
      <c r="AK5146">
        <v>14.074850941904799</v>
      </c>
    </row>
    <row r="5147" spans="1:37" x14ac:dyDescent="0.2">
      <c r="A5147" t="str">
        <f>"20200111155959004"</f>
        <v>20200111155959004</v>
      </c>
      <c r="B5147" t="str">
        <f>"1578729598995630"</f>
        <v>1578729598995630</v>
      </c>
      <c r="C5147" t="s">
        <v>37</v>
      </c>
      <c r="D5147">
        <v>5.4026360000000002</v>
      </c>
      <c r="E5147">
        <v>0.49451499999999998</v>
      </c>
      <c r="F5147" t="s">
        <v>39</v>
      </c>
      <c r="G5147">
        <v>-328.51940000000002</v>
      </c>
      <c r="H5147" s="1">
        <v>-1.4404570000000001E-6</v>
      </c>
      <c r="I5147">
        <v>22.47296</v>
      </c>
      <c r="J5147">
        <v>-344.96899999999999</v>
      </c>
      <c r="K5147">
        <v>1.104808</v>
      </c>
      <c r="L5147">
        <v>21.36581</v>
      </c>
      <c r="M5147">
        <v>0.99987230000000005</v>
      </c>
      <c r="N5147">
        <v>0</v>
      </c>
      <c r="O5147">
        <v>6.5769309999999899E-3</v>
      </c>
      <c r="P5147">
        <v>0.999687199999999</v>
      </c>
      <c r="Q5147">
        <v>1.168423E-2</v>
      </c>
      <c r="R5147">
        <v>2.2119690000000001E-2</v>
      </c>
      <c r="S5147">
        <v>2.99880999999999</v>
      </c>
      <c r="T5147">
        <v>-0.19962389999999999</v>
      </c>
      <c r="U5147">
        <v>0.2002563</v>
      </c>
      <c r="V5147">
        <v>-1.5552079999999999E-2</v>
      </c>
      <c r="W5147">
        <v>2.6247650000000001E-2</v>
      </c>
      <c r="X5147">
        <v>0.99953449999999899</v>
      </c>
      <c r="Y5147">
        <v>-5.9948170000000002E-2</v>
      </c>
      <c r="Z5147">
        <v>1.5540279999999901E-3</v>
      </c>
      <c r="AA5147">
        <v>0.99820030000000004</v>
      </c>
      <c r="AB5147">
        <v>22</v>
      </c>
      <c r="AC5147">
        <v>16.449599999999901</v>
      </c>
      <c r="AD5147">
        <v>-1.1048094404569999</v>
      </c>
      <c r="AE5147">
        <v>1.1071500000000001</v>
      </c>
      <c r="AF5147">
        <v>-0.99446099507270003</v>
      </c>
      <c r="AG5147">
        <v>-1.1048094404569999</v>
      </c>
      <c r="AH5147">
        <v>16.38295780732</v>
      </c>
      <c r="AI5147">
        <v>93.850919335219004</v>
      </c>
      <c r="AJ5147">
        <v>93.473645717928207</v>
      </c>
      <c r="AK5147">
        <v>16.4502541952053</v>
      </c>
    </row>
    <row r="5148" spans="1:37" x14ac:dyDescent="0.2">
      <c r="A5148" t="str">
        <f>"20200111155959021"</f>
        <v>20200111155959021</v>
      </c>
      <c r="B5148" t="str">
        <f>"1578729599016126"</f>
        <v>1578729599016126</v>
      </c>
      <c r="C5148" t="s">
        <v>37</v>
      </c>
      <c r="D5148">
        <v>5.3950009999999997</v>
      </c>
      <c r="E5148">
        <v>0.50434820000000002</v>
      </c>
      <c r="F5148" t="s">
        <v>39</v>
      </c>
      <c r="G5148">
        <v>-328.55369999999999</v>
      </c>
      <c r="H5148" s="1">
        <v>-1.3116059999999901E-6</v>
      </c>
      <c r="I5148">
        <v>22.049669999999999</v>
      </c>
      <c r="J5148">
        <v>-344.79950000000002</v>
      </c>
      <c r="K5148">
        <v>1.1048119999999999</v>
      </c>
      <c r="L5148">
        <v>21.367190000000001</v>
      </c>
      <c r="M5148">
        <v>0.99987109999999901</v>
      </c>
      <c r="N5148">
        <v>0</v>
      </c>
      <c r="O5148">
        <v>6.7686899999999999E-3</v>
      </c>
      <c r="P5148">
        <v>0.99967839999999997</v>
      </c>
      <c r="Q5148">
        <v>1.2389239999999999E-2</v>
      </c>
      <c r="R5148">
        <v>2.2133030000000001E-2</v>
      </c>
      <c r="S5148">
        <v>3.0005189999999899</v>
      </c>
      <c r="T5148">
        <v>-0.20194579999999901</v>
      </c>
      <c r="U5148">
        <v>0.125</v>
      </c>
      <c r="V5148">
        <v>-1.537402E-2</v>
      </c>
      <c r="W5148">
        <v>2.694883E-2</v>
      </c>
      <c r="X5148">
        <v>0.99951859999999904</v>
      </c>
      <c r="Y5148">
        <v>-3.479558E-2</v>
      </c>
      <c r="Z5148">
        <v>7.1423039999999997E-4</v>
      </c>
      <c r="AA5148">
        <v>0.99939419999999901</v>
      </c>
      <c r="AB5148">
        <v>22</v>
      </c>
      <c r="AC5148">
        <v>16.245799999999999</v>
      </c>
      <c r="AD5148">
        <v>-1.1048133116059999</v>
      </c>
      <c r="AE5148">
        <v>0.68248000000000097</v>
      </c>
      <c r="AF5148">
        <v>-0.569859065138964</v>
      </c>
      <c r="AG5148">
        <v>-1.1048133116059999</v>
      </c>
      <c r="AH5148">
        <v>16.175371229013599</v>
      </c>
      <c r="AI5148">
        <v>93.904943616170598</v>
      </c>
      <c r="AJ5148">
        <v>92.017698438424802</v>
      </c>
      <c r="AK5148">
        <v>16.223069567872201</v>
      </c>
    </row>
    <row r="5149" spans="1:37" x14ac:dyDescent="0.2">
      <c r="A5149" t="str">
        <f>"20200111155959046"</f>
        <v>20200111155959046</v>
      </c>
      <c r="B5149" t="str">
        <f>"1578729599035645"</f>
        <v>1578729599035645</v>
      </c>
      <c r="C5149" t="s">
        <v>37</v>
      </c>
      <c r="D5149">
        <v>5.4046599999999998</v>
      </c>
      <c r="E5149">
        <v>0.50889549999999995</v>
      </c>
      <c r="F5149" t="s">
        <v>39</v>
      </c>
      <c r="G5149">
        <v>-327.5609</v>
      </c>
      <c r="H5149" s="1">
        <v>-1.6695029999999999E-6</v>
      </c>
      <c r="I5149">
        <v>21.6309</v>
      </c>
      <c r="J5149">
        <v>-344.56319999999999</v>
      </c>
      <c r="K5149">
        <v>1.1048129999999901</v>
      </c>
      <c r="L5149">
        <v>21.36908</v>
      </c>
      <c r="M5149">
        <v>0.99986929999999996</v>
      </c>
      <c r="N5149">
        <v>0</v>
      </c>
      <c r="O5149">
        <v>7.0364479999999998E-3</v>
      </c>
      <c r="P5149">
        <v>0.99966749999999904</v>
      </c>
      <c r="Q5149">
        <v>1.305341E-2</v>
      </c>
      <c r="R5149">
        <v>2.2244090000000001E-2</v>
      </c>
      <c r="S5149">
        <v>3.00228899999999</v>
      </c>
      <c r="T5149">
        <v>-0.19241510000000001</v>
      </c>
      <c r="U5149">
        <v>4.5928959999999998E-2</v>
      </c>
      <c r="V5149">
        <v>-1.521789E-2</v>
      </c>
      <c r="W5149">
        <v>2.7607090000000001E-2</v>
      </c>
      <c r="X5149">
        <v>0.99950300000000003</v>
      </c>
      <c r="Y5149">
        <v>-8.2569400000000008E-3</v>
      </c>
      <c r="Z5149">
        <v>-1.8620790000000001E-4</v>
      </c>
      <c r="AA5149">
        <v>0.99996589999999996</v>
      </c>
      <c r="AB5149">
        <v>22</v>
      </c>
      <c r="AC5149">
        <v>17.002299999999899</v>
      </c>
      <c r="AD5149">
        <v>-1.1048146695029999</v>
      </c>
      <c r="AE5149">
        <v>0.26182</v>
      </c>
      <c r="AF5149">
        <v>-0.14156742316724799</v>
      </c>
      <c r="AG5149">
        <v>-1.1048146695029999</v>
      </c>
      <c r="AH5149">
        <v>16.932243043074099</v>
      </c>
      <c r="AI5149">
        <v>93.733079507075104</v>
      </c>
      <c r="AJ5149">
        <v>90.479028493216802</v>
      </c>
      <c r="AK5149">
        <v>16.968839419918599</v>
      </c>
    </row>
    <row r="5150" spans="1:37" x14ac:dyDescent="0.2">
      <c r="A5150" t="str">
        <f>"20200111155959059"</f>
        <v>20200111155959059</v>
      </c>
      <c r="B5150" t="str">
        <f>"1578729599056142"</f>
        <v>1578729599056142</v>
      </c>
      <c r="C5150" t="s">
        <v>37</v>
      </c>
      <c r="D5150">
        <v>5.3601919999999996</v>
      </c>
      <c r="E5150">
        <v>0.51187059999999995</v>
      </c>
      <c r="F5150" t="s">
        <v>39</v>
      </c>
      <c r="G5150">
        <v>-327.25299999999999</v>
      </c>
      <c r="H5150" s="1">
        <v>-1.7604769999999999E-6</v>
      </c>
      <c r="I5150">
        <v>21.425889999999999</v>
      </c>
      <c r="J5150">
        <v>-344.42450000000002</v>
      </c>
      <c r="K5150">
        <v>1.1048129999999901</v>
      </c>
      <c r="L5150">
        <v>21.370270000000001</v>
      </c>
      <c r="M5150">
        <v>0.99986819999999899</v>
      </c>
      <c r="N5150">
        <v>0</v>
      </c>
      <c r="O5150">
        <v>7.1935139999999998E-3</v>
      </c>
      <c r="P5150">
        <v>0.999660199999999</v>
      </c>
      <c r="Q5150">
        <v>1.3321889999999999E-2</v>
      </c>
      <c r="R5150">
        <v>2.2411779999999999E-2</v>
      </c>
      <c r="S5150">
        <v>3.00329599999999</v>
      </c>
      <c r="T5150">
        <v>-0.19168379999999999</v>
      </c>
      <c r="U5150">
        <v>9.8571779999999994E-3</v>
      </c>
      <c r="V5150">
        <v>-1.522827E-2</v>
      </c>
      <c r="W5150">
        <v>2.787212E-2</v>
      </c>
      <c r="X5150">
        <v>0.99949549999999998</v>
      </c>
      <c r="Y5150">
        <v>3.8896679999999898E-3</v>
      </c>
      <c r="Z5150">
        <v>-5.8270030000000001E-4</v>
      </c>
      <c r="AA5150">
        <v>0.99999229999999995</v>
      </c>
      <c r="AB5150">
        <v>22</v>
      </c>
      <c r="AC5150">
        <v>17.171500000000002</v>
      </c>
      <c r="AD5150">
        <v>-1.10481476047699</v>
      </c>
      <c r="AE5150">
        <v>5.5619999999997498E-2</v>
      </c>
      <c r="AF5150">
        <v>6.7637956696811996E-2</v>
      </c>
      <c r="AG5150">
        <v>-1.10481476047699</v>
      </c>
      <c r="AH5150">
        <v>17.1006659215466</v>
      </c>
      <c r="AI5150">
        <v>93.696515495136595</v>
      </c>
      <c r="AJ5150">
        <v>89.773380214402493</v>
      </c>
      <c r="AK5150">
        <v>17.136451368603101</v>
      </c>
    </row>
    <row r="5151" spans="1:37" x14ac:dyDescent="0.2">
      <c r="A5151" t="str">
        <f>"20200111155959077"</f>
        <v>20200111155959077</v>
      </c>
      <c r="B5151" t="str">
        <f>"1578729599065901"</f>
        <v>1578729599065901</v>
      </c>
      <c r="C5151" t="s">
        <v>37</v>
      </c>
      <c r="D5151">
        <v>5.3539139999999996</v>
      </c>
      <c r="E5151">
        <v>0.51293370000000005</v>
      </c>
      <c r="F5151" t="s">
        <v>39</v>
      </c>
      <c r="G5151">
        <v>-326.88889999999998</v>
      </c>
      <c r="H5151" s="1">
        <v>-1.896671E-6</v>
      </c>
      <c r="I5151">
        <v>21.290990000000001</v>
      </c>
      <c r="J5151">
        <v>-344.24740000000003</v>
      </c>
      <c r="K5151">
        <v>1.1048129999999901</v>
      </c>
      <c r="L5151">
        <v>21.371770000000001</v>
      </c>
      <c r="M5151">
        <v>0.99986679999999994</v>
      </c>
      <c r="N5151">
        <v>0</v>
      </c>
      <c r="O5151">
        <v>7.3942740000000002E-3</v>
      </c>
      <c r="P5151">
        <v>0.99964769999999903</v>
      </c>
      <c r="Q5151">
        <v>1.381896E-2</v>
      </c>
      <c r="R5151">
        <v>2.2663559999999999E-2</v>
      </c>
      <c r="S5151">
        <v>3.003876</v>
      </c>
      <c r="T5151">
        <v>-0.18925690000000001</v>
      </c>
      <c r="U5151">
        <v>-1.358032E-2</v>
      </c>
      <c r="V5151">
        <v>-1.528E-2</v>
      </c>
      <c r="W5151">
        <v>2.836497E-2</v>
      </c>
      <c r="X5151">
        <v>0.99948079999999995</v>
      </c>
      <c r="Y5151">
        <v>1.1877530000000001E-2</v>
      </c>
      <c r="Z5151">
        <v>-8.3924990000000001E-4</v>
      </c>
      <c r="AA5151">
        <v>0.99992909999999902</v>
      </c>
      <c r="AB5151">
        <v>22</v>
      </c>
      <c r="AC5151">
        <v>17.358499999999999</v>
      </c>
      <c r="AD5151">
        <v>-1.1048148966710001</v>
      </c>
      <c r="AE5151">
        <v>-8.0780000000000698E-2</v>
      </c>
      <c r="AF5151">
        <v>0.208301090518729</v>
      </c>
      <c r="AG5151">
        <v>-1.1048148966710001</v>
      </c>
      <c r="AH5151">
        <v>17.287399464737099</v>
      </c>
      <c r="AI5151">
        <v>93.656459989098295</v>
      </c>
      <c r="AJ5151">
        <v>89.309659278520897</v>
      </c>
      <c r="AK5151">
        <v>17.323919462800799</v>
      </c>
    </row>
    <row r="5152" spans="1:37" x14ac:dyDescent="0.2">
      <c r="A5152" t="str">
        <f>"20200111155959240"</f>
        <v>20200111155959240</v>
      </c>
      <c r="B5152" t="str">
        <f>"1578729599235726"</f>
        <v>1578729599235726</v>
      </c>
      <c r="C5152" t="s">
        <v>37</v>
      </c>
      <c r="D5152">
        <v>6.8747629999999997</v>
      </c>
      <c r="E5152">
        <v>0.65551040000000005</v>
      </c>
      <c r="F5152" t="s">
        <v>39</v>
      </c>
      <c r="G5152">
        <v>-326.60149999999999</v>
      </c>
      <c r="H5152" s="1">
        <v>-2.0208670000000001E-6</v>
      </c>
      <c r="I5152">
        <v>21.247</v>
      </c>
      <c r="J5152">
        <v>-342.65230000000003</v>
      </c>
      <c r="K5152">
        <v>1.104768</v>
      </c>
      <c r="L5152">
        <v>21.386990000000001</v>
      </c>
      <c r="M5152">
        <v>0.99985219999999897</v>
      </c>
      <c r="N5152">
        <v>0</v>
      </c>
      <c r="O5152">
        <v>9.2031439999999999E-3</v>
      </c>
      <c r="P5152">
        <v>0.99966759999999999</v>
      </c>
      <c r="Q5152">
        <v>7.5025889999999996E-3</v>
      </c>
      <c r="R5152">
        <v>2.46713E-2</v>
      </c>
      <c r="S5152">
        <v>3.0041500000000001</v>
      </c>
      <c r="T5152">
        <v>-0.18809039999999999</v>
      </c>
      <c r="U5152">
        <v>-2.1240229999999999E-2</v>
      </c>
      <c r="V5152">
        <v>-1.5476449999999999E-2</v>
      </c>
      <c r="W5152">
        <v>2.2011240000000001E-2</v>
      </c>
      <c r="X5152">
        <v>0.99963789999999997</v>
      </c>
      <c r="Y5152">
        <v>1.6223919999999999E-2</v>
      </c>
      <c r="Z5152">
        <v>-1.0830869999999999E-3</v>
      </c>
      <c r="AA5152">
        <v>0.99986779999999997</v>
      </c>
      <c r="AB5152">
        <v>22</v>
      </c>
      <c r="AC5152">
        <v>16.050799999999999</v>
      </c>
      <c r="AD5152">
        <v>-1.1047700208669999</v>
      </c>
      <c r="AE5152">
        <v>-0.13999</v>
      </c>
      <c r="AF5152">
        <v>0.28636093635760801</v>
      </c>
      <c r="AG5152">
        <v>-1.1047700208669999</v>
      </c>
      <c r="AH5152">
        <v>15.9731643097756</v>
      </c>
      <c r="AI5152">
        <v>93.955878268175695</v>
      </c>
      <c r="AJ5152">
        <v>88.972932643365894</v>
      </c>
      <c r="AK5152">
        <v>16.013884521001401</v>
      </c>
    </row>
    <row r="5153" spans="1:37" x14ac:dyDescent="0.2">
      <c r="A5153" t="str">
        <f>"20200111155959460"</f>
        <v>20200111155959460</v>
      </c>
      <c r="B5153" t="str">
        <f>"1578729599455326"</f>
        <v>1578729599455326</v>
      </c>
      <c r="C5153" t="s">
        <v>37</v>
      </c>
      <c r="D5153">
        <v>5.7093639999999999</v>
      </c>
      <c r="E5153">
        <v>0.66499469999999905</v>
      </c>
      <c r="F5153" t="s">
        <v>84</v>
      </c>
      <c r="G5153">
        <v>-279.02</v>
      </c>
      <c r="H5153">
        <v>0.55707899999999999</v>
      </c>
      <c r="I5153">
        <v>-3.0810759999999999</v>
      </c>
      <c r="J5153">
        <v>-340.53550000000001</v>
      </c>
      <c r="K5153">
        <v>1.1046819999999999</v>
      </c>
      <c r="L5153">
        <v>21.411650000000002</v>
      </c>
      <c r="M5153">
        <v>0.99983690000000003</v>
      </c>
      <c r="N5153">
        <v>0</v>
      </c>
      <c r="O5153">
        <v>1.1568699999999999E-2</v>
      </c>
      <c r="P5153">
        <v>0.99977039999999995</v>
      </c>
      <c r="Q5153">
        <v>1.4698330000000001E-2</v>
      </c>
      <c r="R5153">
        <v>1.558762E-2</v>
      </c>
      <c r="S5153">
        <v>3.0299070000000001</v>
      </c>
      <c r="T5153">
        <v>-2.60787E-2</v>
      </c>
      <c r="U5153">
        <v>-1.1650700000000001</v>
      </c>
      <c r="V5153">
        <v>-4.0283990000000002E-3</v>
      </c>
      <c r="W5153">
        <v>2.856183E-2</v>
      </c>
      <c r="X5153">
        <v>0.99958389999999997</v>
      </c>
      <c r="Y5153">
        <v>0.36966679999999902</v>
      </c>
      <c r="Z5153">
        <v>-1.632229E-3</v>
      </c>
      <c r="AA5153">
        <v>0.92916299999999996</v>
      </c>
      <c r="AB5153">
        <v>21</v>
      </c>
      <c r="AC5153">
        <v>61.515500000000003</v>
      </c>
      <c r="AD5153">
        <v>-0.54760299999999995</v>
      </c>
      <c r="AE5153">
        <v>-24.492726000000001</v>
      </c>
      <c r="AF5153">
        <v>25.201085699805201</v>
      </c>
      <c r="AG5153">
        <v>-0.54760299999999995</v>
      </c>
      <c r="AH5153">
        <v>61.223818650492902</v>
      </c>
      <c r="AI5153">
        <v>90.473882297523602</v>
      </c>
      <c r="AJ5153">
        <v>67.626844382268203</v>
      </c>
      <c r="AK5153">
        <v>66.209897746809602</v>
      </c>
    </row>
    <row r="5154" spans="1:37" x14ac:dyDescent="0.2">
      <c r="A5154" t="str">
        <f>"20200111155959737"</f>
        <v>20200111155959737</v>
      </c>
      <c r="B5154" t="str">
        <f>"1578729599735874"</f>
        <v>1578729599735874</v>
      </c>
      <c r="C5154" t="s">
        <v>37</v>
      </c>
      <c r="D5154">
        <v>7.9079509999999997</v>
      </c>
      <c r="E5154">
        <v>0.66256910000000002</v>
      </c>
      <c r="F5154" t="s">
        <v>84</v>
      </c>
      <c r="G5154">
        <v>-279.02</v>
      </c>
      <c r="H5154">
        <v>0.62716110000000003</v>
      </c>
      <c r="I5154">
        <v>-4.3930600000000002</v>
      </c>
      <c r="J5154">
        <v>-337.83609999999999</v>
      </c>
      <c r="K5154">
        <v>1.1031530000000001</v>
      </c>
      <c r="L5154">
        <v>21.438600000000001</v>
      </c>
      <c r="M5154">
        <v>0.99992199999999998</v>
      </c>
      <c r="N5154">
        <v>0</v>
      </c>
      <c r="O5154">
        <v>7.665636E-3</v>
      </c>
      <c r="P5154">
        <v>0.99999459999999996</v>
      </c>
      <c r="Q5154">
        <v>3.2803809999999902E-3</v>
      </c>
      <c r="R5154">
        <v>-3.204956E-4</v>
      </c>
      <c r="S5154">
        <v>3.020813</v>
      </c>
      <c r="T5154">
        <v>-2.3449419999999999E-2</v>
      </c>
      <c r="U5154">
        <v>-1.2671809999999999</v>
      </c>
      <c r="V5154">
        <v>8.0122800000000001E-3</v>
      </c>
      <c r="W5154">
        <v>1.3126769999999999E-2</v>
      </c>
      <c r="X5154">
        <v>0.99988169999999899</v>
      </c>
      <c r="Y5154">
        <v>0.39387519999999998</v>
      </c>
      <c r="Z5154">
        <v>-1.523936E-3</v>
      </c>
      <c r="AA5154">
        <v>0.91916260000000005</v>
      </c>
      <c r="AB5154">
        <v>22</v>
      </c>
      <c r="AC5154">
        <v>58.816099999999999</v>
      </c>
      <c r="AD5154">
        <v>-0.47599190000000002</v>
      </c>
      <c r="AE5154">
        <v>-25.831659999999999</v>
      </c>
      <c r="AF5154">
        <v>26.280342787401299</v>
      </c>
      <c r="AG5154">
        <v>-0.47599190000000002</v>
      </c>
      <c r="AH5154">
        <v>58.6131278919705</v>
      </c>
      <c r="AI5154">
        <v>90.424562339085398</v>
      </c>
      <c r="AJ5154">
        <v>65.849987647519995</v>
      </c>
      <c r="AK5154">
        <v>64.236918875306301</v>
      </c>
    </row>
    <row r="5155" spans="1:37" x14ac:dyDescent="0.2">
      <c r="A5155" t="str">
        <f>"20200111155959751"</f>
        <v>20200111155959751</v>
      </c>
      <c r="B5155" t="str">
        <f>"1578729599745634"</f>
        <v>1578729599745634</v>
      </c>
      <c r="C5155" t="s">
        <v>37</v>
      </c>
      <c r="D5155">
        <v>5.226699</v>
      </c>
      <c r="E5155">
        <v>0.66208549999999999</v>
      </c>
      <c r="F5155" t="s">
        <v>84</v>
      </c>
      <c r="G5155">
        <v>-279.02</v>
      </c>
      <c r="H5155">
        <v>0.80287489999999995</v>
      </c>
      <c r="I5155">
        <v>-4.0138069999999999</v>
      </c>
      <c r="J5155">
        <v>-337.69819999999999</v>
      </c>
      <c r="K5155">
        <v>1.1030899999999999</v>
      </c>
      <c r="L5155">
        <v>21.43881</v>
      </c>
      <c r="M5155">
        <v>0.99992950000000003</v>
      </c>
      <c r="N5155">
        <v>0</v>
      </c>
      <c r="O5155">
        <v>6.8663650000000001E-3</v>
      </c>
      <c r="P5155">
        <v>0.99999349999999998</v>
      </c>
      <c r="Q5155">
        <v>3.4972990000000002E-3</v>
      </c>
      <c r="R5155">
        <v>-9.6069609999999996E-4</v>
      </c>
      <c r="S5155">
        <v>2.999603</v>
      </c>
      <c r="T5155">
        <v>-1.53140999999999E-2</v>
      </c>
      <c r="U5155">
        <v>-1.298065</v>
      </c>
      <c r="V5155">
        <v>7.8547349999999998E-3</v>
      </c>
      <c r="W5155">
        <v>1.317541E-2</v>
      </c>
      <c r="X5155">
        <v>0.9998823</v>
      </c>
      <c r="Y5155">
        <v>0.4034413</v>
      </c>
      <c r="Z5155">
        <v>-1.0192510000000001E-3</v>
      </c>
      <c r="AA5155">
        <v>0.91500499999999996</v>
      </c>
      <c r="AB5155">
        <v>22</v>
      </c>
      <c r="AC5155">
        <v>58.678199999999997</v>
      </c>
      <c r="AD5155">
        <v>-0.30021509999999901</v>
      </c>
      <c r="AE5155">
        <v>-25.452617</v>
      </c>
      <c r="AF5155">
        <v>25.854372171703101</v>
      </c>
      <c r="AG5155">
        <v>-0.30021509999999901</v>
      </c>
      <c r="AH5155">
        <v>58.500752599774302</v>
      </c>
      <c r="AI5155">
        <v>90.268935765273199</v>
      </c>
      <c r="AJ5155">
        <v>66.156996998658002</v>
      </c>
      <c r="AK5155">
        <v>63.959962040633002</v>
      </c>
    </row>
    <row r="5156" spans="1:37" x14ac:dyDescent="0.2">
      <c r="A5156" t="str">
        <f>"20200111155959765"</f>
        <v>20200111155959765</v>
      </c>
      <c r="B5156" t="str">
        <f>"1578729599755395"</f>
        <v>1578729599755395</v>
      </c>
      <c r="C5156" t="s">
        <v>37</v>
      </c>
      <c r="D5156">
        <v>5.3233969999999999</v>
      </c>
      <c r="E5156">
        <v>0.65998140000000005</v>
      </c>
      <c r="F5156" t="s">
        <v>84</v>
      </c>
      <c r="G5156">
        <v>-279.02</v>
      </c>
      <c r="H5156">
        <v>1.200944</v>
      </c>
      <c r="I5156">
        <v>-3.9504049999999999</v>
      </c>
      <c r="J5156">
        <v>-337.55610000000001</v>
      </c>
      <c r="K5156">
        <v>1.1030329999999999</v>
      </c>
      <c r="L5156">
        <v>21.438870000000001</v>
      </c>
      <c r="M5156">
        <v>0.99993670000000001</v>
      </c>
      <c r="N5156">
        <v>0</v>
      </c>
      <c r="O5156">
        <v>5.9975230000000003E-3</v>
      </c>
      <c r="P5156">
        <v>0.99999179999999999</v>
      </c>
      <c r="Q5156">
        <v>3.698925E-3</v>
      </c>
      <c r="R5156">
        <v>-1.7258479999999899E-3</v>
      </c>
      <c r="S5156">
        <v>2.9987490000000001</v>
      </c>
      <c r="T5156">
        <v>5.0008300000000004E-3</v>
      </c>
      <c r="U5156">
        <v>-1.2975159999999999</v>
      </c>
      <c r="V5156">
        <v>7.7525669999999897E-3</v>
      </c>
      <c r="W5156">
        <v>1.32126E-2</v>
      </c>
      <c r="X5156">
        <v>0.99988259999999995</v>
      </c>
      <c r="Y5156">
        <v>0.40260400000000002</v>
      </c>
      <c r="Z5156">
        <v>3.3088140000000002E-4</v>
      </c>
      <c r="AA5156">
        <v>0.91537420000000003</v>
      </c>
      <c r="AB5156">
        <v>22</v>
      </c>
      <c r="AC5156">
        <v>58.536099999999998</v>
      </c>
      <c r="AD5156">
        <v>9.7910999999999998E-2</v>
      </c>
      <c r="AE5156">
        <v>-25.389275000000001</v>
      </c>
      <c r="AF5156">
        <v>25.739845228095</v>
      </c>
      <c r="AG5156">
        <v>9.7910999999999998E-2</v>
      </c>
      <c r="AH5156">
        <v>58.382629975097998</v>
      </c>
      <c r="AI5156">
        <v>89.912077620478897</v>
      </c>
      <c r="AJ5156">
        <v>66.208185544632002</v>
      </c>
      <c r="AK5156">
        <v>63.805020975934298</v>
      </c>
    </row>
    <row r="5157" spans="1:37" x14ac:dyDescent="0.2">
      <c r="A5157" t="str">
        <f>"20200111155959781"</f>
        <v>20200111155959781</v>
      </c>
      <c r="B5157" t="str">
        <f>"1578729599775890"</f>
        <v>1578729599775890</v>
      </c>
      <c r="C5157" t="s">
        <v>37</v>
      </c>
      <c r="D5157">
        <v>9.1297859999999993</v>
      </c>
      <c r="E5157">
        <v>0.65686480000000003</v>
      </c>
      <c r="F5157" t="s">
        <v>84</v>
      </c>
      <c r="G5157">
        <v>-279.02</v>
      </c>
      <c r="H5157">
        <v>1.438855</v>
      </c>
      <c r="I5157">
        <v>-3.628511</v>
      </c>
      <c r="J5157">
        <v>-337.3931</v>
      </c>
      <c r="K5157">
        <v>1.1029739999999999</v>
      </c>
      <c r="L5157">
        <v>21.438690000000001</v>
      </c>
      <c r="M5157">
        <v>0.999944099999999</v>
      </c>
      <c r="N5157">
        <v>0</v>
      </c>
      <c r="O5157">
        <v>4.9282019999999996E-3</v>
      </c>
      <c r="P5157">
        <v>0.99998989999999999</v>
      </c>
      <c r="Q5157">
        <v>4.1598920000000001E-3</v>
      </c>
      <c r="R5157">
        <v>-1.767792E-3</v>
      </c>
      <c r="S5157">
        <v>2.997681</v>
      </c>
      <c r="T5157">
        <v>1.7197730000000001E-2</v>
      </c>
      <c r="U5157">
        <v>-1.283722</v>
      </c>
      <c r="V5157">
        <v>6.7271419999999898E-3</v>
      </c>
      <c r="W5157">
        <v>1.350058E-2</v>
      </c>
      <c r="X5157">
        <v>0.99988619999999995</v>
      </c>
      <c r="Y5157">
        <v>0.3981808</v>
      </c>
      <c r="Z5157">
        <v>1.1212150000000001E-3</v>
      </c>
      <c r="AA5157">
        <v>0.91730630000000002</v>
      </c>
      <c r="AB5157">
        <v>22</v>
      </c>
      <c r="AC5157">
        <v>58.373100000000001</v>
      </c>
      <c r="AD5157">
        <v>0.33588099999999999</v>
      </c>
      <c r="AE5157">
        <v>-25.067201000000001</v>
      </c>
      <c r="AF5157">
        <v>25.3538748412102</v>
      </c>
      <c r="AG5157">
        <v>0.33588099999999999</v>
      </c>
      <c r="AH5157">
        <v>58.247221199718403</v>
      </c>
      <c r="AI5157">
        <v>89.697063056068103</v>
      </c>
      <c r="AJ5157">
        <v>66.477450835958294</v>
      </c>
      <c r="AK5157">
        <v>63.526927857396402</v>
      </c>
    </row>
    <row r="5158" spans="1:37" x14ac:dyDescent="0.2">
      <c r="A5158" t="str">
        <f>"20200111155959805"</f>
        <v>20200111155959805</v>
      </c>
      <c r="B5158" t="str">
        <f>"1578729599795409"</f>
        <v>1578729599795409</v>
      </c>
      <c r="C5158" t="s">
        <v>37</v>
      </c>
      <c r="D5158">
        <v>5.1576909999999998</v>
      </c>
      <c r="E5158">
        <v>0.65627279999999999</v>
      </c>
      <c r="F5158" t="s">
        <v>84</v>
      </c>
      <c r="G5158">
        <v>-279.02</v>
      </c>
      <c r="H5158">
        <v>1.9362649999999999</v>
      </c>
      <c r="I5158">
        <v>-3.106236</v>
      </c>
      <c r="J5158">
        <v>-337.16460000000001</v>
      </c>
      <c r="K5158">
        <v>1.102897</v>
      </c>
      <c r="L5158">
        <v>21.438140000000001</v>
      </c>
      <c r="M5158">
        <v>0.99995279999999998</v>
      </c>
      <c r="N5158">
        <v>0</v>
      </c>
      <c r="O5158">
        <v>3.3539189999999999E-3</v>
      </c>
      <c r="P5158">
        <v>0.99998940000000003</v>
      </c>
      <c r="Q5158">
        <v>4.2271000000000001E-3</v>
      </c>
      <c r="R5158">
        <v>-1.9253510000000001E-3</v>
      </c>
      <c r="S5158">
        <v>2.9975890000000001</v>
      </c>
      <c r="T5158">
        <v>4.2791370000000002E-2</v>
      </c>
      <c r="U5158">
        <v>-1.260437</v>
      </c>
      <c r="V5158">
        <v>5.3119329999999996E-3</v>
      </c>
      <c r="W5158">
        <v>1.3343239999999999E-2</v>
      </c>
      <c r="X5158">
        <v>0.99989689999999998</v>
      </c>
      <c r="Y5158">
        <v>0.39066689999999998</v>
      </c>
      <c r="Z5158">
        <v>2.7208240000000002E-3</v>
      </c>
      <c r="AA5158">
        <v>0.92052809999999896</v>
      </c>
      <c r="AB5158">
        <v>22</v>
      </c>
      <c r="AC5158">
        <v>58.144599999999997</v>
      </c>
      <c r="AD5158">
        <v>0.833368</v>
      </c>
      <c r="AE5158">
        <v>-24.544376</v>
      </c>
      <c r="AF5158">
        <v>24.734945618284801</v>
      </c>
      <c r="AG5158">
        <v>0.833368</v>
      </c>
      <c r="AH5158">
        <v>58.051827933256597</v>
      </c>
      <c r="AI5158">
        <v>89.243354027906406</v>
      </c>
      <c r="AJ5158">
        <v>66.921929843044694</v>
      </c>
      <c r="AK5158">
        <v>63.107263950795499</v>
      </c>
    </row>
    <row r="5159" spans="1:37" x14ac:dyDescent="0.2">
      <c r="A5159" t="str">
        <f>"20200111155959816"</f>
        <v>20200111155959816</v>
      </c>
      <c r="B5159" t="str">
        <f>"1578729599806146"</f>
        <v>1578729599806146</v>
      </c>
      <c r="C5159" t="s">
        <v>37</v>
      </c>
      <c r="D5159">
        <v>5.1546599999999998</v>
      </c>
      <c r="E5159">
        <v>0.65425100000000003</v>
      </c>
      <c r="F5159" t="s">
        <v>84</v>
      </c>
      <c r="G5159">
        <v>-279.02</v>
      </c>
      <c r="H5159">
        <v>2.259179</v>
      </c>
      <c r="I5159">
        <v>-2.948512</v>
      </c>
      <c r="J5159">
        <v>-337.04349999999999</v>
      </c>
      <c r="K5159">
        <v>1.1028579999999999</v>
      </c>
      <c r="L5159">
        <v>21.43759</v>
      </c>
      <c r="M5159">
        <v>0.99995639999999997</v>
      </c>
      <c r="N5159">
        <v>0</v>
      </c>
      <c r="O5159">
        <v>2.4795500000000001E-3</v>
      </c>
      <c r="P5159">
        <v>0.99999259999999901</v>
      </c>
      <c r="Q5159">
        <v>3.4721420000000001E-3</v>
      </c>
      <c r="R5159">
        <v>-1.7551859999999999E-3</v>
      </c>
      <c r="S5159">
        <v>2.9973749999999999</v>
      </c>
      <c r="T5159">
        <v>5.960679E-2</v>
      </c>
      <c r="U5159">
        <v>-1.2571410000000001</v>
      </c>
      <c r="V5159">
        <v>4.2659669999999998E-3</v>
      </c>
      <c r="W5159">
        <v>1.247738E-2</v>
      </c>
      <c r="X5159">
        <v>0.99991299999999905</v>
      </c>
      <c r="Y5159">
        <v>0.38899270000000002</v>
      </c>
      <c r="Z5159">
        <v>3.7582100000000001E-3</v>
      </c>
      <c r="AA5159">
        <v>0.92123319999999997</v>
      </c>
      <c r="AB5159">
        <v>22</v>
      </c>
      <c r="AC5159">
        <v>58.023499999999999</v>
      </c>
      <c r="AD5159">
        <v>1.1563209999999999</v>
      </c>
      <c r="AE5159">
        <v>-24.386102000000001</v>
      </c>
      <c r="AF5159">
        <v>24.521628342677001</v>
      </c>
      <c r="AG5159">
        <v>1.1563209999999999</v>
      </c>
      <c r="AH5159">
        <v>57.943295239439003</v>
      </c>
      <c r="AI5159">
        <v>88.947132057068998</v>
      </c>
      <c r="AJ5159">
        <v>67.061897001671099</v>
      </c>
      <c r="AK5159">
        <v>62.929109305918303</v>
      </c>
    </row>
    <row r="5160" spans="1:37" x14ac:dyDescent="0.2">
      <c r="A5160" t="str">
        <f>"20200111155959829"</f>
        <v>20200111155959829</v>
      </c>
      <c r="B5160" t="str">
        <f>"1578729599825666"</f>
        <v>1578729599825666</v>
      </c>
      <c r="C5160" t="s">
        <v>37</v>
      </c>
      <c r="D5160">
        <v>5.1823540000000001</v>
      </c>
      <c r="E5160">
        <v>0.65367710000000001</v>
      </c>
      <c r="F5160" t="s">
        <v>84</v>
      </c>
      <c r="G5160">
        <v>-279.02</v>
      </c>
      <c r="H5160">
        <v>2.480213</v>
      </c>
      <c r="I5160">
        <v>-2.5887950000000002</v>
      </c>
      <c r="J5160">
        <v>-336.91879999999998</v>
      </c>
      <c r="K5160">
        <v>1.1028199999999999</v>
      </c>
      <c r="L5160">
        <v>21.436979999999998</v>
      </c>
      <c r="M5160">
        <v>0.99995919999999905</v>
      </c>
      <c r="N5160">
        <v>0</v>
      </c>
      <c r="O5160">
        <v>1.5684869999999999E-3</v>
      </c>
      <c r="P5160">
        <v>0.99999530000000003</v>
      </c>
      <c r="Q5160">
        <v>2.5859479999999998E-3</v>
      </c>
      <c r="R5160">
        <v>-1.683159E-3</v>
      </c>
      <c r="S5160">
        <v>2.9975890000000001</v>
      </c>
      <c r="T5160">
        <v>7.1156380000000005E-2</v>
      </c>
      <c r="U5160">
        <v>-1.241241</v>
      </c>
      <c r="V5160">
        <v>3.2809879999999999E-3</v>
      </c>
      <c r="W5160">
        <v>1.1477040000000001E-2</v>
      </c>
      <c r="X5160">
        <v>0.99992879999999995</v>
      </c>
      <c r="Y5160">
        <v>0.3839341</v>
      </c>
      <c r="Z5160">
        <v>4.4119119999999996E-3</v>
      </c>
      <c r="AA5160">
        <v>0.92335</v>
      </c>
      <c r="AB5160">
        <v>22</v>
      </c>
      <c r="AC5160">
        <v>57.898800000000001</v>
      </c>
      <c r="AD5160">
        <v>1.3773930000000001</v>
      </c>
      <c r="AE5160">
        <v>-24.025774999999999</v>
      </c>
      <c r="AF5160">
        <v>24.104924421897699</v>
      </c>
      <c r="AG5160">
        <v>1.3773930000000001</v>
      </c>
      <c r="AH5160">
        <v>57.833120680714103</v>
      </c>
      <c r="AI5160">
        <v>88.740636650910204</v>
      </c>
      <c r="AJ5160">
        <v>67.373558725703603</v>
      </c>
      <c r="AK5160">
        <v>62.670682464226402</v>
      </c>
    </row>
    <row r="5161" spans="1:37" x14ac:dyDescent="0.2">
      <c r="A5161" t="str">
        <f>"20200111155959842"</f>
        <v>20200111155959842</v>
      </c>
      <c r="B5161" t="str">
        <f>"1578729599835426"</f>
        <v>1578729599835426</v>
      </c>
      <c r="C5161" t="s">
        <v>37</v>
      </c>
      <c r="D5161">
        <v>5.1724119999999996</v>
      </c>
      <c r="E5161">
        <v>0.65386040000000001</v>
      </c>
      <c r="F5161" t="s">
        <v>84</v>
      </c>
      <c r="G5161">
        <v>-279.02</v>
      </c>
      <c r="H5161">
        <v>2.5690840000000001</v>
      </c>
      <c r="I5161">
        <v>-2.452464</v>
      </c>
      <c r="J5161">
        <v>-336.78250000000003</v>
      </c>
      <c r="K5161">
        <v>1.1027799999999901</v>
      </c>
      <c r="L5161">
        <v>21.436129999999999</v>
      </c>
      <c r="M5161">
        <v>0.9999614</v>
      </c>
      <c r="N5161">
        <v>0</v>
      </c>
      <c r="O5161">
        <v>5.541856E-4</v>
      </c>
      <c r="P5161">
        <v>0.99999720000000003</v>
      </c>
      <c r="Q5161">
        <v>1.695324E-3</v>
      </c>
      <c r="R5161">
        <v>-1.7712400000000001E-3</v>
      </c>
      <c r="S5161">
        <v>2.9977109999999998</v>
      </c>
      <c r="T5161">
        <v>7.5915930000000006E-2</v>
      </c>
      <c r="U5161">
        <v>-1.236877</v>
      </c>
      <c r="V5161">
        <v>2.352725E-3</v>
      </c>
      <c r="W5161">
        <v>1.046383E-2</v>
      </c>
      <c r="X5161">
        <v>0.99994249999999996</v>
      </c>
      <c r="Y5161">
        <v>0.38182319999999997</v>
      </c>
      <c r="Z5161">
        <v>4.6576630000000003E-3</v>
      </c>
      <c r="AA5161">
        <v>0.92422369999999898</v>
      </c>
      <c r="AB5161">
        <v>22</v>
      </c>
      <c r="AC5161">
        <v>57.762500000000003</v>
      </c>
      <c r="AD5161">
        <v>1.4663040000000001</v>
      </c>
      <c r="AE5161">
        <v>-23.888594000000001</v>
      </c>
      <c r="AF5161">
        <v>23.907446861809198</v>
      </c>
      <c r="AG5161">
        <v>1.4663040000000001</v>
      </c>
      <c r="AH5161">
        <v>57.717490988891498</v>
      </c>
      <c r="AI5161">
        <v>88.655457258084297</v>
      </c>
      <c r="AJ5161">
        <v>67.499932800968395</v>
      </c>
      <c r="AK5161">
        <v>62.490197862732202</v>
      </c>
    </row>
    <row r="5162" spans="1:37" x14ac:dyDescent="0.2">
      <c r="A5162" t="str">
        <f>"20200111155959858"</f>
        <v>20200111155959858</v>
      </c>
      <c r="B5162" t="str">
        <f>"1578729599855922"</f>
        <v>1578729599855922</v>
      </c>
      <c r="C5162" t="s">
        <v>37</v>
      </c>
      <c r="D5162">
        <v>5.1593260000000001</v>
      </c>
      <c r="E5162">
        <v>0.65217250000000004</v>
      </c>
      <c r="F5162" t="s">
        <v>84</v>
      </c>
      <c r="G5162">
        <v>-279.02</v>
      </c>
      <c r="H5162">
        <v>2.63152099999999</v>
      </c>
      <c r="I5162">
        <v>-2.4340310000000001</v>
      </c>
      <c r="J5162">
        <v>-336.62209999999999</v>
      </c>
      <c r="K5162">
        <v>1.102735</v>
      </c>
      <c r="L5162">
        <v>21.434940000000001</v>
      </c>
      <c r="M5162">
        <v>0.99996249999999998</v>
      </c>
      <c r="N5162">
        <v>0</v>
      </c>
      <c r="O5162">
        <v>-6.5693199999999896E-4</v>
      </c>
      <c r="P5162">
        <v>0.99999959999999899</v>
      </c>
      <c r="Q5162" s="1">
        <v>5.3513800000000003E-5</v>
      </c>
      <c r="R5162">
        <v>-1.0265789999999999E-3</v>
      </c>
      <c r="S5162">
        <v>2.9976500000000001</v>
      </c>
      <c r="T5162">
        <v>7.9335810000000007E-2</v>
      </c>
      <c r="U5162">
        <v>-1.2387699999999999</v>
      </c>
      <c r="V5162">
        <v>3.9268689999999998E-4</v>
      </c>
      <c r="W5162">
        <v>8.686259E-3</v>
      </c>
      <c r="X5162">
        <v>0.99996219999999902</v>
      </c>
      <c r="Y5162">
        <v>0.38119969999999997</v>
      </c>
      <c r="Z5162">
        <v>4.8282350000000002E-3</v>
      </c>
      <c r="AA5162">
        <v>0.92448009999999903</v>
      </c>
      <c r="AB5162">
        <v>22</v>
      </c>
      <c r="AC5162">
        <v>57.6021</v>
      </c>
      <c r="AD5162">
        <v>1.52878599999999</v>
      </c>
      <c r="AE5162">
        <v>-23.868970999999998</v>
      </c>
      <c r="AF5162">
        <v>23.816805825307799</v>
      </c>
      <c r="AG5162">
        <v>1.52878599999999</v>
      </c>
      <c r="AH5162">
        <v>57.583151179702298</v>
      </c>
      <c r="AI5162">
        <v>88.594615387011601</v>
      </c>
      <c r="AJ5162">
        <v>67.529660598112301</v>
      </c>
      <c r="AK5162">
        <v>62.3329505649994</v>
      </c>
    </row>
    <row r="5163" spans="1:37" x14ac:dyDescent="0.2">
      <c r="A5163" t="str">
        <f>"20200111155959883"</f>
        <v>20200111155959883</v>
      </c>
      <c r="B5163" t="str">
        <f>"1578729599875441"</f>
        <v>1578729599875441</v>
      </c>
      <c r="C5163" t="s">
        <v>37</v>
      </c>
      <c r="D5163">
        <v>5.3470199999999997</v>
      </c>
      <c r="E5163">
        <v>0.6518311</v>
      </c>
      <c r="F5163" t="s">
        <v>84</v>
      </c>
      <c r="G5163">
        <v>-279.02</v>
      </c>
      <c r="H5163">
        <v>2.6512129999999998</v>
      </c>
      <c r="I5163">
        <v>-2.0612550000000001</v>
      </c>
      <c r="J5163">
        <v>-336.37400000000002</v>
      </c>
      <c r="K5163">
        <v>1.102684</v>
      </c>
      <c r="L5163">
        <v>21.432649999999999</v>
      </c>
      <c r="M5163">
        <v>0.9999614</v>
      </c>
      <c r="N5163">
        <v>0</v>
      </c>
      <c r="O5163">
        <v>-2.5494599999999999E-3</v>
      </c>
      <c r="P5163">
        <v>0.99999649999999995</v>
      </c>
      <c r="Q5163">
        <v>-1.4585829999999901E-3</v>
      </c>
      <c r="R5163">
        <v>-2.28655E-3</v>
      </c>
      <c r="S5163">
        <v>2.9987490000000001</v>
      </c>
      <c r="T5163">
        <v>8.0613370000000004E-2</v>
      </c>
      <c r="U5163">
        <v>-1.223206</v>
      </c>
      <c r="V5163">
        <v>-2.4395990000000001E-4</v>
      </c>
      <c r="W5163">
        <v>6.970174E-3</v>
      </c>
      <c r="X5163">
        <v>0.99997569999999902</v>
      </c>
      <c r="Y5163">
        <v>0.37521490000000002</v>
      </c>
      <c r="Z5163">
        <v>4.7827049999999999E-3</v>
      </c>
      <c r="AA5163">
        <v>0.92692549999999996</v>
      </c>
      <c r="AB5163">
        <v>23</v>
      </c>
      <c r="AC5163">
        <v>57.353999999999999</v>
      </c>
      <c r="AD5163">
        <v>1.548529</v>
      </c>
      <c r="AE5163">
        <v>-23.493904999999899</v>
      </c>
      <c r="AF5163">
        <v>23.3330365815794</v>
      </c>
      <c r="AG5163">
        <v>1.548529</v>
      </c>
      <c r="AH5163">
        <v>57.377895524023401</v>
      </c>
      <c r="AI5163">
        <v>88.567893777068306</v>
      </c>
      <c r="AJ5163">
        <v>67.870612460753193</v>
      </c>
      <c r="AK5163">
        <v>61.9600793491011</v>
      </c>
    </row>
    <row r="5164" spans="1:37" x14ac:dyDescent="0.2">
      <c r="A5164" t="str">
        <f>"20200111155959895"</f>
        <v>20200111155959895</v>
      </c>
      <c r="B5164" t="str">
        <f>"1578729599886179"</f>
        <v>1578729599886179</v>
      </c>
      <c r="C5164" t="s">
        <v>37</v>
      </c>
      <c r="D5164">
        <v>5.3686319999999998</v>
      </c>
      <c r="E5164">
        <v>0.54347809999999996</v>
      </c>
      <c r="F5164" t="s">
        <v>84</v>
      </c>
      <c r="G5164">
        <v>-279.02</v>
      </c>
      <c r="H5164">
        <v>2.5883050000000001</v>
      </c>
      <c r="I5164">
        <v>-1.997465</v>
      </c>
      <c r="J5164">
        <v>-336.23680000000002</v>
      </c>
      <c r="K5164">
        <v>1.102668</v>
      </c>
      <c r="L5164">
        <v>21.431149999999999</v>
      </c>
      <c r="M5164">
        <v>0.99995900000000004</v>
      </c>
      <c r="N5164">
        <v>0</v>
      </c>
      <c r="O5164">
        <v>-3.6014599999999999E-3</v>
      </c>
      <c r="P5164">
        <v>0.99999259999999901</v>
      </c>
      <c r="Q5164">
        <v>-1.918901E-3</v>
      </c>
      <c r="R5164">
        <v>-3.3907590000000001E-3</v>
      </c>
      <c r="S5164">
        <v>2.9973139999999998</v>
      </c>
      <c r="T5164">
        <v>7.7638509999999994E-2</v>
      </c>
      <c r="U5164">
        <v>-1.2244569999999999</v>
      </c>
      <c r="V5164">
        <v>-1.9341709999999999E-4</v>
      </c>
      <c r="W5164">
        <v>6.4084729999999996E-3</v>
      </c>
      <c r="X5164">
        <v>0.99997939999999996</v>
      </c>
      <c r="Y5164">
        <v>0.37473529999999999</v>
      </c>
      <c r="Z5164">
        <v>4.5757940000000002E-3</v>
      </c>
      <c r="AA5164">
        <v>0.92712059999999996</v>
      </c>
      <c r="AB5164">
        <v>23</v>
      </c>
      <c r="AC5164">
        <v>57.216799999999999</v>
      </c>
      <c r="AD5164">
        <v>1.4856370000000001</v>
      </c>
      <c r="AE5164">
        <v>-23.428615000000001</v>
      </c>
      <c r="AF5164">
        <v>23.208991581155601</v>
      </c>
      <c r="AG5164">
        <v>1.4856370000000001</v>
      </c>
      <c r="AH5164">
        <v>57.267743960522402</v>
      </c>
      <c r="AI5164">
        <v>88.622729015814002</v>
      </c>
      <c r="AJ5164">
        <v>67.938683904897005</v>
      </c>
      <c r="AK5164">
        <v>61.8098609110057</v>
      </c>
    </row>
    <row r="5165" spans="1:37" x14ac:dyDescent="0.2">
      <c r="A5165" t="str">
        <f>"20200111155959909"</f>
        <v>20200111155959909</v>
      </c>
      <c r="B5165" t="str">
        <f>"1578729599905698"</f>
        <v>1578729599905698</v>
      </c>
      <c r="C5165" t="s">
        <v>37</v>
      </c>
      <c r="D5165">
        <v>5.4250449999999999</v>
      </c>
      <c r="E5165">
        <v>0.54433769999999904</v>
      </c>
      <c r="F5165" t="s">
        <v>38</v>
      </c>
      <c r="G5165">
        <v>-335.43020000000001</v>
      </c>
      <c r="H5165">
        <v>1.0324180000000001</v>
      </c>
      <c r="I5165">
        <v>21.338699999999999</v>
      </c>
      <c r="J5165">
        <v>-336.10719999999998</v>
      </c>
      <c r="K5165">
        <v>1.102654</v>
      </c>
      <c r="L5165">
        <v>21.42963</v>
      </c>
      <c r="M5165">
        <v>0.9999555</v>
      </c>
      <c r="N5165">
        <v>0</v>
      </c>
      <c r="O5165">
        <v>-4.5956820000000002E-3</v>
      </c>
      <c r="P5165">
        <v>0.99998469999999995</v>
      </c>
      <c r="Q5165">
        <v>-2.6631839999999999E-3</v>
      </c>
      <c r="R5165">
        <v>-4.8727629999999996E-3</v>
      </c>
      <c r="S5165">
        <v>2.9983219999999999</v>
      </c>
      <c r="T5165">
        <v>-0.26099349999999999</v>
      </c>
      <c r="U5165">
        <v>-0.34286499999999998</v>
      </c>
      <c r="V5165">
        <v>2.9210750000000001E-4</v>
      </c>
      <c r="W5165">
        <v>5.5749769999999896E-3</v>
      </c>
      <c r="X5165">
        <v>0.9999844</v>
      </c>
      <c r="Y5165">
        <v>0.1086563</v>
      </c>
      <c r="Z5165">
        <v>-4.306926E-3</v>
      </c>
      <c r="AA5165">
        <v>0.99407009999999996</v>
      </c>
      <c r="AB5165">
        <v>23</v>
      </c>
      <c r="AC5165">
        <v>0.67699999999996396</v>
      </c>
      <c r="AD5165">
        <v>-7.0235999999999896E-2</v>
      </c>
      <c r="AE5165">
        <v>-9.0930000000000094E-2</v>
      </c>
      <c r="AF5165">
        <v>8.6898919282876297E-2</v>
      </c>
      <c r="AG5165">
        <v>-7.0235999999999896E-2</v>
      </c>
      <c r="AH5165">
        <v>0.670323757463829</v>
      </c>
      <c r="AI5165">
        <v>95.932298379562596</v>
      </c>
      <c r="AJ5165">
        <v>82.613528226753601</v>
      </c>
      <c r="AK5165">
        <v>0.67957226082952904</v>
      </c>
    </row>
    <row r="5166" spans="1:37" x14ac:dyDescent="0.2">
      <c r="A5166" t="str">
        <f>"20200111155959928"</f>
        <v>20200111155959928</v>
      </c>
      <c r="B5166" t="str">
        <f>"1578729599915458"</f>
        <v>1578729599915458</v>
      </c>
      <c r="C5166" t="s">
        <v>37</v>
      </c>
      <c r="D5166">
        <v>5.3846780000000001</v>
      </c>
      <c r="E5166">
        <v>0.54591040000000002</v>
      </c>
      <c r="F5166" t="s">
        <v>38</v>
      </c>
      <c r="G5166">
        <v>-335.22770000000003</v>
      </c>
      <c r="H5166">
        <v>1.027344</v>
      </c>
      <c r="I5166">
        <v>21.325420000000001</v>
      </c>
      <c r="J5166">
        <v>-335.91820000000001</v>
      </c>
      <c r="K5166">
        <v>1.1026370000000001</v>
      </c>
      <c r="L5166">
        <v>21.427150000000001</v>
      </c>
      <c r="M5166">
        <v>0.99994869999999902</v>
      </c>
      <c r="N5166">
        <v>0</v>
      </c>
      <c r="O5166">
        <v>-6.0448890000000003E-3</v>
      </c>
      <c r="P5166">
        <v>0.9999654</v>
      </c>
      <c r="Q5166">
        <v>-3.956111E-3</v>
      </c>
      <c r="R5166">
        <v>-7.3426389999999998E-3</v>
      </c>
      <c r="S5166">
        <v>2.99762</v>
      </c>
      <c r="T5166">
        <v>-0.25664369999999997</v>
      </c>
      <c r="U5166">
        <v>-0.35464479999999998</v>
      </c>
      <c r="V5166">
        <v>1.3090409999999999E-3</v>
      </c>
      <c r="W5166">
        <v>4.1716619999999996E-3</v>
      </c>
      <c r="X5166">
        <v>0.9999905</v>
      </c>
      <c r="Y5166">
        <v>0.1111051</v>
      </c>
      <c r="Z5166">
        <v>-4.2163080000000002E-3</v>
      </c>
      <c r="AA5166">
        <v>0.99379969999999995</v>
      </c>
      <c r="AB5166">
        <v>23</v>
      </c>
      <c r="AC5166">
        <v>0.69049999999998501</v>
      </c>
      <c r="AD5166">
        <v>-7.5292999999999999E-2</v>
      </c>
      <c r="AE5166">
        <v>-0.101729999999999</v>
      </c>
      <c r="AF5166">
        <v>9.6431791841110101E-2</v>
      </c>
      <c r="AG5166">
        <v>-7.5292999999999999E-2</v>
      </c>
      <c r="AH5166">
        <v>0.68315223218629795</v>
      </c>
      <c r="AI5166">
        <v>96.228167183979807</v>
      </c>
      <c r="AJ5166">
        <v>81.965377137695199</v>
      </c>
      <c r="AK5166">
        <v>0.69402096414143599</v>
      </c>
    </row>
    <row r="5167" spans="1:37" x14ac:dyDescent="0.2">
      <c r="A5167" t="str">
        <f>"20200111155959949"</f>
        <v>20200111155959949</v>
      </c>
      <c r="B5167" t="str">
        <f>"1578729599945713"</f>
        <v>1578729599945713</v>
      </c>
      <c r="C5167" t="s">
        <v>37</v>
      </c>
      <c r="D5167">
        <v>5.4267940000000001</v>
      </c>
      <c r="E5167">
        <v>0.54490000000000005</v>
      </c>
      <c r="F5167" t="s">
        <v>38</v>
      </c>
      <c r="G5167">
        <v>-335.02109999999999</v>
      </c>
      <c r="H5167">
        <v>1.029426</v>
      </c>
      <c r="I5167">
        <v>21.314409999999999</v>
      </c>
      <c r="J5167">
        <v>-335.6891</v>
      </c>
      <c r="K5167">
        <v>1.1026320000000001</v>
      </c>
      <c r="L5167">
        <v>21.4238</v>
      </c>
      <c r="M5167">
        <v>0.99993739999999998</v>
      </c>
      <c r="N5167">
        <v>0</v>
      </c>
      <c r="O5167">
        <v>-7.7963240000000003E-3</v>
      </c>
      <c r="P5167">
        <v>0.99993619999999905</v>
      </c>
      <c r="Q5167">
        <v>-5.0962100000000003E-3</v>
      </c>
      <c r="R5167">
        <v>-1.0098899999999999E-2</v>
      </c>
      <c r="S5167">
        <v>2.9963380000000002</v>
      </c>
      <c r="T5167">
        <v>-0.24439939999999999</v>
      </c>
      <c r="U5167">
        <v>-0.37573240000000002</v>
      </c>
      <c r="V5167">
        <v>2.3103339999999998E-3</v>
      </c>
      <c r="W5167">
        <v>2.935708E-3</v>
      </c>
      <c r="X5167">
        <v>0.99999300000000002</v>
      </c>
      <c r="Y5167">
        <v>0.11632819999999899</v>
      </c>
      <c r="Z5167">
        <v>-4.0856319999999996E-3</v>
      </c>
      <c r="AA5167">
        <v>0.99320239999999904</v>
      </c>
      <c r="AB5167">
        <v>23</v>
      </c>
      <c r="AC5167">
        <v>0.66800000000000603</v>
      </c>
      <c r="AD5167">
        <v>-7.3206000000000104E-2</v>
      </c>
      <c r="AE5167">
        <v>-0.109389999999997</v>
      </c>
      <c r="AF5167">
        <v>0.102974149050626</v>
      </c>
      <c r="AG5167">
        <v>-7.3206000000000104E-2</v>
      </c>
      <c r="AH5167">
        <v>0.66110015484891005</v>
      </c>
      <c r="AI5167">
        <v>96.244137412426994</v>
      </c>
      <c r="AJ5167">
        <v>81.146648138995104</v>
      </c>
      <c r="AK5167">
        <v>0.67306478778045897</v>
      </c>
    </row>
    <row r="5168" spans="1:37" x14ac:dyDescent="0.2">
      <c r="A5168" t="str">
        <f>"20200111155959963"</f>
        <v>20200111155959963</v>
      </c>
      <c r="B5168" t="str">
        <f>"1578729599955473"</f>
        <v>1578729599955473</v>
      </c>
      <c r="C5168" t="s">
        <v>37</v>
      </c>
      <c r="D5168">
        <v>5.4407059999999996</v>
      </c>
      <c r="E5168">
        <v>0.5450161</v>
      </c>
      <c r="F5168" t="s">
        <v>38</v>
      </c>
      <c r="G5168">
        <v>-334.81420000000003</v>
      </c>
      <c r="H5168">
        <v>1.030859</v>
      </c>
      <c r="I5168">
        <v>21.313669999999998</v>
      </c>
      <c r="J5168">
        <v>-335.541</v>
      </c>
      <c r="K5168">
        <v>1.1026309999999999</v>
      </c>
      <c r="L5168">
        <v>21.42145</v>
      </c>
      <c r="M5168">
        <v>0.99992839999999905</v>
      </c>
      <c r="N5168">
        <v>0</v>
      </c>
      <c r="O5168">
        <v>-8.9228050000000007E-3</v>
      </c>
      <c r="P5168">
        <v>0.99992209999999904</v>
      </c>
      <c r="Q5168">
        <v>-5.7018210000000001E-3</v>
      </c>
      <c r="R5168">
        <v>-1.112671E-2</v>
      </c>
      <c r="S5168">
        <v>2.9951779999999899</v>
      </c>
      <c r="T5168">
        <v>-0.2456083</v>
      </c>
      <c r="U5168">
        <v>-0.37622070000000002</v>
      </c>
      <c r="V5168">
        <v>2.20988E-3</v>
      </c>
      <c r="W5168">
        <v>2.288165E-3</v>
      </c>
      <c r="X5168">
        <v>0.99999490000000002</v>
      </c>
      <c r="Y5168">
        <v>0.1154192</v>
      </c>
      <c r="Z5168">
        <v>-3.9784059999999899E-3</v>
      </c>
      <c r="AA5168">
        <v>0.99330889999999905</v>
      </c>
      <c r="AB5168">
        <v>23</v>
      </c>
      <c r="AC5168">
        <v>0.72679999999996803</v>
      </c>
      <c r="AD5168">
        <v>-7.1771999999999905E-2</v>
      </c>
      <c r="AE5168">
        <v>-0.107779999999998</v>
      </c>
      <c r="AF5168">
        <v>0.10033304415731099</v>
      </c>
      <c r="AG5168">
        <v>-7.1771999999999905E-2</v>
      </c>
      <c r="AH5168">
        <v>0.72085450091397096</v>
      </c>
      <c r="AI5168">
        <v>95.631986787803896</v>
      </c>
      <c r="AJ5168">
        <v>82.076122143108407</v>
      </c>
      <c r="AK5168">
        <v>0.731333816544677</v>
      </c>
    </row>
    <row r="5169" spans="1:37" x14ac:dyDescent="0.2">
      <c r="A5169" t="str">
        <f>"20200111155959976"</f>
        <v>20200111155959976</v>
      </c>
      <c r="B5169" t="str">
        <f>"1578729599966210"</f>
        <v>1578729599966210</v>
      </c>
      <c r="C5169" t="s">
        <v>37</v>
      </c>
      <c r="D5169">
        <v>5.4348070000000002</v>
      </c>
      <c r="E5169">
        <v>0.54510899999999995</v>
      </c>
      <c r="F5169" t="s">
        <v>38</v>
      </c>
      <c r="G5169">
        <v>-334.80860000000001</v>
      </c>
      <c r="H5169">
        <v>1.042333</v>
      </c>
      <c r="I5169">
        <v>21.328129999999899</v>
      </c>
      <c r="J5169">
        <v>-335.40870000000001</v>
      </c>
      <c r="K5169">
        <v>1.1026339999999999</v>
      </c>
      <c r="L5169">
        <v>21.419160000000002</v>
      </c>
      <c r="M5169">
        <v>0.999919</v>
      </c>
      <c r="N5169">
        <v>0</v>
      </c>
      <c r="O5169">
        <v>-9.9246379999999995E-3</v>
      </c>
      <c r="P5169">
        <v>0.99991369999999902</v>
      </c>
      <c r="Q5169">
        <v>-6.01067599999999E-3</v>
      </c>
      <c r="R5169">
        <v>-1.170059E-2</v>
      </c>
      <c r="S5169">
        <v>2.9945979999999999</v>
      </c>
      <c r="T5169">
        <v>-0.24636729999999901</v>
      </c>
      <c r="U5169">
        <v>-0.38055420000000001</v>
      </c>
      <c r="V5169">
        <v>1.78115E-3</v>
      </c>
      <c r="W5169">
        <v>1.9658240000000001E-3</v>
      </c>
      <c r="X5169">
        <v>0.99999649999999995</v>
      </c>
      <c r="Y5169">
        <v>0.1158622</v>
      </c>
      <c r="Z5169">
        <v>-3.9272580000000003E-3</v>
      </c>
      <c r="AA5169">
        <v>0.99325750000000002</v>
      </c>
      <c r="AB5169">
        <v>23</v>
      </c>
      <c r="AC5169">
        <v>0.60009999999999697</v>
      </c>
      <c r="AD5169">
        <v>-6.0301000000000098E-2</v>
      </c>
      <c r="AE5169">
        <v>-9.1030000000003497E-2</v>
      </c>
      <c r="AF5169">
        <v>8.4238113062181305E-2</v>
      </c>
      <c r="AG5169">
        <v>-6.0301000000000098E-2</v>
      </c>
      <c r="AH5169">
        <v>0.59510020978143197</v>
      </c>
      <c r="AI5169">
        <v>95.729255180984595</v>
      </c>
      <c r="AJ5169">
        <v>81.943148515410599</v>
      </c>
      <c r="AK5169">
        <v>0.60405010551706795</v>
      </c>
    </row>
    <row r="5170" spans="1:37" x14ac:dyDescent="0.2">
      <c r="A5170" t="str">
        <f>"20200111155959995"</f>
        <v>20200111155959995</v>
      </c>
      <c r="B5170" t="str">
        <f>"1578729599985730"</f>
        <v>1578729599985730</v>
      </c>
      <c r="C5170" t="s">
        <v>37</v>
      </c>
      <c r="D5170">
        <v>5.5280440000000004</v>
      </c>
      <c r="E5170">
        <v>0.54533259999999995</v>
      </c>
      <c r="F5170" t="s">
        <v>38</v>
      </c>
      <c r="G5170">
        <v>-334.60489999999999</v>
      </c>
      <c r="H5170">
        <v>1.0361590000000001</v>
      </c>
      <c r="I5170">
        <v>21.316079999999999</v>
      </c>
      <c r="J5170">
        <v>-335.21850000000001</v>
      </c>
      <c r="K5170">
        <v>1.1026469999999999</v>
      </c>
      <c r="L5170">
        <v>21.415710000000001</v>
      </c>
      <c r="M5170">
        <v>0.9999036</v>
      </c>
      <c r="N5170">
        <v>0</v>
      </c>
      <c r="O5170">
        <v>-1.1356659999999999E-2</v>
      </c>
      <c r="P5170">
        <v>0.99990279999999998</v>
      </c>
      <c r="Q5170">
        <v>-6.9848760000000001E-3</v>
      </c>
      <c r="R5170">
        <v>-1.20815E-2</v>
      </c>
      <c r="S5170">
        <v>2.9943240000000002</v>
      </c>
      <c r="T5170">
        <v>-0.24744839999999901</v>
      </c>
      <c r="U5170">
        <v>-0.38317869999999998</v>
      </c>
      <c r="V5170">
        <v>7.2754679999999998E-4</v>
      </c>
      <c r="W5170">
        <v>1.018826E-3</v>
      </c>
      <c r="X5170">
        <v>0.99999919999999998</v>
      </c>
      <c r="Y5170">
        <v>0.11531139999999999</v>
      </c>
      <c r="Z5170">
        <v>-3.8043249999999999E-3</v>
      </c>
      <c r="AA5170">
        <v>0.99332209999999999</v>
      </c>
      <c r="AB5170">
        <v>23</v>
      </c>
      <c r="AC5170">
        <v>0.61360000000001902</v>
      </c>
      <c r="AD5170">
        <v>-6.6487999999999797E-2</v>
      </c>
      <c r="AE5170">
        <v>-9.9630000000001204E-2</v>
      </c>
      <c r="AF5170">
        <v>9.1606949988669403E-2</v>
      </c>
      <c r="AG5170">
        <v>-6.6487999999999797E-2</v>
      </c>
      <c r="AH5170">
        <v>0.60773957145915103</v>
      </c>
      <c r="AI5170">
        <v>96.174250143750101</v>
      </c>
      <c r="AJ5170">
        <v>81.428115278207002</v>
      </c>
      <c r="AK5170">
        <v>0.618190807233154</v>
      </c>
    </row>
    <row r="5171" spans="1:37" x14ac:dyDescent="0.2">
      <c r="A5171" t="str">
        <f>"20200111160000011"</f>
        <v>20200111160000011</v>
      </c>
      <c r="B5171" t="str">
        <f>"1578729600006227"</f>
        <v>1578729600006227</v>
      </c>
      <c r="C5171" t="s">
        <v>37</v>
      </c>
      <c r="D5171">
        <v>5.539091</v>
      </c>
      <c r="E5171">
        <v>0.54548649999999999</v>
      </c>
      <c r="F5171" t="s">
        <v>38</v>
      </c>
      <c r="G5171">
        <v>-334.39859999999999</v>
      </c>
      <c r="H5171">
        <v>1.0346249999999999</v>
      </c>
      <c r="I5171">
        <v>21.3096</v>
      </c>
      <c r="J5171">
        <v>-335.0634</v>
      </c>
      <c r="K5171">
        <v>1.102671</v>
      </c>
      <c r="L5171">
        <v>21.412689999999898</v>
      </c>
      <c r="M5171">
        <v>0.99988909999999998</v>
      </c>
      <c r="N5171">
        <v>0</v>
      </c>
      <c r="O5171">
        <v>-1.2518019999999999E-2</v>
      </c>
      <c r="P5171">
        <v>0.99989599999999901</v>
      </c>
      <c r="Q5171">
        <v>-6.9479090000000004E-3</v>
      </c>
      <c r="R5171">
        <v>-1.2643690000000001E-2</v>
      </c>
      <c r="S5171">
        <v>2.9938660000000001</v>
      </c>
      <c r="T5171">
        <v>-0.24825510000000001</v>
      </c>
      <c r="U5171">
        <v>-0.3868103</v>
      </c>
      <c r="V5171">
        <v>1.2868109999999999E-4</v>
      </c>
      <c r="W5171">
        <v>1.1332669999999899E-3</v>
      </c>
      <c r="X5171">
        <v>0.99999930000000004</v>
      </c>
      <c r="Y5171">
        <v>0.1153636</v>
      </c>
      <c r="Z5171">
        <v>-3.7234209999999898E-3</v>
      </c>
      <c r="AA5171">
        <v>0.99331639999999999</v>
      </c>
      <c r="AB5171">
        <v>23</v>
      </c>
      <c r="AC5171">
        <v>0.66480000000001305</v>
      </c>
      <c r="AD5171">
        <v>-6.8045999999999995E-2</v>
      </c>
      <c r="AE5171">
        <v>-0.103089999999998</v>
      </c>
      <c r="AF5171">
        <v>9.3800035495101505E-2</v>
      </c>
      <c r="AG5171">
        <v>-6.8045999999999995E-2</v>
      </c>
      <c r="AH5171">
        <v>0.65929342702404403</v>
      </c>
      <c r="AI5171">
        <v>95.834319843112993</v>
      </c>
      <c r="AJ5171">
        <v>81.902667348883</v>
      </c>
      <c r="AK5171">
        <v>0.66940012525543402</v>
      </c>
    </row>
    <row r="5172" spans="1:37" x14ac:dyDescent="0.2">
      <c r="A5172" t="str">
        <f>"20200111160000026"</f>
        <v>20200111160000026</v>
      </c>
      <c r="B5172" t="str">
        <f>"1578729600015986"</f>
        <v>1578729600015986</v>
      </c>
      <c r="C5172" t="s">
        <v>37</v>
      </c>
      <c r="D5172">
        <v>5.5267189999999999</v>
      </c>
      <c r="E5172">
        <v>0.54538940000000002</v>
      </c>
      <c r="F5172" t="s">
        <v>38</v>
      </c>
      <c r="G5172">
        <v>-334.19310000000002</v>
      </c>
      <c r="H5172">
        <v>1.031231</v>
      </c>
      <c r="I5172">
        <v>21.298929999999999</v>
      </c>
      <c r="J5172">
        <v>-334.88699999999898</v>
      </c>
      <c r="K5172">
        <v>1.102714</v>
      </c>
      <c r="L5172">
        <v>21.409029999999898</v>
      </c>
      <c r="M5172">
        <v>0.99987039999999905</v>
      </c>
      <c r="N5172">
        <v>0</v>
      </c>
      <c r="O5172">
        <v>-1.3833639999999999E-2</v>
      </c>
      <c r="P5172">
        <v>0.99990179999999995</v>
      </c>
      <c r="Q5172">
        <v>-7.1242359999999999E-3</v>
      </c>
      <c r="R5172">
        <v>-1.2072350000000001E-2</v>
      </c>
      <c r="S5172">
        <v>2.993652</v>
      </c>
      <c r="T5172">
        <v>-0.2455686</v>
      </c>
      <c r="U5172">
        <v>-0.39022829999999997</v>
      </c>
      <c r="V5172">
        <v>-1.758875E-3</v>
      </c>
      <c r="W5172">
        <v>1.1242069999999999E-3</v>
      </c>
      <c r="X5172">
        <v>0.99999780000000005</v>
      </c>
      <c r="Y5172">
        <v>0.1151933</v>
      </c>
      <c r="Z5172">
        <v>-3.5690740000000002E-3</v>
      </c>
      <c r="AA5172">
        <v>0.99333669999999996</v>
      </c>
      <c r="AB5172">
        <v>23</v>
      </c>
      <c r="AC5172">
        <v>0.69389999999992802</v>
      </c>
      <c r="AD5172">
        <v>-7.1482999999999894E-2</v>
      </c>
      <c r="AE5172">
        <v>-0.110099999999999</v>
      </c>
      <c r="AF5172">
        <v>9.9460387231664907E-2</v>
      </c>
      <c r="AG5172">
        <v>-7.1482999999999894E-2</v>
      </c>
      <c r="AH5172">
        <v>0.68823232788828104</v>
      </c>
      <c r="AI5172">
        <v>95.869203567039705</v>
      </c>
      <c r="AJ5172">
        <v>81.776790724225805</v>
      </c>
      <c r="AK5172">
        <v>0.699046439850598</v>
      </c>
    </row>
    <row r="5173" spans="1:37" x14ac:dyDescent="0.2">
      <c r="A5173" t="str">
        <f>"20200111160000089"</f>
        <v>20200111160000089</v>
      </c>
      <c r="B5173" t="str">
        <f>"1578729600086259"</f>
        <v>1578729600086259</v>
      </c>
      <c r="C5173" t="s">
        <v>37</v>
      </c>
      <c r="D5173">
        <v>5.591513</v>
      </c>
      <c r="E5173">
        <v>0.54549080000000005</v>
      </c>
      <c r="F5173" t="s">
        <v>38</v>
      </c>
      <c r="G5173">
        <v>-333.9871</v>
      </c>
      <c r="H5173">
        <v>1.0291299999999901</v>
      </c>
      <c r="I5173">
        <v>21.292200000000001</v>
      </c>
      <c r="J5173">
        <v>-334.24779999999998</v>
      </c>
      <c r="K5173">
        <v>1.103011</v>
      </c>
      <c r="L5173">
        <v>21.393799999999999</v>
      </c>
      <c r="M5173">
        <v>0.99978299999999998</v>
      </c>
      <c r="N5173">
        <v>0</v>
      </c>
      <c r="O5173">
        <v>-1.8528869999999999E-2</v>
      </c>
      <c r="P5173">
        <v>0.99995290000000003</v>
      </c>
      <c r="Q5173">
        <v>-5.0326850000000003E-3</v>
      </c>
      <c r="R5173">
        <v>-8.3015080000000008E-3</v>
      </c>
      <c r="S5173">
        <v>2.993805</v>
      </c>
      <c r="T5173">
        <v>-0.24480059999999901</v>
      </c>
      <c r="U5173">
        <v>-0.38851929999999901</v>
      </c>
      <c r="V5173">
        <v>-1.021673E-2</v>
      </c>
      <c r="W5173">
        <v>4.5173649999999997E-3</v>
      </c>
      <c r="X5173">
        <v>0.99993759999999998</v>
      </c>
      <c r="Y5173">
        <v>0.109997499999999</v>
      </c>
      <c r="Z5173">
        <v>-2.9652159999999901E-3</v>
      </c>
      <c r="AA5173">
        <v>0.99392739999999902</v>
      </c>
      <c r="AB5173">
        <v>23</v>
      </c>
      <c r="AC5173">
        <v>0.260699999999985</v>
      </c>
      <c r="AD5173">
        <v>-7.3881000000000002E-2</v>
      </c>
      <c r="AE5173">
        <v>-0.101599999999997</v>
      </c>
      <c r="AF5173">
        <v>9.0445720733305396E-2</v>
      </c>
      <c r="AG5173">
        <v>-7.3881000000000002E-2</v>
      </c>
      <c r="AH5173">
        <v>0.245426037618763</v>
      </c>
      <c r="AI5173">
        <v>105.772937670275</v>
      </c>
      <c r="AJ5173">
        <v>69.769878240607895</v>
      </c>
      <c r="AK5173">
        <v>0.27179545710186798</v>
      </c>
    </row>
    <row r="5174" spans="1:37" x14ac:dyDescent="0.2">
      <c r="A5174" t="str">
        <f>"20200111160000106"</f>
        <v>20200111160000106</v>
      </c>
      <c r="B5174" t="str">
        <f>"1578729600096021"</f>
        <v>1578729600096021</v>
      </c>
      <c r="C5174" t="s">
        <v>37</v>
      </c>
      <c r="D5174">
        <v>5.5809160000000002</v>
      </c>
      <c r="E5174">
        <v>0.54540949999999999</v>
      </c>
      <c r="F5174" t="s">
        <v>38</v>
      </c>
      <c r="G5174">
        <v>-333.36649999999997</v>
      </c>
      <c r="H5174">
        <v>1.0333749999999999</v>
      </c>
      <c r="I5174">
        <v>21.282139999999998</v>
      </c>
      <c r="J5174">
        <v>-334.06729999999999</v>
      </c>
      <c r="K5174">
        <v>1.1031040000000001</v>
      </c>
      <c r="L5174">
        <v>21.388950000000001</v>
      </c>
      <c r="M5174">
        <v>0.99975349999999996</v>
      </c>
      <c r="N5174">
        <v>0</v>
      </c>
      <c r="O5174">
        <v>-1.9842479999999999E-2</v>
      </c>
      <c r="P5174">
        <v>0.99997689999999995</v>
      </c>
      <c r="Q5174">
        <v>-4.2969769999999996E-3</v>
      </c>
      <c r="R5174">
        <v>-5.257294E-3</v>
      </c>
      <c r="S5174">
        <v>2.9957579999999999</v>
      </c>
      <c r="T5174">
        <v>-0.23670179999999999</v>
      </c>
      <c r="U5174">
        <v>-0.379303</v>
      </c>
      <c r="V5174">
        <v>-1.457169E-2</v>
      </c>
      <c r="W5174">
        <v>5.7075349999999997E-3</v>
      </c>
      <c r="X5174">
        <v>0.99987749999999997</v>
      </c>
      <c r="Y5174">
        <v>0.10563649999999999</v>
      </c>
      <c r="Z5174">
        <v>-2.5916300000000001E-3</v>
      </c>
      <c r="AA5174">
        <v>0.99440149999999905</v>
      </c>
      <c r="AB5174">
        <v>23</v>
      </c>
      <c r="AC5174">
        <v>0.70080000000001497</v>
      </c>
      <c r="AD5174">
        <v>-6.9729000000000096E-2</v>
      </c>
      <c r="AE5174">
        <v>-0.106810000000002</v>
      </c>
      <c r="AF5174">
        <v>9.1992610403838299E-2</v>
      </c>
      <c r="AG5174">
        <v>-6.9729000000000096E-2</v>
      </c>
      <c r="AH5174">
        <v>0.696047008626408</v>
      </c>
      <c r="AI5174">
        <v>95.671728413405603</v>
      </c>
      <c r="AJ5174">
        <v>82.471173771051596</v>
      </c>
      <c r="AK5174">
        <v>0.70555383354332601</v>
      </c>
    </row>
    <row r="5175" spans="1:37" x14ac:dyDescent="0.2">
      <c r="A5175" t="str">
        <f>"20200111160000136"</f>
        <v>20200111160000136</v>
      </c>
      <c r="B5175" t="str">
        <f>"1578729600125299"</f>
        <v>1578729600125299</v>
      </c>
      <c r="C5175" t="s">
        <v>37</v>
      </c>
      <c r="D5175">
        <v>5.6003590000000001</v>
      </c>
      <c r="E5175">
        <v>0.54532380000000003</v>
      </c>
      <c r="F5175" t="s">
        <v>38</v>
      </c>
      <c r="G5175">
        <v>-333.1617</v>
      </c>
      <c r="H5175">
        <v>1.0322359999999999</v>
      </c>
      <c r="I5175">
        <v>21.27721</v>
      </c>
      <c r="J5175">
        <v>-333.76420000000002</v>
      </c>
      <c r="K5175">
        <v>1.1032329999999999</v>
      </c>
      <c r="L5175">
        <v>21.380310000000001</v>
      </c>
      <c r="M5175">
        <v>0.99970079999999995</v>
      </c>
      <c r="N5175">
        <v>0</v>
      </c>
      <c r="O5175">
        <v>-2.2012509999999999E-2</v>
      </c>
      <c r="P5175">
        <v>0.99998779999999998</v>
      </c>
      <c r="Q5175">
        <v>-3.9837900000000001E-3</v>
      </c>
      <c r="R5175">
        <v>-2.9327440000000001E-3</v>
      </c>
      <c r="S5175">
        <v>2.997131</v>
      </c>
      <c r="T5175">
        <v>-0.23450679999999999</v>
      </c>
      <c r="U5175">
        <v>-0.369751</v>
      </c>
      <c r="V5175">
        <v>-1.9064569999999999E-2</v>
      </c>
      <c r="W5175">
        <v>6.7322379999999998E-3</v>
      </c>
      <c r="X5175">
        <v>0.99979560000000001</v>
      </c>
      <c r="Y5175">
        <v>0.1003266</v>
      </c>
      <c r="Z5175">
        <v>-2.1915820000000001E-3</v>
      </c>
      <c r="AA5175">
        <v>0.99495210000000001</v>
      </c>
      <c r="AB5175">
        <v>23</v>
      </c>
      <c r="AC5175">
        <v>0.60250000000002002</v>
      </c>
      <c r="AD5175">
        <v>-7.0996999999999699E-2</v>
      </c>
      <c r="AE5175">
        <v>-0.103100000000001</v>
      </c>
      <c r="AF5175">
        <v>8.8616237134804501E-2</v>
      </c>
      <c r="AG5175">
        <v>-7.0996999999999699E-2</v>
      </c>
      <c r="AH5175">
        <v>0.59657544963915299</v>
      </c>
      <c r="AI5175">
        <v>96.713732174072504</v>
      </c>
      <c r="AJ5175">
        <v>81.550976513301904</v>
      </c>
      <c r="AK5175">
        <v>0.60728550007808502</v>
      </c>
    </row>
    <row r="5176" spans="1:37" x14ac:dyDescent="0.2">
      <c r="A5176" t="str">
        <f>"20200111160000608"</f>
        <v>20200111160000608</v>
      </c>
      <c r="B5176" t="str">
        <f>"1578729600605490"</f>
        <v>1578729600605490</v>
      </c>
      <c r="C5176" t="s">
        <v>37</v>
      </c>
      <c r="D5176">
        <v>5.7790269999999904</v>
      </c>
      <c r="E5176">
        <v>0.54234419999999905</v>
      </c>
      <c r="F5176" t="s">
        <v>38</v>
      </c>
      <c r="G5176">
        <v>-328.3723</v>
      </c>
      <c r="H5176">
        <v>1.0267759999999999</v>
      </c>
      <c r="I5176">
        <v>21.09666</v>
      </c>
      <c r="J5176">
        <v>-329.05680000000001</v>
      </c>
      <c r="K5176">
        <v>1.105847</v>
      </c>
      <c r="L5176">
        <v>21.235959999999999</v>
      </c>
      <c r="M5176">
        <v>0.9996353</v>
      </c>
      <c r="N5176">
        <v>0</v>
      </c>
      <c r="O5176">
        <v>-2.286699E-2</v>
      </c>
      <c r="P5176">
        <v>0.99874180000000001</v>
      </c>
      <c r="Q5176">
        <v>-1.420017E-2</v>
      </c>
      <c r="R5176">
        <v>-4.8098229999999999E-2</v>
      </c>
      <c r="S5176">
        <v>2.9750369999999999</v>
      </c>
      <c r="T5176">
        <v>-0.27544400000000002</v>
      </c>
      <c r="U5176">
        <v>-0.49270629999999999</v>
      </c>
      <c r="V5176">
        <v>2.524417E-2</v>
      </c>
      <c r="W5176">
        <v>2.5588660000000002E-4</v>
      </c>
      <c r="X5176">
        <v>0.99968129999999999</v>
      </c>
      <c r="Y5176">
        <v>0.1402948</v>
      </c>
      <c r="Z5176">
        <v>-4.339664E-3</v>
      </c>
      <c r="AA5176">
        <v>0.99010030000000004</v>
      </c>
      <c r="AB5176">
        <v>22</v>
      </c>
      <c r="AC5176">
        <v>0.68450000000001399</v>
      </c>
      <c r="AD5176">
        <v>-7.90710000000001E-2</v>
      </c>
      <c r="AE5176">
        <v>-0.13930000000000201</v>
      </c>
      <c r="AF5176">
        <v>0.12204567971202</v>
      </c>
      <c r="AG5176">
        <v>-7.90710000000001E-2</v>
      </c>
      <c r="AH5176">
        <v>0.67880883989076102</v>
      </c>
      <c r="AI5176">
        <v>96.540213990601799</v>
      </c>
      <c r="AJ5176">
        <v>79.807465489060803</v>
      </c>
      <c r="AK5176">
        <v>0.69421092766623205</v>
      </c>
    </row>
    <row r="5177" spans="1:37" x14ac:dyDescent="0.2">
      <c r="A5177" t="str">
        <f>"20200111160000623"</f>
        <v>20200111160000623</v>
      </c>
      <c r="B5177" t="str">
        <f>"1578729600616227"</f>
        <v>1578729600616227</v>
      </c>
      <c r="C5177" t="s">
        <v>37</v>
      </c>
      <c r="D5177">
        <v>5.7309890000000001</v>
      </c>
      <c r="E5177">
        <v>0.54131750000000001</v>
      </c>
      <c r="F5177" t="s">
        <v>38</v>
      </c>
      <c r="G5177">
        <v>-328.17869999999999</v>
      </c>
      <c r="H5177">
        <v>1.025231</v>
      </c>
      <c r="I5177">
        <v>21.097429999999999</v>
      </c>
      <c r="J5177">
        <v>-328.91079999999999</v>
      </c>
      <c r="K5177">
        <v>1.1058619999999999</v>
      </c>
      <c r="L5177">
        <v>21.234279999999998</v>
      </c>
      <c r="M5177">
        <v>0.99966809999999995</v>
      </c>
      <c r="N5177">
        <v>0</v>
      </c>
      <c r="O5177">
        <v>-2.1373799999999998E-2</v>
      </c>
      <c r="P5177">
        <v>0.99882899999999997</v>
      </c>
      <c r="Q5177">
        <v>-1.3336310000000001E-2</v>
      </c>
      <c r="R5177">
        <v>-4.6503860000000001E-2</v>
      </c>
      <c r="S5177">
        <v>2.9773559999999999</v>
      </c>
      <c r="T5177">
        <v>-0.27353</v>
      </c>
      <c r="U5177">
        <v>-0.46884160000000002</v>
      </c>
      <c r="V5177">
        <v>2.5138499999999901E-2</v>
      </c>
      <c r="W5177">
        <v>1.1356510000000001E-3</v>
      </c>
      <c r="X5177">
        <v>0.99968330000000005</v>
      </c>
      <c r="Y5177">
        <v>0.1339388</v>
      </c>
      <c r="Z5177">
        <v>-4.1553559999999998E-3</v>
      </c>
      <c r="AA5177">
        <v>0.99098090000000005</v>
      </c>
      <c r="AB5177">
        <v>22</v>
      </c>
      <c r="AC5177">
        <v>0.73210000000000197</v>
      </c>
      <c r="AD5177">
        <v>-8.0631000000000105E-2</v>
      </c>
      <c r="AE5177">
        <v>-0.136849999999999</v>
      </c>
      <c r="AF5177">
        <v>0.11976563645148799</v>
      </c>
      <c r="AG5177">
        <v>-8.0631000000000105E-2</v>
      </c>
      <c r="AH5177">
        <v>0.72634488076098702</v>
      </c>
      <c r="AI5177">
        <v>96.250705637303497</v>
      </c>
      <c r="AJ5177">
        <v>80.636855789065507</v>
      </c>
      <c r="AK5177">
        <v>0.74055523200050599</v>
      </c>
    </row>
    <row r="5178" spans="1:37" x14ac:dyDescent="0.2">
      <c r="A5178" t="str">
        <f>"20200111160000636"</f>
        <v>20200111160000636</v>
      </c>
      <c r="B5178" t="str">
        <f>"1578729600625986"</f>
        <v>1578729600625986</v>
      </c>
      <c r="C5178" t="s">
        <v>37</v>
      </c>
      <c r="D5178">
        <v>5.7510709999999996</v>
      </c>
      <c r="E5178">
        <v>0.54066950000000003</v>
      </c>
      <c r="F5178" t="s">
        <v>38</v>
      </c>
      <c r="G5178">
        <v>-328.1721</v>
      </c>
      <c r="H5178">
        <v>1.0382799999999901</v>
      </c>
      <c r="I5178">
        <v>21.120989999999999</v>
      </c>
      <c r="J5178">
        <v>-328.78149999999999</v>
      </c>
      <c r="K5178">
        <v>1.105855</v>
      </c>
      <c r="L5178">
        <v>21.233029999999999</v>
      </c>
      <c r="M5178">
        <v>0.99969549999999996</v>
      </c>
      <c r="N5178">
        <v>0</v>
      </c>
      <c r="O5178">
        <v>-2.0045440000000001E-2</v>
      </c>
      <c r="P5178">
        <v>0.99891010000000002</v>
      </c>
      <c r="Q5178">
        <v>-1.286926E-2</v>
      </c>
      <c r="R5178">
        <v>-4.4867520000000001E-2</v>
      </c>
      <c r="S5178">
        <v>2.9786679999999999</v>
      </c>
      <c r="T5178">
        <v>-0.2727388</v>
      </c>
      <c r="U5178">
        <v>-0.45578000000000002</v>
      </c>
      <c r="V5178">
        <v>2.4827620000000002E-2</v>
      </c>
      <c r="W5178">
        <v>1.613441E-3</v>
      </c>
      <c r="X5178">
        <v>0.99969050000000004</v>
      </c>
      <c r="Y5178">
        <v>0.13095399999999999</v>
      </c>
      <c r="Z5178">
        <v>-4.1279380000000003E-3</v>
      </c>
      <c r="AA5178">
        <v>0.99137989999999998</v>
      </c>
      <c r="AB5178">
        <v>22</v>
      </c>
      <c r="AC5178">
        <v>0.60939999999999295</v>
      </c>
      <c r="AD5178">
        <v>-6.7575000000000093E-2</v>
      </c>
      <c r="AE5178">
        <v>-0.11204</v>
      </c>
      <c r="AF5178">
        <v>9.8627446845512501E-2</v>
      </c>
      <c r="AG5178">
        <v>-6.7575000000000093E-2</v>
      </c>
      <c r="AH5178">
        <v>0.60433565117560195</v>
      </c>
      <c r="AI5178">
        <v>96.297509139023006</v>
      </c>
      <c r="AJ5178">
        <v>80.731055013553302</v>
      </c>
      <c r="AK5178">
        <v>0.61604815816468705</v>
      </c>
    </row>
    <row r="5179" spans="1:37" x14ac:dyDescent="0.2">
      <c r="A5179" t="str">
        <f>"20200111160000654"</f>
        <v>20200111160000654</v>
      </c>
      <c r="B5179" t="str">
        <f>"1578729600645506"</f>
        <v>1578729600645506</v>
      </c>
      <c r="C5179" t="s">
        <v>37</v>
      </c>
      <c r="D5179">
        <v>5.7443759999999999</v>
      </c>
      <c r="E5179">
        <v>0.53948339999999995</v>
      </c>
      <c r="F5179" t="s">
        <v>38</v>
      </c>
      <c r="G5179">
        <v>-327.98070000000001</v>
      </c>
      <c r="H5179">
        <v>1.03338</v>
      </c>
      <c r="I5179">
        <v>21.11317</v>
      </c>
      <c r="J5179">
        <v>-328.61180000000002</v>
      </c>
      <c r="K5179">
        <v>1.1058269999999999</v>
      </c>
      <c r="L5179">
        <v>21.2316</v>
      </c>
      <c r="M5179">
        <v>0.99972830000000001</v>
      </c>
      <c r="N5179">
        <v>0</v>
      </c>
      <c r="O5179">
        <v>-1.8321859999999999E-2</v>
      </c>
      <c r="P5179">
        <v>0.99898949999999997</v>
      </c>
      <c r="Q5179">
        <v>-1.3273599999999899E-2</v>
      </c>
      <c r="R5179">
        <v>-4.2941899999999998E-2</v>
      </c>
      <c r="S5179">
        <v>2.9797359999999999</v>
      </c>
      <c r="T5179">
        <v>-0.2697679</v>
      </c>
      <c r="U5179">
        <v>-0.44573970000000002</v>
      </c>
      <c r="V5179">
        <v>2.4625379999999999E-2</v>
      </c>
      <c r="W5179">
        <v>1.219574E-3</v>
      </c>
      <c r="X5179">
        <v>0.99969599999999903</v>
      </c>
      <c r="Y5179">
        <v>0.12935339999999901</v>
      </c>
      <c r="Z5179">
        <v>-4.1655559999999999E-3</v>
      </c>
      <c r="AA5179">
        <v>0.99158979999999997</v>
      </c>
      <c r="AB5179">
        <v>22</v>
      </c>
      <c r="AC5179">
        <v>0.63110000000000299</v>
      </c>
      <c r="AD5179">
        <v>-7.2447000000000095E-2</v>
      </c>
      <c r="AE5179">
        <v>-0.11842999999999999</v>
      </c>
      <c r="AF5179">
        <v>0.10550298166105899</v>
      </c>
      <c r="AG5179">
        <v>-7.2447000000000095E-2</v>
      </c>
      <c r="AH5179">
        <v>0.62520552430566101</v>
      </c>
      <c r="AI5179">
        <v>96.518440146868699</v>
      </c>
      <c r="AJ5179">
        <v>80.421617228494597</v>
      </c>
      <c r="AK5179">
        <v>0.63817034917856397</v>
      </c>
    </row>
    <row r="5180" spans="1:37" x14ac:dyDescent="0.2">
      <c r="A5180" t="str">
        <f>"20200111160000667"</f>
        <v>20200111160000667</v>
      </c>
      <c r="B5180" t="str">
        <f>"1578729600655266"</f>
        <v>1578729600655266</v>
      </c>
      <c r="C5180" t="s">
        <v>37</v>
      </c>
      <c r="D5180">
        <v>5.7511429999999999</v>
      </c>
      <c r="E5180">
        <v>0.53898469999999998</v>
      </c>
      <c r="F5180" t="s">
        <v>38</v>
      </c>
      <c r="G5180">
        <v>-327.78809999999999</v>
      </c>
      <c r="H5180">
        <v>1.031523</v>
      </c>
      <c r="I5180">
        <v>21.112279999999998</v>
      </c>
      <c r="J5180">
        <v>-328.4785</v>
      </c>
      <c r="K5180">
        <v>1.1057969999999999</v>
      </c>
      <c r="L5180">
        <v>21.230619999999998</v>
      </c>
      <c r="M5180">
        <v>0.99975159999999996</v>
      </c>
      <c r="N5180">
        <v>0</v>
      </c>
      <c r="O5180">
        <v>-1.6995329999999999E-2</v>
      </c>
      <c r="P5180">
        <v>0.99903019999999998</v>
      </c>
      <c r="Q5180">
        <v>-1.3996430000000001E-2</v>
      </c>
      <c r="R5180">
        <v>-4.1746970000000001E-2</v>
      </c>
      <c r="S5180">
        <v>2.9809269999999999</v>
      </c>
      <c r="T5180">
        <v>-0.2691402</v>
      </c>
      <c r="U5180">
        <v>-0.43029790000000001</v>
      </c>
      <c r="V5180">
        <v>2.47589E-2</v>
      </c>
      <c r="W5180">
        <v>5.0384200000000001E-4</v>
      </c>
      <c r="X5180">
        <v>0.99969330000000001</v>
      </c>
      <c r="Y5180">
        <v>0.12559380000000001</v>
      </c>
      <c r="Z5180">
        <v>-4.1061229999999997E-3</v>
      </c>
      <c r="AA5180">
        <v>0.99207319999999999</v>
      </c>
      <c r="AB5180">
        <v>22</v>
      </c>
      <c r="AC5180">
        <v>0.690400000000011</v>
      </c>
      <c r="AD5180">
        <v>-7.4273999999999896E-2</v>
      </c>
      <c r="AE5180">
        <v>-0.118340000000003</v>
      </c>
      <c r="AF5180">
        <v>0.105403024776645</v>
      </c>
      <c r="AG5180">
        <v>-7.4273999999999896E-2</v>
      </c>
      <c r="AH5180">
        <v>0.68461433614032396</v>
      </c>
      <c r="AI5180">
        <v>96.120263615330401</v>
      </c>
      <c r="AJ5180">
        <v>81.247481981973095</v>
      </c>
      <c r="AK5180">
        <v>0.69665142930803103</v>
      </c>
    </row>
    <row r="5181" spans="1:37" x14ac:dyDescent="0.2">
      <c r="A5181" t="str">
        <f>"20200111160000688"</f>
        <v>20200111160000688</v>
      </c>
      <c r="B5181" t="str">
        <f>"1578729600685522"</f>
        <v>1578729600685522</v>
      </c>
      <c r="C5181" t="s">
        <v>37</v>
      </c>
      <c r="D5181">
        <v>5.7747760000000001</v>
      </c>
      <c r="E5181">
        <v>0.5380395</v>
      </c>
      <c r="F5181" t="s">
        <v>38</v>
      </c>
      <c r="G5181">
        <v>-327.59780000000001</v>
      </c>
      <c r="H5181">
        <v>1.0257860000000001</v>
      </c>
      <c r="I5181">
        <v>21.105929999999901</v>
      </c>
      <c r="J5181">
        <v>-328.28460000000001</v>
      </c>
      <c r="K5181">
        <v>1.1057090000000001</v>
      </c>
      <c r="L5181">
        <v>21.229489999999998</v>
      </c>
      <c r="M5181">
        <v>0.99978099999999903</v>
      </c>
      <c r="N5181">
        <v>0</v>
      </c>
      <c r="O5181">
        <v>-1.515351E-2</v>
      </c>
      <c r="P5181">
        <v>0.99905219999999995</v>
      </c>
      <c r="Q5181">
        <v>-1.501158E-2</v>
      </c>
      <c r="R5181">
        <v>-4.0859300000000001E-2</v>
      </c>
      <c r="S5181">
        <v>2.9814759999999998</v>
      </c>
      <c r="T5181">
        <v>-0.27076349999999999</v>
      </c>
      <c r="U5181">
        <v>-0.42257689999999998</v>
      </c>
      <c r="V5181">
        <v>2.5715559999999998E-2</v>
      </c>
      <c r="W5181">
        <v>-5.0386539999999996E-4</v>
      </c>
      <c r="X5181">
        <v>0.99966919999999904</v>
      </c>
      <c r="Y5181">
        <v>0.12486800000000001</v>
      </c>
      <c r="Z5181">
        <v>-4.2640559999999996E-3</v>
      </c>
      <c r="AA5181">
        <v>0.99216419999999905</v>
      </c>
      <c r="AB5181">
        <v>22</v>
      </c>
      <c r="AC5181">
        <v>0.68680000000000496</v>
      </c>
      <c r="AD5181">
        <v>-7.9922999999999897E-2</v>
      </c>
      <c r="AE5181">
        <v>-0.123560000000001</v>
      </c>
      <c r="AF5181">
        <v>0.111672438330036</v>
      </c>
      <c r="AG5181">
        <v>-7.9922999999999897E-2</v>
      </c>
      <c r="AH5181">
        <v>0.67967805102771495</v>
      </c>
      <c r="AI5181">
        <v>96.618646108243098</v>
      </c>
      <c r="AJ5181">
        <v>80.669553815832998</v>
      </c>
      <c r="AK5181">
        <v>0.69341233942035496</v>
      </c>
    </row>
    <row r="5182" spans="1:37" x14ac:dyDescent="0.2">
      <c r="A5182" t="str">
        <f>"20200111160000708"</f>
        <v>20200111160000708</v>
      </c>
      <c r="B5182" t="str">
        <f>"1578729600706018"</f>
        <v>1578729600706018</v>
      </c>
      <c r="C5182" t="s">
        <v>37</v>
      </c>
      <c r="D5182">
        <v>5.8052019999999898</v>
      </c>
      <c r="E5182">
        <v>0.53710190000000002</v>
      </c>
      <c r="F5182" t="s">
        <v>38</v>
      </c>
      <c r="G5182">
        <v>-327.40519999999998</v>
      </c>
      <c r="H5182">
        <v>1.025123</v>
      </c>
      <c r="I5182">
        <v>21.10774</v>
      </c>
      <c r="J5182">
        <v>-328.0881</v>
      </c>
      <c r="K5182">
        <v>1.1056079999999999</v>
      </c>
      <c r="L5182">
        <v>21.22861</v>
      </c>
      <c r="M5182">
        <v>0.99980579999999997</v>
      </c>
      <c r="N5182">
        <v>0</v>
      </c>
      <c r="O5182">
        <v>-1.341351E-2</v>
      </c>
      <c r="P5182">
        <v>0.99912299999999998</v>
      </c>
      <c r="Q5182">
        <v>-1.459271E-2</v>
      </c>
      <c r="R5182">
        <v>-3.9249119999999998E-2</v>
      </c>
      <c r="S5182">
        <v>2.981903</v>
      </c>
      <c r="T5182">
        <v>-0.27335929999999897</v>
      </c>
      <c r="U5182">
        <v>-0.4118347</v>
      </c>
      <c r="V5182">
        <v>2.5842810000000001E-2</v>
      </c>
      <c r="W5182" s="1">
        <v>-8.4718510000000006E-5</v>
      </c>
      <c r="X5182">
        <v>0.99966599999999906</v>
      </c>
      <c r="Y5182">
        <v>0.12306060000000001</v>
      </c>
      <c r="Z5182">
        <v>-4.3812879999999997E-3</v>
      </c>
      <c r="AA5182">
        <v>0.99238950000000004</v>
      </c>
      <c r="AB5182">
        <v>22</v>
      </c>
      <c r="AC5182">
        <v>0.68290000000001705</v>
      </c>
      <c r="AD5182">
        <v>-8.0484999999999904E-2</v>
      </c>
      <c r="AE5182">
        <v>-0.12087000000000001</v>
      </c>
      <c r="AF5182">
        <v>0.110213670267044</v>
      </c>
      <c r="AG5182">
        <v>-8.0484999999999904E-2</v>
      </c>
      <c r="AH5182">
        <v>0.67536387304274004</v>
      </c>
      <c r="AI5182">
        <v>96.708134043036296</v>
      </c>
      <c r="AJ5182">
        <v>80.731515043645601</v>
      </c>
      <c r="AK5182">
        <v>0.68901469458206999</v>
      </c>
    </row>
    <row r="5183" spans="1:37" x14ac:dyDescent="0.2">
      <c r="A5183" t="str">
        <f>"20200111160000731"</f>
        <v>20200111160000731</v>
      </c>
      <c r="B5183" t="str">
        <f>"1578729600725538"</f>
        <v>1578729600725538</v>
      </c>
      <c r="C5183" t="s">
        <v>37</v>
      </c>
      <c r="D5183">
        <v>5.7781510000000003</v>
      </c>
      <c r="E5183">
        <v>0.53566380000000002</v>
      </c>
      <c r="F5183" t="s">
        <v>38</v>
      </c>
      <c r="G5183">
        <v>-327.21289999999999</v>
      </c>
      <c r="H5183">
        <v>1.02474</v>
      </c>
      <c r="I5183">
        <v>21.111419999999999</v>
      </c>
      <c r="J5183">
        <v>-327.87040000000002</v>
      </c>
      <c r="K5183">
        <v>1.1054790000000001</v>
      </c>
      <c r="L5183">
        <v>21.22784</v>
      </c>
      <c r="M5183">
        <v>0.99982789999999999</v>
      </c>
      <c r="N5183">
        <v>0</v>
      </c>
      <c r="O5183">
        <v>-1.166386E-2</v>
      </c>
      <c r="P5183">
        <v>0.99926749999999998</v>
      </c>
      <c r="Q5183">
        <v>-1.1759459999999999E-2</v>
      </c>
      <c r="R5183">
        <v>-3.6429139999999999E-2</v>
      </c>
      <c r="S5183">
        <v>2.9829409999999998</v>
      </c>
      <c r="T5183">
        <v>-0.27563649999999901</v>
      </c>
      <c r="U5183">
        <v>-0.39898679999999997</v>
      </c>
      <c r="V5183">
        <v>2.476312E-2</v>
      </c>
      <c r="W5183">
        <v>2.7425890000000001E-3</v>
      </c>
      <c r="X5183">
        <v>0.99968959999999996</v>
      </c>
      <c r="Y5183">
        <v>0.1205488</v>
      </c>
      <c r="Z5183">
        <v>-4.462644E-3</v>
      </c>
      <c r="AA5183">
        <v>0.99269739999999995</v>
      </c>
      <c r="AB5183">
        <v>22</v>
      </c>
      <c r="AC5183">
        <v>0.65750000000002695</v>
      </c>
      <c r="AD5183">
        <v>-8.0739000000000102E-2</v>
      </c>
      <c r="AE5183">
        <v>-0.116419999999997</v>
      </c>
      <c r="AF5183">
        <v>0.10717531395896</v>
      </c>
      <c r="AG5183">
        <v>-8.0739000000000102E-2</v>
      </c>
      <c r="AH5183">
        <v>0.64931979806812301</v>
      </c>
      <c r="AI5183">
        <v>96.994323296803501</v>
      </c>
      <c r="AJ5183">
        <v>80.627389583378402</v>
      </c>
      <c r="AK5183">
        <v>0.66303961737322303</v>
      </c>
    </row>
    <row r="5184" spans="1:37" x14ac:dyDescent="0.2">
      <c r="A5184" t="str">
        <f>"20200111160000746"</f>
        <v>20200111160000746</v>
      </c>
      <c r="B5184" t="str">
        <f>"1578729600735299"</f>
        <v>1578729600735299</v>
      </c>
      <c r="C5184" t="s">
        <v>37</v>
      </c>
      <c r="D5184">
        <v>5.8219079999999996</v>
      </c>
      <c r="E5184">
        <v>0.53510839999999904</v>
      </c>
      <c r="F5184" t="s">
        <v>38</v>
      </c>
      <c r="G5184">
        <v>-327.0188</v>
      </c>
      <c r="H5184">
        <v>1.028548</v>
      </c>
      <c r="I5184">
        <v>21.119520000000001</v>
      </c>
      <c r="J5184">
        <v>-327.72219999999999</v>
      </c>
      <c r="K5184">
        <v>1.1053869999999999</v>
      </c>
      <c r="L5184">
        <v>21.227419999999999</v>
      </c>
      <c r="M5184">
        <v>0.99983979999999995</v>
      </c>
      <c r="N5184">
        <v>0</v>
      </c>
      <c r="O5184">
        <v>-1.0578260000000001E-2</v>
      </c>
      <c r="P5184">
        <v>0.9993474</v>
      </c>
      <c r="Q5184">
        <v>-1.000406E-2</v>
      </c>
      <c r="R5184">
        <v>-3.4714559999999998E-2</v>
      </c>
      <c r="S5184">
        <v>2.9851679999999998</v>
      </c>
      <c r="T5184">
        <v>-0.26969609999999999</v>
      </c>
      <c r="U5184">
        <v>-0.37893680000000002</v>
      </c>
      <c r="V5184">
        <v>2.4130220000000001E-2</v>
      </c>
      <c r="W5184">
        <v>4.4925700000000004E-3</v>
      </c>
      <c r="X5184">
        <v>0.9996988</v>
      </c>
      <c r="Y5184">
        <v>0.1150086</v>
      </c>
      <c r="Z5184">
        <v>-4.2142029999999997E-3</v>
      </c>
      <c r="AA5184">
        <v>0.99335560000000001</v>
      </c>
      <c r="AB5184">
        <v>22</v>
      </c>
      <c r="AC5184">
        <v>0.70339999999998704</v>
      </c>
      <c r="AD5184">
        <v>-7.6839000000000102E-2</v>
      </c>
      <c r="AE5184">
        <v>-0.1079</v>
      </c>
      <c r="AF5184">
        <v>9.9294769582155495E-2</v>
      </c>
      <c r="AG5184">
        <v>-7.6839000000000102E-2</v>
      </c>
      <c r="AH5184">
        <v>0.69638308523569603</v>
      </c>
      <c r="AI5184">
        <v>96.234004172988705</v>
      </c>
      <c r="AJ5184">
        <v>81.885099393398093</v>
      </c>
      <c r="AK5184">
        <v>0.70761082848537604</v>
      </c>
    </row>
    <row r="5185" spans="1:37" x14ac:dyDescent="0.2">
      <c r="A5185" t="str">
        <f>"20200111160000758"</f>
        <v>20200111160000758</v>
      </c>
      <c r="B5185" t="str">
        <f>"1578729600755795"</f>
        <v>1578729600755795</v>
      </c>
      <c r="C5185" t="s">
        <v>37</v>
      </c>
      <c r="D5185">
        <v>5.8005639999999996</v>
      </c>
      <c r="E5185">
        <v>0.53415979999999996</v>
      </c>
      <c r="F5185" t="s">
        <v>38</v>
      </c>
      <c r="G5185">
        <v>-326.82810000000001</v>
      </c>
      <c r="H5185">
        <v>1.0260180000000001</v>
      </c>
      <c r="I5185">
        <v>21.116789999999899</v>
      </c>
      <c r="J5185">
        <v>-327.59649999999999</v>
      </c>
      <c r="K5185">
        <v>1.1053010000000001</v>
      </c>
      <c r="L5185">
        <v>21.227079999999901</v>
      </c>
      <c r="M5185">
        <v>0.99984779999999995</v>
      </c>
      <c r="N5185">
        <v>0</v>
      </c>
      <c r="O5185">
        <v>-9.7682610000000003E-3</v>
      </c>
      <c r="P5185">
        <v>0.99941970000000002</v>
      </c>
      <c r="Q5185">
        <v>-8.4714439999999998E-3</v>
      </c>
      <c r="R5185">
        <v>-3.2995009999999998E-2</v>
      </c>
      <c r="S5185">
        <v>2.9864809999999999</v>
      </c>
      <c r="T5185">
        <v>-0.26511649999999998</v>
      </c>
      <c r="U5185">
        <v>-0.3694153</v>
      </c>
      <c r="V5185">
        <v>2.3217809999999998E-2</v>
      </c>
      <c r="W5185">
        <v>6.0193809999999999E-3</v>
      </c>
      <c r="X5185">
        <v>0.9997123</v>
      </c>
      <c r="Y5185">
        <v>0.1126606</v>
      </c>
      <c r="Z5185">
        <v>-4.109784E-3</v>
      </c>
      <c r="AA5185">
        <v>0.99362499999999998</v>
      </c>
      <c r="AB5185">
        <v>22</v>
      </c>
      <c r="AC5185">
        <v>0.76839999999998498</v>
      </c>
      <c r="AD5185">
        <v>-7.9282999999999895E-2</v>
      </c>
      <c r="AE5185">
        <v>-0.110289999999999</v>
      </c>
      <c r="AF5185">
        <v>0.10171700265493799</v>
      </c>
      <c r="AG5185">
        <v>-7.9282999999999895E-2</v>
      </c>
      <c r="AH5185">
        <v>0.76149754406371595</v>
      </c>
      <c r="AI5185">
        <v>95.891953454946602</v>
      </c>
      <c r="AJ5185">
        <v>82.3917547924583</v>
      </c>
      <c r="AK5185">
        <v>0.77234102075001598</v>
      </c>
    </row>
    <row r="5186" spans="1:37" x14ac:dyDescent="0.2">
      <c r="A5186" t="str">
        <f>"20200111160000776"</f>
        <v>20200111160000776</v>
      </c>
      <c r="B5186" t="str">
        <f>"1578729600765553"</f>
        <v>1578729600765553</v>
      </c>
      <c r="C5186" t="s">
        <v>37</v>
      </c>
      <c r="D5186">
        <v>6.0941519999999896</v>
      </c>
      <c r="E5186">
        <v>0.53415979999999996</v>
      </c>
      <c r="F5186" t="s">
        <v>38</v>
      </c>
      <c r="G5186">
        <v>-326.82260000000002</v>
      </c>
      <c r="H5186">
        <v>1.0370330000000001</v>
      </c>
      <c r="I5186">
        <v>21.134679999999999</v>
      </c>
      <c r="J5186">
        <v>-327.43470000000002</v>
      </c>
      <c r="K5186">
        <v>1.1051850000000001</v>
      </c>
      <c r="L5186">
        <v>21.226679999999899</v>
      </c>
      <c r="M5186">
        <v>0.99985650000000004</v>
      </c>
      <c r="N5186">
        <v>0</v>
      </c>
      <c r="O5186">
        <v>-8.8440009999999902E-3</v>
      </c>
      <c r="P5186">
        <v>0.99949279999999996</v>
      </c>
      <c r="Q5186">
        <v>-6.2282680000000003E-3</v>
      </c>
      <c r="R5186">
        <v>-3.1228220000000001E-2</v>
      </c>
      <c r="S5186">
        <v>2.987762</v>
      </c>
      <c r="T5186">
        <v>-0.263621299999999</v>
      </c>
      <c r="U5186">
        <v>-0.35662840000000001</v>
      </c>
      <c r="V5186">
        <v>2.2372779999999998E-2</v>
      </c>
      <c r="W5186">
        <v>8.2552130000000008E-3</v>
      </c>
      <c r="X5186">
        <v>0.99971559999999904</v>
      </c>
      <c r="Y5186">
        <v>0.10934960000000001</v>
      </c>
      <c r="Z5186">
        <v>-4.0218169999999996E-3</v>
      </c>
      <c r="AA5186">
        <v>0.99399519999999997</v>
      </c>
      <c r="AB5186">
        <v>22</v>
      </c>
      <c r="AC5186">
        <v>0.61209999999999798</v>
      </c>
      <c r="AD5186">
        <v>-6.8151999999999893E-2</v>
      </c>
      <c r="AE5186">
        <v>-9.1999999999998694E-2</v>
      </c>
      <c r="AF5186">
        <v>8.5545355571116199E-2</v>
      </c>
      <c r="AG5186">
        <v>-6.8151999999999893E-2</v>
      </c>
      <c r="AH5186">
        <v>0.60554871426079704</v>
      </c>
      <c r="AI5186">
        <v>96.358768757582695</v>
      </c>
      <c r="AJ5186">
        <v>81.959082666640398</v>
      </c>
      <c r="AK5186">
        <v>0.61534701454276497</v>
      </c>
    </row>
    <row r="5187" spans="1:37" x14ac:dyDescent="0.2">
      <c r="A5187" t="str">
        <f>"20200111160001300"</f>
        <v>20200111160001300</v>
      </c>
      <c r="B5187" t="str">
        <f>"1578729601296033"</f>
        <v>1578729601296033</v>
      </c>
      <c r="C5187" t="s">
        <v>37</v>
      </c>
      <c r="D5187">
        <v>5.1892100000000001</v>
      </c>
      <c r="E5187">
        <v>0.6887065</v>
      </c>
      <c r="F5187" t="s">
        <v>38</v>
      </c>
      <c r="G5187">
        <v>-321.76609999999999</v>
      </c>
      <c r="H5187">
        <v>1.031015</v>
      </c>
      <c r="I5187">
        <v>20.89892</v>
      </c>
      <c r="J5187">
        <v>-322.51609999999999</v>
      </c>
      <c r="K5187">
        <v>1.1026549999999999</v>
      </c>
      <c r="L5187">
        <v>21.084109999999999</v>
      </c>
      <c r="M5187">
        <v>0.99871749999999904</v>
      </c>
      <c r="N5187">
        <v>0</v>
      </c>
      <c r="O5187">
        <v>-4.8527510000000003E-2</v>
      </c>
      <c r="P5187">
        <v>0.99043549999999903</v>
      </c>
      <c r="Q5187">
        <v>-3.2706560000000001E-4</v>
      </c>
      <c r="R5187">
        <v>-0.13797599999999999</v>
      </c>
      <c r="S5187">
        <v>2.9383539999999999</v>
      </c>
      <c r="T5187">
        <v>-0.24429279999999901</v>
      </c>
      <c r="U5187">
        <v>-0.65567019999999998</v>
      </c>
      <c r="V5187">
        <v>8.9809130000000001E-2</v>
      </c>
      <c r="W5187">
        <v>1.364076E-2</v>
      </c>
      <c r="X5187">
        <v>0.99586559999999902</v>
      </c>
      <c r="Y5187">
        <v>0.1697641</v>
      </c>
      <c r="Z5187">
        <v>-2.9868749999999999E-3</v>
      </c>
      <c r="AA5187">
        <v>0.98548019999999903</v>
      </c>
      <c r="AB5187">
        <v>20</v>
      </c>
      <c r="AC5187">
        <v>0.75</v>
      </c>
      <c r="AD5187">
        <v>-7.1639999999999898E-2</v>
      </c>
      <c r="AE5187">
        <v>-0.185189999999998</v>
      </c>
      <c r="AF5187">
        <v>0.147305555361957</v>
      </c>
      <c r="AG5187">
        <v>-7.1639999999999898E-2</v>
      </c>
      <c r="AH5187">
        <v>0.75164003177059502</v>
      </c>
      <c r="AI5187">
        <v>95.343461500408495</v>
      </c>
      <c r="AJ5187">
        <v>78.9117709800461</v>
      </c>
      <c r="AK5187">
        <v>0.76928145278603699</v>
      </c>
    </row>
    <row r="5188" spans="1:37" x14ac:dyDescent="0.2">
      <c r="A5188" t="str">
        <f>"20200111160001313"</f>
        <v>20200111160001313</v>
      </c>
      <c r="B5188" t="str">
        <f>"1578729601305790"</f>
        <v>1578729601305790</v>
      </c>
      <c r="C5188" t="s">
        <v>37</v>
      </c>
      <c r="D5188">
        <v>5.8447490000000002</v>
      </c>
      <c r="E5188">
        <v>0.69047139999999996</v>
      </c>
      <c r="F5188" t="s">
        <v>41</v>
      </c>
      <c r="G5188">
        <v>-292.77550000000002</v>
      </c>
      <c r="H5188">
        <v>-0.05</v>
      </c>
      <c r="I5188">
        <v>0.63409419999999905</v>
      </c>
      <c r="J5188">
        <v>-322.40600000000001</v>
      </c>
      <c r="K5188">
        <v>1.102598</v>
      </c>
      <c r="L5188">
        <v>21.076689999999999</v>
      </c>
      <c r="M5188">
        <v>0.99862770000000001</v>
      </c>
      <c r="N5188">
        <v>0</v>
      </c>
      <c r="O5188">
        <v>-5.0342329999999998E-2</v>
      </c>
      <c r="P5188">
        <v>0.98984380000000005</v>
      </c>
      <c r="Q5188">
        <v>5.0809610000000002E-4</v>
      </c>
      <c r="R5188">
        <v>-0.14215949999999999</v>
      </c>
      <c r="S5188">
        <v>2.76416</v>
      </c>
      <c r="T5188">
        <v>-0.10713010000000001</v>
      </c>
      <c r="U5188">
        <v>-1.900665</v>
      </c>
      <c r="V5188">
        <v>9.2212890000000006E-2</v>
      </c>
      <c r="W5188">
        <v>1.4450350000000001E-2</v>
      </c>
      <c r="X5188">
        <v>0.99563440000000003</v>
      </c>
      <c r="Y5188">
        <v>0.52414609999999995</v>
      </c>
      <c r="Z5188">
        <v>-7.4193389999999996E-3</v>
      </c>
      <c r="AA5188">
        <v>0.85159599999999902</v>
      </c>
      <c r="AB5188">
        <v>20</v>
      </c>
      <c r="AC5188">
        <v>29.630499999999898</v>
      </c>
      <c r="AD5188">
        <v>-1.152598</v>
      </c>
      <c r="AE5188">
        <v>-20.442595799999999</v>
      </c>
      <c r="AF5188">
        <v>18.905464472759</v>
      </c>
      <c r="AG5188">
        <v>-1.152598</v>
      </c>
      <c r="AH5188">
        <v>30.5907957111523</v>
      </c>
      <c r="AI5188">
        <v>91.835763600833403</v>
      </c>
      <c r="AJ5188">
        <v>58.283456713586901</v>
      </c>
      <c r="AK5188">
        <v>35.979742235344197</v>
      </c>
    </row>
    <row r="5189" spans="1:37" x14ac:dyDescent="0.2">
      <c r="A5189" t="str">
        <f>"20200111160001325"</f>
        <v>20200111160001325</v>
      </c>
      <c r="B5189" t="str">
        <f>"1578729601315551"</f>
        <v>1578729601315551</v>
      </c>
      <c r="C5189" t="s">
        <v>37</v>
      </c>
      <c r="D5189">
        <v>5.8100500000000004</v>
      </c>
      <c r="E5189">
        <v>0.69037499999999996</v>
      </c>
      <c r="F5189" t="s">
        <v>39</v>
      </c>
      <c r="G5189">
        <v>-289.95780000000002</v>
      </c>
      <c r="H5189">
        <v>2.7853340000000001E-2</v>
      </c>
      <c r="I5189">
        <v>-1.6333009999999999</v>
      </c>
      <c r="J5189">
        <v>-322.2928</v>
      </c>
      <c r="K5189">
        <v>1.1025370000000001</v>
      </c>
      <c r="L5189">
        <v>21.06888</v>
      </c>
      <c r="M5189">
        <v>0.99852999999999903</v>
      </c>
      <c r="N5189">
        <v>0</v>
      </c>
      <c r="O5189">
        <v>-5.2242450000000003E-2</v>
      </c>
      <c r="P5189">
        <v>0.9891124</v>
      </c>
      <c r="Q5189">
        <v>8.9697170000000001E-4</v>
      </c>
      <c r="R5189">
        <v>-0.14716119999999999</v>
      </c>
      <c r="S5189">
        <v>2.7539669999999998</v>
      </c>
      <c r="T5189">
        <v>-9.1216439999999996E-2</v>
      </c>
      <c r="U5189">
        <v>-1.92746</v>
      </c>
      <c r="V5189">
        <v>9.5354880000000003E-2</v>
      </c>
      <c r="W5189">
        <v>1.4808419999999999E-2</v>
      </c>
      <c r="X5189">
        <v>0.99533320000000003</v>
      </c>
      <c r="Y5189">
        <v>0.52963629999999995</v>
      </c>
      <c r="Z5189">
        <v>-6.3469140000000004E-3</v>
      </c>
      <c r="AA5189">
        <v>0.84820119999999899</v>
      </c>
      <c r="AB5189">
        <v>20</v>
      </c>
      <c r="AC5189">
        <v>32.334999999999901</v>
      </c>
      <c r="AD5189">
        <v>-1.07468366</v>
      </c>
      <c r="AE5189">
        <v>-22.702181</v>
      </c>
      <c r="AF5189">
        <v>20.966224350354199</v>
      </c>
      <c r="AG5189">
        <v>-1.07468366</v>
      </c>
      <c r="AH5189">
        <v>33.452224960738597</v>
      </c>
      <c r="AI5189">
        <v>91.559279540859706</v>
      </c>
      <c r="AJ5189">
        <v>57.922518855216097</v>
      </c>
      <c r="AK5189">
        <v>39.494162395249198</v>
      </c>
    </row>
    <row r="5190" spans="1:37" x14ac:dyDescent="0.2">
      <c r="A5190" t="str">
        <f>"20200111160001338"</f>
        <v>20200111160001338</v>
      </c>
      <c r="B5190" t="str">
        <f>"1578729601336048"</f>
        <v>1578729601336048</v>
      </c>
      <c r="C5190" t="s">
        <v>37</v>
      </c>
      <c r="D5190">
        <v>5.8090409999999997</v>
      </c>
      <c r="E5190">
        <v>0.68823679999999998</v>
      </c>
      <c r="F5190" t="s">
        <v>39</v>
      </c>
      <c r="G5190">
        <v>-289.95780000000002</v>
      </c>
      <c r="H5190">
        <v>1.439592E-2</v>
      </c>
      <c r="I5190">
        <v>-1.790354</v>
      </c>
      <c r="J5190">
        <v>-322.17579999999998</v>
      </c>
      <c r="K5190">
        <v>1.102482</v>
      </c>
      <c r="L5190">
        <v>21.060359999999999</v>
      </c>
      <c r="M5190">
        <v>0.99841970000000002</v>
      </c>
      <c r="N5190">
        <v>0</v>
      </c>
      <c r="O5190">
        <v>-5.4307189999999998E-2</v>
      </c>
      <c r="P5190">
        <v>0.98828689999999997</v>
      </c>
      <c r="Q5190">
        <v>9.3859429999999897E-4</v>
      </c>
      <c r="R5190">
        <v>-0.15260409999999999</v>
      </c>
      <c r="S5190">
        <v>2.7444459999999999</v>
      </c>
      <c r="T5190">
        <v>-9.2356439999999998E-2</v>
      </c>
      <c r="U5190">
        <v>-1.940186</v>
      </c>
      <c r="V5190">
        <v>9.877851E-2</v>
      </c>
      <c r="W5190">
        <v>1.481557E-2</v>
      </c>
      <c r="X5190">
        <v>0.99499919999999997</v>
      </c>
      <c r="Y5190">
        <v>0.53188469999999999</v>
      </c>
      <c r="Z5190">
        <v>-6.40889999999999E-3</v>
      </c>
      <c r="AA5190">
        <v>0.84679259999999901</v>
      </c>
      <c r="AB5190">
        <v>20</v>
      </c>
      <c r="AC5190">
        <v>32.217999999999897</v>
      </c>
      <c r="AD5190">
        <v>-1.0880860800000001</v>
      </c>
      <c r="AE5190">
        <v>-22.850714</v>
      </c>
      <c r="AF5190">
        <v>21.051159048063202</v>
      </c>
      <c r="AG5190">
        <v>-1.0880860800000001</v>
      </c>
      <c r="AH5190">
        <v>33.386197551988197</v>
      </c>
      <c r="AI5190">
        <v>91.579143208089505</v>
      </c>
      <c r="AJ5190">
        <v>57.767142434977401</v>
      </c>
      <c r="AK5190">
        <v>39.483837396645299</v>
      </c>
    </row>
    <row r="5191" spans="1:37" x14ac:dyDescent="0.2">
      <c r="A5191" t="str">
        <f>"20200111160001350"</f>
        <v>20200111160001350</v>
      </c>
      <c r="B5191" t="str">
        <f>"1578729601345807"</f>
        <v>1578729601345807</v>
      </c>
      <c r="C5191" t="s">
        <v>37</v>
      </c>
      <c r="D5191">
        <v>5.1863720000000004</v>
      </c>
      <c r="E5191">
        <v>0.68767270000000003</v>
      </c>
      <c r="F5191" t="s">
        <v>39</v>
      </c>
      <c r="G5191">
        <v>-289.95780000000002</v>
      </c>
      <c r="H5191">
        <v>2.8777589999999999E-2</v>
      </c>
      <c r="I5191">
        <v>-1.7622369999999901</v>
      </c>
      <c r="J5191">
        <v>-322.06200000000001</v>
      </c>
      <c r="K5191">
        <v>1.1024229999999999</v>
      </c>
      <c r="L5191">
        <v>21.051819999999999</v>
      </c>
      <c r="M5191">
        <v>0.99830560000000002</v>
      </c>
      <c r="N5191">
        <v>0</v>
      </c>
      <c r="O5191">
        <v>-5.6364129999999998E-2</v>
      </c>
      <c r="P5191">
        <v>0.98736229999999903</v>
      </c>
      <c r="Q5191">
        <v>7.7779589999999897E-4</v>
      </c>
      <c r="R5191">
        <v>-0.1584767</v>
      </c>
      <c r="S5191">
        <v>2.7363279999999999</v>
      </c>
      <c r="T5191">
        <v>-9.1191289999999994E-2</v>
      </c>
      <c r="U5191">
        <v>-1.9383539999999999</v>
      </c>
      <c r="V5191">
        <v>0.102644899999999</v>
      </c>
      <c r="W5191">
        <v>1.461723E-2</v>
      </c>
      <c r="X5191">
        <v>0.99461069999999996</v>
      </c>
      <c r="Y5191">
        <v>0.53095029999999999</v>
      </c>
      <c r="Z5191">
        <v>-6.2695240000000003E-3</v>
      </c>
      <c r="AA5191">
        <v>0.84737969999999896</v>
      </c>
      <c r="AB5191">
        <v>20</v>
      </c>
      <c r="AC5191">
        <v>32.104199999999899</v>
      </c>
      <c r="AD5191">
        <v>-1.0736454099999999</v>
      </c>
      <c r="AE5191">
        <v>-22.814056999999998</v>
      </c>
      <c r="AF5191">
        <v>20.952496549453901</v>
      </c>
      <c r="AG5191">
        <v>-1.0736454099999999</v>
      </c>
      <c r="AH5191">
        <v>33.314424520894299</v>
      </c>
      <c r="AI5191">
        <v>91.562679803376</v>
      </c>
      <c r="AJ5191">
        <v>57.832912541264697</v>
      </c>
      <c r="AK5191">
        <v>39.370175352411799</v>
      </c>
    </row>
    <row r="5192" spans="1:37" x14ac:dyDescent="0.2">
      <c r="A5192" t="str">
        <f>"20200111160001367"</f>
        <v>20200111160001367</v>
      </c>
      <c r="B5192" t="str">
        <f>"1578729601355567"</f>
        <v>1578729601355567</v>
      </c>
      <c r="C5192" t="s">
        <v>37</v>
      </c>
      <c r="D5192">
        <v>5.8524099999999999</v>
      </c>
      <c r="E5192">
        <v>0.68653459999999999</v>
      </c>
      <c r="F5192" t="s">
        <v>39</v>
      </c>
      <c r="G5192">
        <v>-289.95780000000002</v>
      </c>
      <c r="H5192">
        <v>2.2544109999999999E-2</v>
      </c>
      <c r="I5192">
        <v>-1.9219679999999999</v>
      </c>
      <c r="J5192">
        <v>-321.91309999999999</v>
      </c>
      <c r="K5192">
        <v>1.1023399999999901</v>
      </c>
      <c r="L5192">
        <v>21.040220000000001</v>
      </c>
      <c r="M5192">
        <v>0.99814499999999995</v>
      </c>
      <c r="N5192">
        <v>0</v>
      </c>
      <c r="O5192">
        <v>-5.9143569999999999E-2</v>
      </c>
      <c r="P5192">
        <v>0.98492459999999904</v>
      </c>
      <c r="Q5192">
        <v>-1.300905E-3</v>
      </c>
      <c r="R5192">
        <v>-0.1729812</v>
      </c>
      <c r="S5192">
        <v>2.7254330000000002</v>
      </c>
      <c r="T5192">
        <v>-9.1674329999999998E-2</v>
      </c>
      <c r="U5192">
        <v>-1.9503169999999901</v>
      </c>
      <c r="V5192">
        <v>0.1144892</v>
      </c>
      <c r="W5192">
        <v>1.244019E-2</v>
      </c>
      <c r="X5192">
        <v>0.99334659999999997</v>
      </c>
      <c r="Y5192">
        <v>0.53264880000000003</v>
      </c>
      <c r="Z5192">
        <v>-6.2587249999999997E-3</v>
      </c>
      <c r="AA5192">
        <v>0.84631319999999999</v>
      </c>
      <c r="AB5192">
        <v>20</v>
      </c>
      <c r="AC5192">
        <v>31.955299999999902</v>
      </c>
      <c r="AD5192">
        <v>-1.07979589</v>
      </c>
      <c r="AE5192">
        <v>-22.962188000000001</v>
      </c>
      <c r="AF5192">
        <v>21.016011110888702</v>
      </c>
      <c r="AG5192">
        <v>-1.07979589</v>
      </c>
      <c r="AH5192">
        <v>33.232533243524202</v>
      </c>
      <c r="AI5192">
        <v>91.5730409486696</v>
      </c>
      <c r="AJ5192">
        <v>57.691038659252499</v>
      </c>
      <c r="AK5192">
        <v>39.334971055779299</v>
      </c>
    </row>
    <row r="5193" spans="1:37" x14ac:dyDescent="0.2">
      <c r="A5193" t="str">
        <f>"20200111160001380"</f>
        <v>20200111160001380</v>
      </c>
      <c r="B5193" t="str">
        <f>"1578729601376063"</f>
        <v>1578729601376063</v>
      </c>
      <c r="C5193" t="s">
        <v>37</v>
      </c>
      <c r="D5193">
        <v>5.8485769999999997</v>
      </c>
      <c r="E5193">
        <v>0.68520159999999997</v>
      </c>
      <c r="F5193" t="s">
        <v>39</v>
      </c>
      <c r="G5193">
        <v>-291.8449</v>
      </c>
      <c r="H5193" s="1">
        <v>-5.4089199999999997E-6</v>
      </c>
      <c r="I5193">
        <v>-1.0408059999999999</v>
      </c>
      <c r="J5193">
        <v>-321.7903</v>
      </c>
      <c r="K5193">
        <v>1.1022670000000001</v>
      </c>
      <c r="L5193">
        <v>21.03021</v>
      </c>
      <c r="M5193">
        <v>0.99800040000000001</v>
      </c>
      <c r="N5193">
        <v>0</v>
      </c>
      <c r="O5193">
        <v>-6.1532990000000003E-2</v>
      </c>
      <c r="P5193">
        <v>0.98321589999999903</v>
      </c>
      <c r="Q5193">
        <v>-3.4046319999999999E-3</v>
      </c>
      <c r="R5193">
        <v>-0.18241569999999999</v>
      </c>
      <c r="S5193">
        <v>2.697845</v>
      </c>
      <c r="T5193">
        <v>-9.890699E-2</v>
      </c>
      <c r="U5193">
        <v>-1.98120099999999</v>
      </c>
      <c r="V5193">
        <v>0.121622299999999</v>
      </c>
      <c r="W5193">
        <v>1.027024E-2</v>
      </c>
      <c r="X5193">
        <v>0.9925233</v>
      </c>
      <c r="Y5193">
        <v>0.540973699999999</v>
      </c>
      <c r="Z5193">
        <v>-6.8468419999999997E-3</v>
      </c>
      <c r="AA5193">
        <v>0.84101159999999997</v>
      </c>
      <c r="AB5193">
        <v>20</v>
      </c>
      <c r="AC5193">
        <v>29.945399999999999</v>
      </c>
      <c r="AD5193">
        <v>-1.10227240892</v>
      </c>
      <c r="AE5193">
        <v>-22.071016</v>
      </c>
      <c r="AF5193">
        <v>20.168653539051501</v>
      </c>
      <c r="AG5193">
        <v>-1.10227240892</v>
      </c>
      <c r="AH5193">
        <v>31.2194703742591</v>
      </c>
      <c r="AI5193">
        <v>91.6987124300462</v>
      </c>
      <c r="AJ5193">
        <v>57.136406061169403</v>
      </c>
      <c r="AK5193">
        <v>37.183933633909703</v>
      </c>
    </row>
    <row r="5194" spans="1:37" x14ac:dyDescent="0.2">
      <c r="A5194" t="str">
        <f>"20200111160001394"</f>
        <v>20200111160001394</v>
      </c>
      <c r="B5194" t="str">
        <f>"1578729601385823"</f>
        <v>1578729601385823</v>
      </c>
      <c r="C5194" t="s">
        <v>37</v>
      </c>
      <c r="D5194">
        <v>5.8381049999999997</v>
      </c>
      <c r="E5194">
        <v>0.68381669999999894</v>
      </c>
      <c r="F5194" t="s">
        <v>41</v>
      </c>
      <c r="G5194">
        <v>-292.85849999999999</v>
      </c>
      <c r="H5194">
        <v>-0.05</v>
      </c>
      <c r="I5194">
        <v>-0.51884459999999999</v>
      </c>
      <c r="J5194">
        <v>-321.66500000000002</v>
      </c>
      <c r="K5194">
        <v>1.1021939999999999</v>
      </c>
      <c r="L5194">
        <v>21.019559999999998</v>
      </c>
      <c r="M5194">
        <v>0.99784249999999997</v>
      </c>
      <c r="N5194">
        <v>0</v>
      </c>
      <c r="O5194">
        <v>-6.4043020000000006E-2</v>
      </c>
      <c r="P5194">
        <v>0.98127089999999995</v>
      </c>
      <c r="Q5194">
        <v>-5.965995E-3</v>
      </c>
      <c r="R5194">
        <v>-0.19254179999999901</v>
      </c>
      <c r="S5194">
        <v>2.68045</v>
      </c>
      <c r="T5194">
        <v>-0.1067543</v>
      </c>
      <c r="U5194">
        <v>-1.9964599999999999</v>
      </c>
      <c r="V5194">
        <v>0.12934209999999999</v>
      </c>
      <c r="W5194">
        <v>7.6358219999999996E-3</v>
      </c>
      <c r="X5194">
        <v>0.99157070000000003</v>
      </c>
      <c r="Y5194">
        <v>0.54450339999999997</v>
      </c>
      <c r="Z5194">
        <v>-7.3918849999999999E-3</v>
      </c>
      <c r="AA5194">
        <v>0.83872599999999997</v>
      </c>
      <c r="AB5194">
        <v>20</v>
      </c>
      <c r="AC5194">
        <v>28.8065</v>
      </c>
      <c r="AD5194">
        <v>-1.1521939999999999</v>
      </c>
      <c r="AE5194">
        <v>-21.5384046</v>
      </c>
      <c r="AF5194">
        <v>19.628989741139499</v>
      </c>
      <c r="AG5194">
        <v>-1.1521939999999999</v>
      </c>
      <c r="AH5194">
        <v>30.0959973402191</v>
      </c>
      <c r="AI5194">
        <v>91.836644830023801</v>
      </c>
      <c r="AJ5194">
        <v>56.887101495732999</v>
      </c>
      <c r="AK5194">
        <v>35.9498796266951</v>
      </c>
    </row>
    <row r="5195" spans="1:37" x14ac:dyDescent="0.2">
      <c r="A5195" t="str">
        <f>"20200111160001408"</f>
        <v>20200111160001408</v>
      </c>
      <c r="B5195" t="str">
        <f>"1578729601395583"</f>
        <v>1578729601395583</v>
      </c>
      <c r="C5195" t="s">
        <v>37</v>
      </c>
      <c r="D5195">
        <v>5.8022980000000004</v>
      </c>
      <c r="E5195">
        <v>0.68324180000000001</v>
      </c>
      <c r="F5195" t="s">
        <v>41</v>
      </c>
      <c r="G5195">
        <v>-296.0478</v>
      </c>
      <c r="H5195">
        <v>-0.05</v>
      </c>
      <c r="I5195">
        <v>1.6492610000000001</v>
      </c>
      <c r="J5195">
        <v>-321.54840000000002</v>
      </c>
      <c r="K5195">
        <v>1.102115</v>
      </c>
      <c r="L5195">
        <v>21.009399999999999</v>
      </c>
      <c r="M5195">
        <v>0.99768630000000003</v>
      </c>
      <c r="N5195">
        <v>0</v>
      </c>
      <c r="O5195">
        <v>-6.6429089999999996E-2</v>
      </c>
      <c r="P5195">
        <v>0.97909120000000005</v>
      </c>
      <c r="Q5195">
        <v>-9.5959600000000006E-3</v>
      </c>
      <c r="R5195">
        <v>-0.2031954</v>
      </c>
      <c r="S5195">
        <v>2.6616209999999998</v>
      </c>
      <c r="T5195">
        <v>-0.1197129</v>
      </c>
      <c r="U5195">
        <v>-2.0125730000000002</v>
      </c>
      <c r="V5195">
        <v>0.13772499999999999</v>
      </c>
      <c r="W5195">
        <v>3.925614E-3</v>
      </c>
      <c r="X5195">
        <v>0.99046270000000003</v>
      </c>
      <c r="Y5195">
        <v>0.54850180000000004</v>
      </c>
      <c r="Z5195">
        <v>-8.3078969999999999E-3</v>
      </c>
      <c r="AA5195">
        <v>0.83610810000000002</v>
      </c>
      <c r="AB5195">
        <v>20</v>
      </c>
      <c r="AC5195">
        <v>25.500599999999999</v>
      </c>
      <c r="AD5195">
        <v>-1.152115</v>
      </c>
      <c r="AE5195">
        <v>-19.360139</v>
      </c>
      <c r="AF5195">
        <v>17.600417167215099</v>
      </c>
      <c r="AG5195">
        <v>-1.152115</v>
      </c>
      <c r="AH5195">
        <v>26.695904320496201</v>
      </c>
      <c r="AI5195">
        <v>92.063528363679893</v>
      </c>
      <c r="AJ5195">
        <v>56.603423341036802</v>
      </c>
      <c r="AK5195">
        <v>31.996458568446499</v>
      </c>
    </row>
    <row r="5196" spans="1:37" x14ac:dyDescent="0.2">
      <c r="A5196" t="str">
        <f>"20200111160001424"</f>
        <v>20200111160001424</v>
      </c>
      <c r="B5196" t="str">
        <f>"1578729601416078"</f>
        <v>1578729601416078</v>
      </c>
      <c r="C5196" t="s">
        <v>37</v>
      </c>
      <c r="D5196">
        <v>5.7425369999999996</v>
      </c>
      <c r="E5196">
        <v>0.65245880000000001</v>
      </c>
      <c r="F5196" t="s">
        <v>41</v>
      </c>
      <c r="G5196">
        <v>-299.2953</v>
      </c>
      <c r="H5196">
        <v>-0.05</v>
      </c>
      <c r="I5196">
        <v>3.8445279999999999</v>
      </c>
      <c r="J5196">
        <v>-321.3904</v>
      </c>
      <c r="K5196">
        <v>1.1020030000000001</v>
      </c>
      <c r="L5196">
        <v>20.99503</v>
      </c>
      <c r="M5196">
        <v>0.9974575</v>
      </c>
      <c r="N5196">
        <v>0</v>
      </c>
      <c r="O5196">
        <v>-6.9779049999999995E-2</v>
      </c>
      <c r="P5196">
        <v>0.97479249999999995</v>
      </c>
      <c r="Q5196">
        <v>-1.6866229999999999E-2</v>
      </c>
      <c r="R5196">
        <v>-0.22247539999999999</v>
      </c>
      <c r="S5196">
        <v>2.6401059999999998</v>
      </c>
      <c r="T5196">
        <v>-0.13668669999999999</v>
      </c>
      <c r="U5196">
        <v>-2.036438</v>
      </c>
      <c r="V5196">
        <v>0.15388729999999901</v>
      </c>
      <c r="W5196">
        <v>-3.5000489999999999E-3</v>
      </c>
      <c r="X5196">
        <v>0.98808220000000002</v>
      </c>
      <c r="Y5196">
        <v>0.55361499999999997</v>
      </c>
      <c r="Z5196">
        <v>-9.4890859999999903E-3</v>
      </c>
      <c r="AA5196">
        <v>0.83271870000000003</v>
      </c>
      <c r="AB5196">
        <v>20</v>
      </c>
      <c r="AC5196">
        <v>22.095099999999999</v>
      </c>
      <c r="AD5196">
        <v>-1.1520030000000001</v>
      </c>
      <c r="AE5196">
        <v>-17.150501999999999</v>
      </c>
      <c r="AF5196">
        <v>15.540389898547</v>
      </c>
      <c r="AG5196">
        <v>-1.1520030000000001</v>
      </c>
      <c r="AH5196">
        <v>23.198749132871299</v>
      </c>
      <c r="AI5196">
        <v>92.362491417841895</v>
      </c>
      <c r="AJ5196">
        <v>56.182640198881202</v>
      </c>
      <c r="AK5196">
        <v>27.946606063004701</v>
      </c>
    </row>
    <row r="5197" spans="1:37" x14ac:dyDescent="0.2">
      <c r="A5197" t="str">
        <f>"20200111160001436"</f>
        <v>20200111160001436</v>
      </c>
      <c r="B5197" t="str">
        <f>"1578729601425839"</f>
        <v>1578729601425839</v>
      </c>
      <c r="C5197" t="s">
        <v>37</v>
      </c>
      <c r="D5197">
        <v>5.8715869999999999</v>
      </c>
      <c r="E5197">
        <v>0.64835600000000004</v>
      </c>
      <c r="F5197" t="s">
        <v>41</v>
      </c>
      <c r="G5197">
        <v>-307.64870000000002</v>
      </c>
      <c r="H5197">
        <v>-0.05</v>
      </c>
      <c r="I5197">
        <v>11.448039999999899</v>
      </c>
      <c r="J5197">
        <v>-321.28250000000003</v>
      </c>
      <c r="K5197">
        <v>1.1019330000000001</v>
      </c>
      <c r="L5197">
        <v>20.984679999999901</v>
      </c>
      <c r="M5197">
        <v>0.99728779999999995</v>
      </c>
      <c r="N5197">
        <v>0</v>
      </c>
      <c r="O5197">
        <v>-7.2165090000000001E-2</v>
      </c>
      <c r="P5197">
        <v>0.97238989999999903</v>
      </c>
      <c r="Q5197">
        <v>-2.0343670000000001E-2</v>
      </c>
      <c r="R5197">
        <v>-0.232475299999999</v>
      </c>
      <c r="S5197">
        <v>2.653076</v>
      </c>
      <c r="T5197">
        <v>-0.22241329999999901</v>
      </c>
      <c r="U5197">
        <v>-1.8432009999999901</v>
      </c>
      <c r="V5197">
        <v>0.16164809999999999</v>
      </c>
      <c r="W5197">
        <v>-7.0611010000000002E-3</v>
      </c>
      <c r="X5197">
        <v>0.98682320000000001</v>
      </c>
      <c r="Y5197">
        <v>0.50877879999999998</v>
      </c>
      <c r="Z5197">
        <v>-1.3792530000000001E-2</v>
      </c>
      <c r="AA5197">
        <v>0.86078679999999996</v>
      </c>
      <c r="AB5197">
        <v>20</v>
      </c>
      <c r="AC5197">
        <v>13.633800000000001</v>
      </c>
      <c r="AD5197">
        <v>-1.1519330000000001</v>
      </c>
      <c r="AE5197">
        <v>-9.5366399999999896</v>
      </c>
      <c r="AF5197">
        <v>8.4871004232566598</v>
      </c>
      <c r="AG5197">
        <v>-1.1519330000000001</v>
      </c>
      <c r="AH5197">
        <v>14.218375176742899</v>
      </c>
      <c r="AI5197">
        <v>93.979444918030396</v>
      </c>
      <c r="AJ5197">
        <v>59.166570334117203</v>
      </c>
      <c r="AK5197">
        <v>16.598795615873801</v>
      </c>
    </row>
    <row r="5198" spans="1:37" x14ac:dyDescent="0.2">
      <c r="A5198" t="str">
        <f>"20200111160001450"</f>
        <v>20200111160001450</v>
      </c>
      <c r="B5198" t="str">
        <f>"1578729601446335"</f>
        <v>1578729601446335</v>
      </c>
      <c r="C5198" t="s">
        <v>37</v>
      </c>
      <c r="D5198">
        <v>5.7834500000000002</v>
      </c>
      <c r="E5198">
        <v>0.63842860000000001</v>
      </c>
      <c r="F5198" t="s">
        <v>41</v>
      </c>
      <c r="G5198">
        <v>-309.73250000000002</v>
      </c>
      <c r="H5198">
        <v>-0.05</v>
      </c>
      <c r="I5198">
        <v>12.95537</v>
      </c>
      <c r="J5198">
        <v>-321.16379999999998</v>
      </c>
      <c r="K5198">
        <v>1.101807</v>
      </c>
      <c r="L5198">
        <v>20.973050000000001</v>
      </c>
      <c r="M5198">
        <v>0.99708889999999994</v>
      </c>
      <c r="N5198">
        <v>0</v>
      </c>
      <c r="O5198">
        <v>-7.4889510000000006E-2</v>
      </c>
      <c r="P5198">
        <v>0.96972239999999998</v>
      </c>
      <c r="Q5198">
        <v>-2.3897910000000001E-2</v>
      </c>
      <c r="R5198">
        <v>-0.243037799999999</v>
      </c>
      <c r="S5198">
        <v>2.6407470000000002</v>
      </c>
      <c r="T5198">
        <v>-0.26337270000000002</v>
      </c>
      <c r="U5198">
        <v>-1.83578499999999</v>
      </c>
      <c r="V5198">
        <v>0.16965999999999901</v>
      </c>
      <c r="W5198">
        <v>-1.085677E-2</v>
      </c>
      <c r="X5198">
        <v>0.98544290000000001</v>
      </c>
      <c r="Y5198">
        <v>0.50627460000000002</v>
      </c>
      <c r="Z5198">
        <v>-1.6044429999999998E-2</v>
      </c>
      <c r="AA5198">
        <v>0.86222310000000002</v>
      </c>
      <c r="AB5198">
        <v>20</v>
      </c>
      <c r="AC5198">
        <v>11.431299999999901</v>
      </c>
      <c r="AD5198">
        <v>-1.151807</v>
      </c>
      <c r="AE5198">
        <v>-8.0176800000000004</v>
      </c>
      <c r="AF5198">
        <v>7.0907366589864997</v>
      </c>
      <c r="AG5198">
        <v>-1.151807</v>
      </c>
      <c r="AH5198">
        <v>11.9185899621934</v>
      </c>
      <c r="AI5198">
        <v>94.747683301694593</v>
      </c>
      <c r="AJ5198">
        <v>59.250281333933501</v>
      </c>
      <c r="AK5198">
        <v>13.916105504746699</v>
      </c>
    </row>
    <row r="5199" spans="1:37" x14ac:dyDescent="0.2">
      <c r="A5199" t="str">
        <f>"20200111160001462"</f>
        <v>20200111160001462</v>
      </c>
      <c r="B5199" t="str">
        <f>"1578729601456095"</f>
        <v>1578729601456095</v>
      </c>
      <c r="C5199" t="s">
        <v>37</v>
      </c>
      <c r="D5199">
        <v>5.8069600000000001</v>
      </c>
      <c r="E5199">
        <v>0.63531579999999999</v>
      </c>
      <c r="F5199" t="s">
        <v>41</v>
      </c>
      <c r="G5199">
        <v>-311.24020000000002</v>
      </c>
      <c r="H5199">
        <v>-0.05</v>
      </c>
      <c r="I5199">
        <v>14.26276</v>
      </c>
      <c r="J5199">
        <v>-321.04489999999998</v>
      </c>
      <c r="K5199">
        <v>1.101613</v>
      </c>
      <c r="L5199">
        <v>20.961120000000001</v>
      </c>
      <c r="M5199">
        <v>0.99687329999999996</v>
      </c>
      <c r="N5199">
        <v>0</v>
      </c>
      <c r="O5199">
        <v>-7.7776490000000004E-2</v>
      </c>
      <c r="P5199">
        <v>0.96699360000000001</v>
      </c>
      <c r="Q5199">
        <v>-2.758917E-2</v>
      </c>
      <c r="R5199">
        <v>-0.25330279999999999</v>
      </c>
      <c r="S5199">
        <v>2.638916</v>
      </c>
      <c r="T5199">
        <v>-0.30629250000000002</v>
      </c>
      <c r="U5199">
        <v>-1.784424</v>
      </c>
      <c r="V5199">
        <v>0.1772241</v>
      </c>
      <c r="W5199">
        <v>-1.502653E-2</v>
      </c>
      <c r="X5199">
        <v>0.98405580000000004</v>
      </c>
      <c r="Y5199">
        <v>0.49213370000000001</v>
      </c>
      <c r="Z5199">
        <v>-1.7708499999999999E-2</v>
      </c>
      <c r="AA5199">
        <v>0.87033950000000004</v>
      </c>
      <c r="AB5199">
        <v>20</v>
      </c>
      <c r="AC5199">
        <v>9.8046999999999596</v>
      </c>
      <c r="AD5199">
        <v>-1.151613</v>
      </c>
      <c r="AE5199">
        <v>-6.6983600000000001</v>
      </c>
      <c r="AF5199">
        <v>5.8602957315971196</v>
      </c>
      <c r="AG5199">
        <v>-1.151613</v>
      </c>
      <c r="AH5199">
        <v>10.2000801925529</v>
      </c>
      <c r="AI5199">
        <v>95.591180606469393</v>
      </c>
      <c r="AJ5199">
        <v>60.121155764422603</v>
      </c>
      <c r="AK5199">
        <v>11.819937161341199</v>
      </c>
    </row>
    <row r="5200" spans="1:37" x14ac:dyDescent="0.2">
      <c r="A5200" t="str">
        <f>"20200111160001479"</f>
        <v>20200111160001479</v>
      </c>
      <c r="B5200" t="str">
        <f>"1578729601475615"</f>
        <v>1578729601475615</v>
      </c>
      <c r="C5200" t="s">
        <v>37</v>
      </c>
      <c r="D5200">
        <v>5.7936230000000002</v>
      </c>
      <c r="E5200">
        <v>0.63603759999999998</v>
      </c>
      <c r="F5200" t="s">
        <v>41</v>
      </c>
      <c r="G5200">
        <v>-311.72859999999997</v>
      </c>
      <c r="H5200">
        <v>-0.05</v>
      </c>
      <c r="I5200">
        <v>14.61745</v>
      </c>
      <c r="J5200">
        <v>-320.904</v>
      </c>
      <c r="K5200">
        <v>1.1012879999999901</v>
      </c>
      <c r="L5200">
        <v>20.946290000000001</v>
      </c>
      <c r="M5200">
        <v>0.9965965</v>
      </c>
      <c r="N5200">
        <v>0</v>
      </c>
      <c r="O5200">
        <v>-8.1325079999999994E-2</v>
      </c>
      <c r="P5200">
        <v>0.9620957</v>
      </c>
      <c r="Q5200">
        <v>-3.4176539999999998E-2</v>
      </c>
      <c r="R5200">
        <v>-0.2705629</v>
      </c>
      <c r="S5200">
        <v>2.6249389999999999</v>
      </c>
      <c r="T5200">
        <v>-0.324476599999999</v>
      </c>
      <c r="U5200">
        <v>-1.7873840000000001</v>
      </c>
      <c r="V5200">
        <v>0.19127040000000001</v>
      </c>
      <c r="W5200">
        <v>-2.2248090000000002E-2</v>
      </c>
      <c r="X5200">
        <v>0.98128519999999897</v>
      </c>
      <c r="Y5200">
        <v>0.49163230000000002</v>
      </c>
      <c r="Z5200">
        <v>-1.841305E-2</v>
      </c>
      <c r="AA5200">
        <v>0.87060820000000005</v>
      </c>
      <c r="AB5200">
        <v>20</v>
      </c>
      <c r="AC5200">
        <v>9.1754000000000193</v>
      </c>
      <c r="AD5200">
        <v>-1.1512879999999901</v>
      </c>
      <c r="AE5200">
        <v>-6.3288399999999996</v>
      </c>
      <c r="AF5200">
        <v>5.5029076381808997</v>
      </c>
      <c r="AG5200">
        <v>-1.1512879999999901</v>
      </c>
      <c r="AH5200">
        <v>9.5577762336947405</v>
      </c>
      <c r="AI5200">
        <v>95.959510975637997</v>
      </c>
      <c r="AJ5200">
        <v>60.068733241284598</v>
      </c>
      <c r="AK5200">
        <v>11.0886673259988</v>
      </c>
    </row>
    <row r="5201" spans="1:37" x14ac:dyDescent="0.2">
      <c r="A5201" t="str">
        <f>"20200111160001492"</f>
        <v>20200111160001492</v>
      </c>
      <c r="B5201" t="str">
        <f>"1578729601486351"</f>
        <v>1578729601486351</v>
      </c>
      <c r="C5201" t="s">
        <v>37</v>
      </c>
      <c r="D5201">
        <v>5.6789519999999998</v>
      </c>
      <c r="E5201">
        <v>0.63444019999999901</v>
      </c>
      <c r="F5201" t="s">
        <v>41</v>
      </c>
      <c r="G5201">
        <v>-310.91109999999998</v>
      </c>
      <c r="H5201">
        <v>-0.05</v>
      </c>
      <c r="I5201">
        <v>13.835739999999999</v>
      </c>
      <c r="J5201">
        <v>-320.78230000000002</v>
      </c>
      <c r="K5201">
        <v>1.100997</v>
      </c>
      <c r="L5201">
        <v>20.933139999999899</v>
      </c>
      <c r="M5201">
        <v>0.99634120000000004</v>
      </c>
      <c r="N5201">
        <v>0</v>
      </c>
      <c r="O5201">
        <v>-8.4434990000000001E-2</v>
      </c>
      <c r="P5201">
        <v>0.95945599999999998</v>
      </c>
      <c r="Q5201">
        <v>-3.7360560000000001E-2</v>
      </c>
      <c r="R5201">
        <v>-0.27937220000000001</v>
      </c>
      <c r="S5201">
        <v>2.5894169999999899</v>
      </c>
      <c r="T5201">
        <v>-0.29832920000000002</v>
      </c>
      <c r="U5201">
        <v>-1.8425290000000001</v>
      </c>
      <c r="V5201">
        <v>0.1971802</v>
      </c>
      <c r="W5201">
        <v>-2.5773750000000002E-2</v>
      </c>
      <c r="X5201">
        <v>0.98002839999999902</v>
      </c>
      <c r="Y5201">
        <v>0.50706300000000004</v>
      </c>
      <c r="Z5201">
        <v>-1.751608E-2</v>
      </c>
      <c r="AA5201">
        <v>0.86173099999999903</v>
      </c>
      <c r="AB5201">
        <v>20</v>
      </c>
      <c r="AC5201">
        <v>9.8712000000000408</v>
      </c>
      <c r="AD5201">
        <v>-1.1509969999999901</v>
      </c>
      <c r="AE5201">
        <v>-7.0973999999999897</v>
      </c>
      <c r="AF5201">
        <v>6.18308658293319</v>
      </c>
      <c r="AG5201">
        <v>-1.1509969999999901</v>
      </c>
      <c r="AH5201">
        <v>10.342568740089799</v>
      </c>
      <c r="AI5201">
        <v>95.456308834875003</v>
      </c>
      <c r="AJ5201">
        <v>59.127797531528799</v>
      </c>
      <c r="AK5201">
        <v>12.1047132113711</v>
      </c>
    </row>
    <row r="5202" spans="1:37" x14ac:dyDescent="0.2">
      <c r="A5202" t="str">
        <f>"20200111160001505"</f>
        <v>20200111160001505</v>
      </c>
      <c r="B5202" t="str">
        <f>"1578729601496111"</f>
        <v>1578729601496111</v>
      </c>
      <c r="C5202" t="s">
        <v>37</v>
      </c>
      <c r="D5202">
        <v>5.6474459999999898</v>
      </c>
      <c r="E5202">
        <v>0.63333859999999997</v>
      </c>
      <c r="F5202" t="s">
        <v>41</v>
      </c>
      <c r="G5202">
        <v>-311.22579999999999</v>
      </c>
      <c r="H5202">
        <v>-0.05</v>
      </c>
      <c r="I5202">
        <v>14.05411</v>
      </c>
      <c r="J5202">
        <v>-320.65660000000003</v>
      </c>
      <c r="K5202">
        <v>1.1006719999999901</v>
      </c>
      <c r="L5202">
        <v>20.919160000000002</v>
      </c>
      <c r="M5202">
        <v>0.99606189999999994</v>
      </c>
      <c r="N5202">
        <v>0</v>
      </c>
      <c r="O5202">
        <v>-8.7680800000000003E-2</v>
      </c>
      <c r="P5202">
        <v>0.95702509999999996</v>
      </c>
      <c r="Q5202">
        <v>-4.0299219999999997E-2</v>
      </c>
      <c r="R5202">
        <v>-0.287191799999999</v>
      </c>
      <c r="S5202">
        <v>2.5749819999999999</v>
      </c>
      <c r="T5202">
        <v>-0.31013459999999998</v>
      </c>
      <c r="U5202">
        <v>-1.8535459999999999</v>
      </c>
      <c r="V5202">
        <v>0.20196229999999901</v>
      </c>
      <c r="W5202">
        <v>-2.8890510000000001E-2</v>
      </c>
      <c r="X5202">
        <v>0.97896709999999998</v>
      </c>
      <c r="Y5202">
        <v>0.50881759999999998</v>
      </c>
      <c r="Z5202">
        <v>-1.8019339999999998E-2</v>
      </c>
      <c r="AA5202">
        <v>0.86068579999999995</v>
      </c>
      <c r="AB5202">
        <v>20</v>
      </c>
      <c r="AC5202">
        <v>9.4308000000000298</v>
      </c>
      <c r="AD5202">
        <v>-1.1506719999999999</v>
      </c>
      <c r="AE5202">
        <v>-6.8650500000000001</v>
      </c>
      <c r="AF5202">
        <v>5.9537003021713204</v>
      </c>
      <c r="AG5202">
        <v>-1.1506719999999999</v>
      </c>
      <c r="AH5202">
        <v>9.9001220699285692</v>
      </c>
      <c r="AI5202">
        <v>95.688139361606503</v>
      </c>
      <c r="AJ5202">
        <v>58.978289716706797</v>
      </c>
      <c r="AK5202">
        <v>11.6096085351378</v>
      </c>
    </row>
    <row r="5203" spans="1:37" x14ac:dyDescent="0.2">
      <c r="A5203" t="str">
        <f>"20200111160001518"</f>
        <v>20200111160001518</v>
      </c>
      <c r="B5203" t="str">
        <f>"1578729601515631"</f>
        <v>1578729601515631</v>
      </c>
      <c r="C5203" t="s">
        <v>37</v>
      </c>
      <c r="D5203">
        <v>5.7336150000000004</v>
      </c>
      <c r="E5203">
        <v>0.62953099999999995</v>
      </c>
      <c r="F5203" t="s">
        <v>41</v>
      </c>
      <c r="G5203">
        <v>-311.33879999999999</v>
      </c>
      <c r="H5203">
        <v>-0.05</v>
      </c>
      <c r="I5203">
        <v>14.130739999999999</v>
      </c>
      <c r="J5203">
        <v>-320.54039999999998</v>
      </c>
      <c r="K5203">
        <v>1.10032</v>
      </c>
      <c r="L5203">
        <v>20.905670000000001</v>
      </c>
      <c r="M5203">
        <v>0.99578709999999904</v>
      </c>
      <c r="N5203">
        <v>0</v>
      </c>
      <c r="O5203">
        <v>-9.0712360000000006E-2</v>
      </c>
      <c r="P5203">
        <v>0.95503689999999997</v>
      </c>
      <c r="Q5203">
        <v>-4.2717369999999998E-2</v>
      </c>
      <c r="R5203">
        <v>-0.29339349999999997</v>
      </c>
      <c r="S5203">
        <v>2.561401</v>
      </c>
      <c r="T5203">
        <v>-0.31631169999999997</v>
      </c>
      <c r="U5203">
        <v>-1.8660889999999899</v>
      </c>
      <c r="V5203">
        <v>0.20531649999999901</v>
      </c>
      <c r="W5203">
        <v>-3.114333E-2</v>
      </c>
      <c r="X5203">
        <v>0.97819999999999996</v>
      </c>
      <c r="Y5203">
        <v>0.51103370000000004</v>
      </c>
      <c r="Z5203">
        <v>-1.8225870000000002E-2</v>
      </c>
      <c r="AA5203">
        <v>0.85936749999999995</v>
      </c>
      <c r="AB5203">
        <v>20</v>
      </c>
      <c r="AC5203">
        <v>9.2015999999999796</v>
      </c>
      <c r="AD5203">
        <v>-1.15032</v>
      </c>
      <c r="AE5203">
        <v>-6.7749300000000003</v>
      </c>
      <c r="AF5203">
        <v>5.8529036502750102</v>
      </c>
      <c r="AG5203">
        <v>-1.15032</v>
      </c>
      <c r="AH5203">
        <v>9.6801786870369604</v>
      </c>
      <c r="AI5203">
        <v>95.806439345175704</v>
      </c>
      <c r="AJ5203">
        <v>58.841682190900698</v>
      </c>
      <c r="AK5203">
        <v>11.3703815527345</v>
      </c>
    </row>
    <row r="5204" spans="1:37" x14ac:dyDescent="0.2">
      <c r="A5204" t="str">
        <f>"20200111160001535"</f>
        <v>20200111160001535</v>
      </c>
      <c r="B5204" t="str">
        <f>"1578729601525390"</f>
        <v>1578729601525390</v>
      </c>
      <c r="C5204" t="s">
        <v>37</v>
      </c>
      <c r="D5204">
        <v>5.6638120000000001</v>
      </c>
      <c r="E5204">
        <v>0.62786200000000003</v>
      </c>
      <c r="F5204" t="s">
        <v>41</v>
      </c>
      <c r="G5204">
        <v>-310.80110000000002</v>
      </c>
      <c r="H5204">
        <v>-0.05</v>
      </c>
      <c r="I5204">
        <v>13.84071</v>
      </c>
      <c r="J5204">
        <v>-320.38729999999998</v>
      </c>
      <c r="K5204">
        <v>1.099758</v>
      </c>
      <c r="L5204">
        <v>20.88739</v>
      </c>
      <c r="M5204">
        <v>0.99540439999999997</v>
      </c>
      <c r="N5204">
        <v>0</v>
      </c>
      <c r="O5204">
        <v>-9.474552E-2</v>
      </c>
      <c r="P5204">
        <v>0.9539822</v>
      </c>
      <c r="Q5204">
        <v>-4.4448149999999999E-2</v>
      </c>
      <c r="R5204">
        <v>-0.2965507</v>
      </c>
      <c r="S5204">
        <v>2.557709</v>
      </c>
      <c r="T5204">
        <v>-0.302093099999999</v>
      </c>
      <c r="U5204">
        <v>-1.8553770000000001</v>
      </c>
      <c r="V5204">
        <v>0.20457739999999999</v>
      </c>
      <c r="W5204">
        <v>-3.2425999999999899E-2</v>
      </c>
      <c r="X5204">
        <v>0.97831309999999905</v>
      </c>
      <c r="Y5204">
        <v>0.50599629999999995</v>
      </c>
      <c r="Z5204">
        <v>-1.6766759999999999E-2</v>
      </c>
      <c r="AA5204">
        <v>0.86237269999999899</v>
      </c>
      <c r="AB5204">
        <v>20</v>
      </c>
      <c r="AC5204">
        <v>9.5861999999999608</v>
      </c>
      <c r="AD5204">
        <v>-1.1497580000000001</v>
      </c>
      <c r="AE5204">
        <v>-7.0466799999999896</v>
      </c>
      <c r="AF5204">
        <v>6.0501350305265298</v>
      </c>
      <c r="AG5204">
        <v>-1.1497580000000001</v>
      </c>
      <c r="AH5204">
        <v>10.1162982196992</v>
      </c>
      <c r="AI5204">
        <v>95.571063130874606</v>
      </c>
      <c r="AJ5204">
        <v>59.1181204372457</v>
      </c>
      <c r="AK5204">
        <v>11.8433765040235</v>
      </c>
    </row>
    <row r="5205" spans="1:37" x14ac:dyDescent="0.2">
      <c r="A5205" t="str">
        <f>"20200111160002010"</f>
        <v>20200111160002010</v>
      </c>
      <c r="B5205" t="str">
        <f>"1578729602005751"</f>
        <v>1578729602005751</v>
      </c>
      <c r="C5205" t="s">
        <v>37</v>
      </c>
      <c r="D5205">
        <v>5.6239460000000001</v>
      </c>
      <c r="E5205">
        <v>0.62786200000000003</v>
      </c>
      <c r="F5205" t="s">
        <v>41</v>
      </c>
      <c r="G5205">
        <v>-310.76029999999997</v>
      </c>
      <c r="H5205">
        <v>-0.05</v>
      </c>
      <c r="I5205">
        <v>13.91133</v>
      </c>
      <c r="J5205">
        <v>-316.2713</v>
      </c>
      <c r="K5205">
        <v>1.0625</v>
      </c>
      <c r="L5205">
        <v>20.047059999999998</v>
      </c>
      <c r="M5205">
        <v>0.96965970000000001</v>
      </c>
      <c r="N5205">
        <v>0</v>
      </c>
      <c r="O5205">
        <v>-0.2432831</v>
      </c>
      <c r="P5205">
        <v>0.91293819999999903</v>
      </c>
      <c r="Q5205">
        <v>-3.9915440000000003E-2</v>
      </c>
      <c r="R5205">
        <v>-0.40614090000000003</v>
      </c>
      <c r="S5205">
        <v>2.5549930000000001</v>
      </c>
      <c r="T5205">
        <v>-0.30514479999999999</v>
      </c>
      <c r="U5205">
        <v>-1.85144</v>
      </c>
      <c r="V5205">
        <v>0.17152300000000001</v>
      </c>
      <c r="W5205">
        <v>-1.8708120000000002E-2</v>
      </c>
      <c r="X5205">
        <v>0.9850025</v>
      </c>
      <c r="Y5205">
        <v>0.37148870000000001</v>
      </c>
      <c r="Z5205">
        <v>5.4520130000000003E-3</v>
      </c>
      <c r="AA5205">
        <v>0.92842150000000001</v>
      </c>
      <c r="AB5205">
        <v>19</v>
      </c>
      <c r="AC5205">
        <v>5.5110000000000197</v>
      </c>
      <c r="AD5205">
        <v>-1.1125</v>
      </c>
      <c r="AE5205">
        <v>-6.1357299999999997</v>
      </c>
      <c r="AF5205">
        <v>4.5277718509013702</v>
      </c>
      <c r="AG5205">
        <v>-1.1125</v>
      </c>
      <c r="AH5205">
        <v>6.7162661865832201</v>
      </c>
      <c r="AI5205">
        <v>97.820460292071402</v>
      </c>
      <c r="AJ5205">
        <v>56.014114716250397</v>
      </c>
      <c r="AK5205">
        <v>8.1759773527607003</v>
      </c>
    </row>
    <row r="5206" spans="1:37" x14ac:dyDescent="0.2">
      <c r="A5206" t="str">
        <f>"20200111160002026"</f>
        <v>20200111160002026</v>
      </c>
      <c r="B5206" t="str">
        <f>"1578729602015511"</f>
        <v>1578729602015511</v>
      </c>
      <c r="C5206" t="s">
        <v>37</v>
      </c>
      <c r="D5206">
        <v>5.6562650000000003</v>
      </c>
      <c r="E5206">
        <v>0.66763439999999996</v>
      </c>
      <c r="F5206" t="s">
        <v>41</v>
      </c>
      <c r="G5206">
        <v>-306.70299999999997</v>
      </c>
      <c r="H5206">
        <v>-0.05</v>
      </c>
      <c r="I5206">
        <v>11.22044</v>
      </c>
      <c r="J5206">
        <v>-316.14319999999998</v>
      </c>
      <c r="K5206">
        <v>1.061248</v>
      </c>
      <c r="L5206">
        <v>20.007390000000001</v>
      </c>
      <c r="M5206">
        <v>0.96810529999999995</v>
      </c>
      <c r="N5206">
        <v>0</v>
      </c>
      <c r="O5206">
        <v>-0.24945799999999901</v>
      </c>
      <c r="P5206">
        <v>0.91121580000000002</v>
      </c>
      <c r="Q5206">
        <v>-3.940333E-2</v>
      </c>
      <c r="R5206">
        <v>-0.41004069999999998</v>
      </c>
      <c r="S5206">
        <v>2.321564</v>
      </c>
      <c r="T5206">
        <v>-0.2699261</v>
      </c>
      <c r="U5206">
        <v>-2.1416019999999998</v>
      </c>
      <c r="V5206">
        <v>0.16945579999999999</v>
      </c>
      <c r="W5206">
        <v>-1.8788840000000001E-2</v>
      </c>
      <c r="X5206">
        <v>0.98535869999999903</v>
      </c>
      <c r="Y5206">
        <v>0.47240409999999999</v>
      </c>
      <c r="Z5206">
        <v>5.4380110000000004E-4</v>
      </c>
      <c r="AA5206">
        <v>0.88138189999999905</v>
      </c>
      <c r="AB5206">
        <v>19</v>
      </c>
      <c r="AC5206">
        <v>9.4402000000000008</v>
      </c>
      <c r="AD5206">
        <v>-1.111248</v>
      </c>
      <c r="AE5206">
        <v>-8.7869499999999992</v>
      </c>
      <c r="AF5206">
        <v>6.10808144638884</v>
      </c>
      <c r="AG5206">
        <v>-1.111248</v>
      </c>
      <c r="AH5206">
        <v>11.2506309895944</v>
      </c>
      <c r="AI5206">
        <v>94.961080743133806</v>
      </c>
      <c r="AJ5206">
        <v>61.502016865829603</v>
      </c>
      <c r="AK5206">
        <v>12.8499116237134</v>
      </c>
    </row>
    <row r="5207" spans="1:37" x14ac:dyDescent="0.2">
      <c r="A5207" t="str">
        <f>"20200111160002037"</f>
        <v>20200111160002037</v>
      </c>
      <c r="B5207" t="str">
        <f>"1578729602026248"</f>
        <v>1578729602026248</v>
      </c>
      <c r="C5207" t="s">
        <v>37</v>
      </c>
      <c r="D5207">
        <v>5.6101320000000001</v>
      </c>
      <c r="E5207">
        <v>0.66678340000000003</v>
      </c>
      <c r="F5207" t="s">
        <v>41</v>
      </c>
      <c r="G5207">
        <v>-307.32479999999998</v>
      </c>
      <c r="H5207">
        <v>-0.05</v>
      </c>
      <c r="I5207">
        <v>10.1442</v>
      </c>
      <c r="J5207">
        <v>-316.04289999999997</v>
      </c>
      <c r="K5207">
        <v>1.060333</v>
      </c>
      <c r="L5207">
        <v>19.975339999999999</v>
      </c>
      <c r="M5207">
        <v>0.96686229999999995</v>
      </c>
      <c r="N5207">
        <v>0</v>
      </c>
      <c r="O5207">
        <v>-0.25427860000000002</v>
      </c>
      <c r="P5207">
        <v>0.90955520000000001</v>
      </c>
      <c r="Q5207">
        <v>-3.8686489999999997E-2</v>
      </c>
      <c r="R5207">
        <v>-0.41377900000000001</v>
      </c>
      <c r="S5207">
        <v>2.182159</v>
      </c>
      <c r="T5207">
        <v>-0.27498139999999999</v>
      </c>
      <c r="U5207">
        <v>-2.440674</v>
      </c>
      <c r="V5207">
        <v>0.16859199999999999</v>
      </c>
      <c r="W5207">
        <v>-1.853544E-2</v>
      </c>
      <c r="X5207">
        <v>0.98551160000000004</v>
      </c>
      <c r="Y5207">
        <v>0.55044759999999904</v>
      </c>
      <c r="Z5207">
        <v>-3.0007720000000001E-3</v>
      </c>
      <c r="AA5207">
        <v>0.8348643</v>
      </c>
      <c r="AB5207">
        <v>19</v>
      </c>
      <c r="AC5207">
        <v>8.7180999999999909</v>
      </c>
      <c r="AD5207">
        <v>-1.110333</v>
      </c>
      <c r="AE5207">
        <v>-9.8311399999999995</v>
      </c>
      <c r="AF5207">
        <v>7.23873939157476</v>
      </c>
      <c r="AG5207">
        <v>-1.110333</v>
      </c>
      <c r="AH5207">
        <v>10.854386870494899</v>
      </c>
      <c r="AI5207">
        <v>94.864398159333305</v>
      </c>
      <c r="AJ5207">
        <v>56.300865109380197</v>
      </c>
      <c r="AK5207">
        <v>13.093887951422101</v>
      </c>
    </row>
    <row r="5208" spans="1:37" x14ac:dyDescent="0.2">
      <c r="A5208" t="str">
        <f>"20200111160002059"</f>
        <v>20200111160002059</v>
      </c>
      <c r="B5208" t="str">
        <f>"1578729602055527"</f>
        <v>1578729602055527</v>
      </c>
      <c r="C5208" t="s">
        <v>37</v>
      </c>
      <c r="D5208">
        <v>5.6678769999999998</v>
      </c>
      <c r="E5208">
        <v>0.66493899999999995</v>
      </c>
      <c r="F5208" t="s">
        <v>41</v>
      </c>
      <c r="G5208">
        <v>-307.12299999999999</v>
      </c>
      <c r="H5208">
        <v>-0.05</v>
      </c>
      <c r="I5208">
        <v>9.9541020000000007</v>
      </c>
      <c r="J5208">
        <v>-315.87310000000002</v>
      </c>
      <c r="K5208">
        <v>1.0588949999999999</v>
      </c>
      <c r="L5208">
        <v>19.919920000000001</v>
      </c>
      <c r="M5208">
        <v>0.96468899999999902</v>
      </c>
      <c r="N5208">
        <v>0</v>
      </c>
      <c r="O5208">
        <v>-0.26247120000000002</v>
      </c>
      <c r="P5208">
        <v>0.90660049999999903</v>
      </c>
      <c r="Q5208">
        <v>-3.7845209999999997E-2</v>
      </c>
      <c r="R5208">
        <v>-0.42028949999999998</v>
      </c>
      <c r="S5208">
        <v>2.1751099999999899</v>
      </c>
      <c r="T5208">
        <v>-0.27075290000000002</v>
      </c>
      <c r="U5208">
        <v>-2.4436650000000002</v>
      </c>
      <c r="V5208">
        <v>0.1672968</v>
      </c>
      <c r="W5208">
        <v>-1.8444370000000002E-2</v>
      </c>
      <c r="X5208">
        <v>0.985734</v>
      </c>
      <c r="Y5208">
        <v>0.54528469999999996</v>
      </c>
      <c r="Z5208">
        <v>-1.9578519999999999E-3</v>
      </c>
      <c r="AA5208">
        <v>0.83824859999999901</v>
      </c>
      <c r="AB5208">
        <v>19</v>
      </c>
      <c r="AC5208">
        <v>8.75010000000003</v>
      </c>
      <c r="AD5208">
        <v>-1.108895</v>
      </c>
      <c r="AE5208">
        <v>-9.9658180000000005</v>
      </c>
      <c r="AF5208">
        <v>7.2682226175465203</v>
      </c>
      <c r="AG5208">
        <v>-1.108895</v>
      </c>
      <c r="AH5208">
        <v>10.982758053744099</v>
      </c>
      <c r="AI5208">
        <v>94.812881901162598</v>
      </c>
      <c r="AJ5208">
        <v>56.504013665056398</v>
      </c>
      <c r="AK5208">
        <v>13.216568488315</v>
      </c>
    </row>
    <row r="5209" spans="1:37" x14ac:dyDescent="0.2">
      <c r="A5209" t="str">
        <f>"20200111160002073"</f>
        <v>20200111160002073</v>
      </c>
      <c r="B5209" t="str">
        <f>"1578729602066264"</f>
        <v>1578729602066264</v>
      </c>
      <c r="C5209" t="s">
        <v>37</v>
      </c>
      <c r="D5209">
        <v>5.7078939999999996</v>
      </c>
      <c r="E5209">
        <v>0.6644004</v>
      </c>
      <c r="F5209" t="s">
        <v>41</v>
      </c>
      <c r="G5209">
        <v>-306.85649999999998</v>
      </c>
      <c r="H5209">
        <v>-0.05</v>
      </c>
      <c r="I5209">
        <v>9.72818</v>
      </c>
      <c r="J5209">
        <v>-315.76760000000002</v>
      </c>
      <c r="K5209">
        <v>1.0580969999999901</v>
      </c>
      <c r="L5209">
        <v>19.884550000000001</v>
      </c>
      <c r="M5209">
        <v>0.96328510000000001</v>
      </c>
      <c r="N5209">
        <v>0</v>
      </c>
      <c r="O5209">
        <v>-0.26761560000000001</v>
      </c>
      <c r="P5209">
        <v>0.90467589999999998</v>
      </c>
      <c r="Q5209">
        <v>-3.7295750000000003E-2</v>
      </c>
      <c r="R5209">
        <v>-0.42446459999999903</v>
      </c>
      <c r="S5209">
        <v>2.1640009999999998</v>
      </c>
      <c r="T5209">
        <v>-0.26613789999999998</v>
      </c>
      <c r="U5209">
        <v>-2.4460449999999998</v>
      </c>
      <c r="V5209">
        <v>0.16658120000000001</v>
      </c>
      <c r="W5209">
        <v>-1.832671E-2</v>
      </c>
      <c r="X5209">
        <v>0.98585739999999999</v>
      </c>
      <c r="Y5209">
        <v>0.54339959999999998</v>
      </c>
      <c r="Z5209">
        <v>-1.3794229999999901E-3</v>
      </c>
      <c r="AA5209">
        <v>0.83947299999999903</v>
      </c>
      <c r="AB5209">
        <v>19</v>
      </c>
      <c r="AC5209">
        <v>8.9111000000000296</v>
      </c>
      <c r="AD5209">
        <v>-1.1080969999999899</v>
      </c>
      <c r="AE5209">
        <v>-10.156370000000001</v>
      </c>
      <c r="AF5209">
        <v>7.3510043487412897</v>
      </c>
      <c r="AG5209">
        <v>-1.1080969999999899</v>
      </c>
      <c r="AH5209">
        <v>11.2290287826747</v>
      </c>
      <c r="AI5209">
        <v>94.719820250516307</v>
      </c>
      <c r="AJ5209">
        <v>56.789519857139901</v>
      </c>
      <c r="AK5209">
        <v>13.466856771301901</v>
      </c>
    </row>
    <row r="5210" spans="1:37" x14ac:dyDescent="0.2">
      <c r="A5210" t="str">
        <f>"20200111160002083"</f>
        <v>20200111160002083</v>
      </c>
      <c r="B5210" t="str">
        <f>"1578729602076023"</f>
        <v>1578729602076023</v>
      </c>
      <c r="C5210" t="s">
        <v>37</v>
      </c>
      <c r="D5210">
        <v>5.6777809999999898</v>
      </c>
      <c r="E5210">
        <v>0.66391800000000001</v>
      </c>
      <c r="F5210" t="s">
        <v>41</v>
      </c>
      <c r="G5210">
        <v>-306.75529999999998</v>
      </c>
      <c r="H5210">
        <v>-0.05</v>
      </c>
      <c r="I5210">
        <v>9.6275179999999896</v>
      </c>
      <c r="J5210">
        <v>-315.66829999999999</v>
      </c>
      <c r="K5210">
        <v>1.0573920000000001</v>
      </c>
      <c r="L5210">
        <v>19.8508</v>
      </c>
      <c r="M5210">
        <v>0.96192649999999902</v>
      </c>
      <c r="N5210">
        <v>0</v>
      </c>
      <c r="O5210">
        <v>-0.27249240000000002</v>
      </c>
      <c r="P5210">
        <v>0.90268169999999903</v>
      </c>
      <c r="Q5210">
        <v>-3.6502960000000001E-2</v>
      </c>
      <c r="R5210">
        <v>-0.42875809999999998</v>
      </c>
      <c r="S5210">
        <v>2.1546020000000001</v>
      </c>
      <c r="T5210">
        <v>-0.26491589999999998</v>
      </c>
      <c r="U5210">
        <v>-2.4521790000000001</v>
      </c>
      <c r="V5210">
        <v>0.16627149999999999</v>
      </c>
      <c r="W5210">
        <v>-1.7927289999999999E-2</v>
      </c>
      <c r="X5210">
        <v>0.98591700000000004</v>
      </c>
      <c r="Y5210">
        <v>0.54203140000000005</v>
      </c>
      <c r="Z5210">
        <v>-8.7691660000000003E-4</v>
      </c>
      <c r="AA5210">
        <v>0.84035769999999999</v>
      </c>
      <c r="AB5210">
        <v>19</v>
      </c>
      <c r="AC5210">
        <v>8.9130000000000091</v>
      </c>
      <c r="AD5210">
        <v>-1.1073919999999999</v>
      </c>
      <c r="AE5210">
        <v>-10.223281999999999</v>
      </c>
      <c r="AF5210">
        <v>7.3579201931279998</v>
      </c>
      <c r="AG5210">
        <v>-1.1073919999999999</v>
      </c>
      <c r="AH5210">
        <v>11.2867067422546</v>
      </c>
      <c r="AI5210">
        <v>94.698683710919397</v>
      </c>
      <c r="AJ5210">
        <v>56.899256756118902</v>
      </c>
      <c r="AK5210">
        <v>13.518692824964999</v>
      </c>
    </row>
    <row r="5211" spans="1:37" x14ac:dyDescent="0.2">
      <c r="A5211" t="str">
        <f>"20200111160002096"</f>
        <v>20200111160002096</v>
      </c>
      <c r="B5211" t="str">
        <f>"1578729602085784"</f>
        <v>1578729602085784</v>
      </c>
      <c r="C5211" t="s">
        <v>37</v>
      </c>
      <c r="D5211">
        <v>5.8040599999999998</v>
      </c>
      <c r="E5211">
        <v>0.66349709999999995</v>
      </c>
      <c r="F5211" t="s">
        <v>41</v>
      </c>
      <c r="G5211">
        <v>-306.67649999999998</v>
      </c>
      <c r="H5211">
        <v>-0.05</v>
      </c>
      <c r="I5211">
        <v>9.5428160000000002</v>
      </c>
      <c r="J5211">
        <v>-315.57150000000001</v>
      </c>
      <c r="K5211">
        <v>1.0567930000000001</v>
      </c>
      <c r="L5211">
        <v>19.817079999999901</v>
      </c>
      <c r="M5211">
        <v>0.96054699999999904</v>
      </c>
      <c r="N5211">
        <v>0</v>
      </c>
      <c r="O5211">
        <v>-0.27734449999999999</v>
      </c>
      <c r="P5211">
        <v>0.90072439999999998</v>
      </c>
      <c r="Q5211">
        <v>-3.5555580000000003E-2</v>
      </c>
      <c r="R5211">
        <v>-0.43293379999999998</v>
      </c>
      <c r="S5211">
        <v>2.1448969999999998</v>
      </c>
      <c r="T5211">
        <v>-0.26415670000000002</v>
      </c>
      <c r="U5211">
        <v>-2.4588619999999999</v>
      </c>
      <c r="V5211">
        <v>0.1658627</v>
      </c>
      <c r="W5211">
        <v>-1.7322690000000002E-2</v>
      </c>
      <c r="X5211">
        <v>0.98599669999999895</v>
      </c>
      <c r="Y5211">
        <v>0.54082830000000004</v>
      </c>
      <c r="Z5211">
        <v>-3.8921459999999899E-4</v>
      </c>
      <c r="AA5211">
        <v>0.84113289999999996</v>
      </c>
      <c r="AB5211">
        <v>19</v>
      </c>
      <c r="AC5211">
        <v>8.8950000000000298</v>
      </c>
      <c r="AD5211">
        <v>-1.1067929999999999</v>
      </c>
      <c r="AE5211">
        <v>-10.274263999999899</v>
      </c>
      <c r="AF5211">
        <v>7.3547402523610401</v>
      </c>
      <c r="AG5211">
        <v>-1.1067929999999999</v>
      </c>
      <c r="AH5211">
        <v>11.320932042849501</v>
      </c>
      <c r="AI5211">
        <v>94.686820131131896</v>
      </c>
      <c r="AJ5211">
        <v>56.9898877449587</v>
      </c>
      <c r="AK5211">
        <v>13.545504687657999</v>
      </c>
    </row>
    <row r="5212" spans="1:37" x14ac:dyDescent="0.2">
      <c r="A5212" t="str">
        <f>"20200111160002109"</f>
        <v>20200111160002109</v>
      </c>
      <c r="B5212" t="str">
        <f>"1578729602106279"</f>
        <v>1578729602106279</v>
      </c>
      <c r="C5212" t="s">
        <v>37</v>
      </c>
      <c r="D5212">
        <v>6.0008679999999996</v>
      </c>
      <c r="E5212">
        <v>0.66014430000000002</v>
      </c>
      <c r="F5212" t="s">
        <v>41</v>
      </c>
      <c r="G5212">
        <v>-306.50569999999999</v>
      </c>
      <c r="H5212">
        <v>-0.05</v>
      </c>
      <c r="I5212">
        <v>9.3464969999999994</v>
      </c>
      <c r="J5212">
        <v>-315.4708</v>
      </c>
      <c r="K5212">
        <v>1.056195</v>
      </c>
      <c r="L5212">
        <v>19.781559999999999</v>
      </c>
      <c r="M5212">
        <v>0.95907600000000004</v>
      </c>
      <c r="N5212">
        <v>0</v>
      </c>
      <c r="O5212">
        <v>-0.28241690000000003</v>
      </c>
      <c r="P5212">
        <v>0.89858689999999997</v>
      </c>
      <c r="Q5212">
        <v>-3.4353160000000001E-2</v>
      </c>
      <c r="R5212">
        <v>-0.43744899999999998</v>
      </c>
      <c r="S5212">
        <v>2.1351009999999899</v>
      </c>
      <c r="T5212">
        <v>-0.26066260000000002</v>
      </c>
      <c r="U5212">
        <v>-2.4659419999999899</v>
      </c>
      <c r="V5212">
        <v>0.16560329999999901</v>
      </c>
      <c r="W5212">
        <v>-1.6465529999999999E-2</v>
      </c>
      <c r="X5212">
        <v>0.98605499999999902</v>
      </c>
      <c r="Y5212">
        <v>0.53952909999999998</v>
      </c>
      <c r="Z5212">
        <v>1.192857E-4</v>
      </c>
      <c r="AA5212">
        <v>0.84196689999999996</v>
      </c>
      <c r="AB5212">
        <v>19</v>
      </c>
      <c r="AC5212">
        <v>8.9650999999999996</v>
      </c>
      <c r="AD5212">
        <v>-1.106195</v>
      </c>
      <c r="AE5212">
        <v>-10.435063</v>
      </c>
      <c r="AF5212">
        <v>7.4296348038677396</v>
      </c>
      <c r="AG5212">
        <v>-1.106195</v>
      </c>
      <c r="AH5212">
        <v>11.4734598677082</v>
      </c>
      <c r="AI5212">
        <v>94.626731028053996</v>
      </c>
      <c r="AJ5212">
        <v>57.074939147199899</v>
      </c>
      <c r="AK5212">
        <v>13.713621769349601</v>
      </c>
    </row>
    <row r="5213" spans="1:37" x14ac:dyDescent="0.2">
      <c r="A5213" t="str">
        <f>"20200111160002123"</f>
        <v>20200111160002123</v>
      </c>
      <c r="B5213" t="str">
        <f>"1578729602116041"</f>
        <v>1578729602116041</v>
      </c>
      <c r="C5213" t="s">
        <v>37</v>
      </c>
      <c r="D5213">
        <v>5.7270320000000003</v>
      </c>
      <c r="E5213">
        <v>0.66014430000000002</v>
      </c>
      <c r="F5213" t="s">
        <v>39</v>
      </c>
      <c r="G5213">
        <v>-295.92540000000002</v>
      </c>
      <c r="H5213" s="1">
        <v>-3.879483E-6</v>
      </c>
      <c r="I5213">
        <v>-2.745104</v>
      </c>
      <c r="J5213">
        <v>-315.35079999999999</v>
      </c>
      <c r="K5213">
        <v>1.055539</v>
      </c>
      <c r="L5213">
        <v>19.73846</v>
      </c>
      <c r="M5213">
        <v>0.95726230000000001</v>
      </c>
      <c r="N5213">
        <v>0</v>
      </c>
      <c r="O5213">
        <v>-0.28853400000000001</v>
      </c>
      <c r="P5213">
        <v>0.8959819</v>
      </c>
      <c r="Q5213">
        <v>-3.3053619999999999E-2</v>
      </c>
      <c r="R5213">
        <v>-0.44285909999999901</v>
      </c>
      <c r="S5213">
        <v>2.135834</v>
      </c>
      <c r="T5213">
        <v>-0.11541649999999901</v>
      </c>
      <c r="U5213">
        <v>-2.4616090000000002</v>
      </c>
      <c r="V5213">
        <v>0.16525629999999999</v>
      </c>
      <c r="W5213">
        <v>-1.554848E-2</v>
      </c>
      <c r="X5213">
        <v>0.98612809999999995</v>
      </c>
      <c r="Y5213">
        <v>0.53390400000000005</v>
      </c>
      <c r="Z5213">
        <v>4.1092089999999998E-4</v>
      </c>
      <c r="AA5213">
        <v>0.84554509999999905</v>
      </c>
      <c r="AB5213">
        <v>19</v>
      </c>
      <c r="AC5213">
        <v>19.4253999999999</v>
      </c>
      <c r="AD5213">
        <v>-1.055542879483</v>
      </c>
      <c r="AE5213">
        <v>-22.483564000000001</v>
      </c>
      <c r="AF5213">
        <v>15.9008736006641</v>
      </c>
      <c r="AG5213">
        <v>-1.055542879483</v>
      </c>
      <c r="AH5213">
        <v>25.0558357210728</v>
      </c>
      <c r="AI5213">
        <v>92.037126777228494</v>
      </c>
      <c r="AJ5213">
        <v>57.600070528281599</v>
      </c>
      <c r="AK5213">
        <v>29.694222598278401</v>
      </c>
    </row>
    <row r="5214" spans="1:37" x14ac:dyDescent="0.2">
      <c r="A5214" t="str">
        <f>"20200111160002138"</f>
        <v>20200111160002138</v>
      </c>
      <c r="B5214" t="str">
        <f>"1578729602125799"</f>
        <v>1578729602125799</v>
      </c>
      <c r="C5214" t="s">
        <v>37</v>
      </c>
      <c r="D5214">
        <v>5.7789619999999999</v>
      </c>
      <c r="E5214">
        <v>0.66194419999999898</v>
      </c>
      <c r="F5214" t="s">
        <v>39</v>
      </c>
      <c r="G5214">
        <v>-295.43349999999998</v>
      </c>
      <c r="H5214" s="1">
        <v>-3.6119059999999998E-6</v>
      </c>
      <c r="I5214">
        <v>-3.49573</v>
      </c>
      <c r="J5214">
        <v>-315.24090000000001</v>
      </c>
      <c r="K5214">
        <v>1.055007</v>
      </c>
      <c r="L5214">
        <v>19.698029999999999</v>
      </c>
      <c r="M5214">
        <v>0.95554539999999999</v>
      </c>
      <c r="N5214">
        <v>0</v>
      </c>
      <c r="O5214">
        <v>-0.294193599999999</v>
      </c>
      <c r="P5214">
        <v>0.89373910000000001</v>
      </c>
      <c r="Q5214">
        <v>-3.031418E-2</v>
      </c>
      <c r="R5214">
        <v>-0.4475616</v>
      </c>
      <c r="S5214">
        <v>2.121124</v>
      </c>
      <c r="T5214">
        <v>-0.1124119</v>
      </c>
      <c r="U5214">
        <v>-2.4743650000000001</v>
      </c>
      <c r="V5214">
        <v>0.16460959999999999</v>
      </c>
      <c r="W5214">
        <v>-1.3125629999999999E-2</v>
      </c>
      <c r="X5214">
        <v>0.98627140000000002</v>
      </c>
      <c r="Y5214">
        <v>0.53396429999999995</v>
      </c>
      <c r="Z5214">
        <v>6.1127169999999995E-4</v>
      </c>
      <c r="AA5214">
        <v>0.8455068</v>
      </c>
      <c r="AB5214">
        <v>19</v>
      </c>
      <c r="AC5214">
        <v>19.807400000000001</v>
      </c>
      <c r="AD5214">
        <v>-1.0550106119060001</v>
      </c>
      <c r="AE5214">
        <v>-23.193760000000001</v>
      </c>
      <c r="AF5214">
        <v>16.3190853035162</v>
      </c>
      <c r="AG5214">
        <v>-1.0550106119060001</v>
      </c>
      <c r="AH5214">
        <v>25.724481463362199</v>
      </c>
      <c r="AI5214">
        <v>91.983433088990296</v>
      </c>
      <c r="AJ5214">
        <v>57.609793164592297</v>
      </c>
      <c r="AK5214">
        <v>30.4823643947371</v>
      </c>
    </row>
    <row r="5215" spans="1:37" x14ac:dyDescent="0.2">
      <c r="A5215" t="str">
        <f>"20200111160002152"</f>
        <v>20200111160002152</v>
      </c>
      <c r="B5215" t="str">
        <f>"1578729602146296"</f>
        <v>1578729602146296</v>
      </c>
      <c r="C5215" t="s">
        <v>37</v>
      </c>
      <c r="D5215">
        <v>5.6523009999999996</v>
      </c>
      <c r="E5215">
        <v>0.66361669999999995</v>
      </c>
      <c r="F5215" t="s">
        <v>41</v>
      </c>
      <c r="G5215">
        <v>-306.49619999999999</v>
      </c>
      <c r="H5215">
        <v>-0.05</v>
      </c>
      <c r="I5215">
        <v>9.3440550000000009</v>
      </c>
      <c r="J5215">
        <v>-315.13139999999999</v>
      </c>
      <c r="K5215">
        <v>1.054495</v>
      </c>
      <c r="L5215">
        <v>19.657070000000001</v>
      </c>
      <c r="M5215">
        <v>0.95379069999999899</v>
      </c>
      <c r="N5215">
        <v>0</v>
      </c>
      <c r="O5215">
        <v>-0.299855599999999</v>
      </c>
      <c r="P5215">
        <v>0.89131959999999999</v>
      </c>
      <c r="Q5215">
        <v>-2.890703E-2</v>
      </c>
      <c r="R5215">
        <v>-0.45245360000000001</v>
      </c>
      <c r="S5215">
        <v>2.1015630000000001</v>
      </c>
      <c r="T5215">
        <v>-0.26556000000000002</v>
      </c>
      <c r="U5215">
        <v>-2.4883120000000001</v>
      </c>
      <c r="V5215">
        <v>0.16416929999999999</v>
      </c>
      <c r="W5215">
        <v>-1.20247999999999E-2</v>
      </c>
      <c r="X5215">
        <v>0.98635890000000004</v>
      </c>
      <c r="Y5215">
        <v>0.53455419999999998</v>
      </c>
      <c r="Z5215">
        <v>1.9160939999999999E-3</v>
      </c>
      <c r="AA5215">
        <v>0.84513199999999999</v>
      </c>
      <c r="AB5215">
        <v>19</v>
      </c>
      <c r="AC5215">
        <v>8.6351999999999904</v>
      </c>
      <c r="AD5215">
        <v>-1.104495</v>
      </c>
      <c r="AE5215">
        <v>-10.313015</v>
      </c>
      <c r="AF5215">
        <v>7.1999390303482498</v>
      </c>
      <c r="AG5215">
        <v>-1.104495</v>
      </c>
      <c r="AH5215">
        <v>11.254797784210799</v>
      </c>
      <c r="AI5215">
        <v>94.725733418762303</v>
      </c>
      <c r="AJ5215">
        <v>57.3920679931243</v>
      </c>
      <c r="AK5215">
        <v>13.406323299444701</v>
      </c>
    </row>
    <row r="5216" spans="1:37" x14ac:dyDescent="0.2">
      <c r="A5216" t="str">
        <f>"20200111160002164"</f>
        <v>20200111160002164</v>
      </c>
      <c r="B5216" t="str">
        <f>"1578729602156056"</f>
        <v>1578729602156056</v>
      </c>
      <c r="C5216" t="s">
        <v>37</v>
      </c>
      <c r="D5216">
        <v>5.7300399999999998</v>
      </c>
      <c r="E5216">
        <v>0.662937</v>
      </c>
      <c r="F5216" t="s">
        <v>41</v>
      </c>
      <c r="G5216">
        <v>-305.77449999999999</v>
      </c>
      <c r="H5216">
        <v>-0.05</v>
      </c>
      <c r="I5216">
        <v>8.3662569999999992</v>
      </c>
      <c r="J5216">
        <v>-315.024</v>
      </c>
      <c r="K5216">
        <v>1.054019</v>
      </c>
      <c r="L5216">
        <v>19.616389999999999</v>
      </c>
      <c r="M5216">
        <v>0.95203059999999995</v>
      </c>
      <c r="N5216">
        <v>0</v>
      </c>
      <c r="O5216">
        <v>-0.3054172</v>
      </c>
      <c r="P5216">
        <v>0.88881409999999905</v>
      </c>
      <c r="Q5216">
        <v>-2.7461340000000001E-2</v>
      </c>
      <c r="R5216">
        <v>-0.45744479999999998</v>
      </c>
      <c r="S5216">
        <v>2.0823360000000002</v>
      </c>
      <c r="T5216">
        <v>-0.24580070000000001</v>
      </c>
      <c r="U5216">
        <v>-2.5127259999999998</v>
      </c>
      <c r="V5216">
        <v>0.16394690000000001</v>
      </c>
      <c r="W5216">
        <v>-1.087019E-2</v>
      </c>
      <c r="X5216">
        <v>0.98640930000000004</v>
      </c>
      <c r="Y5216">
        <v>0.53761769999999998</v>
      </c>
      <c r="Z5216">
        <v>2.0862720000000001E-3</v>
      </c>
      <c r="AA5216">
        <v>0.84318609999999905</v>
      </c>
      <c r="AB5216">
        <v>19</v>
      </c>
      <c r="AC5216">
        <v>9.24950000000001</v>
      </c>
      <c r="AD5216">
        <v>-1.1040190000000001</v>
      </c>
      <c r="AE5216">
        <v>-11.2501329999999</v>
      </c>
      <c r="AF5216">
        <v>7.8418664044835298</v>
      </c>
      <c r="AG5216">
        <v>-1.1040190000000001</v>
      </c>
      <c r="AH5216">
        <v>12.174030121971599</v>
      </c>
      <c r="AI5216">
        <v>94.359721123134406</v>
      </c>
      <c r="AJ5216">
        <v>57.212507033121</v>
      </c>
      <c r="AK5216">
        <v>14.523110413021</v>
      </c>
    </row>
    <row r="5217" spans="1:37" x14ac:dyDescent="0.2">
      <c r="A5217" t="str">
        <f>"20200111160002208"</f>
        <v>20200111160002208</v>
      </c>
      <c r="B5217" t="str">
        <f>"1578729602205832"</f>
        <v>1578729602205832</v>
      </c>
      <c r="C5217" t="s">
        <v>37</v>
      </c>
      <c r="D5217">
        <v>5.8073090000000001</v>
      </c>
      <c r="E5217">
        <v>0.69421069999999996</v>
      </c>
      <c r="F5217" t="s">
        <v>41</v>
      </c>
      <c r="G5217">
        <v>-305.84449999999998</v>
      </c>
      <c r="H5217">
        <v>-0.05</v>
      </c>
      <c r="I5217">
        <v>8.4504090000000005</v>
      </c>
      <c r="J5217">
        <v>-314.68310000000002</v>
      </c>
      <c r="K5217">
        <v>1.052762</v>
      </c>
      <c r="L5217">
        <v>19.48141</v>
      </c>
      <c r="M5217">
        <v>0.94614560000000003</v>
      </c>
      <c r="N5217">
        <v>0</v>
      </c>
      <c r="O5217">
        <v>-0.32323629999999998</v>
      </c>
      <c r="P5217">
        <v>0.88038590000000005</v>
      </c>
      <c r="Q5217">
        <v>-2.3807209999999999E-2</v>
      </c>
      <c r="R5217">
        <v>-0.47366019999999998</v>
      </c>
      <c r="S5217">
        <v>2.0710449999999998</v>
      </c>
      <c r="T5217">
        <v>-0.24908429999999901</v>
      </c>
      <c r="U5217">
        <v>-2.51922599999999</v>
      </c>
      <c r="V5217">
        <v>0.16351760000000001</v>
      </c>
      <c r="W5217">
        <v>-8.0282789999999993E-3</v>
      </c>
      <c r="X5217">
        <v>0.98650780000000005</v>
      </c>
      <c r="Y5217">
        <v>0.52512150000000002</v>
      </c>
      <c r="Z5217">
        <v>4.181929E-3</v>
      </c>
      <c r="AA5217">
        <v>0.85101700000000002</v>
      </c>
      <c r="AB5217">
        <v>19</v>
      </c>
      <c r="AC5217">
        <v>8.8386000000000404</v>
      </c>
      <c r="AD5217">
        <v>-1.102762</v>
      </c>
      <c r="AE5217">
        <v>-11.031001</v>
      </c>
      <c r="AF5217">
        <v>7.5353524696252903</v>
      </c>
      <c r="AG5217">
        <v>-1.102762</v>
      </c>
      <c r="AH5217">
        <v>11.857999577232601</v>
      </c>
      <c r="AI5217">
        <v>94.487953100241398</v>
      </c>
      <c r="AJ5217">
        <v>57.565439838739401</v>
      </c>
      <c r="AK5217">
        <v>14.092898028573799</v>
      </c>
    </row>
    <row r="5218" spans="1:37" x14ac:dyDescent="0.2">
      <c r="A5218" t="str">
        <f>"20200111160002223"</f>
        <v>20200111160002223</v>
      </c>
      <c r="B5218" t="str">
        <f>"1578729602215591"</f>
        <v>1578729602215591</v>
      </c>
      <c r="C5218" t="s">
        <v>37</v>
      </c>
      <c r="D5218">
        <v>5.1858550000000001</v>
      </c>
      <c r="E5218">
        <v>0.69513230000000004</v>
      </c>
      <c r="F5218" t="s">
        <v>85</v>
      </c>
      <c r="G5218">
        <v>-282.32900000000001</v>
      </c>
      <c r="H5218">
        <v>2.66276</v>
      </c>
      <c r="I5218">
        <v>-28.04383</v>
      </c>
      <c r="J5218">
        <v>-314.56979999999999</v>
      </c>
      <c r="K5218">
        <v>1.052416</v>
      </c>
      <c r="L5218">
        <v>19.43488</v>
      </c>
      <c r="M5218">
        <v>0.9440868</v>
      </c>
      <c r="N5218">
        <v>0</v>
      </c>
      <c r="O5218">
        <v>-0.3292139</v>
      </c>
      <c r="P5218">
        <v>0.87740649999999998</v>
      </c>
      <c r="Q5218">
        <v>-2.3019979999999999E-2</v>
      </c>
      <c r="R5218">
        <v>-0.47919479999999998</v>
      </c>
      <c r="S5218">
        <v>1.9048160000000001</v>
      </c>
      <c r="T5218">
        <v>9.4787720000000006E-2</v>
      </c>
      <c r="U5218">
        <v>-2.7980040000000002</v>
      </c>
      <c r="V5218">
        <v>0.1634922</v>
      </c>
      <c r="W5218">
        <v>-7.4770230000000002E-3</v>
      </c>
      <c r="X5218">
        <v>0.98651630000000001</v>
      </c>
      <c r="Y5218">
        <v>0.59514040000000001</v>
      </c>
      <c r="Z5218">
        <v>-4.9548690000000004E-4</v>
      </c>
      <c r="AA5218">
        <v>0.80362159999999905</v>
      </c>
      <c r="AB5218">
        <v>18</v>
      </c>
      <c r="AC5218">
        <v>32.240799999999901</v>
      </c>
      <c r="AD5218">
        <v>1.610344</v>
      </c>
      <c r="AE5218">
        <v>-47.47871</v>
      </c>
      <c r="AF5218">
        <v>34.188432685319903</v>
      </c>
      <c r="AG5218">
        <v>1.610344</v>
      </c>
      <c r="AH5218">
        <v>46.039850797888498</v>
      </c>
      <c r="AI5218">
        <v>88.391477490992699</v>
      </c>
      <c r="AJ5218">
        <v>53.403030441657101</v>
      </c>
      <c r="AK5218">
        <v>57.368196753679001</v>
      </c>
    </row>
    <row r="5219" spans="1:37" x14ac:dyDescent="0.2">
      <c r="A5219" t="str">
        <f>"20200111160002239"</f>
        <v>20200111160002239</v>
      </c>
      <c r="B5219" t="str">
        <f>"1578729602236088"</f>
        <v>1578729602236088</v>
      </c>
      <c r="C5219" t="s">
        <v>37</v>
      </c>
      <c r="D5219">
        <v>5.7773070000000004</v>
      </c>
      <c r="E5219">
        <v>0.69498070000000001</v>
      </c>
      <c r="F5219" t="s">
        <v>85</v>
      </c>
      <c r="G5219">
        <v>-282.49259999999998</v>
      </c>
      <c r="H5219">
        <v>2.236964</v>
      </c>
      <c r="I5219">
        <v>-28.491499999999998</v>
      </c>
      <c r="J5219">
        <v>-314.45269999999999</v>
      </c>
      <c r="K5219">
        <v>1.052106</v>
      </c>
      <c r="L5219">
        <v>19.385739999999998</v>
      </c>
      <c r="M5219">
        <v>0.94190189999999996</v>
      </c>
      <c r="N5219">
        <v>0</v>
      </c>
      <c r="O5219">
        <v>-0.33542630000000001</v>
      </c>
      <c r="P5219">
        <v>0.87416859999999996</v>
      </c>
      <c r="Q5219">
        <v>-2.1272340000000001E-2</v>
      </c>
      <c r="R5219">
        <v>-0.48515619999999998</v>
      </c>
      <c r="S5219">
        <v>1.8838200000000001</v>
      </c>
      <c r="T5219">
        <v>6.9565650000000007E-2</v>
      </c>
      <c r="U5219">
        <v>-2.8146059999999999</v>
      </c>
      <c r="V5219">
        <v>0.16371429999999901</v>
      </c>
      <c r="W5219">
        <v>-5.9531030000000004E-3</v>
      </c>
      <c r="X5219">
        <v>0.98648979999999997</v>
      </c>
      <c r="Y5219">
        <v>0.59622810000000004</v>
      </c>
      <c r="Z5219">
        <v>-4.9134059999999895E-4</v>
      </c>
      <c r="AA5219">
        <v>0.80281499999999995</v>
      </c>
      <c r="AB5219">
        <v>18</v>
      </c>
      <c r="AC5219">
        <v>31.960100000000001</v>
      </c>
      <c r="AD5219">
        <v>1.184858</v>
      </c>
      <c r="AE5219">
        <v>-47.87724</v>
      </c>
      <c r="AF5219">
        <v>34.366175061720298</v>
      </c>
      <c r="AG5219">
        <v>1.184858</v>
      </c>
      <c r="AH5219">
        <v>46.150169230687297</v>
      </c>
      <c r="AI5219">
        <v>88.820341333836694</v>
      </c>
      <c r="AJ5219">
        <v>53.326426794940403</v>
      </c>
      <c r="AK5219">
        <v>57.5523761184023</v>
      </c>
    </row>
    <row r="5220" spans="1:37" x14ac:dyDescent="0.2">
      <c r="A5220" t="str">
        <f>"20200111160003087"</f>
        <v>20200111160003087</v>
      </c>
      <c r="B5220" t="str">
        <f>"1578729603075447"</f>
        <v>1578729603075447</v>
      </c>
      <c r="C5220" t="s">
        <v>37</v>
      </c>
      <c r="D5220">
        <v>5.4445709999999998</v>
      </c>
      <c r="E5220">
        <v>0.69498070000000001</v>
      </c>
      <c r="F5220" t="s">
        <v>85</v>
      </c>
      <c r="G5220">
        <v>-282.83629999999999</v>
      </c>
      <c r="H5220">
        <v>1.788375</v>
      </c>
      <c r="I5220">
        <v>-28.491489999999999</v>
      </c>
      <c r="J5220">
        <v>-308.83139999999997</v>
      </c>
      <c r="K5220">
        <v>1.049329</v>
      </c>
      <c r="L5220">
        <v>15.594389999999899</v>
      </c>
      <c r="M5220">
        <v>0.74367430000000001</v>
      </c>
      <c r="N5220">
        <v>0</v>
      </c>
      <c r="O5220">
        <v>-0.66837089999999999</v>
      </c>
      <c r="P5220">
        <v>0.61627469999999995</v>
      </c>
      <c r="Q5220">
        <v>7.64161599999999E-3</v>
      </c>
      <c r="R5220">
        <v>-0.78749440000000004</v>
      </c>
      <c r="S5220">
        <v>1.8652340000000001</v>
      </c>
      <c r="T5220">
        <v>4.343665E-2</v>
      </c>
      <c r="U5220">
        <v>-2.824554</v>
      </c>
      <c r="V5220">
        <v>0.17403729999999901</v>
      </c>
      <c r="W5220">
        <v>2.028404E-2</v>
      </c>
      <c r="X5220">
        <v>0.98453020000000002</v>
      </c>
      <c r="Y5220">
        <v>0.25231500000000001</v>
      </c>
      <c r="Z5220">
        <v>-7.3536130000000002E-3</v>
      </c>
      <c r="AA5220">
        <v>0.96761719999999896</v>
      </c>
      <c r="AB5220">
        <v>17</v>
      </c>
      <c r="AC5220">
        <v>25.995099999999901</v>
      </c>
      <c r="AD5220">
        <v>0.73904599999999898</v>
      </c>
      <c r="AE5220">
        <v>-44.085880000000003</v>
      </c>
      <c r="AF5220">
        <v>15.4097181928569</v>
      </c>
      <c r="AG5220">
        <v>0.73904599999999898</v>
      </c>
      <c r="AH5220">
        <v>48.793017822291397</v>
      </c>
      <c r="AI5220">
        <v>89.172513334668395</v>
      </c>
      <c r="AJ5220">
        <v>72.472940190278294</v>
      </c>
      <c r="AK5220">
        <v>51.1738623906759</v>
      </c>
    </row>
    <row r="5221" spans="1:37" x14ac:dyDescent="0.2">
      <c r="A5221" t="str">
        <f>"20200111160003120"</f>
        <v>20200111160003120</v>
      </c>
      <c r="B5221" t="str">
        <f>"1578729603115463"</f>
        <v>1578729603115463</v>
      </c>
      <c r="C5221" t="s">
        <v>37</v>
      </c>
      <c r="D5221">
        <v>5.4344869999999998</v>
      </c>
      <c r="E5221">
        <v>0.63050629999999996</v>
      </c>
      <c r="F5221" t="s">
        <v>86</v>
      </c>
      <c r="G5221">
        <v>-288.8766</v>
      </c>
      <c r="H5221">
        <v>6.6453959999999999</v>
      </c>
      <c r="I5221">
        <v>-91.564989999999995</v>
      </c>
      <c r="J5221">
        <v>-308.654</v>
      </c>
      <c r="K5221">
        <v>1.0493059999999901</v>
      </c>
      <c r="L5221">
        <v>15.405849999999999</v>
      </c>
      <c r="M5221">
        <v>0.73200469999999995</v>
      </c>
      <c r="N5221">
        <v>0</v>
      </c>
      <c r="O5221">
        <v>-0.68113089999999998</v>
      </c>
      <c r="P5221">
        <v>0.60009899999999905</v>
      </c>
      <c r="Q5221">
        <v>1.0251339999999999E-2</v>
      </c>
      <c r="R5221">
        <v>-0.79986000000000002</v>
      </c>
      <c r="S5221">
        <v>0.61889649999999996</v>
      </c>
      <c r="T5221">
        <v>0.17356240000000001</v>
      </c>
      <c r="U5221">
        <v>-3.323547</v>
      </c>
      <c r="V5221">
        <v>0.1770901</v>
      </c>
      <c r="W5221">
        <v>2.2850260000000001E-2</v>
      </c>
      <c r="X5221">
        <v>0.98392930000000001</v>
      </c>
      <c r="Y5221">
        <v>0.59495319999999996</v>
      </c>
      <c r="Z5221">
        <v>-2.2553759999999999E-2</v>
      </c>
      <c r="AA5221">
        <v>0.80344380000000004</v>
      </c>
      <c r="AB5221">
        <v>17</v>
      </c>
      <c r="AC5221">
        <v>19.7774</v>
      </c>
      <c r="AD5221">
        <v>5.5960900000000002</v>
      </c>
      <c r="AE5221">
        <v>-106.97084</v>
      </c>
      <c r="AF5221">
        <v>64.668477355395495</v>
      </c>
      <c r="AG5221">
        <v>5.5960900000000002</v>
      </c>
      <c r="AH5221">
        <v>87.117790917266902</v>
      </c>
      <c r="AI5221">
        <v>87.047388251407597</v>
      </c>
      <c r="AJ5221">
        <v>53.413102013354603</v>
      </c>
      <c r="AK5221">
        <v>108.640865612613</v>
      </c>
    </row>
    <row r="5222" spans="1:37" x14ac:dyDescent="0.2">
      <c r="A5222" t="str">
        <f>"20200111160003142"</f>
        <v>20200111160003142</v>
      </c>
      <c r="B5222" t="str">
        <f>"1578729603135959"</f>
        <v>1578729603135959</v>
      </c>
      <c r="C5222" t="s">
        <v>37</v>
      </c>
      <c r="D5222">
        <v>5.4641929999999999</v>
      </c>
      <c r="E5222">
        <v>0.62904759999999904</v>
      </c>
      <c r="F5222" t="s">
        <v>39</v>
      </c>
      <c r="G5222">
        <v>-301.15219999999999</v>
      </c>
      <c r="H5222" s="1">
        <v>-1.0450519999999999E-6</v>
      </c>
      <c r="I5222">
        <v>-7.900417</v>
      </c>
      <c r="J5222">
        <v>-308.53609999999998</v>
      </c>
      <c r="K5222">
        <v>1.049323</v>
      </c>
      <c r="L5222">
        <v>15.276729999999899</v>
      </c>
      <c r="M5222">
        <v>0.72391949999999905</v>
      </c>
      <c r="N5222">
        <v>0</v>
      </c>
      <c r="O5222">
        <v>-0.68971769999999999</v>
      </c>
      <c r="P5222">
        <v>0.58881709999999998</v>
      </c>
      <c r="Q5222">
        <v>1.3337720000000001E-2</v>
      </c>
      <c r="R5222">
        <v>-0.80815630000000005</v>
      </c>
      <c r="S5222">
        <v>0.97286989999999995</v>
      </c>
      <c r="T5222">
        <v>-0.136078799999999</v>
      </c>
      <c r="U5222">
        <v>-3.0224609999999998</v>
      </c>
      <c r="V5222">
        <v>0.1792985</v>
      </c>
      <c r="W5222">
        <v>2.5911119999999999E-2</v>
      </c>
      <c r="X5222">
        <v>0.98345349999999998</v>
      </c>
      <c r="Y5222">
        <v>0.4778771</v>
      </c>
      <c r="Z5222">
        <v>2.1653820000000001E-2</v>
      </c>
      <c r="AA5222">
        <v>0.87815980000000005</v>
      </c>
      <c r="AB5222">
        <v>17</v>
      </c>
      <c r="AC5222">
        <v>7.3838999999999801</v>
      </c>
      <c r="AD5222">
        <v>-1.0493240450520001</v>
      </c>
      <c r="AE5222">
        <v>-23.177147000000001</v>
      </c>
      <c r="AF5222">
        <v>11.6652190587644</v>
      </c>
      <c r="AG5222">
        <v>-1.0493240450520001</v>
      </c>
      <c r="AH5222">
        <v>21.293866637328001</v>
      </c>
      <c r="AI5222">
        <v>92.474673654842306</v>
      </c>
      <c r="AJ5222">
        <v>61.285163741143897</v>
      </c>
      <c r="AK5222">
        <v>24.302410847666799</v>
      </c>
    </row>
    <row r="5223" spans="1:37" x14ac:dyDescent="0.2">
      <c r="A5223" t="str">
        <f>"20200111160003164"</f>
        <v>20200111160003164</v>
      </c>
      <c r="B5223" t="str">
        <f>"1578729603155479"</f>
        <v>1578729603155479</v>
      </c>
      <c r="C5223" t="s">
        <v>37</v>
      </c>
      <c r="D5223">
        <v>5.3975400000000002</v>
      </c>
      <c r="E5223">
        <v>0.6279922</v>
      </c>
      <c r="F5223" t="s">
        <v>39</v>
      </c>
      <c r="G5223">
        <v>-301.0625</v>
      </c>
      <c r="H5223" s="1">
        <v>-5.9750319999999996E-7</v>
      </c>
      <c r="I5223">
        <v>-8.7967189999999995</v>
      </c>
      <c r="J5223">
        <v>-308.42430000000002</v>
      </c>
      <c r="K5223">
        <v>1.0493729999999999</v>
      </c>
      <c r="L5223">
        <v>15.1512799999999</v>
      </c>
      <c r="M5223">
        <v>0.71600169999999996</v>
      </c>
      <c r="N5223">
        <v>0</v>
      </c>
      <c r="O5223">
        <v>-0.69793369999999999</v>
      </c>
      <c r="P5223">
        <v>0.57841819999999999</v>
      </c>
      <c r="Q5223">
        <v>2.0702499999999999E-2</v>
      </c>
      <c r="R5223">
        <v>-0.81547789999999998</v>
      </c>
      <c r="S5223">
        <v>0.94039919999999999</v>
      </c>
      <c r="T5223">
        <v>-0.1320356</v>
      </c>
      <c r="U5223">
        <v>-3.0291440000000001</v>
      </c>
      <c r="V5223">
        <v>0.18065799999999901</v>
      </c>
      <c r="W5223">
        <v>3.326548E-2</v>
      </c>
      <c r="X5223">
        <v>0.9829833</v>
      </c>
      <c r="Y5223">
        <v>0.47697849999999897</v>
      </c>
      <c r="Z5223">
        <v>2.1475609999999999E-2</v>
      </c>
      <c r="AA5223">
        <v>0.87865260000000001</v>
      </c>
      <c r="AB5223">
        <v>17</v>
      </c>
      <c r="AC5223">
        <v>7.3618000000000103</v>
      </c>
      <c r="AD5223">
        <v>-1.0493735975031999</v>
      </c>
      <c r="AE5223">
        <v>-23.947998999999999</v>
      </c>
      <c r="AF5223">
        <v>11.9891090167147</v>
      </c>
      <c r="AG5223">
        <v>-1.0493735975031999</v>
      </c>
      <c r="AH5223">
        <v>21.9492011783239</v>
      </c>
      <c r="AI5223">
        <v>92.402604617768304</v>
      </c>
      <c r="AJ5223">
        <v>61.355717480223802</v>
      </c>
      <c r="AK5223">
        <v>25.032126404449599</v>
      </c>
    </row>
    <row r="5224" spans="1:37" x14ac:dyDescent="0.2">
      <c r="A5224" t="str">
        <f>"20200111160003186"</f>
        <v>20200111160003186</v>
      </c>
      <c r="B5224" t="str">
        <f>"1578729603175975"</f>
        <v>1578729603175975</v>
      </c>
      <c r="C5224" t="s">
        <v>37</v>
      </c>
      <c r="D5224">
        <v>5.4305320000000004</v>
      </c>
      <c r="E5224">
        <v>0.62613019999999997</v>
      </c>
      <c r="F5224" t="s">
        <v>39</v>
      </c>
      <c r="G5224">
        <v>-300.04340000000002</v>
      </c>
      <c r="H5224" s="1">
        <v>-3.2608440000000001E-6</v>
      </c>
      <c r="I5224">
        <v>-12.83667</v>
      </c>
      <c r="J5224">
        <v>-308.31360000000001</v>
      </c>
      <c r="K5224">
        <v>1.049461</v>
      </c>
      <c r="L5224">
        <v>15.024050000000001</v>
      </c>
      <c r="M5224">
        <v>0.70792109999999997</v>
      </c>
      <c r="N5224">
        <v>0</v>
      </c>
      <c r="O5224">
        <v>-0.70612830000000004</v>
      </c>
      <c r="P5224">
        <v>0.5687605</v>
      </c>
      <c r="Q5224">
        <v>3.4199680000000003E-2</v>
      </c>
      <c r="R5224">
        <v>-0.82179210000000003</v>
      </c>
      <c r="S5224">
        <v>0.90933229999999998</v>
      </c>
      <c r="T5224">
        <v>-0.1138581</v>
      </c>
      <c r="U5224">
        <v>-3.0367130000000002</v>
      </c>
      <c r="V5224">
        <v>0.1807927</v>
      </c>
      <c r="W5224">
        <v>4.6769079999999998E-2</v>
      </c>
      <c r="X5224">
        <v>0.98240859999999997</v>
      </c>
      <c r="Y5224">
        <v>0.47569899999999998</v>
      </c>
      <c r="Z5224">
        <v>1.8920309999999999E-2</v>
      </c>
      <c r="AA5224">
        <v>0.87940459999999998</v>
      </c>
      <c r="AB5224">
        <v>17</v>
      </c>
      <c r="AC5224">
        <v>8.2701999999999796</v>
      </c>
      <c r="AD5224">
        <v>-1.0494642608439999</v>
      </c>
      <c r="AE5224">
        <v>-27.860720000000001</v>
      </c>
      <c r="AF5224">
        <v>13.866887539295901</v>
      </c>
      <c r="AG5224">
        <v>-1.0494642608439999</v>
      </c>
      <c r="AH5224">
        <v>25.4975863082553</v>
      </c>
      <c r="AI5224">
        <v>92.0707966006796</v>
      </c>
      <c r="AJ5224">
        <v>61.460397724307398</v>
      </c>
      <c r="AK5224">
        <v>29.0433960274827</v>
      </c>
    </row>
    <row r="5225" spans="1:37" x14ac:dyDescent="0.2">
      <c r="A5225" t="str">
        <f>"20200111160003210"</f>
        <v>20200111160003210</v>
      </c>
      <c r="B5225" t="str">
        <f>"1578729603206231"</f>
        <v>1578729603206231</v>
      </c>
      <c r="C5225" t="s">
        <v>37</v>
      </c>
      <c r="D5225">
        <v>5.3893180000000003</v>
      </c>
      <c r="E5225">
        <v>0.62442229999999999</v>
      </c>
      <c r="F5225" t="s">
        <v>39</v>
      </c>
      <c r="G5225">
        <v>-296.2595</v>
      </c>
      <c r="H5225" s="1">
        <v>-2.43185499999999E-6</v>
      </c>
      <c r="I5225">
        <v>-26.245149999999999</v>
      </c>
      <c r="J5225">
        <v>-308.2022</v>
      </c>
      <c r="K5225">
        <v>1.0495410000000001</v>
      </c>
      <c r="L5225">
        <v>14.892729999999901</v>
      </c>
      <c r="M5225">
        <v>0.69953129999999997</v>
      </c>
      <c r="N5225">
        <v>0</v>
      </c>
      <c r="O5225">
        <v>-0.71444059999999998</v>
      </c>
      <c r="P5225">
        <v>0.56001639999999997</v>
      </c>
      <c r="Q5225">
        <v>4.8187790000000001E-2</v>
      </c>
      <c r="R5225">
        <v>-0.82707900000000001</v>
      </c>
      <c r="S5225">
        <v>0.88775630000000005</v>
      </c>
      <c r="T5225">
        <v>-7.7290239999999996E-2</v>
      </c>
      <c r="U5225">
        <v>-3.0393680000000001</v>
      </c>
      <c r="V5225">
        <v>0.17929489999999901</v>
      </c>
      <c r="W5225">
        <v>6.0785310000000002E-2</v>
      </c>
      <c r="X5225">
        <v>0.98191569999999995</v>
      </c>
      <c r="Y5225">
        <v>0.4712383</v>
      </c>
      <c r="Z5225">
        <v>1.316226E-2</v>
      </c>
      <c r="AA5225">
        <v>0.88190780000000002</v>
      </c>
      <c r="AB5225">
        <v>17</v>
      </c>
      <c r="AC5225">
        <v>11.9427</v>
      </c>
      <c r="AD5225">
        <v>-1.0495434318550001</v>
      </c>
      <c r="AE5225">
        <v>-41.137879999999903</v>
      </c>
      <c r="AF5225">
        <v>20.235072130553899</v>
      </c>
      <c r="AG5225">
        <v>-1.0495434318550001</v>
      </c>
      <c r="AH5225">
        <v>37.726569012281203</v>
      </c>
      <c r="AI5225">
        <v>91.404378566696295</v>
      </c>
      <c r="AJ5225">
        <v>61.7926124521546</v>
      </c>
      <c r="AK5225">
        <v>42.823518012681802</v>
      </c>
    </row>
    <row r="5226" spans="1:37" x14ac:dyDescent="0.2">
      <c r="A5226" t="str">
        <f>"20200111160003232"</f>
        <v>20200111160003232</v>
      </c>
      <c r="B5226" t="str">
        <f>"1578729603225751"</f>
        <v>1578729603225751</v>
      </c>
      <c r="C5226" t="s">
        <v>37</v>
      </c>
      <c r="D5226">
        <v>5.4847849999999996</v>
      </c>
      <c r="E5226">
        <v>0.62434209999999901</v>
      </c>
      <c r="F5226" t="s">
        <v>75</v>
      </c>
      <c r="G5226">
        <v>-283.90230000000003</v>
      </c>
      <c r="H5226" s="1">
        <v>-4.7952880000000002E-6</v>
      </c>
      <c r="I5226">
        <v>-70.194090000000003</v>
      </c>
      <c r="J5226">
        <v>-308.09199999999998</v>
      </c>
      <c r="K5226">
        <v>1.0495859999999999</v>
      </c>
      <c r="L5226">
        <v>14.75952</v>
      </c>
      <c r="M5226">
        <v>0.69098990000000005</v>
      </c>
      <c r="N5226">
        <v>0</v>
      </c>
      <c r="O5226">
        <v>-0.72270480000000004</v>
      </c>
      <c r="P5226">
        <v>0.55206509999999998</v>
      </c>
      <c r="Q5226">
        <v>5.3024399999999999E-2</v>
      </c>
      <c r="R5226">
        <v>-0.83211360000000001</v>
      </c>
      <c r="S5226">
        <v>0.86856080000000002</v>
      </c>
      <c r="T5226">
        <v>-3.7514329999999999E-2</v>
      </c>
      <c r="U5226">
        <v>-3.04129</v>
      </c>
      <c r="V5226">
        <v>0.17688619999999999</v>
      </c>
      <c r="W5226">
        <v>6.5668790000000005E-2</v>
      </c>
      <c r="X5226">
        <v>0.98203809999999903</v>
      </c>
      <c r="Y5226">
        <v>0.46602139999999997</v>
      </c>
      <c r="Z5226">
        <v>6.5458130000000002E-3</v>
      </c>
      <c r="AA5226">
        <v>0.88474929999999996</v>
      </c>
      <c r="AB5226">
        <v>17</v>
      </c>
      <c r="AC5226">
        <v>24.189699999999899</v>
      </c>
      <c r="AD5226">
        <v>-1.0495907952879999</v>
      </c>
      <c r="AE5226">
        <v>-84.953609999999998</v>
      </c>
      <c r="AF5226">
        <v>41.219010434109499</v>
      </c>
      <c r="AG5226">
        <v>-1.0495907952879999</v>
      </c>
      <c r="AH5226">
        <v>78.109204334898493</v>
      </c>
      <c r="AI5226">
        <v>90.680884392392699</v>
      </c>
      <c r="AJ5226">
        <v>62.178939763416501</v>
      </c>
      <c r="AK5226">
        <v>88.324154475634302</v>
      </c>
    </row>
    <row r="5227" spans="1:37" x14ac:dyDescent="0.2">
      <c r="A5227" t="str">
        <f>"20200111160003566"</f>
        <v>20200111160003566</v>
      </c>
      <c r="B5227" t="str">
        <f>"1578729603555892"</f>
        <v>1578729603555892</v>
      </c>
      <c r="C5227" t="s">
        <v>37</v>
      </c>
      <c r="D5227">
        <v>5.3726219999999998</v>
      </c>
      <c r="E5227">
        <v>0.64768740000000002</v>
      </c>
      <c r="F5227" t="s">
        <v>41</v>
      </c>
      <c r="G5227">
        <v>-278.69619999999998</v>
      </c>
      <c r="H5227">
        <v>-0.05</v>
      </c>
      <c r="I5227">
        <v>-91.797449999999998</v>
      </c>
      <c r="J5227">
        <v>-306.69189999999998</v>
      </c>
      <c r="K5227">
        <v>1.049847</v>
      </c>
      <c r="L5227">
        <v>12.707520000000001</v>
      </c>
      <c r="M5227">
        <v>0.55663490000000004</v>
      </c>
      <c r="N5227">
        <v>0</v>
      </c>
      <c r="O5227">
        <v>-0.83062049999999998</v>
      </c>
      <c r="P5227">
        <v>0.38611649999999997</v>
      </c>
      <c r="Q5227">
        <v>2.5701970000000001E-2</v>
      </c>
      <c r="R5227">
        <v>-0.92209209999999997</v>
      </c>
      <c r="S5227">
        <v>0.84118649999999995</v>
      </c>
      <c r="T5227">
        <v>-3.1465649999999998E-2</v>
      </c>
      <c r="U5227">
        <v>-3.0492249999999999</v>
      </c>
      <c r="V5227">
        <v>0.19304270000000001</v>
      </c>
      <c r="W5227">
        <v>3.8194730000000003E-2</v>
      </c>
      <c r="X5227">
        <v>0.98044669999999901</v>
      </c>
      <c r="Y5227">
        <v>0.31574350000000001</v>
      </c>
      <c r="Z5227">
        <v>7.3661219999999897E-3</v>
      </c>
      <c r="AA5227">
        <v>0.94881599999999999</v>
      </c>
      <c r="AB5227">
        <v>16</v>
      </c>
      <c r="AC5227">
        <v>27.995699999999999</v>
      </c>
      <c r="AD5227">
        <v>-1.099847</v>
      </c>
      <c r="AE5227">
        <v>-104.50497</v>
      </c>
      <c r="AF5227">
        <v>34.917669423895397</v>
      </c>
      <c r="AG5227">
        <v>-1.099847</v>
      </c>
      <c r="AH5227">
        <v>102.38840453554999</v>
      </c>
      <c r="AI5227">
        <v>90.582503078307099</v>
      </c>
      <c r="AJ5227">
        <v>71.169007810774204</v>
      </c>
      <c r="AK5227">
        <v>108.18428113527099</v>
      </c>
    </row>
    <row r="5228" spans="1:37" x14ac:dyDescent="0.2">
      <c r="A5228" t="str">
        <f>"20200111160003589"</f>
        <v>20200111160003589</v>
      </c>
      <c r="B5228" t="str">
        <f>"1578729603586147"</f>
        <v>1578729603586147</v>
      </c>
      <c r="C5228" t="s">
        <v>37</v>
      </c>
      <c r="D5228">
        <v>5.27041</v>
      </c>
      <c r="E5228">
        <v>0.64782459999999997</v>
      </c>
      <c r="F5228" t="s">
        <v>39</v>
      </c>
      <c r="G5228">
        <v>-306.16840000000002</v>
      </c>
      <c r="H5228" s="1">
        <v>-2.425847E-6</v>
      </c>
      <c r="I5228">
        <v>-7.8029000000000002</v>
      </c>
      <c r="J5228">
        <v>-306.61169999999998</v>
      </c>
      <c r="K5228">
        <v>1.049885</v>
      </c>
      <c r="L5228">
        <v>12.56268</v>
      </c>
      <c r="M5228">
        <v>0.5470313</v>
      </c>
      <c r="N5228">
        <v>0</v>
      </c>
      <c r="O5228">
        <v>-0.83697649999999901</v>
      </c>
      <c r="P5228">
        <v>0.37636799999999998</v>
      </c>
      <c r="Q5228">
        <v>2.7464220000000001E-2</v>
      </c>
      <c r="R5228">
        <v>-0.92606319999999998</v>
      </c>
      <c r="S5228">
        <v>8.2275390000000004E-2</v>
      </c>
      <c r="T5228">
        <v>-0.16500529999999999</v>
      </c>
      <c r="U5228">
        <v>-3.223633</v>
      </c>
      <c r="V5228">
        <v>0.1920829</v>
      </c>
      <c r="W5228">
        <v>3.9971970000000002E-2</v>
      </c>
      <c r="X5228">
        <v>0.9805644</v>
      </c>
      <c r="Y5228">
        <v>0.52551800000000004</v>
      </c>
      <c r="Z5228">
        <v>3.4842980000000003E-2</v>
      </c>
      <c r="AA5228">
        <v>0.85006870000000001</v>
      </c>
      <c r="AB5228">
        <v>16</v>
      </c>
      <c r="AC5228">
        <v>0.443299999999965</v>
      </c>
      <c r="AD5228">
        <v>-1.0498874258469999</v>
      </c>
      <c r="AE5228">
        <v>-20.365580000000001</v>
      </c>
      <c r="AF5228">
        <v>10.7422658128589</v>
      </c>
      <c r="AG5228">
        <v>-1.0498874258469999</v>
      </c>
      <c r="AH5228">
        <v>17.244167553747499</v>
      </c>
      <c r="AI5228">
        <v>92.958228298036502</v>
      </c>
      <c r="AJ5228">
        <v>58.079129762669702</v>
      </c>
      <c r="AK5228">
        <v>20.3435457337896</v>
      </c>
    </row>
    <row r="5229" spans="1:37" x14ac:dyDescent="0.2">
      <c r="A5229" t="str">
        <f>"20200111160003635"</f>
        <v>20200111160003635</v>
      </c>
      <c r="B5229" t="str">
        <f>"1578729603625863"</f>
        <v>1578729603625863</v>
      </c>
      <c r="C5229" t="s">
        <v>37</v>
      </c>
      <c r="D5229">
        <v>5.2625799999999998</v>
      </c>
      <c r="E5229">
        <v>0.64589940000000001</v>
      </c>
      <c r="F5229" t="s">
        <v>39</v>
      </c>
      <c r="G5229">
        <v>-306.2869</v>
      </c>
      <c r="H5229" s="1">
        <v>-1.578507E-6</v>
      </c>
      <c r="I5229">
        <v>-9.6621369999999995</v>
      </c>
      <c r="J5229">
        <v>-306.45519999999999</v>
      </c>
      <c r="K5229">
        <v>1.04996</v>
      </c>
      <c r="L5229">
        <v>12.26843</v>
      </c>
      <c r="M5229">
        <v>0.52748099999999998</v>
      </c>
      <c r="N5229">
        <v>0</v>
      </c>
      <c r="O5229">
        <v>-0.84943380000000002</v>
      </c>
      <c r="P5229">
        <v>0.35837209999999903</v>
      </c>
      <c r="Q5229">
        <v>3.0905200000000001E-2</v>
      </c>
      <c r="R5229">
        <v>-0.93306739999999999</v>
      </c>
      <c r="S5229">
        <v>4.7119139999999997E-2</v>
      </c>
      <c r="T5229">
        <v>-0.15234149999999999</v>
      </c>
      <c r="U5229">
        <v>-3.2248839999999999</v>
      </c>
      <c r="V5229">
        <v>0.18830520000000001</v>
      </c>
      <c r="W5229">
        <v>4.3469389999999997E-2</v>
      </c>
      <c r="X5229">
        <v>0.98114809999999997</v>
      </c>
      <c r="Y5229">
        <v>0.51503690000000002</v>
      </c>
      <c r="Z5229">
        <v>3.3183190000000001E-2</v>
      </c>
      <c r="AA5229">
        <v>0.85652539999999999</v>
      </c>
      <c r="AB5229">
        <v>16</v>
      </c>
      <c r="AC5229">
        <v>0.16829999999998699</v>
      </c>
      <c r="AD5229">
        <v>-1.049961578507</v>
      </c>
      <c r="AE5229">
        <v>-21.930567</v>
      </c>
      <c r="AF5229">
        <v>11.400159446287001</v>
      </c>
      <c r="AG5229">
        <v>-1.049961578507</v>
      </c>
      <c r="AH5229">
        <v>18.676647907320401</v>
      </c>
      <c r="AI5229">
        <v>92.747227808520194</v>
      </c>
      <c r="AJ5229">
        <v>58.600257309904102</v>
      </c>
      <c r="AK5229">
        <v>21.906237280079001</v>
      </c>
    </row>
    <row r="5230" spans="1:37" x14ac:dyDescent="0.2">
      <c r="A5230" t="str">
        <f>"20200111160003657"</f>
        <v>20200111160003657</v>
      </c>
      <c r="B5230" t="str">
        <f>"1578729603646359"</f>
        <v>1578729603646359</v>
      </c>
      <c r="C5230" t="s">
        <v>37</v>
      </c>
      <c r="D5230">
        <v>5.2464219999999999</v>
      </c>
      <c r="E5230">
        <v>0.64496699999999996</v>
      </c>
      <c r="F5230" t="s">
        <v>39</v>
      </c>
      <c r="G5230">
        <v>-306.4624</v>
      </c>
      <c r="H5230" s="1">
        <v>-5.1492089999999901E-6</v>
      </c>
      <c r="I5230">
        <v>-11.25051</v>
      </c>
      <c r="J5230">
        <v>-306.38240000000002</v>
      </c>
      <c r="K5230">
        <v>1.0499889999999901</v>
      </c>
      <c r="L5230">
        <v>12.12561</v>
      </c>
      <c r="M5230">
        <v>0.51796999999999904</v>
      </c>
      <c r="N5230">
        <v>0</v>
      </c>
      <c r="O5230">
        <v>-0.85526689999999905</v>
      </c>
      <c r="P5230">
        <v>0.34998449999999998</v>
      </c>
      <c r="Q5230">
        <v>3.189467E-2</v>
      </c>
      <c r="R5230">
        <v>-0.93621270000000001</v>
      </c>
      <c r="S5230">
        <v>-9.765625E-4</v>
      </c>
      <c r="T5230">
        <v>-0.14376659999999999</v>
      </c>
      <c r="U5230">
        <v>-3.2203369999999998</v>
      </c>
      <c r="V5230">
        <v>0.18615190000000001</v>
      </c>
      <c r="W5230">
        <v>4.4490740000000001E-2</v>
      </c>
      <c r="X5230">
        <v>0.98151309999999903</v>
      </c>
      <c r="Y5230">
        <v>0.51824740000000002</v>
      </c>
      <c r="Z5230">
        <v>3.1697349999999999E-2</v>
      </c>
      <c r="AA5230">
        <v>0.85464319999999905</v>
      </c>
      <c r="AB5230">
        <v>16</v>
      </c>
      <c r="AC5230">
        <v>-7.9999999999984001E-2</v>
      </c>
      <c r="AD5230">
        <v>-1.0499941492089999</v>
      </c>
      <c r="AE5230">
        <v>-23.37612</v>
      </c>
      <c r="AF5230">
        <v>12.1534039572501</v>
      </c>
      <c r="AG5230">
        <v>-1.0499941492089999</v>
      </c>
      <c r="AH5230">
        <v>19.913458718633599</v>
      </c>
      <c r="AI5230">
        <v>92.577014574873303</v>
      </c>
      <c r="AJ5230">
        <v>58.603821877610798</v>
      </c>
      <c r="AK5230">
        <v>23.352806118327699</v>
      </c>
    </row>
    <row r="5231" spans="1:37" x14ac:dyDescent="0.2">
      <c r="A5231" t="str">
        <f>"20200111160003678"</f>
        <v>20200111160003678</v>
      </c>
      <c r="B5231" t="str">
        <f>"1578729603675639"</f>
        <v>1578729603675639</v>
      </c>
      <c r="C5231" t="s">
        <v>37</v>
      </c>
      <c r="D5231">
        <v>5.028073</v>
      </c>
      <c r="E5231">
        <v>0.69113169999999902</v>
      </c>
      <c r="F5231" t="s">
        <v>39</v>
      </c>
      <c r="G5231">
        <v>-306.55360000000002</v>
      </c>
      <c r="H5231" s="1">
        <v>-5.0118400000000003E-6</v>
      </c>
      <c r="I5231">
        <v>-11.70176</v>
      </c>
      <c r="J5231">
        <v>-306.31290000000001</v>
      </c>
      <c r="K5231">
        <v>1.050019</v>
      </c>
      <c r="L5231">
        <v>11.985659999999999</v>
      </c>
      <c r="M5231">
        <v>0.50864299999999996</v>
      </c>
      <c r="N5231">
        <v>0</v>
      </c>
      <c r="O5231">
        <v>-0.86084660000000002</v>
      </c>
      <c r="P5231">
        <v>0.34198030000000001</v>
      </c>
      <c r="Q5231">
        <v>3.3108989999999998E-2</v>
      </c>
      <c r="R5231">
        <v>-0.93912369999999901</v>
      </c>
      <c r="S5231">
        <v>-2.3132320000000001E-2</v>
      </c>
      <c r="T5231">
        <v>-0.14180209999999999</v>
      </c>
      <c r="U5231">
        <v>-3.2178960000000001</v>
      </c>
      <c r="V5231">
        <v>0.1838495</v>
      </c>
      <c r="W5231">
        <v>4.5738300000000003E-2</v>
      </c>
      <c r="X5231">
        <v>0.98188969999999898</v>
      </c>
      <c r="Y5231">
        <v>0.51483420000000002</v>
      </c>
      <c r="Z5231">
        <v>3.1696210000000002E-2</v>
      </c>
      <c r="AA5231">
        <v>0.85670369999999996</v>
      </c>
      <c r="AB5231">
        <v>16</v>
      </c>
      <c r="AC5231">
        <v>-0.24070000000000299</v>
      </c>
      <c r="AD5231">
        <v>-1.0500240118399999</v>
      </c>
      <c r="AE5231">
        <v>-23.687419999999999</v>
      </c>
      <c r="AF5231">
        <v>12.2329924057274</v>
      </c>
      <c r="AG5231">
        <v>-1.0500240118399999</v>
      </c>
      <c r="AH5231">
        <v>20.231339070432998</v>
      </c>
      <c r="AI5231">
        <v>92.543014503544299</v>
      </c>
      <c r="AJ5231">
        <v>58.840509444468502</v>
      </c>
      <c r="AK5231">
        <v>23.665496703151099</v>
      </c>
    </row>
    <row r="5232" spans="1:37" x14ac:dyDescent="0.2">
      <c r="A5232" t="str">
        <f>"20200111160003701"</f>
        <v>20200111160003701</v>
      </c>
      <c r="B5232" t="str">
        <f>"1578729603696135"</f>
        <v>1578729603696135</v>
      </c>
      <c r="C5232" t="s">
        <v>37</v>
      </c>
      <c r="D5232">
        <v>5.2748589999999904</v>
      </c>
      <c r="E5232">
        <v>0.56719819999999999</v>
      </c>
      <c r="F5232" t="s">
        <v>43</v>
      </c>
      <c r="G5232">
        <v>0</v>
      </c>
      <c r="H5232">
        <v>0</v>
      </c>
      <c r="I5232">
        <v>0</v>
      </c>
      <c r="J5232">
        <v>-306.24360000000001</v>
      </c>
      <c r="K5232">
        <v>1.0500399999999901</v>
      </c>
      <c r="L5232">
        <v>11.84198</v>
      </c>
      <c r="M5232">
        <v>0.49905579999999999</v>
      </c>
      <c r="N5232">
        <v>0</v>
      </c>
      <c r="O5232">
        <v>-0.86643989999999904</v>
      </c>
      <c r="P5232">
        <v>0.3343354</v>
      </c>
      <c r="Q5232">
        <v>3.3339309999999997E-2</v>
      </c>
      <c r="R5232">
        <v>-0.941864699999999</v>
      </c>
      <c r="S5232">
        <v>-0.4161377</v>
      </c>
      <c r="T5232">
        <v>0.29972149999999997</v>
      </c>
      <c r="U5232">
        <v>-3.3354489999999899</v>
      </c>
      <c r="V5232">
        <v>0.18092469999999999</v>
      </c>
      <c r="W5232">
        <v>4.6011240000000002E-2</v>
      </c>
      <c r="X5232">
        <v>0.98242009999999902</v>
      </c>
      <c r="Y5232">
        <v>0.60207129999999998</v>
      </c>
      <c r="Z5232">
        <v>-6.2139850000000003E-2</v>
      </c>
      <c r="AA5232">
        <v>0.79602059999999997</v>
      </c>
      <c r="AB5232">
        <v>16</v>
      </c>
      <c r="AC5232">
        <v>-0.4161377</v>
      </c>
      <c r="AD5232">
        <v>0.29972149999999997</v>
      </c>
      <c r="AE5232">
        <v>-3.3354489999999899</v>
      </c>
      <c r="AF5232">
        <v>2.0093850263040798</v>
      </c>
      <c r="AG5232">
        <v>0.29972149999999997</v>
      </c>
      <c r="AH5232">
        <v>2.6614313364946902</v>
      </c>
      <c r="AI5232">
        <v>84.864221134465893</v>
      </c>
      <c r="AJ5232">
        <v>52.947135575395897</v>
      </c>
      <c r="AK5232">
        <v>3.3482350455685199</v>
      </c>
    </row>
    <row r="5233" spans="1:37" x14ac:dyDescent="0.2">
      <c r="A5233" t="str">
        <f>"20200111160003723"</f>
        <v>20200111160003723</v>
      </c>
      <c r="B5233" t="str">
        <f>"1578729603715655"</f>
        <v>1578729603715655</v>
      </c>
      <c r="C5233" t="s">
        <v>37</v>
      </c>
      <c r="D5233">
        <v>5.129874</v>
      </c>
      <c r="E5233">
        <v>0.56110289999999996</v>
      </c>
      <c r="F5233" t="s">
        <v>39</v>
      </c>
      <c r="G5233">
        <v>-302.35410000000002</v>
      </c>
      <c r="H5233" s="1">
        <v>-4.436667E-6</v>
      </c>
      <c r="I5233">
        <v>-11.20295</v>
      </c>
      <c r="J5233">
        <v>-306.17320000000001</v>
      </c>
      <c r="K5233">
        <v>1.0500620000000001</v>
      </c>
      <c r="L5233">
        <v>11.69223</v>
      </c>
      <c r="M5233">
        <v>0.48905599999999999</v>
      </c>
      <c r="N5233">
        <v>0</v>
      </c>
      <c r="O5233">
        <v>-0.87212339999999999</v>
      </c>
      <c r="P5233">
        <v>0.32678770000000001</v>
      </c>
      <c r="Q5233">
        <v>3.192072E-2</v>
      </c>
      <c r="R5233">
        <v>-0.94455889999999998</v>
      </c>
      <c r="S5233">
        <v>0.50796509999999995</v>
      </c>
      <c r="T5233">
        <v>-0.1371375</v>
      </c>
      <c r="U5233">
        <v>-3.0097049999999999</v>
      </c>
      <c r="V5233">
        <v>0.17748649999999999</v>
      </c>
      <c r="W5233">
        <v>4.4643170000000003E-2</v>
      </c>
      <c r="X5233">
        <v>0.98311009999999999</v>
      </c>
      <c r="Y5233">
        <v>0.33723639999999999</v>
      </c>
      <c r="Z5233">
        <v>3.5338920000000003E-2</v>
      </c>
      <c r="AA5233">
        <v>0.9407565</v>
      </c>
      <c r="AB5233">
        <v>16</v>
      </c>
      <c r="AC5233">
        <v>3.8190999999999899</v>
      </c>
      <c r="AD5233">
        <v>-1.0500664366670001</v>
      </c>
      <c r="AE5233">
        <v>-22.89518</v>
      </c>
      <c r="AF5233">
        <v>7.8511159503430301</v>
      </c>
      <c r="AG5233">
        <v>-1.0500664366670001</v>
      </c>
      <c r="AH5233">
        <v>21.7930319778953</v>
      </c>
      <c r="AI5233">
        <v>92.595532435090107</v>
      </c>
      <c r="AJ5233">
        <v>70.188034125430804</v>
      </c>
      <c r="AK5233">
        <v>23.1879042601248</v>
      </c>
    </row>
    <row r="5234" spans="1:37" x14ac:dyDescent="0.2">
      <c r="A5234" t="str">
        <f>"20200111160003745"</f>
        <v>20200111160003745</v>
      </c>
      <c r="B5234" t="str">
        <f>"1578729603736152"</f>
        <v>1578729603736152</v>
      </c>
      <c r="C5234" t="s">
        <v>37</v>
      </c>
      <c r="D5234">
        <v>5.1297480000000002</v>
      </c>
      <c r="E5234">
        <v>0.55831450000000005</v>
      </c>
      <c r="F5234" t="s">
        <v>39</v>
      </c>
      <c r="G5234">
        <v>-302.37369999999999</v>
      </c>
      <c r="H5234" s="1">
        <v>-4.6813309999999901E-7</v>
      </c>
      <c r="I5234">
        <v>-9.8084419999999994</v>
      </c>
      <c r="J5234">
        <v>-306.10820000000001</v>
      </c>
      <c r="K5234">
        <v>1.050079</v>
      </c>
      <c r="L5234">
        <v>11.54922</v>
      </c>
      <c r="M5234">
        <v>0.47950189999999998</v>
      </c>
      <c r="N5234">
        <v>0</v>
      </c>
      <c r="O5234">
        <v>-0.87741279999999999</v>
      </c>
      <c r="P5234">
        <v>0.32053470000000001</v>
      </c>
      <c r="Q5234">
        <v>2.9777729999999999E-2</v>
      </c>
      <c r="R5234">
        <v>-0.94676890000000002</v>
      </c>
      <c r="S5234">
        <v>0.52975459999999996</v>
      </c>
      <c r="T5234">
        <v>-0.14640549999999999</v>
      </c>
      <c r="U5234">
        <v>-2.9977419999999899</v>
      </c>
      <c r="V5234">
        <v>0.17325209999999999</v>
      </c>
      <c r="W5234">
        <v>4.256281E-2</v>
      </c>
      <c r="X5234">
        <v>0.98395739999999998</v>
      </c>
      <c r="Y5234">
        <v>0.31966279999999903</v>
      </c>
      <c r="Z5234">
        <v>3.8376439999999998E-2</v>
      </c>
      <c r="AA5234">
        <v>0.94675390000000004</v>
      </c>
      <c r="AB5234">
        <v>16</v>
      </c>
      <c r="AC5234">
        <v>3.7345000000000201</v>
      </c>
      <c r="AD5234">
        <v>-1.0500794681331</v>
      </c>
      <c r="AE5234">
        <v>-21.357662000000001</v>
      </c>
      <c r="AF5234">
        <v>6.9488247052359897</v>
      </c>
      <c r="AG5234">
        <v>-1.0500794681331</v>
      </c>
      <c r="AH5234">
        <v>20.484444168887102</v>
      </c>
      <c r="AI5234">
        <v>92.779253159890402</v>
      </c>
      <c r="AJ5234">
        <v>71.261806437814897</v>
      </c>
      <c r="AK5234">
        <v>21.6564374859243</v>
      </c>
    </row>
    <row r="5235" spans="1:37" x14ac:dyDescent="0.2">
      <c r="A5235" t="str">
        <f>"20200111160003768"</f>
        <v>20200111160003768</v>
      </c>
      <c r="B5235" t="str">
        <f>"1578729603755672"</f>
        <v>1578729603755672</v>
      </c>
      <c r="C5235" t="s">
        <v>37</v>
      </c>
      <c r="D5235">
        <v>5.1188250000000002</v>
      </c>
      <c r="E5235">
        <v>0.55638299999999996</v>
      </c>
      <c r="F5235" t="s">
        <v>39</v>
      </c>
      <c r="G5235">
        <v>-302.68759999999997</v>
      </c>
      <c r="H5235" s="1">
        <v>-1.540648E-6</v>
      </c>
      <c r="I5235">
        <v>-7.7162360000000003</v>
      </c>
      <c r="J5235">
        <v>-306.0446</v>
      </c>
      <c r="K5235">
        <v>1.0501</v>
      </c>
      <c r="L5235">
        <v>11.40555</v>
      </c>
      <c r="M5235">
        <v>0.46991549999999999</v>
      </c>
      <c r="N5235">
        <v>0</v>
      </c>
      <c r="O5235">
        <v>-0.88258440000000005</v>
      </c>
      <c r="P5235">
        <v>0.31583290000000003</v>
      </c>
      <c r="Q5235">
        <v>2.6703569999999999E-2</v>
      </c>
      <c r="R5235">
        <v>-0.94843929999999999</v>
      </c>
      <c r="S5235">
        <v>0.53155520000000001</v>
      </c>
      <c r="T5235">
        <v>-0.16318150000000001</v>
      </c>
      <c r="U5235">
        <v>-2.9938349999999998</v>
      </c>
      <c r="V5235">
        <v>0.16741420000000001</v>
      </c>
      <c r="W5235">
        <v>3.9573650000000002E-2</v>
      </c>
      <c r="X5235">
        <v>0.98509210000000003</v>
      </c>
      <c r="Y5235">
        <v>0.30859199999999998</v>
      </c>
      <c r="Z5235">
        <v>4.3324500000000002E-2</v>
      </c>
      <c r="AA5235">
        <v>0.95020740000000004</v>
      </c>
      <c r="AB5235">
        <v>16</v>
      </c>
      <c r="AC5235">
        <v>3.3570000000000202</v>
      </c>
      <c r="AD5235">
        <v>-1.0501015406480001</v>
      </c>
      <c r="AE5235">
        <v>-19.121786</v>
      </c>
      <c r="AF5235">
        <v>6.0058919243760398</v>
      </c>
      <c r="AG5235">
        <v>-1.0501015406480001</v>
      </c>
      <c r="AH5235">
        <v>18.402326629404499</v>
      </c>
      <c r="AI5235">
        <v>93.105110987753903</v>
      </c>
      <c r="AJ5235">
        <v>71.925082979642099</v>
      </c>
      <c r="AK5235">
        <v>19.386053657932699</v>
      </c>
    </row>
    <row r="5236" spans="1:37" x14ac:dyDescent="0.2">
      <c r="A5236" t="str">
        <f>"20200111160003790"</f>
        <v>20200111160003790</v>
      </c>
      <c r="B5236" t="str">
        <f>"1578729603785927"</f>
        <v>1578729603785927</v>
      </c>
      <c r="C5236" t="s">
        <v>37</v>
      </c>
      <c r="D5236">
        <v>5.1619719999999996</v>
      </c>
      <c r="E5236">
        <v>0.55377569999999998</v>
      </c>
      <c r="F5236" t="s">
        <v>39</v>
      </c>
      <c r="G5236">
        <v>-302.83519999999999</v>
      </c>
      <c r="H5236" s="1">
        <v>-2.0854500000000001E-6</v>
      </c>
      <c r="I5236">
        <v>-6.6468369999999997</v>
      </c>
      <c r="J5236">
        <v>-305.98140000000001</v>
      </c>
      <c r="K5236">
        <v>1.0501199999999999</v>
      </c>
      <c r="L5236">
        <v>11.25803</v>
      </c>
      <c r="M5236">
        <v>0.46008130000000003</v>
      </c>
      <c r="N5236">
        <v>0</v>
      </c>
      <c r="O5236">
        <v>-0.88775059999999995</v>
      </c>
      <c r="P5236">
        <v>0.31229959999999901</v>
      </c>
      <c r="Q5236">
        <v>2.488756E-2</v>
      </c>
      <c r="R5236">
        <v>-0.94965769999999905</v>
      </c>
      <c r="S5236">
        <v>0.5317383</v>
      </c>
      <c r="T5236">
        <v>-0.17398189999999999</v>
      </c>
      <c r="U5236">
        <v>-2.990936</v>
      </c>
      <c r="V5236">
        <v>0.16012799999999999</v>
      </c>
      <c r="W5236">
        <v>3.7861659999999998E-2</v>
      </c>
      <c r="X5236">
        <v>0.98636979999999996</v>
      </c>
      <c r="Y5236">
        <v>0.29781809999999997</v>
      </c>
      <c r="Z5236">
        <v>4.6762930000000001E-2</v>
      </c>
      <c r="AA5236">
        <v>0.95347660000000001</v>
      </c>
      <c r="AB5236">
        <v>15</v>
      </c>
      <c r="AC5236">
        <v>3.1462000000000199</v>
      </c>
      <c r="AD5236">
        <v>-1.05012208545</v>
      </c>
      <c r="AE5236">
        <v>-17.904866999999999</v>
      </c>
      <c r="AF5236">
        <v>5.4271542919294298</v>
      </c>
      <c r="AG5236">
        <v>-1.05012208545</v>
      </c>
      <c r="AH5236">
        <v>17.2868247624132</v>
      </c>
      <c r="AI5236">
        <v>93.317028006809394</v>
      </c>
      <c r="AJ5236">
        <v>72.570452901256502</v>
      </c>
      <c r="AK5236">
        <v>18.149134152050902</v>
      </c>
    </row>
    <row r="5237" spans="1:37" x14ac:dyDescent="0.2">
      <c r="A5237" t="str">
        <f>"20200111160003814"</f>
        <v>20200111160003814</v>
      </c>
      <c r="B5237" t="str">
        <f>"1578729603806423"</f>
        <v>1578729603806423</v>
      </c>
      <c r="C5237" t="s">
        <v>37</v>
      </c>
      <c r="D5237">
        <v>5.1965969999999997</v>
      </c>
      <c r="E5237">
        <v>0.55192759999999996</v>
      </c>
      <c r="F5237" t="s">
        <v>39</v>
      </c>
      <c r="G5237">
        <v>-302.95479999999998</v>
      </c>
      <c r="H5237" s="1">
        <v>-2.6785759999999998E-6</v>
      </c>
      <c r="I5237">
        <v>-5.4593930000000004</v>
      </c>
      <c r="J5237">
        <v>-305.91809999999998</v>
      </c>
      <c r="K5237">
        <v>1.0501659999999999</v>
      </c>
      <c r="L5237">
        <v>11.106019999999999</v>
      </c>
      <c r="M5237">
        <v>0.44997330000000002</v>
      </c>
      <c r="N5237">
        <v>0</v>
      </c>
      <c r="O5237">
        <v>-0.89291719999999897</v>
      </c>
      <c r="P5237">
        <v>0.30900229999999901</v>
      </c>
      <c r="Q5237">
        <v>2.429999E-2</v>
      </c>
      <c r="R5237">
        <v>-0.95075119999999902</v>
      </c>
      <c r="S5237">
        <v>0.54061890000000001</v>
      </c>
      <c r="T5237">
        <v>-0.18757799999999999</v>
      </c>
      <c r="U5237">
        <v>-2.986145</v>
      </c>
      <c r="V5237">
        <v>0.15234</v>
      </c>
      <c r="W5237">
        <v>3.738325E-2</v>
      </c>
      <c r="X5237">
        <v>0.98762090000000002</v>
      </c>
      <c r="Y5237">
        <v>0.28397830000000002</v>
      </c>
      <c r="Z5237">
        <v>5.1075879999999997E-2</v>
      </c>
      <c r="AA5237">
        <v>0.95746939999999903</v>
      </c>
      <c r="AB5237">
        <v>15</v>
      </c>
      <c r="AC5237">
        <v>2.9632999999999998</v>
      </c>
      <c r="AD5237">
        <v>-1.0501686785759901</v>
      </c>
      <c r="AE5237">
        <v>-16.565412999999999</v>
      </c>
      <c r="AF5237">
        <v>4.7898944819600899</v>
      </c>
      <c r="AG5237">
        <v>-1.0501686785759901</v>
      </c>
      <c r="AH5237">
        <v>16.0641861041398</v>
      </c>
      <c r="AI5237">
        <v>93.584762887726001</v>
      </c>
      <c r="AJ5237">
        <v>73.396879700074095</v>
      </c>
      <c r="AK5237">
        <v>16.7959524466525</v>
      </c>
    </row>
    <row r="5238" spans="1:37" x14ac:dyDescent="0.2">
      <c r="A5238" t="str">
        <f>"20200111160003834"</f>
        <v>20200111160003834</v>
      </c>
      <c r="B5238" t="str">
        <f>"1578729603825944"</f>
        <v>1578729603825944</v>
      </c>
      <c r="C5238" t="s">
        <v>37</v>
      </c>
      <c r="D5238">
        <v>5.16012</v>
      </c>
      <c r="E5238">
        <v>0.55189290000000002</v>
      </c>
      <c r="F5238" t="s">
        <v>39</v>
      </c>
      <c r="G5238">
        <v>-302.95569999999998</v>
      </c>
      <c r="H5238" s="1">
        <v>-2.83984199999999E-6</v>
      </c>
      <c r="I5238">
        <v>-5.1187420000000001</v>
      </c>
      <c r="J5238">
        <v>-305.86079999999998</v>
      </c>
      <c r="K5238">
        <v>1.0502309999999999</v>
      </c>
      <c r="L5238">
        <v>10.9642</v>
      </c>
      <c r="M5238">
        <v>0.44058979999999998</v>
      </c>
      <c r="N5238">
        <v>0</v>
      </c>
      <c r="O5238">
        <v>-0.8975843</v>
      </c>
      <c r="P5238">
        <v>0.30917209999999901</v>
      </c>
      <c r="Q5238">
        <v>2.4032049999999999E-2</v>
      </c>
      <c r="R5238">
        <v>-0.95070259999999995</v>
      </c>
      <c r="S5238">
        <v>0.54470830000000003</v>
      </c>
      <c r="T5238">
        <v>-0.1930984</v>
      </c>
      <c r="U5238">
        <v>-2.9833069999999999</v>
      </c>
      <c r="V5238">
        <v>0.14179369999999999</v>
      </c>
      <c r="W5238">
        <v>3.7258409999999999E-2</v>
      </c>
      <c r="X5238">
        <v>0.98919480000000004</v>
      </c>
      <c r="Y5238">
        <v>0.27249889999999999</v>
      </c>
      <c r="Z5238">
        <v>5.3162639999999997E-2</v>
      </c>
      <c r="AA5238">
        <v>0.96068629999999999</v>
      </c>
      <c r="AB5238">
        <v>15</v>
      </c>
      <c r="AC5238">
        <v>2.9051</v>
      </c>
      <c r="AD5238">
        <v>-1.0502338398419999</v>
      </c>
      <c r="AE5238">
        <v>-16.082941999999999</v>
      </c>
      <c r="AF5238">
        <v>4.4604880232037099</v>
      </c>
      <c r="AG5238">
        <v>-1.0502338398419999</v>
      </c>
      <c r="AH5238">
        <v>15.6528682128169</v>
      </c>
      <c r="AI5238">
        <v>93.691979157342502</v>
      </c>
      <c r="AJ5238">
        <v>74.094409660346301</v>
      </c>
      <c r="AK5238">
        <v>16.309850637308301</v>
      </c>
    </row>
    <row r="5239" spans="1:37" x14ac:dyDescent="0.2">
      <c r="A5239" t="str">
        <f>"20200111160003868"</f>
        <v>20200111160003868</v>
      </c>
      <c r="B5239" t="str">
        <f>"1578729603865960"</f>
        <v>1578729603865960</v>
      </c>
      <c r="C5239" t="s">
        <v>37</v>
      </c>
      <c r="D5239">
        <v>5.1507250000000004</v>
      </c>
      <c r="E5239">
        <v>0.54912479999999997</v>
      </c>
      <c r="F5239" t="s">
        <v>39</v>
      </c>
      <c r="G5239">
        <v>-302.85579999999999</v>
      </c>
      <c r="H5239" s="1">
        <v>-2.6473250000000001E-6</v>
      </c>
      <c r="I5239">
        <v>-5.4697969999999998</v>
      </c>
      <c r="J5239">
        <v>-305.7758</v>
      </c>
      <c r="K5239">
        <v>1.0503639999999901</v>
      </c>
      <c r="L5239">
        <v>10.74615</v>
      </c>
      <c r="M5239">
        <v>0.42629279999999897</v>
      </c>
      <c r="N5239">
        <v>0</v>
      </c>
      <c r="O5239">
        <v>-0.90446260000000001</v>
      </c>
      <c r="P5239">
        <v>0.3036644</v>
      </c>
      <c r="Q5239">
        <v>2.3674250000000001E-2</v>
      </c>
      <c r="R5239">
        <v>-0.95248500000000003</v>
      </c>
      <c r="S5239">
        <v>0.545440699999999</v>
      </c>
      <c r="T5239">
        <v>-0.1906321</v>
      </c>
      <c r="U5239">
        <v>-2.9830019999999999</v>
      </c>
      <c r="V5239">
        <v>0.13180049999999999</v>
      </c>
      <c r="W5239">
        <v>3.7035400000000003E-2</v>
      </c>
      <c r="X5239">
        <v>0.99058419999999903</v>
      </c>
      <c r="Y5239">
        <v>0.25695239999999903</v>
      </c>
      <c r="Z5239">
        <v>5.3264329999999999E-2</v>
      </c>
      <c r="AA5239">
        <v>0.96495509999999995</v>
      </c>
      <c r="AB5239">
        <v>15</v>
      </c>
      <c r="AC5239">
        <v>2.9200000000000101</v>
      </c>
      <c r="AD5239">
        <v>-1.050366647325</v>
      </c>
      <c r="AE5239">
        <v>-16.215947</v>
      </c>
      <c r="AF5239">
        <v>4.2548932980602698</v>
      </c>
      <c r="AG5239">
        <v>-1.050366647325</v>
      </c>
      <c r="AH5239">
        <v>15.848850369390499</v>
      </c>
      <c r="AI5239">
        <v>93.662361890852395</v>
      </c>
      <c r="AJ5239">
        <v>74.972322835905501</v>
      </c>
      <c r="AK5239">
        <v>16.443644520088</v>
      </c>
    </row>
    <row r="5240" spans="1:37" x14ac:dyDescent="0.2">
      <c r="A5240" t="str">
        <f>"20200111160003901"</f>
        <v>20200111160003901</v>
      </c>
      <c r="B5240" t="str">
        <f>"1578729603896214"</f>
        <v>1578729603896214</v>
      </c>
      <c r="C5240" t="s">
        <v>37</v>
      </c>
      <c r="D5240">
        <v>5.611478</v>
      </c>
      <c r="E5240">
        <v>0.54911330000000003</v>
      </c>
      <c r="F5240" t="s">
        <v>39</v>
      </c>
      <c r="G5240">
        <v>-302.79509999999999</v>
      </c>
      <c r="H5240" s="1">
        <v>-2.661444E-6</v>
      </c>
      <c r="I5240">
        <v>-5.4057519999999997</v>
      </c>
      <c r="J5240">
        <v>-305.69220000000001</v>
      </c>
      <c r="K5240">
        <v>1.0505229999999901</v>
      </c>
      <c r="L5240">
        <v>10.522089999999899</v>
      </c>
      <c r="M5240">
        <v>0.41183649999999999</v>
      </c>
      <c r="N5240">
        <v>0</v>
      </c>
      <c r="O5240">
        <v>-0.91113670000000002</v>
      </c>
      <c r="P5240">
        <v>0.29774149999999999</v>
      </c>
      <c r="Q5240">
        <v>2.322277E-2</v>
      </c>
      <c r="R5240">
        <v>-0.95436390000000004</v>
      </c>
      <c r="S5240">
        <v>0.54977419999999899</v>
      </c>
      <c r="T5240">
        <v>-0.19373799999999999</v>
      </c>
      <c r="U5240">
        <v>-2.979187</v>
      </c>
      <c r="V5240">
        <v>0.1221546</v>
      </c>
      <c r="W5240">
        <v>3.6706620000000002E-2</v>
      </c>
      <c r="X5240">
        <v>0.99183209999999999</v>
      </c>
      <c r="Y5240">
        <v>0.2399647</v>
      </c>
      <c r="Z5240">
        <v>5.496206E-2</v>
      </c>
      <c r="AA5240">
        <v>0.96922450000000004</v>
      </c>
      <c r="AB5240">
        <v>15</v>
      </c>
      <c r="AC5240">
        <v>2.89710000000002</v>
      </c>
      <c r="AD5240">
        <v>-1.0505256614439999</v>
      </c>
      <c r="AE5240">
        <v>-15.927841999999901</v>
      </c>
      <c r="AF5240">
        <v>3.9040060745344598</v>
      </c>
      <c r="AG5240">
        <v>-1.0505256614439999</v>
      </c>
      <c r="AH5240">
        <v>15.6414427312136</v>
      </c>
      <c r="AI5240">
        <v>93.728343466210305</v>
      </c>
      <c r="AJ5240">
        <v>75.985666773567203</v>
      </c>
      <c r="AK5240">
        <v>16.155481989380299</v>
      </c>
    </row>
    <row r="5241" spans="1:37" x14ac:dyDescent="0.2">
      <c r="A5241" t="str">
        <f>"20200111160003924"</f>
        <v>20200111160003924</v>
      </c>
      <c r="B5241" t="str">
        <f>"1578729603916223"</f>
        <v>1578729603916223</v>
      </c>
      <c r="C5241" t="s">
        <v>37</v>
      </c>
      <c r="D5241">
        <v>5.1940770000000001</v>
      </c>
      <c r="E5241">
        <v>0.54811279999999996</v>
      </c>
      <c r="F5241" t="s">
        <v>39</v>
      </c>
      <c r="G5241">
        <v>-302.61720000000003</v>
      </c>
      <c r="H5241" s="1">
        <v>-1.9776509999999998E-6</v>
      </c>
      <c r="I5241">
        <v>-6.752192</v>
      </c>
      <c r="J5241">
        <v>-305.6386</v>
      </c>
      <c r="K5241">
        <v>1.050637</v>
      </c>
      <c r="L5241">
        <v>10.37308</v>
      </c>
      <c r="M5241">
        <v>0.40236559999999999</v>
      </c>
      <c r="N5241">
        <v>0</v>
      </c>
      <c r="O5241">
        <v>-0.91535940000000005</v>
      </c>
      <c r="P5241">
        <v>0.29391699999999998</v>
      </c>
      <c r="Q5241">
        <v>2.3071319999999999E-2</v>
      </c>
      <c r="R5241">
        <v>-0.95555290000000004</v>
      </c>
      <c r="S5241">
        <v>0.53085329999999997</v>
      </c>
      <c r="T5241">
        <v>-0.18136289999999999</v>
      </c>
      <c r="U5241">
        <v>-2.9822389999999999</v>
      </c>
      <c r="V5241">
        <v>0.11582529999999901</v>
      </c>
      <c r="W5241">
        <v>3.6628939999999999E-2</v>
      </c>
      <c r="X5241">
        <v>0.99259399999999998</v>
      </c>
      <c r="Y5241">
        <v>0.23599410000000001</v>
      </c>
      <c r="Z5241">
        <v>5.1840669999999998E-2</v>
      </c>
      <c r="AA5241">
        <v>0.97037070000000003</v>
      </c>
      <c r="AB5241">
        <v>15</v>
      </c>
      <c r="AC5241">
        <v>3.0213999999999701</v>
      </c>
      <c r="AD5241">
        <v>-1.0506389776509999</v>
      </c>
      <c r="AE5241">
        <v>-17.125271999999999</v>
      </c>
      <c r="AF5241">
        <v>4.1104015051377001</v>
      </c>
      <c r="AG5241">
        <v>-1.0506389776509999</v>
      </c>
      <c r="AH5241">
        <v>16.831896602456201</v>
      </c>
      <c r="AI5241">
        <v>93.470031870050704</v>
      </c>
      <c r="AJ5241">
        <v>76.276780194906706</v>
      </c>
      <c r="AK5241">
        <v>17.358340532164199</v>
      </c>
    </row>
    <row r="5242" spans="1:37" x14ac:dyDescent="0.2">
      <c r="A5242" t="str">
        <f>"20200111160003946"</f>
        <v>20200111160003946</v>
      </c>
      <c r="B5242" t="str">
        <f>"1578729603935744"</f>
        <v>1578729603935744</v>
      </c>
      <c r="C5242" t="s">
        <v>37</v>
      </c>
      <c r="D5242">
        <v>5.262181</v>
      </c>
      <c r="E5242">
        <v>0.54700289999999996</v>
      </c>
      <c r="F5242" t="s">
        <v>39</v>
      </c>
      <c r="G5242">
        <v>-302.59010000000001</v>
      </c>
      <c r="H5242" s="1">
        <v>-1.8941659999999999E-6</v>
      </c>
      <c r="I5242">
        <v>-6.9134880000000001</v>
      </c>
      <c r="J5242">
        <v>-305.58819999999997</v>
      </c>
      <c r="K5242">
        <v>1.0507850000000001</v>
      </c>
      <c r="L5242">
        <v>10.22913</v>
      </c>
      <c r="M5242">
        <v>0.39339409999999903</v>
      </c>
      <c r="N5242">
        <v>0</v>
      </c>
      <c r="O5242">
        <v>-0.91925129999999999</v>
      </c>
      <c r="P5242">
        <v>0.29105890000000001</v>
      </c>
      <c r="Q5242">
        <v>2.3373979999999999E-2</v>
      </c>
      <c r="R5242">
        <v>-0.95641949999999998</v>
      </c>
      <c r="S5242">
        <v>0.52590939999999997</v>
      </c>
      <c r="T5242">
        <v>-0.1812482</v>
      </c>
      <c r="U5242">
        <v>-2.9821469999999999</v>
      </c>
      <c r="V5242">
        <v>0.1090675</v>
      </c>
      <c r="W5242">
        <v>3.7005860000000002E-2</v>
      </c>
      <c r="X5242">
        <v>0.99334529999999999</v>
      </c>
      <c r="Y5242">
        <v>0.22803979999999899</v>
      </c>
      <c r="Z5242">
        <v>5.221816E-2</v>
      </c>
      <c r="AA5242">
        <v>0.97225049999999902</v>
      </c>
      <c r="AB5242">
        <v>15</v>
      </c>
      <c r="AC5242">
        <v>2.99809999999996</v>
      </c>
      <c r="AD5242">
        <v>-1.0507868941659999</v>
      </c>
      <c r="AE5242">
        <v>-17.142617999999999</v>
      </c>
      <c r="AF5242">
        <v>3.97374506130646</v>
      </c>
      <c r="AG5242">
        <v>-1.0507868941659999</v>
      </c>
      <c r="AH5242">
        <v>16.878122453445599</v>
      </c>
      <c r="AI5242">
        <v>93.467907119589896</v>
      </c>
      <c r="AJ5242">
        <v>76.751689317242395</v>
      </c>
      <c r="AK5242">
        <v>17.371408131257301</v>
      </c>
    </row>
    <row r="5243" spans="1:37" x14ac:dyDescent="0.2">
      <c r="A5243" t="str">
        <f>"20200111160003968"</f>
        <v>20200111160003968</v>
      </c>
      <c r="B5243" t="str">
        <f>"1578729603965999"</f>
        <v>1578729603965999</v>
      </c>
      <c r="C5243" t="s">
        <v>37</v>
      </c>
      <c r="D5243">
        <v>5.2186320000000004</v>
      </c>
      <c r="E5243">
        <v>0.54559489999999999</v>
      </c>
      <c r="F5243" t="s">
        <v>39</v>
      </c>
      <c r="G5243">
        <v>-302.50659999999999</v>
      </c>
      <c r="H5243" s="1">
        <v>-1.6980140000000001E-6</v>
      </c>
      <c r="I5243">
        <v>-7.2814690000000004</v>
      </c>
      <c r="J5243">
        <v>-305.53750000000002</v>
      </c>
      <c r="K5243">
        <v>1.050961</v>
      </c>
      <c r="L5243">
        <v>10.079800000000001</v>
      </c>
      <c r="M5243">
        <v>0.38430229999999999</v>
      </c>
      <c r="N5243">
        <v>0</v>
      </c>
      <c r="O5243">
        <v>-0.92308989999999902</v>
      </c>
      <c r="P5243">
        <v>0.28793930000000001</v>
      </c>
      <c r="Q5243">
        <v>2.4854379999999999E-2</v>
      </c>
      <c r="R5243">
        <v>-0.95732619999999902</v>
      </c>
      <c r="S5243">
        <v>0.52468870000000001</v>
      </c>
      <c r="T5243">
        <v>-0.1789106</v>
      </c>
      <c r="U5243">
        <v>-2.9814150000000001</v>
      </c>
      <c r="V5243">
        <v>0.10248210000000001</v>
      </c>
      <c r="W5243">
        <v>3.8551620000000002E-2</v>
      </c>
      <c r="X5243">
        <v>0.99398750000000002</v>
      </c>
      <c r="Y5243">
        <v>0.21876199999999901</v>
      </c>
      <c r="Z5243">
        <v>5.1960300000000001E-2</v>
      </c>
      <c r="AA5243">
        <v>0.97439379999999998</v>
      </c>
      <c r="AB5243">
        <v>15</v>
      </c>
      <c r="AC5243">
        <v>3.0309000000000301</v>
      </c>
      <c r="AD5243">
        <v>-1.0509626980140001</v>
      </c>
      <c r="AE5243">
        <v>-17.361269</v>
      </c>
      <c r="AF5243">
        <v>3.86087279483632</v>
      </c>
      <c r="AG5243">
        <v>-1.0509626980140001</v>
      </c>
      <c r="AH5243">
        <v>17.131735461124201</v>
      </c>
      <c r="AI5243">
        <v>93.424784010550098</v>
      </c>
      <c r="AJ5243">
        <v>77.299778906667299</v>
      </c>
      <c r="AK5243">
        <v>17.592817319590001</v>
      </c>
    </row>
    <row r="5244" spans="1:37" x14ac:dyDescent="0.2">
      <c r="A5244" t="str">
        <f>"20200111160004080"</f>
        <v>20200111160004080</v>
      </c>
      <c r="B5244" t="str">
        <f>"1578729604076288"</f>
        <v>1578729604076288</v>
      </c>
      <c r="C5244" t="s">
        <v>37</v>
      </c>
      <c r="D5244">
        <v>5.3441650000000003</v>
      </c>
      <c r="E5244">
        <v>0.54486919999999905</v>
      </c>
      <c r="F5244" t="s">
        <v>39</v>
      </c>
      <c r="G5244">
        <v>-302.3331</v>
      </c>
      <c r="H5244" s="1">
        <v>-1.264604E-6</v>
      </c>
      <c r="I5244">
        <v>-8.1006990000000005</v>
      </c>
      <c r="J5244">
        <v>-305.30590000000001</v>
      </c>
      <c r="K5244">
        <v>1.0518270000000001</v>
      </c>
      <c r="L5244">
        <v>9.3436280000000007</v>
      </c>
      <c r="M5244">
        <v>0.34239000000000003</v>
      </c>
      <c r="N5244">
        <v>0</v>
      </c>
      <c r="O5244">
        <v>-0.93944660000000002</v>
      </c>
      <c r="P5244">
        <v>0.2678603</v>
      </c>
      <c r="Q5244">
        <v>7.6323260000000004E-2</v>
      </c>
      <c r="R5244">
        <v>-0.96043040000000002</v>
      </c>
      <c r="S5244">
        <v>0.52526859999999997</v>
      </c>
      <c r="T5244">
        <v>-0.17227819999999999</v>
      </c>
      <c r="U5244">
        <v>-2.9802249999999999</v>
      </c>
      <c r="V5244">
        <v>7.7894989999999997E-2</v>
      </c>
      <c r="W5244">
        <v>9.0129749999999995E-2</v>
      </c>
      <c r="X5244">
        <v>0.99287919999999996</v>
      </c>
      <c r="Y5244">
        <v>0.17438819999999999</v>
      </c>
      <c r="Z5244">
        <v>5.1695140000000001E-2</v>
      </c>
      <c r="AA5244">
        <v>0.98331900000000005</v>
      </c>
      <c r="AB5244">
        <v>15</v>
      </c>
      <c r="AC5244">
        <v>2.9727999999999999</v>
      </c>
      <c r="AD5244">
        <v>-1.051828264604</v>
      </c>
      <c r="AE5244">
        <v>-17.444326999999902</v>
      </c>
      <c r="AF5244">
        <v>3.16911231250082</v>
      </c>
      <c r="AG5244">
        <v>-1.051828264604</v>
      </c>
      <c r="AH5244">
        <v>17.346405890891099</v>
      </c>
      <c r="AI5244">
        <v>93.413611849191199</v>
      </c>
      <c r="AJ5244">
        <v>79.646496517150993</v>
      </c>
      <c r="AK5244">
        <v>17.6648637945218</v>
      </c>
    </row>
    <row r="5245" spans="1:37" x14ac:dyDescent="0.2">
      <c r="A5245" t="str">
        <f>"20200111160004103"</f>
        <v>20200111160004103</v>
      </c>
      <c r="B5245" t="str">
        <f>"1578729604095807"</f>
        <v>1578729604095807</v>
      </c>
      <c r="C5245" t="s">
        <v>37</v>
      </c>
      <c r="D5245">
        <v>5.2810860000000002</v>
      </c>
      <c r="E5245">
        <v>0.54388800000000004</v>
      </c>
      <c r="F5245" t="s">
        <v>86</v>
      </c>
      <c r="G5245">
        <v>-289.36529999999999</v>
      </c>
      <c r="H5245">
        <v>0.33824729999999997</v>
      </c>
      <c r="I5245">
        <v>-91.564989999999995</v>
      </c>
      <c r="J5245">
        <v>-305.26190000000003</v>
      </c>
      <c r="K5245">
        <v>1.0520259999999999</v>
      </c>
      <c r="L5245">
        <v>9.1934810000000002</v>
      </c>
      <c r="M5245">
        <v>0.33464939999999999</v>
      </c>
      <c r="N5245">
        <v>0</v>
      </c>
      <c r="O5245">
        <v>-0.94223230000000002</v>
      </c>
      <c r="P5245">
        <v>0.25672899999999998</v>
      </c>
      <c r="Q5245">
        <v>8.1134150000000002E-2</v>
      </c>
      <c r="R5245">
        <v>-0.96307209999999999</v>
      </c>
      <c r="S5245">
        <v>0.47286990000000001</v>
      </c>
      <c r="T5245">
        <v>-2.1167640000000001E-2</v>
      </c>
      <c r="U5245">
        <v>-2.9934080000000001</v>
      </c>
      <c r="V5245">
        <v>8.1075899999999895E-2</v>
      </c>
      <c r="W5245">
        <v>9.4888609999999998E-2</v>
      </c>
      <c r="X5245">
        <v>0.99218090000000003</v>
      </c>
      <c r="Y5245">
        <v>0.18355109999999999</v>
      </c>
      <c r="Z5245">
        <v>6.3654599999999999E-3</v>
      </c>
      <c r="AA5245">
        <v>0.98298949999999996</v>
      </c>
      <c r="AB5245">
        <v>15</v>
      </c>
      <c r="AC5245">
        <v>15.896599999999999</v>
      </c>
      <c r="AD5245">
        <v>-0.71377869999999999</v>
      </c>
      <c r="AE5245">
        <v>-100.758471</v>
      </c>
      <c r="AF5245">
        <v>18.7415041932944</v>
      </c>
      <c r="AG5245">
        <v>-0.71377869999999999</v>
      </c>
      <c r="AH5245">
        <v>100.26319616469701</v>
      </c>
      <c r="AI5245">
        <v>90.4009405182085</v>
      </c>
      <c r="AJ5245">
        <v>79.412281200646902</v>
      </c>
      <c r="AK5245">
        <v>102.002264507316</v>
      </c>
    </row>
    <row r="5246" spans="1:37" x14ac:dyDescent="0.2">
      <c r="A5246" t="str">
        <f>"20200111160004126"</f>
        <v>20200111160004126</v>
      </c>
      <c r="B5246" t="str">
        <f>"1578729604115836"</f>
        <v>1578729604115836</v>
      </c>
      <c r="C5246" t="s">
        <v>37</v>
      </c>
      <c r="D5246">
        <v>5.3132269999999897</v>
      </c>
      <c r="E5246">
        <v>0.54258790000000001</v>
      </c>
      <c r="F5246" t="s">
        <v>86</v>
      </c>
      <c r="G5246">
        <v>-290.17910000000001</v>
      </c>
      <c r="H5246">
        <v>0.65742679999999998</v>
      </c>
      <c r="I5246">
        <v>-91.564989999999995</v>
      </c>
      <c r="J5246">
        <v>-305.2183</v>
      </c>
      <c r="K5246">
        <v>1.0522559999999901</v>
      </c>
      <c r="L5246">
        <v>9.0414119999999993</v>
      </c>
      <c r="M5246">
        <v>0.32719530000000002</v>
      </c>
      <c r="N5246">
        <v>0</v>
      </c>
      <c r="O5246">
        <v>-0.94484760000000001</v>
      </c>
      <c r="P5246">
        <v>0.24522389999999999</v>
      </c>
      <c r="Q5246">
        <v>8.0249299999999996E-2</v>
      </c>
      <c r="R5246">
        <v>-0.96613939999999998</v>
      </c>
      <c r="S5246">
        <v>0.44854739999999999</v>
      </c>
      <c r="T5246">
        <v>-1.17346E-2</v>
      </c>
      <c r="U5246">
        <v>-2.9964599999999999</v>
      </c>
      <c r="V5246">
        <v>8.503637E-2</v>
      </c>
      <c r="W5246">
        <v>9.3959580000000001E-2</v>
      </c>
      <c r="X5246">
        <v>0.99193770000000003</v>
      </c>
      <c r="Y5246">
        <v>0.1837318</v>
      </c>
      <c r="Z5246">
        <v>3.5423239999999999E-3</v>
      </c>
      <c r="AA5246">
        <v>0.98297009999999996</v>
      </c>
      <c r="AB5246">
        <v>15</v>
      </c>
      <c r="AC5246">
        <v>15.0391999999999</v>
      </c>
      <c r="AD5246">
        <v>-0.39482919999999899</v>
      </c>
      <c r="AE5246">
        <v>-100.606402</v>
      </c>
      <c r="AF5246">
        <v>18.709837560396299</v>
      </c>
      <c r="AG5246">
        <v>-0.39482919999999899</v>
      </c>
      <c r="AH5246">
        <v>99.987278517520195</v>
      </c>
      <c r="AI5246">
        <v>90.222388182948293</v>
      </c>
      <c r="AJ5246">
        <v>79.401258430069106</v>
      </c>
      <c r="AK5246">
        <v>101.723496680824</v>
      </c>
    </row>
    <row r="5247" spans="1:37" x14ac:dyDescent="0.2">
      <c r="A5247" t="str">
        <f>"20200111160004147"</f>
        <v>20200111160004147</v>
      </c>
      <c r="B5247" t="str">
        <f>"1578729604136332"</f>
        <v>1578729604136332</v>
      </c>
      <c r="C5247" t="s">
        <v>37</v>
      </c>
      <c r="D5247">
        <v>5.3422700000000001</v>
      </c>
      <c r="E5247">
        <v>0.54121059999999999</v>
      </c>
      <c r="F5247" t="s">
        <v>86</v>
      </c>
      <c r="G5247">
        <v>-290.94650000000001</v>
      </c>
      <c r="H5247">
        <v>0.25922390000000001</v>
      </c>
      <c r="I5247">
        <v>-91.564989999999995</v>
      </c>
      <c r="J5247">
        <v>-305.17880000000002</v>
      </c>
      <c r="K5247">
        <v>1.0524849999999999</v>
      </c>
      <c r="L5247">
        <v>8.9017029999999995</v>
      </c>
      <c r="M5247">
        <v>0.32073849999999998</v>
      </c>
      <c r="N5247">
        <v>0</v>
      </c>
      <c r="O5247">
        <v>-0.94705980000000001</v>
      </c>
      <c r="P5247">
        <v>0.23507739999999999</v>
      </c>
      <c r="Q5247">
        <v>7.7223470000000002E-2</v>
      </c>
      <c r="R5247">
        <v>-0.96890429999999905</v>
      </c>
      <c r="S5247">
        <v>0.42544559999999998</v>
      </c>
      <c r="T5247">
        <v>-2.364016E-2</v>
      </c>
      <c r="U5247">
        <v>-2.9991150000000002</v>
      </c>
      <c r="V5247">
        <v>8.8675329999999997E-2</v>
      </c>
      <c r="W5247">
        <v>9.0903339999999999E-2</v>
      </c>
      <c r="X5247">
        <v>0.9919038</v>
      </c>
      <c r="Y5247">
        <v>0.18456649999999999</v>
      </c>
      <c r="Z5247">
        <v>7.1586109999999996E-3</v>
      </c>
      <c r="AA5247">
        <v>0.98279399999999995</v>
      </c>
      <c r="AB5247">
        <v>15</v>
      </c>
      <c r="AC5247">
        <v>14.2323</v>
      </c>
      <c r="AD5247">
        <v>-0.79326109999999905</v>
      </c>
      <c r="AE5247">
        <v>-100.46669300000001</v>
      </c>
      <c r="AF5247">
        <v>18.745468969141498</v>
      </c>
      <c r="AG5247">
        <v>-0.79326109999999905</v>
      </c>
      <c r="AH5247">
        <v>99.716918062049302</v>
      </c>
      <c r="AI5247">
        <v>90.447939949041498</v>
      </c>
      <c r="AJ5247">
        <v>79.353400204073694</v>
      </c>
      <c r="AK5247">
        <v>101.466672448835</v>
      </c>
    </row>
    <row r="5248" spans="1:37" x14ac:dyDescent="0.2">
      <c r="A5248" t="str">
        <f>"20200111160004169"</f>
        <v>20200111160004169</v>
      </c>
      <c r="B5248" t="str">
        <f>"1578729604166587"</f>
        <v>1578729604166587</v>
      </c>
      <c r="C5248" t="s">
        <v>37</v>
      </c>
      <c r="D5248">
        <v>5.3374949999999997</v>
      </c>
      <c r="E5248">
        <v>0.5390528</v>
      </c>
      <c r="F5248" t="s">
        <v>75</v>
      </c>
      <c r="G5248">
        <v>-295.26920000000001</v>
      </c>
      <c r="H5248" s="1">
        <v>-1.2286800000000001E-5</v>
      </c>
      <c r="I5248">
        <v>-64.247699999999995</v>
      </c>
      <c r="J5248">
        <v>-305.13819999999998</v>
      </c>
      <c r="K5248">
        <v>1.0526959999999901</v>
      </c>
      <c r="L5248">
        <v>8.7561339999999994</v>
      </c>
      <c r="M5248">
        <v>0.31436429999999999</v>
      </c>
      <c r="N5248">
        <v>0</v>
      </c>
      <c r="O5248">
        <v>-0.94919560000000003</v>
      </c>
      <c r="P5248">
        <v>0.2258416</v>
      </c>
      <c r="Q5248">
        <v>7.1523509999999998E-2</v>
      </c>
      <c r="R5248">
        <v>-0.97153480000000003</v>
      </c>
      <c r="S5248">
        <v>0.40655520000000001</v>
      </c>
      <c r="T5248">
        <v>-4.3180349999999999E-2</v>
      </c>
      <c r="U5248">
        <v>-3.0010680000000001</v>
      </c>
      <c r="V5248">
        <v>9.1507160000000004E-2</v>
      </c>
      <c r="W5248">
        <v>8.5181199999999999E-2</v>
      </c>
      <c r="X5248">
        <v>0.99215450000000005</v>
      </c>
      <c r="Y5248">
        <v>0.1841256</v>
      </c>
      <c r="Z5248">
        <v>1.311756E-2</v>
      </c>
      <c r="AA5248">
        <v>0.9828152</v>
      </c>
      <c r="AB5248">
        <v>15</v>
      </c>
      <c r="AC5248">
        <v>9.8689999999999696</v>
      </c>
      <c r="AD5248">
        <v>-1.0527082867999999</v>
      </c>
      <c r="AE5248">
        <v>-73.003833999999998</v>
      </c>
      <c r="AF5248">
        <v>13.5807920154208</v>
      </c>
      <c r="AG5248">
        <v>-1.0527082867999999</v>
      </c>
      <c r="AH5248">
        <v>72.389939336628402</v>
      </c>
      <c r="AI5248">
        <v>90.818863645011803</v>
      </c>
      <c r="AJ5248">
        <v>79.374473882804097</v>
      </c>
      <c r="AK5248">
        <v>73.660365351143597</v>
      </c>
    </row>
    <row r="5249" spans="1:37" x14ac:dyDescent="0.2">
      <c r="A5249" t="str">
        <f>"20200111160004192"</f>
        <v>20200111160004192</v>
      </c>
      <c r="B5249" t="str">
        <f>"1578729604186106"</f>
        <v>1578729604186106</v>
      </c>
      <c r="C5249" t="s">
        <v>37</v>
      </c>
      <c r="D5249">
        <v>5.3503639999999999</v>
      </c>
      <c r="E5249">
        <v>0.53779829999999995</v>
      </c>
      <c r="F5249" t="s">
        <v>39</v>
      </c>
      <c r="G5249">
        <v>-299.450999999999</v>
      </c>
      <c r="H5249" s="1">
        <v>-2.6653289999999999E-6</v>
      </c>
      <c r="I5249">
        <v>-34.381279999999997</v>
      </c>
      <c r="J5249">
        <v>-305.09690000000001</v>
      </c>
      <c r="K5249">
        <v>1.0528919999999999</v>
      </c>
      <c r="L5249">
        <v>8.6063840000000003</v>
      </c>
      <c r="M5249">
        <v>0.30820399999999998</v>
      </c>
      <c r="N5249">
        <v>0</v>
      </c>
      <c r="O5249">
        <v>-0.95121480000000003</v>
      </c>
      <c r="P5249">
        <v>0.21954659999999901</v>
      </c>
      <c r="Q5249">
        <v>6.5910960000000005E-2</v>
      </c>
      <c r="R5249">
        <v>-0.9733733</v>
      </c>
      <c r="S5249">
        <v>0.39569090000000001</v>
      </c>
      <c r="T5249">
        <v>-7.3242189999999999E-2</v>
      </c>
      <c r="U5249">
        <v>-3.001312</v>
      </c>
      <c r="V5249">
        <v>9.1548550000000006E-2</v>
      </c>
      <c r="W5249">
        <v>7.9561290000000007E-2</v>
      </c>
      <c r="X5249">
        <v>0.99261719999999898</v>
      </c>
      <c r="Y5249">
        <v>0.18128</v>
      </c>
      <c r="Z5249">
        <v>2.2328130000000002E-2</v>
      </c>
      <c r="AA5249">
        <v>0.983178</v>
      </c>
      <c r="AB5249">
        <v>15</v>
      </c>
      <c r="AC5249">
        <v>5.6459000000000401</v>
      </c>
      <c r="AD5249">
        <v>-1.0528946653289999</v>
      </c>
      <c r="AE5249">
        <v>-42.987664000000002</v>
      </c>
      <c r="AF5249">
        <v>7.8746531435933598</v>
      </c>
      <c r="AG5249">
        <v>-1.0528946653289999</v>
      </c>
      <c r="AH5249">
        <v>42.609741448043501</v>
      </c>
      <c r="AI5249">
        <v>91.391940084547898</v>
      </c>
      <c r="AJ5249">
        <v>79.529377300026994</v>
      </c>
      <c r="AK5249">
        <v>43.344074745889998</v>
      </c>
    </row>
    <row r="5250" spans="1:37" x14ac:dyDescent="0.2">
      <c r="A5250" t="str">
        <f>"20200111160004214"</f>
        <v>20200111160004214</v>
      </c>
      <c r="B5250" t="str">
        <f>"1578729604206136"</f>
        <v>1578729604206136</v>
      </c>
      <c r="C5250" t="s">
        <v>37</v>
      </c>
      <c r="D5250">
        <v>5.3592820000000003</v>
      </c>
      <c r="E5250">
        <v>0.53640909999999997</v>
      </c>
      <c r="F5250" t="s">
        <v>39</v>
      </c>
      <c r="G5250">
        <v>-300.84980000000002</v>
      </c>
      <c r="H5250" s="1">
        <v>-2.775426E-6</v>
      </c>
      <c r="I5250">
        <v>-24.468339999999898</v>
      </c>
      <c r="J5250">
        <v>-305.05669999999998</v>
      </c>
      <c r="K5250">
        <v>1.0530539999999999</v>
      </c>
      <c r="L5250">
        <v>8.4584349999999997</v>
      </c>
      <c r="M5250">
        <v>0.30255769999999998</v>
      </c>
      <c r="N5250">
        <v>0</v>
      </c>
      <c r="O5250">
        <v>-0.9530267</v>
      </c>
      <c r="P5250">
        <v>0.21631990000000001</v>
      </c>
      <c r="Q5250">
        <v>6.1606330000000001E-2</v>
      </c>
      <c r="R5250">
        <v>-0.97437700000000005</v>
      </c>
      <c r="S5250">
        <v>0.38543699999999997</v>
      </c>
      <c r="T5250">
        <v>-9.555197E-2</v>
      </c>
      <c r="U5250">
        <v>-3.0015869999999998</v>
      </c>
      <c r="V5250">
        <v>8.897613E-2</v>
      </c>
      <c r="W5250">
        <v>7.5261709999999996E-2</v>
      </c>
      <c r="X5250">
        <v>0.99318619999999902</v>
      </c>
      <c r="Y5250">
        <v>0.17878469999999999</v>
      </c>
      <c r="Z5250">
        <v>2.9219330000000002E-2</v>
      </c>
      <c r="AA5250">
        <v>0.98345419999999995</v>
      </c>
      <c r="AB5250">
        <v>15</v>
      </c>
      <c r="AC5250">
        <v>4.2068999999999601</v>
      </c>
      <c r="AD5250">
        <v>-1.0530567754260001</v>
      </c>
      <c r="AE5250">
        <v>-32.926774999999999</v>
      </c>
      <c r="AF5250">
        <v>5.9475678740868796</v>
      </c>
      <c r="AG5250">
        <v>-1.0530567754260001</v>
      </c>
      <c r="AH5250">
        <v>32.623341986339199</v>
      </c>
      <c r="AI5250">
        <v>91.818863350369597</v>
      </c>
      <c r="AJ5250">
        <v>79.667867646730201</v>
      </c>
      <c r="AK5250">
        <v>33.177777721643501</v>
      </c>
    </row>
    <row r="5251" spans="1:37" x14ac:dyDescent="0.2">
      <c r="A5251" t="str">
        <f>"20200111160004237"</f>
        <v>20200111160004237</v>
      </c>
      <c r="B5251" t="str">
        <f>"1578729604225656"</f>
        <v>1578729604225656</v>
      </c>
      <c r="C5251" t="s">
        <v>37</v>
      </c>
      <c r="D5251">
        <v>5.3691000000000004</v>
      </c>
      <c r="E5251">
        <v>0.53567589999999998</v>
      </c>
      <c r="F5251" t="s">
        <v>39</v>
      </c>
      <c r="G5251">
        <v>-301.48719999999997</v>
      </c>
      <c r="H5251" s="1">
        <v>-8.9092109999999895E-7</v>
      </c>
      <c r="I5251">
        <v>-19.256540000000001</v>
      </c>
      <c r="J5251">
        <v>-305.01830000000001</v>
      </c>
      <c r="K5251">
        <v>1.0532250000000001</v>
      </c>
      <c r="L5251">
        <v>8.3164979999999993</v>
      </c>
      <c r="M5251">
        <v>0.29758299999999999</v>
      </c>
      <c r="N5251">
        <v>0</v>
      </c>
      <c r="O5251">
        <v>-0.95459249999999995</v>
      </c>
      <c r="P5251">
        <v>0.21402979999999899</v>
      </c>
      <c r="Q5251">
        <v>5.7774430000000002E-2</v>
      </c>
      <c r="R5251">
        <v>-0.97511709999999996</v>
      </c>
      <c r="S5251">
        <v>0.38641360000000002</v>
      </c>
      <c r="T5251">
        <v>-0.11399919999999999</v>
      </c>
      <c r="U5251">
        <v>-3.000305</v>
      </c>
      <c r="V5251">
        <v>8.6145379999999994E-2</v>
      </c>
      <c r="W5251">
        <v>7.1435899999999997E-2</v>
      </c>
      <c r="X5251">
        <v>0.993718199999999</v>
      </c>
      <c r="Y5251">
        <v>0.173306399999999</v>
      </c>
      <c r="Z5251">
        <v>3.4973740000000003E-2</v>
      </c>
      <c r="AA5251">
        <v>0.98424679999999998</v>
      </c>
      <c r="AB5251">
        <v>15</v>
      </c>
      <c r="AC5251">
        <v>3.5311000000000301</v>
      </c>
      <c r="AD5251">
        <v>-1.0532258909211001</v>
      </c>
      <c r="AE5251">
        <v>-27.573038</v>
      </c>
      <c r="AF5251">
        <v>4.8280525470399596</v>
      </c>
      <c r="AG5251">
        <v>-1.0532258909211001</v>
      </c>
      <c r="AH5251">
        <v>27.335273894361801</v>
      </c>
      <c r="AI5251">
        <v>92.172910640570706</v>
      </c>
      <c r="AJ5251">
        <v>79.983522199405698</v>
      </c>
      <c r="AK5251">
        <v>27.778347234024999</v>
      </c>
    </row>
    <row r="5252" spans="1:37" x14ac:dyDescent="0.2">
      <c r="A5252" t="str">
        <f>"20200111160004259"</f>
        <v>20200111160004259</v>
      </c>
      <c r="B5252" t="str">
        <f>"1578729604255911"</f>
        <v>1578729604255911</v>
      </c>
      <c r="C5252" t="s">
        <v>37</v>
      </c>
      <c r="D5252">
        <v>5.255528</v>
      </c>
      <c r="E5252">
        <v>0.47517029999999899</v>
      </c>
      <c r="F5252" t="s">
        <v>39</v>
      </c>
      <c r="G5252">
        <v>-301.86989999999997</v>
      </c>
      <c r="H5252" s="1">
        <v>-2.3365640000000001E-6</v>
      </c>
      <c r="I5252">
        <v>-16.12405</v>
      </c>
      <c r="J5252">
        <v>-304.9787</v>
      </c>
      <c r="K5252">
        <v>1.0534479999999999</v>
      </c>
      <c r="L5252">
        <v>8.1683959999999995</v>
      </c>
      <c r="M5252">
        <v>0.29286609999999902</v>
      </c>
      <c r="N5252">
        <v>0</v>
      </c>
      <c r="O5252">
        <v>-0.95605090000000004</v>
      </c>
      <c r="P5252">
        <v>0.21259919999999999</v>
      </c>
      <c r="Q5252">
        <v>5.4010339999999997E-2</v>
      </c>
      <c r="R5252">
        <v>-0.97564589999999995</v>
      </c>
      <c r="S5252">
        <v>0.38638309999999998</v>
      </c>
      <c r="T5252">
        <v>-0.12925400000000001</v>
      </c>
      <c r="U5252">
        <v>-2.99939</v>
      </c>
      <c r="V5252">
        <v>8.2703449999999998E-2</v>
      </c>
      <c r="W5252">
        <v>6.7683240000000006E-2</v>
      </c>
      <c r="X5252">
        <v>0.99427319999999997</v>
      </c>
      <c r="Y5252">
        <v>0.16843649999999999</v>
      </c>
      <c r="Z5252">
        <v>3.9768860000000003E-2</v>
      </c>
      <c r="AA5252">
        <v>0.98490999999999995</v>
      </c>
      <c r="AB5252">
        <v>15</v>
      </c>
      <c r="AC5252">
        <v>3.10880000000002</v>
      </c>
      <c r="AD5252">
        <v>-1.053450336564</v>
      </c>
      <c r="AE5252">
        <v>-24.292446000000002</v>
      </c>
      <c r="AF5252">
        <v>4.1350183178747502</v>
      </c>
      <c r="AG5252">
        <v>-1.053450336564</v>
      </c>
      <c r="AH5252">
        <v>24.093065874222599</v>
      </c>
      <c r="AI5252">
        <v>92.467585173337099</v>
      </c>
      <c r="AJ5252">
        <v>80.261382579046</v>
      </c>
      <c r="AK5252">
        <v>24.468019072258301</v>
      </c>
    </row>
    <row r="5253" spans="1:37" x14ac:dyDescent="0.2">
      <c r="A5253" t="str">
        <f>"20200111160004282"</f>
        <v>20200111160004282</v>
      </c>
      <c r="B5253" t="str">
        <f>"1578729604276406"</f>
        <v>1578729604276406</v>
      </c>
      <c r="C5253" t="s">
        <v>37</v>
      </c>
      <c r="D5253">
        <v>5.22112</v>
      </c>
      <c r="E5253">
        <v>0.46593679999999899</v>
      </c>
      <c r="F5253" t="s">
        <v>38</v>
      </c>
      <c r="G5253">
        <v>-304.76280000000003</v>
      </c>
      <c r="H5253">
        <v>0.98131039999999903</v>
      </c>
      <c r="I5253">
        <v>7.4457240000000002</v>
      </c>
      <c r="J5253">
        <v>-304.94060000000002</v>
      </c>
      <c r="K5253">
        <v>1.0536799999999999</v>
      </c>
      <c r="L5253">
        <v>8.0256959999999999</v>
      </c>
      <c r="M5253">
        <v>0.28878769999999998</v>
      </c>
      <c r="N5253">
        <v>0</v>
      </c>
      <c r="O5253">
        <v>-0.95729149999999996</v>
      </c>
      <c r="P5253">
        <v>0.21347459999999999</v>
      </c>
      <c r="Q5253">
        <v>4.6104569999999997E-2</v>
      </c>
      <c r="R5253">
        <v>-0.97586039999999996</v>
      </c>
      <c r="S5253">
        <v>0.86746219999999996</v>
      </c>
      <c r="T5253">
        <v>-0.28943409999999897</v>
      </c>
      <c r="U5253">
        <v>-2.9018860000000002</v>
      </c>
      <c r="V5253">
        <v>7.7621880000000004E-2</v>
      </c>
      <c r="W5253">
        <v>5.9802420000000002E-2</v>
      </c>
      <c r="X5253">
        <v>0.99518770000000001</v>
      </c>
      <c r="Y5253">
        <v>3.7569370000000001E-3</v>
      </c>
      <c r="Z5253">
        <v>9.1039899999999896E-2</v>
      </c>
      <c r="AA5253">
        <v>0.99584010000000001</v>
      </c>
      <c r="AB5253">
        <v>15</v>
      </c>
      <c r="AC5253">
        <v>0.17779999999998999</v>
      </c>
      <c r="AD5253">
        <v>-7.2369600000000006E-2</v>
      </c>
      <c r="AE5253">
        <v>-0.57997199999999904</v>
      </c>
      <c r="AF5253">
        <v>-2.6797728482712202E-3</v>
      </c>
      <c r="AG5253">
        <v>-7.2369600000000006E-2</v>
      </c>
      <c r="AH5253">
        <v>0.59809524123103996</v>
      </c>
      <c r="AI5253">
        <v>96.899187720881002</v>
      </c>
      <c r="AJ5253">
        <v>90.256712704351898</v>
      </c>
      <c r="AK5253">
        <v>0.602463656804204</v>
      </c>
    </row>
    <row r="5254" spans="1:37" x14ac:dyDescent="0.2">
      <c r="A5254" t="str">
        <f>"20200111160004305"</f>
        <v>20200111160004305</v>
      </c>
      <c r="B5254" t="str">
        <f>"1578729604295927"</f>
        <v>1578729604295927</v>
      </c>
      <c r="C5254" t="s">
        <v>37</v>
      </c>
      <c r="D5254">
        <v>5.2443019999999896</v>
      </c>
      <c r="E5254">
        <v>0.46113690000000002</v>
      </c>
      <c r="F5254" t="s">
        <v>38</v>
      </c>
      <c r="G5254">
        <v>-304.7097</v>
      </c>
      <c r="H5254">
        <v>0.98412569999999999</v>
      </c>
      <c r="I5254">
        <v>7.3169599999999999</v>
      </c>
      <c r="J5254">
        <v>-304.90069999999997</v>
      </c>
      <c r="K5254">
        <v>1.0539270000000001</v>
      </c>
      <c r="L5254">
        <v>7.8766169999999898</v>
      </c>
      <c r="M5254">
        <v>0.28503089999999998</v>
      </c>
      <c r="N5254">
        <v>0</v>
      </c>
      <c r="O5254">
        <v>-0.95841739999999997</v>
      </c>
      <c r="P5254">
        <v>0.2159326</v>
      </c>
      <c r="Q5254">
        <v>3.5110820000000001E-2</v>
      </c>
      <c r="R5254">
        <v>-0.97577689999999995</v>
      </c>
      <c r="S5254">
        <v>0.93920899999999996</v>
      </c>
      <c r="T5254">
        <v>-0.2826707</v>
      </c>
      <c r="U5254">
        <v>-2.8821110000000001</v>
      </c>
      <c r="V5254">
        <v>7.1272520000000006E-2</v>
      </c>
      <c r="W5254">
        <v>4.8839510000000003E-2</v>
      </c>
      <c r="X5254">
        <v>0.99626049999999999</v>
      </c>
      <c r="Y5254">
        <v>-2.466057E-2</v>
      </c>
      <c r="Z5254">
        <v>8.9338879999999996E-2</v>
      </c>
      <c r="AA5254">
        <v>0.99569589999999997</v>
      </c>
      <c r="AB5254">
        <v>15</v>
      </c>
      <c r="AC5254">
        <v>0.190999999999974</v>
      </c>
      <c r="AD5254">
        <v>-6.9801299999999997E-2</v>
      </c>
      <c r="AE5254">
        <v>-0.55965699999999796</v>
      </c>
      <c r="AF5254">
        <v>-2.3216987107118101E-2</v>
      </c>
      <c r="AG5254">
        <v>-6.9801299999999997E-2</v>
      </c>
      <c r="AH5254">
        <v>0.58276360332579702</v>
      </c>
      <c r="AI5254">
        <v>96.824778230192194</v>
      </c>
      <c r="AJ5254">
        <v>92.281426397692996</v>
      </c>
      <c r="AK5254">
        <v>0.58738800407676806</v>
      </c>
    </row>
    <row r="5255" spans="1:37" x14ac:dyDescent="0.2">
      <c r="A5255" t="str">
        <f>"20200111160004327"</f>
        <v>20200111160004327</v>
      </c>
      <c r="B5255" t="str">
        <f>"1578729604315956"</f>
        <v>1578729604315956</v>
      </c>
      <c r="C5255" t="s">
        <v>37</v>
      </c>
      <c r="D5255">
        <v>5.2720349999999998</v>
      </c>
      <c r="E5255">
        <v>0.45886969999999999</v>
      </c>
      <c r="F5255" t="s">
        <v>38</v>
      </c>
      <c r="G5255">
        <v>-304.62540000000001</v>
      </c>
      <c r="H5255">
        <v>0.97055590000000003</v>
      </c>
      <c r="I5255">
        <v>7.0716210000000004</v>
      </c>
      <c r="J5255">
        <v>-304.86320000000001</v>
      </c>
      <c r="K5255">
        <v>1.0541609999999999</v>
      </c>
      <c r="L5255">
        <v>7.7364499999999996</v>
      </c>
      <c r="M5255">
        <v>0.2820493</v>
      </c>
      <c r="N5255">
        <v>0</v>
      </c>
      <c r="O5255">
        <v>-0.95930000000000004</v>
      </c>
      <c r="P5255">
        <v>0.21730639999999901</v>
      </c>
      <c r="Q5255">
        <v>2.819785E-2</v>
      </c>
      <c r="R5255">
        <v>-0.97569680000000003</v>
      </c>
      <c r="S5255">
        <v>0.98159789999999902</v>
      </c>
      <c r="T5255">
        <v>-0.29677949999999997</v>
      </c>
      <c r="U5255">
        <v>-2.8679199999999998</v>
      </c>
      <c r="V5255">
        <v>6.6790550000000004E-2</v>
      </c>
      <c r="W5255">
        <v>4.1946329999999997E-2</v>
      </c>
      <c r="X5255">
        <v>0.99688489999999996</v>
      </c>
      <c r="Y5255">
        <v>-4.2301829999999999E-2</v>
      </c>
      <c r="Z5255">
        <v>9.4084490000000007E-2</v>
      </c>
      <c r="AA5255">
        <v>0.99466509999999997</v>
      </c>
      <c r="AB5255">
        <v>15</v>
      </c>
      <c r="AC5255">
        <v>0.23779999999999199</v>
      </c>
      <c r="AD5255">
        <v>-8.3605099999999904E-2</v>
      </c>
      <c r="AE5255">
        <v>-0.664828999999999</v>
      </c>
      <c r="AF5255">
        <v>-4.0049371137246201E-2</v>
      </c>
      <c r="AG5255">
        <v>-8.3605099999999904E-2</v>
      </c>
      <c r="AH5255">
        <v>0.69516290173504902</v>
      </c>
      <c r="AI5255">
        <v>96.846604353930999</v>
      </c>
      <c r="AJ5255">
        <v>93.297250548681703</v>
      </c>
      <c r="AK5255">
        <v>0.70131677922547497</v>
      </c>
    </row>
    <row r="5256" spans="1:37" x14ac:dyDescent="0.2">
      <c r="A5256" t="str">
        <f>"20200111160004348"</f>
        <v>20200111160004348</v>
      </c>
      <c r="B5256" t="str">
        <f>"1578729604336452"</f>
        <v>1578729604336452</v>
      </c>
      <c r="C5256" t="s">
        <v>37</v>
      </c>
      <c r="D5256">
        <v>5.3139729999999998</v>
      </c>
      <c r="E5256">
        <v>0.45636529999999997</v>
      </c>
      <c r="F5256" t="s">
        <v>39</v>
      </c>
      <c r="G5256">
        <v>-301.33569999999997</v>
      </c>
      <c r="H5256" s="1">
        <v>-3.7281220000000001E-6</v>
      </c>
      <c r="I5256">
        <v>-2.3277290000000002</v>
      </c>
      <c r="J5256">
        <v>-304.82670000000002</v>
      </c>
      <c r="K5256">
        <v>1.05436</v>
      </c>
      <c r="L5256">
        <v>7.6012880000000003</v>
      </c>
      <c r="M5256">
        <v>0.27956779999999998</v>
      </c>
      <c r="N5256">
        <v>0</v>
      </c>
      <c r="O5256">
        <v>-0.9600263</v>
      </c>
      <c r="P5256">
        <v>0.21701010000000001</v>
      </c>
      <c r="Q5256">
        <v>2.7902260000000002E-2</v>
      </c>
      <c r="R5256">
        <v>-0.97577039999999904</v>
      </c>
      <c r="S5256">
        <v>1.002472</v>
      </c>
      <c r="T5256">
        <v>-0.2995796</v>
      </c>
      <c r="U5256">
        <v>-2.8601070000000002</v>
      </c>
      <c r="V5256">
        <v>6.449423E-2</v>
      </c>
      <c r="W5256">
        <v>4.1654759999999999E-2</v>
      </c>
      <c r="X5256">
        <v>0.9970483</v>
      </c>
      <c r="Y5256">
        <v>-5.2160390000000001E-2</v>
      </c>
      <c r="Z5256">
        <v>9.5183190000000001E-2</v>
      </c>
      <c r="AA5256">
        <v>0.99409230000000004</v>
      </c>
      <c r="AB5256">
        <v>15</v>
      </c>
      <c r="AC5256">
        <v>3.4910000000000401</v>
      </c>
      <c r="AD5256">
        <v>-1.054363728122</v>
      </c>
      <c r="AE5256">
        <v>-9.929017</v>
      </c>
      <c r="AF5256">
        <v>-0.56995355231690903</v>
      </c>
      <c r="AG5256">
        <v>-1.054363728122</v>
      </c>
      <c r="AH5256">
        <v>10.4046755905905</v>
      </c>
      <c r="AI5256">
        <v>95.777744535203595</v>
      </c>
      <c r="AJ5256">
        <v>93.135448863057704</v>
      </c>
      <c r="AK5256">
        <v>10.4734809909794</v>
      </c>
    </row>
    <row r="5257" spans="1:37" x14ac:dyDescent="0.2">
      <c r="A5257" t="str">
        <f>"20200111160004370"</f>
        <v>20200111160004370</v>
      </c>
      <c r="B5257" t="str">
        <f>"1578729604365735"</f>
        <v>1578729604365735</v>
      </c>
      <c r="C5257" t="s">
        <v>37</v>
      </c>
      <c r="D5257">
        <v>5.2826639999999996</v>
      </c>
      <c r="E5257">
        <v>0.45292909999999997</v>
      </c>
      <c r="F5257" t="s">
        <v>39</v>
      </c>
      <c r="G5257">
        <v>-301.03859999999997</v>
      </c>
      <c r="H5257" s="1">
        <v>-3.3479839999999999E-6</v>
      </c>
      <c r="I5257">
        <v>-2.964683</v>
      </c>
      <c r="J5257">
        <v>-304.7878</v>
      </c>
      <c r="K5257">
        <v>1.0545340000000001</v>
      </c>
      <c r="L5257">
        <v>7.4574579999999999</v>
      </c>
      <c r="M5257">
        <v>0.27734259999999999</v>
      </c>
      <c r="N5257">
        <v>0</v>
      </c>
      <c r="O5257">
        <v>-0.96067199999999997</v>
      </c>
      <c r="P5257">
        <v>0.2171149</v>
      </c>
      <c r="Q5257">
        <v>2.8662119999999999E-2</v>
      </c>
      <c r="R5257">
        <v>-0.97572519999999996</v>
      </c>
      <c r="S5257">
        <v>1.02359</v>
      </c>
      <c r="T5257">
        <v>-0.28489759999999997</v>
      </c>
      <c r="U5257">
        <v>-2.8550110000000002</v>
      </c>
      <c r="V5257">
        <v>6.2052389999999999E-2</v>
      </c>
      <c r="W5257">
        <v>4.2411780000000003E-2</v>
      </c>
      <c r="X5257">
        <v>0.99717129999999998</v>
      </c>
      <c r="Y5257">
        <v>-6.170585E-2</v>
      </c>
      <c r="Z5257">
        <v>9.0670879999999995E-2</v>
      </c>
      <c r="AA5257">
        <v>0.99396739999999995</v>
      </c>
      <c r="AB5257">
        <v>15</v>
      </c>
      <c r="AC5257">
        <v>3.7492000000000298</v>
      </c>
      <c r="AD5257">
        <v>-1.0545373479839999</v>
      </c>
      <c r="AE5257">
        <v>-10.422141</v>
      </c>
      <c r="AF5257">
        <v>-0.70492547819545903</v>
      </c>
      <c r="AG5257">
        <v>-1.0545373479839999</v>
      </c>
      <c r="AH5257">
        <v>10.953829733806799</v>
      </c>
      <c r="AI5257">
        <v>95.4876993432555</v>
      </c>
      <c r="AJ5257">
        <v>93.682149251941098</v>
      </c>
      <c r="AK5257">
        <v>11.027028375103299</v>
      </c>
    </row>
    <row r="5258" spans="1:37" x14ac:dyDescent="0.2">
      <c r="A5258" t="str">
        <f>"20200111160004394"</f>
        <v>20200111160004394</v>
      </c>
      <c r="B5258" t="str">
        <f>"1578729604386228"</f>
        <v>1578729604386228</v>
      </c>
      <c r="C5258" t="s">
        <v>37</v>
      </c>
      <c r="D5258">
        <v>5.2684569999999997</v>
      </c>
      <c r="E5258">
        <v>0.45114989999999999</v>
      </c>
      <c r="F5258" t="s">
        <v>39</v>
      </c>
      <c r="G5258">
        <v>-300.69580000000002</v>
      </c>
      <c r="H5258" s="1">
        <v>-2.94117099999999E-6</v>
      </c>
      <c r="I5258">
        <v>-3.632368</v>
      </c>
      <c r="J5258">
        <v>-304.74829999999997</v>
      </c>
      <c r="K5258">
        <v>1.054665</v>
      </c>
      <c r="L5258">
        <v>7.3120119999999904</v>
      </c>
      <c r="M5258">
        <v>0.2755145</v>
      </c>
      <c r="N5258">
        <v>0</v>
      </c>
      <c r="O5258">
        <v>-0.96119840000000001</v>
      </c>
      <c r="P5258">
        <v>0.21894159999999999</v>
      </c>
      <c r="Q5258">
        <v>2.7809919999999998E-2</v>
      </c>
      <c r="R5258">
        <v>-0.97534189999999998</v>
      </c>
      <c r="S5258">
        <v>1.0511170000000001</v>
      </c>
      <c r="T5258">
        <v>-0.27088370000000001</v>
      </c>
      <c r="U5258">
        <v>-2.8486940000000001</v>
      </c>
      <c r="V5258">
        <v>5.827951E-2</v>
      </c>
      <c r="W5258">
        <v>4.1555189999999999E-2</v>
      </c>
      <c r="X5258">
        <v>0.99743499999999996</v>
      </c>
      <c r="Y5258">
        <v>-7.2920890000000002E-2</v>
      </c>
      <c r="Z5258">
        <v>8.6327219999999996E-2</v>
      </c>
      <c r="AA5258">
        <v>0.99359459999999999</v>
      </c>
      <c r="AB5258">
        <v>15</v>
      </c>
      <c r="AC5258">
        <v>4.0524999999999496</v>
      </c>
      <c r="AD5258">
        <v>-1.054667941171</v>
      </c>
      <c r="AE5258">
        <v>-10.944380000000001</v>
      </c>
      <c r="AF5258">
        <v>-0.87287594314819805</v>
      </c>
      <c r="AG5258">
        <v>-1.054667941171</v>
      </c>
      <c r="AH5258">
        <v>11.543076143286999</v>
      </c>
      <c r="AI5258">
        <v>95.205726091248096</v>
      </c>
      <c r="AJ5258">
        <v>94.324419739900804</v>
      </c>
      <c r="AK5258">
        <v>11.6239771045878</v>
      </c>
    </row>
    <row r="5259" spans="1:37" x14ac:dyDescent="0.2">
      <c r="A5259" t="str">
        <f>"20200111160004415"</f>
        <v>20200111160004415</v>
      </c>
      <c r="B5259" t="str">
        <f>"1578729604405748"</f>
        <v>1578729604405748</v>
      </c>
      <c r="C5259" t="s">
        <v>37</v>
      </c>
      <c r="D5259">
        <v>5.2958369999999997</v>
      </c>
      <c r="E5259">
        <v>0.4498935</v>
      </c>
      <c r="F5259" t="s">
        <v>39</v>
      </c>
      <c r="G5259">
        <v>-300.54289999999997</v>
      </c>
      <c r="H5259" s="1">
        <v>-2.7841530000000001E-6</v>
      </c>
      <c r="I5259">
        <v>-3.87843899999999</v>
      </c>
      <c r="J5259">
        <v>-304.71080000000001</v>
      </c>
      <c r="K5259">
        <v>1.054767</v>
      </c>
      <c r="L5259">
        <v>7.1746220000000003</v>
      </c>
      <c r="M5259">
        <v>0.27416009999999902</v>
      </c>
      <c r="N5259">
        <v>0</v>
      </c>
      <c r="O5259">
        <v>-0.96158589999999999</v>
      </c>
      <c r="P5259">
        <v>0.2216359</v>
      </c>
      <c r="Q5259">
        <v>2.7774710000000001E-2</v>
      </c>
      <c r="R5259">
        <v>-0.97473430000000005</v>
      </c>
      <c r="S5259">
        <v>1.0686340000000001</v>
      </c>
      <c r="T5259">
        <v>-0.26800069999999998</v>
      </c>
      <c r="U5259">
        <v>-2.8435969999999999</v>
      </c>
      <c r="V5259">
        <v>5.4105640000000003E-2</v>
      </c>
      <c r="W5259">
        <v>4.1515160000000002E-2</v>
      </c>
      <c r="X5259">
        <v>0.9976718</v>
      </c>
      <c r="Y5259">
        <v>-8.0303150000000004E-2</v>
      </c>
      <c r="Z5259">
        <v>8.5497050000000005E-2</v>
      </c>
      <c r="AA5259">
        <v>0.99309699999999901</v>
      </c>
      <c r="AB5259">
        <v>15</v>
      </c>
      <c r="AC5259">
        <v>4.1679000000000297</v>
      </c>
      <c r="AD5259">
        <v>-1.0547697841529999</v>
      </c>
      <c r="AE5259">
        <v>-11.053061</v>
      </c>
      <c r="AF5259">
        <v>-0.96984544874840695</v>
      </c>
      <c r="AG5259">
        <v>-1.0547697841529999</v>
      </c>
      <c r="AH5259">
        <v>11.679135208700201</v>
      </c>
      <c r="AI5259">
        <v>95.142908524992905</v>
      </c>
      <c r="AJ5259">
        <v>94.746999452273002</v>
      </c>
      <c r="AK5259">
        <v>11.7667046667757</v>
      </c>
    </row>
    <row r="5260" spans="1:37" x14ac:dyDescent="0.2">
      <c r="A5260" t="str">
        <f>"20200111160004437"</f>
        <v>20200111160004437</v>
      </c>
      <c r="B5260" t="str">
        <f>"1578729604426244"</f>
        <v>1578729604426244</v>
      </c>
      <c r="C5260" t="s">
        <v>37</v>
      </c>
      <c r="D5260">
        <v>5.2712940000000001</v>
      </c>
      <c r="E5260">
        <v>0.44884229999999897</v>
      </c>
      <c r="F5260" t="s">
        <v>39</v>
      </c>
      <c r="G5260">
        <v>-300.37240000000003</v>
      </c>
      <c r="H5260" s="1">
        <v>-2.59388199999999E-6</v>
      </c>
      <c r="I5260">
        <v>-4.1850050000000003</v>
      </c>
      <c r="J5260">
        <v>-304.67180000000002</v>
      </c>
      <c r="K5260">
        <v>1.054881</v>
      </c>
      <c r="L5260">
        <v>7.0322269999999998</v>
      </c>
      <c r="M5260">
        <v>0.27309470000000002</v>
      </c>
      <c r="N5260">
        <v>0</v>
      </c>
      <c r="O5260">
        <v>-0.96188929999999995</v>
      </c>
      <c r="P5260">
        <v>0.22104459999999901</v>
      </c>
      <c r="Q5260">
        <v>2.9557460000000001E-2</v>
      </c>
      <c r="R5260">
        <v>-0.97481580000000001</v>
      </c>
      <c r="S5260">
        <v>1.0841670000000001</v>
      </c>
      <c r="T5260">
        <v>-0.26358740000000003</v>
      </c>
      <c r="U5260">
        <v>-2.83877599999999</v>
      </c>
      <c r="V5260">
        <v>5.3579799999999997E-2</v>
      </c>
      <c r="W5260">
        <v>4.3293599999999897E-2</v>
      </c>
      <c r="X5260">
        <v>0.99762459999999997</v>
      </c>
      <c r="Y5260">
        <v>-8.675447E-2</v>
      </c>
      <c r="Z5260">
        <v>8.4171040000000003E-2</v>
      </c>
      <c r="AA5260">
        <v>0.99266759999999998</v>
      </c>
      <c r="AB5260">
        <v>15</v>
      </c>
      <c r="AC5260">
        <v>4.2993999999999897</v>
      </c>
      <c r="AD5260">
        <v>-1.054883593882</v>
      </c>
      <c r="AE5260">
        <v>-11.217231999999999</v>
      </c>
      <c r="AF5260">
        <v>-1.06407612351896</v>
      </c>
      <c r="AG5260">
        <v>-1.054883593882</v>
      </c>
      <c r="AH5260">
        <v>11.8734492469033</v>
      </c>
      <c r="AI5260">
        <v>95.056890005533504</v>
      </c>
      <c r="AJ5260">
        <v>95.1210591481817</v>
      </c>
      <c r="AK5260">
        <v>11.967616070549401</v>
      </c>
    </row>
    <row r="5261" spans="1:37" x14ac:dyDescent="0.2">
      <c r="A5261" t="str">
        <f>"20200111160004460"</f>
        <v>20200111160004460</v>
      </c>
      <c r="B5261" t="str">
        <f>"1578729604456500"</f>
        <v>1578729604456500</v>
      </c>
      <c r="C5261" t="s">
        <v>37</v>
      </c>
      <c r="D5261">
        <v>5.346698</v>
      </c>
      <c r="E5261">
        <v>0.4489687</v>
      </c>
      <c r="F5261" t="s">
        <v>39</v>
      </c>
      <c r="G5261">
        <v>-300.17939999999999</v>
      </c>
      <c r="H5261" s="1">
        <v>-2.3127170000000002E-6</v>
      </c>
      <c r="I5261">
        <v>-4.6711320000000001</v>
      </c>
      <c r="J5261">
        <v>-304.63350000000003</v>
      </c>
      <c r="K5261">
        <v>1.05498799999999</v>
      </c>
      <c r="L5261">
        <v>6.8932799999999999</v>
      </c>
      <c r="M5261">
        <v>0.27233059999999998</v>
      </c>
      <c r="N5261">
        <v>0</v>
      </c>
      <c r="O5261">
        <v>-0.96210589999999996</v>
      </c>
      <c r="P5261">
        <v>0.21810789999999899</v>
      </c>
      <c r="Q5261">
        <v>3.1496910000000003E-2</v>
      </c>
      <c r="R5261">
        <v>-0.97541650000000002</v>
      </c>
      <c r="S5261">
        <v>1.0894779999999999</v>
      </c>
      <c r="T5261">
        <v>-0.25582389999999999</v>
      </c>
      <c r="U5261">
        <v>-2.8382259999999899</v>
      </c>
      <c r="V5261">
        <v>5.5764759999999997E-2</v>
      </c>
      <c r="W5261">
        <v>4.523195E-2</v>
      </c>
      <c r="X5261">
        <v>0.99741880000000005</v>
      </c>
      <c r="Y5261">
        <v>-8.9305499999999996E-2</v>
      </c>
      <c r="Z5261">
        <v>8.1716529999999996E-2</v>
      </c>
      <c r="AA5261">
        <v>0.99264649999999999</v>
      </c>
      <c r="AB5261">
        <v>15</v>
      </c>
      <c r="AC5261">
        <v>4.4541000000000404</v>
      </c>
      <c r="AD5261">
        <v>-1.05499031271699</v>
      </c>
      <c r="AE5261">
        <v>-11.564412000000001</v>
      </c>
      <c r="AF5261">
        <v>-1.12790529594551</v>
      </c>
      <c r="AG5261">
        <v>-1.05499031271699</v>
      </c>
      <c r="AH5261">
        <v>12.251547633055299</v>
      </c>
      <c r="AI5261">
        <v>94.901019613719697</v>
      </c>
      <c r="AJ5261">
        <v>95.259952830654996</v>
      </c>
      <c r="AK5261">
        <v>12.3485057525829</v>
      </c>
    </row>
    <row r="5262" spans="1:37" x14ac:dyDescent="0.2">
      <c r="A5262" t="str">
        <f>"20200111160004482"</f>
        <v>20200111160004482</v>
      </c>
      <c r="B5262" t="str">
        <f>"1578729604476019"</f>
        <v>1578729604476019</v>
      </c>
      <c r="C5262" t="s">
        <v>37</v>
      </c>
      <c r="D5262">
        <v>5.2701399999999996</v>
      </c>
      <c r="E5262">
        <v>0.44926260000000001</v>
      </c>
      <c r="F5262" t="s">
        <v>39</v>
      </c>
      <c r="G5262">
        <v>-299.9631</v>
      </c>
      <c r="H5262" s="1">
        <v>-1.906833E-6</v>
      </c>
      <c r="I5262">
        <v>-5.4080659999999998</v>
      </c>
      <c r="J5262">
        <v>-304.59460000000001</v>
      </c>
      <c r="K5262">
        <v>1.055067</v>
      </c>
      <c r="L5262">
        <v>6.7533869999999903</v>
      </c>
      <c r="M5262">
        <v>0.2717755</v>
      </c>
      <c r="N5262">
        <v>0</v>
      </c>
      <c r="O5262">
        <v>-0.96226290000000003</v>
      </c>
      <c r="P5262">
        <v>0.21559239999999999</v>
      </c>
      <c r="Q5262">
        <v>3.2219599999999897E-2</v>
      </c>
      <c r="R5262">
        <v>-0.97595169999999998</v>
      </c>
      <c r="S5262">
        <v>1.0790709999999999</v>
      </c>
      <c r="T5262">
        <v>-0.24375269999999999</v>
      </c>
      <c r="U5262">
        <v>-2.8421939999999899</v>
      </c>
      <c r="V5262">
        <v>5.7746430000000001E-2</v>
      </c>
      <c r="W5262">
        <v>4.5955030000000001E-2</v>
      </c>
      <c r="X5262">
        <v>0.99727299999999997</v>
      </c>
      <c r="Y5262">
        <v>-8.6356950000000002E-2</v>
      </c>
      <c r="Z5262">
        <v>7.7863219999999997E-2</v>
      </c>
      <c r="AA5262">
        <v>0.99321689999999996</v>
      </c>
      <c r="AB5262">
        <v>15</v>
      </c>
      <c r="AC5262">
        <v>4.6315000000000097</v>
      </c>
      <c r="AD5262">
        <v>-1.0550689068329999</v>
      </c>
      <c r="AE5262">
        <v>-12.161453</v>
      </c>
      <c r="AF5262">
        <v>-1.14412355081178</v>
      </c>
      <c r="AG5262">
        <v>-1.0550689068329999</v>
      </c>
      <c r="AH5262">
        <v>12.8778154995929</v>
      </c>
      <c r="AI5262">
        <v>94.665440240029</v>
      </c>
      <c r="AJ5262">
        <v>95.077086573853407</v>
      </c>
      <c r="AK5262">
        <v>12.9715196156519</v>
      </c>
    </row>
    <row r="5263" spans="1:37" x14ac:dyDescent="0.2">
      <c r="A5263" t="str">
        <f>"20200111160004505"</f>
        <v>20200111160004505</v>
      </c>
      <c r="B5263" t="str">
        <f>"1578729604496517"</f>
        <v>1578729604496517</v>
      </c>
      <c r="C5263" t="s">
        <v>37</v>
      </c>
      <c r="D5263">
        <v>5.3035969999999999</v>
      </c>
      <c r="E5263">
        <v>0.44942659999999901</v>
      </c>
      <c r="F5263" t="s">
        <v>39</v>
      </c>
      <c r="G5263">
        <v>-299.89</v>
      </c>
      <c r="H5263" s="1">
        <v>-1.7397719999999999E-6</v>
      </c>
      <c r="I5263">
        <v>-5.7838859999999999</v>
      </c>
      <c r="J5263">
        <v>-304.55560000000003</v>
      </c>
      <c r="K5263">
        <v>1.055104</v>
      </c>
      <c r="L5263">
        <v>6.613556</v>
      </c>
      <c r="M5263">
        <v>0.27138299999999999</v>
      </c>
      <c r="N5263">
        <v>0</v>
      </c>
      <c r="O5263">
        <v>-0.96237399999999995</v>
      </c>
      <c r="P5263">
        <v>0.2136094</v>
      </c>
      <c r="Q5263">
        <v>3.2065379999999997E-2</v>
      </c>
      <c r="R5263">
        <v>-0.97639279999999995</v>
      </c>
      <c r="S5263">
        <v>1.0679319999999899</v>
      </c>
      <c r="T5263">
        <v>-0.23949690000000001</v>
      </c>
      <c r="U5263">
        <v>-2.845917</v>
      </c>
      <c r="V5263">
        <v>5.936425E-2</v>
      </c>
      <c r="W5263">
        <v>4.5797839999999999E-2</v>
      </c>
      <c r="X5263">
        <v>0.99718530000000005</v>
      </c>
      <c r="Y5263">
        <v>-8.2967020000000002E-2</v>
      </c>
      <c r="Z5263">
        <v>7.6494110000000004E-2</v>
      </c>
      <c r="AA5263">
        <v>0.99361219999999995</v>
      </c>
      <c r="AB5263">
        <v>15</v>
      </c>
      <c r="AC5263">
        <v>4.6656000000000404</v>
      </c>
      <c r="AD5263">
        <v>-1.0551057397720001</v>
      </c>
      <c r="AE5263">
        <v>-12.397442</v>
      </c>
      <c r="AF5263">
        <v>-1.11860561620885</v>
      </c>
      <c r="AG5263">
        <v>-1.0551057397720001</v>
      </c>
      <c r="AH5263">
        <v>13.1151678668642</v>
      </c>
      <c r="AI5263">
        <v>94.582930266283995</v>
      </c>
      <c r="AJ5263">
        <v>94.875015263700803</v>
      </c>
      <c r="AK5263">
        <v>13.205004915665199</v>
      </c>
    </row>
    <row r="5264" spans="1:37" x14ac:dyDescent="0.2">
      <c r="A5264" t="str">
        <f>"20200111160004526"</f>
        <v>20200111160004526</v>
      </c>
      <c r="B5264" t="str">
        <f>"1578729604516036"</f>
        <v>1578729604516036</v>
      </c>
      <c r="C5264" t="s">
        <v>37</v>
      </c>
      <c r="D5264">
        <v>5.2618869999999998</v>
      </c>
      <c r="E5264">
        <v>0.44997479999999901</v>
      </c>
      <c r="F5264" t="s">
        <v>39</v>
      </c>
      <c r="G5264">
        <v>-299.8854</v>
      </c>
      <c r="H5264" s="1">
        <v>-1.66399E-6</v>
      </c>
      <c r="I5264">
        <v>-5.9459070000000001</v>
      </c>
      <c r="J5264">
        <v>-304.51760000000002</v>
      </c>
      <c r="K5264">
        <v>1.055072</v>
      </c>
      <c r="L5264">
        <v>6.4776610000000003</v>
      </c>
      <c r="M5264">
        <v>0.27110849999999997</v>
      </c>
      <c r="N5264">
        <v>0</v>
      </c>
      <c r="O5264">
        <v>-0.96245149999999902</v>
      </c>
      <c r="P5264">
        <v>0.21319189999999999</v>
      </c>
      <c r="Q5264">
        <v>3.084599E-2</v>
      </c>
      <c r="R5264">
        <v>-0.97652349999999999</v>
      </c>
      <c r="S5264">
        <v>1.0592649999999999</v>
      </c>
      <c r="T5264">
        <v>-0.2393129</v>
      </c>
      <c r="U5264">
        <v>-2.8486630000000002</v>
      </c>
      <c r="V5264">
        <v>5.9521119999999997E-2</v>
      </c>
      <c r="W5264">
        <v>4.4569329999999997E-2</v>
      </c>
      <c r="X5264">
        <v>0.997231599999999</v>
      </c>
      <c r="Y5264">
        <v>-8.0284480000000005E-2</v>
      </c>
      <c r="Z5264">
        <v>7.642359E-2</v>
      </c>
      <c r="AA5264">
        <v>0.993837999999999</v>
      </c>
      <c r="AB5264">
        <v>14</v>
      </c>
      <c r="AC5264">
        <v>4.6322000000000099</v>
      </c>
      <c r="AD5264">
        <v>-1.05507366398999</v>
      </c>
      <c r="AE5264">
        <v>-12.423568</v>
      </c>
      <c r="AF5264">
        <v>-1.0833751215426</v>
      </c>
      <c r="AG5264">
        <v>-1.05507366398999</v>
      </c>
      <c r="AH5264">
        <v>13.1310024375972</v>
      </c>
      <c r="AI5264">
        <v>94.578346648149704</v>
      </c>
      <c r="AJ5264">
        <v>94.716513427637807</v>
      </c>
      <c r="AK5264">
        <v>13.2177950924731</v>
      </c>
    </row>
    <row r="5265" spans="1:37" x14ac:dyDescent="0.2">
      <c r="A5265" t="str">
        <f>"20200111160004549"</f>
        <v>20200111160004549</v>
      </c>
      <c r="B5265" t="str">
        <f>"1578729604546292"</f>
        <v>1578729604546292</v>
      </c>
      <c r="C5265" t="s">
        <v>37</v>
      </c>
      <c r="D5265">
        <v>5.5183119999999999</v>
      </c>
      <c r="E5265">
        <v>0.450221599999999</v>
      </c>
      <c r="F5265" t="s">
        <v>39</v>
      </c>
      <c r="G5265">
        <v>-299.86900000000003</v>
      </c>
      <c r="H5265" s="1">
        <v>-1.587261E-6</v>
      </c>
      <c r="I5265">
        <v>-6.1143919999999996</v>
      </c>
      <c r="J5265">
        <v>-304.47899999999998</v>
      </c>
      <c r="K5265">
        <v>1.054983</v>
      </c>
      <c r="L5265">
        <v>6.3399960000000002</v>
      </c>
      <c r="M5265">
        <v>0.27087050000000001</v>
      </c>
      <c r="N5265">
        <v>0</v>
      </c>
      <c r="O5265">
        <v>-0.96251849999999906</v>
      </c>
      <c r="P5265">
        <v>0.21503849999999999</v>
      </c>
      <c r="Q5265">
        <v>2.960318E-2</v>
      </c>
      <c r="R5265">
        <v>-0.97615699999999905</v>
      </c>
      <c r="S5265">
        <v>1.0521240000000001</v>
      </c>
      <c r="T5265">
        <v>-0.23879610000000001</v>
      </c>
      <c r="U5265">
        <v>-2.8499759999999998</v>
      </c>
      <c r="V5265">
        <v>5.740663E-2</v>
      </c>
      <c r="W5265">
        <v>4.3311229999999999E-2</v>
      </c>
      <c r="X5265">
        <v>0.99741100000000005</v>
      </c>
      <c r="Y5265">
        <v>-7.8195680000000004E-2</v>
      </c>
      <c r="Z5265">
        <v>7.6272899999999894E-2</v>
      </c>
      <c r="AA5265">
        <v>0.99401609999999996</v>
      </c>
      <c r="AB5265">
        <v>14</v>
      </c>
      <c r="AC5265">
        <v>4.6100000000000101</v>
      </c>
      <c r="AD5265">
        <v>-1.054984587261</v>
      </c>
      <c r="AE5265">
        <v>-12.454388</v>
      </c>
      <c r="AF5265">
        <v>-1.0571124163590899</v>
      </c>
      <c r="AG5265">
        <v>-1.054984587261</v>
      </c>
      <c r="AH5265">
        <v>13.1545165038284</v>
      </c>
      <c r="AI5265">
        <v>94.570602505762096</v>
      </c>
      <c r="AJ5265">
        <v>94.594482932401604</v>
      </c>
      <c r="AK5265">
        <v>13.239025024135</v>
      </c>
    </row>
    <row r="5266" spans="1:37" x14ac:dyDescent="0.2">
      <c r="A5266" t="str">
        <f>"20200111160004572"</f>
        <v>20200111160004572</v>
      </c>
      <c r="B5266" t="str">
        <f>"1578729604565815"</f>
        <v>1578729604565815</v>
      </c>
      <c r="C5266" t="s">
        <v>37</v>
      </c>
      <c r="D5266">
        <v>5.3240629999999998</v>
      </c>
      <c r="E5266">
        <v>0.45075900000000002</v>
      </c>
      <c r="F5266" t="s">
        <v>39</v>
      </c>
      <c r="G5266">
        <v>-299.75639999999999</v>
      </c>
      <c r="H5266" s="1">
        <v>-1.4628669999999999E-6</v>
      </c>
      <c r="I5266">
        <v>-6.4197930000000003</v>
      </c>
      <c r="J5266">
        <v>-304.4391</v>
      </c>
      <c r="K5266">
        <v>1.0548599999999999</v>
      </c>
      <c r="L5266">
        <v>6.197235</v>
      </c>
      <c r="M5266">
        <v>0.27061049999999998</v>
      </c>
      <c r="N5266">
        <v>0</v>
      </c>
      <c r="O5266">
        <v>-0.96259150000000004</v>
      </c>
      <c r="P5266">
        <v>0.21756309999999901</v>
      </c>
      <c r="Q5266">
        <v>2.786112E-2</v>
      </c>
      <c r="R5266">
        <v>-0.97564879999999998</v>
      </c>
      <c r="S5266">
        <v>1.0541689999999999</v>
      </c>
      <c r="T5266">
        <v>-0.2354908</v>
      </c>
      <c r="U5266">
        <v>-2.8482059999999998</v>
      </c>
      <c r="V5266">
        <v>5.4581579999999998E-2</v>
      </c>
      <c r="W5266">
        <v>4.1551850000000001E-2</v>
      </c>
      <c r="X5266">
        <v>0.99764439999999999</v>
      </c>
      <c r="Y5266">
        <v>-7.9320989999999994E-2</v>
      </c>
      <c r="Z5266">
        <v>7.5263369999999996E-2</v>
      </c>
      <c r="AA5266">
        <v>0.99400379999999999</v>
      </c>
      <c r="AB5266">
        <v>14</v>
      </c>
      <c r="AC5266">
        <v>4.6827000000000103</v>
      </c>
      <c r="AD5266">
        <v>-1.0548614628670001</v>
      </c>
      <c r="AE5266">
        <v>-12.617027999999999</v>
      </c>
      <c r="AF5266">
        <v>-1.08665340456027</v>
      </c>
      <c r="AG5266">
        <v>-1.0548614628670001</v>
      </c>
      <c r="AH5266">
        <v>13.331584153620099</v>
      </c>
      <c r="AI5266">
        <v>94.509209809352001</v>
      </c>
      <c r="AJ5266">
        <v>94.659860157716295</v>
      </c>
      <c r="AK5266">
        <v>13.4173277657118</v>
      </c>
    </row>
    <row r="5267" spans="1:37" x14ac:dyDescent="0.2">
      <c r="A5267" t="str">
        <f>"20200111160004595"</f>
        <v>20200111160004595</v>
      </c>
      <c r="B5267" t="str">
        <f>"1578729604586307"</f>
        <v>1578729604586307</v>
      </c>
      <c r="C5267" t="s">
        <v>37</v>
      </c>
      <c r="D5267">
        <v>5.1789870000000002</v>
      </c>
      <c r="E5267">
        <v>0.45053539999999997</v>
      </c>
      <c r="F5267" t="s">
        <v>39</v>
      </c>
      <c r="G5267">
        <v>-299.71230000000003</v>
      </c>
      <c r="H5267" s="1">
        <v>-1.417355E-6</v>
      </c>
      <c r="I5267">
        <v>-6.5326409999999999</v>
      </c>
      <c r="J5267">
        <v>-304.40039999999999</v>
      </c>
      <c r="K5267">
        <v>1.0547229999999901</v>
      </c>
      <c r="L5267">
        <v>6.0582279999999997</v>
      </c>
      <c r="M5267">
        <v>0.27029359999999902</v>
      </c>
      <c r="N5267">
        <v>0</v>
      </c>
      <c r="O5267">
        <v>-0.9626806</v>
      </c>
      <c r="P5267">
        <v>0.2203946</v>
      </c>
      <c r="Q5267">
        <v>2.454313E-2</v>
      </c>
      <c r="R5267">
        <v>-0.97510209999999997</v>
      </c>
      <c r="S5267">
        <v>1.0567629999999999</v>
      </c>
      <c r="T5267">
        <v>-0.2358295</v>
      </c>
      <c r="U5267">
        <v>-2.8459469999999998</v>
      </c>
      <c r="V5267">
        <v>5.1391770000000003E-2</v>
      </c>
      <c r="W5267">
        <v>3.8219500000000003E-2</v>
      </c>
      <c r="X5267">
        <v>0.99794699999999903</v>
      </c>
      <c r="Y5267">
        <v>-8.0698149999999996E-2</v>
      </c>
      <c r="Z5267">
        <v>7.5421429999999998E-2</v>
      </c>
      <c r="AA5267">
        <v>0.99388099999999902</v>
      </c>
      <c r="AB5267">
        <v>14</v>
      </c>
      <c r="AC5267">
        <v>4.6880999999999604</v>
      </c>
      <c r="AD5267">
        <v>-1.0547244173549899</v>
      </c>
      <c r="AE5267">
        <v>-12.590869</v>
      </c>
      <c r="AF5267">
        <v>-1.10321669465492</v>
      </c>
      <c r="AG5267">
        <v>-1.0547244173549899</v>
      </c>
      <c r="AH5267">
        <v>13.3073922779979</v>
      </c>
      <c r="AI5267">
        <v>94.516277319547896</v>
      </c>
      <c r="AJ5267">
        <v>94.739128720113101</v>
      </c>
      <c r="AK5267">
        <v>13.394633996957401</v>
      </c>
    </row>
    <row r="5268" spans="1:37" x14ac:dyDescent="0.2">
      <c r="A5268" t="str">
        <f>"20200111160004616"</f>
        <v>20200111160004616</v>
      </c>
      <c r="B5268" t="str">
        <f>"1578729604605828"</f>
        <v>1578729604605828</v>
      </c>
      <c r="C5268" t="s">
        <v>37</v>
      </c>
      <c r="D5268">
        <v>5.2765110000000002</v>
      </c>
      <c r="E5268">
        <v>0.45037860000000002</v>
      </c>
      <c r="F5268" t="s">
        <v>39</v>
      </c>
      <c r="G5268">
        <v>-299.80630000000002</v>
      </c>
      <c r="H5268" s="1">
        <v>-1.567461E-6</v>
      </c>
      <c r="I5268">
        <v>-6.1798159999999998</v>
      </c>
      <c r="J5268">
        <v>-304.36329999999998</v>
      </c>
      <c r="K5268">
        <v>1.0545819999999999</v>
      </c>
      <c r="L5268">
        <v>5.9248349999999999</v>
      </c>
      <c r="M5268">
        <v>0.26988979999999901</v>
      </c>
      <c r="N5268">
        <v>0</v>
      </c>
      <c r="O5268">
        <v>-0.96279419999999905</v>
      </c>
      <c r="P5268">
        <v>0.22355939999999999</v>
      </c>
      <c r="Q5268">
        <v>1.9776660000000001E-2</v>
      </c>
      <c r="R5268">
        <v>-0.97448989999999902</v>
      </c>
      <c r="S5268">
        <v>1.0667420000000001</v>
      </c>
      <c r="T5268">
        <v>-0.2449046</v>
      </c>
      <c r="U5268">
        <v>-2.8416440000000001</v>
      </c>
      <c r="V5268">
        <v>4.7770699999999999E-2</v>
      </c>
      <c r="W5268">
        <v>3.3441329999999998E-2</v>
      </c>
      <c r="X5268">
        <v>0.99829829999999997</v>
      </c>
      <c r="Y5268">
        <v>-8.4586679999999997E-2</v>
      </c>
      <c r="Z5268">
        <v>7.8370259999999997E-2</v>
      </c>
      <c r="AA5268">
        <v>0.99332929999999997</v>
      </c>
      <c r="AB5268">
        <v>14</v>
      </c>
      <c r="AC5268">
        <v>4.5569999999999604</v>
      </c>
      <c r="AD5268">
        <v>-1.054583567461</v>
      </c>
      <c r="AE5268">
        <v>-12.104651</v>
      </c>
      <c r="AF5268">
        <v>-1.1132351613356</v>
      </c>
      <c r="AG5268">
        <v>-1.054583567461</v>
      </c>
      <c r="AH5268">
        <v>12.800282230127801</v>
      </c>
      <c r="AI5268">
        <v>94.692188165896795</v>
      </c>
      <c r="AJ5268">
        <v>94.970483259640602</v>
      </c>
      <c r="AK5268">
        <v>12.8918060874385</v>
      </c>
    </row>
    <row r="5269" spans="1:37" x14ac:dyDescent="0.2">
      <c r="A5269" t="str">
        <f>"20200111160004639"</f>
        <v>20200111160004639</v>
      </c>
      <c r="B5269" t="str">
        <f>"1578729604636084"</f>
        <v>1578729604636084</v>
      </c>
      <c r="C5269" t="s">
        <v>37</v>
      </c>
      <c r="D5269">
        <v>5.3455029999999999</v>
      </c>
      <c r="E5269">
        <v>0.45037509999999997</v>
      </c>
      <c r="F5269" t="s">
        <v>39</v>
      </c>
      <c r="G5269">
        <v>-299.94639999999998</v>
      </c>
      <c r="H5269" s="1">
        <v>-1.7635360000000001E-6</v>
      </c>
      <c r="I5269">
        <v>-5.7124550000000003</v>
      </c>
      <c r="J5269">
        <v>-304.32389999999998</v>
      </c>
      <c r="K5269">
        <v>1.0544340000000001</v>
      </c>
      <c r="L5269">
        <v>5.7817689999999997</v>
      </c>
      <c r="M5269">
        <v>0.26932299999999998</v>
      </c>
      <c r="N5269">
        <v>0</v>
      </c>
      <c r="O5269">
        <v>-0.9629529</v>
      </c>
      <c r="P5269">
        <v>0.22546140000000001</v>
      </c>
      <c r="Q5269">
        <v>1.498908E-2</v>
      </c>
      <c r="R5269">
        <v>-0.97413709999999898</v>
      </c>
      <c r="S5269">
        <v>1.0766910000000001</v>
      </c>
      <c r="T5269">
        <v>-0.25706770000000001</v>
      </c>
      <c r="U5269">
        <v>-2.8367309999999999</v>
      </c>
      <c r="V5269">
        <v>4.5263820000000003E-2</v>
      </c>
      <c r="W5269">
        <v>2.8643330000000002E-2</v>
      </c>
      <c r="X5269">
        <v>0.99856440000000002</v>
      </c>
      <c r="Y5269">
        <v>-8.867005E-2</v>
      </c>
      <c r="Z5269">
        <v>8.2323839999999995E-2</v>
      </c>
      <c r="AA5269">
        <v>0.99265319999999901</v>
      </c>
      <c r="AB5269">
        <v>14</v>
      </c>
      <c r="AC5269">
        <v>4.3774999999999897</v>
      </c>
      <c r="AD5269">
        <v>-1.054435763536</v>
      </c>
      <c r="AE5269">
        <v>-11.494224000000001</v>
      </c>
      <c r="AF5269">
        <v>-1.1116022846355</v>
      </c>
      <c r="AG5269">
        <v>-1.054435763536</v>
      </c>
      <c r="AH5269">
        <v>12.1591380767097</v>
      </c>
      <c r="AI5269">
        <v>94.935787530063195</v>
      </c>
      <c r="AJ5269">
        <v>95.223525430846095</v>
      </c>
      <c r="AK5269">
        <v>12.255290008283</v>
      </c>
    </row>
    <row r="5270" spans="1:37" x14ac:dyDescent="0.2">
      <c r="A5270" t="str">
        <f>"20200111160004663"</f>
        <v>20200111160004663</v>
      </c>
      <c r="B5270" t="str">
        <f>"1578729604655604"</f>
        <v>1578729604655604</v>
      </c>
      <c r="C5270" t="s">
        <v>37</v>
      </c>
      <c r="D5270">
        <v>5.2846479999999998</v>
      </c>
      <c r="E5270">
        <v>0.45058500000000001</v>
      </c>
      <c r="F5270" t="s">
        <v>39</v>
      </c>
      <c r="G5270">
        <v>-300.02769999999998</v>
      </c>
      <c r="H5270" s="1">
        <v>-1.893733E-6</v>
      </c>
      <c r="I5270">
        <v>-5.4721029999999997</v>
      </c>
      <c r="J5270">
        <v>-304.2842</v>
      </c>
      <c r="K5270">
        <v>1.0543069999999899</v>
      </c>
      <c r="L5270">
        <v>5.6374209999999998</v>
      </c>
      <c r="M5270">
        <v>0.26860259999999903</v>
      </c>
      <c r="N5270">
        <v>0</v>
      </c>
      <c r="O5270">
        <v>-0.96315379999999995</v>
      </c>
      <c r="P5270">
        <v>0.22564809999999999</v>
      </c>
      <c r="Q5270">
        <v>1.1162500000000001E-2</v>
      </c>
      <c r="R5270">
        <v>-0.97414509999999899</v>
      </c>
      <c r="S5270">
        <v>1.0816649999999901</v>
      </c>
      <c r="T5270">
        <v>-0.26547700000000002</v>
      </c>
      <c r="U5270">
        <v>-2.833405</v>
      </c>
      <c r="V5270">
        <v>4.4344410000000001E-2</v>
      </c>
      <c r="W5270">
        <v>2.4804739999999999E-2</v>
      </c>
      <c r="X5270">
        <v>0.99870829999999999</v>
      </c>
      <c r="Y5270">
        <v>-9.1237960000000007E-2</v>
      </c>
      <c r="Z5270">
        <v>8.507982E-2</v>
      </c>
      <c r="AA5270">
        <v>0.99218799999999996</v>
      </c>
      <c r="AB5270">
        <v>14</v>
      </c>
      <c r="AC5270">
        <v>4.2565000000000097</v>
      </c>
      <c r="AD5270">
        <v>-1.0543088937330001</v>
      </c>
      <c r="AE5270">
        <v>-11.109524</v>
      </c>
      <c r="AF5270">
        <v>-1.1070277169179401</v>
      </c>
      <c r="AG5270">
        <v>-1.0543088937330001</v>
      </c>
      <c r="AH5270">
        <v>11.7523013977915</v>
      </c>
      <c r="AI5270">
        <v>95.1038567432999</v>
      </c>
      <c r="AJ5270">
        <v>95.381193613252094</v>
      </c>
      <c r="AK5270">
        <v>11.851314937759399</v>
      </c>
    </row>
    <row r="5271" spans="1:37" x14ac:dyDescent="0.2">
      <c r="A5271" t="str">
        <f>"20200111160004685"</f>
        <v>20200111160004685</v>
      </c>
      <c r="B5271" t="str">
        <f>"1578729604676101"</f>
        <v>1578729604676101</v>
      </c>
      <c r="C5271" t="s">
        <v>37</v>
      </c>
      <c r="D5271">
        <v>5.2503710000000003</v>
      </c>
      <c r="E5271">
        <v>0.45064009999999999</v>
      </c>
      <c r="F5271" t="s">
        <v>39</v>
      </c>
      <c r="G5271">
        <v>-300.1053</v>
      </c>
      <c r="H5271" s="1">
        <v>-1.9850099999999999E-6</v>
      </c>
      <c r="I5271">
        <v>-5.3227159999999998</v>
      </c>
      <c r="J5271">
        <v>-304.24759999999998</v>
      </c>
      <c r="K5271">
        <v>1.054198</v>
      </c>
      <c r="L5271">
        <v>5.502777</v>
      </c>
      <c r="M5271">
        <v>0.26779159999999902</v>
      </c>
      <c r="N5271">
        <v>0</v>
      </c>
      <c r="O5271">
        <v>-0.96337980000000001</v>
      </c>
      <c r="P5271">
        <v>0.22442089999999901</v>
      </c>
      <c r="Q5271">
        <v>7.9427519999999904E-3</v>
      </c>
      <c r="R5271">
        <v>-0.97446010000000005</v>
      </c>
      <c r="S5271">
        <v>1.080017</v>
      </c>
      <c r="T5271">
        <v>-0.27247979999999999</v>
      </c>
      <c r="U5271">
        <v>-2.8325809999999998</v>
      </c>
      <c r="V5271">
        <v>4.4773430000000003E-2</v>
      </c>
      <c r="W5271">
        <v>2.1573599999999998E-2</v>
      </c>
      <c r="X5271">
        <v>0.99876419999999999</v>
      </c>
      <c r="Y5271">
        <v>-9.159581E-2</v>
      </c>
      <c r="Z5271">
        <v>8.7367020000000004E-2</v>
      </c>
      <c r="AA5271">
        <v>0.99195619999999995</v>
      </c>
      <c r="AB5271">
        <v>14</v>
      </c>
      <c r="AC5271">
        <v>4.1422999999999703</v>
      </c>
      <c r="AD5271">
        <v>-1.0541999850099999</v>
      </c>
      <c r="AE5271">
        <v>-10.825493</v>
      </c>
      <c r="AF5271">
        <v>-1.0827774535730299</v>
      </c>
      <c r="AG5271">
        <v>-1.0541999850099999</v>
      </c>
      <c r="AH5271">
        <v>11.4447430516319</v>
      </c>
      <c r="AI5271">
        <v>95.239521278354303</v>
      </c>
      <c r="AJ5271">
        <v>95.404618132052093</v>
      </c>
      <c r="AK5271">
        <v>11.544084551848901</v>
      </c>
    </row>
    <row r="5272" spans="1:37" x14ac:dyDescent="0.2">
      <c r="A5272" t="str">
        <f>"20200111160004710"</f>
        <v>20200111160004710</v>
      </c>
      <c r="B5272" t="str">
        <f>"1578729604706356"</f>
        <v>1578729604706356</v>
      </c>
      <c r="C5272" t="s">
        <v>37</v>
      </c>
      <c r="D5272">
        <v>5.3044589999999996</v>
      </c>
      <c r="E5272">
        <v>0.45063540000000002</v>
      </c>
      <c r="F5272" t="s">
        <v>39</v>
      </c>
      <c r="G5272">
        <v>-300.17689999999999</v>
      </c>
      <c r="H5272" s="1">
        <v>-2.0525170000000001E-6</v>
      </c>
      <c r="I5272">
        <v>-5.2201829999999996</v>
      </c>
      <c r="J5272">
        <v>-304.20679999999999</v>
      </c>
      <c r="K5272">
        <v>1.0540879999999999</v>
      </c>
      <c r="L5272">
        <v>5.3516849999999998</v>
      </c>
      <c r="M5272">
        <v>0.26671679999999998</v>
      </c>
      <c r="N5272">
        <v>0</v>
      </c>
      <c r="O5272">
        <v>-0.96367789999999998</v>
      </c>
      <c r="P5272">
        <v>0.22085630000000001</v>
      </c>
      <c r="Q5272">
        <v>6.4620569999999898E-3</v>
      </c>
      <c r="R5272">
        <v>-0.97528519999999896</v>
      </c>
      <c r="S5272">
        <v>1.0755619999999999</v>
      </c>
      <c r="T5272">
        <v>-0.278537799999999</v>
      </c>
      <c r="U5272">
        <v>-2.8331909999999998</v>
      </c>
      <c r="V5272">
        <v>4.7318510000000001E-2</v>
      </c>
      <c r="W5272">
        <v>2.007666E-2</v>
      </c>
      <c r="X5272">
        <v>0.99867809999999901</v>
      </c>
      <c r="Y5272">
        <v>-9.1208520000000001E-2</v>
      </c>
      <c r="Z5272">
        <v>8.9341530000000002E-2</v>
      </c>
      <c r="AA5272">
        <v>0.99181600000000003</v>
      </c>
      <c r="AB5272">
        <v>14</v>
      </c>
      <c r="AC5272">
        <v>4.0298999999999898</v>
      </c>
      <c r="AD5272">
        <v>-1.0540900525169901</v>
      </c>
      <c r="AE5272">
        <v>-10.571867999999901</v>
      </c>
      <c r="AF5272">
        <v>-1.0547746116827801</v>
      </c>
      <c r="AG5272">
        <v>-1.0540900525169901</v>
      </c>
      <c r="AH5272">
        <v>11.166840577481199</v>
      </c>
      <c r="AI5272">
        <v>95.368681235533103</v>
      </c>
      <c r="AJ5272">
        <v>95.395918347918794</v>
      </c>
      <c r="AK5272">
        <v>11.265965728828901</v>
      </c>
    </row>
    <row r="5273" spans="1:37" x14ac:dyDescent="0.2">
      <c r="A5273" t="str">
        <f>"20200111160004729"</f>
        <v>20200111160004729</v>
      </c>
      <c r="B5273" t="str">
        <f>"1578729604725876"</f>
        <v>1578729604725876</v>
      </c>
      <c r="C5273" t="s">
        <v>37</v>
      </c>
      <c r="D5273">
        <v>5.2929409999999999</v>
      </c>
      <c r="E5273">
        <v>0.45079259999999899</v>
      </c>
      <c r="F5273" t="s">
        <v>39</v>
      </c>
      <c r="G5273">
        <v>-300.19170000000003</v>
      </c>
      <c r="H5273" s="1">
        <v>-1.9974889999999998E-6</v>
      </c>
      <c r="I5273">
        <v>-5.3449269999999904</v>
      </c>
      <c r="J5273">
        <v>-304.17509999999999</v>
      </c>
      <c r="K5273">
        <v>1.05402</v>
      </c>
      <c r="L5273">
        <v>5.2330629999999996</v>
      </c>
      <c r="M5273">
        <v>0.265787</v>
      </c>
      <c r="N5273">
        <v>0</v>
      </c>
      <c r="O5273">
        <v>-0.96393479999999998</v>
      </c>
      <c r="P5273">
        <v>0.2180194</v>
      </c>
      <c r="Q5273">
        <v>6.0255109999999999E-3</v>
      </c>
      <c r="R5273">
        <v>-0.97592610000000002</v>
      </c>
      <c r="S5273">
        <v>1.064819</v>
      </c>
      <c r="T5273">
        <v>-0.2795435</v>
      </c>
      <c r="U5273">
        <v>-2.8367309999999999</v>
      </c>
      <c r="V5273">
        <v>4.926299E-2</v>
      </c>
      <c r="W5273">
        <v>1.9628039999999999E-2</v>
      </c>
      <c r="X5273">
        <v>0.99859299999999995</v>
      </c>
      <c r="Y5273">
        <v>-8.8459979999999994E-2</v>
      </c>
      <c r="Z5273">
        <v>8.9661439999999995E-2</v>
      </c>
      <c r="AA5273">
        <v>0.99203609999999898</v>
      </c>
      <c r="AB5273">
        <v>14</v>
      </c>
      <c r="AC5273">
        <v>3.9833999999999601</v>
      </c>
      <c r="AD5273">
        <v>-1.0540219974889999</v>
      </c>
      <c r="AE5273">
        <v>-10.57799</v>
      </c>
      <c r="AF5273">
        <v>-1.0194768252213899</v>
      </c>
      <c r="AG5273">
        <v>-1.0540219974889999</v>
      </c>
      <c r="AH5273">
        <v>11.1592445682367</v>
      </c>
      <c r="AI5273">
        <v>95.373494046932294</v>
      </c>
      <c r="AJ5273">
        <v>95.219889577737106</v>
      </c>
      <c r="AK5273">
        <v>11.255178128402701</v>
      </c>
    </row>
    <row r="5274" spans="1:37" x14ac:dyDescent="0.2">
      <c r="A5274" t="str">
        <f>"20200111160004751"</f>
        <v>20200111160004751</v>
      </c>
      <c r="B5274" t="str">
        <f>"1578729604746372"</f>
        <v>1578729604746372</v>
      </c>
      <c r="C5274" t="s">
        <v>37</v>
      </c>
      <c r="D5274">
        <v>5.5181500000000003</v>
      </c>
      <c r="E5274">
        <v>0.45087769999999999</v>
      </c>
      <c r="F5274" t="s">
        <v>39</v>
      </c>
      <c r="G5274">
        <v>-300.16149999999999</v>
      </c>
      <c r="H5274" s="1">
        <v>-1.8801400000000001E-6</v>
      </c>
      <c r="I5274">
        <v>-5.5762140000000002</v>
      </c>
      <c r="J5274">
        <v>-304.14030000000002</v>
      </c>
      <c r="K5274">
        <v>1.053973</v>
      </c>
      <c r="L5274">
        <v>5.1014400000000002</v>
      </c>
      <c r="M5274">
        <v>0.2646636</v>
      </c>
      <c r="N5274">
        <v>0</v>
      </c>
      <c r="O5274">
        <v>-0.96424399999999999</v>
      </c>
      <c r="P5274">
        <v>0.21390019999999901</v>
      </c>
      <c r="Q5274">
        <v>7.5468530000000001E-3</v>
      </c>
      <c r="R5274">
        <v>-0.97682669999999905</v>
      </c>
      <c r="S5274">
        <v>1.054565</v>
      </c>
      <c r="T5274">
        <v>-0.27694229999999997</v>
      </c>
      <c r="U5274">
        <v>-2.8401179999999999</v>
      </c>
      <c r="V5274">
        <v>5.2314899999999998E-2</v>
      </c>
      <c r="W5274">
        <v>2.1134529999999999E-2</v>
      </c>
      <c r="X5274">
        <v>0.99840689999999999</v>
      </c>
      <c r="Y5274">
        <v>-8.6113750000000003E-2</v>
      </c>
      <c r="Z5274">
        <v>8.8840779999999994E-2</v>
      </c>
      <c r="AA5274">
        <v>0.99231639999999999</v>
      </c>
      <c r="AB5274">
        <v>14</v>
      </c>
      <c r="AC5274">
        <v>3.9788000000000299</v>
      </c>
      <c r="AD5274">
        <v>-1.05397488014</v>
      </c>
      <c r="AE5274">
        <v>-10.677654</v>
      </c>
      <c r="AF5274">
        <v>-1.00206889794044</v>
      </c>
      <c r="AG5274">
        <v>-1.05397488014</v>
      </c>
      <c r="AH5274">
        <v>11.2536867792371</v>
      </c>
      <c r="AI5274">
        <v>95.329519652520801</v>
      </c>
      <c r="AJ5274">
        <v>95.088403118907195</v>
      </c>
      <c r="AK5274">
        <v>11.347267126906001</v>
      </c>
    </row>
    <row r="5275" spans="1:37" x14ac:dyDescent="0.2">
      <c r="A5275" t="str">
        <f>"20200111160004773"</f>
        <v>20200111160004773</v>
      </c>
      <c r="B5275" t="str">
        <f>"1578729604765892"</f>
        <v>1578729604765892</v>
      </c>
      <c r="C5275" t="s">
        <v>37</v>
      </c>
      <c r="D5275">
        <v>5.338203</v>
      </c>
      <c r="E5275">
        <v>0.45089179999999901</v>
      </c>
      <c r="F5275" t="s">
        <v>39</v>
      </c>
      <c r="G5275">
        <v>-300.07780000000002</v>
      </c>
      <c r="H5275" s="1">
        <v>-1.657246E-6</v>
      </c>
      <c r="I5275">
        <v>-6.0006129999999898</v>
      </c>
      <c r="J5275">
        <v>-304.1046</v>
      </c>
      <c r="K5275">
        <v>1.0539430000000001</v>
      </c>
      <c r="L5275">
        <v>4.9659420000000001</v>
      </c>
      <c r="M5275">
        <v>0.26340819999999998</v>
      </c>
      <c r="N5275">
        <v>0</v>
      </c>
      <c r="O5275">
        <v>-0.96458759999999999</v>
      </c>
      <c r="P5275">
        <v>0.20942339999999901</v>
      </c>
      <c r="Q5275">
        <v>9.8216399999999995E-3</v>
      </c>
      <c r="R5275">
        <v>-0.97777590000000003</v>
      </c>
      <c r="S5275">
        <v>1.0411379999999999</v>
      </c>
      <c r="T5275">
        <v>-0.27011659999999998</v>
      </c>
      <c r="U5275">
        <v>-2.8452759999999899</v>
      </c>
      <c r="V5275">
        <v>5.5589800000000002E-2</v>
      </c>
      <c r="W5275">
        <v>2.3394660000000001E-2</v>
      </c>
      <c r="X5275">
        <v>0.99817959999999994</v>
      </c>
      <c r="Y5275">
        <v>-8.2768149999999999E-2</v>
      </c>
      <c r="Z5275">
        <v>8.6648530000000001E-2</v>
      </c>
      <c r="AA5275">
        <v>0.99279479999999998</v>
      </c>
      <c r="AB5275">
        <v>14</v>
      </c>
      <c r="AC5275">
        <v>4.0267999999999802</v>
      </c>
      <c r="AD5275">
        <v>-1.0539446572460001</v>
      </c>
      <c r="AE5275">
        <v>-10.966555</v>
      </c>
      <c r="AF5275">
        <v>-0.98757609728144402</v>
      </c>
      <c r="AG5275">
        <v>-1.0539446572460001</v>
      </c>
      <c r="AH5275">
        <v>11.5460110965243</v>
      </c>
      <c r="AI5275">
        <v>95.196756625664094</v>
      </c>
      <c r="AJ5275">
        <v>94.888835974957203</v>
      </c>
      <c r="AK5275">
        <v>11.635999232103901</v>
      </c>
    </row>
    <row r="5276" spans="1:37" x14ac:dyDescent="0.2">
      <c r="A5276" t="str">
        <f>"20200111160004795"</f>
        <v>20200111160004795</v>
      </c>
      <c r="B5276" t="str">
        <f>"1578729604786389"</f>
        <v>1578729604786389</v>
      </c>
      <c r="C5276" t="s">
        <v>37</v>
      </c>
      <c r="D5276">
        <v>5.3391679999999999</v>
      </c>
      <c r="E5276">
        <v>0.45084629999999998</v>
      </c>
      <c r="F5276" t="s">
        <v>39</v>
      </c>
      <c r="G5276">
        <v>-299.93689999999998</v>
      </c>
      <c r="H5276" s="1">
        <v>-1.3509869999999999E-6</v>
      </c>
      <c r="I5276">
        <v>-6.5887589999999996</v>
      </c>
      <c r="J5276">
        <v>-304.07</v>
      </c>
      <c r="K5276">
        <v>1.0539209999999899</v>
      </c>
      <c r="L5276">
        <v>4.8330989999999998</v>
      </c>
      <c r="M5276">
        <v>0.26208520000000002</v>
      </c>
      <c r="N5276">
        <v>0</v>
      </c>
      <c r="O5276">
        <v>-0.96494809999999998</v>
      </c>
      <c r="P5276">
        <v>0.20396500000000001</v>
      </c>
      <c r="Q5276">
        <v>1.0212799999999999E-2</v>
      </c>
      <c r="R5276">
        <v>-0.97892520000000005</v>
      </c>
      <c r="S5276">
        <v>1.0281979999999999</v>
      </c>
      <c r="T5276">
        <v>-0.26001170000000001</v>
      </c>
      <c r="U5276">
        <v>-2.8505859999999998</v>
      </c>
      <c r="V5276">
        <v>5.9792089999999999E-2</v>
      </c>
      <c r="W5276">
        <v>2.3769829999999999E-2</v>
      </c>
      <c r="X5276">
        <v>0.99792780000000003</v>
      </c>
      <c r="Y5276">
        <v>-7.9652929999999997E-2</v>
      </c>
      <c r="Z5276">
        <v>8.3405480000000004E-2</v>
      </c>
      <c r="AA5276">
        <v>0.99332719999999897</v>
      </c>
      <c r="AB5276">
        <v>14</v>
      </c>
      <c r="AC5276">
        <v>4.1331000000000104</v>
      </c>
      <c r="AD5276">
        <v>-1.0539223509869999</v>
      </c>
      <c r="AE5276">
        <v>-11.421858</v>
      </c>
      <c r="AF5276">
        <v>-0.98738637832103804</v>
      </c>
      <c r="AG5276">
        <v>-1.0539223509869999</v>
      </c>
      <c r="AH5276">
        <v>12.015396640074499</v>
      </c>
      <c r="AI5276">
        <v>94.996075475464593</v>
      </c>
      <c r="AJ5276">
        <v>94.697825719889195</v>
      </c>
      <c r="AK5276">
        <v>12.101877565085401</v>
      </c>
    </row>
    <row r="5277" spans="1:37" x14ac:dyDescent="0.2">
      <c r="A5277" t="str">
        <f>"20200111160004817"</f>
        <v>20200111160004817</v>
      </c>
      <c r="B5277" t="str">
        <f>"1578729604805910"</f>
        <v>1578729604805910</v>
      </c>
      <c r="C5277" t="s">
        <v>37</v>
      </c>
      <c r="D5277">
        <v>5.3335929999999996</v>
      </c>
      <c r="E5277">
        <v>0.45079780000000003</v>
      </c>
      <c r="F5277" t="s">
        <v>39</v>
      </c>
      <c r="G5277">
        <v>-299.8913</v>
      </c>
      <c r="H5277" s="1">
        <v>-1.188151E-6</v>
      </c>
      <c r="I5277">
        <v>-6.9503269999999997</v>
      </c>
      <c r="J5277">
        <v>-304.03489999999999</v>
      </c>
      <c r="K5277">
        <v>1.0538860000000001</v>
      </c>
      <c r="L5277">
        <v>4.6972050000000003</v>
      </c>
      <c r="M5277">
        <v>0.26064530000000002</v>
      </c>
      <c r="N5277">
        <v>0</v>
      </c>
      <c r="O5277">
        <v>-0.96533799999999903</v>
      </c>
      <c r="P5277">
        <v>0.19869709999999999</v>
      </c>
      <c r="Q5277">
        <v>9.2191140000000005E-3</v>
      </c>
      <c r="R5277">
        <v>-0.98001799999999994</v>
      </c>
      <c r="S5277">
        <v>1.0128779999999999</v>
      </c>
      <c r="T5277">
        <v>-0.25546180000000002</v>
      </c>
      <c r="U5277">
        <v>-2.856201</v>
      </c>
      <c r="V5277">
        <v>6.3673670000000002E-2</v>
      </c>
      <c r="W5277">
        <v>2.2760639999999999E-2</v>
      </c>
      <c r="X5277">
        <v>0.99771119999999902</v>
      </c>
      <c r="Y5277">
        <v>-7.5833620000000004E-2</v>
      </c>
      <c r="Z5277">
        <v>8.1938230000000001E-2</v>
      </c>
      <c r="AA5277">
        <v>0.99374810000000002</v>
      </c>
      <c r="AB5277">
        <v>14</v>
      </c>
      <c r="AC5277">
        <v>4.1435999999999904</v>
      </c>
      <c r="AD5277">
        <v>-1.0538871881509999</v>
      </c>
      <c r="AE5277">
        <v>-11.647532</v>
      </c>
      <c r="AF5277">
        <v>-0.95723360729765905</v>
      </c>
      <c r="AG5277">
        <v>-1.0538871881509999</v>
      </c>
      <c r="AH5277">
        <v>12.2360431555506</v>
      </c>
      <c r="AI5277">
        <v>94.907800185300601</v>
      </c>
      <c r="AJ5277">
        <v>94.473175578655102</v>
      </c>
      <c r="AK5277">
        <v>12.318592715435701</v>
      </c>
    </row>
    <row r="5278" spans="1:37" x14ac:dyDescent="0.2">
      <c r="A5278" t="str">
        <f>"20200111160004840"</f>
        <v>20200111160004840</v>
      </c>
      <c r="B5278" t="str">
        <f>"1578729604836165"</f>
        <v>1578729604836165</v>
      </c>
      <c r="C5278" t="s">
        <v>37</v>
      </c>
      <c r="D5278">
        <v>5.3740290000000002</v>
      </c>
      <c r="E5278">
        <v>0.45058670000000001</v>
      </c>
      <c r="F5278" t="s">
        <v>39</v>
      </c>
      <c r="G5278">
        <v>-299.90550000000002</v>
      </c>
      <c r="H5278" s="1">
        <v>-1.0957960000000001E-6</v>
      </c>
      <c r="I5278">
        <v>-7.1403910000000002</v>
      </c>
      <c r="J5278">
        <v>-304.00040000000001</v>
      </c>
      <c r="K5278">
        <v>1.0538350000000001</v>
      </c>
      <c r="L5278">
        <v>4.562195</v>
      </c>
      <c r="M5278">
        <v>0.25913589999999997</v>
      </c>
      <c r="N5278">
        <v>0</v>
      </c>
      <c r="O5278">
        <v>-0.965744099999999</v>
      </c>
      <c r="P5278">
        <v>0.1941503</v>
      </c>
      <c r="Q5278">
        <v>9.0346630000000001E-3</v>
      </c>
      <c r="R5278">
        <v>-0.98093030000000003</v>
      </c>
      <c r="S5278">
        <v>0.99810789999999905</v>
      </c>
      <c r="T5278">
        <v>-0.2547297</v>
      </c>
      <c r="U5278">
        <v>-2.8612060000000001</v>
      </c>
      <c r="V5278">
        <v>6.6742899999999994E-2</v>
      </c>
      <c r="W5278">
        <v>2.2556119999999999E-2</v>
      </c>
      <c r="X5278">
        <v>0.99751520000000005</v>
      </c>
      <c r="Y5278">
        <v>-7.2284909999999994E-2</v>
      </c>
      <c r="Z5278">
        <v>8.1700190000000006E-2</v>
      </c>
      <c r="AA5278">
        <v>0.99403220000000003</v>
      </c>
      <c r="AB5278">
        <v>14</v>
      </c>
      <c r="AC5278">
        <v>4.0948999999999902</v>
      </c>
      <c r="AD5278">
        <v>-1.053836095796</v>
      </c>
      <c r="AE5278">
        <v>-11.702586</v>
      </c>
      <c r="AF5278">
        <v>-0.91553707353213298</v>
      </c>
      <c r="AG5278">
        <v>-1.053836095796</v>
      </c>
      <c r="AH5278">
        <v>12.275309231460399</v>
      </c>
      <c r="AI5278">
        <v>94.893290351299797</v>
      </c>
      <c r="AJ5278">
        <v>94.265429566234999</v>
      </c>
      <c r="AK5278">
        <v>12.3544322159212</v>
      </c>
    </row>
    <row r="5279" spans="1:37" x14ac:dyDescent="0.2">
      <c r="A5279" t="str">
        <f>"20200111160004863"</f>
        <v>20200111160004863</v>
      </c>
      <c r="B5279" t="str">
        <f>"1578729604855684"</f>
        <v>1578729604855684</v>
      </c>
      <c r="C5279" t="s">
        <v>37</v>
      </c>
      <c r="D5279">
        <v>6.1095920000000001</v>
      </c>
      <c r="E5279">
        <v>0.45057979999999997</v>
      </c>
      <c r="F5279" t="s">
        <v>39</v>
      </c>
      <c r="G5279">
        <v>-299.84370000000001</v>
      </c>
      <c r="H5279" s="1">
        <v>-9.2889829999999999E-7</v>
      </c>
      <c r="I5279">
        <v>-7.5166429999999904</v>
      </c>
      <c r="J5279">
        <v>-303.96480000000003</v>
      </c>
      <c r="K5279">
        <v>1.0537799999999999</v>
      </c>
      <c r="L5279">
        <v>4.421875</v>
      </c>
      <c r="M5279">
        <v>0.25748490000000002</v>
      </c>
      <c r="N5279">
        <v>0</v>
      </c>
      <c r="O5279">
        <v>-0.9661864</v>
      </c>
      <c r="P5279">
        <v>0.18944439999999901</v>
      </c>
      <c r="Q5279">
        <v>9.4900969999999994E-3</v>
      </c>
      <c r="R5279">
        <v>-0.98184559999999999</v>
      </c>
      <c r="S5279">
        <v>0.98608399999999996</v>
      </c>
      <c r="T5279">
        <v>-0.25000020000000001</v>
      </c>
      <c r="U5279">
        <v>-2.86544799999999</v>
      </c>
      <c r="V5279">
        <v>6.9823010000000005E-2</v>
      </c>
      <c r="W5279">
        <v>2.2934639999999999E-2</v>
      </c>
      <c r="X5279">
        <v>0.99729570000000001</v>
      </c>
      <c r="Y5279">
        <v>-6.984862E-2</v>
      </c>
      <c r="Z5279">
        <v>8.0196680000000006E-2</v>
      </c>
      <c r="AA5279">
        <v>0.99432869999999995</v>
      </c>
      <c r="AB5279">
        <v>14</v>
      </c>
      <c r="AC5279">
        <v>4.12110000000001</v>
      </c>
      <c r="AD5279">
        <v>-1.0537809288983</v>
      </c>
      <c r="AE5279">
        <v>-11.938517999999901</v>
      </c>
      <c r="AF5279">
        <v>-0.90157044573766199</v>
      </c>
      <c r="AG5279">
        <v>-1.0537809288983</v>
      </c>
      <c r="AH5279">
        <v>12.5100326795871</v>
      </c>
      <c r="AI5279">
        <v>94.802538646011598</v>
      </c>
      <c r="AJ5279">
        <v>94.122053906617097</v>
      </c>
      <c r="AK5279">
        <v>12.586667595478801</v>
      </c>
    </row>
    <row r="5280" spans="1:37" x14ac:dyDescent="0.2">
      <c r="A5280" t="str">
        <f>"20200111160004884"</f>
        <v>20200111160004884</v>
      </c>
      <c r="B5280" t="str">
        <f>"1578729604876180"</f>
        <v>1578729604876180</v>
      </c>
      <c r="C5280" t="s">
        <v>37</v>
      </c>
      <c r="D5280">
        <v>7.3358979999999896</v>
      </c>
      <c r="E5280">
        <v>0.45057979999999997</v>
      </c>
      <c r="F5280" t="s">
        <v>39</v>
      </c>
      <c r="G5280">
        <v>-299.83150000000001</v>
      </c>
      <c r="H5280" s="1">
        <v>-8.0985569999999999E-7</v>
      </c>
      <c r="I5280">
        <v>-7.7730569999999997</v>
      </c>
      <c r="J5280">
        <v>-303.93169999999998</v>
      </c>
      <c r="K5280">
        <v>1.0537000000000001</v>
      </c>
      <c r="L5280">
        <v>4.2898559999999897</v>
      </c>
      <c r="M5280">
        <v>0.25586579999999998</v>
      </c>
      <c r="N5280">
        <v>0</v>
      </c>
      <c r="O5280">
        <v>-0.96661900000000001</v>
      </c>
      <c r="P5280">
        <v>0.1846496</v>
      </c>
      <c r="Q5280">
        <v>9.0088459999999992E-3</v>
      </c>
      <c r="R5280">
        <v>-0.98276330000000001</v>
      </c>
      <c r="S5280">
        <v>0.97280880000000003</v>
      </c>
      <c r="T5280">
        <v>-0.24801599999999999</v>
      </c>
      <c r="U5280">
        <v>-2.8701779999999899</v>
      </c>
      <c r="V5280">
        <v>7.3021230000000006E-2</v>
      </c>
      <c r="W5280">
        <v>2.2260080000000002E-2</v>
      </c>
      <c r="X5280">
        <v>0.99708189999999997</v>
      </c>
      <c r="Y5280">
        <v>-6.6913920000000002E-2</v>
      </c>
      <c r="Z5280">
        <v>7.9559000000000005E-2</v>
      </c>
      <c r="AA5280">
        <v>0.99458179999999996</v>
      </c>
      <c r="AB5280">
        <v>14</v>
      </c>
      <c r="AC5280">
        <v>4.1001999999999699</v>
      </c>
      <c r="AD5280">
        <v>-1.0537008098556999</v>
      </c>
      <c r="AE5280">
        <v>-12.062913</v>
      </c>
      <c r="AF5280">
        <v>-0.87096614605850697</v>
      </c>
      <c r="AG5280">
        <v>-1.0537008098556999</v>
      </c>
      <c r="AH5280">
        <v>12.6241409163763</v>
      </c>
      <c r="AI5280">
        <v>94.759991771926096</v>
      </c>
      <c r="AJ5280">
        <v>93.946702789864105</v>
      </c>
      <c r="AK5280">
        <v>12.697944766803699</v>
      </c>
    </row>
    <row r="5281" spans="1:37" x14ac:dyDescent="0.2">
      <c r="A5281" t="str">
        <f>"20200111160005041"</f>
        <v>20200111160005041</v>
      </c>
      <c r="B5281" t="str">
        <f>"1578729605036244"</f>
        <v>1578729605036244</v>
      </c>
      <c r="C5281" t="s">
        <v>37</v>
      </c>
      <c r="D5281">
        <v>5.4702799999999998</v>
      </c>
      <c r="E5281">
        <v>0.63233169999999905</v>
      </c>
      <c r="F5281" t="s">
        <v>39</v>
      </c>
      <c r="G5281">
        <v>-299.8777</v>
      </c>
      <c r="H5281" s="1">
        <v>-7.5896739999999996E-7</v>
      </c>
      <c r="I5281">
        <v>-7.8633429999999898</v>
      </c>
      <c r="J5281">
        <v>-303.69400000000002</v>
      </c>
      <c r="K5281">
        <v>1.0531059999999901</v>
      </c>
      <c r="L5281">
        <v>3.3112180000000002</v>
      </c>
      <c r="M5281">
        <v>0.243452</v>
      </c>
      <c r="N5281">
        <v>0</v>
      </c>
      <c r="O5281">
        <v>-0.96986819999999896</v>
      </c>
      <c r="P5281">
        <v>0.1690895</v>
      </c>
      <c r="Q5281">
        <v>1.526887E-2</v>
      </c>
      <c r="R5281">
        <v>-0.98548250000000004</v>
      </c>
      <c r="S5281">
        <v>0.95892330000000003</v>
      </c>
      <c r="T5281">
        <v>-0.24924299999999999</v>
      </c>
      <c r="U5281">
        <v>-2.8747250000000002</v>
      </c>
      <c r="V5281">
        <v>7.5969289999999995E-2</v>
      </c>
      <c r="W5281">
        <v>2.4429570000000001E-2</v>
      </c>
      <c r="X5281">
        <v>0.99681090000000006</v>
      </c>
      <c r="Y5281">
        <v>-7.4905020000000003E-2</v>
      </c>
      <c r="Z5281">
        <v>8.0260929999999994E-2</v>
      </c>
      <c r="AA5281">
        <v>0.99395540000000004</v>
      </c>
      <c r="AB5281">
        <v>15</v>
      </c>
      <c r="AC5281">
        <v>3.8163000000000098</v>
      </c>
      <c r="AD5281">
        <v>-1.0531067589673999</v>
      </c>
      <c r="AE5281">
        <v>-11.174561000000001</v>
      </c>
      <c r="AF5281">
        <v>-0.97314121429964096</v>
      </c>
      <c r="AG5281">
        <v>-1.0531067589673999</v>
      </c>
      <c r="AH5281">
        <v>11.6745909070683</v>
      </c>
      <c r="AI5281">
        <v>95.136698440433193</v>
      </c>
      <c r="AJ5281">
        <v>94.764902264249798</v>
      </c>
      <c r="AK5281">
        <v>11.762317395656099</v>
      </c>
    </row>
    <row r="5282" spans="1:37" x14ac:dyDescent="0.2">
      <c r="A5282" t="str">
        <f>"20200111160005065"</f>
        <v>20200111160005065</v>
      </c>
      <c r="B5282" t="str">
        <f>"1578729605055764"</f>
        <v>1578729605055764</v>
      </c>
      <c r="C5282" t="s">
        <v>37</v>
      </c>
      <c r="D5282">
        <v>5.4955699999999998</v>
      </c>
      <c r="E5282">
        <v>0.62310310000000002</v>
      </c>
      <c r="F5282" t="s">
        <v>39</v>
      </c>
      <c r="G5282">
        <v>-307.70499999999998</v>
      </c>
      <c r="H5282" s="1">
        <v>-5.5453519999999998E-6</v>
      </c>
      <c r="I5282">
        <v>-20.734169999999999</v>
      </c>
      <c r="J5282">
        <v>-303.6574</v>
      </c>
      <c r="K5282">
        <v>1.053026</v>
      </c>
      <c r="L5282">
        <v>3.1564329999999998</v>
      </c>
      <c r="M5282">
        <v>0.241619</v>
      </c>
      <c r="N5282">
        <v>0</v>
      </c>
      <c r="O5282">
        <v>-0.97033349999999996</v>
      </c>
      <c r="P5282">
        <v>0.16759260000000001</v>
      </c>
      <c r="Q5282">
        <v>1.7369860000000001E-2</v>
      </c>
      <c r="R5282">
        <v>-0.98570340000000001</v>
      </c>
      <c r="S5282">
        <v>-0.52313229999999999</v>
      </c>
      <c r="T5282">
        <v>-0.13735020000000001</v>
      </c>
      <c r="U5282">
        <v>-3.1360779999999999</v>
      </c>
      <c r="V5282">
        <v>7.5591210000000006E-2</v>
      </c>
      <c r="W5282">
        <v>2.5776690000000001E-2</v>
      </c>
      <c r="X5282">
        <v>0.99680569999999902</v>
      </c>
      <c r="Y5282">
        <v>0.39785379999999998</v>
      </c>
      <c r="Z5282">
        <v>3.971715E-2</v>
      </c>
      <c r="AA5282">
        <v>0.91658869999999903</v>
      </c>
      <c r="AB5282">
        <v>15</v>
      </c>
      <c r="AC5282">
        <v>-4.0475999999999797</v>
      </c>
      <c r="AD5282">
        <v>-1.0530315453520001</v>
      </c>
      <c r="AE5282">
        <v>-23.890602999999999</v>
      </c>
      <c r="AF5282">
        <v>9.6820149365426893</v>
      </c>
      <c r="AG5282">
        <v>-1.0530315453520001</v>
      </c>
      <c r="AH5282">
        <v>22.162831051512502</v>
      </c>
      <c r="AI5282">
        <v>92.493084105638204</v>
      </c>
      <c r="AJ5282">
        <v>66.401493280437407</v>
      </c>
      <c r="AK5282">
        <v>24.208291325180902</v>
      </c>
    </row>
    <row r="5283" spans="1:37" x14ac:dyDescent="0.2">
      <c r="A5283" t="str">
        <f>"20200111160005120"</f>
        <v>20200111160005120</v>
      </c>
      <c r="B5283" t="str">
        <f>"1578729605116276"</f>
        <v>1578729605116276</v>
      </c>
      <c r="C5283" t="s">
        <v>37</v>
      </c>
      <c r="D5283">
        <v>5.7188210000000002</v>
      </c>
      <c r="E5283">
        <v>0.56474550000000001</v>
      </c>
      <c r="F5283" t="s">
        <v>39</v>
      </c>
      <c r="G5283">
        <v>-306.76679999999999</v>
      </c>
      <c r="H5283" s="1">
        <v>-2.7243439999999998E-6</v>
      </c>
      <c r="I5283">
        <v>-18.257339999999999</v>
      </c>
      <c r="J5283">
        <v>-303.5727</v>
      </c>
      <c r="K5283">
        <v>1.0528709999999999</v>
      </c>
      <c r="L5283">
        <v>2.7936399999999999</v>
      </c>
      <c r="M5283">
        <v>0.23743600000000001</v>
      </c>
      <c r="N5283">
        <v>0</v>
      </c>
      <c r="O5283">
        <v>-0.97137839999999998</v>
      </c>
      <c r="P5283">
        <v>0.1628927</v>
      </c>
      <c r="Q5283">
        <v>2.3142019999999999E-2</v>
      </c>
      <c r="R5283">
        <v>-0.98637240000000004</v>
      </c>
      <c r="S5283">
        <v>-0.45352170000000003</v>
      </c>
      <c r="T5283">
        <v>-0.15359029999999901</v>
      </c>
      <c r="U5283">
        <v>-3.1233219999999999</v>
      </c>
      <c r="V5283">
        <v>7.6024369999999994E-2</v>
      </c>
      <c r="W5283">
        <v>2.9925469999999999E-2</v>
      </c>
      <c r="X5283">
        <v>0.99665680000000001</v>
      </c>
      <c r="Y5283">
        <v>0.37440609999999902</v>
      </c>
      <c r="Z5283">
        <v>4.4975559999999998E-2</v>
      </c>
      <c r="AA5283">
        <v>0.92617340000000004</v>
      </c>
      <c r="AB5283">
        <v>15</v>
      </c>
      <c r="AC5283">
        <v>-3.1940999999999899</v>
      </c>
      <c r="AD5283">
        <v>-1.0528737243439901</v>
      </c>
      <c r="AE5283">
        <v>-21.050979999999999</v>
      </c>
      <c r="AF5283">
        <v>8.08137431436894</v>
      </c>
      <c r="AG5283">
        <v>-1.0528737243439901</v>
      </c>
      <c r="AH5283">
        <v>19.642516192070801</v>
      </c>
      <c r="AI5283">
        <v>92.837849304743997</v>
      </c>
      <c r="AJ5283">
        <v>67.636628507872601</v>
      </c>
      <c r="AK5283">
        <v>21.2660667788879</v>
      </c>
    </row>
    <row r="5284" spans="1:37" x14ac:dyDescent="0.2">
      <c r="A5284" t="str">
        <f>"20200111160005165"</f>
        <v>20200111160005165</v>
      </c>
      <c r="B5284" t="str">
        <f>"1578729605156292"</f>
        <v>1578729605156292</v>
      </c>
      <c r="C5284" t="s">
        <v>37</v>
      </c>
      <c r="D5284">
        <v>5.6429099999999996</v>
      </c>
      <c r="E5284">
        <v>0.54736890000000005</v>
      </c>
      <c r="F5284" t="s">
        <v>75</v>
      </c>
      <c r="G5284">
        <v>-303.93490000000003</v>
      </c>
      <c r="H5284">
        <v>7.9986180000000004E-2</v>
      </c>
      <c r="I5284">
        <v>-72.017119999999906</v>
      </c>
      <c r="J5284">
        <v>-303.50119999999998</v>
      </c>
      <c r="K5284">
        <v>1.0527340000000001</v>
      </c>
      <c r="L5284">
        <v>2.4819339999999999</v>
      </c>
      <c r="M5284">
        <v>0.233879</v>
      </c>
      <c r="N5284">
        <v>0</v>
      </c>
      <c r="O5284">
        <v>-0.97224900000000003</v>
      </c>
      <c r="P5284">
        <v>0.15955259999999999</v>
      </c>
      <c r="Q5284">
        <v>2.598027E-2</v>
      </c>
      <c r="R5284">
        <v>-0.98684799999999995</v>
      </c>
      <c r="S5284">
        <v>-1.473999E-2</v>
      </c>
      <c r="T5284">
        <v>-3.9596439999999997E-2</v>
      </c>
      <c r="U5284">
        <v>-3.0448</v>
      </c>
      <c r="V5284">
        <v>7.5738040000000006E-2</v>
      </c>
      <c r="W5284">
        <v>3.154738E-2</v>
      </c>
      <c r="X5284">
        <v>0.99662859999999998</v>
      </c>
      <c r="Y5284">
        <v>0.2385861</v>
      </c>
      <c r="Z5284">
        <v>1.227461E-2</v>
      </c>
      <c r="AA5284">
        <v>0.97104380000000001</v>
      </c>
      <c r="AB5284">
        <v>15</v>
      </c>
      <c r="AC5284">
        <v>-0.43370000000004399</v>
      </c>
      <c r="AD5284">
        <v>-0.97274782000000004</v>
      </c>
      <c r="AE5284">
        <v>-74.499053999999902</v>
      </c>
      <c r="AF5284">
        <v>17.842676700030299</v>
      </c>
      <c r="AG5284">
        <v>-0.97274782000000004</v>
      </c>
      <c r="AH5284">
        <v>72.319043397757397</v>
      </c>
      <c r="AI5284">
        <v>90.748193840941099</v>
      </c>
      <c r="AJ5284">
        <v>76.140676678324198</v>
      </c>
      <c r="AK5284">
        <v>74.493968803587293</v>
      </c>
    </row>
    <row r="5285" spans="1:37" x14ac:dyDescent="0.2">
      <c r="A5285" t="str">
        <f>"20200111160005186"</f>
        <v>20200111160005186</v>
      </c>
      <c r="B5285" t="str">
        <f>"1578729605175812"</f>
        <v>1578729605175812</v>
      </c>
      <c r="C5285" t="s">
        <v>37</v>
      </c>
      <c r="D5285">
        <v>5.666086</v>
      </c>
      <c r="E5285">
        <v>0.54386429999999997</v>
      </c>
      <c r="F5285" t="s">
        <v>39</v>
      </c>
      <c r="G5285">
        <v>-302.59989999999999</v>
      </c>
      <c r="H5285" s="1">
        <v>-7.4131429999999999E-7</v>
      </c>
      <c r="I5285">
        <v>-20.29542</v>
      </c>
      <c r="J5285">
        <v>-303.46699999999998</v>
      </c>
      <c r="K5285">
        <v>1.0526629999999999</v>
      </c>
      <c r="L5285">
        <v>2.3314819999999998</v>
      </c>
      <c r="M5285">
        <v>0.23215759999999999</v>
      </c>
      <c r="N5285">
        <v>0</v>
      </c>
      <c r="O5285">
        <v>-0.97266450000000004</v>
      </c>
      <c r="P5285">
        <v>0.1577451</v>
      </c>
      <c r="Q5285">
        <v>2.6667260000000002E-2</v>
      </c>
      <c r="R5285">
        <v>-0.98711990000000005</v>
      </c>
      <c r="S5285">
        <v>0.1196594</v>
      </c>
      <c r="T5285">
        <v>-0.1397796</v>
      </c>
      <c r="U5285">
        <v>-3.0243229999999999</v>
      </c>
      <c r="V5285">
        <v>7.5796310000000006E-2</v>
      </c>
      <c r="W5285">
        <v>3.1706089999999999E-2</v>
      </c>
      <c r="X5285">
        <v>0.99661909999999898</v>
      </c>
      <c r="Y5285">
        <v>0.19356129999999999</v>
      </c>
      <c r="Z5285">
        <v>4.3827020000000001E-2</v>
      </c>
      <c r="AA5285">
        <v>0.9801088</v>
      </c>
      <c r="AB5285">
        <v>16</v>
      </c>
      <c r="AC5285">
        <v>0.86709999999999299</v>
      </c>
      <c r="AD5285">
        <v>-1.0526637413143001</v>
      </c>
      <c r="AE5285">
        <v>-22.626902000000001</v>
      </c>
      <c r="AF5285">
        <v>4.4001590121577498</v>
      </c>
      <c r="AG5285">
        <v>-1.0526637413143001</v>
      </c>
      <c r="AH5285">
        <v>22.162087425950801</v>
      </c>
      <c r="AI5285">
        <v>92.667424887621394</v>
      </c>
      <c r="AJ5285">
        <v>78.770280336810004</v>
      </c>
      <c r="AK5285">
        <v>22.619186973895399</v>
      </c>
    </row>
    <row r="5286" spans="1:37" x14ac:dyDescent="0.2">
      <c r="A5286" t="str">
        <f>"20200111160005387"</f>
        <v>20200111160005387</v>
      </c>
      <c r="B5286" t="str">
        <f>"1578729605375892"</f>
        <v>1578729605375892</v>
      </c>
      <c r="C5286" t="s">
        <v>37</v>
      </c>
      <c r="D5286">
        <v>5.4911519999999996</v>
      </c>
      <c r="E5286">
        <v>0.54034599999999999</v>
      </c>
      <c r="F5286" t="s">
        <v>39</v>
      </c>
      <c r="G5286">
        <v>-302.51859999999999</v>
      </c>
      <c r="H5286" s="1">
        <v>-1.887113E-6</v>
      </c>
      <c r="I5286">
        <v>-17.574059999999999</v>
      </c>
      <c r="J5286">
        <v>-303.14080000000001</v>
      </c>
      <c r="K5286">
        <v>1.0524530000000001</v>
      </c>
      <c r="L5286">
        <v>0.83132929999999905</v>
      </c>
      <c r="M5286">
        <v>0.21147369999999999</v>
      </c>
      <c r="N5286">
        <v>0</v>
      </c>
      <c r="O5286">
        <v>-0.97737940000000001</v>
      </c>
      <c r="P5286">
        <v>0.1384736</v>
      </c>
      <c r="Q5286">
        <v>2.4082320000000001E-2</v>
      </c>
      <c r="R5286">
        <v>-0.99007330000000004</v>
      </c>
      <c r="S5286">
        <v>0.14392089999999999</v>
      </c>
      <c r="T5286">
        <v>-0.15973189999999901</v>
      </c>
      <c r="U5286">
        <v>-3.0204770000000001</v>
      </c>
      <c r="V5286">
        <v>7.4107160000000005E-2</v>
      </c>
      <c r="W5286">
        <v>2.6763410000000001E-2</v>
      </c>
      <c r="X5286">
        <v>0.99689110000000003</v>
      </c>
      <c r="Y5286">
        <v>0.16477729999999999</v>
      </c>
      <c r="Z5286">
        <v>5.0632120000000003E-2</v>
      </c>
      <c r="AA5286">
        <v>0.98503039999999997</v>
      </c>
      <c r="AB5286">
        <v>17</v>
      </c>
      <c r="AC5286">
        <v>0.62220000000001996</v>
      </c>
      <c r="AD5286">
        <v>-1.0524548871129999</v>
      </c>
      <c r="AE5286">
        <v>-18.4053893</v>
      </c>
      <c r="AF5286">
        <v>3.2734528634133002</v>
      </c>
      <c r="AG5286">
        <v>-1.0524548871129999</v>
      </c>
      <c r="AH5286">
        <v>18.061713036459601</v>
      </c>
      <c r="AI5286">
        <v>93.281511916620602</v>
      </c>
      <c r="AJ5286">
        <v>79.727383825273407</v>
      </c>
      <c r="AK5286">
        <v>18.3860988997071</v>
      </c>
    </row>
    <row r="5287" spans="1:37" x14ac:dyDescent="0.2">
      <c r="A5287" t="str">
        <f>"20200111160005410"</f>
        <v>20200111160005410</v>
      </c>
      <c r="B5287" t="str">
        <f>"1578729605406148"</f>
        <v>1578729605406148</v>
      </c>
      <c r="C5287" t="s">
        <v>37</v>
      </c>
      <c r="D5287">
        <v>5.4223869999999996</v>
      </c>
      <c r="E5287">
        <v>0.48011729999999903</v>
      </c>
      <c r="F5287" t="s">
        <v>39</v>
      </c>
      <c r="G5287">
        <v>-302.450999999999</v>
      </c>
      <c r="H5287" s="1">
        <v>-1.7869260000000001E-6</v>
      </c>
      <c r="I5287">
        <v>-17.76568</v>
      </c>
      <c r="J5287">
        <v>-303.10489999999999</v>
      </c>
      <c r="K5287">
        <v>1.0520849999999999</v>
      </c>
      <c r="L5287">
        <v>0.65890499999999996</v>
      </c>
      <c r="M5287">
        <v>0.21007619999999999</v>
      </c>
      <c r="N5287">
        <v>0</v>
      </c>
      <c r="O5287">
        <v>-0.97768009999999905</v>
      </c>
      <c r="P5287">
        <v>0.1367775</v>
      </c>
      <c r="Q5287">
        <v>2.3317750000000002E-2</v>
      </c>
      <c r="R5287">
        <v>-0.99032719999999896</v>
      </c>
      <c r="S5287">
        <v>0.111969</v>
      </c>
      <c r="T5287">
        <v>-0.170829799999999</v>
      </c>
      <c r="U5287">
        <v>-3.0185849999999999</v>
      </c>
      <c r="V5287">
        <v>7.4447310000000003E-2</v>
      </c>
      <c r="W5287">
        <v>2.5996439999999999E-2</v>
      </c>
      <c r="X5287">
        <v>0.99688600000000005</v>
      </c>
      <c r="Y5287">
        <v>0.17374539999999999</v>
      </c>
      <c r="Z5287">
        <v>5.4166369999999998E-2</v>
      </c>
      <c r="AA5287">
        <v>0.9832999</v>
      </c>
      <c r="AB5287">
        <v>18</v>
      </c>
      <c r="AC5287">
        <v>0.65390000000002102</v>
      </c>
      <c r="AD5287">
        <v>-1.052086786926</v>
      </c>
      <c r="AE5287">
        <v>-18.424585</v>
      </c>
      <c r="AF5287">
        <v>3.22078857801624</v>
      </c>
      <c r="AG5287">
        <v>-1.052086786926</v>
      </c>
      <c r="AH5287">
        <v>18.091888584794599</v>
      </c>
      <c r="AI5287">
        <v>93.2767349637178</v>
      </c>
      <c r="AJ5287">
        <v>79.905732816676604</v>
      </c>
      <c r="AK5287">
        <v>18.406433609912799</v>
      </c>
    </row>
    <row r="5288" spans="1:37" x14ac:dyDescent="0.2">
      <c r="A5288" t="str">
        <f>"20200111160005432"</f>
        <v>20200111160005432</v>
      </c>
      <c r="B5288" t="str">
        <f>"1578729605425667"</f>
        <v>1578729605425667</v>
      </c>
      <c r="C5288" t="s">
        <v>37</v>
      </c>
      <c r="D5288">
        <v>5.452833</v>
      </c>
      <c r="E5288">
        <v>0.48047440000000002</v>
      </c>
      <c r="F5288" t="s">
        <v>38</v>
      </c>
      <c r="G5288">
        <v>-302.94139999999999</v>
      </c>
      <c r="H5288">
        <v>0.98174629999999996</v>
      </c>
      <c r="I5288">
        <v>-0.1639795</v>
      </c>
      <c r="J5288">
        <v>-303.06990000000002</v>
      </c>
      <c r="K5288">
        <v>1.0520259999999999</v>
      </c>
      <c r="L5288">
        <v>0.4858093</v>
      </c>
      <c r="M5288">
        <v>0.21052370000000001</v>
      </c>
      <c r="N5288">
        <v>0</v>
      </c>
      <c r="O5288">
        <v>-0.9775857</v>
      </c>
      <c r="P5288">
        <v>0.13746720000000001</v>
      </c>
      <c r="Q5288">
        <v>2.335839E-2</v>
      </c>
      <c r="R5288">
        <v>-0.99023119999999998</v>
      </c>
      <c r="S5288">
        <v>0.58798219999999901</v>
      </c>
      <c r="T5288">
        <v>-0.25222430000000001</v>
      </c>
      <c r="U5288">
        <v>-2.9540410000000001</v>
      </c>
      <c r="V5288">
        <v>7.4254360000000005E-2</v>
      </c>
      <c r="W5288">
        <v>2.5324320000000001E-2</v>
      </c>
      <c r="X5288">
        <v>0.99691770000000002</v>
      </c>
      <c r="Y5288">
        <v>1.6298449999999999E-2</v>
      </c>
      <c r="Z5288">
        <v>8.1440750000000006E-2</v>
      </c>
      <c r="AA5288">
        <v>0.99654489999999996</v>
      </c>
      <c r="AB5288">
        <v>18</v>
      </c>
      <c r="AC5288">
        <v>0.12850000000003001</v>
      </c>
      <c r="AD5288">
        <v>-7.0279700000000098E-2</v>
      </c>
      <c r="AE5288">
        <v>-0.64978880000000006</v>
      </c>
      <c r="AF5288">
        <v>1.1051794056587801E-2</v>
      </c>
      <c r="AG5288">
        <v>-7.0279700000000098E-2</v>
      </c>
      <c r="AH5288">
        <v>0.65490569250643205</v>
      </c>
      <c r="AI5288">
        <v>96.124259051919196</v>
      </c>
      <c r="AJ5288">
        <v>89.033202698295696</v>
      </c>
      <c r="AK5288">
        <v>0.658758563102818</v>
      </c>
    </row>
    <row r="5289" spans="1:37" x14ac:dyDescent="0.2">
      <c r="A5289" t="str">
        <f>"20200111160005455"</f>
        <v>20200111160005455</v>
      </c>
      <c r="B5289" t="str">
        <f>"1578729605446164"</f>
        <v>1578729605446164</v>
      </c>
      <c r="C5289" t="s">
        <v>37</v>
      </c>
      <c r="D5289">
        <v>5.4274809999999896</v>
      </c>
      <c r="E5289">
        <v>0.47923109999999902</v>
      </c>
      <c r="F5289" t="s">
        <v>38</v>
      </c>
      <c r="G5289">
        <v>-302.90929999999997</v>
      </c>
      <c r="H5289">
        <v>0.99484599999999901</v>
      </c>
      <c r="I5289">
        <v>-0.32793990000000001</v>
      </c>
      <c r="J5289">
        <v>-303.03250000000003</v>
      </c>
      <c r="K5289">
        <v>1.0529280000000001</v>
      </c>
      <c r="L5289">
        <v>0.29660029999999998</v>
      </c>
      <c r="M5289">
        <v>0.2103392</v>
      </c>
      <c r="N5289">
        <v>0</v>
      </c>
      <c r="O5289">
        <v>-0.97762830000000001</v>
      </c>
      <c r="P5289">
        <v>0.13793269999999999</v>
      </c>
      <c r="Q5289">
        <v>2.3942330000000001E-2</v>
      </c>
      <c r="R5289">
        <v>-0.99015259999999905</v>
      </c>
      <c r="S5289">
        <v>0.58349609999999996</v>
      </c>
      <c r="T5289">
        <v>-0.20741390000000001</v>
      </c>
      <c r="U5289">
        <v>-2.9534910000000001</v>
      </c>
      <c r="V5289">
        <v>7.3591870000000004E-2</v>
      </c>
      <c r="W5289">
        <v>2.4372379999999999E-2</v>
      </c>
      <c r="X5289">
        <v>0.99699059999999995</v>
      </c>
      <c r="Y5289">
        <v>1.7317829999999999E-2</v>
      </c>
      <c r="Z5289">
        <v>6.7072670000000001E-2</v>
      </c>
      <c r="AA5289">
        <v>0.99759779999999998</v>
      </c>
      <c r="AB5289">
        <v>18</v>
      </c>
      <c r="AC5289">
        <v>0.123200000000053</v>
      </c>
      <c r="AD5289">
        <v>-5.8082000000000099E-2</v>
      </c>
      <c r="AE5289">
        <v>-0.62454019999999899</v>
      </c>
      <c r="AF5289">
        <v>1.08313108768084E-2</v>
      </c>
      <c r="AG5289">
        <v>-5.8082000000000099E-2</v>
      </c>
      <c r="AH5289">
        <v>0.631227117980388</v>
      </c>
      <c r="AI5289">
        <v>95.256465014251901</v>
      </c>
      <c r="AJ5289">
        <v>89.0169504999309</v>
      </c>
      <c r="AK5289">
        <v>0.63398620686347495</v>
      </c>
    </row>
    <row r="5290" spans="1:37" x14ac:dyDescent="0.2">
      <c r="A5290" t="str">
        <f>"20200111160005477"</f>
        <v>20200111160005477</v>
      </c>
      <c r="B5290" t="str">
        <f>"1578729605465684"</f>
        <v>1578729605465684</v>
      </c>
      <c r="C5290" t="s">
        <v>37</v>
      </c>
      <c r="D5290">
        <v>5.5811659999999996</v>
      </c>
      <c r="E5290">
        <v>0.47677740000000002</v>
      </c>
      <c r="F5290" t="s">
        <v>38</v>
      </c>
      <c r="G5290">
        <v>-302.87430000000001</v>
      </c>
      <c r="H5290">
        <v>0.99857929999999995</v>
      </c>
      <c r="I5290">
        <v>-0.48975779999999902</v>
      </c>
      <c r="J5290">
        <v>-302.99799999999999</v>
      </c>
      <c r="K5290">
        <v>1.054495</v>
      </c>
      <c r="L5290">
        <v>0.1222229</v>
      </c>
      <c r="M5290">
        <v>0.209041799999999</v>
      </c>
      <c r="N5290">
        <v>0</v>
      </c>
      <c r="O5290">
        <v>-0.97790630000000001</v>
      </c>
      <c r="P5290">
        <v>0.13744529999999999</v>
      </c>
      <c r="Q5290">
        <v>2.5054070000000001E-2</v>
      </c>
      <c r="R5290">
        <v>-0.99019249999999903</v>
      </c>
      <c r="S5290">
        <v>0.59463500000000002</v>
      </c>
      <c r="T5290">
        <v>-0.203837299999999</v>
      </c>
      <c r="U5290">
        <v>-2.95193499999999</v>
      </c>
      <c r="V5290">
        <v>7.2724899999999995E-2</v>
      </c>
      <c r="W5290">
        <v>2.388566E-2</v>
      </c>
      <c r="X5290">
        <v>0.99706600000000001</v>
      </c>
      <c r="Y5290">
        <v>1.225571E-2</v>
      </c>
      <c r="Z5290">
        <v>6.5962350000000003E-2</v>
      </c>
      <c r="AA5290">
        <v>0.99774680000000004</v>
      </c>
      <c r="AB5290">
        <v>18</v>
      </c>
      <c r="AC5290">
        <v>0.123699999999985</v>
      </c>
      <c r="AD5290">
        <v>-5.59157000000002E-2</v>
      </c>
      <c r="AE5290">
        <v>-0.61198069999999904</v>
      </c>
      <c r="AF5290">
        <v>6.9071418593000602E-3</v>
      </c>
      <c r="AG5290">
        <v>-5.59157000000002E-2</v>
      </c>
      <c r="AH5290">
        <v>0.61935099970158003</v>
      </c>
      <c r="AI5290">
        <v>95.158422509657299</v>
      </c>
      <c r="AJ5290">
        <v>89.361051049096204</v>
      </c>
      <c r="AK5290">
        <v>0.62190830107540895</v>
      </c>
    </row>
    <row r="5291" spans="1:37" x14ac:dyDescent="0.2">
      <c r="A5291" t="str">
        <f>"20200111160005499"</f>
        <v>20200111160005499</v>
      </c>
      <c r="B5291" t="str">
        <f>"1578729605495942"</f>
        <v>1578729605495942</v>
      </c>
      <c r="C5291" t="s">
        <v>37</v>
      </c>
      <c r="D5291">
        <v>5.4620179999999996</v>
      </c>
      <c r="E5291">
        <v>0.4758212</v>
      </c>
      <c r="F5291" t="s">
        <v>38</v>
      </c>
      <c r="G5291">
        <v>-302.83679999999998</v>
      </c>
      <c r="H5291">
        <v>1.0031129999999999</v>
      </c>
      <c r="I5291">
        <v>-0.65412990000000004</v>
      </c>
      <c r="J5291">
        <v>-302.96140000000003</v>
      </c>
      <c r="K5291">
        <v>1.056465</v>
      </c>
      <c r="L5291">
        <v>-6.1645510000000001E-2</v>
      </c>
      <c r="M5291">
        <v>0.206901899999999</v>
      </c>
      <c r="N5291">
        <v>0</v>
      </c>
      <c r="O5291">
        <v>-0.97835859999999997</v>
      </c>
      <c r="P5291">
        <v>0.13632859999999999</v>
      </c>
      <c r="Q5291">
        <v>2.6359469999999999E-2</v>
      </c>
      <c r="R5291">
        <v>-0.9903132</v>
      </c>
      <c r="S5291">
        <v>0.61242680000000005</v>
      </c>
      <c r="T5291">
        <v>-0.1952526</v>
      </c>
      <c r="U5291">
        <v>-2.949646</v>
      </c>
      <c r="V5291">
        <v>7.1626690000000007E-2</v>
      </c>
      <c r="W5291">
        <v>2.3543870000000001E-2</v>
      </c>
      <c r="X5291">
        <v>0.99715359999999997</v>
      </c>
      <c r="Y5291">
        <v>4.1054630000000002E-3</v>
      </c>
      <c r="Z5291">
        <v>6.3253110000000001E-2</v>
      </c>
      <c r="AA5291">
        <v>0.99798909999999996</v>
      </c>
      <c r="AB5291">
        <v>18</v>
      </c>
      <c r="AC5291">
        <v>0.124600000000043</v>
      </c>
      <c r="AD5291">
        <v>-5.3351999999999997E-2</v>
      </c>
      <c r="AE5291">
        <v>-0.59248438999999997</v>
      </c>
      <c r="AF5291">
        <v>6.7740631912757698E-4</v>
      </c>
      <c r="AG5291">
        <v>-5.3351999999999997E-2</v>
      </c>
      <c r="AH5291">
        <v>0.60077883720685799</v>
      </c>
      <c r="AI5291">
        <v>95.074820237201607</v>
      </c>
      <c r="AJ5291">
        <v>89.935396348457104</v>
      </c>
      <c r="AK5291">
        <v>0.60314352024948903</v>
      </c>
    </row>
    <row r="5292" spans="1:37" x14ac:dyDescent="0.2">
      <c r="A5292" t="str">
        <f>"20200111160005522"</f>
        <v>20200111160005522</v>
      </c>
      <c r="B5292" t="str">
        <f>"1578729605516437"</f>
        <v>1578729605516437</v>
      </c>
      <c r="C5292" t="s">
        <v>37</v>
      </c>
      <c r="D5292">
        <v>5.4709779999999997</v>
      </c>
      <c r="E5292">
        <v>0.47559239999999903</v>
      </c>
      <c r="F5292" t="s">
        <v>38</v>
      </c>
      <c r="G5292">
        <v>-302.80259999999998</v>
      </c>
      <c r="H5292">
        <v>1.0081199999999999</v>
      </c>
      <c r="I5292">
        <v>-0.82255180000000006</v>
      </c>
      <c r="J5292">
        <v>-302.92410000000001</v>
      </c>
      <c r="K5292">
        <v>1.0584359999999999</v>
      </c>
      <c r="L5292">
        <v>-0.2481689</v>
      </c>
      <c r="M5292">
        <v>0.2043885</v>
      </c>
      <c r="N5292">
        <v>0</v>
      </c>
      <c r="O5292">
        <v>-0.9788808</v>
      </c>
      <c r="P5292">
        <v>0.13478609999999999</v>
      </c>
      <c r="Q5292">
        <v>2.8138429999999999E-2</v>
      </c>
      <c r="R5292">
        <v>-0.9904752</v>
      </c>
      <c r="S5292">
        <v>0.61672969999999905</v>
      </c>
      <c r="T5292">
        <v>-0.18706239999999999</v>
      </c>
      <c r="U5292">
        <v>-2.9494319999999998</v>
      </c>
      <c r="V5292">
        <v>7.0584949999999994E-2</v>
      </c>
      <c r="W5292">
        <v>2.3674009999999999E-2</v>
      </c>
      <c r="X5292">
        <v>0.99722479999999902</v>
      </c>
      <c r="Y5292" s="1">
        <v>9.4636199999999994E-5</v>
      </c>
      <c r="Z5292">
        <v>6.0655050000000002E-2</v>
      </c>
      <c r="AA5292">
        <v>0.99815880000000001</v>
      </c>
      <c r="AB5292">
        <v>19</v>
      </c>
      <c r="AC5292">
        <v>0.121500000000025</v>
      </c>
      <c r="AD5292">
        <v>-5.0316E-2</v>
      </c>
      <c r="AE5292">
        <v>-0.57438290000000003</v>
      </c>
      <c r="AF5292">
        <v>-1.52556599940309E-3</v>
      </c>
      <c r="AG5292">
        <v>-5.0316E-2</v>
      </c>
      <c r="AH5292">
        <v>0.58280998984658705</v>
      </c>
      <c r="AI5292">
        <v>94.934290819276498</v>
      </c>
      <c r="AJ5292">
        <v>90.1499773425667</v>
      </c>
      <c r="AK5292">
        <v>0.58497992399107002</v>
      </c>
    </row>
    <row r="5293" spans="1:37" x14ac:dyDescent="0.2">
      <c r="A5293" t="str">
        <f>"20200111160005544"</f>
        <v>20200111160005544</v>
      </c>
      <c r="B5293" t="str">
        <f>"1578729605535956"</f>
        <v>1578729605535956</v>
      </c>
      <c r="C5293" t="s">
        <v>37</v>
      </c>
      <c r="D5293">
        <v>5.5399580000000004</v>
      </c>
      <c r="E5293">
        <v>0.47456429999999999</v>
      </c>
      <c r="F5293" t="s">
        <v>39</v>
      </c>
      <c r="G5293">
        <v>-299.2045</v>
      </c>
      <c r="H5293" s="1">
        <v>-1.103835E-6</v>
      </c>
      <c r="I5293">
        <v>-18.123059999999999</v>
      </c>
      <c r="J5293">
        <v>-302.88639999999998</v>
      </c>
      <c r="K5293">
        <v>1.0602180000000001</v>
      </c>
      <c r="L5293">
        <v>-0.43780519999999901</v>
      </c>
      <c r="M5293">
        <v>0.20186270000000001</v>
      </c>
      <c r="N5293">
        <v>0</v>
      </c>
      <c r="O5293">
        <v>-0.97939569999999998</v>
      </c>
      <c r="P5293">
        <v>0.13317309999999999</v>
      </c>
      <c r="Q5293">
        <v>3.0220520000000001E-2</v>
      </c>
      <c r="R5293">
        <v>-0.99063210000000002</v>
      </c>
      <c r="S5293">
        <v>0.61392209999999903</v>
      </c>
      <c r="T5293">
        <v>-0.1746953</v>
      </c>
      <c r="U5293">
        <v>-2.950256</v>
      </c>
      <c r="V5293">
        <v>6.9614919999999997E-2</v>
      </c>
      <c r="W5293">
        <v>2.4070620000000001E-2</v>
      </c>
      <c r="X5293">
        <v>0.99728349999999899</v>
      </c>
      <c r="Y5293">
        <v>-1.565587E-3</v>
      </c>
      <c r="Z5293">
        <v>5.6694219999999997E-2</v>
      </c>
      <c r="AA5293">
        <v>0.99839040000000001</v>
      </c>
      <c r="AB5293">
        <v>19</v>
      </c>
      <c r="AC5293">
        <v>3.6818999999999802</v>
      </c>
      <c r="AD5293">
        <v>-1.060219103835</v>
      </c>
      <c r="AE5293">
        <v>-17.685254799999999</v>
      </c>
      <c r="AF5293">
        <v>-3.5920650728903998E-2</v>
      </c>
      <c r="AG5293">
        <v>-1.060219103835</v>
      </c>
      <c r="AH5293">
        <v>18.002410071105501</v>
      </c>
      <c r="AI5293">
        <v>93.370430645775897</v>
      </c>
      <c r="AJ5293">
        <v>90.114323523610807</v>
      </c>
      <c r="AK5293">
        <v>18.033638656952402</v>
      </c>
    </row>
    <row r="5294" spans="1:37" x14ac:dyDescent="0.2">
      <c r="A5294" t="str">
        <f>"20200111160005566"</f>
        <v>20200111160005566</v>
      </c>
      <c r="B5294" t="str">
        <f>"1578729605555476"</f>
        <v>1578729605555476</v>
      </c>
      <c r="C5294" t="s">
        <v>37</v>
      </c>
      <c r="D5294">
        <v>5.5301029999999898</v>
      </c>
      <c r="E5294">
        <v>0.47362089999999901</v>
      </c>
      <c r="F5294" t="s">
        <v>39</v>
      </c>
      <c r="G5294">
        <v>-299.0419</v>
      </c>
      <c r="H5294" s="1">
        <v>-8.3765059999999904E-7</v>
      </c>
      <c r="I5294">
        <v>-18.810779999999902</v>
      </c>
      <c r="J5294">
        <v>-302.84949999999998</v>
      </c>
      <c r="K5294">
        <v>1.0617159999999899</v>
      </c>
      <c r="L5294">
        <v>-0.62570190000000003</v>
      </c>
      <c r="M5294">
        <v>0.19953560000000001</v>
      </c>
      <c r="N5294">
        <v>0</v>
      </c>
      <c r="O5294">
        <v>-0.97986130000000005</v>
      </c>
      <c r="P5294">
        <v>0.1316215</v>
      </c>
      <c r="Q5294">
        <v>3.2440120000000003E-2</v>
      </c>
      <c r="R5294">
        <v>-0.99076900000000001</v>
      </c>
      <c r="S5294">
        <v>0.61740109999999904</v>
      </c>
      <c r="T5294">
        <v>-0.1702631</v>
      </c>
      <c r="U5294">
        <v>-2.9505619999999899</v>
      </c>
      <c r="V5294">
        <v>6.8798330000000005E-2</v>
      </c>
      <c r="W5294">
        <v>2.4689849999999999E-2</v>
      </c>
      <c r="X5294">
        <v>0.99732500000000002</v>
      </c>
      <c r="Y5294">
        <v>-5.0628970000000002E-3</v>
      </c>
      <c r="Z5294">
        <v>5.5288339999999998E-2</v>
      </c>
      <c r="AA5294">
        <v>0.99845759999999995</v>
      </c>
      <c r="AB5294">
        <v>19</v>
      </c>
      <c r="AC5294">
        <v>3.8075999999999701</v>
      </c>
      <c r="AD5294">
        <v>-1.0617168376505901</v>
      </c>
      <c r="AE5294">
        <v>-18.185078099999998</v>
      </c>
      <c r="AF5294">
        <v>-0.102019206227538</v>
      </c>
      <c r="AG5294">
        <v>-1.0617168376505901</v>
      </c>
      <c r="AH5294">
        <v>18.5186658614934</v>
      </c>
      <c r="AI5294">
        <v>93.281254392877798</v>
      </c>
      <c r="AJ5294">
        <v>90.315638872594505</v>
      </c>
      <c r="AK5294">
        <v>18.5493567503413</v>
      </c>
    </row>
    <row r="5295" spans="1:37" x14ac:dyDescent="0.2">
      <c r="A5295" t="str">
        <f>"20200111160005588"</f>
        <v>20200111160005588</v>
      </c>
      <c r="B5295" t="str">
        <f>"1578729605585733"</f>
        <v>1578729605585733</v>
      </c>
      <c r="C5295" t="s">
        <v>37</v>
      </c>
      <c r="D5295">
        <v>5.6506619999999996</v>
      </c>
      <c r="E5295">
        <v>0.47295809999999999</v>
      </c>
      <c r="F5295" t="s">
        <v>38</v>
      </c>
      <c r="G5295">
        <v>-302.6653</v>
      </c>
      <c r="H5295">
        <v>1.012705</v>
      </c>
      <c r="I5295">
        <v>-1.502648</v>
      </c>
      <c r="J5295">
        <v>-302.81220000000002</v>
      </c>
      <c r="K5295">
        <v>1.06308</v>
      </c>
      <c r="L5295">
        <v>-0.81896969999999902</v>
      </c>
      <c r="M5295">
        <v>0.19726199999999999</v>
      </c>
      <c r="N5295">
        <v>0</v>
      </c>
      <c r="O5295">
        <v>-0.98030949999999994</v>
      </c>
      <c r="P5295">
        <v>0.1298724</v>
      </c>
      <c r="Q5295">
        <v>3.4136689999999997E-2</v>
      </c>
      <c r="R5295">
        <v>-0.99094269999999995</v>
      </c>
      <c r="S5295">
        <v>0.62066650000000001</v>
      </c>
      <c r="T5295">
        <v>-0.16468920000000001</v>
      </c>
      <c r="U5295">
        <v>-2.9508969999999999</v>
      </c>
      <c r="V5295">
        <v>6.8244700000000005E-2</v>
      </c>
      <c r="W5295">
        <v>2.4937730000000002E-2</v>
      </c>
      <c r="X5295">
        <v>0.99735689999999999</v>
      </c>
      <c r="Y5295">
        <v>-8.4363200000000006E-3</v>
      </c>
      <c r="Z5295">
        <v>5.3508960000000001E-2</v>
      </c>
      <c r="AA5295">
        <v>0.99853179999999997</v>
      </c>
      <c r="AB5295">
        <v>20</v>
      </c>
      <c r="AC5295">
        <v>0.14690000000001599</v>
      </c>
      <c r="AD5295">
        <v>-5.0375000000000003E-2</v>
      </c>
      <c r="AE5295">
        <v>-0.68367829999999996</v>
      </c>
      <c r="AF5295">
        <v>-9.0968788096705208E-3</v>
      </c>
      <c r="AG5295">
        <v>-5.0375000000000003E-2</v>
      </c>
      <c r="AH5295">
        <v>0.69561255671511202</v>
      </c>
      <c r="AI5295">
        <v>94.141672842248298</v>
      </c>
      <c r="AJ5295">
        <v>90.749243307556398</v>
      </c>
      <c r="AK5295">
        <v>0.69749352892253602</v>
      </c>
    </row>
    <row r="5296" spans="1:37" x14ac:dyDescent="0.2">
      <c r="A5296" t="str">
        <f>"20200111160005611"</f>
        <v>20200111160005611</v>
      </c>
      <c r="B5296" t="str">
        <f>"1578729605606228"</f>
        <v>1578729605606228</v>
      </c>
      <c r="C5296" t="s">
        <v>37</v>
      </c>
      <c r="D5296">
        <v>5.5511429999999997</v>
      </c>
      <c r="E5296">
        <v>0.4729218</v>
      </c>
      <c r="F5296" t="s">
        <v>38</v>
      </c>
      <c r="G5296">
        <v>-302.62900000000002</v>
      </c>
      <c r="H5296">
        <v>1.015614</v>
      </c>
      <c r="I5296">
        <v>-1.6899009999999901</v>
      </c>
      <c r="J5296">
        <v>-302.77480000000003</v>
      </c>
      <c r="K5296">
        <v>1.064365</v>
      </c>
      <c r="L5296">
        <v>-1.016907</v>
      </c>
      <c r="M5296">
        <v>0.19496269999999999</v>
      </c>
      <c r="N5296">
        <v>0</v>
      </c>
      <c r="O5296">
        <v>-0.98075749999999995</v>
      </c>
      <c r="P5296">
        <v>0.1279922</v>
      </c>
      <c r="Q5296">
        <v>3.530705E-2</v>
      </c>
      <c r="R5296">
        <v>-0.991146999999999</v>
      </c>
      <c r="S5296">
        <v>0.62057499999999999</v>
      </c>
      <c r="T5296">
        <v>-0.16095019999999999</v>
      </c>
      <c r="U5296">
        <v>-2.95162999999999</v>
      </c>
      <c r="V5296">
        <v>6.7801249999999993E-2</v>
      </c>
      <c r="W5296">
        <v>2.4860030000000002E-2</v>
      </c>
      <c r="X5296">
        <v>0.99738909999999903</v>
      </c>
      <c r="Y5296">
        <v>-1.071268E-2</v>
      </c>
      <c r="Z5296">
        <v>5.2321239999999998E-2</v>
      </c>
      <c r="AA5296">
        <v>0.99857280000000004</v>
      </c>
      <c r="AB5296">
        <v>20</v>
      </c>
      <c r="AC5296">
        <v>0.14580000000000801</v>
      </c>
      <c r="AD5296">
        <v>-4.8750999999999899E-2</v>
      </c>
      <c r="AE5296">
        <v>-0.67299399999999898</v>
      </c>
      <c r="AF5296">
        <v>-1.1727550295785399E-2</v>
      </c>
      <c r="AG5296">
        <v>-4.8750999999999899E-2</v>
      </c>
      <c r="AH5296">
        <v>0.68507168083340098</v>
      </c>
      <c r="AI5296">
        <v>94.069820416798194</v>
      </c>
      <c r="AJ5296">
        <v>90.980734613513405</v>
      </c>
      <c r="AK5296">
        <v>0.68690421698868698</v>
      </c>
    </row>
    <row r="5297" spans="1:37" x14ac:dyDescent="0.2">
      <c r="A5297" t="str">
        <f>"20200111160005634"</f>
        <v>20200111160005634</v>
      </c>
      <c r="B5297" t="str">
        <f>"1578729605625748"</f>
        <v>1578729605625748</v>
      </c>
      <c r="C5297" t="s">
        <v>37</v>
      </c>
      <c r="D5297">
        <v>5.5460859999999998</v>
      </c>
      <c r="E5297">
        <v>0.47271759999999902</v>
      </c>
      <c r="F5297" t="s">
        <v>39</v>
      </c>
      <c r="G5297">
        <v>-298.55329999999998</v>
      </c>
      <c r="H5297" s="1">
        <v>-4.1553459999999998E-6</v>
      </c>
      <c r="I5297">
        <v>-21.279170000000001</v>
      </c>
      <c r="J5297">
        <v>-302.7364</v>
      </c>
      <c r="K5297">
        <v>1.0656289999999999</v>
      </c>
      <c r="L5297">
        <v>-1.2237549999999999</v>
      </c>
      <c r="M5297">
        <v>0.1925521</v>
      </c>
      <c r="N5297">
        <v>0</v>
      </c>
      <c r="O5297">
        <v>-0.98122199999999904</v>
      </c>
      <c r="P5297">
        <v>0.12584619999999999</v>
      </c>
      <c r="Q5297">
        <v>3.6707829999999997E-2</v>
      </c>
      <c r="R5297">
        <v>-0.99137059999999999</v>
      </c>
      <c r="S5297">
        <v>0.61520390000000003</v>
      </c>
      <c r="T5297">
        <v>-0.1551138</v>
      </c>
      <c r="U5297">
        <v>-2.9528810000000001</v>
      </c>
      <c r="V5297">
        <v>6.751008E-2</v>
      </c>
      <c r="W5297">
        <v>2.5187520000000001E-2</v>
      </c>
      <c r="X5297">
        <v>0.99740059999999997</v>
      </c>
      <c r="Y5297">
        <v>-1.136233E-2</v>
      </c>
      <c r="Z5297">
        <v>5.0453820000000003E-2</v>
      </c>
      <c r="AA5297">
        <v>0.99866180000000004</v>
      </c>
      <c r="AB5297">
        <v>20</v>
      </c>
      <c r="AC5297">
        <v>4.18310000000002</v>
      </c>
      <c r="AD5297">
        <v>-1.0656331553459999</v>
      </c>
      <c r="AE5297">
        <v>-20.055415</v>
      </c>
      <c r="AF5297">
        <v>-0.24219762315646201</v>
      </c>
      <c r="AG5297">
        <v>-1.0656331553459999</v>
      </c>
      <c r="AH5297">
        <v>20.430305251456598</v>
      </c>
      <c r="AI5297">
        <v>92.985600239051806</v>
      </c>
      <c r="AJ5297">
        <v>90.679199425913097</v>
      </c>
      <c r="AK5297">
        <v>20.459511391480699</v>
      </c>
    </row>
    <row r="5298" spans="1:37" x14ac:dyDescent="0.2">
      <c r="A5298" t="str">
        <f>"20200111160005656"</f>
        <v>20200111160005656</v>
      </c>
      <c r="B5298" t="str">
        <f>"1578729605646244"</f>
        <v>1578729605646244</v>
      </c>
      <c r="C5298" t="s">
        <v>37</v>
      </c>
      <c r="D5298">
        <v>5.6004239999999896</v>
      </c>
      <c r="E5298">
        <v>0.47226999999999902</v>
      </c>
      <c r="F5298" t="s">
        <v>39</v>
      </c>
      <c r="G5298">
        <v>-298.36430000000001</v>
      </c>
      <c r="H5298" s="1">
        <v>-3.71348799999999E-6</v>
      </c>
      <c r="I5298">
        <v>-22.387319999999999</v>
      </c>
      <c r="J5298">
        <v>-302.7</v>
      </c>
      <c r="K5298">
        <v>1.066832</v>
      </c>
      <c r="L5298">
        <v>-1.4226379999999901</v>
      </c>
      <c r="M5298">
        <v>0.1898726</v>
      </c>
      <c r="N5298">
        <v>0</v>
      </c>
      <c r="O5298">
        <v>-0.98173549999999998</v>
      </c>
      <c r="P5298">
        <v>0.1229891</v>
      </c>
      <c r="Q5298">
        <v>3.7400599999999999E-2</v>
      </c>
      <c r="R5298">
        <v>-0.99170329999999995</v>
      </c>
      <c r="S5298">
        <v>0.61029049999999996</v>
      </c>
      <c r="T5298">
        <v>-0.14874879999999999</v>
      </c>
      <c r="U5298">
        <v>-2.9541629999999999</v>
      </c>
      <c r="V5298">
        <v>6.7658899999999994E-2</v>
      </c>
      <c r="W5298">
        <v>2.5175119999999999E-2</v>
      </c>
      <c r="X5298">
        <v>0.99739089999999997</v>
      </c>
      <c r="Y5298">
        <v>-1.2432489999999999E-2</v>
      </c>
      <c r="Z5298">
        <v>4.8414319999999997E-2</v>
      </c>
      <c r="AA5298">
        <v>0.99875000000000003</v>
      </c>
      <c r="AB5298">
        <v>20</v>
      </c>
      <c r="AC5298">
        <v>4.3356999999999699</v>
      </c>
      <c r="AD5298">
        <v>-1.066835713488</v>
      </c>
      <c r="AE5298">
        <v>-20.964682</v>
      </c>
      <c r="AF5298">
        <v>-0.27522829160092099</v>
      </c>
      <c r="AG5298">
        <v>-1.066835713488</v>
      </c>
      <c r="AH5298">
        <v>21.353515153319901</v>
      </c>
      <c r="AI5298">
        <v>92.859919680469005</v>
      </c>
      <c r="AJ5298">
        <v>90.738452017319105</v>
      </c>
      <c r="AK5298">
        <v>21.3819198963782</v>
      </c>
    </row>
    <row r="5299" spans="1:37" x14ac:dyDescent="0.2">
      <c r="A5299" t="str">
        <f>"20200111160005990"</f>
        <v>20200111160005990</v>
      </c>
      <c r="B5299" t="str">
        <f>"1578729605986869"</f>
        <v>1578729605986869</v>
      </c>
      <c r="C5299" t="s">
        <v>37</v>
      </c>
      <c r="D5299">
        <v>5.5356759999999996</v>
      </c>
      <c r="E5299">
        <v>0.59899690000000005</v>
      </c>
      <c r="F5299" t="s">
        <v>39</v>
      </c>
      <c r="G5299">
        <v>-298.27929999999998</v>
      </c>
      <c r="H5299" s="1">
        <v>-3.4548489999999998E-6</v>
      </c>
      <c r="I5299">
        <v>-23.025369999999999</v>
      </c>
      <c r="J5299">
        <v>-302.17430000000002</v>
      </c>
      <c r="K5299">
        <v>1.094865</v>
      </c>
      <c r="L5299">
        <v>-4.6603089999999998</v>
      </c>
      <c r="M5299">
        <v>0.15345059999999999</v>
      </c>
      <c r="N5299">
        <v>0</v>
      </c>
      <c r="O5299">
        <v>-0.98815640000000005</v>
      </c>
      <c r="P5299">
        <v>8.4669659999999994E-2</v>
      </c>
      <c r="Q5299">
        <v>2.2425899999999999E-2</v>
      </c>
      <c r="R5299">
        <v>-0.99615689999999901</v>
      </c>
      <c r="S5299">
        <v>0.60482789999999997</v>
      </c>
      <c r="T5299">
        <v>-0.14595999999999901</v>
      </c>
      <c r="U5299">
        <v>-2.955597</v>
      </c>
      <c r="V5299">
        <v>6.9282850000000007E-2</v>
      </c>
      <c r="W5299">
        <v>2.1564070000000001E-2</v>
      </c>
      <c r="X5299">
        <v>0.99736399999999903</v>
      </c>
      <c r="Y5299">
        <v>-4.7540760000000001E-2</v>
      </c>
      <c r="Z5299">
        <v>4.7929899999999998E-2</v>
      </c>
      <c r="AA5299">
        <v>0.99771869999999996</v>
      </c>
      <c r="AB5299">
        <v>23</v>
      </c>
      <c r="AC5299">
        <v>3.8950000000000302</v>
      </c>
      <c r="AD5299">
        <v>-1.094868454849</v>
      </c>
      <c r="AE5299">
        <v>-18.365061000000001</v>
      </c>
      <c r="AF5299">
        <v>-1.0272456114314299</v>
      </c>
      <c r="AG5299">
        <v>-1.094868454849</v>
      </c>
      <c r="AH5299">
        <v>18.681701188002702</v>
      </c>
      <c r="AI5299">
        <v>93.349018896436107</v>
      </c>
      <c r="AJ5299">
        <v>93.147337931077303</v>
      </c>
      <c r="AK5299">
        <v>18.741929723415598</v>
      </c>
    </row>
    <row r="5300" spans="1:37" x14ac:dyDescent="0.2">
      <c r="A5300" t="str">
        <f>"20200111160006035"</f>
        <v>20200111160006035</v>
      </c>
      <c r="B5300" t="str">
        <f>"1578729606025908"</f>
        <v>1578729606025908</v>
      </c>
      <c r="C5300" t="s">
        <v>37</v>
      </c>
      <c r="D5300">
        <v>5.537426</v>
      </c>
      <c r="E5300">
        <v>0.59846949999999999</v>
      </c>
      <c r="F5300" t="s">
        <v>39</v>
      </c>
      <c r="G5300">
        <v>-304.53140000000002</v>
      </c>
      <c r="H5300" s="1">
        <v>-1.968987E-6</v>
      </c>
      <c r="I5300">
        <v>-18.631640000000001</v>
      </c>
      <c r="J5300">
        <v>-302.10939999999999</v>
      </c>
      <c r="K5300">
        <v>1.096811</v>
      </c>
      <c r="L5300">
        <v>-5.1209110000000004</v>
      </c>
      <c r="M5300">
        <v>0.1482366</v>
      </c>
      <c r="N5300">
        <v>0</v>
      </c>
      <c r="O5300">
        <v>-0.98895159999999904</v>
      </c>
      <c r="P5300">
        <v>7.8714619999999999E-2</v>
      </c>
      <c r="Q5300">
        <v>2.0685720000000001E-2</v>
      </c>
      <c r="R5300">
        <v>-0.99668269999999903</v>
      </c>
      <c r="S5300">
        <v>-0.5164185</v>
      </c>
      <c r="T5300">
        <v>-0.23986689999999999</v>
      </c>
      <c r="U5300">
        <v>-3.060883</v>
      </c>
      <c r="V5300">
        <v>6.9985019999999995E-2</v>
      </c>
      <c r="W5300">
        <v>2.118745E-2</v>
      </c>
      <c r="X5300">
        <v>0.99732299999999996</v>
      </c>
      <c r="Y5300">
        <v>0.31022050000000001</v>
      </c>
      <c r="Z5300">
        <v>7.4375899999999995E-2</v>
      </c>
      <c r="AA5300">
        <v>0.94775069999999995</v>
      </c>
      <c r="AB5300">
        <v>23</v>
      </c>
      <c r="AC5300">
        <v>-2.4220000000000201</v>
      </c>
      <c r="AD5300">
        <v>-1.0968129689870001</v>
      </c>
      <c r="AE5300">
        <v>-13.510729</v>
      </c>
      <c r="AF5300">
        <v>4.3701228564938397</v>
      </c>
      <c r="AG5300">
        <v>-1.0968129689870001</v>
      </c>
      <c r="AH5300">
        <v>12.9199365432232</v>
      </c>
      <c r="AI5300">
        <v>94.597678771799707</v>
      </c>
      <c r="AJ5300">
        <v>71.312074187369305</v>
      </c>
      <c r="AK5300">
        <v>13.683045448682201</v>
      </c>
    </row>
    <row r="5301" spans="1:37" x14ac:dyDescent="0.2">
      <c r="A5301" t="str">
        <f>"20200111160006057"</f>
        <v>20200111160006057</v>
      </c>
      <c r="B5301" t="str">
        <f>"1578729606046405"</f>
        <v>1578729606046405</v>
      </c>
      <c r="C5301" t="s">
        <v>37</v>
      </c>
      <c r="D5301">
        <v>5.4747879999999904</v>
      </c>
      <c r="E5301">
        <v>0.59876010000000002</v>
      </c>
      <c r="F5301" t="s">
        <v>39</v>
      </c>
      <c r="G5301">
        <v>-304.56439999999998</v>
      </c>
      <c r="H5301" s="1">
        <v>-1.7129519999999899E-6</v>
      </c>
      <c r="I5301">
        <v>-19.248909999999999</v>
      </c>
      <c r="J5301">
        <v>-302.07819999999998</v>
      </c>
      <c r="K5301">
        <v>1.097561</v>
      </c>
      <c r="L5301">
        <v>-5.3486019999999996</v>
      </c>
      <c r="M5301">
        <v>0.14568399999999901</v>
      </c>
      <c r="N5301">
        <v>0</v>
      </c>
      <c r="O5301">
        <v>-0.9893303</v>
      </c>
      <c r="P5301">
        <v>7.6776819999999996E-2</v>
      </c>
      <c r="Q5301">
        <v>2.0474900000000001E-2</v>
      </c>
      <c r="R5301">
        <v>-0.99683820000000001</v>
      </c>
      <c r="S5301">
        <v>-0.53118900000000002</v>
      </c>
      <c r="T5301">
        <v>-0.23731579999999999</v>
      </c>
      <c r="U5301">
        <v>-3.056854</v>
      </c>
      <c r="V5301">
        <v>6.9352369999999997E-2</v>
      </c>
      <c r="W5301">
        <v>2.1554529999999999E-2</v>
      </c>
      <c r="X5301">
        <v>0.99735929999999995</v>
      </c>
      <c r="Y5301">
        <v>0.31243009999999999</v>
      </c>
      <c r="Z5301">
        <v>7.3670920000000001E-2</v>
      </c>
      <c r="AA5301">
        <v>0.94707969999999897</v>
      </c>
      <c r="AB5301">
        <v>23</v>
      </c>
      <c r="AC5301">
        <v>-2.48619999999999</v>
      </c>
      <c r="AD5301">
        <v>-1.097562712952</v>
      </c>
      <c r="AE5301">
        <v>-13.900308000000001</v>
      </c>
      <c r="AF5301">
        <v>4.4577982170443802</v>
      </c>
      <c r="AG5301">
        <v>-1.097562712952</v>
      </c>
      <c r="AH5301">
        <v>13.309401138070101</v>
      </c>
      <c r="AI5301">
        <v>94.471185241758803</v>
      </c>
      <c r="AJ5301">
        <v>71.482445050382793</v>
      </c>
      <c r="AK5301">
        <v>14.0789476704336</v>
      </c>
    </row>
    <row r="5302" spans="1:37" x14ac:dyDescent="0.2">
      <c r="A5302" t="str">
        <f>"20200111160006079"</f>
        <v>20200111160006079</v>
      </c>
      <c r="B5302" t="str">
        <f>"1578729606076660"</f>
        <v>1578729606076660</v>
      </c>
      <c r="C5302" t="s">
        <v>37</v>
      </c>
      <c r="D5302">
        <v>5.553388</v>
      </c>
      <c r="E5302">
        <v>0.59811110000000001</v>
      </c>
      <c r="F5302" t="s">
        <v>39</v>
      </c>
      <c r="G5302">
        <v>-304.60070000000002</v>
      </c>
      <c r="H5302" s="1">
        <v>-1.556666E-6</v>
      </c>
      <c r="I5302">
        <v>-19.635760000000001</v>
      </c>
      <c r="J5302">
        <v>-302.0471</v>
      </c>
      <c r="K5302">
        <v>1.0982049999999901</v>
      </c>
      <c r="L5302">
        <v>-5.5795899999999996</v>
      </c>
      <c r="M5302">
        <v>0.14309449999999899</v>
      </c>
      <c r="N5302">
        <v>0</v>
      </c>
      <c r="O5302">
        <v>-0.98970720000000001</v>
      </c>
      <c r="P5302">
        <v>7.4751349999999994E-2</v>
      </c>
      <c r="Q5302">
        <v>2.0311570000000001E-2</v>
      </c>
      <c r="R5302">
        <v>-0.99699519999999997</v>
      </c>
      <c r="S5302">
        <v>-0.5395508</v>
      </c>
      <c r="T5302">
        <v>-0.23475749999999901</v>
      </c>
      <c r="U5302">
        <v>-3.0558779999999999</v>
      </c>
      <c r="V5302">
        <v>6.8771090000000007E-2</v>
      </c>
      <c r="W5302">
        <v>2.1917800000000001E-2</v>
      </c>
      <c r="X5302">
        <v>0.99739169999999999</v>
      </c>
      <c r="Y5302">
        <v>0.31252020000000003</v>
      </c>
      <c r="Z5302">
        <v>7.2929300000000002E-2</v>
      </c>
      <c r="AA5302">
        <v>0.94710740000000004</v>
      </c>
      <c r="AB5302">
        <v>23</v>
      </c>
      <c r="AC5302">
        <v>-2.5536000000000101</v>
      </c>
      <c r="AD5302">
        <v>-1.098206556666</v>
      </c>
      <c r="AE5302">
        <v>-14.05617</v>
      </c>
      <c r="AF5302">
        <v>4.5120225041534701</v>
      </c>
      <c r="AG5302">
        <v>-1.098206556666</v>
      </c>
      <c r="AH5302">
        <v>13.466534042262801</v>
      </c>
      <c r="AI5302">
        <v>94.421646538612094</v>
      </c>
      <c r="AJ5302">
        <v>71.476344272646202</v>
      </c>
      <c r="AK5302">
        <v>14.244716347843299</v>
      </c>
    </row>
    <row r="5303" spans="1:37" x14ac:dyDescent="0.2">
      <c r="A5303" t="str">
        <f>"20200111160006103"</f>
        <v>20200111160006103</v>
      </c>
      <c r="B5303" t="str">
        <f>"1578729606096181"</f>
        <v>1578729606096181</v>
      </c>
      <c r="C5303" t="s">
        <v>37</v>
      </c>
      <c r="D5303">
        <v>5.5672389999999998</v>
      </c>
      <c r="E5303">
        <v>0.5974351</v>
      </c>
      <c r="F5303" t="s">
        <v>39</v>
      </c>
      <c r="G5303">
        <v>-304.58519999999999</v>
      </c>
      <c r="H5303" s="1">
        <v>-1.428402E-6</v>
      </c>
      <c r="I5303">
        <v>-19.925129999999999</v>
      </c>
      <c r="J5303">
        <v>-302.01569999999998</v>
      </c>
      <c r="K5303">
        <v>1.0987610000000001</v>
      </c>
      <c r="L5303">
        <v>-5.8172300000000003</v>
      </c>
      <c r="M5303">
        <v>0.14042959999999999</v>
      </c>
      <c r="N5303">
        <v>0</v>
      </c>
      <c r="O5303">
        <v>-0.99008799999999997</v>
      </c>
      <c r="P5303">
        <v>7.2149489999999997E-2</v>
      </c>
      <c r="Q5303">
        <v>2.0405610000000001E-2</v>
      </c>
      <c r="R5303">
        <v>-0.99718530000000005</v>
      </c>
      <c r="S5303">
        <v>-0.54040529999999998</v>
      </c>
      <c r="T5303">
        <v>-0.2338201</v>
      </c>
      <c r="U5303">
        <v>-3.0543209999999998</v>
      </c>
      <c r="V5303">
        <v>6.8691450000000001E-2</v>
      </c>
      <c r="W5303">
        <v>2.2495100000000001E-2</v>
      </c>
      <c r="X5303">
        <v>0.9973843</v>
      </c>
      <c r="Y5303">
        <v>0.3103052</v>
      </c>
      <c r="Z5303">
        <v>7.2745359999999995E-2</v>
      </c>
      <c r="AA5303">
        <v>0.94784959999999996</v>
      </c>
      <c r="AB5303">
        <v>23</v>
      </c>
      <c r="AC5303">
        <v>-2.5695000000000001</v>
      </c>
      <c r="AD5303">
        <v>-1.0987624284019999</v>
      </c>
      <c r="AE5303">
        <v>-14.107900000000001</v>
      </c>
      <c r="AF5303">
        <v>4.4987974899688901</v>
      </c>
      <c r="AG5303">
        <v>-1.0987624284019999</v>
      </c>
      <c r="AH5303">
        <v>13.527842937005399</v>
      </c>
      <c r="AI5303">
        <v>94.407195288948301</v>
      </c>
      <c r="AJ5303">
        <v>71.605022023394</v>
      </c>
      <c r="AK5303">
        <v>14.298566090979399</v>
      </c>
    </row>
    <row r="5304" spans="1:37" x14ac:dyDescent="0.2">
      <c r="A5304" t="str">
        <f>"20200111160006730"</f>
        <v>20200111160006730</v>
      </c>
      <c r="B5304" t="str">
        <f>"1578729606725895"</f>
        <v>1578729606725895</v>
      </c>
      <c r="C5304" t="s">
        <v>37</v>
      </c>
      <c r="D5304">
        <v>9.1231229999999996</v>
      </c>
      <c r="E5304">
        <v>0.59663109999999997</v>
      </c>
      <c r="F5304" t="s">
        <v>39</v>
      </c>
      <c r="G5304">
        <v>-304.58580000000001</v>
      </c>
      <c r="H5304" s="1">
        <v>-1.2803090000000001E-6</v>
      </c>
      <c r="I5304">
        <v>-20.270700000000001</v>
      </c>
      <c r="J5304">
        <v>-301.38060000000002</v>
      </c>
      <c r="K5304">
        <v>1.1018520000000001</v>
      </c>
      <c r="L5304">
        <v>-12.79739</v>
      </c>
      <c r="M5304">
        <v>6.2699320000000003E-2</v>
      </c>
      <c r="N5304">
        <v>0</v>
      </c>
      <c r="O5304">
        <v>-0.99799530000000003</v>
      </c>
      <c r="P5304">
        <v>-8.0193699999999996E-3</v>
      </c>
      <c r="Q5304">
        <v>1.226061E-2</v>
      </c>
      <c r="R5304">
        <v>-0.99989319999999904</v>
      </c>
      <c r="S5304">
        <v>-0.54278559999999998</v>
      </c>
      <c r="T5304">
        <v>-0.23205229999999899</v>
      </c>
      <c r="U5304">
        <v>-3.0524900000000001</v>
      </c>
      <c r="V5304">
        <v>7.0798840000000002E-2</v>
      </c>
      <c r="W5304">
        <v>2.0537670000000001E-2</v>
      </c>
      <c r="X5304">
        <v>0.99727919999999903</v>
      </c>
      <c r="Y5304">
        <v>0.235977399999999</v>
      </c>
      <c r="Z5304">
        <v>7.3930480000000007E-2</v>
      </c>
      <c r="AA5304">
        <v>0.96894219999999898</v>
      </c>
      <c r="AB5304">
        <v>26</v>
      </c>
      <c r="AC5304">
        <v>-3.2051999999999898</v>
      </c>
      <c r="AD5304">
        <v>-1.101853280309</v>
      </c>
      <c r="AE5304">
        <v>-7.4733099999999997</v>
      </c>
      <c r="AF5304">
        <v>3.6013583467598198</v>
      </c>
      <c r="AG5304">
        <v>-1.101853280309</v>
      </c>
      <c r="AH5304">
        <v>7.1267804852743</v>
      </c>
      <c r="AI5304">
        <v>97.856616826867906</v>
      </c>
      <c r="AJ5304">
        <v>63.191273792215</v>
      </c>
      <c r="AK5304">
        <v>8.06069864703991</v>
      </c>
    </row>
    <row r="5305" spans="1:37" x14ac:dyDescent="0.2">
      <c r="A5305" t="str">
        <f>"20200111160006752"</f>
        <v>20200111160006752</v>
      </c>
      <c r="B5305" t="str">
        <f>"1578729606746392"</f>
        <v>1578729606746392</v>
      </c>
      <c r="C5305" t="s">
        <v>37</v>
      </c>
      <c r="D5305">
        <v>5.5108420000000002</v>
      </c>
      <c r="E5305">
        <v>0.44811269999999997</v>
      </c>
      <c r="F5305" t="s">
        <v>39</v>
      </c>
      <c r="G5305">
        <v>-305.58460000000002</v>
      </c>
      <c r="H5305" s="1">
        <v>-2.1276059999999999E-6</v>
      </c>
      <c r="I5305">
        <v>-28.915099999999999</v>
      </c>
      <c r="J5305">
        <v>-301.36779999999999</v>
      </c>
      <c r="K5305">
        <v>1.1019859999999999</v>
      </c>
      <c r="L5305">
        <v>-13.05246</v>
      </c>
      <c r="M5305">
        <v>5.9958879999999999E-2</v>
      </c>
      <c r="N5305">
        <v>0</v>
      </c>
      <c r="O5305">
        <v>-0.99815750000000003</v>
      </c>
      <c r="P5305">
        <v>-1.0748509999999999E-2</v>
      </c>
      <c r="Q5305">
        <v>1.2082590000000001E-2</v>
      </c>
      <c r="R5305">
        <v>-0.99986900000000001</v>
      </c>
      <c r="S5305">
        <v>-0.78158570000000005</v>
      </c>
      <c r="T5305">
        <v>-0.20485320000000001</v>
      </c>
      <c r="U5305">
        <v>-2.9965519999999999</v>
      </c>
      <c r="V5305">
        <v>7.078458E-2</v>
      </c>
      <c r="W5305">
        <v>2.1018209999999999E-2</v>
      </c>
      <c r="X5305">
        <v>0.997270199999999</v>
      </c>
      <c r="Y5305">
        <v>0.30940869999999998</v>
      </c>
      <c r="Z5305">
        <v>6.5258700000000003E-2</v>
      </c>
      <c r="AA5305">
        <v>0.94868730000000001</v>
      </c>
      <c r="AB5305">
        <v>26</v>
      </c>
      <c r="AC5305">
        <v>-4.2168000000000303</v>
      </c>
      <c r="AD5305">
        <v>-1.101988127606</v>
      </c>
      <c r="AE5305">
        <v>-15.862639999999899</v>
      </c>
      <c r="AF5305">
        <v>5.1372033334131997</v>
      </c>
      <c r="AG5305">
        <v>-1.101988127606</v>
      </c>
      <c r="AH5305">
        <v>15.5113332766258</v>
      </c>
      <c r="AI5305">
        <v>93.858273554997297</v>
      </c>
      <c r="AJ5305">
        <v>71.675629514959198</v>
      </c>
      <c r="AK5305">
        <v>16.377017309045499</v>
      </c>
    </row>
    <row r="5306" spans="1:37" x14ac:dyDescent="0.2">
      <c r="A5306" t="str">
        <f>"20200111160006774"</f>
        <v>20200111160006774</v>
      </c>
      <c r="B5306" t="str">
        <f>"1578729606765912"</f>
        <v>1578729606765912</v>
      </c>
      <c r="C5306" t="s">
        <v>37</v>
      </c>
      <c r="D5306">
        <v>5.461468</v>
      </c>
      <c r="E5306">
        <v>0.44516809999999901</v>
      </c>
      <c r="F5306" t="s">
        <v>39</v>
      </c>
      <c r="G5306">
        <v>-299.67380000000003</v>
      </c>
      <c r="H5306" s="1">
        <v>-2.0154639999999999E-6</v>
      </c>
      <c r="I5306">
        <v>-25.803979999999999</v>
      </c>
      <c r="J5306">
        <v>-301.35509999999999</v>
      </c>
      <c r="K5306">
        <v>1.1021000000000001</v>
      </c>
      <c r="L5306">
        <v>-13.317229999999901</v>
      </c>
      <c r="M5306">
        <v>5.7122899999999997E-2</v>
      </c>
      <c r="N5306">
        <v>0</v>
      </c>
      <c r="O5306">
        <v>-0.99831749999999997</v>
      </c>
      <c r="P5306">
        <v>-1.32386E-2</v>
      </c>
      <c r="Q5306">
        <v>1.196915E-2</v>
      </c>
      <c r="R5306">
        <v>-0.99984089999999903</v>
      </c>
      <c r="S5306">
        <v>0.3995667</v>
      </c>
      <c r="T5306">
        <v>-0.25993810000000001</v>
      </c>
      <c r="U5306">
        <v>-3.0078429999999998</v>
      </c>
      <c r="V5306">
        <v>7.0437360000000004E-2</v>
      </c>
      <c r="W5306">
        <v>2.1572649999999999E-2</v>
      </c>
      <c r="X5306">
        <v>0.99728289999999997</v>
      </c>
      <c r="Y5306">
        <v>-7.4359910000000001E-2</v>
      </c>
      <c r="Z5306">
        <v>8.5397890000000004E-2</v>
      </c>
      <c r="AA5306">
        <v>0.99356819999999901</v>
      </c>
      <c r="AB5306">
        <v>26</v>
      </c>
      <c r="AC5306">
        <v>1.68129999999996</v>
      </c>
      <c r="AD5306">
        <v>-1.102102015464</v>
      </c>
      <c r="AE5306">
        <v>-12.486750000000001</v>
      </c>
      <c r="AF5306">
        <v>-0.95791032361751005</v>
      </c>
      <c r="AG5306">
        <v>-1.102102015464</v>
      </c>
      <c r="AH5306">
        <v>12.4670142575531</v>
      </c>
      <c r="AI5306">
        <v>95.037126600320505</v>
      </c>
      <c r="AJ5306">
        <v>94.393721845499897</v>
      </c>
      <c r="AK5306">
        <v>12.5522374714078</v>
      </c>
    </row>
    <row r="5307" spans="1:37" x14ac:dyDescent="0.2">
      <c r="A5307" t="str">
        <f>"20200111160006796"</f>
        <v>20200111160006796</v>
      </c>
      <c r="B5307" t="str">
        <f>"1578729606786408"</f>
        <v>1578729606786408</v>
      </c>
      <c r="C5307" t="s">
        <v>37</v>
      </c>
      <c r="D5307">
        <v>5.5047920000000001</v>
      </c>
      <c r="E5307">
        <v>0.44719379999999997</v>
      </c>
      <c r="F5307" t="s">
        <v>39</v>
      </c>
      <c r="G5307">
        <v>-299.87790000000001</v>
      </c>
      <c r="H5307" s="1">
        <v>-2.77638399999999E-6</v>
      </c>
      <c r="I5307">
        <v>-23.945879999999999</v>
      </c>
      <c r="J5307">
        <v>-301.34399999999999</v>
      </c>
      <c r="K5307">
        <v>1.1021799999999999</v>
      </c>
      <c r="L5307">
        <v>-13.564579999999999</v>
      </c>
      <c r="M5307">
        <v>5.4490099999999903E-2</v>
      </c>
      <c r="N5307">
        <v>0</v>
      </c>
      <c r="O5307">
        <v>-0.99845879999999998</v>
      </c>
      <c r="P5307">
        <v>-1.551115E-2</v>
      </c>
      <c r="Q5307">
        <v>1.1433779999999999E-2</v>
      </c>
      <c r="R5307">
        <v>-0.9998146</v>
      </c>
      <c r="S5307">
        <v>0.41830439999999902</v>
      </c>
      <c r="T5307">
        <v>-0.31208769999999902</v>
      </c>
      <c r="U5307">
        <v>-3.0097659999999999</v>
      </c>
      <c r="V5307">
        <v>7.0074650000000002E-2</v>
      </c>
      <c r="W5307">
        <v>2.1619369999999999E-2</v>
      </c>
      <c r="X5307">
        <v>0.99730739999999996</v>
      </c>
      <c r="Y5307">
        <v>-8.2758310000000002E-2</v>
      </c>
      <c r="Z5307">
        <v>0.10224750000000001</v>
      </c>
      <c r="AA5307">
        <v>0.99131049999999998</v>
      </c>
      <c r="AB5307">
        <v>26</v>
      </c>
      <c r="AC5307">
        <v>1.46609999999998</v>
      </c>
      <c r="AD5307">
        <v>-1.102182776384</v>
      </c>
      <c r="AE5307">
        <v>-10.3813</v>
      </c>
      <c r="AF5307">
        <v>-0.88839393725986104</v>
      </c>
      <c r="AG5307">
        <v>-1.102182776384</v>
      </c>
      <c r="AH5307">
        <v>10.331586171848601</v>
      </c>
      <c r="AI5307">
        <v>96.067112963266595</v>
      </c>
      <c r="AJ5307">
        <v>94.914668672726293</v>
      </c>
      <c r="AK5307">
        <v>10.428121762170401</v>
      </c>
    </row>
    <row r="5308" spans="1:37" x14ac:dyDescent="0.2">
      <c r="A5308" t="str">
        <f>"20200111160006816"</f>
        <v>20200111160006816</v>
      </c>
      <c r="B5308" t="str">
        <f>"1578729606805928"</f>
        <v>1578729606805928</v>
      </c>
      <c r="C5308" t="s">
        <v>37</v>
      </c>
      <c r="D5308">
        <v>5.5055009999999998</v>
      </c>
      <c r="E5308">
        <v>0.44812209999999902</v>
      </c>
      <c r="F5308" t="s">
        <v>39</v>
      </c>
      <c r="G5308">
        <v>-299.97000000000003</v>
      </c>
      <c r="H5308" s="1">
        <v>-2.7330380000000001E-6</v>
      </c>
      <c r="I5308">
        <v>-24.0215</v>
      </c>
      <c r="J5308">
        <v>-301.3338</v>
      </c>
      <c r="K5308">
        <v>1.102236</v>
      </c>
      <c r="L5308">
        <v>-13.803339999999899</v>
      </c>
      <c r="M5308">
        <v>5.1963219999999997E-2</v>
      </c>
      <c r="N5308">
        <v>0</v>
      </c>
      <c r="O5308">
        <v>-0.99858780000000003</v>
      </c>
      <c r="P5308">
        <v>-1.7345280000000001E-2</v>
      </c>
      <c r="Q5308">
        <v>1.0868340000000001E-2</v>
      </c>
      <c r="R5308">
        <v>-0.99979059999999897</v>
      </c>
      <c r="S5308">
        <v>0.39553829999999901</v>
      </c>
      <c r="T5308">
        <v>-0.31729390000000002</v>
      </c>
      <c r="U5308">
        <v>-3.0103149999999999</v>
      </c>
      <c r="V5308">
        <v>6.9380280000000003E-2</v>
      </c>
      <c r="W5308">
        <v>2.1571699999999999E-2</v>
      </c>
      <c r="X5308">
        <v>0.99735699999999905</v>
      </c>
      <c r="Y5308">
        <v>-7.7867950000000005E-2</v>
      </c>
      <c r="Z5308">
        <v>0.1040095</v>
      </c>
      <c r="AA5308">
        <v>0.99152340000000005</v>
      </c>
      <c r="AB5308">
        <v>26</v>
      </c>
      <c r="AC5308">
        <v>1.3637999999999599</v>
      </c>
      <c r="AD5308">
        <v>-1.1022387330379999</v>
      </c>
      <c r="AE5308">
        <v>-10.218159999999999</v>
      </c>
      <c r="AF5308">
        <v>-0.82156387949819898</v>
      </c>
      <c r="AG5308">
        <v>-1.1022387330379999</v>
      </c>
      <c r="AH5308">
        <v>10.159082590550399</v>
      </c>
      <c r="AI5308">
        <v>96.172253504505704</v>
      </c>
      <c r="AJ5308">
        <v>94.623441827064795</v>
      </c>
      <c r="AK5308">
        <v>10.2516757905393</v>
      </c>
    </row>
    <row r="5309" spans="1:37" x14ac:dyDescent="0.2">
      <c r="A5309" t="str">
        <f>"20200111160006839"</f>
        <v>20200111160006839</v>
      </c>
      <c r="B5309" t="str">
        <f>"1578729606836184"</f>
        <v>1578729606836184</v>
      </c>
      <c r="C5309" t="s">
        <v>37</v>
      </c>
      <c r="D5309">
        <v>5.3931430000000002</v>
      </c>
      <c r="E5309">
        <v>0.44668429999999998</v>
      </c>
      <c r="F5309" t="s">
        <v>39</v>
      </c>
      <c r="G5309">
        <v>-300.01839999999999</v>
      </c>
      <c r="H5309" s="1">
        <v>-2.6842989999999899E-6</v>
      </c>
      <c r="I5309">
        <v>-24.165150000000001</v>
      </c>
      <c r="J5309">
        <v>-301.32369999999997</v>
      </c>
      <c r="K5309">
        <v>1.1022829999999999</v>
      </c>
      <c r="L5309">
        <v>-14.057589999999999</v>
      </c>
      <c r="M5309">
        <v>4.9280839999999999E-2</v>
      </c>
      <c r="N5309">
        <v>0</v>
      </c>
      <c r="O5309">
        <v>-0.99871810000000005</v>
      </c>
      <c r="P5309">
        <v>-1.9345250000000001E-2</v>
      </c>
      <c r="Q5309">
        <v>9.5715069999999999E-3</v>
      </c>
      <c r="R5309">
        <v>-0.99976699999999996</v>
      </c>
      <c r="S5309">
        <v>0.38220209999999999</v>
      </c>
      <c r="T5309">
        <v>-0.32026830000000001</v>
      </c>
      <c r="U5309">
        <v>-3.010742</v>
      </c>
      <c r="V5309">
        <v>6.8692939999999994E-2</v>
      </c>
      <c r="W5309">
        <v>2.0775559999999998E-2</v>
      </c>
      <c r="X5309">
        <v>0.99742149999999996</v>
      </c>
      <c r="Y5309">
        <v>-7.6193860000000002E-2</v>
      </c>
      <c r="Z5309">
        <v>0.1050166</v>
      </c>
      <c r="AA5309">
        <v>0.99154730000000002</v>
      </c>
      <c r="AB5309">
        <v>26</v>
      </c>
      <c r="AC5309">
        <v>1.3052999999999799</v>
      </c>
      <c r="AD5309">
        <v>-1.1022856842990001</v>
      </c>
      <c r="AE5309">
        <v>-10.107559999999999</v>
      </c>
      <c r="AF5309">
        <v>-0.79625685294195503</v>
      </c>
      <c r="AG5309">
        <v>-1.1022856842990001</v>
      </c>
      <c r="AH5309">
        <v>10.0421347233132</v>
      </c>
      <c r="AI5309">
        <v>96.244611210975094</v>
      </c>
      <c r="AJ5309">
        <v>94.533588343760002</v>
      </c>
      <c r="AK5309">
        <v>10.133781550183601</v>
      </c>
    </row>
    <row r="5310" spans="1:37" x14ac:dyDescent="0.2">
      <c r="A5310" t="str">
        <f>"20200111160006862"</f>
        <v>20200111160006862</v>
      </c>
      <c r="B5310" t="str">
        <f>"1578729606855703"</f>
        <v>1578729606855703</v>
      </c>
      <c r="C5310" t="s">
        <v>37</v>
      </c>
      <c r="D5310">
        <v>5.3946819999999898</v>
      </c>
      <c r="E5310">
        <v>0.44495200000000001</v>
      </c>
      <c r="F5310" t="s">
        <v>39</v>
      </c>
      <c r="G5310">
        <v>-299.99310000000003</v>
      </c>
      <c r="H5310" s="1">
        <v>-2.574903E-6</v>
      </c>
      <c r="I5310">
        <v>-24.404409999999999</v>
      </c>
      <c r="J5310">
        <v>-301.31389999999999</v>
      </c>
      <c r="K5310">
        <v>1.1023369999999999</v>
      </c>
      <c r="L5310">
        <v>-14.322749999999999</v>
      </c>
      <c r="M5310">
        <v>4.648422E-2</v>
      </c>
      <c r="N5310">
        <v>0</v>
      </c>
      <c r="O5310">
        <v>-0.99884689999999998</v>
      </c>
      <c r="P5310">
        <v>-2.090262E-2</v>
      </c>
      <c r="Q5310">
        <v>8.7647479999999993E-3</v>
      </c>
      <c r="R5310">
        <v>-0.9997431</v>
      </c>
      <c r="S5310">
        <v>0.387268099999999</v>
      </c>
      <c r="T5310">
        <v>-0.3208008</v>
      </c>
      <c r="U5310">
        <v>-3.0112610000000002</v>
      </c>
      <c r="V5310">
        <v>6.7451699999999906E-2</v>
      </c>
      <c r="W5310">
        <v>2.0438020000000001E-2</v>
      </c>
      <c r="X5310">
        <v>0.99751319999999999</v>
      </c>
      <c r="Y5310">
        <v>-8.0602709999999994E-2</v>
      </c>
      <c r="Z5310">
        <v>0.1051633</v>
      </c>
      <c r="AA5310">
        <v>0.99118309999999998</v>
      </c>
      <c r="AB5310">
        <v>25</v>
      </c>
      <c r="AC5310">
        <v>1.32079999999996</v>
      </c>
      <c r="AD5310">
        <v>-1.1023395749030001</v>
      </c>
      <c r="AE5310">
        <v>-10.081659999999999</v>
      </c>
      <c r="AF5310">
        <v>-0.84081742941120097</v>
      </c>
      <c r="AG5310">
        <v>-1.1023395749030001</v>
      </c>
      <c r="AH5310">
        <v>10.0144539513159</v>
      </c>
      <c r="AI5310">
        <v>96.259687251518002</v>
      </c>
      <c r="AJ5310">
        <v>94.799319587580499</v>
      </c>
      <c r="AK5310">
        <v>10.1099660944548</v>
      </c>
    </row>
    <row r="5311" spans="1:37" x14ac:dyDescent="0.2">
      <c r="A5311" t="str">
        <f>"20200111160006886"</f>
        <v>20200111160006886</v>
      </c>
      <c r="B5311" t="str">
        <f>"1578729606876200"</f>
        <v>1578729606876200</v>
      </c>
      <c r="C5311" t="s">
        <v>37</v>
      </c>
      <c r="D5311">
        <v>5.4187129999999897</v>
      </c>
      <c r="E5311">
        <v>0.44394939999999999</v>
      </c>
      <c r="F5311" t="s">
        <v>39</v>
      </c>
      <c r="G5311">
        <v>-299.9581</v>
      </c>
      <c r="H5311" s="1">
        <v>-2.4714569999999998E-6</v>
      </c>
      <c r="I5311">
        <v>-24.623860000000001</v>
      </c>
      <c r="J5311">
        <v>-301.3048</v>
      </c>
      <c r="K5311">
        <v>1.1023799999999999</v>
      </c>
      <c r="L5311">
        <v>-14.586270000000001</v>
      </c>
      <c r="M5311">
        <v>4.370048E-2</v>
      </c>
      <c r="N5311">
        <v>0</v>
      </c>
      <c r="O5311">
        <v>-0.99896779999999996</v>
      </c>
      <c r="P5311">
        <v>-2.24525E-2</v>
      </c>
      <c r="Q5311">
        <v>8.494171E-3</v>
      </c>
      <c r="R5311">
        <v>-0.99971219999999905</v>
      </c>
      <c r="S5311">
        <v>0.39642329999999998</v>
      </c>
      <c r="T5311">
        <v>-0.32230910000000002</v>
      </c>
      <c r="U5311">
        <v>-3.0119020000000001</v>
      </c>
      <c r="V5311">
        <v>6.6217869999999998E-2</v>
      </c>
      <c r="W5311">
        <v>2.0578659999999999E-2</v>
      </c>
      <c r="X5311">
        <v>0.99759299999999995</v>
      </c>
      <c r="Y5311">
        <v>-8.6308739999999995E-2</v>
      </c>
      <c r="Z5311">
        <v>0.1056043</v>
      </c>
      <c r="AA5311">
        <v>0.99065559999999997</v>
      </c>
      <c r="AB5311">
        <v>25</v>
      </c>
      <c r="AC5311">
        <v>1.34669999999999</v>
      </c>
      <c r="AD5311">
        <v>-1.1023824714569901</v>
      </c>
      <c r="AE5311">
        <v>-10.03759</v>
      </c>
      <c r="AF5311">
        <v>-0.89611460013623601</v>
      </c>
      <c r="AG5311">
        <v>-1.1023824714569901</v>
      </c>
      <c r="AH5311">
        <v>9.9687422407942705</v>
      </c>
      <c r="AI5311">
        <v>96.285212690401906</v>
      </c>
      <c r="AJ5311">
        <v>95.1366514896376</v>
      </c>
      <c r="AK5311">
        <v>10.0694632604399</v>
      </c>
    </row>
    <row r="5312" spans="1:37" x14ac:dyDescent="0.2">
      <c r="A5312" t="str">
        <f>"20200111160006906"</f>
        <v>20200111160006906</v>
      </c>
      <c r="B5312" t="str">
        <f>"1578729606895720"</f>
        <v>1578729606895720</v>
      </c>
      <c r="C5312" t="s">
        <v>37</v>
      </c>
      <c r="D5312">
        <v>5.4330910000000001</v>
      </c>
      <c r="E5312">
        <v>0.4433047</v>
      </c>
      <c r="F5312" t="s">
        <v>39</v>
      </c>
      <c r="G5312">
        <v>-299.92860000000002</v>
      </c>
      <c r="H5312" s="1">
        <v>-2.3263530000000001E-6</v>
      </c>
      <c r="I5312">
        <v>-24.973970000000001</v>
      </c>
      <c r="J5312">
        <v>-301.29730000000001</v>
      </c>
      <c r="K5312">
        <v>1.102414</v>
      </c>
      <c r="L5312">
        <v>-14.824339999999999</v>
      </c>
      <c r="M5312">
        <v>4.1187219999999997E-2</v>
      </c>
      <c r="N5312">
        <v>0</v>
      </c>
      <c r="O5312">
        <v>-0.99907049999999997</v>
      </c>
      <c r="P5312">
        <v>-2.382401E-2</v>
      </c>
      <c r="Q5312">
        <v>8.5966610000000002E-3</v>
      </c>
      <c r="R5312">
        <v>-0.9996794</v>
      </c>
      <c r="S5312">
        <v>0.39913939999999998</v>
      </c>
      <c r="T5312">
        <v>-0.3197024</v>
      </c>
      <c r="U5312">
        <v>-3.012543</v>
      </c>
      <c r="V5312">
        <v>6.5077679999999999E-2</v>
      </c>
      <c r="W5312">
        <v>2.1005820000000001E-2</v>
      </c>
      <c r="X5312">
        <v>0.99765910000000002</v>
      </c>
      <c r="Y5312">
        <v>-8.9677060000000003E-2</v>
      </c>
      <c r="Z5312">
        <v>0.1047328</v>
      </c>
      <c r="AA5312">
        <v>0.99044889999999997</v>
      </c>
      <c r="AB5312">
        <v>25</v>
      </c>
      <c r="AC5312">
        <v>1.36869999999998</v>
      </c>
      <c r="AD5312">
        <v>-1.102416326353</v>
      </c>
      <c r="AE5312">
        <v>-10.14963</v>
      </c>
      <c r="AF5312">
        <v>-0.93859422211156296</v>
      </c>
      <c r="AG5312">
        <v>-1.102416326353</v>
      </c>
      <c r="AH5312">
        <v>10.080591649429399</v>
      </c>
      <c r="AI5312">
        <v>96.214413433410499</v>
      </c>
      <c r="AJ5312">
        <v>95.319418598345706</v>
      </c>
      <c r="AK5312">
        <v>10.184036963451</v>
      </c>
    </row>
    <row r="5313" spans="1:37" x14ac:dyDescent="0.2">
      <c r="A5313" t="str">
        <f>"20200111160006928"</f>
        <v>20200111160006928</v>
      </c>
      <c r="B5313" t="str">
        <f>"1578729606925978"</f>
        <v>1578729606925978</v>
      </c>
      <c r="C5313" t="s">
        <v>37</v>
      </c>
      <c r="D5313">
        <v>5.4699439999999999</v>
      </c>
      <c r="E5313">
        <v>0.44251560000000001</v>
      </c>
      <c r="F5313" t="s">
        <v>39</v>
      </c>
      <c r="G5313">
        <v>-299.892</v>
      </c>
      <c r="H5313" s="1">
        <v>-2.1470980000000001E-6</v>
      </c>
      <c r="I5313">
        <v>-25.406939999999999</v>
      </c>
      <c r="J5313">
        <v>-301.2901</v>
      </c>
      <c r="K5313">
        <v>1.102444</v>
      </c>
      <c r="L5313">
        <v>-15.07288</v>
      </c>
      <c r="M5313">
        <v>3.8567740000000003E-2</v>
      </c>
      <c r="N5313">
        <v>0</v>
      </c>
      <c r="O5313">
        <v>-0.99917109999999998</v>
      </c>
      <c r="P5313">
        <v>-2.5534790000000002E-2</v>
      </c>
      <c r="Q5313">
        <v>8.2946889999999992E-3</v>
      </c>
      <c r="R5313">
        <v>-0.99963950000000001</v>
      </c>
      <c r="S5313">
        <v>0.40014650000000002</v>
      </c>
      <c r="T5313">
        <v>-0.31389099999999998</v>
      </c>
      <c r="U5313">
        <v>-3.0131839999999999</v>
      </c>
      <c r="V5313">
        <v>6.4168539999999996E-2</v>
      </c>
      <c r="W5313">
        <v>2.100057E-2</v>
      </c>
      <c r="X5313">
        <v>0.99771810000000005</v>
      </c>
      <c r="Y5313">
        <v>-9.2611680000000002E-2</v>
      </c>
      <c r="Z5313">
        <v>0.102828</v>
      </c>
      <c r="AA5313">
        <v>0.99037839999999999</v>
      </c>
      <c r="AB5313">
        <v>25</v>
      </c>
      <c r="AC5313">
        <v>1.3980999999999899</v>
      </c>
      <c r="AD5313">
        <v>-1.102446147098</v>
      </c>
      <c r="AE5313">
        <v>-10.334059999999999</v>
      </c>
      <c r="AF5313">
        <v>-0.98742873356192595</v>
      </c>
      <c r="AG5313">
        <v>-1.102446147098</v>
      </c>
      <c r="AH5313">
        <v>10.265565774559001</v>
      </c>
      <c r="AI5313">
        <v>96.101703680844494</v>
      </c>
      <c r="AJ5313">
        <v>95.494288341674505</v>
      </c>
      <c r="AK5313">
        <v>10.3717039912886</v>
      </c>
    </row>
    <row r="5314" spans="1:37" x14ac:dyDescent="0.2">
      <c r="A5314" t="str">
        <f>"20200111160006951"</f>
        <v>20200111160006951</v>
      </c>
      <c r="B5314" t="str">
        <f>"1578729606946472"</f>
        <v>1578729606946472</v>
      </c>
      <c r="C5314" t="s">
        <v>37</v>
      </c>
      <c r="D5314">
        <v>5.4613160000000001</v>
      </c>
      <c r="E5314">
        <v>0.44211999999999901</v>
      </c>
      <c r="F5314" t="s">
        <v>39</v>
      </c>
      <c r="G5314">
        <v>-299.86189999999999</v>
      </c>
      <c r="H5314" s="1">
        <v>-1.9786999999999998E-6</v>
      </c>
      <c r="I5314">
        <v>-25.811900000000001</v>
      </c>
      <c r="J5314">
        <v>-301.28339999999997</v>
      </c>
      <c r="K5314">
        <v>1.102468</v>
      </c>
      <c r="L5314">
        <v>-15.328860000000001</v>
      </c>
      <c r="M5314">
        <v>3.587663E-2</v>
      </c>
      <c r="N5314">
        <v>0</v>
      </c>
      <c r="O5314">
        <v>-0.99926789999999999</v>
      </c>
      <c r="P5314">
        <v>-2.7564620000000001E-2</v>
      </c>
      <c r="Q5314">
        <v>8.6364149999999997E-3</v>
      </c>
      <c r="R5314">
        <v>-0.99958259999999899</v>
      </c>
      <c r="S5314">
        <v>0.4008179</v>
      </c>
      <c r="T5314">
        <v>-0.30939919999999999</v>
      </c>
      <c r="U5314">
        <v>-3.0138849999999899</v>
      </c>
      <c r="V5314">
        <v>6.3509309999999999E-2</v>
      </c>
      <c r="W5314">
        <v>2.160745E-2</v>
      </c>
      <c r="X5314">
        <v>0.9977473</v>
      </c>
      <c r="Y5314">
        <v>-9.5499390000000003E-2</v>
      </c>
      <c r="Z5314">
        <v>0.1013486</v>
      </c>
      <c r="AA5314">
        <v>0.99025669999999899</v>
      </c>
      <c r="AB5314">
        <v>25</v>
      </c>
      <c r="AC5314">
        <v>1.42149999999998</v>
      </c>
      <c r="AD5314">
        <v>-1.1024699787000001</v>
      </c>
      <c r="AE5314">
        <v>-10.483040000000001</v>
      </c>
      <c r="AF5314">
        <v>-1.0332340251826799</v>
      </c>
      <c r="AG5314">
        <v>-1.1024699787000001</v>
      </c>
      <c r="AH5314">
        <v>10.4141908950157</v>
      </c>
      <c r="AI5314">
        <v>96.013647707490605</v>
      </c>
      <c r="AJ5314">
        <v>95.666003747595099</v>
      </c>
      <c r="AK5314">
        <v>10.523230711267299</v>
      </c>
    </row>
    <row r="5315" spans="1:37" x14ac:dyDescent="0.2">
      <c r="A5315" t="str">
        <f>"20200111160006973"</f>
        <v>20200111160006973</v>
      </c>
      <c r="B5315" t="str">
        <f>"1578729606965992"</f>
        <v>1578729606965992</v>
      </c>
      <c r="C5315" t="s">
        <v>37</v>
      </c>
      <c r="D5315">
        <v>5.4189860000000003</v>
      </c>
      <c r="E5315">
        <v>0.4417741</v>
      </c>
      <c r="F5315" t="s">
        <v>39</v>
      </c>
      <c r="G5315">
        <v>-299.84739999999999</v>
      </c>
      <c r="H5315" s="1">
        <v>-1.8060130000000001E-6</v>
      </c>
      <c r="I5315">
        <v>-26.220459999999999</v>
      </c>
      <c r="J5315">
        <v>-301.27730000000003</v>
      </c>
      <c r="K5315">
        <v>1.1024940000000001</v>
      </c>
      <c r="L5315">
        <v>-15.58371</v>
      </c>
      <c r="M5315">
        <v>3.3203339999999998E-2</v>
      </c>
      <c r="N5315">
        <v>0</v>
      </c>
      <c r="O5315">
        <v>-0.99935750000000001</v>
      </c>
      <c r="P5315">
        <v>-2.9260009999999999E-2</v>
      </c>
      <c r="Q5315">
        <v>7.9175500000000006E-3</v>
      </c>
      <c r="R5315">
        <v>-0.99954100000000001</v>
      </c>
      <c r="S5315">
        <v>0.3974915</v>
      </c>
      <c r="T5315">
        <v>-0.30517059999999901</v>
      </c>
      <c r="U5315">
        <v>-3.0148619999999999</v>
      </c>
      <c r="V5315">
        <v>6.2529689999999999E-2</v>
      </c>
      <c r="W5315">
        <v>2.1120239999999998E-2</v>
      </c>
      <c r="X5315">
        <v>0.99781960000000003</v>
      </c>
      <c r="Y5315">
        <v>-9.7064639999999994E-2</v>
      </c>
      <c r="Z5315">
        <v>9.9958989999999998E-2</v>
      </c>
      <c r="AA5315">
        <v>0.99024579999999995</v>
      </c>
      <c r="AB5315">
        <v>25</v>
      </c>
      <c r="AC5315">
        <v>1.4299000000000299</v>
      </c>
      <c r="AD5315">
        <v>-1.1024958060129999</v>
      </c>
      <c r="AE5315">
        <v>-10.636749999999999</v>
      </c>
      <c r="AF5315">
        <v>-1.0646686644963901</v>
      </c>
      <c r="AG5315">
        <v>-1.1024958060129999</v>
      </c>
      <c r="AH5315">
        <v>10.566858409519099</v>
      </c>
      <c r="AI5315">
        <v>95.926626873866596</v>
      </c>
      <c r="AJ5315">
        <v>95.753445950525105</v>
      </c>
      <c r="AK5315">
        <v>10.6774300753628</v>
      </c>
    </row>
    <row r="5316" spans="1:37" x14ac:dyDescent="0.2">
      <c r="A5316" t="str">
        <f>"20200111160006996"</f>
        <v>20200111160006996</v>
      </c>
      <c r="B5316" t="str">
        <f>"1578729606986488"</f>
        <v>1578729606986488</v>
      </c>
      <c r="C5316" t="s">
        <v>37</v>
      </c>
      <c r="D5316">
        <v>5.3807640000000001</v>
      </c>
      <c r="E5316">
        <v>0.441866799999999</v>
      </c>
      <c r="F5316" t="s">
        <v>39</v>
      </c>
      <c r="G5316">
        <v>-299.83780000000002</v>
      </c>
      <c r="H5316" s="1">
        <v>-1.6521870000000001E-6</v>
      </c>
      <c r="I5316">
        <v>-26.582979999999999</v>
      </c>
      <c r="J5316">
        <v>-301.2722</v>
      </c>
      <c r="K5316">
        <v>1.102506</v>
      </c>
      <c r="L5316">
        <v>-15.82898</v>
      </c>
      <c r="M5316">
        <v>3.0635200000000001E-2</v>
      </c>
      <c r="N5316">
        <v>0</v>
      </c>
      <c r="O5316">
        <v>-0.99943689999999996</v>
      </c>
      <c r="P5316">
        <v>-3.0658370000000001E-2</v>
      </c>
      <c r="Q5316">
        <v>7.849155E-3</v>
      </c>
      <c r="R5316">
        <v>-0.99949929999999998</v>
      </c>
      <c r="S5316">
        <v>0.3946228</v>
      </c>
      <c r="T5316">
        <v>-0.30223620000000001</v>
      </c>
      <c r="U5316">
        <v>-3.01532</v>
      </c>
      <c r="V5316">
        <v>6.136134E-2</v>
      </c>
      <c r="W5316">
        <v>2.1246089999999999E-2</v>
      </c>
      <c r="X5316">
        <v>0.99788949999999998</v>
      </c>
      <c r="Y5316">
        <v>-9.8688659999999997E-2</v>
      </c>
      <c r="Z5316">
        <v>9.9002870000000007E-2</v>
      </c>
      <c r="AA5316">
        <v>0.99018130000000004</v>
      </c>
      <c r="AB5316">
        <v>25</v>
      </c>
      <c r="AC5316">
        <v>1.4343999999999799</v>
      </c>
      <c r="AD5316">
        <v>-1.1025076521870001</v>
      </c>
      <c r="AE5316">
        <v>-10.754</v>
      </c>
      <c r="AF5316">
        <v>-1.09295807526352</v>
      </c>
      <c r="AG5316">
        <v>-1.1025076521870001</v>
      </c>
      <c r="AH5316">
        <v>10.682582138867399</v>
      </c>
      <c r="AI5316">
        <v>95.862025541339193</v>
      </c>
      <c r="AJ5316">
        <v>95.841728362284599</v>
      </c>
      <c r="AK5316">
        <v>10.794796970349299</v>
      </c>
    </row>
    <row r="5317" spans="1:37" x14ac:dyDescent="0.2">
      <c r="A5317" t="str">
        <f>"20200111160007017"</f>
        <v>20200111160007017</v>
      </c>
      <c r="B5317" t="str">
        <f>"1578729607006008"</f>
        <v>1578729607006008</v>
      </c>
      <c r="C5317" t="s">
        <v>37</v>
      </c>
      <c r="D5317">
        <v>5.3819679999999996</v>
      </c>
      <c r="E5317">
        <v>0.44177100000000002</v>
      </c>
      <c r="F5317" t="s">
        <v>39</v>
      </c>
      <c r="G5317">
        <v>-299.84059999999999</v>
      </c>
      <c r="H5317" s="1">
        <v>-1.503958E-6</v>
      </c>
      <c r="I5317">
        <v>-26.927379999999999</v>
      </c>
      <c r="J5317">
        <v>-301.26749999999998</v>
      </c>
      <c r="K5317">
        <v>1.10253</v>
      </c>
      <c r="L5317">
        <v>-16.076509999999999</v>
      </c>
      <c r="M5317">
        <v>2.804856E-2</v>
      </c>
      <c r="N5317">
        <v>0</v>
      </c>
      <c r="O5317">
        <v>-0.99951080000000003</v>
      </c>
      <c r="P5317">
        <v>-3.1163599999999899E-2</v>
      </c>
      <c r="Q5317">
        <v>7.9517849999999994E-3</v>
      </c>
      <c r="R5317">
        <v>-0.99948289999999995</v>
      </c>
      <c r="S5317">
        <v>0.38900759999999901</v>
      </c>
      <c r="T5317">
        <v>-0.2995855</v>
      </c>
      <c r="U5317">
        <v>-3.0157780000000001</v>
      </c>
      <c r="V5317">
        <v>5.9283229999999999E-2</v>
      </c>
      <c r="W5317">
        <v>2.1525450000000002E-2</v>
      </c>
      <c r="X5317">
        <v>0.99800909999999998</v>
      </c>
      <c r="Y5317">
        <v>-9.9442240000000001E-2</v>
      </c>
      <c r="Z5317">
        <v>9.8147440000000002E-2</v>
      </c>
      <c r="AA5317">
        <v>0.99019099999999904</v>
      </c>
      <c r="AB5317">
        <v>25</v>
      </c>
      <c r="AC5317">
        <v>1.4268999999999801</v>
      </c>
      <c r="AD5317">
        <v>-1.1025315039579999</v>
      </c>
      <c r="AE5317">
        <v>-10.85087</v>
      </c>
      <c r="AF5317">
        <v>-1.1106861474994201</v>
      </c>
      <c r="AG5317">
        <v>-1.1025315039579999</v>
      </c>
      <c r="AH5317">
        <v>10.777252105857199</v>
      </c>
      <c r="AI5317">
        <v>95.810573282071502</v>
      </c>
      <c r="AJ5317">
        <v>95.884037404410805</v>
      </c>
      <c r="AK5317">
        <v>10.890287525528001</v>
      </c>
    </row>
    <row r="5318" spans="1:37" x14ac:dyDescent="0.2">
      <c r="A5318" t="str">
        <f>"20200111160007040"</f>
        <v>20200111160007040</v>
      </c>
      <c r="B5318" t="str">
        <f>"1578729607036265"</f>
        <v>1578729607036265</v>
      </c>
      <c r="C5318" t="s">
        <v>37</v>
      </c>
      <c r="D5318">
        <v>5.3229819999999997</v>
      </c>
      <c r="E5318">
        <v>0.44104309999999902</v>
      </c>
      <c r="F5318" t="s">
        <v>39</v>
      </c>
      <c r="G5318">
        <v>-299.81490000000002</v>
      </c>
      <c r="H5318" s="1">
        <v>-1.3191560000000001E-6</v>
      </c>
      <c r="I5318">
        <v>-27.368749999999999</v>
      </c>
      <c r="J5318">
        <v>-301.26350000000002</v>
      </c>
      <c r="K5318">
        <v>1.1025559999999901</v>
      </c>
      <c r="L5318">
        <v>-16.331119999999999</v>
      </c>
      <c r="M5318">
        <v>2.5396129999999999E-2</v>
      </c>
      <c r="N5318">
        <v>0</v>
      </c>
      <c r="O5318">
        <v>-0.99957940000000001</v>
      </c>
      <c r="P5318">
        <v>-3.1358400000000002E-2</v>
      </c>
      <c r="Q5318">
        <v>8.5366469999999996E-3</v>
      </c>
      <c r="R5318">
        <v>-0.99947209999999997</v>
      </c>
      <c r="S5318">
        <v>0.38796999999999998</v>
      </c>
      <c r="T5318">
        <v>-0.29447000000000001</v>
      </c>
      <c r="U5318">
        <v>-3.0159910000000001</v>
      </c>
      <c r="V5318">
        <v>5.6831029999999998E-2</v>
      </c>
      <c r="W5318">
        <v>2.226962E-2</v>
      </c>
      <c r="X5318">
        <v>0.99813539999999901</v>
      </c>
      <c r="Y5318">
        <v>-0.101759</v>
      </c>
      <c r="Z5318">
        <v>9.6481609999999995E-2</v>
      </c>
      <c r="AA5318">
        <v>0.99011939999999998</v>
      </c>
      <c r="AB5318">
        <v>25</v>
      </c>
      <c r="AC5318">
        <v>1.4485999999999899</v>
      </c>
      <c r="AD5318">
        <v>-1.1025573191560001</v>
      </c>
      <c r="AE5318">
        <v>-11.037629999999901</v>
      </c>
      <c r="AF5318">
        <v>-1.1564482759968699</v>
      </c>
      <c r="AG5318">
        <v>-1.1025573191560001</v>
      </c>
      <c r="AH5318">
        <v>10.9633202566249</v>
      </c>
      <c r="AI5318">
        <v>95.711328278658101</v>
      </c>
      <c r="AJ5318">
        <v>96.021486221276206</v>
      </c>
      <c r="AK5318">
        <v>11.0791423994099</v>
      </c>
    </row>
    <row r="5319" spans="1:37" x14ac:dyDescent="0.2">
      <c r="A5319" t="str">
        <f>"20200111160007062"</f>
        <v>20200111160007062</v>
      </c>
      <c r="B5319" t="str">
        <f>"1578729607055783"</f>
        <v>1578729607055783</v>
      </c>
      <c r="C5319" t="s">
        <v>37</v>
      </c>
      <c r="D5319">
        <v>5.261952</v>
      </c>
      <c r="E5319">
        <v>0.44052730000000001</v>
      </c>
      <c r="F5319" t="s">
        <v>39</v>
      </c>
      <c r="G5319">
        <v>-299.75220000000002</v>
      </c>
      <c r="H5319" s="1">
        <v>-1.0891859999999999E-6</v>
      </c>
      <c r="I5319">
        <v>-27.930779999999999</v>
      </c>
      <c r="J5319">
        <v>-301.26010000000002</v>
      </c>
      <c r="K5319">
        <v>1.1025799999999999</v>
      </c>
      <c r="L5319">
        <v>-16.581420000000001</v>
      </c>
      <c r="M5319">
        <v>2.280006E-2</v>
      </c>
      <c r="N5319">
        <v>0</v>
      </c>
      <c r="O5319">
        <v>-0.99964050000000004</v>
      </c>
      <c r="P5319">
        <v>-3.071931E-2</v>
      </c>
      <c r="Q5319">
        <v>8.5392999999999893E-3</v>
      </c>
      <c r="R5319">
        <v>-0.99949179999999904</v>
      </c>
      <c r="S5319">
        <v>0.3930054</v>
      </c>
      <c r="T5319">
        <v>-0.2867072</v>
      </c>
      <c r="U5319">
        <v>-3.0163570000000002</v>
      </c>
      <c r="V5319">
        <v>5.3599260000000003E-2</v>
      </c>
      <c r="W5319">
        <v>2.2413590000000001E-2</v>
      </c>
      <c r="X5319">
        <v>0.9983109</v>
      </c>
      <c r="Y5319">
        <v>-0.10598349999999999</v>
      </c>
      <c r="Z5319">
        <v>9.3927910000000003E-2</v>
      </c>
      <c r="AA5319">
        <v>0.98992169999999902</v>
      </c>
      <c r="AB5319">
        <v>25</v>
      </c>
      <c r="AC5319">
        <v>1.5079</v>
      </c>
      <c r="AD5319">
        <v>-1.102581089186</v>
      </c>
      <c r="AE5319">
        <v>-11.3493599999999</v>
      </c>
      <c r="AF5319">
        <v>-1.23724160136445</v>
      </c>
      <c r="AG5319">
        <v>-1.102581089186</v>
      </c>
      <c r="AH5319">
        <v>11.276214266088701</v>
      </c>
      <c r="AI5319">
        <v>95.551485861166299</v>
      </c>
      <c r="AJ5319">
        <v>96.261524164986099</v>
      </c>
      <c r="AK5319">
        <v>11.3973444281166</v>
      </c>
    </row>
    <row r="5320" spans="1:37" x14ac:dyDescent="0.2">
      <c r="A5320" t="str">
        <f>"20200111160007086"</f>
        <v>20200111160007086</v>
      </c>
      <c r="B5320" t="str">
        <f>"1578729607076280"</f>
        <v>1578729607076280</v>
      </c>
      <c r="C5320" t="s">
        <v>37</v>
      </c>
      <c r="D5320">
        <v>5.2001599999999897</v>
      </c>
      <c r="E5320">
        <v>0.44002239999999998</v>
      </c>
      <c r="F5320" t="s">
        <v>39</v>
      </c>
      <c r="G5320">
        <v>-299.70589999999999</v>
      </c>
      <c r="H5320" s="1">
        <v>-9.281947E-7</v>
      </c>
      <c r="I5320">
        <v>-28.325189999999999</v>
      </c>
      <c r="J5320">
        <v>-301.25740000000002</v>
      </c>
      <c r="K5320">
        <v>1.102611</v>
      </c>
      <c r="L5320">
        <v>-16.83267</v>
      </c>
      <c r="M5320">
        <v>2.0209640000000001E-2</v>
      </c>
      <c r="N5320">
        <v>0</v>
      </c>
      <c r="O5320">
        <v>-0.99969449999999904</v>
      </c>
      <c r="P5320">
        <v>-3.0413840000000001E-2</v>
      </c>
      <c r="Q5320">
        <v>8.5399169999999993E-3</v>
      </c>
      <c r="R5320">
        <v>-0.99950090000000003</v>
      </c>
      <c r="S5320">
        <v>0.39916990000000002</v>
      </c>
      <c r="T5320">
        <v>-0.28318100000000002</v>
      </c>
      <c r="U5320">
        <v>-3.0162049999999998</v>
      </c>
      <c r="V5320">
        <v>5.0705859999999998E-2</v>
      </c>
      <c r="W5320">
        <v>2.25361E-2</v>
      </c>
      <c r="X5320">
        <v>0.99845930000000005</v>
      </c>
      <c r="Y5320">
        <v>-0.1105686</v>
      </c>
      <c r="Z5320">
        <v>9.2759679999999997E-2</v>
      </c>
      <c r="AA5320">
        <v>0.98953029999999997</v>
      </c>
      <c r="AB5320">
        <v>25</v>
      </c>
      <c r="AC5320">
        <v>1.5515000000000301</v>
      </c>
      <c r="AD5320">
        <v>-1.10261192819469</v>
      </c>
      <c r="AE5320">
        <v>-11.492520000000001</v>
      </c>
      <c r="AF5320">
        <v>-1.30708374862142</v>
      </c>
      <c r="AG5320">
        <v>-1.10261192819469</v>
      </c>
      <c r="AH5320">
        <v>11.418308657054199</v>
      </c>
      <c r="AI5320">
        <v>95.480111111657394</v>
      </c>
      <c r="AJ5320">
        <v>96.530372570613906</v>
      </c>
      <c r="AK5320">
        <v>11.5456482528209</v>
      </c>
    </row>
    <row r="5321" spans="1:37" x14ac:dyDescent="0.2">
      <c r="A5321" t="str">
        <f>"20200111160007107"</f>
        <v>20200111160007107</v>
      </c>
      <c r="B5321" t="str">
        <f>"1578729607095800"</f>
        <v>1578729607095800</v>
      </c>
      <c r="C5321" t="s">
        <v>37</v>
      </c>
      <c r="D5321">
        <v>5.1328750000000003</v>
      </c>
      <c r="E5321">
        <v>0.4395019</v>
      </c>
      <c r="F5321" t="s">
        <v>39</v>
      </c>
      <c r="G5321">
        <v>-299.6678</v>
      </c>
      <c r="H5321" s="1">
        <v>-7.7734100000000003E-7</v>
      </c>
      <c r="I5321">
        <v>-28.692589999999999</v>
      </c>
      <c r="J5321">
        <v>-301.25529999999998</v>
      </c>
      <c r="K5321">
        <v>1.1026450000000001</v>
      </c>
      <c r="L5321">
        <v>-17.079989999999999</v>
      </c>
      <c r="M5321">
        <v>1.7679150000000001E-2</v>
      </c>
      <c r="N5321">
        <v>0</v>
      </c>
      <c r="O5321">
        <v>-0.9997412</v>
      </c>
      <c r="P5321">
        <v>-3.0098690000000001E-2</v>
      </c>
      <c r="Q5321">
        <v>8.7954009999999996E-3</v>
      </c>
      <c r="R5321">
        <v>-0.99950830000000002</v>
      </c>
      <c r="S5321">
        <v>0.40426640000000003</v>
      </c>
      <c r="T5321">
        <v>-0.28041539999999998</v>
      </c>
      <c r="U5321">
        <v>-3.0162049999999998</v>
      </c>
      <c r="V5321">
        <v>4.7863250000000003E-2</v>
      </c>
      <c r="W5321">
        <v>2.2895550000000001E-2</v>
      </c>
      <c r="X5321">
        <v>0.99859149999999997</v>
      </c>
      <c r="Y5321">
        <v>-0.1147373</v>
      </c>
      <c r="Z5321">
        <v>9.1836180000000003E-2</v>
      </c>
      <c r="AA5321">
        <v>0.98914179999999996</v>
      </c>
      <c r="AB5321">
        <v>25</v>
      </c>
      <c r="AC5321">
        <v>1.5874999999999699</v>
      </c>
      <c r="AD5321">
        <v>-1.1026457773410001</v>
      </c>
      <c r="AE5321">
        <v>-11.6126</v>
      </c>
      <c r="AF5321">
        <v>-1.3698063169032</v>
      </c>
      <c r="AG5321">
        <v>-1.1026457773410001</v>
      </c>
      <c r="AH5321">
        <v>11.5367463265911</v>
      </c>
      <c r="AI5321">
        <v>95.4217116314572</v>
      </c>
      <c r="AJ5321">
        <v>96.771267138417798</v>
      </c>
      <c r="AK5321">
        <v>11.669991982012199</v>
      </c>
    </row>
    <row r="5322" spans="1:37" x14ac:dyDescent="0.2">
      <c r="A5322" t="str">
        <f>"20200111160007131"</f>
        <v>20200111160007131</v>
      </c>
      <c r="B5322" t="str">
        <f>"1578729607126056"</f>
        <v>1578729607126056</v>
      </c>
      <c r="C5322" t="s">
        <v>37</v>
      </c>
      <c r="D5322">
        <v>5.0422769999999897</v>
      </c>
      <c r="E5322">
        <v>0.438841799999999</v>
      </c>
      <c r="F5322" t="s">
        <v>39</v>
      </c>
      <c r="G5322">
        <v>-299.63380000000001</v>
      </c>
      <c r="H5322" s="1">
        <v>-6.3203590000000004E-7</v>
      </c>
      <c r="I5322">
        <v>-29.045359999999999</v>
      </c>
      <c r="J5322">
        <v>-301.25380000000001</v>
      </c>
      <c r="K5322">
        <v>1.102673</v>
      </c>
      <c r="L5322">
        <v>-17.345029999999898</v>
      </c>
      <c r="M5322">
        <v>1.498557E-2</v>
      </c>
      <c r="N5322">
        <v>0</v>
      </c>
      <c r="O5322">
        <v>-0.99978429999999996</v>
      </c>
      <c r="P5322">
        <v>-3.0384789999999998E-2</v>
      </c>
      <c r="Q5322">
        <v>8.6906109999999905E-3</v>
      </c>
      <c r="R5322">
        <v>-0.99950099999999997</v>
      </c>
      <c r="S5322">
        <v>0.40875240000000002</v>
      </c>
      <c r="T5322">
        <v>-0.27795540000000002</v>
      </c>
      <c r="U5322">
        <v>-3.016235</v>
      </c>
      <c r="V5322">
        <v>4.5456730000000001E-2</v>
      </c>
      <c r="W5322">
        <v>2.28840999999999E-2</v>
      </c>
      <c r="X5322">
        <v>0.99870409999999898</v>
      </c>
      <c r="Y5322">
        <v>-0.11886629999999999</v>
      </c>
      <c r="Z5322">
        <v>9.1011250000000002E-2</v>
      </c>
      <c r="AA5322">
        <v>0.98873040000000001</v>
      </c>
      <c r="AB5322">
        <v>25</v>
      </c>
      <c r="AC5322">
        <v>1.62</v>
      </c>
      <c r="AD5322">
        <v>-1.1026736320359001</v>
      </c>
      <c r="AE5322">
        <v>-11.700329999999999</v>
      </c>
      <c r="AF5322">
        <v>-1.4319845355376299</v>
      </c>
      <c r="AG5322">
        <v>-1.1026736320359001</v>
      </c>
      <c r="AH5322">
        <v>11.6220130335962</v>
      </c>
      <c r="AI5322">
        <v>95.379447406055704</v>
      </c>
      <c r="AJ5322">
        <v>97.0241889213885</v>
      </c>
      <c r="AK5322">
        <v>11.761702929503301</v>
      </c>
    </row>
    <row r="5323" spans="1:37" x14ac:dyDescent="0.2">
      <c r="A5323" t="str">
        <f>"20200111160007152"</f>
        <v>20200111160007152</v>
      </c>
      <c r="B5323" t="str">
        <f>"1578729607146552"</f>
        <v>1578729607146552</v>
      </c>
      <c r="C5323" t="s">
        <v>37</v>
      </c>
      <c r="D5323">
        <v>5.0173199999999998</v>
      </c>
      <c r="E5323">
        <v>0.43849280000000002</v>
      </c>
      <c r="F5323" t="s">
        <v>39</v>
      </c>
      <c r="G5323">
        <v>-299.6028</v>
      </c>
      <c r="H5323" s="1">
        <v>-4.7417529999999902E-7</v>
      </c>
      <c r="I5323">
        <v>-29.426159999999999</v>
      </c>
      <c r="J5323">
        <v>-301.25299999999999</v>
      </c>
      <c r="K5323">
        <v>1.1026989999999901</v>
      </c>
      <c r="L5323">
        <v>-17.573550000000001</v>
      </c>
      <c r="M5323">
        <v>1.267887E-2</v>
      </c>
      <c r="N5323">
        <v>0</v>
      </c>
      <c r="O5323">
        <v>-0.99981500000000001</v>
      </c>
      <c r="P5323">
        <v>-3.0398560000000002E-2</v>
      </c>
      <c r="Q5323">
        <v>8.0405119999999997E-3</v>
      </c>
      <c r="R5323">
        <v>-0.99950569999999905</v>
      </c>
      <c r="S5323">
        <v>0.41223140000000003</v>
      </c>
      <c r="T5323">
        <v>-0.27531559999999999</v>
      </c>
      <c r="U5323">
        <v>-3.0164179999999998</v>
      </c>
      <c r="V5323">
        <v>4.3162319999999997E-2</v>
      </c>
      <c r="W5323">
        <v>2.2305849999999999E-2</v>
      </c>
      <c r="X5323">
        <v>0.99881909999999896</v>
      </c>
      <c r="Y5323">
        <v>-0.1222787</v>
      </c>
      <c r="Z5323">
        <v>9.0127269999999995E-2</v>
      </c>
      <c r="AA5323">
        <v>0.98839519999999903</v>
      </c>
      <c r="AB5323">
        <v>25</v>
      </c>
      <c r="AC5323">
        <v>1.6501999999999799</v>
      </c>
      <c r="AD5323">
        <v>-1.10269947417529</v>
      </c>
      <c r="AE5323">
        <v>-11.85261</v>
      </c>
      <c r="AF5323">
        <v>-1.4871468420732601</v>
      </c>
      <c r="AG5323">
        <v>-1.10269947417529</v>
      </c>
      <c r="AH5323">
        <v>11.772622985377501</v>
      </c>
      <c r="AI5323">
        <v>95.309129815959395</v>
      </c>
      <c r="AJ5323">
        <v>97.199610527644197</v>
      </c>
      <c r="AK5323">
        <v>11.917306902823</v>
      </c>
    </row>
    <row r="5324" spans="1:37" x14ac:dyDescent="0.2">
      <c r="A5324" t="str">
        <f>"20200111160007197"</f>
        <v>20200111160007197</v>
      </c>
      <c r="B5324" t="str">
        <f>"1578729607186567"</f>
        <v>1578729607186567</v>
      </c>
      <c r="C5324" t="s">
        <v>37</v>
      </c>
      <c r="D5324">
        <v>5.3768560000000001</v>
      </c>
      <c r="E5324">
        <v>0.53249169999999901</v>
      </c>
      <c r="F5324" t="s">
        <v>39</v>
      </c>
      <c r="G5324">
        <v>-299.58839999999998</v>
      </c>
      <c r="H5324" s="1">
        <v>-3.6839659999999899E-7</v>
      </c>
      <c r="I5324">
        <v>-29.678650000000001</v>
      </c>
      <c r="J5324">
        <v>-301.25310000000002</v>
      </c>
      <c r="K5324">
        <v>1.1027629999999999</v>
      </c>
      <c r="L5324">
        <v>-18.067139999999998</v>
      </c>
      <c r="M5324">
        <v>7.7558990000000001E-3</v>
      </c>
      <c r="N5324">
        <v>0</v>
      </c>
      <c r="O5324">
        <v>-0.99986409999999903</v>
      </c>
      <c r="P5324">
        <v>-3.2419499999999997E-2</v>
      </c>
      <c r="Q5324">
        <v>7.1095480000000003E-3</v>
      </c>
      <c r="R5324">
        <v>-0.99944929999999998</v>
      </c>
      <c r="S5324">
        <v>0.41476439999999998</v>
      </c>
      <c r="T5324">
        <v>-0.27476590000000001</v>
      </c>
      <c r="U5324">
        <v>-3.0162960000000001</v>
      </c>
      <c r="V5324">
        <v>4.0257830000000001E-2</v>
      </c>
      <c r="W5324">
        <v>2.1492560000000001E-2</v>
      </c>
      <c r="X5324">
        <v>0.99895820000000002</v>
      </c>
      <c r="Y5324">
        <v>-0.12798570000000001</v>
      </c>
      <c r="Z5324">
        <v>8.9921580000000001E-2</v>
      </c>
      <c r="AA5324">
        <v>0.98769110000000004</v>
      </c>
      <c r="AB5324">
        <v>25</v>
      </c>
      <c r="AC5324">
        <v>1.66470000000003</v>
      </c>
      <c r="AD5324">
        <v>-1.1027633683965901</v>
      </c>
      <c r="AE5324">
        <v>-11.611510000000001</v>
      </c>
      <c r="AF5324">
        <v>-1.56078852624534</v>
      </c>
      <c r="AG5324">
        <v>-1.1027633683965901</v>
      </c>
      <c r="AH5324">
        <v>11.5222403632328</v>
      </c>
      <c r="AI5324">
        <v>95.417795456526704</v>
      </c>
      <c r="AJ5324">
        <v>97.714261395290606</v>
      </c>
      <c r="AK5324">
        <v>11.6796477197922</v>
      </c>
    </row>
    <row r="5325" spans="1:37" x14ac:dyDescent="0.2">
      <c r="A5325" t="str">
        <f>"20200111160007218"</f>
        <v>20200111160007218</v>
      </c>
      <c r="B5325" t="str">
        <f>"1578729607215848"</f>
        <v>1578729607215848</v>
      </c>
      <c r="C5325" t="s">
        <v>37</v>
      </c>
      <c r="D5325">
        <v>5.1009269999999898</v>
      </c>
      <c r="E5325">
        <v>0.5598031</v>
      </c>
      <c r="F5325" t="s">
        <v>86</v>
      </c>
      <c r="G5325">
        <v>-310.00510000000003</v>
      </c>
      <c r="H5325">
        <v>1.357691</v>
      </c>
      <c r="I5325">
        <v>-91.564989999999995</v>
      </c>
      <c r="J5325">
        <v>-301.25400000000002</v>
      </c>
      <c r="K5325">
        <v>1.102789</v>
      </c>
      <c r="L5325">
        <v>-18.3064</v>
      </c>
      <c r="M5325">
        <v>5.3938809999999997E-3</v>
      </c>
      <c r="N5325">
        <v>0</v>
      </c>
      <c r="O5325">
        <v>-0.99987909999999902</v>
      </c>
      <c r="P5325">
        <v>-3.4986240000000002E-2</v>
      </c>
      <c r="Q5325">
        <v>7.0038369999999997E-3</v>
      </c>
      <c r="R5325">
        <v>-0.99936369999999897</v>
      </c>
      <c r="S5325">
        <v>-0.35604859999999999</v>
      </c>
      <c r="T5325">
        <v>1.0371450000000001E-2</v>
      </c>
      <c r="U5325">
        <v>-2.990021</v>
      </c>
      <c r="V5325">
        <v>4.0462390000000001E-2</v>
      </c>
      <c r="W5325">
        <v>2.1425820000000002E-2</v>
      </c>
      <c r="X5325">
        <v>0.99895129999999999</v>
      </c>
      <c r="Y5325">
        <v>0.12359779999999999</v>
      </c>
      <c r="Z5325">
        <v>-3.44313E-3</v>
      </c>
      <c r="AA5325">
        <v>0.99232640000000005</v>
      </c>
      <c r="AB5325">
        <v>25</v>
      </c>
      <c r="AC5325">
        <v>-8.7510999999999992</v>
      </c>
      <c r="AD5325">
        <v>0.25490200000000002</v>
      </c>
      <c r="AE5325">
        <v>-73.258589999999998</v>
      </c>
      <c r="AF5325">
        <v>9.1460536440290294</v>
      </c>
      <c r="AG5325">
        <v>0.25490200000000002</v>
      </c>
      <c r="AH5325">
        <v>73.209442799451196</v>
      </c>
      <c r="AI5325">
        <v>89.802046084365799</v>
      </c>
      <c r="AJ5325">
        <v>82.878934262340294</v>
      </c>
      <c r="AK5325">
        <v>73.778979305051195</v>
      </c>
    </row>
    <row r="5326" spans="1:37" x14ac:dyDescent="0.2">
      <c r="A5326" t="str">
        <f>"20200111160007241"</f>
        <v>20200111160007241</v>
      </c>
      <c r="B5326" t="str">
        <f>"1578729607236344"</f>
        <v>1578729607236344</v>
      </c>
      <c r="C5326" t="s">
        <v>37</v>
      </c>
      <c r="D5326">
        <v>5.0639750000000001</v>
      </c>
      <c r="E5326">
        <v>0.56435380000000002</v>
      </c>
      <c r="F5326" t="s">
        <v>39</v>
      </c>
      <c r="G5326">
        <v>-305.18880000000001</v>
      </c>
      <c r="H5326" s="1">
        <v>-2.0879980000000001E-6</v>
      </c>
      <c r="I5326">
        <v>-38.761899999999997</v>
      </c>
      <c r="J5326">
        <v>-301.25549999999998</v>
      </c>
      <c r="K5326">
        <v>1.102814</v>
      </c>
      <c r="L5326">
        <v>-18.555389999999999</v>
      </c>
      <c r="M5326">
        <v>2.9493399999999999E-3</v>
      </c>
      <c r="N5326">
        <v>0</v>
      </c>
      <c r="O5326">
        <v>-0.99988869999999896</v>
      </c>
      <c r="P5326">
        <v>-3.8066999999999997E-2</v>
      </c>
      <c r="Q5326">
        <v>6.7709830000000004E-3</v>
      </c>
      <c r="R5326">
        <v>-0.99925229999999998</v>
      </c>
      <c r="S5326">
        <v>-0.57379150000000001</v>
      </c>
      <c r="T5326">
        <v>-0.1608154</v>
      </c>
      <c r="U5326">
        <v>-2.9829409999999998</v>
      </c>
      <c r="V5326">
        <v>4.1098229999999999E-2</v>
      </c>
      <c r="W5326">
        <v>2.1225109999999998E-2</v>
      </c>
      <c r="X5326">
        <v>0.99892959999999997</v>
      </c>
      <c r="Y5326">
        <v>0.19152639999999899</v>
      </c>
      <c r="Z5326">
        <v>5.2851799999999997E-2</v>
      </c>
      <c r="AA5326">
        <v>0.98006340000000003</v>
      </c>
      <c r="AB5326">
        <v>25</v>
      </c>
      <c r="AC5326">
        <v>-3.9333000000000302</v>
      </c>
      <c r="AD5326">
        <v>-1.102816087998</v>
      </c>
      <c r="AE5326">
        <v>-20.206510000000002</v>
      </c>
      <c r="AF5326">
        <v>3.98145860643413</v>
      </c>
      <c r="AG5326">
        <v>-1.102816087998</v>
      </c>
      <c r="AH5326">
        <v>20.137028264697001</v>
      </c>
      <c r="AI5326">
        <v>93.075288787692898</v>
      </c>
      <c r="AJ5326">
        <v>78.815827205762005</v>
      </c>
      <c r="AK5326">
        <v>20.556461837872298</v>
      </c>
    </row>
    <row r="5327" spans="1:37" x14ac:dyDescent="0.2">
      <c r="A5327" t="str">
        <f>"20200111160007264"</f>
        <v>20200111160007264</v>
      </c>
      <c r="B5327" t="str">
        <f>"1578729607255864"</f>
        <v>1578729607255864</v>
      </c>
      <c r="C5327" t="s">
        <v>37</v>
      </c>
      <c r="D5327">
        <v>5.0835999999999997</v>
      </c>
      <c r="E5327">
        <v>0.56627430000000001</v>
      </c>
      <c r="F5327" t="s">
        <v>39</v>
      </c>
      <c r="G5327">
        <v>-304.89729999999997</v>
      </c>
      <c r="H5327" s="1">
        <v>-3.153822E-6</v>
      </c>
      <c r="I5327">
        <v>-36.096679999999999</v>
      </c>
      <c r="J5327">
        <v>-301.25760000000002</v>
      </c>
      <c r="K5327">
        <v>1.102838</v>
      </c>
      <c r="L5327">
        <v>-18.810420000000001</v>
      </c>
      <c r="M5327">
        <v>4.5735589999999998E-4</v>
      </c>
      <c r="N5327">
        <v>0</v>
      </c>
      <c r="O5327">
        <v>-0.99989249999999996</v>
      </c>
      <c r="P5327">
        <v>-4.2455479999999997E-2</v>
      </c>
      <c r="Q5327">
        <v>5.5062969999999899E-3</v>
      </c>
      <c r="R5327">
        <v>-0.9990831</v>
      </c>
      <c r="S5327">
        <v>-0.61868290000000004</v>
      </c>
      <c r="T5327">
        <v>-0.18734879999999901</v>
      </c>
      <c r="U5327">
        <v>-2.9799500000000001</v>
      </c>
      <c r="V5327">
        <v>4.2990760000000003E-2</v>
      </c>
      <c r="W5327">
        <v>1.9981309999999999E-2</v>
      </c>
      <c r="X5327">
        <v>0.99887559999999997</v>
      </c>
      <c r="Y5327">
        <v>0.2033441</v>
      </c>
      <c r="Z5327">
        <v>6.143792E-2</v>
      </c>
      <c r="AA5327">
        <v>0.97717790000000004</v>
      </c>
      <c r="AB5327">
        <v>25</v>
      </c>
      <c r="AC5327">
        <v>-3.63969999999994</v>
      </c>
      <c r="AD5327">
        <v>-1.102841153822</v>
      </c>
      <c r="AE5327">
        <v>-17.286259999999999</v>
      </c>
      <c r="AF5327">
        <v>3.63344513344751</v>
      </c>
      <c r="AG5327">
        <v>-1.102841153822</v>
      </c>
      <c r="AH5327">
        <v>17.217488424109899</v>
      </c>
      <c r="AI5327">
        <v>93.586218280162299</v>
      </c>
      <c r="AJ5327">
        <v>78.0835877529058</v>
      </c>
      <c r="AK5327">
        <v>17.631224852025898</v>
      </c>
    </row>
    <row r="5328" spans="1:37" x14ac:dyDescent="0.2">
      <c r="A5328" t="str">
        <f>"20200111160007286"</f>
        <v>20200111160007286</v>
      </c>
      <c r="B5328" t="str">
        <f>"1578729607276360"</f>
        <v>1578729607276360</v>
      </c>
      <c r="C5328" t="s">
        <v>37</v>
      </c>
      <c r="D5328">
        <v>5.0806459999999998</v>
      </c>
      <c r="E5328">
        <v>0.56740310000000005</v>
      </c>
      <c r="F5328" t="s">
        <v>39</v>
      </c>
      <c r="G5328">
        <v>-304.72730000000001</v>
      </c>
      <c r="H5328" s="1">
        <v>-3.6380519999999999E-6</v>
      </c>
      <c r="I5328">
        <v>-34.786740000000002</v>
      </c>
      <c r="J5328">
        <v>-301.26010000000002</v>
      </c>
      <c r="K5328">
        <v>1.102851</v>
      </c>
      <c r="L5328">
        <v>-19.04532</v>
      </c>
      <c r="M5328">
        <v>-1.829254E-3</v>
      </c>
      <c r="N5328">
        <v>0</v>
      </c>
      <c r="O5328">
        <v>-0.99989089999999903</v>
      </c>
      <c r="P5328">
        <v>-4.628645E-2</v>
      </c>
      <c r="Q5328">
        <v>3.8139109999999901E-3</v>
      </c>
      <c r="R5328">
        <v>-0.99892119999999995</v>
      </c>
      <c r="S5328">
        <v>-0.64642330000000003</v>
      </c>
      <c r="T5328">
        <v>-0.2054609</v>
      </c>
      <c r="U5328">
        <v>-2.97641</v>
      </c>
      <c r="V5328">
        <v>4.4530149999999998E-2</v>
      </c>
      <c r="W5328">
        <v>1.8305060000000001E-2</v>
      </c>
      <c r="X5328">
        <v>0.99884030000000001</v>
      </c>
      <c r="Y5328">
        <v>0.20996500000000001</v>
      </c>
      <c r="Z5328">
        <v>6.7317210000000002E-2</v>
      </c>
      <c r="AA5328">
        <v>0.975388699999999</v>
      </c>
      <c r="AB5328">
        <v>24</v>
      </c>
      <c r="AC5328">
        <v>-3.4671999999999898</v>
      </c>
      <c r="AD5328">
        <v>-1.1028546380519999</v>
      </c>
      <c r="AE5328">
        <v>-15.74142</v>
      </c>
      <c r="AF5328">
        <v>3.42237459524216</v>
      </c>
      <c r="AG5328">
        <v>-1.1028546380519999</v>
      </c>
      <c r="AH5328">
        <v>15.674359017904999</v>
      </c>
      <c r="AI5328">
        <v>93.932380270510293</v>
      </c>
      <c r="AJ5328">
        <v>77.683210866777301</v>
      </c>
      <c r="AK5328">
        <v>16.0814945463726</v>
      </c>
    </row>
    <row r="5329" spans="1:37" x14ac:dyDescent="0.2">
      <c r="A5329" t="str">
        <f>"20200111160007308"</f>
        <v>20200111160007308</v>
      </c>
      <c r="B5329" t="str">
        <f>"1578729607295879"</f>
        <v>1578729607295879</v>
      </c>
      <c r="C5329" t="s">
        <v>37</v>
      </c>
      <c r="D5329">
        <v>5.0457080000000003</v>
      </c>
      <c r="E5329">
        <v>0.56816619999999995</v>
      </c>
      <c r="F5329" t="s">
        <v>39</v>
      </c>
      <c r="G5329">
        <v>-304.55349999999999</v>
      </c>
      <c r="H5329" s="1">
        <v>-3.9644520000000003E-6</v>
      </c>
      <c r="I5329">
        <v>-33.736989999999999</v>
      </c>
      <c r="J5329">
        <v>-301.26330000000002</v>
      </c>
      <c r="K5329">
        <v>1.102862</v>
      </c>
      <c r="L5329">
        <v>-19.288599999999999</v>
      </c>
      <c r="M5329">
        <v>-4.193713E-3</v>
      </c>
      <c r="N5329">
        <v>0</v>
      </c>
      <c r="O5329">
        <v>-0.99988310000000002</v>
      </c>
      <c r="P5329">
        <v>-5.0631580000000002E-2</v>
      </c>
      <c r="Q5329">
        <v>2.3016719999999998E-3</v>
      </c>
      <c r="R5329">
        <v>-0.99871460000000001</v>
      </c>
      <c r="S5329">
        <v>-0.66650390000000004</v>
      </c>
      <c r="T5329">
        <v>-0.22318879999999999</v>
      </c>
      <c r="U5329">
        <v>-2.9732059999999998</v>
      </c>
      <c r="V5329">
        <v>4.6507439999999997E-2</v>
      </c>
      <c r="W5329">
        <v>1.680326E-2</v>
      </c>
      <c r="X5329">
        <v>0.99877660000000001</v>
      </c>
      <c r="Y5329">
        <v>0.214062</v>
      </c>
      <c r="Z5329">
        <v>7.308568E-2</v>
      </c>
      <c r="AA5329">
        <v>0.97408209999999995</v>
      </c>
      <c r="AB5329">
        <v>24</v>
      </c>
      <c r="AC5329">
        <v>-3.2901999999999698</v>
      </c>
      <c r="AD5329">
        <v>-1.102865964452</v>
      </c>
      <c r="AE5329">
        <v>-14.44839</v>
      </c>
      <c r="AF5329">
        <v>3.2117812913830601</v>
      </c>
      <c r="AG5329">
        <v>-1.102865964452</v>
      </c>
      <c r="AH5329">
        <v>14.3823950712661</v>
      </c>
      <c r="AI5329">
        <v>94.279941075332104</v>
      </c>
      <c r="AJ5329">
        <v>77.411629263326105</v>
      </c>
      <c r="AK5329">
        <v>14.777859803950101</v>
      </c>
    </row>
    <row r="5330" spans="1:37" x14ac:dyDescent="0.2">
      <c r="A5330" t="str">
        <f>"20200111160007330"</f>
        <v>20200111160007330</v>
      </c>
      <c r="B5330" t="str">
        <f>"1578729607326135"</f>
        <v>1578729607326135</v>
      </c>
      <c r="C5330" t="s">
        <v>37</v>
      </c>
      <c r="D5330">
        <v>5.0898820000000002</v>
      </c>
      <c r="E5330">
        <v>0.56878569999999995</v>
      </c>
      <c r="F5330" t="s">
        <v>39</v>
      </c>
      <c r="G5330">
        <v>-304.46690000000001</v>
      </c>
      <c r="H5330" s="1">
        <v>-4.140583E-6</v>
      </c>
      <c r="I5330">
        <v>-33.174309999999998</v>
      </c>
      <c r="J5330">
        <v>-301.267</v>
      </c>
      <c r="K5330">
        <v>1.1028789999999999</v>
      </c>
      <c r="L5330">
        <v>-19.529109999999999</v>
      </c>
      <c r="M5330">
        <v>-6.529885E-3</v>
      </c>
      <c r="N5330">
        <v>0</v>
      </c>
      <c r="O5330">
        <v>-0.9998705</v>
      </c>
      <c r="P5330">
        <v>-5.4277209999999999E-2</v>
      </c>
      <c r="Q5330">
        <v>1.859739E-3</v>
      </c>
      <c r="R5330">
        <v>-0.99852439999999998</v>
      </c>
      <c r="S5330">
        <v>-0.68515009999999998</v>
      </c>
      <c r="T5330">
        <v>-0.2358645</v>
      </c>
      <c r="U5330">
        <v>-2.9696660000000001</v>
      </c>
      <c r="V5330">
        <v>4.7818260000000001E-2</v>
      </c>
      <c r="W5330">
        <v>1.6370820000000001E-2</v>
      </c>
      <c r="X5330">
        <v>0.99872190000000005</v>
      </c>
      <c r="Y5330">
        <v>0.217771299999999</v>
      </c>
      <c r="Z5330">
        <v>7.7214779999999997E-2</v>
      </c>
      <c r="AA5330">
        <v>0.97294069999999899</v>
      </c>
      <c r="AB5330">
        <v>24</v>
      </c>
      <c r="AC5330">
        <v>-3.1999000000000102</v>
      </c>
      <c r="AD5330">
        <v>-1.102883140583</v>
      </c>
      <c r="AE5330">
        <v>-13.645200000000001</v>
      </c>
      <c r="AF5330">
        <v>3.0915766844922401</v>
      </c>
      <c r="AG5330">
        <v>-1.102883140583</v>
      </c>
      <c r="AH5330">
        <v>13.581704789165</v>
      </c>
      <c r="AI5330">
        <v>94.527132037899804</v>
      </c>
      <c r="AJ5330">
        <v>77.176378027699897</v>
      </c>
      <c r="AK5330">
        <v>13.972719942727901</v>
      </c>
    </row>
    <row r="5331" spans="1:37" x14ac:dyDescent="0.2">
      <c r="A5331" t="str">
        <f>"20200111160007353"</f>
        <v>20200111160007353</v>
      </c>
      <c r="B5331" t="str">
        <f>"1578729607346632"</f>
        <v>1578729607346632</v>
      </c>
      <c r="C5331" t="s">
        <v>37</v>
      </c>
      <c r="D5331">
        <v>5.0780609999999999</v>
      </c>
      <c r="E5331">
        <v>0.56894480000000003</v>
      </c>
      <c r="F5331" t="s">
        <v>39</v>
      </c>
      <c r="G5331">
        <v>-304.4513</v>
      </c>
      <c r="H5331" s="1">
        <v>-4.1939589999999902E-6</v>
      </c>
      <c r="I5331">
        <v>-33.009279999999997</v>
      </c>
      <c r="J5331">
        <v>-301.27159999999998</v>
      </c>
      <c r="K5331">
        <v>1.1028910000000001</v>
      </c>
      <c r="L5331">
        <v>-19.77975</v>
      </c>
      <c r="M5331">
        <v>-8.9653909999999996E-3</v>
      </c>
      <c r="N5331">
        <v>0</v>
      </c>
      <c r="O5331">
        <v>-0.99985159999999995</v>
      </c>
      <c r="P5331">
        <v>-5.7657420000000001E-2</v>
      </c>
      <c r="Q5331">
        <v>2.7979670000000002E-3</v>
      </c>
      <c r="R5331">
        <v>-0.99833259999999902</v>
      </c>
      <c r="S5331">
        <v>-0.70080569999999998</v>
      </c>
      <c r="T5331">
        <v>-0.24272919999999901</v>
      </c>
      <c r="U5331">
        <v>-2.9667970000000001</v>
      </c>
      <c r="V5331">
        <v>4.8770250000000001E-2</v>
      </c>
      <c r="W5331">
        <v>1.7318159999999999E-2</v>
      </c>
      <c r="X5331">
        <v>0.99865979999999999</v>
      </c>
      <c r="Y5331">
        <v>0.22042779999999901</v>
      </c>
      <c r="Z5331">
        <v>7.9449119999999998E-2</v>
      </c>
      <c r="AA5331">
        <v>0.97216219999999998</v>
      </c>
      <c r="AB5331">
        <v>24</v>
      </c>
      <c r="AC5331">
        <v>-3.17970000000002</v>
      </c>
      <c r="AD5331">
        <v>-1.1028951939589999</v>
      </c>
      <c r="AE5331">
        <v>-13.229529999999899</v>
      </c>
      <c r="AF5331">
        <v>3.0409711477893202</v>
      </c>
      <c r="AG5331">
        <v>-1.1028951939589999</v>
      </c>
      <c r="AH5331">
        <v>13.1709704568856</v>
      </c>
      <c r="AI5331">
        <v>94.664451323304604</v>
      </c>
      <c r="AJ5331">
        <v>76.999120212553706</v>
      </c>
      <c r="AK5331">
        <v>13.5623871831879</v>
      </c>
    </row>
    <row r="5332" spans="1:37" x14ac:dyDescent="0.2">
      <c r="A5332" t="str">
        <f>"20200111160007374"</f>
        <v>20200111160007374</v>
      </c>
      <c r="B5332" t="str">
        <f>"1578729607366152"</f>
        <v>1578729607366152</v>
      </c>
      <c r="C5332" t="s">
        <v>37</v>
      </c>
      <c r="D5332">
        <v>5.1289959999999999</v>
      </c>
      <c r="E5332">
        <v>0.56907839999999998</v>
      </c>
      <c r="F5332" t="s">
        <v>39</v>
      </c>
      <c r="G5332">
        <v>-304.48970000000003</v>
      </c>
      <c r="H5332" s="1">
        <v>-4.1396929999999902E-6</v>
      </c>
      <c r="I5332">
        <v>-33.188759999999903</v>
      </c>
      <c r="J5332">
        <v>-301.27640000000002</v>
      </c>
      <c r="K5332">
        <v>1.102911</v>
      </c>
      <c r="L5332">
        <v>-20.01868</v>
      </c>
      <c r="M5332">
        <v>-1.128903E-2</v>
      </c>
      <c r="N5332">
        <v>0</v>
      </c>
      <c r="O5332">
        <v>-0.99982760000000004</v>
      </c>
      <c r="P5332">
        <v>-6.0124080000000003E-2</v>
      </c>
      <c r="Q5332">
        <v>3.6521470000000001E-3</v>
      </c>
      <c r="R5332">
        <v>-0.99818410000000002</v>
      </c>
      <c r="S5332">
        <v>-0.71148679999999997</v>
      </c>
      <c r="T5332">
        <v>-0.24383949999999999</v>
      </c>
      <c r="U5332">
        <v>-2.9645999999999999</v>
      </c>
      <c r="V5332">
        <v>4.8920119999999997E-2</v>
      </c>
      <c r="W5332">
        <v>1.8182050000000002E-2</v>
      </c>
      <c r="X5332">
        <v>0.998637199999999</v>
      </c>
      <c r="Y5332">
        <v>0.22162999999999999</v>
      </c>
      <c r="Z5332">
        <v>7.9820870000000002E-2</v>
      </c>
      <c r="AA5332">
        <v>0.97185840000000001</v>
      </c>
      <c r="AB5332">
        <v>24</v>
      </c>
      <c r="AC5332">
        <v>-3.2132999999999998</v>
      </c>
      <c r="AD5332">
        <v>-1.1029151396929999</v>
      </c>
      <c r="AE5332">
        <v>-13.170079999999899</v>
      </c>
      <c r="AF5332">
        <v>3.04425159905598</v>
      </c>
      <c r="AG5332">
        <v>-1.1029151396929999</v>
      </c>
      <c r="AH5332">
        <v>13.118686515019</v>
      </c>
      <c r="AI5332">
        <v>94.681844582089496</v>
      </c>
      <c r="AJ5332">
        <v>76.935480187092693</v>
      </c>
      <c r="AK5332">
        <v>13.5123582502485</v>
      </c>
    </row>
    <row r="5333" spans="1:37" x14ac:dyDescent="0.2">
      <c r="A5333" t="str">
        <f>"20200111160007397"</f>
        <v>20200111160007397</v>
      </c>
      <c r="B5333" t="str">
        <f>"1578729607385672"</f>
        <v>1578729607385672</v>
      </c>
      <c r="C5333" t="s">
        <v>37</v>
      </c>
      <c r="D5333">
        <v>5.1189179999999999</v>
      </c>
      <c r="E5333">
        <v>0.56900240000000002</v>
      </c>
      <c r="F5333" t="s">
        <v>39</v>
      </c>
      <c r="G5333">
        <v>-304.52229999999997</v>
      </c>
      <c r="H5333" s="1">
        <v>-4.0780050000000001E-6</v>
      </c>
      <c r="I5333">
        <v>-33.387029999999903</v>
      </c>
      <c r="J5333">
        <v>-301.2817</v>
      </c>
      <c r="K5333">
        <v>1.1029309999999899</v>
      </c>
      <c r="L5333">
        <v>-20.256319999999999</v>
      </c>
      <c r="M5333">
        <v>-1.360275E-2</v>
      </c>
      <c r="N5333">
        <v>0</v>
      </c>
      <c r="O5333">
        <v>-0.99979899999999999</v>
      </c>
      <c r="P5333">
        <v>-6.199735E-2</v>
      </c>
      <c r="Q5333">
        <v>5.2896339999999997E-3</v>
      </c>
      <c r="R5333">
        <v>-0.99806269999999997</v>
      </c>
      <c r="S5333">
        <v>-0.71942139999999999</v>
      </c>
      <c r="T5333">
        <v>-0.24445429999999899</v>
      </c>
      <c r="U5333">
        <v>-2.9630130000000001</v>
      </c>
      <c r="V5333">
        <v>4.8489379999999999E-2</v>
      </c>
      <c r="W5333">
        <v>1.982971E-2</v>
      </c>
      <c r="X5333">
        <v>0.99862680000000004</v>
      </c>
      <c r="Y5333">
        <v>0.22194720000000001</v>
      </c>
      <c r="Z5333">
        <v>8.0031190000000002E-2</v>
      </c>
      <c r="AA5333">
        <v>0.97176870000000004</v>
      </c>
      <c r="AB5333">
        <v>24</v>
      </c>
      <c r="AC5333">
        <v>-3.2405999999999699</v>
      </c>
      <c r="AD5333">
        <v>-1.10293507800499</v>
      </c>
      <c r="AE5333">
        <v>-13.130709999999899</v>
      </c>
      <c r="AF5333">
        <v>3.0414402673344001</v>
      </c>
      <c r="AG5333">
        <v>-1.10293507800499</v>
      </c>
      <c r="AH5333">
        <v>13.086550324721101</v>
      </c>
      <c r="AI5333">
        <v>94.693009292841495</v>
      </c>
      <c r="AJ5333">
        <v>76.916179802747394</v>
      </c>
      <c r="AK5333">
        <v>13.480527589360699</v>
      </c>
    </row>
    <row r="5334" spans="1:37" x14ac:dyDescent="0.2">
      <c r="A5334" t="str">
        <f>"20200111160007420"</f>
        <v>20200111160007420</v>
      </c>
      <c r="B5334" t="str">
        <f>"1578729607415927"</f>
        <v>1578729607415927</v>
      </c>
      <c r="C5334" t="s">
        <v>37</v>
      </c>
      <c r="D5334">
        <v>5.1444390000000002</v>
      </c>
      <c r="E5334">
        <v>0.56884129999999999</v>
      </c>
      <c r="F5334" t="s">
        <v>39</v>
      </c>
      <c r="G5334">
        <v>-304.58640000000003</v>
      </c>
      <c r="H5334" s="1">
        <v>-3.957483E-6</v>
      </c>
      <c r="I5334">
        <v>-33.774619999999999</v>
      </c>
      <c r="J5334">
        <v>-301.28789999999998</v>
      </c>
      <c r="K5334">
        <v>1.102946</v>
      </c>
      <c r="L5334">
        <v>-20.50272</v>
      </c>
      <c r="M5334">
        <v>-1.6004020000000001E-2</v>
      </c>
      <c r="N5334">
        <v>0</v>
      </c>
      <c r="O5334">
        <v>-0.99976330000000002</v>
      </c>
      <c r="P5334">
        <v>-6.3499360000000005E-2</v>
      </c>
      <c r="Q5334">
        <v>6.8572269999999996E-3</v>
      </c>
      <c r="R5334">
        <v>-0.99795869999999998</v>
      </c>
      <c r="S5334">
        <v>-0.72412109999999996</v>
      </c>
      <c r="T5334">
        <v>-0.241674899999999</v>
      </c>
      <c r="U5334">
        <v>-2.9621279999999999</v>
      </c>
      <c r="V5334">
        <v>4.7599509999999998E-2</v>
      </c>
      <c r="W5334">
        <v>2.1407699999999901E-2</v>
      </c>
      <c r="X5334">
        <v>0.99863709999999895</v>
      </c>
      <c r="Y5334">
        <v>0.22114449999999999</v>
      </c>
      <c r="Z5334">
        <v>7.9138470000000002E-2</v>
      </c>
      <c r="AA5334">
        <v>0.97202479999999902</v>
      </c>
      <c r="AB5334">
        <v>24</v>
      </c>
      <c r="AC5334">
        <v>-3.2985000000000402</v>
      </c>
      <c r="AD5334">
        <v>-1.102949957483</v>
      </c>
      <c r="AE5334">
        <v>-13.2719</v>
      </c>
      <c r="AF5334">
        <v>3.0657096501035999</v>
      </c>
      <c r="AG5334">
        <v>-1.102949957483</v>
      </c>
      <c r="AH5334">
        <v>13.2368951422678</v>
      </c>
      <c r="AI5334">
        <v>94.640822503521093</v>
      </c>
      <c r="AJ5334">
        <v>76.960014813284403</v>
      </c>
      <c r="AK5334">
        <v>13.6319649088032</v>
      </c>
    </row>
    <row r="5335" spans="1:37" x14ac:dyDescent="0.2">
      <c r="A5335" t="str">
        <f>"20200111160008280"</f>
        <v>20200111160008280</v>
      </c>
      <c r="B5335" t="str">
        <f>"1578729608276387"</f>
        <v>1578729608276387</v>
      </c>
      <c r="C5335" t="s">
        <v>37</v>
      </c>
      <c r="D5335">
        <v>4.0034939999999999</v>
      </c>
      <c r="E5335">
        <v>0.56884239999999997</v>
      </c>
      <c r="F5335" t="s">
        <v>39</v>
      </c>
      <c r="G5335">
        <v>-304.6259</v>
      </c>
      <c r="H5335" s="1">
        <v>-3.8572699999999999E-6</v>
      </c>
      <c r="I5335">
        <v>-34.089689999999997</v>
      </c>
      <c r="J5335">
        <v>-301.6567</v>
      </c>
      <c r="K5335">
        <v>1.106312</v>
      </c>
      <c r="L5335">
        <v>-29.36185</v>
      </c>
      <c r="M5335">
        <v>-2.265033E-2</v>
      </c>
      <c r="N5335">
        <v>0</v>
      </c>
      <c r="O5335">
        <v>-0.99963639999999998</v>
      </c>
      <c r="P5335">
        <v>-1.5753409999999999E-2</v>
      </c>
      <c r="Q5335">
        <v>-1.9700329999999999E-2</v>
      </c>
      <c r="R5335">
        <v>-0.99968189999999901</v>
      </c>
      <c r="S5335">
        <v>-0.72756960000000004</v>
      </c>
      <c r="T5335">
        <v>-0.24040449999999999</v>
      </c>
      <c r="U5335">
        <v>-2.961487</v>
      </c>
      <c r="V5335">
        <v>-6.8723350000000002E-3</v>
      </c>
      <c r="W5335">
        <v>-5.1048059999999999E-3</v>
      </c>
      <c r="X5335">
        <v>0.9999633</v>
      </c>
      <c r="Y5335">
        <v>0.21578220000000001</v>
      </c>
      <c r="Z5335">
        <v>7.8763509999999995E-2</v>
      </c>
      <c r="AA5335">
        <v>0.97325969999999995</v>
      </c>
      <c r="AB5335">
        <v>22</v>
      </c>
      <c r="AC5335">
        <v>-2.9691999999999998</v>
      </c>
      <c r="AD5335">
        <v>-1.10631585727</v>
      </c>
      <c r="AE5335">
        <v>-4.7278399999999996</v>
      </c>
      <c r="AF5335">
        <v>2.7532253540744001</v>
      </c>
      <c r="AG5335">
        <v>-1.10631585727</v>
      </c>
      <c r="AH5335">
        <v>4.6127529776763003</v>
      </c>
      <c r="AI5335">
        <v>101.63699211676401</v>
      </c>
      <c r="AJ5335">
        <v>59.168184948699299</v>
      </c>
      <c r="AK5335">
        <v>5.4846763495603597</v>
      </c>
    </row>
    <row r="5336" spans="1:37" x14ac:dyDescent="0.2">
      <c r="A5336" t="str">
        <f>"20200111160008302"</f>
        <v>20200111160008302</v>
      </c>
      <c r="B5336" t="str">
        <f>"1578729608295907"</f>
        <v>1578729608295907</v>
      </c>
      <c r="C5336" t="s">
        <v>37</v>
      </c>
      <c r="D5336">
        <v>3.9811379999999899</v>
      </c>
      <c r="E5336">
        <v>0.30733490000000002</v>
      </c>
      <c r="F5336" t="s">
        <v>38</v>
      </c>
      <c r="G5336">
        <v>-301.80560000000003</v>
      </c>
      <c r="H5336">
        <v>1.022743</v>
      </c>
      <c r="I5336">
        <v>-30.1248</v>
      </c>
      <c r="J5336">
        <v>-301.65800000000002</v>
      </c>
      <c r="K5336">
        <v>1.106349</v>
      </c>
      <c r="L5336">
        <v>-29.585999999999999</v>
      </c>
      <c r="M5336">
        <v>-1.9419849999999999E-2</v>
      </c>
      <c r="N5336">
        <v>0</v>
      </c>
      <c r="O5336">
        <v>-0.9997045</v>
      </c>
      <c r="P5336">
        <v>-1.076335E-2</v>
      </c>
      <c r="Q5336">
        <v>-1.920376E-2</v>
      </c>
      <c r="R5336">
        <v>-0.99975780000000003</v>
      </c>
      <c r="S5336">
        <v>-0.58221440000000002</v>
      </c>
      <c r="T5336">
        <v>-0.32716849999999997</v>
      </c>
      <c r="U5336">
        <v>-2.9853209999999999</v>
      </c>
      <c r="V5336">
        <v>-8.6337150000000001E-3</v>
      </c>
      <c r="W5336">
        <v>-4.6177029999999999E-3</v>
      </c>
      <c r="X5336">
        <v>0.99995210000000001</v>
      </c>
      <c r="Y5336">
        <v>0.17121989999999901</v>
      </c>
      <c r="Z5336">
        <v>0.1071085</v>
      </c>
      <c r="AA5336">
        <v>0.97939339999999997</v>
      </c>
      <c r="AB5336">
        <v>22</v>
      </c>
      <c r="AC5336">
        <v>-0.147600000000011</v>
      </c>
      <c r="AD5336">
        <v>-8.3606E-2</v>
      </c>
      <c r="AE5336">
        <v>-0.53880000000000094</v>
      </c>
      <c r="AF5336">
        <v>0.134104072144518</v>
      </c>
      <c r="AG5336">
        <v>-8.3606E-2</v>
      </c>
      <c r="AH5336">
        <v>0.52970123141673897</v>
      </c>
      <c r="AI5336">
        <v>98.699287219644006</v>
      </c>
      <c r="AJ5336">
        <v>75.792980306514707</v>
      </c>
      <c r="AK5336">
        <v>0.55277234008780796</v>
      </c>
    </row>
    <row r="5337" spans="1:37" x14ac:dyDescent="0.2">
      <c r="A5337" t="str">
        <f>"20200111160008324"</f>
        <v>20200111160008324</v>
      </c>
      <c r="B5337" t="str">
        <f>"1578729608316403"</f>
        <v>1578729608316403</v>
      </c>
      <c r="C5337" t="s">
        <v>37</v>
      </c>
      <c r="D5337">
        <v>3.8887079999999998</v>
      </c>
      <c r="E5337">
        <v>0.30680879999999999</v>
      </c>
      <c r="F5337" t="s">
        <v>62</v>
      </c>
      <c r="G5337">
        <v>-270.99770000000001</v>
      </c>
      <c r="H5337">
        <v>4.5631159999999999</v>
      </c>
      <c r="I5337">
        <v>-91.564989999999995</v>
      </c>
      <c r="J5337">
        <v>-301.6585</v>
      </c>
      <c r="K5337">
        <v>1.106379</v>
      </c>
      <c r="L5337">
        <v>-29.801359999999999</v>
      </c>
      <c r="M5337">
        <v>-1.6244270000000002E-2</v>
      </c>
      <c r="N5337">
        <v>0</v>
      </c>
      <c r="O5337">
        <v>-0.99976100000000001</v>
      </c>
      <c r="P5337">
        <v>-6.6422850000000004E-3</v>
      </c>
      <c r="Q5337">
        <v>-1.8713440000000001E-2</v>
      </c>
      <c r="R5337">
        <v>-0.999803</v>
      </c>
      <c r="S5337">
        <v>1.4939879999999901</v>
      </c>
      <c r="T5337">
        <v>0.16843839999999999</v>
      </c>
      <c r="U5337">
        <v>-3.0200499999999999</v>
      </c>
      <c r="V5337">
        <v>-9.5811630000000002E-3</v>
      </c>
      <c r="W5337">
        <v>-4.1332879999999997E-3</v>
      </c>
      <c r="X5337">
        <v>0.99994559999999999</v>
      </c>
      <c r="Y5337">
        <v>-0.45735529999999902</v>
      </c>
      <c r="Z5337">
        <v>-4.9725529999999997E-2</v>
      </c>
      <c r="AA5337">
        <v>0.88789269999999998</v>
      </c>
      <c r="AB5337">
        <v>22</v>
      </c>
      <c r="AC5337">
        <v>30.660799999999899</v>
      </c>
      <c r="AD5337">
        <v>3.4567369999999999</v>
      </c>
      <c r="AE5337">
        <v>-61.763629999999999</v>
      </c>
      <c r="AF5337">
        <v>-31.580802528614601</v>
      </c>
      <c r="AG5337">
        <v>3.4567369999999999</v>
      </c>
      <c r="AH5337">
        <v>61.103807423074798</v>
      </c>
      <c r="AI5337">
        <v>87.122957745434505</v>
      </c>
      <c r="AJ5337">
        <v>117.33166342076601</v>
      </c>
      <c r="AK5337">
        <v>68.869234064527902</v>
      </c>
    </row>
    <row r="5338" spans="1:37" x14ac:dyDescent="0.2">
      <c r="A5338" t="str">
        <f>"20200111160008627"</f>
        <v>20200111160008627</v>
      </c>
      <c r="B5338" t="str">
        <f>"1578729608616545"</f>
        <v>1578729608616545</v>
      </c>
      <c r="C5338" t="s">
        <v>37</v>
      </c>
      <c r="D5338">
        <v>5.1782120000000003</v>
      </c>
      <c r="E5338">
        <v>0.49310690000000001</v>
      </c>
      <c r="F5338" t="s">
        <v>62</v>
      </c>
      <c r="G5338">
        <v>-274.8399</v>
      </c>
      <c r="H5338">
        <v>4.1559540000000004</v>
      </c>
      <c r="I5338">
        <v>-83.304119999999998</v>
      </c>
      <c r="J5338">
        <v>-301.59160000000003</v>
      </c>
      <c r="K5338">
        <v>1.106503</v>
      </c>
      <c r="L5338">
        <v>-32.706049999999998</v>
      </c>
      <c r="M5338">
        <v>2.925562E-2</v>
      </c>
      <c r="N5338">
        <v>0</v>
      </c>
      <c r="O5338">
        <v>-0.99946559999999995</v>
      </c>
      <c r="P5338">
        <v>6.3147709999999996E-2</v>
      </c>
      <c r="Q5338">
        <v>-1.4748529999999999E-2</v>
      </c>
      <c r="R5338">
        <v>-0.99789530000000004</v>
      </c>
      <c r="S5338">
        <v>1.5107120000000001</v>
      </c>
      <c r="T5338">
        <v>0.17178579999999999</v>
      </c>
      <c r="U5338">
        <v>-3.013855</v>
      </c>
      <c r="V5338">
        <v>-3.3922180000000003E-2</v>
      </c>
      <c r="W5338">
        <v>-3.4714689999999998E-4</v>
      </c>
      <c r="X5338">
        <v>0.99942439999999999</v>
      </c>
      <c r="Y5338">
        <v>-0.42117659999999901</v>
      </c>
      <c r="Z5338">
        <v>-5.1196899999999997E-2</v>
      </c>
      <c r="AA5338">
        <v>0.90553249999999996</v>
      </c>
      <c r="AB5338">
        <v>21</v>
      </c>
      <c r="AC5338">
        <v>26.7517</v>
      </c>
      <c r="AD5338">
        <v>3.0494509999999999</v>
      </c>
      <c r="AE5338">
        <v>-50.59807</v>
      </c>
      <c r="AF5338">
        <v>-25.1883088185958</v>
      </c>
      <c r="AG5338">
        <v>3.0494509999999999</v>
      </c>
      <c r="AH5338">
        <v>51.213746506447499</v>
      </c>
      <c r="AI5338">
        <v>86.941540578757795</v>
      </c>
      <c r="AJ5338">
        <v>116.18921007843301</v>
      </c>
      <c r="AK5338">
        <v>57.154158936765199</v>
      </c>
    </row>
    <row r="5339" spans="1:37" x14ac:dyDescent="0.2">
      <c r="A5339" t="str">
        <f>"20200111160008649"</f>
        <v>20200111160008649</v>
      </c>
      <c r="B5339" t="str">
        <f>"1578729608646799"</f>
        <v>1578729608646799</v>
      </c>
      <c r="C5339" t="s">
        <v>37</v>
      </c>
      <c r="D5339">
        <v>5.2098279999999999</v>
      </c>
      <c r="E5339">
        <v>0.49468849999999998</v>
      </c>
      <c r="F5339" t="s">
        <v>75</v>
      </c>
      <c r="G5339">
        <v>-300.12540000000001</v>
      </c>
      <c r="H5339" s="1">
        <v>-5.6009309999999998E-6</v>
      </c>
      <c r="I5339">
        <v>-50.122579999999999</v>
      </c>
      <c r="J5339">
        <v>-301.58049999999997</v>
      </c>
      <c r="K5339">
        <v>1.1065590000000001</v>
      </c>
      <c r="L5339">
        <v>-32.928530000000002</v>
      </c>
      <c r="M5339">
        <v>3.3074199999999998E-2</v>
      </c>
      <c r="N5339">
        <v>0</v>
      </c>
      <c r="O5339">
        <v>-0.99934669999999903</v>
      </c>
      <c r="P5339">
        <v>6.6073750000000001E-2</v>
      </c>
      <c r="Q5339">
        <v>-1.465957E-2</v>
      </c>
      <c r="R5339">
        <v>-0.99770729999999996</v>
      </c>
      <c r="S5339">
        <v>0.25149539999999998</v>
      </c>
      <c r="T5339">
        <v>-0.18980910000000001</v>
      </c>
      <c r="U5339">
        <v>-2.9876099999999899</v>
      </c>
      <c r="V5339">
        <v>-3.3034819999999999E-2</v>
      </c>
      <c r="W5339">
        <v>-2.5926919999999997E-4</v>
      </c>
      <c r="X5339">
        <v>0.99945409999999901</v>
      </c>
      <c r="Y5339">
        <v>-5.0707999999999899E-2</v>
      </c>
      <c r="Z5339">
        <v>6.3200270000000003E-2</v>
      </c>
      <c r="AA5339">
        <v>0.99671180000000004</v>
      </c>
      <c r="AB5339">
        <v>21</v>
      </c>
      <c r="AC5339">
        <v>1.4550999999999501</v>
      </c>
      <c r="AD5339">
        <v>-1.106564600931</v>
      </c>
      <c r="AE5339">
        <v>-17.194049999999901</v>
      </c>
      <c r="AF5339">
        <v>-0.88193703023203496</v>
      </c>
      <c r="AG5339">
        <v>-1.106564600931</v>
      </c>
      <c r="AH5339">
        <v>17.162194278462898</v>
      </c>
      <c r="AI5339">
        <v>93.684297976412594</v>
      </c>
      <c r="AJ5339">
        <v>92.9417485185526</v>
      </c>
      <c r="AK5339">
        <v>17.220430035078401</v>
      </c>
    </row>
    <row r="5340" spans="1:37" x14ac:dyDescent="0.2">
      <c r="A5340" t="str">
        <f>"20200111160008674"</f>
        <v>20200111160008674</v>
      </c>
      <c r="B5340" t="str">
        <f>"1578729608666319"</f>
        <v>1578729608666319</v>
      </c>
      <c r="C5340" t="s">
        <v>37</v>
      </c>
      <c r="D5340">
        <v>5.1839110000000002</v>
      </c>
      <c r="E5340">
        <v>0.49479879999999998</v>
      </c>
      <c r="F5340" t="s">
        <v>75</v>
      </c>
      <c r="G5340">
        <v>-300.05119999999999</v>
      </c>
      <c r="H5340" s="1">
        <v>-6.1575760000000003E-6</v>
      </c>
      <c r="I5340">
        <v>-51.434289999999997</v>
      </c>
      <c r="J5340">
        <v>-301.56849999999997</v>
      </c>
      <c r="K5340">
        <v>1.106619</v>
      </c>
      <c r="L5340">
        <v>-33.150449999999999</v>
      </c>
      <c r="M5340">
        <v>3.6976719999999998E-2</v>
      </c>
      <c r="N5340">
        <v>0</v>
      </c>
      <c r="O5340">
        <v>-0.99920980000000004</v>
      </c>
      <c r="P5340">
        <v>6.9445889999999996E-2</v>
      </c>
      <c r="Q5340">
        <v>-1.36291E-2</v>
      </c>
      <c r="R5340">
        <v>-0.99749239999999995</v>
      </c>
      <c r="S5340">
        <v>0.24691769999999999</v>
      </c>
      <c r="T5340">
        <v>-0.17866460000000001</v>
      </c>
      <c r="U5340">
        <v>-2.9879150000000001</v>
      </c>
      <c r="V5340">
        <v>-3.2515330000000002E-2</v>
      </c>
      <c r="W5340">
        <v>7.6848659999999996E-4</v>
      </c>
      <c r="X5340">
        <v>0.99947090000000005</v>
      </c>
      <c r="Y5340">
        <v>-4.5300739999999999E-2</v>
      </c>
      <c r="Z5340">
        <v>5.9496350000000003E-2</v>
      </c>
      <c r="AA5340">
        <v>0.99720010000000003</v>
      </c>
      <c r="AB5340">
        <v>21</v>
      </c>
      <c r="AC5340">
        <v>1.5172999999999699</v>
      </c>
      <c r="AD5340">
        <v>-1.106625157576</v>
      </c>
      <c r="AE5340">
        <v>-18.283840000000001</v>
      </c>
      <c r="AF5340">
        <v>-0.837068447115218</v>
      </c>
      <c r="AG5340">
        <v>-1.106625157576</v>
      </c>
      <c r="AH5340">
        <v>18.261007201913401</v>
      </c>
      <c r="AI5340">
        <v>93.464279838141096</v>
      </c>
      <c r="AJ5340">
        <v>92.624550717252902</v>
      </c>
      <c r="AK5340">
        <v>18.313647557296399</v>
      </c>
    </row>
    <row r="5341" spans="1:37" x14ac:dyDescent="0.2">
      <c r="A5341" t="str">
        <f>"20200111160008694"</f>
        <v>20200111160008694</v>
      </c>
      <c r="B5341" t="str">
        <f>"1578729608686815"</f>
        <v>1578729608686815</v>
      </c>
      <c r="C5341" t="s">
        <v>37</v>
      </c>
      <c r="D5341">
        <v>5.2095029999999998</v>
      </c>
      <c r="E5341">
        <v>0.49677339999999998</v>
      </c>
      <c r="F5341" t="s">
        <v>75</v>
      </c>
      <c r="G5341">
        <v>-300.00830000000002</v>
      </c>
      <c r="H5341" s="1">
        <v>-6.1113479999999999E-6</v>
      </c>
      <c r="I5341">
        <v>-51.326920000000001</v>
      </c>
      <c r="J5341">
        <v>-301.55680000000001</v>
      </c>
      <c r="K5341">
        <v>1.1066780000000001</v>
      </c>
      <c r="L5341">
        <v>-33.351199999999999</v>
      </c>
      <c r="M5341">
        <v>4.0597870000000001E-2</v>
      </c>
      <c r="N5341">
        <v>0</v>
      </c>
      <c r="O5341">
        <v>-0.99906930000000005</v>
      </c>
      <c r="P5341">
        <v>7.3181200000000002E-2</v>
      </c>
      <c r="Q5341">
        <v>-1.1810370000000001E-2</v>
      </c>
      <c r="R5341">
        <v>-0.99724889999999999</v>
      </c>
      <c r="S5341">
        <v>0.25640869999999999</v>
      </c>
      <c r="T5341">
        <v>-0.18186839999999899</v>
      </c>
      <c r="U5341">
        <v>-2.9872130000000001</v>
      </c>
      <c r="V5341">
        <v>-3.2644859999999998E-2</v>
      </c>
      <c r="W5341">
        <v>2.5823729999999998E-3</v>
      </c>
      <c r="X5341">
        <v>0.99946369999999896</v>
      </c>
      <c r="Y5341">
        <v>-4.483997E-2</v>
      </c>
      <c r="Z5341">
        <v>6.0553330000000002E-2</v>
      </c>
      <c r="AA5341">
        <v>0.99715730000000002</v>
      </c>
      <c r="AB5341">
        <v>21</v>
      </c>
      <c r="AC5341">
        <v>1.54849999999998</v>
      </c>
      <c r="AD5341">
        <v>-1.1066841113479999</v>
      </c>
      <c r="AE5341">
        <v>-17.975719999999999</v>
      </c>
      <c r="AF5341">
        <v>-0.814305918095098</v>
      </c>
      <c r="AG5341">
        <v>-1.1066841113479999</v>
      </c>
      <c r="AH5341">
        <v>17.956211268853401</v>
      </c>
      <c r="AI5341">
        <v>93.5232025352298</v>
      </c>
      <c r="AJ5341">
        <v>92.596558199597695</v>
      </c>
      <c r="AK5341">
        <v>18.0087025346707</v>
      </c>
    </row>
    <row r="5342" spans="1:37" x14ac:dyDescent="0.2">
      <c r="A5342" t="str">
        <f>"20200111160008717"</f>
        <v>20200111160008717</v>
      </c>
      <c r="B5342" t="str">
        <f>"1578729608706335"</f>
        <v>1578729608706335</v>
      </c>
      <c r="C5342" t="s">
        <v>37</v>
      </c>
      <c r="D5342">
        <v>5.2142460000000002</v>
      </c>
      <c r="E5342">
        <v>0.4976217</v>
      </c>
      <c r="F5342" t="s">
        <v>75</v>
      </c>
      <c r="G5342">
        <v>-299.85939999999999</v>
      </c>
      <c r="H5342" s="1">
        <v>-6.966588E-6</v>
      </c>
      <c r="I5342">
        <v>-53.538619999999902</v>
      </c>
      <c r="J5342">
        <v>-301.54349999999999</v>
      </c>
      <c r="K5342">
        <v>1.1067370000000001</v>
      </c>
      <c r="L5342">
        <v>-33.563510000000001</v>
      </c>
      <c r="M5342">
        <v>4.4524689999999999E-2</v>
      </c>
      <c r="N5342">
        <v>0</v>
      </c>
      <c r="O5342">
        <v>-0.99890199999999996</v>
      </c>
      <c r="P5342">
        <v>7.7786309999999997E-2</v>
      </c>
      <c r="Q5342">
        <v>-1.0112080000000001E-2</v>
      </c>
      <c r="R5342">
        <v>-0.99691890000000005</v>
      </c>
      <c r="S5342">
        <v>0.25122070000000002</v>
      </c>
      <c r="T5342">
        <v>-0.163799</v>
      </c>
      <c r="U5342">
        <v>-2.9879150000000001</v>
      </c>
      <c r="V5342">
        <v>-3.3340950000000001E-2</v>
      </c>
      <c r="W5342">
        <v>4.2722740000000004E-3</v>
      </c>
      <c r="X5342">
        <v>0.99943490000000001</v>
      </c>
      <c r="Y5342">
        <v>-3.9202540000000001E-2</v>
      </c>
      <c r="Z5342">
        <v>5.4540060000000001E-2</v>
      </c>
      <c r="AA5342">
        <v>0.99774169999999995</v>
      </c>
      <c r="AB5342">
        <v>21</v>
      </c>
      <c r="AC5342">
        <v>1.6840999999999999</v>
      </c>
      <c r="AD5342">
        <v>-1.1067439665879999</v>
      </c>
      <c r="AE5342">
        <v>-19.975109999999901</v>
      </c>
      <c r="AF5342">
        <v>-0.79053976887283095</v>
      </c>
      <c r="AG5342">
        <v>-1.1067439665879999</v>
      </c>
      <c r="AH5342">
        <v>19.969417878221801</v>
      </c>
      <c r="AI5342">
        <v>93.169720553338493</v>
      </c>
      <c r="AJ5342">
        <v>92.267014157504704</v>
      </c>
      <c r="AK5342">
        <v>20.015680995878999</v>
      </c>
    </row>
    <row r="5343" spans="1:37" x14ac:dyDescent="0.2">
      <c r="A5343" t="str">
        <f>"20200111160008738"</f>
        <v>20200111160008738</v>
      </c>
      <c r="B5343" t="str">
        <f>"1578729608736591"</f>
        <v>1578729608736591</v>
      </c>
      <c r="C5343" t="s">
        <v>37</v>
      </c>
      <c r="D5343">
        <v>5.2005299999999997</v>
      </c>
      <c r="E5343">
        <v>0.49807799999999902</v>
      </c>
      <c r="F5343" t="s">
        <v>75</v>
      </c>
      <c r="G5343">
        <v>-299.76350000000002</v>
      </c>
      <c r="H5343" s="1">
        <v>-6.9227599999999998E-6</v>
      </c>
      <c r="I5343">
        <v>-54.227719999999998</v>
      </c>
      <c r="J5343">
        <v>-301.52999999999997</v>
      </c>
      <c r="K5343">
        <v>1.106781</v>
      </c>
      <c r="L5343">
        <v>-33.765439999999998</v>
      </c>
      <c r="M5343">
        <v>4.8337730000000002E-2</v>
      </c>
      <c r="N5343">
        <v>0</v>
      </c>
      <c r="O5343">
        <v>-0.99872479999999997</v>
      </c>
      <c r="P5343">
        <v>8.2798269999999993E-2</v>
      </c>
      <c r="Q5343">
        <v>-9.3385959999999994E-3</v>
      </c>
      <c r="R5343">
        <v>-0.99652269999999898</v>
      </c>
      <c r="S5343">
        <v>0.25735469999999999</v>
      </c>
      <c r="T5343">
        <v>-0.16001019999999999</v>
      </c>
      <c r="U5343">
        <v>-2.9875790000000002</v>
      </c>
      <c r="V5343">
        <v>-3.4555570000000001E-2</v>
      </c>
      <c r="W5343">
        <v>5.0352050000000001E-3</v>
      </c>
      <c r="X5343">
        <v>0.99939009999999995</v>
      </c>
      <c r="Y5343">
        <v>-3.7436909999999997E-2</v>
      </c>
      <c r="Z5343">
        <v>5.3271110000000003E-2</v>
      </c>
      <c r="AA5343">
        <v>0.99787809999999899</v>
      </c>
      <c r="AB5343">
        <v>21</v>
      </c>
      <c r="AC5343">
        <v>1.76649999999995</v>
      </c>
      <c r="AD5343">
        <v>-1.1067879227599999</v>
      </c>
      <c r="AE5343">
        <v>-20.46228</v>
      </c>
      <c r="AF5343">
        <v>-0.77298471938493896</v>
      </c>
      <c r="AG5343">
        <v>-1.1067879227599999</v>
      </c>
      <c r="AH5343">
        <v>20.4643248482747</v>
      </c>
      <c r="AI5343">
        <v>93.093554146572103</v>
      </c>
      <c r="AJ5343">
        <v>92.163165285758197</v>
      </c>
      <c r="AK5343">
        <v>20.5088048500659</v>
      </c>
    </row>
    <row r="5344" spans="1:37" x14ac:dyDescent="0.2">
      <c r="A5344" t="str">
        <f>"20200111160008760"</f>
        <v>20200111160008760</v>
      </c>
      <c r="B5344" t="str">
        <f>"1578729608756111"</f>
        <v>1578729608756111</v>
      </c>
      <c r="C5344" t="s">
        <v>37</v>
      </c>
      <c r="D5344">
        <v>5.1851609999999999</v>
      </c>
      <c r="E5344">
        <v>0.49844159999999998</v>
      </c>
      <c r="F5344" t="s">
        <v>75</v>
      </c>
      <c r="G5344">
        <v>-299.70510000000002</v>
      </c>
      <c r="H5344" s="1">
        <v>-6.9618199999999997E-6</v>
      </c>
      <c r="I5344">
        <v>-54.062600000000003</v>
      </c>
      <c r="J5344">
        <v>-301.5154</v>
      </c>
      <c r="K5344">
        <v>1.106819</v>
      </c>
      <c r="L5344">
        <v>-33.970979999999997</v>
      </c>
      <c r="M5344">
        <v>5.2277499999999998E-2</v>
      </c>
      <c r="N5344">
        <v>0</v>
      </c>
      <c r="O5344">
        <v>-0.99852629999999998</v>
      </c>
      <c r="P5344">
        <v>8.8533609999999999E-2</v>
      </c>
      <c r="Q5344">
        <v>-8.9253919999999903E-3</v>
      </c>
      <c r="R5344">
        <v>-0.99603359999999996</v>
      </c>
      <c r="S5344">
        <v>0.26852419999999999</v>
      </c>
      <c r="T5344">
        <v>-0.1628587</v>
      </c>
      <c r="U5344">
        <v>-2.9866329999999999</v>
      </c>
      <c r="V5344">
        <v>-3.6368699999999997E-2</v>
      </c>
      <c r="W5344">
        <v>5.4338349999999997E-3</v>
      </c>
      <c r="X5344">
        <v>0.99932369999999904</v>
      </c>
      <c r="Y5344">
        <v>-3.722015E-2</v>
      </c>
      <c r="Z5344">
        <v>5.4208979999999997E-2</v>
      </c>
      <c r="AA5344">
        <v>0.99783569999999999</v>
      </c>
      <c r="AB5344">
        <v>21</v>
      </c>
      <c r="AC5344">
        <v>1.81029999999998</v>
      </c>
      <c r="AD5344">
        <v>-1.10682596182</v>
      </c>
      <c r="AE5344">
        <v>-20.091619999999999</v>
      </c>
      <c r="AF5344">
        <v>-0.75509977662198402</v>
      </c>
      <c r="AG5344">
        <v>-1.10682596182</v>
      </c>
      <c r="AH5344">
        <v>20.098285911959799</v>
      </c>
      <c r="AI5344">
        <v>93.149914816155203</v>
      </c>
      <c r="AJ5344">
        <v>92.151610915480305</v>
      </c>
      <c r="AK5344">
        <v>20.142897904256401</v>
      </c>
    </row>
    <row r="5345" spans="1:37" x14ac:dyDescent="0.2">
      <c r="A5345" t="str">
        <f>"20200111160008804"</f>
        <v>20200111160008804</v>
      </c>
      <c r="B5345" t="str">
        <f>"1578729608796127"</f>
        <v>1578729608796127</v>
      </c>
      <c r="C5345" t="s">
        <v>37</v>
      </c>
      <c r="D5345">
        <v>5.1014879999999998</v>
      </c>
      <c r="E5345">
        <v>0.57432830000000001</v>
      </c>
      <c r="F5345" t="s">
        <v>75</v>
      </c>
      <c r="G5345">
        <v>-299.61079999999998</v>
      </c>
      <c r="H5345" s="1">
        <v>-6.9938599999999998E-6</v>
      </c>
      <c r="I5345">
        <v>-54.072150000000001</v>
      </c>
      <c r="J5345">
        <v>-301.48349999999999</v>
      </c>
      <c r="K5345">
        <v>1.1068340000000001</v>
      </c>
      <c r="L5345">
        <v>-34.384159999999902</v>
      </c>
      <c r="M5345">
        <v>6.029553E-2</v>
      </c>
      <c r="N5345">
        <v>0</v>
      </c>
      <c r="O5345">
        <v>-0.99807449999999998</v>
      </c>
      <c r="P5345">
        <v>9.7698289999999993E-2</v>
      </c>
      <c r="Q5345">
        <v>-8.101568E-3</v>
      </c>
      <c r="R5345">
        <v>-0.99518329999999999</v>
      </c>
      <c r="S5345">
        <v>0.28286739999999999</v>
      </c>
      <c r="T5345">
        <v>-0.16438</v>
      </c>
      <c r="U5345">
        <v>-2.9853209999999999</v>
      </c>
      <c r="V5345">
        <v>-3.7545490000000001E-2</v>
      </c>
      <c r="W5345">
        <v>6.2458749999999997E-3</v>
      </c>
      <c r="X5345">
        <v>0.99927540000000004</v>
      </c>
      <c r="Y5345">
        <v>-3.3984149999999998E-2</v>
      </c>
      <c r="Z5345">
        <v>5.4691719999999999E-2</v>
      </c>
      <c r="AA5345">
        <v>0.99792479999999995</v>
      </c>
      <c r="AB5345">
        <v>21</v>
      </c>
      <c r="AC5345">
        <v>1.8727</v>
      </c>
      <c r="AD5345">
        <v>-1.1068409938599999</v>
      </c>
      <c r="AE5345">
        <v>-19.687989999999999</v>
      </c>
      <c r="AF5345">
        <v>-0.67993880286497299</v>
      </c>
      <c r="AG5345">
        <v>-1.1068409938599999</v>
      </c>
      <c r="AH5345">
        <v>19.703373031374898</v>
      </c>
      <c r="AI5345">
        <v>93.213314171344706</v>
      </c>
      <c r="AJ5345">
        <v>91.976421520803498</v>
      </c>
      <c r="AK5345">
        <v>19.746147031125901</v>
      </c>
    </row>
    <row r="5346" spans="1:37" x14ac:dyDescent="0.2">
      <c r="A5346" t="str">
        <f>"20200111160009184"</f>
        <v>20200111160009184</v>
      </c>
      <c r="B5346" t="str">
        <f>"1578729609176766"</f>
        <v>1578729609176766</v>
      </c>
      <c r="C5346" t="s">
        <v>37</v>
      </c>
      <c r="D5346">
        <v>8.7029960000000006</v>
      </c>
      <c r="E5346">
        <v>0.57432830000000001</v>
      </c>
      <c r="F5346" t="s">
        <v>75</v>
      </c>
      <c r="G5346">
        <v>-303.05739999999997</v>
      </c>
      <c r="H5346" s="1">
        <v>-6.0939290000000004E-6</v>
      </c>
      <c r="I5346">
        <v>-50.849640000000001</v>
      </c>
      <c r="J5346">
        <v>-301.0881</v>
      </c>
      <c r="K5346">
        <v>1.106509</v>
      </c>
      <c r="L5346">
        <v>-37.833009999999902</v>
      </c>
      <c r="M5346">
        <v>0.1258512</v>
      </c>
      <c r="N5346">
        <v>0</v>
      </c>
      <c r="O5346">
        <v>-0.99194369999999998</v>
      </c>
      <c r="P5346">
        <v>0.1708277</v>
      </c>
      <c r="Q5346">
        <v>-1.6303789999999999E-2</v>
      </c>
      <c r="R5346">
        <v>-0.98516630000000005</v>
      </c>
      <c r="S5346">
        <v>-0.29071039999999998</v>
      </c>
      <c r="T5346">
        <v>-0.2044473</v>
      </c>
      <c r="U5346">
        <v>-3.041382</v>
      </c>
      <c r="V5346">
        <v>-4.5461920000000003E-2</v>
      </c>
      <c r="W5346">
        <v>-2.0733349999999999E-3</v>
      </c>
      <c r="X5346">
        <v>0.99896390000000002</v>
      </c>
      <c r="Y5346">
        <v>0.219479799999999</v>
      </c>
      <c r="Z5346">
        <v>6.5303109999999998E-2</v>
      </c>
      <c r="AA5346">
        <v>0.97342909999999905</v>
      </c>
      <c r="AB5346">
        <v>20</v>
      </c>
      <c r="AC5346">
        <v>-1.9692999999999701</v>
      </c>
      <c r="AD5346">
        <v>-1.106515093929</v>
      </c>
      <c r="AE5346">
        <v>-13.016629999999999</v>
      </c>
      <c r="AF5346">
        <v>3.5667710255996901</v>
      </c>
      <c r="AG5346">
        <v>-1.106515093929</v>
      </c>
      <c r="AH5346">
        <v>12.5764024730573</v>
      </c>
      <c r="AI5346">
        <v>94.8382744395808</v>
      </c>
      <c r="AJ5346">
        <v>74.166228058599302</v>
      </c>
      <c r="AK5346">
        <v>13.1191512822465</v>
      </c>
    </row>
    <row r="5347" spans="1:37" x14ac:dyDescent="0.2">
      <c r="A5347" t="str">
        <f>"20200111160009207"</f>
        <v>20200111160009207</v>
      </c>
      <c r="B5347" t="str">
        <f>"1578729609196287"</f>
        <v>1578729609196287</v>
      </c>
      <c r="C5347" t="s">
        <v>37</v>
      </c>
      <c r="D5347">
        <v>5.0985120000000004</v>
      </c>
      <c r="E5347">
        <v>0.4057077</v>
      </c>
      <c r="F5347" t="s">
        <v>38</v>
      </c>
      <c r="G5347">
        <v>-301.10419999999999</v>
      </c>
      <c r="H5347">
        <v>1.051058</v>
      </c>
      <c r="I5347">
        <v>-38.576029999999903</v>
      </c>
      <c r="J5347">
        <v>-301.05860000000001</v>
      </c>
      <c r="K5347">
        <v>1.1064879999999999</v>
      </c>
      <c r="L5347">
        <v>-38.029789999999998</v>
      </c>
      <c r="M5347">
        <v>0.12956880000000001</v>
      </c>
      <c r="N5347">
        <v>0</v>
      </c>
      <c r="O5347">
        <v>-0.99146489999999998</v>
      </c>
      <c r="P5347">
        <v>0.17527699999999999</v>
      </c>
      <c r="Q5347">
        <v>-1.9676409999999998E-2</v>
      </c>
      <c r="R5347">
        <v>-0.98432249999999999</v>
      </c>
      <c r="S5347">
        <v>-6.607056E-2</v>
      </c>
      <c r="T5347">
        <v>-0.22792799999999999</v>
      </c>
      <c r="U5347">
        <v>-3.0528559999999998</v>
      </c>
      <c r="V5347">
        <v>-4.6221560000000002E-2</v>
      </c>
      <c r="W5347">
        <v>-5.455283E-3</v>
      </c>
      <c r="X5347">
        <v>0.99891629999999998</v>
      </c>
      <c r="Y5347">
        <v>0.15094639999999901</v>
      </c>
      <c r="Z5347">
        <v>7.3077000000000003E-2</v>
      </c>
      <c r="AA5347">
        <v>0.98583719999999997</v>
      </c>
      <c r="AB5347">
        <v>20</v>
      </c>
      <c r="AC5347">
        <v>-4.55999999999789E-2</v>
      </c>
      <c r="AD5347">
        <v>-5.5429999999999799E-2</v>
      </c>
      <c r="AE5347">
        <v>-0.54623999999998996</v>
      </c>
      <c r="AF5347">
        <v>0.114824402536637</v>
      </c>
      <c r="AG5347">
        <v>-5.5429999999999799E-2</v>
      </c>
      <c r="AH5347">
        <v>0.53030262428645702</v>
      </c>
      <c r="AI5347">
        <v>95.832980552574796</v>
      </c>
      <c r="AJ5347">
        <v>77.782565805741896</v>
      </c>
      <c r="AK5347">
        <v>0.54541543949818505</v>
      </c>
    </row>
    <row r="5348" spans="1:37" x14ac:dyDescent="0.2">
      <c r="A5348" t="str">
        <f>"20200111160009230"</f>
        <v>20200111160009230</v>
      </c>
      <c r="B5348" t="str">
        <f>"1578729609226543"</f>
        <v>1578729609226543</v>
      </c>
      <c r="C5348" t="s">
        <v>37</v>
      </c>
      <c r="D5348">
        <v>4.9370830000000003</v>
      </c>
      <c r="E5348">
        <v>0.3905788</v>
      </c>
      <c r="F5348" t="s">
        <v>75</v>
      </c>
      <c r="G5348">
        <v>-289.82639999999998</v>
      </c>
      <c r="H5348" s="1">
        <v>-3.0327920000000002E-6</v>
      </c>
      <c r="I5348">
        <v>-62.987180000000002</v>
      </c>
      <c r="J5348">
        <v>-301.02730000000003</v>
      </c>
      <c r="K5348">
        <v>1.1064670000000001</v>
      </c>
      <c r="L5348">
        <v>-38.23312</v>
      </c>
      <c r="M5348">
        <v>0.1334118</v>
      </c>
      <c r="N5348">
        <v>0</v>
      </c>
      <c r="O5348">
        <v>-0.99095519999999904</v>
      </c>
      <c r="P5348">
        <v>0.1800272</v>
      </c>
      <c r="Q5348">
        <v>-2.1877870000000001E-2</v>
      </c>
      <c r="R5348">
        <v>-0.98341849999999997</v>
      </c>
      <c r="S5348">
        <v>1.2688600000000001</v>
      </c>
      <c r="T5348">
        <v>-0.1249958</v>
      </c>
      <c r="U5348">
        <v>-2.8193359999999998</v>
      </c>
      <c r="V5348">
        <v>-4.7166350000000003E-2</v>
      </c>
      <c r="W5348">
        <v>-7.6671469999999896E-3</v>
      </c>
      <c r="X5348">
        <v>0.99885759999999901</v>
      </c>
      <c r="Y5348">
        <v>-0.28472370000000002</v>
      </c>
      <c r="Z5348">
        <v>4.0819380000000002E-2</v>
      </c>
      <c r="AA5348">
        <v>0.95774020000000004</v>
      </c>
      <c r="AB5348">
        <v>20</v>
      </c>
      <c r="AC5348">
        <v>11.200900000000001</v>
      </c>
      <c r="AD5348">
        <v>-1.1064700327920001</v>
      </c>
      <c r="AE5348">
        <v>-24.754059999999999</v>
      </c>
      <c r="AF5348">
        <v>-7.7850109239784198</v>
      </c>
      <c r="AG5348">
        <v>-1.1064700327920001</v>
      </c>
      <c r="AH5348">
        <v>25.984125498968499</v>
      </c>
      <c r="AI5348">
        <v>92.335862370443493</v>
      </c>
      <c r="AJ5348">
        <v>106.67855370161701</v>
      </c>
      <c r="AK5348">
        <v>27.147844278433499</v>
      </c>
    </row>
    <row r="5349" spans="1:37" x14ac:dyDescent="0.2">
      <c r="A5349" t="str">
        <f>"20200111160009251"</f>
        <v>20200111160009251</v>
      </c>
      <c r="B5349" t="str">
        <f>"1578729609246062"</f>
        <v>1578729609246062</v>
      </c>
      <c r="C5349" t="s">
        <v>37</v>
      </c>
      <c r="D5349">
        <v>4.955686</v>
      </c>
      <c r="E5349">
        <v>0.38857459999999899</v>
      </c>
      <c r="F5349" t="s">
        <v>75</v>
      </c>
      <c r="G5349">
        <v>-294.226</v>
      </c>
      <c r="H5349" s="1">
        <v>-9.1469129999999993E-6</v>
      </c>
      <c r="I5349">
        <v>-51.73433</v>
      </c>
      <c r="J5349">
        <v>-300.99650000000003</v>
      </c>
      <c r="K5349">
        <v>1.106457</v>
      </c>
      <c r="L5349">
        <v>-38.428890000000003</v>
      </c>
      <c r="M5349">
        <v>0.1371116</v>
      </c>
      <c r="N5349">
        <v>0</v>
      </c>
      <c r="O5349">
        <v>-0.9904501</v>
      </c>
      <c r="P5349">
        <v>0.18385209999999999</v>
      </c>
      <c r="Q5349">
        <v>-2.265294E-2</v>
      </c>
      <c r="R5349">
        <v>-0.98269300000000004</v>
      </c>
      <c r="S5349">
        <v>1.404663</v>
      </c>
      <c r="T5349">
        <v>-0.2285169</v>
      </c>
      <c r="U5349">
        <v>-2.7883610000000001</v>
      </c>
      <c r="V5349">
        <v>-4.732132E-2</v>
      </c>
      <c r="W5349">
        <v>-8.4477089999999994E-3</v>
      </c>
      <c r="X5349">
        <v>0.99884399999999995</v>
      </c>
      <c r="Y5349">
        <v>-0.32194859999999997</v>
      </c>
      <c r="Z5349">
        <v>7.3966359999999995E-2</v>
      </c>
      <c r="AA5349">
        <v>0.94386329999999996</v>
      </c>
      <c r="AB5349">
        <v>20</v>
      </c>
      <c r="AC5349">
        <v>6.7705000000000197</v>
      </c>
      <c r="AD5349">
        <v>-1.1064661469129999</v>
      </c>
      <c r="AE5349">
        <v>-13.3054399999999</v>
      </c>
      <c r="AF5349">
        <v>-4.8553516102135497</v>
      </c>
      <c r="AG5349">
        <v>-1.1064661469129999</v>
      </c>
      <c r="AH5349">
        <v>14.0310889870384</v>
      </c>
      <c r="AI5349">
        <v>94.2619437729944</v>
      </c>
      <c r="AJ5349">
        <v>109.087789299951</v>
      </c>
      <c r="AK5349">
        <v>14.8885917653503</v>
      </c>
    </row>
    <row r="5350" spans="1:37" x14ac:dyDescent="0.2">
      <c r="A5350" t="str">
        <f>"20200111160009275"</f>
        <v>20200111160009275</v>
      </c>
      <c r="B5350" t="str">
        <f>"1578729609266559"</f>
        <v>1578729609266559</v>
      </c>
      <c r="C5350" t="s">
        <v>37</v>
      </c>
      <c r="D5350">
        <v>4.9646189999999999</v>
      </c>
      <c r="E5350">
        <v>0.38806469999999998</v>
      </c>
      <c r="F5350" t="s">
        <v>75</v>
      </c>
      <c r="G5350">
        <v>-294.51639999999998</v>
      </c>
      <c r="H5350" s="1">
        <v>-9.12706E-6</v>
      </c>
      <c r="I5350">
        <v>-51.004489999999997</v>
      </c>
      <c r="J5350">
        <v>-300.96409999999997</v>
      </c>
      <c r="K5350">
        <v>1.106444</v>
      </c>
      <c r="L5350">
        <v>-38.629730000000002</v>
      </c>
      <c r="M5350">
        <v>0.14090800000000001</v>
      </c>
      <c r="N5350">
        <v>0</v>
      </c>
      <c r="O5350">
        <v>-0.98991739999999995</v>
      </c>
      <c r="P5350">
        <v>0.185944</v>
      </c>
      <c r="Q5350">
        <v>-2.1372059999999998E-2</v>
      </c>
      <c r="R5350">
        <v>-0.98232839999999999</v>
      </c>
      <c r="S5350">
        <v>1.432129</v>
      </c>
      <c r="T5350">
        <v>-0.24453409999999901</v>
      </c>
      <c r="U5350">
        <v>-2.7792659999999998</v>
      </c>
      <c r="V5350">
        <v>-4.5620899999999999E-2</v>
      </c>
      <c r="W5350">
        <v>-7.1615519999999998E-3</v>
      </c>
      <c r="X5350">
        <v>0.99893310000000002</v>
      </c>
      <c r="Y5350">
        <v>-0.32677729999999999</v>
      </c>
      <c r="Z5350">
        <v>7.9047599999999996E-2</v>
      </c>
      <c r="AA5350">
        <v>0.94178989999999996</v>
      </c>
      <c r="AB5350">
        <v>20</v>
      </c>
      <c r="AC5350">
        <v>6.4476999999999904</v>
      </c>
      <c r="AD5350">
        <v>-1.10645312706</v>
      </c>
      <c r="AE5350">
        <v>-12.37476</v>
      </c>
      <c r="AF5350">
        <v>-4.6104826096656302</v>
      </c>
      <c r="AG5350">
        <v>-1.10645312706</v>
      </c>
      <c r="AH5350">
        <v>13.077667751035101</v>
      </c>
      <c r="AI5350">
        <v>94.562125541359407</v>
      </c>
      <c r="AJ5350">
        <v>109.419910711829</v>
      </c>
      <c r="AK5350">
        <v>13.910649956881</v>
      </c>
    </row>
    <row r="5351" spans="1:37" x14ac:dyDescent="0.2">
      <c r="A5351" t="str">
        <f>"20200111160009297"</f>
        <v>20200111160009297</v>
      </c>
      <c r="B5351" t="str">
        <f>"1578729609286079"</f>
        <v>1578729609286079</v>
      </c>
      <c r="C5351" t="s">
        <v>37</v>
      </c>
      <c r="D5351">
        <v>4.997439</v>
      </c>
      <c r="E5351">
        <v>0.38790799999999998</v>
      </c>
      <c r="F5351" t="s">
        <v>75</v>
      </c>
      <c r="G5351">
        <v>-294.54349999999999</v>
      </c>
      <c r="H5351" s="1">
        <v>-9.120124E-6</v>
      </c>
      <c r="I5351">
        <v>-50.981479999999998</v>
      </c>
      <c r="J5351">
        <v>-300.9314</v>
      </c>
      <c r="K5351">
        <v>1.1064319999999901</v>
      </c>
      <c r="L5351">
        <v>-38.827390000000001</v>
      </c>
      <c r="M5351">
        <v>0.14464569999999999</v>
      </c>
      <c r="N5351">
        <v>0</v>
      </c>
      <c r="O5351">
        <v>-0.98937819999999899</v>
      </c>
      <c r="P5351">
        <v>0.1875561</v>
      </c>
      <c r="Q5351">
        <v>-2.0765720000000001E-2</v>
      </c>
      <c r="R5351">
        <v>-0.98203449999999903</v>
      </c>
      <c r="S5351">
        <v>1.4427190000000001</v>
      </c>
      <c r="T5351">
        <v>-0.24862399999999901</v>
      </c>
      <c r="U5351">
        <v>-2.7754819999999998</v>
      </c>
      <c r="V5351">
        <v>-4.3489880000000002E-2</v>
      </c>
      <c r="W5351">
        <v>-6.5478009999999998E-3</v>
      </c>
      <c r="X5351">
        <v>0.99903240000000004</v>
      </c>
      <c r="Y5351">
        <v>-0.32651790000000003</v>
      </c>
      <c r="Z5351">
        <v>8.0328780000000002E-2</v>
      </c>
      <c r="AA5351">
        <v>0.94177140000000004</v>
      </c>
      <c r="AB5351">
        <v>20</v>
      </c>
      <c r="AC5351">
        <v>6.3879000000000001</v>
      </c>
      <c r="AD5351">
        <v>-1.1064411201240001</v>
      </c>
      <c r="AE5351">
        <v>-12.154089999999901</v>
      </c>
      <c r="AF5351">
        <v>-4.53305194932428</v>
      </c>
      <c r="AG5351">
        <v>-1.1064411201240001</v>
      </c>
      <c r="AH5351">
        <v>12.866772319046801</v>
      </c>
      <c r="AI5351">
        <v>94.636874929853803</v>
      </c>
      <c r="AJ5351">
        <v>109.40770968778</v>
      </c>
      <c r="AK5351">
        <v>13.686730867441</v>
      </c>
    </row>
    <row r="5352" spans="1:37" x14ac:dyDescent="0.2">
      <c r="A5352" t="str">
        <f>"20200111160009320"</f>
        <v>20200111160009320</v>
      </c>
      <c r="B5352" t="str">
        <f>"1578729609316334"</f>
        <v>1578729609316334</v>
      </c>
      <c r="C5352" t="s">
        <v>37</v>
      </c>
      <c r="D5352">
        <v>5.0129609999999998</v>
      </c>
      <c r="E5352">
        <v>0.38739479999999998</v>
      </c>
      <c r="F5352" t="s">
        <v>75</v>
      </c>
      <c r="G5352">
        <v>-294.56889999999999</v>
      </c>
      <c r="H5352" s="1">
        <v>-9.108588E-6</v>
      </c>
      <c r="I5352">
        <v>-51.005009999999999</v>
      </c>
      <c r="J5352">
        <v>-300.89839999999998</v>
      </c>
      <c r="K5352">
        <v>1.1064179999999999</v>
      </c>
      <c r="L5352">
        <v>-39.022669999999998</v>
      </c>
      <c r="M5352">
        <v>0.14833879999999999</v>
      </c>
      <c r="N5352">
        <v>0</v>
      </c>
      <c r="O5352">
        <v>-0.98883129999999997</v>
      </c>
      <c r="P5352">
        <v>0.18975449999999999</v>
      </c>
      <c r="Q5352">
        <v>-2.137994E-2</v>
      </c>
      <c r="R5352">
        <v>-0.98159920000000001</v>
      </c>
      <c r="S5352">
        <v>1.448761</v>
      </c>
      <c r="T5352">
        <v>-0.251938</v>
      </c>
      <c r="U5352">
        <v>-2.7728579999999998</v>
      </c>
      <c r="V5352">
        <v>-4.1995749999999998E-2</v>
      </c>
      <c r="W5352">
        <v>-7.15848599999999E-3</v>
      </c>
      <c r="X5352">
        <v>0.99909219999999899</v>
      </c>
      <c r="Y5352">
        <v>-0.32492850000000001</v>
      </c>
      <c r="Z5352">
        <v>8.1376599999999993E-2</v>
      </c>
      <c r="AA5352">
        <v>0.94223099999999904</v>
      </c>
      <c r="AB5352">
        <v>20</v>
      </c>
      <c r="AC5352">
        <v>6.3294999999999897</v>
      </c>
      <c r="AD5352">
        <v>-1.106427108588</v>
      </c>
      <c r="AE5352">
        <v>-11.982340000000001</v>
      </c>
      <c r="AF5352">
        <v>-4.4521494221367703</v>
      </c>
      <c r="AG5352">
        <v>-1.106427108588</v>
      </c>
      <c r="AH5352">
        <v>12.704066749768501</v>
      </c>
      <c r="AI5352">
        <v>94.698652622312594</v>
      </c>
      <c r="AJ5352">
        <v>109.31304942339</v>
      </c>
      <c r="AK5352">
        <v>13.5070029024289</v>
      </c>
    </row>
    <row r="5353" spans="1:37" x14ac:dyDescent="0.2">
      <c r="A5353" t="str">
        <f>"20200111160009340"</f>
        <v>20200111160009340</v>
      </c>
      <c r="B5353" t="str">
        <f>"1578729609336830"</f>
        <v>1578729609336830</v>
      </c>
      <c r="C5353" t="s">
        <v>37</v>
      </c>
      <c r="D5353">
        <v>4.9696379999999998</v>
      </c>
      <c r="E5353">
        <v>0.38762609999999997</v>
      </c>
      <c r="F5353" t="s">
        <v>75</v>
      </c>
      <c r="G5353">
        <v>-294.67919999999998</v>
      </c>
      <c r="H5353" s="1">
        <v>-9.0897720000000007E-6</v>
      </c>
      <c r="I5353">
        <v>-50.82808</v>
      </c>
      <c r="J5353">
        <v>-300.86660000000001</v>
      </c>
      <c r="K5353">
        <v>1.1064099999999999</v>
      </c>
      <c r="L5353">
        <v>-39.20682</v>
      </c>
      <c r="M5353">
        <v>0.15182300000000001</v>
      </c>
      <c r="N5353">
        <v>0</v>
      </c>
      <c r="O5353">
        <v>-0.98830239999999903</v>
      </c>
      <c r="P5353">
        <v>0.19321089999999999</v>
      </c>
      <c r="Q5353">
        <v>-2.2178179999999999E-2</v>
      </c>
      <c r="R5353">
        <v>-0.98090679999999997</v>
      </c>
      <c r="S5353">
        <v>1.4585569999999899</v>
      </c>
      <c r="T5353">
        <v>-0.25948329999999997</v>
      </c>
      <c r="U5353">
        <v>-2.7686459999999999</v>
      </c>
      <c r="V5353">
        <v>-4.1992630000000003E-2</v>
      </c>
      <c r="W5353">
        <v>-7.9612139999999994E-3</v>
      </c>
      <c r="X5353">
        <v>0.99908619999999904</v>
      </c>
      <c r="Y5353">
        <v>-0.32470500000000002</v>
      </c>
      <c r="Z5353">
        <v>8.3778999999999895E-2</v>
      </c>
      <c r="AA5353">
        <v>0.94209750000000003</v>
      </c>
      <c r="AB5353">
        <v>20</v>
      </c>
      <c r="AC5353">
        <v>6.1874000000000198</v>
      </c>
      <c r="AD5353">
        <v>-1.1064190897720001</v>
      </c>
      <c r="AE5353">
        <v>-11.621259999999999</v>
      </c>
      <c r="AF5353">
        <v>-4.3205872519973498</v>
      </c>
      <c r="AG5353">
        <v>-1.1064190897720001</v>
      </c>
      <c r="AH5353">
        <v>12.338861223721601</v>
      </c>
      <c r="AI5353">
        <v>94.837473283271706</v>
      </c>
      <c r="AJ5353">
        <v>109.298260699541</v>
      </c>
      <c r="AK5353">
        <v>13.120180399011099</v>
      </c>
    </row>
    <row r="5354" spans="1:37" x14ac:dyDescent="0.2">
      <c r="A5354" t="str">
        <f>"20200111160009364"</f>
        <v>20200111160009364</v>
      </c>
      <c r="B5354" t="str">
        <f>"1578729609356351"</f>
        <v>1578729609356351</v>
      </c>
      <c r="C5354" t="s">
        <v>37</v>
      </c>
      <c r="D5354">
        <v>4.9156750000000002</v>
      </c>
      <c r="E5354">
        <v>0.38781959999999999</v>
      </c>
      <c r="F5354" t="s">
        <v>75</v>
      </c>
      <c r="G5354">
        <v>-294.77940000000001</v>
      </c>
      <c r="H5354" s="1">
        <v>-9.0715669999999994E-6</v>
      </c>
      <c r="I5354">
        <v>-50.677149999999997</v>
      </c>
      <c r="J5354">
        <v>-300.83049999999997</v>
      </c>
      <c r="K5354">
        <v>1.1064099999999999</v>
      </c>
      <c r="L5354">
        <v>-39.410769999999999</v>
      </c>
      <c r="M5354">
        <v>0.15568570000000001</v>
      </c>
      <c r="N5354">
        <v>0</v>
      </c>
      <c r="O5354">
        <v>-0.9877013</v>
      </c>
      <c r="P5354">
        <v>0.198376</v>
      </c>
      <c r="Q5354">
        <v>-2.2072189999999998E-2</v>
      </c>
      <c r="R5354">
        <v>-0.97987739999999901</v>
      </c>
      <c r="S5354">
        <v>1.466553</v>
      </c>
      <c r="T5354">
        <v>-0.26656409999999903</v>
      </c>
      <c r="U5354">
        <v>-2.7634889999999999</v>
      </c>
      <c r="V5354">
        <v>-4.3350369999999999E-2</v>
      </c>
      <c r="W5354">
        <v>-7.8674720000000004E-3</v>
      </c>
      <c r="X5354">
        <v>0.99902899999999994</v>
      </c>
      <c r="Y5354">
        <v>-0.32377099999999998</v>
      </c>
      <c r="Z5354">
        <v>8.6069049999999994E-2</v>
      </c>
      <c r="AA5354">
        <v>0.94221259999999996</v>
      </c>
      <c r="AB5354">
        <v>20</v>
      </c>
      <c r="AC5354">
        <v>6.05109999999996</v>
      </c>
      <c r="AD5354">
        <v>-1.1064190715669999</v>
      </c>
      <c r="AE5354">
        <v>-11.2663799999999</v>
      </c>
      <c r="AF5354">
        <v>-4.1917291037700801</v>
      </c>
      <c r="AG5354">
        <v>-1.1064190715669999</v>
      </c>
      <c r="AH5354">
        <v>11.981461821777099</v>
      </c>
      <c r="AI5354">
        <v>94.981535063252295</v>
      </c>
      <c r="AJ5354">
        <v>109.282451977668</v>
      </c>
      <c r="AK5354">
        <v>12.741671139533601</v>
      </c>
    </row>
    <row r="5355" spans="1:37" x14ac:dyDescent="0.2">
      <c r="A5355" t="str">
        <f>"20200111160009386"</f>
        <v>20200111160009386</v>
      </c>
      <c r="B5355" t="str">
        <f>"1578729609376847"</f>
        <v>1578729609376847</v>
      </c>
      <c r="C5355" t="s">
        <v>37</v>
      </c>
      <c r="D5355">
        <v>4.9583279999999998</v>
      </c>
      <c r="E5355">
        <v>0.38799099999999997</v>
      </c>
      <c r="F5355" t="s">
        <v>75</v>
      </c>
      <c r="G5355">
        <v>-294.70859999999999</v>
      </c>
      <c r="H5355" s="1">
        <v>-9.0812469999999905E-6</v>
      </c>
      <c r="I5355">
        <v>-50.812080000000002</v>
      </c>
      <c r="J5355">
        <v>-300.7971</v>
      </c>
      <c r="K5355">
        <v>1.1064129999999901</v>
      </c>
      <c r="L5355">
        <v>-39.595700000000001</v>
      </c>
      <c r="M5355">
        <v>0.1591948</v>
      </c>
      <c r="N5355">
        <v>0</v>
      </c>
      <c r="O5355">
        <v>-0.98714169999999901</v>
      </c>
      <c r="P5355">
        <v>0.20414119999999999</v>
      </c>
      <c r="Q5355">
        <v>-2.099502E-2</v>
      </c>
      <c r="R5355">
        <v>-0.97871629999999998</v>
      </c>
      <c r="S5355">
        <v>1.4798279999999999</v>
      </c>
      <c r="T5355">
        <v>-0.26744899999999999</v>
      </c>
      <c r="U5355">
        <v>-2.7559809999999998</v>
      </c>
      <c r="V5355">
        <v>-4.5682460000000001E-2</v>
      </c>
      <c r="W5355">
        <v>-6.8072999999999996E-3</v>
      </c>
      <c r="X5355">
        <v>0.99893279999999995</v>
      </c>
      <c r="Y5355">
        <v>-0.32498929999999998</v>
      </c>
      <c r="Z5355">
        <v>8.6374279999999998E-2</v>
      </c>
      <c r="AA5355">
        <v>0.94176510000000002</v>
      </c>
      <c r="AB5355">
        <v>20</v>
      </c>
      <c r="AC5355">
        <v>6.0885000000000096</v>
      </c>
      <c r="AD5355">
        <v>-1.10642208124699</v>
      </c>
      <c r="AE5355">
        <v>-11.216379999999999</v>
      </c>
      <c r="AF5355">
        <v>-4.1935445645836396</v>
      </c>
      <c r="AG5355">
        <v>-1.10642208124699</v>
      </c>
      <c r="AH5355">
        <v>11.9528316784114</v>
      </c>
      <c r="AI5355">
        <v>94.991886039137498</v>
      </c>
      <c r="AJ5355">
        <v>109.33296701943</v>
      </c>
      <c r="AK5355">
        <v>12.715351783157899</v>
      </c>
    </row>
    <row r="5356" spans="1:37" x14ac:dyDescent="0.2">
      <c r="A5356" t="str">
        <f>"20200111160009408"</f>
        <v>20200111160009408</v>
      </c>
      <c r="B5356" t="str">
        <f>"1578729609396367"</f>
        <v>1578729609396367</v>
      </c>
      <c r="C5356" t="s">
        <v>37</v>
      </c>
      <c r="D5356">
        <v>4.9510350000000001</v>
      </c>
      <c r="E5356">
        <v>0.3880731</v>
      </c>
      <c r="F5356" t="s">
        <v>75</v>
      </c>
      <c r="G5356">
        <v>-294.51179999999999</v>
      </c>
      <c r="H5356" s="1">
        <v>-9.1127509999999995E-6</v>
      </c>
      <c r="I5356">
        <v>-51.146090000000001</v>
      </c>
      <c r="J5356">
        <v>-300.76119999999997</v>
      </c>
      <c r="K5356">
        <v>1.1064259999999999</v>
      </c>
      <c r="L5356">
        <v>-39.790039999999998</v>
      </c>
      <c r="M5356">
        <v>0.16289319999999999</v>
      </c>
      <c r="N5356">
        <v>0</v>
      </c>
      <c r="O5356">
        <v>-0.98653829999999998</v>
      </c>
      <c r="P5356">
        <v>0.21117569999999999</v>
      </c>
      <c r="Q5356">
        <v>-1.910533E-2</v>
      </c>
      <c r="R5356">
        <v>-0.97726109999999899</v>
      </c>
      <c r="S5356">
        <v>1.495209</v>
      </c>
      <c r="T5356">
        <v>-0.26320579999999999</v>
      </c>
      <c r="U5356">
        <v>-2.7477109999999998</v>
      </c>
      <c r="V5356">
        <v>-4.9125620000000002E-2</v>
      </c>
      <c r="W5356">
        <v>-4.9409399999999996E-3</v>
      </c>
      <c r="X5356">
        <v>0.99878040000000001</v>
      </c>
      <c r="Y5356">
        <v>-0.32675939999999998</v>
      </c>
      <c r="Z5356">
        <v>8.5026969999999993E-2</v>
      </c>
      <c r="AA5356">
        <v>0.94127510000000003</v>
      </c>
      <c r="AB5356">
        <v>20</v>
      </c>
      <c r="AC5356">
        <v>6.2493999999999801</v>
      </c>
      <c r="AD5356">
        <v>-1.1064351127509999</v>
      </c>
      <c r="AE5356">
        <v>-11.3560499999999</v>
      </c>
      <c r="AF5356">
        <v>-4.2846787310516197</v>
      </c>
      <c r="AG5356">
        <v>-1.1064351127509999</v>
      </c>
      <c r="AH5356">
        <v>12.1340226081323</v>
      </c>
      <c r="AI5356">
        <v>94.914290425608897</v>
      </c>
      <c r="AJ5356">
        <v>109.44877857053601</v>
      </c>
      <c r="AK5356">
        <v>12.9157723401166</v>
      </c>
    </row>
    <row r="5357" spans="1:37" x14ac:dyDescent="0.2">
      <c r="A5357" t="str">
        <f>"20200111160009430"</f>
        <v>20200111160009430</v>
      </c>
      <c r="B5357" t="str">
        <f>"1578729609426622"</f>
        <v>1578729609426622</v>
      </c>
      <c r="C5357" t="s">
        <v>37</v>
      </c>
      <c r="D5357">
        <v>4.9561589999999898</v>
      </c>
      <c r="E5357">
        <v>0.38837270000000002</v>
      </c>
      <c r="F5357" t="s">
        <v>75</v>
      </c>
      <c r="G5357">
        <v>-294.27609999999999</v>
      </c>
      <c r="H5357" s="1">
        <v>-9.1544949999999998E-6</v>
      </c>
      <c r="I5357">
        <v>-51.510529999999903</v>
      </c>
      <c r="J5357">
        <v>-300.72550000000001</v>
      </c>
      <c r="K5357">
        <v>1.1064369999999999</v>
      </c>
      <c r="L5357">
        <v>-39.979459999999897</v>
      </c>
      <c r="M5357">
        <v>0.16650680000000001</v>
      </c>
      <c r="N5357">
        <v>0</v>
      </c>
      <c r="O5357">
        <v>-0.98593509999999995</v>
      </c>
      <c r="P5357">
        <v>0.21792439999999999</v>
      </c>
      <c r="Q5357">
        <v>-1.6858430000000001E-2</v>
      </c>
      <c r="R5357">
        <v>-0.97582029999999997</v>
      </c>
      <c r="S5357">
        <v>1.5146790000000001</v>
      </c>
      <c r="T5357">
        <v>-0.25842080000000001</v>
      </c>
      <c r="U5357">
        <v>-2.737457</v>
      </c>
      <c r="V5357">
        <v>-5.237149E-2</v>
      </c>
      <c r="W5357">
        <v>-2.7163959999999998E-3</v>
      </c>
      <c r="X5357">
        <v>0.99862399999999996</v>
      </c>
      <c r="Y5357">
        <v>-0.32997909999999903</v>
      </c>
      <c r="Z5357">
        <v>8.3506150000000001E-2</v>
      </c>
      <c r="AA5357">
        <v>0.94028750000000005</v>
      </c>
      <c r="AB5357">
        <v>20</v>
      </c>
      <c r="AC5357">
        <v>6.4494000000000202</v>
      </c>
      <c r="AD5357">
        <v>-1.1064461544949999</v>
      </c>
      <c r="AE5357">
        <v>-11.53107</v>
      </c>
      <c r="AF5357">
        <v>-4.4082330408968504</v>
      </c>
      <c r="AG5357">
        <v>-1.1064461544949999</v>
      </c>
      <c r="AH5357">
        <v>12.3573819763575</v>
      </c>
      <c r="AI5357">
        <v>94.820464553186198</v>
      </c>
      <c r="AJ5357">
        <v>109.632777127856</v>
      </c>
      <c r="AK5357">
        <v>13.166686407189101</v>
      </c>
    </row>
    <row r="5358" spans="1:37" x14ac:dyDescent="0.2">
      <c r="A5358" t="str">
        <f>"20200111160009464"</f>
        <v>20200111160009464</v>
      </c>
      <c r="B5358" t="str">
        <f>"1578729609455905"</f>
        <v>1578729609455905</v>
      </c>
      <c r="C5358" t="s">
        <v>37</v>
      </c>
      <c r="D5358">
        <v>4.9825299999999997</v>
      </c>
      <c r="E5358">
        <v>0.38875470000000001</v>
      </c>
      <c r="F5358" t="s">
        <v>75</v>
      </c>
      <c r="G5358">
        <v>-294.06630000000001</v>
      </c>
      <c r="H5358" s="1">
        <v>-9.1909079999999904E-6</v>
      </c>
      <c r="I5358">
        <v>-51.841549999999998</v>
      </c>
      <c r="J5358">
        <v>-300.66879999999998</v>
      </c>
      <c r="K5358">
        <v>1.1064449999999999</v>
      </c>
      <c r="L5358">
        <v>-40.272950000000002</v>
      </c>
      <c r="M5358">
        <v>0.17212659999999999</v>
      </c>
      <c r="N5358">
        <v>0</v>
      </c>
      <c r="O5358">
        <v>-0.98496980000000001</v>
      </c>
      <c r="P5358">
        <v>0.2255375</v>
      </c>
      <c r="Q5358">
        <v>-1.375094E-2</v>
      </c>
      <c r="R5358">
        <v>-0.97413780000000005</v>
      </c>
      <c r="S5358">
        <v>1.531433</v>
      </c>
      <c r="T5358">
        <v>-0.25445059999999903</v>
      </c>
      <c r="U5358">
        <v>-2.7279360000000001</v>
      </c>
      <c r="V5358">
        <v>-5.4480559999999997E-2</v>
      </c>
      <c r="W5358">
        <v>3.7271180000000002E-4</v>
      </c>
      <c r="X5358">
        <v>0.99851480000000004</v>
      </c>
      <c r="Y5358">
        <v>-0.33044179999999901</v>
      </c>
      <c r="Z5358">
        <v>8.2238629999999993E-2</v>
      </c>
      <c r="AA5358">
        <v>0.94023670000000004</v>
      </c>
      <c r="AB5358">
        <v>20</v>
      </c>
      <c r="AC5358">
        <v>6.6024999999999601</v>
      </c>
      <c r="AD5358">
        <v>-1.1064541909079999</v>
      </c>
      <c r="AE5358">
        <v>-11.568599999999901</v>
      </c>
      <c r="AF5358">
        <v>-4.4815434465845501</v>
      </c>
      <c r="AG5358">
        <v>-1.1064541909079999</v>
      </c>
      <c r="AH5358">
        <v>12.4466023286558</v>
      </c>
      <c r="AI5358">
        <v>94.7810659317052</v>
      </c>
      <c r="AJ5358">
        <v>109.802000362318</v>
      </c>
      <c r="AK5358">
        <v>13.275028514768</v>
      </c>
    </row>
    <row r="5359" spans="1:37" x14ac:dyDescent="0.2">
      <c r="A5359" t="str">
        <f>"20200111160009487"</f>
        <v>20200111160009487</v>
      </c>
      <c r="B5359" t="str">
        <f>"1578729609476399"</f>
        <v>1578729609476399</v>
      </c>
      <c r="C5359" t="s">
        <v>37</v>
      </c>
      <c r="D5359">
        <v>4.9192729999999996</v>
      </c>
      <c r="E5359">
        <v>0.389127</v>
      </c>
      <c r="F5359" t="s">
        <v>75</v>
      </c>
      <c r="G5359">
        <v>-293.66640000000001</v>
      </c>
      <c r="H5359" s="1">
        <v>-9.2522230000000005E-6</v>
      </c>
      <c r="I5359">
        <v>-52.544330000000002</v>
      </c>
      <c r="J5359">
        <v>-300.63130000000001</v>
      </c>
      <c r="K5359">
        <v>1.10643799999999</v>
      </c>
      <c r="L5359">
        <v>-40.462069999999997</v>
      </c>
      <c r="M5359">
        <v>0.1757621</v>
      </c>
      <c r="N5359">
        <v>0</v>
      </c>
      <c r="O5359">
        <v>-0.98432730000000002</v>
      </c>
      <c r="P5359">
        <v>0.22929330000000001</v>
      </c>
      <c r="Q5359">
        <v>-1.340997E-2</v>
      </c>
      <c r="R5359">
        <v>-0.97326520000000005</v>
      </c>
      <c r="S5359">
        <v>1.5505070000000001</v>
      </c>
      <c r="T5359">
        <v>-0.24499699999999999</v>
      </c>
      <c r="U5359">
        <v>-2.7171939999999899</v>
      </c>
      <c r="V5359">
        <v>-5.464625E-2</v>
      </c>
      <c r="W5359">
        <v>7.0840520000000002E-4</v>
      </c>
      <c r="X5359">
        <v>0.99850550000000005</v>
      </c>
      <c r="Y5359">
        <v>-0.3336578</v>
      </c>
      <c r="Z5359">
        <v>7.9222920000000002E-2</v>
      </c>
      <c r="AA5359">
        <v>0.93935949999999901</v>
      </c>
      <c r="AB5359">
        <v>20</v>
      </c>
      <c r="AC5359">
        <v>6.9649000000000001</v>
      </c>
      <c r="AD5359">
        <v>-1.10644725222299</v>
      </c>
      <c r="AE5359">
        <v>-12.0822599999999</v>
      </c>
      <c r="AF5359">
        <v>-4.7030254755154104</v>
      </c>
      <c r="AG5359">
        <v>-1.10644725222299</v>
      </c>
      <c r="AH5359">
        <v>13.0363669886907</v>
      </c>
      <c r="AI5359">
        <v>94.564662630099704</v>
      </c>
      <c r="AJ5359">
        <v>109.83751590022401</v>
      </c>
      <c r="AK5359">
        <v>13.902860799458701</v>
      </c>
    </row>
    <row r="5360" spans="1:37" x14ac:dyDescent="0.2">
      <c r="A5360" t="str">
        <f>"20200111160009508"</f>
        <v>20200111160009508</v>
      </c>
      <c r="B5360" t="str">
        <f>"1578729609495918"</f>
        <v>1578729609495918</v>
      </c>
      <c r="C5360" t="s">
        <v>37</v>
      </c>
      <c r="D5360">
        <v>4.8720689999999998</v>
      </c>
      <c r="E5360">
        <v>0.3894939</v>
      </c>
      <c r="F5360" t="s">
        <v>75</v>
      </c>
      <c r="G5360">
        <v>-293.59890000000001</v>
      </c>
      <c r="H5360" s="1">
        <v>-9.258463E-6</v>
      </c>
      <c r="I5360">
        <v>-52.699489999999997</v>
      </c>
      <c r="J5360">
        <v>-300.59339999999997</v>
      </c>
      <c r="K5360">
        <v>1.1064309999999999</v>
      </c>
      <c r="L5360">
        <v>-40.649259999999998</v>
      </c>
      <c r="M5360">
        <v>0.1793689</v>
      </c>
      <c r="N5360">
        <v>0</v>
      </c>
      <c r="O5360">
        <v>-0.98367649999999995</v>
      </c>
      <c r="P5360">
        <v>0.2331946</v>
      </c>
      <c r="Q5360">
        <v>-1.319272E-2</v>
      </c>
      <c r="R5360">
        <v>-0.972340599999999</v>
      </c>
      <c r="S5360">
        <v>1.558411</v>
      </c>
      <c r="T5360">
        <v>-0.245194999999999</v>
      </c>
      <c r="U5360">
        <v>-2.711884</v>
      </c>
      <c r="V5360">
        <v>-5.4990949999999997E-2</v>
      </c>
      <c r="W5360">
        <v>9.2012069999999999E-4</v>
      </c>
      <c r="X5360">
        <v>0.9984864</v>
      </c>
      <c r="Y5360">
        <v>-0.33305279999999998</v>
      </c>
      <c r="Z5360">
        <v>7.929688E-2</v>
      </c>
      <c r="AA5360">
        <v>0.93956790000000001</v>
      </c>
      <c r="AB5360">
        <v>20</v>
      </c>
      <c r="AC5360">
        <v>6.9944999999999498</v>
      </c>
      <c r="AD5360">
        <v>-1.106440258463</v>
      </c>
      <c r="AE5360">
        <v>-12.050230000000001</v>
      </c>
      <c r="AF5360">
        <v>-4.6898036920964499</v>
      </c>
      <c r="AG5360">
        <v>-1.106440258463</v>
      </c>
      <c r="AH5360">
        <v>13.0273313194684</v>
      </c>
      <c r="AI5360">
        <v>94.568896038506495</v>
      </c>
      <c r="AJ5360">
        <v>109.798737811598</v>
      </c>
      <c r="AK5360">
        <v>13.889918287130101</v>
      </c>
    </row>
    <row r="5361" spans="1:37" x14ac:dyDescent="0.2">
      <c r="A5361" t="str">
        <f>"20200111160009531"</f>
        <v>20200111160009531</v>
      </c>
      <c r="B5361" t="str">
        <f>"1578729609526174"</f>
        <v>1578729609526174</v>
      </c>
      <c r="C5361" t="s">
        <v>37</v>
      </c>
      <c r="D5361">
        <v>4.9005380000000001</v>
      </c>
      <c r="E5361">
        <v>0.38998050000000001</v>
      </c>
      <c r="F5361" t="s">
        <v>75</v>
      </c>
      <c r="G5361">
        <v>-293.53910000000002</v>
      </c>
      <c r="H5361" s="1">
        <v>-9.2641580000000003E-6</v>
      </c>
      <c r="I5361">
        <v>-52.835369999999998</v>
      </c>
      <c r="J5361">
        <v>-300.55459999999999</v>
      </c>
      <c r="K5361">
        <v>1.106414</v>
      </c>
      <c r="L5361">
        <v>-40.837339999999998</v>
      </c>
      <c r="M5361">
        <v>0.18299860000000001</v>
      </c>
      <c r="N5361">
        <v>0</v>
      </c>
      <c r="O5361">
        <v>-0.98300789999999905</v>
      </c>
      <c r="P5361">
        <v>0.23631479999999899</v>
      </c>
      <c r="Q5361">
        <v>-1.275446E-2</v>
      </c>
      <c r="R5361">
        <v>-0.97159319999999905</v>
      </c>
      <c r="S5361">
        <v>1.5666199999999999</v>
      </c>
      <c r="T5361">
        <v>-0.2457191</v>
      </c>
      <c r="U5361">
        <v>-2.706299</v>
      </c>
      <c r="V5361">
        <v>-5.4511950000000003E-2</v>
      </c>
      <c r="W5361">
        <v>1.35738E-3</v>
      </c>
      <c r="X5361">
        <v>0.99851219999999996</v>
      </c>
      <c r="Y5361">
        <v>-0.33254109999999998</v>
      </c>
      <c r="Z5361">
        <v>7.9476539999999998E-2</v>
      </c>
      <c r="AA5361">
        <v>0.93973399999999996</v>
      </c>
      <c r="AB5361">
        <v>20</v>
      </c>
      <c r="AC5361">
        <v>7.0154999999999701</v>
      </c>
      <c r="AD5361">
        <v>-1.1064232641580001</v>
      </c>
      <c r="AE5361">
        <v>-11.9980299999999</v>
      </c>
      <c r="AF5361">
        <v>-4.6715508469360696</v>
      </c>
      <c r="AG5361">
        <v>-1.1064232641580001</v>
      </c>
      <c r="AH5361">
        <v>12.996973132308399</v>
      </c>
      <c r="AI5361">
        <v>94.580271135659103</v>
      </c>
      <c r="AJ5361">
        <v>109.770149951994</v>
      </c>
      <c r="AK5361">
        <v>13.855283120778401</v>
      </c>
    </row>
    <row r="5362" spans="1:37" x14ac:dyDescent="0.2">
      <c r="A5362" t="str">
        <f>"20200111160009553"</f>
        <v>20200111160009553</v>
      </c>
      <c r="B5362" t="str">
        <f>"1578729609546670"</f>
        <v>1578729609546670</v>
      </c>
      <c r="C5362" t="s">
        <v>37</v>
      </c>
      <c r="D5362">
        <v>4.8608000000000002</v>
      </c>
      <c r="E5362">
        <v>0.3903549</v>
      </c>
      <c r="F5362" t="s">
        <v>75</v>
      </c>
      <c r="G5362">
        <v>-293.48450000000003</v>
      </c>
      <c r="H5362" s="1">
        <v>-9.2665160000000006E-6</v>
      </c>
      <c r="I5362">
        <v>-52.985030000000002</v>
      </c>
      <c r="J5362">
        <v>-300.5136</v>
      </c>
      <c r="K5362">
        <v>1.1063909999999999</v>
      </c>
      <c r="L5362">
        <v>-41.032170000000001</v>
      </c>
      <c r="M5362">
        <v>0.1867625</v>
      </c>
      <c r="N5362">
        <v>0</v>
      </c>
      <c r="O5362">
        <v>-0.98229959999999905</v>
      </c>
      <c r="P5362">
        <v>0.2392475</v>
      </c>
      <c r="Q5362">
        <v>-1.3276349999999999E-2</v>
      </c>
      <c r="R5362">
        <v>-0.97086779999999995</v>
      </c>
      <c r="S5362">
        <v>1.5726009999999999</v>
      </c>
      <c r="T5362">
        <v>-0.2461004</v>
      </c>
      <c r="U5362">
        <v>-2.7019959999999998</v>
      </c>
      <c r="V5362">
        <v>-5.3701110000000003E-2</v>
      </c>
      <c r="W5362">
        <v>8.3572059999999996E-4</v>
      </c>
      <c r="X5362">
        <v>0.99855669999999996</v>
      </c>
      <c r="Y5362">
        <v>-0.3311287</v>
      </c>
      <c r="Z5362">
        <v>7.9601290000000005E-2</v>
      </c>
      <c r="AA5362">
        <v>0.940221999999999</v>
      </c>
      <c r="AB5362">
        <v>20</v>
      </c>
      <c r="AC5362">
        <v>7.0290999999999704</v>
      </c>
      <c r="AD5362">
        <v>-1.106400266516</v>
      </c>
      <c r="AE5362">
        <v>-11.952859999999999</v>
      </c>
      <c r="AF5362">
        <v>-4.6432596349922299</v>
      </c>
      <c r="AG5362">
        <v>-1.106400266516</v>
      </c>
      <c r="AH5362">
        <v>12.972825005518301</v>
      </c>
      <c r="AI5362">
        <v>94.590861283731897</v>
      </c>
      <c r="AJ5362">
        <v>109.693406565942</v>
      </c>
      <c r="AK5362">
        <v>13.823102770778201</v>
      </c>
    </row>
    <row r="5363" spans="1:37" x14ac:dyDescent="0.2">
      <c r="A5363" t="str">
        <f>"20200111160009575"</f>
        <v>20200111160009575</v>
      </c>
      <c r="B5363" t="str">
        <f>"1578729609566190"</f>
        <v>1578729609566190</v>
      </c>
      <c r="C5363" t="s">
        <v>37</v>
      </c>
      <c r="D5363">
        <v>4.8681960000000002</v>
      </c>
      <c r="E5363">
        <v>0.39078289999999999</v>
      </c>
      <c r="F5363" t="s">
        <v>75</v>
      </c>
      <c r="G5363">
        <v>-293.46319999999997</v>
      </c>
      <c r="H5363" s="1">
        <v>-9.2630790000000004E-6</v>
      </c>
      <c r="I5363">
        <v>-53.081919999999997</v>
      </c>
      <c r="J5363">
        <v>-300.47379999999998</v>
      </c>
      <c r="K5363">
        <v>1.106365</v>
      </c>
      <c r="L5363">
        <v>-41.218290000000003</v>
      </c>
      <c r="M5363">
        <v>0.1903591</v>
      </c>
      <c r="N5363">
        <v>0</v>
      </c>
      <c r="O5363">
        <v>-0.98160939999999997</v>
      </c>
      <c r="P5363">
        <v>0.24261920000000001</v>
      </c>
      <c r="Q5363">
        <v>-1.462078E-2</v>
      </c>
      <c r="R5363">
        <v>-0.97001170000000003</v>
      </c>
      <c r="S5363">
        <v>1.57843</v>
      </c>
      <c r="T5363">
        <v>-0.24769749999999999</v>
      </c>
      <c r="U5363">
        <v>-2.6976619999999998</v>
      </c>
      <c r="V5363">
        <v>-5.3510189999999999E-2</v>
      </c>
      <c r="W5363">
        <v>-5.1158449999999999E-4</v>
      </c>
      <c r="X5363">
        <v>0.99856719999999899</v>
      </c>
      <c r="Y5363">
        <v>-0.32982359999999999</v>
      </c>
      <c r="Z5363">
        <v>8.0118629999999996E-2</v>
      </c>
      <c r="AA5363">
        <v>0.94063669999999999</v>
      </c>
      <c r="AB5363">
        <v>20</v>
      </c>
      <c r="AC5363">
        <v>7.0106000000000099</v>
      </c>
      <c r="AD5363">
        <v>-1.1063742630790001</v>
      </c>
      <c r="AE5363">
        <v>-11.863629999999899</v>
      </c>
      <c r="AF5363">
        <v>-4.5941838782878497</v>
      </c>
      <c r="AG5363">
        <v>-1.1063742630790001</v>
      </c>
      <c r="AH5363">
        <v>12.898179904636301</v>
      </c>
      <c r="AI5363">
        <v>94.619731564243196</v>
      </c>
      <c r="AJ5363">
        <v>109.605316432656</v>
      </c>
      <c r="AK5363">
        <v>13.736580155551399</v>
      </c>
    </row>
    <row r="5364" spans="1:37" x14ac:dyDescent="0.2">
      <c r="A5364" t="str">
        <f>"20200111160009597"</f>
        <v>20200111160009597</v>
      </c>
      <c r="B5364" t="str">
        <f>"1578729609586687"</f>
        <v>1578729609586687</v>
      </c>
      <c r="C5364" t="s">
        <v>37</v>
      </c>
      <c r="D5364">
        <v>4.8379479999999999</v>
      </c>
      <c r="E5364">
        <v>0.39108150000000003</v>
      </c>
      <c r="F5364" t="s">
        <v>75</v>
      </c>
      <c r="G5364">
        <v>-293.59199999999998</v>
      </c>
      <c r="H5364" s="1">
        <v>-9.2369979999999993E-6</v>
      </c>
      <c r="I5364">
        <v>-52.911869999999901</v>
      </c>
      <c r="J5364">
        <v>-300.43349999999998</v>
      </c>
      <c r="K5364">
        <v>1.1063499999999999</v>
      </c>
      <c r="L5364">
        <v>-41.402979999999999</v>
      </c>
      <c r="M5364">
        <v>0.19392719999999999</v>
      </c>
      <c r="N5364">
        <v>0</v>
      </c>
      <c r="O5364">
        <v>-0.98091049999999902</v>
      </c>
      <c r="P5364">
        <v>0.24665570000000001</v>
      </c>
      <c r="Q5364">
        <v>-1.8549489999999998E-2</v>
      </c>
      <c r="R5364">
        <v>-0.96892579999999995</v>
      </c>
      <c r="S5364">
        <v>1.584595</v>
      </c>
      <c r="T5364">
        <v>-0.25475389999999998</v>
      </c>
      <c r="U5364">
        <v>-2.6925659999999998</v>
      </c>
      <c r="V5364">
        <v>-5.4031040000000002E-2</v>
      </c>
      <c r="W5364">
        <v>-4.4475080000000002E-3</v>
      </c>
      <c r="X5364">
        <v>0.99852940000000001</v>
      </c>
      <c r="Y5364">
        <v>-0.3286732</v>
      </c>
      <c r="Z5364">
        <v>8.2403000000000004E-2</v>
      </c>
      <c r="AA5364">
        <v>0.94084199999999996</v>
      </c>
      <c r="AB5364">
        <v>19</v>
      </c>
      <c r="AC5364">
        <v>6.8414999999999901</v>
      </c>
      <c r="AD5364">
        <v>-1.106359236998</v>
      </c>
      <c r="AE5364">
        <v>-11.5088899999999</v>
      </c>
      <c r="AF5364">
        <v>-4.4490962519353303</v>
      </c>
      <c r="AG5364">
        <v>-1.106359236998</v>
      </c>
      <c r="AH5364">
        <v>12.5316798473517</v>
      </c>
      <c r="AI5364">
        <v>94.755899072774397</v>
      </c>
      <c r="AJ5364">
        <v>109.546283061468</v>
      </c>
      <c r="AK5364">
        <v>13.343968226011199</v>
      </c>
    </row>
    <row r="5365" spans="1:37" x14ac:dyDescent="0.2">
      <c r="A5365" t="str">
        <f>"20200111160009619"</f>
        <v>20200111160009619</v>
      </c>
      <c r="B5365" t="str">
        <f>"1578729609616943"</f>
        <v>1578729609616943</v>
      </c>
      <c r="C5365" t="s">
        <v>37</v>
      </c>
      <c r="D5365">
        <v>4.7924939999999996</v>
      </c>
      <c r="E5365">
        <v>0.39158229999999999</v>
      </c>
      <c r="F5365" t="s">
        <v>75</v>
      </c>
      <c r="G5365">
        <v>-293.97129999999999</v>
      </c>
      <c r="H5365" s="1">
        <v>-9.1728710000000006E-6</v>
      </c>
      <c r="I5365">
        <v>-52.298159999999903</v>
      </c>
      <c r="J5365">
        <v>-300.39170000000001</v>
      </c>
      <c r="K5365">
        <v>1.1063339999999999</v>
      </c>
      <c r="L5365">
        <v>-41.591609999999903</v>
      </c>
      <c r="M5365">
        <v>0.1975702</v>
      </c>
      <c r="N5365">
        <v>0</v>
      </c>
      <c r="O5365">
        <v>-0.98018340000000004</v>
      </c>
      <c r="P5365">
        <v>0.25196010000000002</v>
      </c>
      <c r="Q5365">
        <v>-2.1827079999999999E-2</v>
      </c>
      <c r="R5365">
        <v>-0.96749189999999996</v>
      </c>
      <c r="S5365">
        <v>1.5928340000000001</v>
      </c>
      <c r="T5365">
        <v>-0.27270279999999902</v>
      </c>
      <c r="U5365">
        <v>-2.6855159999999998</v>
      </c>
      <c r="V5365">
        <v>-5.5789640000000001E-2</v>
      </c>
      <c r="W5365">
        <v>-7.7391480000000004E-3</v>
      </c>
      <c r="X5365">
        <v>0.99841250000000004</v>
      </c>
      <c r="Y5365">
        <v>-0.3281269</v>
      </c>
      <c r="Z5365">
        <v>8.8206080000000006E-2</v>
      </c>
      <c r="AA5365">
        <v>0.94050650000000002</v>
      </c>
      <c r="AB5365">
        <v>19</v>
      </c>
      <c r="AC5365">
        <v>6.4204000000000203</v>
      </c>
      <c r="AD5365">
        <v>-1.106343172871</v>
      </c>
      <c r="AE5365">
        <v>-10.70655</v>
      </c>
      <c r="AF5365">
        <v>-4.1457467659483003</v>
      </c>
      <c r="AG5365">
        <v>-1.106343172871</v>
      </c>
      <c r="AH5365">
        <v>11.6724068468667</v>
      </c>
      <c r="AI5365">
        <v>95.103912492340896</v>
      </c>
      <c r="AJ5365">
        <v>109.553764935003</v>
      </c>
      <c r="AK5365">
        <v>12.4360883344527</v>
      </c>
    </row>
    <row r="5366" spans="1:37" x14ac:dyDescent="0.2">
      <c r="A5366" t="str">
        <f>"20200111160009644"</f>
        <v>20200111160009644</v>
      </c>
      <c r="B5366" t="str">
        <f>"1578729609636463"</f>
        <v>1578729609636463</v>
      </c>
      <c r="C5366" t="s">
        <v>37</v>
      </c>
      <c r="D5366">
        <v>4.774845</v>
      </c>
      <c r="E5366">
        <v>0.39159050000000001</v>
      </c>
      <c r="F5366" t="s">
        <v>75</v>
      </c>
      <c r="G5366">
        <v>-294.25700000000001</v>
      </c>
      <c r="H5366" s="1">
        <v>-9.1245209999999996E-6</v>
      </c>
      <c r="I5366">
        <v>-51.836770000000001</v>
      </c>
      <c r="J5366">
        <v>-300.34710000000001</v>
      </c>
      <c r="K5366">
        <v>1.10632</v>
      </c>
      <c r="L5366">
        <v>-41.788939999999997</v>
      </c>
      <c r="M5366">
        <v>0.20137330000000001</v>
      </c>
      <c r="N5366">
        <v>0</v>
      </c>
      <c r="O5366">
        <v>-0.97940919999999898</v>
      </c>
      <c r="P5366">
        <v>0.25837349999999998</v>
      </c>
      <c r="Q5366">
        <v>-2.380697E-2</v>
      </c>
      <c r="R5366">
        <v>-0.96575180000000005</v>
      </c>
      <c r="S5366">
        <v>1.602875</v>
      </c>
      <c r="T5366">
        <v>-0.28906479999999901</v>
      </c>
      <c r="U5366">
        <v>-2.6768489999999998</v>
      </c>
      <c r="V5366">
        <v>-5.8537770000000003E-2</v>
      </c>
      <c r="W5366">
        <v>-9.7384250000000002E-3</v>
      </c>
      <c r="X5366">
        <v>0.99823770000000001</v>
      </c>
      <c r="Y5366">
        <v>-0.32814650000000001</v>
      </c>
      <c r="Z5366">
        <v>9.3513319999999997E-2</v>
      </c>
      <c r="AA5366">
        <v>0.93998680000000001</v>
      </c>
      <c r="AB5366">
        <v>19</v>
      </c>
      <c r="AC5366">
        <v>6.0900999999999996</v>
      </c>
      <c r="AD5366">
        <v>-1.1063291245210001</v>
      </c>
      <c r="AE5366">
        <v>-10.0478299999999</v>
      </c>
      <c r="AF5366">
        <v>-3.9071009479759899</v>
      </c>
      <c r="AG5366">
        <v>-1.1063291245210001</v>
      </c>
      <c r="AH5366">
        <v>10.971190216151101</v>
      </c>
      <c r="AI5366">
        <v>95.426550826211297</v>
      </c>
      <c r="AJ5366">
        <v>109.602019974116</v>
      </c>
      <c r="AK5366">
        <v>11.6985647285643</v>
      </c>
    </row>
    <row r="5367" spans="1:37" x14ac:dyDescent="0.2">
      <c r="A5367" t="str">
        <f>"20200111160009667"</f>
        <v>20200111160009667</v>
      </c>
      <c r="B5367" t="str">
        <f>"1578729609655983"</f>
        <v>1578729609655983</v>
      </c>
      <c r="C5367" t="s">
        <v>37</v>
      </c>
      <c r="D5367">
        <v>4.5483919999999998</v>
      </c>
      <c r="E5367">
        <v>0.35633350000000003</v>
      </c>
      <c r="F5367" t="s">
        <v>75</v>
      </c>
      <c r="G5367">
        <v>-294.3605</v>
      </c>
      <c r="H5367" s="1">
        <v>-9.1096160000000004E-6</v>
      </c>
      <c r="I5367">
        <v>-51.645989999999998</v>
      </c>
      <c r="J5367">
        <v>-300.30220000000003</v>
      </c>
      <c r="K5367">
        <v>1.106306</v>
      </c>
      <c r="L5367">
        <v>-41.984499999999997</v>
      </c>
      <c r="M5367">
        <v>0.20513039999999999</v>
      </c>
      <c r="N5367">
        <v>0</v>
      </c>
      <c r="O5367">
        <v>-0.97862950000000004</v>
      </c>
      <c r="P5367">
        <v>0.26498480000000002</v>
      </c>
      <c r="Q5367">
        <v>-2.4188669999999999E-2</v>
      </c>
      <c r="R5367">
        <v>-0.96394959999999996</v>
      </c>
      <c r="S5367">
        <v>1.6190799999999901</v>
      </c>
      <c r="T5367">
        <v>-0.29920930000000001</v>
      </c>
      <c r="U5367">
        <v>-2.6658629999999999</v>
      </c>
      <c r="V5367">
        <v>-6.1546969999999999E-2</v>
      </c>
      <c r="W5367">
        <v>-1.0140140000000001E-2</v>
      </c>
      <c r="X5367">
        <v>0.99805270000000001</v>
      </c>
      <c r="Y5367">
        <v>-0.33024819999999999</v>
      </c>
      <c r="Z5367">
        <v>9.6807920000000006E-2</v>
      </c>
      <c r="AA5367">
        <v>0.93891659999999899</v>
      </c>
      <c r="AB5367">
        <v>19</v>
      </c>
      <c r="AC5367">
        <v>5.9417000000000204</v>
      </c>
      <c r="AD5367">
        <v>-1.106315109616</v>
      </c>
      <c r="AE5367">
        <v>-9.6614900000000006</v>
      </c>
      <c r="AF5367">
        <v>-3.7971269870357598</v>
      </c>
      <c r="AG5367">
        <v>-1.106315109616</v>
      </c>
      <c r="AH5367">
        <v>10.574338899489501</v>
      </c>
      <c r="AI5367">
        <v>95.623596704498695</v>
      </c>
      <c r="AJ5367">
        <v>109.752646424457</v>
      </c>
      <c r="AK5367">
        <v>11.2897630461714</v>
      </c>
    </row>
    <row r="5368" spans="1:37" x14ac:dyDescent="0.2">
      <c r="A5368" t="str">
        <f>"20200111160009690"</f>
        <v>20200111160009690</v>
      </c>
      <c r="B5368" t="str">
        <f>"1578729609686239"</f>
        <v>1578729609686239</v>
      </c>
      <c r="C5368" t="s">
        <v>37</v>
      </c>
      <c r="D5368">
        <v>3.913694</v>
      </c>
      <c r="E5368">
        <v>0.33025310000000002</v>
      </c>
      <c r="F5368" t="s">
        <v>75</v>
      </c>
      <c r="G5368">
        <v>-288.44740000000002</v>
      </c>
      <c r="H5368" s="1">
        <v>-2.280721E-6</v>
      </c>
      <c r="I5368">
        <v>-58.07443</v>
      </c>
      <c r="J5368">
        <v>-300.25900000000001</v>
      </c>
      <c r="K5368">
        <v>1.106284</v>
      </c>
      <c r="L5368">
        <v>-42.16919</v>
      </c>
      <c r="M5368">
        <v>0.2086614</v>
      </c>
      <c r="N5368">
        <v>0</v>
      </c>
      <c r="O5368">
        <v>-0.97788249999999999</v>
      </c>
      <c r="P5368">
        <v>0.27125879999999902</v>
      </c>
      <c r="Q5368">
        <v>-2.384184E-2</v>
      </c>
      <c r="R5368">
        <v>-0.96221129999999999</v>
      </c>
      <c r="S5368">
        <v>1.904083</v>
      </c>
      <c r="T5368">
        <v>-0.17769219999999999</v>
      </c>
      <c r="U5368">
        <v>-2.58432</v>
      </c>
      <c r="V5368">
        <v>-6.444569E-2</v>
      </c>
      <c r="W5368">
        <v>-9.8118449999999996E-3</v>
      </c>
      <c r="X5368">
        <v>0.99787300000000001</v>
      </c>
      <c r="Y5368">
        <v>-0.41114620000000002</v>
      </c>
      <c r="Z5368">
        <v>5.6539069999999997E-2</v>
      </c>
      <c r="AA5368">
        <v>0.90981440000000002</v>
      </c>
      <c r="AB5368">
        <v>19</v>
      </c>
      <c r="AC5368">
        <v>11.8116</v>
      </c>
      <c r="AD5368">
        <v>-1.1062862807210001</v>
      </c>
      <c r="AE5368">
        <v>-15.905239999999999</v>
      </c>
      <c r="AF5368">
        <v>-8.2068056726416607</v>
      </c>
      <c r="AG5368">
        <v>-1.1062862807210001</v>
      </c>
      <c r="AH5368">
        <v>17.963923776327299</v>
      </c>
      <c r="AI5368">
        <v>93.206077819938301</v>
      </c>
      <c r="AJ5368">
        <v>114.553256690014</v>
      </c>
      <c r="AK5368">
        <v>19.780750393377701</v>
      </c>
    </row>
    <row r="5369" spans="1:37" x14ac:dyDescent="0.2">
      <c r="A5369" t="str">
        <f>"20200111160009713"</f>
        <v>20200111160009713</v>
      </c>
      <c r="B5369" t="str">
        <f>"1578729609706735"</f>
        <v>1578729609706735</v>
      </c>
      <c r="C5369" t="s">
        <v>37</v>
      </c>
      <c r="D5369">
        <v>4.60649</v>
      </c>
      <c r="E5369">
        <v>0.32635740000000002</v>
      </c>
      <c r="F5369" t="s">
        <v>38</v>
      </c>
      <c r="G5369">
        <v>-299.63529999999997</v>
      </c>
      <c r="H5369">
        <v>1.066846</v>
      </c>
      <c r="I5369">
        <v>-42.909849999999999</v>
      </c>
      <c r="J5369">
        <v>-300.212999999999</v>
      </c>
      <c r="K5369">
        <v>1.1062590000000001</v>
      </c>
      <c r="L5369">
        <v>-42.362609999999997</v>
      </c>
      <c r="M5369">
        <v>0.21234120000000001</v>
      </c>
      <c r="N5369">
        <v>0</v>
      </c>
      <c r="O5369">
        <v>-0.97709020000000002</v>
      </c>
      <c r="P5369">
        <v>0.27647059999999901</v>
      </c>
      <c r="Q5369">
        <v>-2.4034759999999999E-2</v>
      </c>
      <c r="R5369">
        <v>-0.96072209999999902</v>
      </c>
      <c r="S5369">
        <v>2.11972</v>
      </c>
      <c r="T5369">
        <v>-0.13402269999999999</v>
      </c>
      <c r="U5369">
        <v>-2.5169069999999998</v>
      </c>
      <c r="V5369">
        <v>-6.6097989999999995E-2</v>
      </c>
      <c r="W5369">
        <v>-1.001644E-2</v>
      </c>
      <c r="X5369">
        <v>0.99776290000000001</v>
      </c>
      <c r="Y5369">
        <v>-0.46648059999999902</v>
      </c>
      <c r="Z5369">
        <v>4.1908239999999999E-2</v>
      </c>
      <c r="AA5369">
        <v>0.88353809999999999</v>
      </c>
      <c r="AB5369">
        <v>19</v>
      </c>
      <c r="AC5369">
        <v>0.577699999999992</v>
      </c>
      <c r="AD5369">
        <v>-3.9413000000000101E-2</v>
      </c>
      <c r="AE5369">
        <v>-0.54724000000000195</v>
      </c>
      <c r="AF5369">
        <v>-0.44721247945232201</v>
      </c>
      <c r="AG5369">
        <v>-3.9413000000000101E-2</v>
      </c>
      <c r="AH5369">
        <v>0.65583117619360798</v>
      </c>
      <c r="AI5369">
        <v>92.842472173663495</v>
      </c>
      <c r="AJ5369">
        <v>124.290148599923</v>
      </c>
      <c r="AK5369">
        <v>0.79477475929623298</v>
      </c>
    </row>
    <row r="5370" spans="1:37" x14ac:dyDescent="0.2">
      <c r="A5370" t="str">
        <f>"20200111160009743"</f>
        <v>20200111160009743</v>
      </c>
      <c r="B5370" t="str">
        <f>"1578729609736014"</f>
        <v>1578729609736014</v>
      </c>
      <c r="C5370" t="s">
        <v>37</v>
      </c>
      <c r="D5370">
        <v>4.5893540000000002</v>
      </c>
      <c r="E5370">
        <v>0.32280819999999999</v>
      </c>
      <c r="F5370" t="s">
        <v>38</v>
      </c>
      <c r="G5370">
        <v>-299.59660000000002</v>
      </c>
      <c r="H5370">
        <v>1.0629819999999901</v>
      </c>
      <c r="I5370">
        <v>-43.073639999999997</v>
      </c>
      <c r="J5370">
        <v>-300.15109999999999</v>
      </c>
      <c r="K5370">
        <v>1.106225</v>
      </c>
      <c r="L5370">
        <v>-42.618589999999998</v>
      </c>
      <c r="M5370">
        <v>0.21718009999999999</v>
      </c>
      <c r="N5370">
        <v>0</v>
      </c>
      <c r="O5370">
        <v>-0.97602619999999896</v>
      </c>
      <c r="P5370">
        <v>0.28199950000000001</v>
      </c>
      <c r="Q5370">
        <v>-2.3421999999999998E-2</v>
      </c>
      <c r="R5370">
        <v>-0.95912869999999995</v>
      </c>
      <c r="S5370">
        <v>2.1637879999999998</v>
      </c>
      <c r="T5370">
        <v>-0.15193019999999999</v>
      </c>
      <c r="U5370">
        <v>-2.4961849999999899</v>
      </c>
      <c r="V5370">
        <v>-6.6900979999999999E-2</v>
      </c>
      <c r="W5370">
        <v>-9.4113089999999996E-3</v>
      </c>
      <c r="X5370">
        <v>0.99771520000000002</v>
      </c>
      <c r="Y5370">
        <v>-0.47450360000000003</v>
      </c>
      <c r="Z5370">
        <v>4.7367020000000003E-2</v>
      </c>
      <c r="AA5370">
        <v>0.87897819999999904</v>
      </c>
      <c r="AB5370">
        <v>19</v>
      </c>
      <c r="AC5370">
        <v>0.55449999999996102</v>
      </c>
      <c r="AD5370">
        <v>-4.3243000000000101E-2</v>
      </c>
      <c r="AE5370">
        <v>-0.45505000000000001</v>
      </c>
      <c r="AF5370">
        <v>-0.44082217333582802</v>
      </c>
      <c r="AG5370">
        <v>-4.3243000000000101E-2</v>
      </c>
      <c r="AH5370">
        <v>0.56258060674866595</v>
      </c>
      <c r="AI5370">
        <v>93.462381528668104</v>
      </c>
      <c r="AJ5370">
        <v>128.08124041128201</v>
      </c>
      <c r="AK5370">
        <v>0.71602450003000595</v>
      </c>
    </row>
    <row r="5371" spans="1:37" x14ac:dyDescent="0.2">
      <c r="A5371" t="str">
        <f>"20200111160009766"</f>
        <v>20200111160009766</v>
      </c>
      <c r="B5371" t="str">
        <f>"1578729609756510"</f>
        <v>1578729609756510</v>
      </c>
      <c r="C5371" t="s">
        <v>37</v>
      </c>
      <c r="D5371">
        <v>4.6747879999999897</v>
      </c>
      <c r="E5371">
        <v>0.32195279999999998</v>
      </c>
      <c r="F5371" t="s">
        <v>38</v>
      </c>
      <c r="G5371">
        <v>-299.5675</v>
      </c>
      <c r="H5371">
        <v>1.065517</v>
      </c>
      <c r="I5371">
        <v>-43.273940000000003</v>
      </c>
      <c r="J5371">
        <v>-300.10640000000001</v>
      </c>
      <c r="K5371">
        <v>1.106209</v>
      </c>
      <c r="L5371">
        <v>-42.800319999999999</v>
      </c>
      <c r="M5371">
        <v>0.2205908</v>
      </c>
      <c r="N5371">
        <v>0</v>
      </c>
      <c r="O5371">
        <v>-0.9752613</v>
      </c>
      <c r="P5371">
        <v>0.2843484</v>
      </c>
      <c r="Q5371">
        <v>-2.2762540000000001E-2</v>
      </c>
      <c r="R5371">
        <v>-0.9584511</v>
      </c>
      <c r="S5371">
        <v>2.2057500000000001</v>
      </c>
      <c r="T5371">
        <v>-0.1537906</v>
      </c>
      <c r="U5371">
        <v>-2.4755549999999999</v>
      </c>
      <c r="V5371">
        <v>-6.5857089999999993E-2</v>
      </c>
      <c r="W5371">
        <v>-8.7487039999999995E-3</v>
      </c>
      <c r="X5371">
        <v>0.99779069999999903</v>
      </c>
      <c r="Y5371">
        <v>-0.4833769</v>
      </c>
      <c r="Z5371">
        <v>4.7829330000000003E-2</v>
      </c>
      <c r="AA5371">
        <v>0.87410480000000002</v>
      </c>
      <c r="AB5371">
        <v>19</v>
      </c>
      <c r="AC5371">
        <v>0.53890000000001204</v>
      </c>
      <c r="AD5371">
        <v>-4.0691999999999902E-2</v>
      </c>
      <c r="AE5371">
        <v>-0.47362000000000298</v>
      </c>
      <c r="AF5371">
        <v>-0.419784877105082</v>
      </c>
      <c r="AG5371">
        <v>-4.0691999999999902E-2</v>
      </c>
      <c r="AH5371">
        <v>0.57897668815589398</v>
      </c>
      <c r="AI5371">
        <v>93.256635149656006</v>
      </c>
      <c r="AJ5371">
        <v>125.94384881397301</v>
      </c>
      <c r="AK5371">
        <v>0.71630244124817599</v>
      </c>
    </row>
    <row r="5372" spans="1:37" x14ac:dyDescent="0.2">
      <c r="A5372" t="str">
        <f>"20200111160009788"</f>
        <v>20200111160009788</v>
      </c>
      <c r="B5372" t="str">
        <f>"1578729609776031"</f>
        <v>1578729609776031</v>
      </c>
      <c r="C5372" t="s">
        <v>37</v>
      </c>
      <c r="D5372">
        <v>3.8497140000000001</v>
      </c>
      <c r="E5372">
        <v>0.31895079999999998</v>
      </c>
      <c r="F5372" t="s">
        <v>38</v>
      </c>
      <c r="G5372">
        <v>-299.4359</v>
      </c>
      <c r="H5372">
        <v>1.0589440000000001</v>
      </c>
      <c r="I5372">
        <v>-43.546300000000002</v>
      </c>
      <c r="J5372">
        <v>-300.06009999999998</v>
      </c>
      <c r="K5372">
        <v>1.1061920000000001</v>
      </c>
      <c r="L5372">
        <v>-42.985409999999902</v>
      </c>
      <c r="M5372">
        <v>0.224046299999999</v>
      </c>
      <c r="N5372">
        <v>0</v>
      </c>
      <c r="O5372">
        <v>-0.97447309999999998</v>
      </c>
      <c r="P5372">
        <v>0.28657939999999998</v>
      </c>
      <c r="Q5372">
        <v>-2.252844E-2</v>
      </c>
      <c r="R5372">
        <v>-0.95779130000000001</v>
      </c>
      <c r="S5372">
        <v>2.218842</v>
      </c>
      <c r="T5372">
        <v>-0.15638589999999999</v>
      </c>
      <c r="U5372">
        <v>-2.468048</v>
      </c>
      <c r="V5372">
        <v>-6.4644399999999894E-2</v>
      </c>
      <c r="W5372">
        <v>-8.5115199999999998E-3</v>
      </c>
      <c r="X5372">
        <v>0.99787209999999904</v>
      </c>
      <c r="Y5372">
        <v>-0.484139599999999</v>
      </c>
      <c r="Z5372">
        <v>4.8598750000000003E-2</v>
      </c>
      <c r="AA5372">
        <v>0.87364010000000003</v>
      </c>
      <c r="AB5372">
        <v>19</v>
      </c>
      <c r="AC5372">
        <v>0.624199999999973</v>
      </c>
      <c r="AD5372">
        <v>-4.7247999999999901E-2</v>
      </c>
      <c r="AE5372">
        <v>-0.56089000000000699</v>
      </c>
      <c r="AF5372">
        <v>-0.48112520124823599</v>
      </c>
      <c r="AG5372">
        <v>-4.7247999999999901E-2</v>
      </c>
      <c r="AH5372">
        <v>0.68432314455752996</v>
      </c>
      <c r="AI5372">
        <v>93.232691317555606</v>
      </c>
      <c r="AJ5372">
        <v>125.10979750229799</v>
      </c>
      <c r="AK5372">
        <v>0.83786156312201299</v>
      </c>
    </row>
    <row r="5373" spans="1:37" x14ac:dyDescent="0.2">
      <c r="A5373" t="str">
        <f>"20200111160009811"</f>
        <v>20200111160009811</v>
      </c>
      <c r="B5373" t="str">
        <f>"1578729609806287"</f>
        <v>1578729609806287</v>
      </c>
      <c r="C5373" t="s">
        <v>37</v>
      </c>
      <c r="D5373">
        <v>3.8919570000000001</v>
      </c>
      <c r="E5373">
        <v>0.31310389999999999</v>
      </c>
      <c r="F5373" t="s">
        <v>38</v>
      </c>
      <c r="G5373">
        <v>-299.39640000000003</v>
      </c>
      <c r="H5373">
        <v>1.065698</v>
      </c>
      <c r="I5373">
        <v>-43.710949999999997</v>
      </c>
      <c r="J5373">
        <v>-300.01350000000002</v>
      </c>
      <c r="K5373">
        <v>1.1061799999999999</v>
      </c>
      <c r="L5373">
        <v>-43.169309999999903</v>
      </c>
      <c r="M5373">
        <v>0.22746839999999999</v>
      </c>
      <c r="N5373">
        <v>0</v>
      </c>
      <c r="O5373">
        <v>-0.97368029999999905</v>
      </c>
      <c r="P5373">
        <v>0.28874899999999998</v>
      </c>
      <c r="Q5373">
        <v>-2.2878039999999999E-2</v>
      </c>
      <c r="R5373">
        <v>-0.95713159999999897</v>
      </c>
      <c r="S5373">
        <v>2.2467959999999998</v>
      </c>
      <c r="T5373">
        <v>-0.13710639999999999</v>
      </c>
      <c r="U5373">
        <v>-2.45672599999999</v>
      </c>
      <c r="V5373">
        <v>-6.3401299999999994E-2</v>
      </c>
      <c r="W5373">
        <v>-8.8587459999999903E-3</v>
      </c>
      <c r="X5373">
        <v>0.99794879999999997</v>
      </c>
      <c r="Y5373">
        <v>-0.4886914</v>
      </c>
      <c r="Z5373">
        <v>4.2514669999999997E-2</v>
      </c>
      <c r="AA5373">
        <v>0.87142019999999998</v>
      </c>
      <c r="AB5373">
        <v>19</v>
      </c>
      <c r="AC5373">
        <v>0.61709999999999299</v>
      </c>
      <c r="AD5373">
        <v>-4.04819999999999E-2</v>
      </c>
      <c r="AE5373">
        <v>-0.54164000000000101</v>
      </c>
      <c r="AF5373">
        <v>-0.47654268213647899</v>
      </c>
      <c r="AG5373">
        <v>-4.04819999999999E-2</v>
      </c>
      <c r="AH5373">
        <v>0.66620394701966001</v>
      </c>
      <c r="AI5373">
        <v>92.829409397790798</v>
      </c>
      <c r="AJ5373">
        <v>125.576538605347</v>
      </c>
      <c r="AK5373">
        <v>0.82009720109655504</v>
      </c>
    </row>
    <row r="5374" spans="1:37" x14ac:dyDescent="0.2">
      <c r="A5374" t="str">
        <f>"20200111160009832"</f>
        <v>20200111160009832</v>
      </c>
      <c r="B5374" t="str">
        <f>"1578729609825806"</f>
        <v>1578729609825806</v>
      </c>
      <c r="C5374" t="s">
        <v>37</v>
      </c>
      <c r="D5374">
        <v>3.86753499999999</v>
      </c>
      <c r="E5374">
        <v>0.31008669999999999</v>
      </c>
      <c r="F5374" t="s">
        <v>39</v>
      </c>
      <c r="G5374">
        <v>-274.39359999999999</v>
      </c>
      <c r="H5374">
        <v>6.7082790000000003E-2</v>
      </c>
      <c r="I5374">
        <v>-70.400759999999906</v>
      </c>
      <c r="J5374">
        <v>-299.9676</v>
      </c>
      <c r="K5374">
        <v>1.1061639999999999</v>
      </c>
      <c r="L5374">
        <v>-43.347630000000002</v>
      </c>
      <c r="M5374">
        <v>0.23078170000000001</v>
      </c>
      <c r="N5374">
        <v>0</v>
      </c>
      <c r="O5374">
        <v>-0.97290019999999999</v>
      </c>
      <c r="P5374">
        <v>0.29157430000000001</v>
      </c>
      <c r="Q5374">
        <v>-2.370125E-2</v>
      </c>
      <c r="R5374">
        <v>-0.95625450000000001</v>
      </c>
      <c r="S5374">
        <v>2.2953189999999899</v>
      </c>
      <c r="T5374">
        <v>-9.3093990000000001E-2</v>
      </c>
      <c r="U5374">
        <v>-2.4396969999999998</v>
      </c>
      <c r="V5374">
        <v>-6.2952090000000002E-2</v>
      </c>
      <c r="W5374">
        <v>-9.6841519999999997E-3</v>
      </c>
      <c r="X5374">
        <v>0.99796960000000001</v>
      </c>
      <c r="Y5374">
        <v>-0.49833869999999902</v>
      </c>
      <c r="Z5374">
        <v>2.8743049999999999E-2</v>
      </c>
      <c r="AA5374">
        <v>0.86650590000000005</v>
      </c>
      <c r="AB5374">
        <v>19</v>
      </c>
      <c r="AC5374">
        <v>25.574000000000002</v>
      </c>
      <c r="AD5374">
        <v>-1.03908121</v>
      </c>
      <c r="AE5374">
        <v>-27.0531299999999</v>
      </c>
      <c r="AF5374">
        <v>-18.6249832635317</v>
      </c>
      <c r="AG5374">
        <v>-1.03908121</v>
      </c>
      <c r="AH5374">
        <v>32.200224509997298</v>
      </c>
      <c r="AI5374">
        <v>91.600041545047901</v>
      </c>
      <c r="AJ5374">
        <v>120.04558621813401</v>
      </c>
      <c r="AK5374">
        <v>37.213225469207103</v>
      </c>
    </row>
    <row r="5375" spans="1:37" x14ac:dyDescent="0.2">
      <c r="A5375" t="str">
        <f>"20200111160009854"</f>
        <v>20200111160009854</v>
      </c>
      <c r="B5375" t="str">
        <f>"1578729609846021"</f>
        <v>1578729609846021</v>
      </c>
      <c r="C5375" t="s">
        <v>37</v>
      </c>
      <c r="D5375">
        <v>3.890698</v>
      </c>
      <c r="E5375">
        <v>0.30764059999999999</v>
      </c>
      <c r="F5375" t="s">
        <v>41</v>
      </c>
      <c r="G5375">
        <v>-264.02390000000003</v>
      </c>
      <c r="H5375">
        <v>-0.05</v>
      </c>
      <c r="I5375">
        <v>-80.868769999999998</v>
      </c>
      <c r="J5375">
        <v>-299.92009999999999</v>
      </c>
      <c r="K5375">
        <v>1.1061559999999999</v>
      </c>
      <c r="L5375">
        <v>-43.529820000000001</v>
      </c>
      <c r="M5375">
        <v>0.2341655</v>
      </c>
      <c r="N5375">
        <v>0</v>
      </c>
      <c r="O5375">
        <v>-0.9720915</v>
      </c>
      <c r="P5375">
        <v>0.29632429999999998</v>
      </c>
      <c r="Q5375">
        <v>-2.4642009999999999E-2</v>
      </c>
      <c r="R5375">
        <v>-0.95476970000000005</v>
      </c>
      <c r="S5375">
        <v>2.3245849999999999</v>
      </c>
      <c r="T5375">
        <v>-7.4772599999999995E-2</v>
      </c>
      <c r="U5375">
        <v>-2.4266049999999999</v>
      </c>
      <c r="V5375">
        <v>-6.4441819999999997E-2</v>
      </c>
      <c r="W5375">
        <v>-1.063765E-2</v>
      </c>
      <c r="X5375">
        <v>0.9978648</v>
      </c>
      <c r="Y5375">
        <v>-0.50322789999999995</v>
      </c>
      <c r="Z5375">
        <v>2.3033919999999999E-2</v>
      </c>
      <c r="AA5375">
        <v>0.86384669999999897</v>
      </c>
      <c r="AB5375">
        <v>19</v>
      </c>
      <c r="AC5375">
        <v>35.896199999999901</v>
      </c>
      <c r="AD5375">
        <v>-1.156156</v>
      </c>
      <c r="AE5375">
        <v>-37.338949999999997</v>
      </c>
      <c r="AF5375">
        <v>-26.140548336237401</v>
      </c>
      <c r="AG5375">
        <v>-1.156156</v>
      </c>
      <c r="AH5375">
        <v>44.684837445914297</v>
      </c>
      <c r="AI5375">
        <v>91.279364761296904</v>
      </c>
      <c r="AJ5375">
        <v>120.327556196087</v>
      </c>
      <c r="AK5375">
        <v>51.782233068720501</v>
      </c>
    </row>
    <row r="5376" spans="1:37" x14ac:dyDescent="0.2">
      <c r="A5376" t="str">
        <f>"20200111160009877"</f>
        <v>20200111160009877</v>
      </c>
      <c r="B5376" t="str">
        <f>"1578729609866517"</f>
        <v>1578729609866517</v>
      </c>
      <c r="C5376" t="s">
        <v>37</v>
      </c>
      <c r="D5376">
        <v>3.9117820000000001</v>
      </c>
      <c r="E5376">
        <v>0.3056508</v>
      </c>
      <c r="F5376" t="s">
        <v>41</v>
      </c>
      <c r="G5376">
        <v>-255.173</v>
      </c>
      <c r="H5376">
        <v>-0.05</v>
      </c>
      <c r="I5376">
        <v>-89.323729999999998</v>
      </c>
      <c r="J5376">
        <v>-299.87270000000001</v>
      </c>
      <c r="K5376">
        <v>1.1061510000000001</v>
      </c>
      <c r="L5376">
        <v>-43.708590000000001</v>
      </c>
      <c r="M5376">
        <v>0.2374925</v>
      </c>
      <c r="N5376">
        <v>0</v>
      </c>
      <c r="O5376">
        <v>-0.97128419999999904</v>
      </c>
      <c r="P5376">
        <v>0.30221110000000001</v>
      </c>
      <c r="Q5376">
        <v>-2.5855530000000002E-2</v>
      </c>
      <c r="R5376">
        <v>-0.95289059999999903</v>
      </c>
      <c r="S5376">
        <v>2.3546749999999999</v>
      </c>
      <c r="T5376">
        <v>-6.083906E-2</v>
      </c>
      <c r="U5376">
        <v>-2.4097599999999999</v>
      </c>
      <c r="V5376">
        <v>-6.7185159999999994E-2</v>
      </c>
      <c r="W5376">
        <v>-1.187064E-2</v>
      </c>
      <c r="X5376">
        <v>0.9976699</v>
      </c>
      <c r="Y5376">
        <v>-0.50888169999999999</v>
      </c>
      <c r="Z5376">
        <v>1.8710810000000001E-2</v>
      </c>
      <c r="AA5376">
        <v>0.86063310000000004</v>
      </c>
      <c r="AB5376">
        <v>19</v>
      </c>
      <c r="AC5376">
        <v>44.6997</v>
      </c>
      <c r="AD5376">
        <v>-1.1561509999999999</v>
      </c>
      <c r="AE5376">
        <v>-45.615139999999997</v>
      </c>
      <c r="AF5376">
        <v>-32.575512333675498</v>
      </c>
      <c r="AG5376">
        <v>-1.1561509999999999</v>
      </c>
      <c r="AH5376">
        <v>54.9087253250309</v>
      </c>
      <c r="AI5376">
        <v>91.037446236095093</v>
      </c>
      <c r="AJ5376">
        <v>120.67924023860201</v>
      </c>
      <c r="AK5376">
        <v>63.855060925160302</v>
      </c>
    </row>
    <row r="5377" spans="1:37" x14ac:dyDescent="0.2">
      <c r="A5377" t="str">
        <f>"20200111160009899"</f>
        <v>20200111160009899</v>
      </c>
      <c r="B5377" t="str">
        <f>"1578729609895797"</f>
        <v>1578729609895797</v>
      </c>
      <c r="C5377" t="s">
        <v>37</v>
      </c>
      <c r="D5377">
        <v>3.8796789999999999</v>
      </c>
      <c r="E5377">
        <v>0.30341659999999998</v>
      </c>
      <c r="F5377" t="s">
        <v>62</v>
      </c>
      <c r="G5377">
        <v>-252.14709999999999</v>
      </c>
      <c r="H5377">
        <v>0.111414</v>
      </c>
      <c r="I5377">
        <v>-91.564989999999995</v>
      </c>
      <c r="J5377">
        <v>-299.82389999999998</v>
      </c>
      <c r="K5377">
        <v>1.106141</v>
      </c>
      <c r="L5377">
        <v>-43.890439999999998</v>
      </c>
      <c r="M5377">
        <v>0.24088499999999999</v>
      </c>
      <c r="N5377">
        <v>0</v>
      </c>
      <c r="O5377">
        <v>-0.97044839999999999</v>
      </c>
      <c r="P5377">
        <v>0.30895279999999897</v>
      </c>
      <c r="Q5377">
        <v>-2.7172189999999999E-2</v>
      </c>
      <c r="R5377">
        <v>-0.95068929999999996</v>
      </c>
      <c r="S5377">
        <v>2.384277</v>
      </c>
      <c r="T5377">
        <v>-4.9694420000000003E-2</v>
      </c>
      <c r="U5377">
        <v>-2.3908079999999998</v>
      </c>
      <c r="V5377">
        <v>-7.0767170000000004E-2</v>
      </c>
      <c r="W5377">
        <v>-1.3211519999999999E-2</v>
      </c>
      <c r="X5377">
        <v>0.9974054</v>
      </c>
      <c r="Y5377">
        <v>-0.51467689999999999</v>
      </c>
      <c r="Z5377">
        <v>1.5265229999999999E-2</v>
      </c>
      <c r="AA5377">
        <v>0.85724840000000002</v>
      </c>
      <c r="AB5377">
        <v>19</v>
      </c>
      <c r="AC5377">
        <v>47.676799999999901</v>
      </c>
      <c r="AD5377">
        <v>-0.99472700000000003</v>
      </c>
      <c r="AE5377">
        <v>-47.674550000000004</v>
      </c>
      <c r="AF5377">
        <v>-34.7797740906828</v>
      </c>
      <c r="AG5377">
        <v>-0.99472700000000003</v>
      </c>
      <c r="AH5377">
        <v>57.743648763020097</v>
      </c>
      <c r="AI5377">
        <v>90.845430066617794</v>
      </c>
      <c r="AJ5377">
        <v>121.061119366727</v>
      </c>
      <c r="AK5377">
        <v>67.416252788704398</v>
      </c>
    </row>
    <row r="5378" spans="1:37" x14ac:dyDescent="0.2">
      <c r="A5378" t="str">
        <f>"20200111160009924"</f>
        <v>20200111160009924</v>
      </c>
      <c r="B5378" t="str">
        <f>"1578729609916293"</f>
        <v>1578729609916293</v>
      </c>
      <c r="C5378" t="s">
        <v>37</v>
      </c>
      <c r="D5378">
        <v>3.8622290000000001</v>
      </c>
      <c r="E5378">
        <v>0.30218739999999999</v>
      </c>
      <c r="F5378" t="s">
        <v>62</v>
      </c>
      <c r="G5378">
        <v>-251.1704</v>
      </c>
      <c r="H5378">
        <v>0.3761063</v>
      </c>
      <c r="I5378">
        <v>-91.564989999999995</v>
      </c>
      <c r="J5378">
        <v>-299.77109999999999</v>
      </c>
      <c r="K5378">
        <v>1.106141</v>
      </c>
      <c r="L5378">
        <v>-44.084690000000002</v>
      </c>
      <c r="M5378">
        <v>0.2445225</v>
      </c>
      <c r="N5378">
        <v>0</v>
      </c>
      <c r="O5378">
        <v>-0.96953829999999996</v>
      </c>
      <c r="P5378">
        <v>0.316722</v>
      </c>
      <c r="Q5378">
        <v>-2.7438790000000001E-2</v>
      </c>
      <c r="R5378">
        <v>-0.94812169999999896</v>
      </c>
      <c r="S5378">
        <v>2.4175719999999998</v>
      </c>
      <c r="T5378">
        <v>-3.6274430000000003E-2</v>
      </c>
      <c r="U5378">
        <v>-2.3689269999999998</v>
      </c>
      <c r="V5378">
        <v>-7.5187809999999994E-2</v>
      </c>
      <c r="W5378">
        <v>-1.350693E-2</v>
      </c>
      <c r="X5378">
        <v>0.99707789999999996</v>
      </c>
      <c r="Y5378">
        <v>-0.52136990000000005</v>
      </c>
      <c r="Z5378">
        <v>1.112834E-2</v>
      </c>
      <c r="AA5378">
        <v>0.85325819999999997</v>
      </c>
      <c r="AB5378">
        <v>19</v>
      </c>
      <c r="AC5378">
        <v>48.600699999999897</v>
      </c>
      <c r="AD5378">
        <v>-0.73003469999999904</v>
      </c>
      <c r="AE5378">
        <v>-47.4803</v>
      </c>
      <c r="AF5378">
        <v>-35.509765617548801</v>
      </c>
      <c r="AG5378">
        <v>-0.73003469999999904</v>
      </c>
      <c r="AH5378">
        <v>57.917162893176197</v>
      </c>
      <c r="AI5378">
        <v>90.615669321215606</v>
      </c>
      <c r="AJ5378">
        <v>121.513003078523</v>
      </c>
      <c r="AK5378">
        <v>67.940224922141397</v>
      </c>
    </row>
    <row r="5379" spans="1:37" x14ac:dyDescent="0.2">
      <c r="A5379" t="str">
        <f>"20200111160009944"</f>
        <v>20200111160009944</v>
      </c>
      <c r="B5379" t="str">
        <f>"1578729609935813"</f>
        <v>1578729609935813</v>
      </c>
      <c r="C5379" t="s">
        <v>37</v>
      </c>
      <c r="D5379">
        <v>4.7894259999999997</v>
      </c>
      <c r="E5379">
        <v>0.30358629999999998</v>
      </c>
      <c r="F5379" t="s">
        <v>62</v>
      </c>
      <c r="G5379">
        <v>-250.27250000000001</v>
      </c>
      <c r="H5379">
        <v>0.56695369999999901</v>
      </c>
      <c r="I5379">
        <v>-91.564989999999995</v>
      </c>
      <c r="J5379">
        <v>-299.72449999999998</v>
      </c>
      <c r="K5379">
        <v>1.1061479999999999</v>
      </c>
      <c r="L5379">
        <v>-44.253079999999997</v>
      </c>
      <c r="M5379">
        <v>0.2476862</v>
      </c>
      <c r="N5379">
        <v>0</v>
      </c>
      <c r="O5379">
        <v>-0.96873529999999997</v>
      </c>
      <c r="P5379">
        <v>0.32328129999999999</v>
      </c>
      <c r="Q5379">
        <v>-2.6591E-2</v>
      </c>
      <c r="R5379">
        <v>-0.94592969999999899</v>
      </c>
      <c r="S5379">
        <v>2.4460139999999999</v>
      </c>
      <c r="T5379">
        <v>-2.6643750000000001E-2</v>
      </c>
      <c r="U5379">
        <v>-2.3462830000000001</v>
      </c>
      <c r="V5379">
        <v>-7.8834810000000005E-2</v>
      </c>
      <c r="W5379">
        <v>-1.26828999999999E-2</v>
      </c>
      <c r="X5379">
        <v>0.996807</v>
      </c>
      <c r="Y5379">
        <v>-0.52767410000000003</v>
      </c>
      <c r="Z5379">
        <v>8.171256E-3</v>
      </c>
      <c r="AA5379">
        <v>0.84940759999999904</v>
      </c>
      <c r="AB5379">
        <v>19</v>
      </c>
      <c r="AC5379">
        <v>49.451999999999899</v>
      </c>
      <c r="AD5379">
        <v>-0.53919430000000002</v>
      </c>
      <c r="AE5379">
        <v>-47.311909999999997</v>
      </c>
      <c r="AF5379">
        <v>-36.1888266075159</v>
      </c>
      <c r="AG5379">
        <v>-0.53919430000000002</v>
      </c>
      <c r="AH5379">
        <v>58.083599697034401</v>
      </c>
      <c r="AI5379">
        <v>90.451420515966106</v>
      </c>
      <c r="AJ5379">
        <v>121.924856115132</v>
      </c>
      <c r="AK5379">
        <v>68.437025472235007</v>
      </c>
    </row>
    <row r="5380" spans="1:37" x14ac:dyDescent="0.2">
      <c r="A5380" t="str">
        <f>"20200111160009967"</f>
        <v>20200111160009967</v>
      </c>
      <c r="B5380" t="str">
        <f>"1578729609956309"</f>
        <v>1578729609956309</v>
      </c>
      <c r="C5380" t="s">
        <v>37</v>
      </c>
      <c r="D5380">
        <v>4.6843909999999997</v>
      </c>
      <c r="E5380">
        <v>0.30405720000000003</v>
      </c>
      <c r="F5380" t="s">
        <v>62</v>
      </c>
      <c r="G5380">
        <v>-249.99109999999999</v>
      </c>
      <c r="H5380">
        <v>0.38899899999999998</v>
      </c>
      <c r="I5380">
        <v>-91.564989999999995</v>
      </c>
      <c r="J5380">
        <v>-299.67430000000002</v>
      </c>
      <c r="K5380">
        <v>1.106155</v>
      </c>
      <c r="L5380">
        <v>-44.432650000000002</v>
      </c>
      <c r="M5380">
        <v>0.25107180000000001</v>
      </c>
      <c r="N5380">
        <v>0</v>
      </c>
      <c r="O5380">
        <v>-0.96786309999999998</v>
      </c>
      <c r="P5380">
        <v>0.32945229999999998</v>
      </c>
      <c r="Q5380">
        <v>-2.552931E-2</v>
      </c>
      <c r="R5380">
        <v>-0.94382730000000004</v>
      </c>
      <c r="S5380">
        <v>2.4519039999999999</v>
      </c>
      <c r="T5380">
        <v>-3.5355329999999997E-2</v>
      </c>
      <c r="U5380">
        <v>-2.3325200000000001</v>
      </c>
      <c r="V5380">
        <v>-8.1855629999999999E-2</v>
      </c>
      <c r="W5380">
        <v>-1.164165E-2</v>
      </c>
      <c r="X5380">
        <v>0.99657619999999902</v>
      </c>
      <c r="Y5380">
        <v>-0.52820149999999999</v>
      </c>
      <c r="Z5380">
        <v>1.086141E-2</v>
      </c>
      <c r="AA5380">
        <v>0.84904959999999996</v>
      </c>
      <c r="AB5380">
        <v>19</v>
      </c>
      <c r="AC5380">
        <v>49.683199999999999</v>
      </c>
      <c r="AD5380">
        <v>-0.71715600000000002</v>
      </c>
      <c r="AE5380">
        <v>-47.132339999999999</v>
      </c>
      <c r="AF5380">
        <v>-36.252656738964298</v>
      </c>
      <c r="AG5380">
        <v>-0.71715600000000002</v>
      </c>
      <c r="AH5380">
        <v>58.091258027404002</v>
      </c>
      <c r="AI5380">
        <v>90.600049736432098</v>
      </c>
      <c r="AJ5380">
        <v>121.96679808029801</v>
      </c>
      <c r="AK5380">
        <v>68.478928821703605</v>
      </c>
    </row>
    <row r="5381" spans="1:37" x14ac:dyDescent="0.2">
      <c r="A5381" t="str">
        <f>"20200111160009988"</f>
        <v>20200111160009988</v>
      </c>
      <c r="B5381" t="str">
        <f>"1578729609986566"</f>
        <v>1578729609986566</v>
      </c>
      <c r="C5381" t="s">
        <v>37</v>
      </c>
      <c r="D5381">
        <v>4.7872639999999897</v>
      </c>
      <c r="E5381">
        <v>0.32420179999999998</v>
      </c>
      <c r="F5381" t="s">
        <v>62</v>
      </c>
      <c r="G5381">
        <v>-249.56899999999999</v>
      </c>
      <c r="H5381">
        <v>0.35326190000000002</v>
      </c>
      <c r="I5381">
        <v>-91.564989999999995</v>
      </c>
      <c r="J5381">
        <v>-299.62580000000003</v>
      </c>
      <c r="K5381">
        <v>1.106163</v>
      </c>
      <c r="L5381">
        <v>-44.603389999999997</v>
      </c>
      <c r="M5381">
        <v>0.2542973</v>
      </c>
      <c r="N5381">
        <v>0</v>
      </c>
      <c r="O5381">
        <v>-0.96702080000000001</v>
      </c>
      <c r="P5381">
        <v>0.33534159999999902</v>
      </c>
      <c r="Q5381">
        <v>-2.4022959999999999E-2</v>
      </c>
      <c r="R5381">
        <v>-0.94179049999999997</v>
      </c>
      <c r="S5381">
        <v>2.4637449999999999</v>
      </c>
      <c r="T5381">
        <v>-3.7020209999999998E-2</v>
      </c>
      <c r="U5381">
        <v>-2.3175659999999998</v>
      </c>
      <c r="V5381">
        <v>-8.4753949999999995E-2</v>
      </c>
      <c r="W5381">
        <v>-1.0154659999999999E-2</v>
      </c>
      <c r="X5381">
        <v>0.99635019999999996</v>
      </c>
      <c r="Y5381">
        <v>-0.53013319999999997</v>
      </c>
      <c r="Z5381">
        <v>1.1382750000000001E-2</v>
      </c>
      <c r="AA5381">
        <v>0.84783799999999898</v>
      </c>
      <c r="AB5381">
        <v>19</v>
      </c>
      <c r="AC5381">
        <v>50.056800000000003</v>
      </c>
      <c r="AD5381">
        <v>-0.75290109999999999</v>
      </c>
      <c r="AE5381">
        <v>-46.961599999999997</v>
      </c>
      <c r="AF5381">
        <v>-36.463084868616797</v>
      </c>
      <c r="AG5381">
        <v>-0.75290109999999999</v>
      </c>
      <c r="AH5381">
        <v>58.141078654603199</v>
      </c>
      <c r="AI5381">
        <v>90.628543560748994</v>
      </c>
      <c r="AJ5381">
        <v>122.093815260208</v>
      </c>
      <c r="AK5381">
        <v>68.633143927136899</v>
      </c>
    </row>
    <row r="5382" spans="1:37" x14ac:dyDescent="0.2">
      <c r="A5382" t="str">
        <f>"20200111160010011"</f>
        <v>20200111160010011</v>
      </c>
      <c r="B5382" t="str">
        <f>"1578729610006088"</f>
        <v>1578729610006088</v>
      </c>
      <c r="C5382" t="s">
        <v>37</v>
      </c>
      <c r="D5382">
        <v>4.7471649999999999</v>
      </c>
      <c r="E5382">
        <v>0.32393949999999999</v>
      </c>
      <c r="F5382" t="s">
        <v>38</v>
      </c>
      <c r="G5382">
        <v>-298.93619999999999</v>
      </c>
      <c r="H5382">
        <v>1.044189</v>
      </c>
      <c r="I5382">
        <v>-45.298780000000001</v>
      </c>
      <c r="J5382">
        <v>-299.57389999999998</v>
      </c>
      <c r="K5382">
        <v>1.1061639999999999</v>
      </c>
      <c r="L5382">
        <v>-44.784089999999999</v>
      </c>
      <c r="M5382">
        <v>0.25771660000000002</v>
      </c>
      <c r="N5382">
        <v>0</v>
      </c>
      <c r="O5382">
        <v>-0.96611519999999995</v>
      </c>
      <c r="P5382">
        <v>0.34128740000000002</v>
      </c>
      <c r="Q5382">
        <v>-2.1600020000000001E-2</v>
      </c>
      <c r="R5382">
        <v>-0.93971130000000003</v>
      </c>
      <c r="S5382">
        <v>2.3311160000000002</v>
      </c>
      <c r="T5382">
        <v>-0.209460799999999</v>
      </c>
      <c r="U5382">
        <v>-2.3500369999999999</v>
      </c>
      <c r="V5382">
        <v>-8.7521070000000006E-2</v>
      </c>
      <c r="W5382">
        <v>-7.750018E-3</v>
      </c>
      <c r="X5382">
        <v>0.99613249999999998</v>
      </c>
      <c r="Y5382">
        <v>-0.49593690000000001</v>
      </c>
      <c r="Z5382">
        <v>6.5350539999999999E-2</v>
      </c>
      <c r="AA5382">
        <v>0.865895999999999</v>
      </c>
      <c r="AB5382">
        <v>19</v>
      </c>
      <c r="AC5382">
        <v>0.63769999999999505</v>
      </c>
      <c r="AD5382">
        <v>-6.1974999999999801E-2</v>
      </c>
      <c r="AE5382">
        <v>-0.51469000000000098</v>
      </c>
      <c r="AF5382">
        <v>-0.48074718012100698</v>
      </c>
      <c r="AG5382">
        <v>-6.1974999999999801E-2</v>
      </c>
      <c r="AH5382">
        <v>0.65790032419924405</v>
      </c>
      <c r="AI5382">
        <v>94.349465541128197</v>
      </c>
      <c r="AJ5382">
        <v>126.156701761074</v>
      </c>
      <c r="AK5382">
        <v>0.81718516163766097</v>
      </c>
    </row>
    <row r="5383" spans="1:37" x14ac:dyDescent="0.2">
      <c r="A5383" t="str">
        <f>"20200111160010033"</f>
        <v>20200111160010033</v>
      </c>
      <c r="B5383" t="str">
        <f>"1578729610026581"</f>
        <v>1578729610026581</v>
      </c>
      <c r="C5383" t="s">
        <v>37</v>
      </c>
      <c r="D5383">
        <v>4.7704949999999897</v>
      </c>
      <c r="E5383">
        <v>0.32457809999999998</v>
      </c>
      <c r="F5383" t="s">
        <v>38</v>
      </c>
      <c r="G5383">
        <v>-298.8956</v>
      </c>
      <c r="H5383">
        <v>1.047604</v>
      </c>
      <c r="I5383">
        <v>-45.459049999999998</v>
      </c>
      <c r="J5383">
        <v>-299.52190000000002</v>
      </c>
      <c r="K5383">
        <v>1.106171</v>
      </c>
      <c r="L5383">
        <v>-44.962709999999902</v>
      </c>
      <c r="M5383">
        <v>0.26109890000000002</v>
      </c>
      <c r="N5383">
        <v>0</v>
      </c>
      <c r="O5383">
        <v>-0.96520659999999903</v>
      </c>
      <c r="P5383">
        <v>0.34621350000000001</v>
      </c>
      <c r="Q5383">
        <v>-1.833282E-2</v>
      </c>
      <c r="R5383">
        <v>-0.93797659999999905</v>
      </c>
      <c r="S5383">
        <v>2.3476560000000002</v>
      </c>
      <c r="T5383">
        <v>-0.20263329999999999</v>
      </c>
      <c r="U5383">
        <v>-2.335175</v>
      </c>
      <c r="V5383">
        <v>-8.9253589999999994E-2</v>
      </c>
      <c r="W5383">
        <v>-4.4951339999999996E-3</v>
      </c>
      <c r="X5383">
        <v>0.99599879999999996</v>
      </c>
      <c r="Y5383">
        <v>-0.4988013</v>
      </c>
      <c r="Z5383">
        <v>6.3233310000000001E-2</v>
      </c>
      <c r="AA5383">
        <v>0.86440659999999903</v>
      </c>
      <c r="AB5383">
        <v>19</v>
      </c>
      <c r="AC5383">
        <v>0.62630000000001396</v>
      </c>
      <c r="AD5383">
        <v>-5.8567000000000001E-2</v>
      </c>
      <c r="AE5383">
        <v>-0.496340000000003</v>
      </c>
      <c r="AF5383">
        <v>-0.47242590818260399</v>
      </c>
      <c r="AG5383">
        <v>-5.8567000000000001E-2</v>
      </c>
      <c r="AH5383">
        <v>0.63922886210541896</v>
      </c>
      <c r="AI5383">
        <v>94.214070330591198</v>
      </c>
      <c r="AJ5383">
        <v>126.46647522183</v>
      </c>
      <c r="AK5383">
        <v>0.79701309296632405</v>
      </c>
    </row>
    <row r="5384" spans="1:37" x14ac:dyDescent="0.2">
      <c r="A5384" t="str">
        <f>"20200111160010055"</f>
        <v>20200111160010055</v>
      </c>
      <c r="B5384" t="str">
        <f>"1578729610046101"</f>
        <v>1578729610046101</v>
      </c>
      <c r="C5384" t="s">
        <v>37</v>
      </c>
      <c r="D5384">
        <v>4.7933949999999896</v>
      </c>
      <c r="E5384">
        <v>0.32537500000000003</v>
      </c>
      <c r="F5384" t="s">
        <v>38</v>
      </c>
      <c r="G5384">
        <v>-298.85629999999998</v>
      </c>
      <c r="H5384">
        <v>1.0521940000000001</v>
      </c>
      <c r="I5384">
        <v>-45.619799999999998</v>
      </c>
      <c r="J5384">
        <v>-299.47019999999998</v>
      </c>
      <c r="K5384">
        <v>1.1061719999999999</v>
      </c>
      <c r="L5384">
        <v>-45.13776</v>
      </c>
      <c r="M5384">
        <v>0.26441520000000002</v>
      </c>
      <c r="N5384">
        <v>0</v>
      </c>
      <c r="O5384">
        <v>-0.96430339999999903</v>
      </c>
      <c r="P5384">
        <v>0.34980319999999998</v>
      </c>
      <c r="Q5384">
        <v>-1.571589E-2</v>
      </c>
      <c r="R5384">
        <v>-0.93669159999999996</v>
      </c>
      <c r="S5384">
        <v>2.35510299999999</v>
      </c>
      <c r="T5384">
        <v>-0.19101479999999901</v>
      </c>
      <c r="U5384">
        <v>-2.325348</v>
      </c>
      <c r="V5384">
        <v>-8.9642819999999998E-2</v>
      </c>
      <c r="W5384">
        <v>-1.8830870000000001E-3</v>
      </c>
      <c r="X5384">
        <v>0.99597219999999997</v>
      </c>
      <c r="Y5384">
        <v>-0.49917429999999902</v>
      </c>
      <c r="Z5384">
        <v>5.965094E-2</v>
      </c>
      <c r="AA5384">
        <v>0.86444589999999999</v>
      </c>
      <c r="AB5384">
        <v>19</v>
      </c>
      <c r="AC5384">
        <v>0.613900000000001</v>
      </c>
      <c r="AD5384">
        <v>-5.3977999999999797E-2</v>
      </c>
      <c r="AE5384">
        <v>-0.48203999999999703</v>
      </c>
      <c r="AF5384">
        <v>-0.46236322231848698</v>
      </c>
      <c r="AG5384">
        <v>-5.3977999999999797E-2</v>
      </c>
      <c r="AH5384">
        <v>0.62423578147995595</v>
      </c>
      <c r="AI5384">
        <v>93.974854603661896</v>
      </c>
      <c r="AJ5384">
        <v>126.52686083671399</v>
      </c>
      <c r="AK5384">
        <v>0.77869357562305996</v>
      </c>
    </row>
    <row r="5385" spans="1:37" x14ac:dyDescent="0.2">
      <c r="A5385" t="str">
        <f>"20200111160010077"</f>
        <v>20200111160010077</v>
      </c>
      <c r="B5385" t="str">
        <f>"1578729610066597"</f>
        <v>1578729610066597</v>
      </c>
      <c r="C5385" t="s">
        <v>37</v>
      </c>
      <c r="D5385">
        <v>4.7855109999999996</v>
      </c>
      <c r="E5385">
        <v>0.3255325</v>
      </c>
      <c r="F5385" t="s">
        <v>38</v>
      </c>
      <c r="G5385">
        <v>-298.81700000000001</v>
      </c>
      <c r="H5385">
        <v>1.0549469999999901</v>
      </c>
      <c r="I5385">
        <v>-45.780340000000002</v>
      </c>
      <c r="J5385">
        <v>-299.41879999999998</v>
      </c>
      <c r="K5385">
        <v>1.1061829999999999</v>
      </c>
      <c r="L5385">
        <v>-45.309719999999999</v>
      </c>
      <c r="M5385">
        <v>0.26767249999999998</v>
      </c>
      <c r="N5385">
        <v>0</v>
      </c>
      <c r="O5385">
        <v>-0.96340439999999905</v>
      </c>
      <c r="P5385">
        <v>0.35286970000000001</v>
      </c>
      <c r="Q5385">
        <v>-1.2794140000000001E-2</v>
      </c>
      <c r="R5385">
        <v>-0.93558519999999901</v>
      </c>
      <c r="S5385">
        <v>2.35818499999999</v>
      </c>
      <c r="T5385">
        <v>-0.18488679999999999</v>
      </c>
      <c r="U5385">
        <v>-2.319</v>
      </c>
      <c r="V5385">
        <v>-8.9539859999999999E-2</v>
      </c>
      <c r="W5385">
        <v>1.0364689999999999E-3</v>
      </c>
      <c r="X5385">
        <v>0.995982699999999</v>
      </c>
      <c r="Y5385">
        <v>-0.49807390000000001</v>
      </c>
      <c r="Z5385">
        <v>5.777057E-2</v>
      </c>
      <c r="AA5385">
        <v>0.86520810000000004</v>
      </c>
      <c r="AB5385">
        <v>19</v>
      </c>
      <c r="AC5385">
        <v>0.60179999999996803</v>
      </c>
      <c r="AD5385">
        <v>-5.1235999999999997E-2</v>
      </c>
      <c r="AE5385">
        <v>-0.47062000000000298</v>
      </c>
      <c r="AF5385">
        <v>-0.45181870144465702</v>
      </c>
      <c r="AG5385">
        <v>-5.1235999999999997E-2</v>
      </c>
      <c r="AH5385">
        <v>0.61179346247630695</v>
      </c>
      <c r="AI5385">
        <v>93.854040027593499</v>
      </c>
      <c r="AJ5385">
        <v>126.446427072454</v>
      </c>
      <c r="AK5385">
        <v>0.76227062609016105</v>
      </c>
    </row>
    <row r="5386" spans="1:37" x14ac:dyDescent="0.2">
      <c r="A5386" t="str">
        <f>"20200111160010100"</f>
        <v>20200111160010100</v>
      </c>
      <c r="B5386" t="str">
        <f>"1578729610095876"</f>
        <v>1578729610095876</v>
      </c>
      <c r="C5386" t="s">
        <v>37</v>
      </c>
      <c r="D5386">
        <v>4.7311129999999997</v>
      </c>
      <c r="E5386">
        <v>0.3257526</v>
      </c>
      <c r="F5386" t="s">
        <v>38</v>
      </c>
      <c r="G5386">
        <v>-298.7749</v>
      </c>
      <c r="H5386">
        <v>1.05765</v>
      </c>
      <c r="I5386">
        <v>-45.9392</v>
      </c>
      <c r="J5386">
        <v>-299.36529999999999</v>
      </c>
      <c r="K5386">
        <v>1.1061809999999901</v>
      </c>
      <c r="L5386">
        <v>-45.486600000000003</v>
      </c>
      <c r="M5386">
        <v>0.27102150000000003</v>
      </c>
      <c r="N5386">
        <v>0</v>
      </c>
      <c r="O5386">
        <v>-0.96246779999999998</v>
      </c>
      <c r="P5386">
        <v>0.35560140000000001</v>
      </c>
      <c r="Q5386">
        <v>-1.039148E-2</v>
      </c>
      <c r="R5386">
        <v>-0.93458009999999903</v>
      </c>
      <c r="S5386">
        <v>2.3648380000000002</v>
      </c>
      <c r="T5386">
        <v>-0.17826500000000001</v>
      </c>
      <c r="U5386">
        <v>-2.312195</v>
      </c>
      <c r="V5386">
        <v>-8.8987990000000003E-2</v>
      </c>
      <c r="W5386">
        <v>3.4392450000000001E-3</v>
      </c>
      <c r="X5386">
        <v>0.99602679999999999</v>
      </c>
      <c r="Y5386">
        <v>-0.49763459999999998</v>
      </c>
      <c r="Z5386">
        <v>5.5701109999999998E-2</v>
      </c>
      <c r="AA5386">
        <v>0.86559640000000004</v>
      </c>
      <c r="AB5386">
        <v>19</v>
      </c>
      <c r="AC5386">
        <v>0.59039999999998805</v>
      </c>
      <c r="AD5386">
        <v>-4.8530999999999803E-2</v>
      </c>
      <c r="AE5386">
        <v>-0.45259999999999601</v>
      </c>
      <c r="AF5386">
        <v>-0.44373345403509201</v>
      </c>
      <c r="AG5386">
        <v>-4.8530999999999803E-2</v>
      </c>
      <c r="AH5386">
        <v>0.59316011907680999</v>
      </c>
      <c r="AI5386">
        <v>93.748340509983294</v>
      </c>
      <c r="AJ5386">
        <v>126.799565929021</v>
      </c>
      <c r="AK5386">
        <v>0.74235676265130701</v>
      </c>
    </row>
    <row r="5387" spans="1:37" x14ac:dyDescent="0.2">
      <c r="A5387" t="str">
        <f>"20200111160010124"</f>
        <v>20200111160010124</v>
      </c>
      <c r="B5387" t="str">
        <f>"1578729610116372"</f>
        <v>1578729610116372</v>
      </c>
      <c r="C5387" t="s">
        <v>37</v>
      </c>
      <c r="D5387">
        <v>4.8179230000000004</v>
      </c>
      <c r="E5387">
        <v>0.3259591</v>
      </c>
      <c r="F5387" t="s">
        <v>38</v>
      </c>
      <c r="G5387">
        <v>-298.73570000000001</v>
      </c>
      <c r="H5387">
        <v>1.060541</v>
      </c>
      <c r="I5387">
        <v>-46.099429999999998</v>
      </c>
      <c r="J5387">
        <v>-299.3091</v>
      </c>
      <c r="K5387">
        <v>1.1061859999999999</v>
      </c>
      <c r="L5387">
        <v>-45.670349999999999</v>
      </c>
      <c r="M5387">
        <v>0.27450019999999897</v>
      </c>
      <c r="N5387">
        <v>0</v>
      </c>
      <c r="O5387">
        <v>-0.96148159999999905</v>
      </c>
      <c r="P5387">
        <v>0.35821759999999903</v>
      </c>
      <c r="Q5387">
        <v>-9.3050379999999999E-3</v>
      </c>
      <c r="R5387">
        <v>-0.93359210000000004</v>
      </c>
      <c r="S5387">
        <v>2.37002599999999</v>
      </c>
      <c r="T5387">
        <v>-0.17177829999999999</v>
      </c>
      <c r="U5387">
        <v>-2.306305</v>
      </c>
      <c r="V5387">
        <v>-8.8176859999999996E-2</v>
      </c>
      <c r="W5387">
        <v>4.5269020000000002E-3</v>
      </c>
      <c r="X5387">
        <v>0.99609449999999999</v>
      </c>
      <c r="Y5387">
        <v>-0.49663170000000001</v>
      </c>
      <c r="Z5387">
        <v>5.3673989999999998E-2</v>
      </c>
      <c r="AA5387">
        <v>0.86630019999999996</v>
      </c>
      <c r="AB5387">
        <v>18</v>
      </c>
      <c r="AC5387">
        <v>0.57339999999999203</v>
      </c>
      <c r="AD5387">
        <v>-4.5645000000000102E-2</v>
      </c>
      <c r="AE5387">
        <v>-0.42907999999999802</v>
      </c>
      <c r="AF5387">
        <v>-0.43182084293976197</v>
      </c>
      <c r="AG5387">
        <v>-4.5645000000000102E-2</v>
      </c>
      <c r="AH5387">
        <v>0.56770263976159596</v>
      </c>
      <c r="AI5387">
        <v>93.661588023867907</v>
      </c>
      <c r="AJ5387">
        <v>127.258294760552</v>
      </c>
      <c r="AK5387">
        <v>0.71473001449113105</v>
      </c>
    </row>
    <row r="5388" spans="1:37" x14ac:dyDescent="0.2">
      <c r="A5388" t="str">
        <f>"20200111160010145"</f>
        <v>20200111160010145</v>
      </c>
      <c r="B5388" t="str">
        <f>"1578729610135973"</f>
        <v>1578729610135973</v>
      </c>
      <c r="C5388" t="s">
        <v>37</v>
      </c>
      <c r="D5388">
        <v>4.8282069999999999</v>
      </c>
      <c r="E5388">
        <v>0.32629530000000001</v>
      </c>
      <c r="F5388" t="s">
        <v>38</v>
      </c>
      <c r="G5388">
        <v>-298.6986</v>
      </c>
      <c r="H5388">
        <v>1.062041</v>
      </c>
      <c r="I5388">
        <v>-46.261600000000001</v>
      </c>
      <c r="J5388">
        <v>-299.25729999999999</v>
      </c>
      <c r="K5388">
        <v>1.106187</v>
      </c>
      <c r="L5388">
        <v>-45.83746</v>
      </c>
      <c r="M5388">
        <v>0.27766819999999998</v>
      </c>
      <c r="N5388">
        <v>0</v>
      </c>
      <c r="O5388">
        <v>-0.96057150000000002</v>
      </c>
      <c r="P5388">
        <v>0.36105490000000001</v>
      </c>
      <c r="Q5388">
        <v>-8.6830740000000007E-3</v>
      </c>
      <c r="R5388">
        <v>-0.93250429999999995</v>
      </c>
      <c r="S5388">
        <v>2.3751220000000002</v>
      </c>
      <c r="T5388">
        <v>-0.17174400000000001</v>
      </c>
      <c r="U5388">
        <v>-2.300354</v>
      </c>
      <c r="V5388">
        <v>-8.7922959999999994E-2</v>
      </c>
      <c r="W5388">
        <v>5.1467819999999999E-3</v>
      </c>
      <c r="X5388">
        <v>0.99611399999999894</v>
      </c>
      <c r="Y5388">
        <v>-0.4958206</v>
      </c>
      <c r="Z5388">
        <v>5.3660590000000001E-2</v>
      </c>
      <c r="AA5388">
        <v>0.86676549999999997</v>
      </c>
      <c r="AB5388">
        <v>18</v>
      </c>
      <c r="AC5388">
        <v>0.55869999999998698</v>
      </c>
      <c r="AD5388">
        <v>-4.4145999999999998E-2</v>
      </c>
      <c r="AE5388">
        <v>-0.42414000000000102</v>
      </c>
      <c r="AF5388">
        <v>-0.41729078063620201</v>
      </c>
      <c r="AG5388">
        <v>-4.4145999999999998E-2</v>
      </c>
      <c r="AH5388">
        <v>0.56038748278713302</v>
      </c>
      <c r="AI5388">
        <v>93.615375511024396</v>
      </c>
      <c r="AJ5388">
        <v>126.67309692471601</v>
      </c>
      <c r="AK5388">
        <v>0.70008184934653905</v>
      </c>
    </row>
    <row r="5389" spans="1:37" x14ac:dyDescent="0.2">
      <c r="A5389" t="str">
        <f>"20200111160010167"</f>
        <v>20200111160010167</v>
      </c>
      <c r="B5389" t="str">
        <f>"1578729610156468"</f>
        <v>1578729610156468</v>
      </c>
      <c r="C5389" t="s">
        <v>37</v>
      </c>
      <c r="D5389">
        <v>4.5996519999999999</v>
      </c>
      <c r="E5389">
        <v>0.32591559999999897</v>
      </c>
      <c r="F5389" t="s">
        <v>38</v>
      </c>
      <c r="G5389">
        <v>-298.53489999999999</v>
      </c>
      <c r="H5389">
        <v>1.0533239999999999</v>
      </c>
      <c r="I5389">
        <v>-46.533740000000002</v>
      </c>
      <c r="J5389">
        <v>-299.20330000000001</v>
      </c>
      <c r="K5389">
        <v>1.1061920000000001</v>
      </c>
      <c r="L5389">
        <v>-46.009279999999997</v>
      </c>
      <c r="M5389">
        <v>0.2809335</v>
      </c>
      <c r="N5389">
        <v>0</v>
      </c>
      <c r="O5389">
        <v>-0.95962179999999997</v>
      </c>
      <c r="P5389">
        <v>0.3648441</v>
      </c>
      <c r="Q5389">
        <v>-8.2532719999999903E-3</v>
      </c>
      <c r="R5389">
        <v>-0.93103219999999998</v>
      </c>
      <c r="S5389">
        <v>2.379883</v>
      </c>
      <c r="T5389">
        <v>-0.1741626</v>
      </c>
      <c r="U5389">
        <v>-2.2940369999999999</v>
      </c>
      <c r="V5389">
        <v>-8.8586760000000001E-2</v>
      </c>
      <c r="W5389">
        <v>5.569254E-3</v>
      </c>
      <c r="X5389">
        <v>0.99605290000000002</v>
      </c>
      <c r="Y5389">
        <v>-0.49489650000000002</v>
      </c>
      <c r="Z5389">
        <v>5.4417559999999997E-2</v>
      </c>
      <c r="AA5389">
        <v>0.86724630000000003</v>
      </c>
      <c r="AB5389">
        <v>18</v>
      </c>
      <c r="AC5389">
        <v>0.66840000000001898</v>
      </c>
      <c r="AD5389">
        <v>-5.2868000000000102E-2</v>
      </c>
      <c r="AE5389">
        <v>-0.52446000000000403</v>
      </c>
      <c r="AF5389">
        <v>-0.49221686157816402</v>
      </c>
      <c r="AG5389">
        <v>-5.2868000000000102E-2</v>
      </c>
      <c r="AH5389">
        <v>0.68846326254046997</v>
      </c>
      <c r="AI5389">
        <v>93.574509703272597</v>
      </c>
      <c r="AJ5389">
        <v>125.562875139957</v>
      </c>
      <c r="AK5389">
        <v>0.84797059389682095</v>
      </c>
    </row>
    <row r="5390" spans="1:37" x14ac:dyDescent="0.2">
      <c r="A5390" t="str">
        <f>"20200111160010189"</f>
        <v>20200111160010189</v>
      </c>
      <c r="B5390" t="str">
        <f>"1578729610186724"</f>
        <v>1578729610186724</v>
      </c>
      <c r="C5390" t="s">
        <v>37</v>
      </c>
      <c r="D5390">
        <v>4.7389229999999998</v>
      </c>
      <c r="E5390">
        <v>0.3260092</v>
      </c>
      <c r="F5390" t="s">
        <v>38</v>
      </c>
      <c r="G5390">
        <v>-298.49040000000002</v>
      </c>
      <c r="H5390">
        <v>1.0552520000000001</v>
      </c>
      <c r="I5390">
        <v>-46.689970000000002</v>
      </c>
      <c r="J5390">
        <v>-299.14839999999998</v>
      </c>
      <c r="K5390">
        <v>1.1061909999999999</v>
      </c>
      <c r="L5390">
        <v>-46.182009999999998</v>
      </c>
      <c r="M5390">
        <v>0.2842269</v>
      </c>
      <c r="N5390">
        <v>0</v>
      </c>
      <c r="O5390">
        <v>-0.95865149999999999</v>
      </c>
      <c r="P5390">
        <v>0.36928689999999997</v>
      </c>
      <c r="Q5390">
        <v>-8.0412279999999992E-3</v>
      </c>
      <c r="R5390">
        <v>-0.92928080000000002</v>
      </c>
      <c r="S5390">
        <v>2.3916930000000001</v>
      </c>
      <c r="T5390">
        <v>-0.17089089999999901</v>
      </c>
      <c r="U5390">
        <v>-2.2834779999999899</v>
      </c>
      <c r="V5390">
        <v>-8.992501E-2</v>
      </c>
      <c r="W5390">
        <v>5.7695230000000004E-3</v>
      </c>
      <c r="X5390">
        <v>0.99593180000000003</v>
      </c>
      <c r="Y5390">
        <v>-0.496098499999999</v>
      </c>
      <c r="Z5390">
        <v>5.33842E-2</v>
      </c>
      <c r="AA5390">
        <v>0.86662359999999905</v>
      </c>
      <c r="AB5390">
        <v>18</v>
      </c>
      <c r="AC5390">
        <v>0.65799999999995795</v>
      </c>
      <c r="AD5390">
        <v>-5.0938999999999797E-2</v>
      </c>
      <c r="AE5390">
        <v>-0.50796000000000396</v>
      </c>
      <c r="AF5390">
        <v>-0.48464608350074001</v>
      </c>
      <c r="AG5390">
        <v>-5.0938999999999797E-2</v>
      </c>
      <c r="AH5390">
        <v>0.67152442833029902</v>
      </c>
      <c r="AI5390">
        <v>93.519808066340701</v>
      </c>
      <c r="AJ5390">
        <v>125.818371187971</v>
      </c>
      <c r="AK5390">
        <v>0.82971179684149399</v>
      </c>
    </row>
    <row r="5391" spans="1:37" x14ac:dyDescent="0.2">
      <c r="A5391" t="str">
        <f>"20200111160010212"</f>
        <v>20200111160010212</v>
      </c>
      <c r="B5391" t="str">
        <f>"1578729610206244"</f>
        <v>1578729610206244</v>
      </c>
      <c r="C5391" t="s">
        <v>37</v>
      </c>
      <c r="D5391">
        <v>4.7121409999999999</v>
      </c>
      <c r="E5391">
        <v>0.32592120000000002</v>
      </c>
      <c r="F5391" t="s">
        <v>38</v>
      </c>
      <c r="G5391">
        <v>-298.44630000000001</v>
      </c>
      <c r="H5391">
        <v>1.055828</v>
      </c>
      <c r="I5391">
        <v>-46.84619</v>
      </c>
      <c r="J5391">
        <v>-299.09309999999999</v>
      </c>
      <c r="K5391">
        <v>1.1061909999999999</v>
      </c>
      <c r="L5391">
        <v>-46.353760000000001</v>
      </c>
      <c r="M5391">
        <v>0.287518</v>
      </c>
      <c r="N5391">
        <v>0</v>
      </c>
      <c r="O5391">
        <v>-0.95766949999999995</v>
      </c>
      <c r="P5391">
        <v>0.3750965</v>
      </c>
      <c r="Q5391">
        <v>-8.4243679999999998E-3</v>
      </c>
      <c r="R5391">
        <v>-0.92694769999999904</v>
      </c>
      <c r="S5391">
        <v>2.4019169999999899</v>
      </c>
      <c r="T5391">
        <v>-0.172297799999999</v>
      </c>
      <c r="U5391">
        <v>-2.2723080000000002</v>
      </c>
      <c r="V5391">
        <v>-9.273671E-2</v>
      </c>
      <c r="W5391">
        <v>5.3661250000000002E-3</v>
      </c>
      <c r="X5391">
        <v>0.99567619999999901</v>
      </c>
      <c r="Y5391">
        <v>-0.49706729999999999</v>
      </c>
      <c r="Z5391">
        <v>5.3830679999999999E-2</v>
      </c>
      <c r="AA5391">
        <v>0.86604059999999905</v>
      </c>
      <c r="AB5391">
        <v>18</v>
      </c>
      <c r="AC5391">
        <v>0.64679999999998405</v>
      </c>
      <c r="AD5391">
        <v>-5.0362999999999901E-2</v>
      </c>
      <c r="AE5391">
        <v>-0.49242999999999798</v>
      </c>
      <c r="AF5391">
        <v>-0.47605932454303101</v>
      </c>
      <c r="AG5391">
        <v>-5.0362999999999901E-2</v>
      </c>
      <c r="AH5391">
        <v>0.65510400562218196</v>
      </c>
      <c r="AI5391">
        <v>93.5587019539755</v>
      </c>
      <c r="AJ5391">
        <v>126.005632617288</v>
      </c>
      <c r="AK5391">
        <v>0.81137548054867603</v>
      </c>
    </row>
    <row r="5392" spans="1:37" x14ac:dyDescent="0.2">
      <c r="A5392" t="str">
        <f>"20200111160010234"</f>
        <v>20200111160010234</v>
      </c>
      <c r="B5392" t="str">
        <f>"1578729610225764"</f>
        <v>1578729610225764</v>
      </c>
      <c r="C5392" t="s">
        <v>37</v>
      </c>
      <c r="D5392">
        <v>4.706245</v>
      </c>
      <c r="E5392">
        <v>0.32592840000000001</v>
      </c>
      <c r="F5392" t="s">
        <v>38</v>
      </c>
      <c r="G5392">
        <v>-298.40010000000001</v>
      </c>
      <c r="H5392">
        <v>1.0563849999999999</v>
      </c>
      <c r="I5392">
        <v>-47.000999999999998</v>
      </c>
      <c r="J5392">
        <v>-299.03629999999998</v>
      </c>
      <c r="K5392">
        <v>1.106193</v>
      </c>
      <c r="L5392">
        <v>-46.528259999999896</v>
      </c>
      <c r="M5392">
        <v>0.2908908</v>
      </c>
      <c r="N5392">
        <v>0</v>
      </c>
      <c r="O5392">
        <v>-0.95665059999999902</v>
      </c>
      <c r="P5392">
        <v>0.38152589999999997</v>
      </c>
      <c r="Q5392">
        <v>-1.0139509999999999E-2</v>
      </c>
      <c r="R5392">
        <v>-0.92430290000000004</v>
      </c>
      <c r="S5392">
        <v>2.4168699999999999</v>
      </c>
      <c r="T5392">
        <v>-0.173678799999999</v>
      </c>
      <c r="U5392">
        <v>-2.2568359999999998</v>
      </c>
      <c r="V5392">
        <v>-9.6141519999999994E-2</v>
      </c>
      <c r="W5392">
        <v>3.6261639999999999E-3</v>
      </c>
      <c r="X5392">
        <v>0.995361099999999</v>
      </c>
      <c r="Y5392">
        <v>-0.49962640000000003</v>
      </c>
      <c r="Z5392">
        <v>5.4274070000000001E-2</v>
      </c>
      <c r="AA5392">
        <v>0.8645391</v>
      </c>
      <c r="AB5392">
        <v>18</v>
      </c>
      <c r="AC5392">
        <v>0.63619999999997301</v>
      </c>
      <c r="AD5392">
        <v>-4.9807999999999797E-2</v>
      </c>
      <c r="AE5392">
        <v>-0.47274000000000799</v>
      </c>
      <c r="AF5392">
        <v>-0.469299802279871</v>
      </c>
      <c r="AG5392">
        <v>-4.9807999999999797E-2</v>
      </c>
      <c r="AH5392">
        <v>0.63486912451539201</v>
      </c>
      <c r="AI5392">
        <v>93.609920105041297</v>
      </c>
      <c r="AJ5392">
        <v>126.472077182783</v>
      </c>
      <c r="AK5392">
        <v>0.79106380687455802</v>
      </c>
    </row>
    <row r="5393" spans="1:37" x14ac:dyDescent="0.2">
      <c r="A5393" t="str">
        <f>"20200111160010257"</f>
        <v>20200111160010257</v>
      </c>
      <c r="B5393" t="str">
        <f>"1578729610246264"</f>
        <v>1578729610246264</v>
      </c>
      <c r="C5393" t="s">
        <v>37</v>
      </c>
      <c r="D5393">
        <v>4.987622</v>
      </c>
      <c r="E5393">
        <v>0.32566879999999998</v>
      </c>
      <c r="F5393" t="s">
        <v>38</v>
      </c>
      <c r="G5393">
        <v>-298.3546</v>
      </c>
      <c r="H5393">
        <v>1.0558419999999999</v>
      </c>
      <c r="I5393">
        <v>-47.155940000000001</v>
      </c>
      <c r="J5393">
        <v>-298.98079999999999</v>
      </c>
      <c r="K5393">
        <v>1.1062049999999899</v>
      </c>
      <c r="L5393">
        <v>-46.69632</v>
      </c>
      <c r="M5393">
        <v>0.29417880000000002</v>
      </c>
      <c r="N5393">
        <v>0</v>
      </c>
      <c r="O5393">
        <v>-0.95564450000000001</v>
      </c>
      <c r="P5393">
        <v>0.38836659999999901</v>
      </c>
      <c r="Q5393">
        <v>-1.29585E-2</v>
      </c>
      <c r="R5393">
        <v>-0.921413699999999</v>
      </c>
      <c r="S5393">
        <v>2.4323730000000001</v>
      </c>
      <c r="T5393">
        <v>-0.17966189999999899</v>
      </c>
      <c r="U5393">
        <v>-2.239716</v>
      </c>
      <c r="V5393">
        <v>-0.10009410000000001</v>
      </c>
      <c r="W5393">
        <v>7.7754649999999903E-4</v>
      </c>
      <c r="X5393">
        <v>0.99497769999999996</v>
      </c>
      <c r="Y5393">
        <v>-0.50260590000000005</v>
      </c>
      <c r="Z5393">
        <v>5.6166380000000002E-2</v>
      </c>
      <c r="AA5393">
        <v>0.86268929999999999</v>
      </c>
      <c r="AB5393">
        <v>18</v>
      </c>
      <c r="AC5393">
        <v>0.62619999999998299</v>
      </c>
      <c r="AD5393">
        <v>-5.0362999999999901E-2</v>
      </c>
      <c r="AE5393">
        <v>-0.45962000000000103</v>
      </c>
      <c r="AF5393">
        <v>-0.46132174520997898</v>
      </c>
      <c r="AG5393">
        <v>-5.0362999999999901E-2</v>
      </c>
      <c r="AH5393">
        <v>0.62090110106451002</v>
      </c>
      <c r="AI5393">
        <v>93.725196005195102</v>
      </c>
      <c r="AJ5393">
        <v>126.61188677253</v>
      </c>
      <c r="AK5393">
        <v>0.77515957175003802</v>
      </c>
    </row>
    <row r="5394" spans="1:37" x14ac:dyDescent="0.2">
      <c r="A5394" t="str">
        <f>"20200111160010279"</f>
        <v>20200111160010279</v>
      </c>
      <c r="B5394" t="str">
        <f>"1578729610276521"</f>
        <v>1578729610276521</v>
      </c>
      <c r="C5394" t="s">
        <v>37</v>
      </c>
      <c r="D5394">
        <v>4.949363</v>
      </c>
      <c r="E5394">
        <v>0.26741520000000002</v>
      </c>
      <c r="F5394" t="s">
        <v>38</v>
      </c>
      <c r="G5394">
        <v>-298.30520000000001</v>
      </c>
      <c r="H5394">
        <v>1.05433</v>
      </c>
      <c r="I5394">
        <v>-47.308509999999998</v>
      </c>
      <c r="J5394">
        <v>-298.92239999999998</v>
      </c>
      <c r="K5394">
        <v>1.106233</v>
      </c>
      <c r="L5394">
        <v>-46.871119999999998</v>
      </c>
      <c r="M5394">
        <v>0.29765570000000002</v>
      </c>
      <c r="N5394">
        <v>0</v>
      </c>
      <c r="O5394">
        <v>-0.95456739999999995</v>
      </c>
      <c r="P5394">
        <v>0.39491209999999999</v>
      </c>
      <c r="Q5394">
        <v>-1.573397E-2</v>
      </c>
      <c r="R5394">
        <v>-0.91858430000000002</v>
      </c>
      <c r="S5394">
        <v>2.4505619999999899</v>
      </c>
      <c r="T5394">
        <v>-0.18815580000000001</v>
      </c>
      <c r="U5394">
        <v>-2.2203369999999998</v>
      </c>
      <c r="V5394">
        <v>-0.103551</v>
      </c>
      <c r="W5394">
        <v>-2.027203E-3</v>
      </c>
      <c r="X5394">
        <v>0.99462209999999995</v>
      </c>
      <c r="Y5394">
        <v>-0.50627270000000002</v>
      </c>
      <c r="Z5394">
        <v>5.8838660000000001E-2</v>
      </c>
      <c r="AA5394">
        <v>0.86036389999999996</v>
      </c>
      <c r="AB5394">
        <v>18</v>
      </c>
      <c r="AC5394">
        <v>0.617199999999968</v>
      </c>
      <c r="AD5394">
        <v>-5.1902999999999998E-2</v>
      </c>
      <c r="AE5394">
        <v>-0.43739</v>
      </c>
      <c r="AF5394">
        <v>-0.45686303098349001</v>
      </c>
      <c r="AG5394">
        <v>-5.1902999999999998E-2</v>
      </c>
      <c r="AH5394">
        <v>0.59847471854928502</v>
      </c>
      <c r="AI5394">
        <v>93.943455537022203</v>
      </c>
      <c r="AJ5394">
        <v>127.357353881634</v>
      </c>
      <c r="AK5394">
        <v>0.75471169278809203</v>
      </c>
    </row>
    <row r="5395" spans="1:37" x14ac:dyDescent="0.2">
      <c r="A5395" t="str">
        <f>"20200111160010301"</f>
        <v>20200111160010301</v>
      </c>
      <c r="B5395" t="str">
        <f>"1578729610296040"</f>
        <v>1578729610296040</v>
      </c>
      <c r="C5395" t="s">
        <v>37</v>
      </c>
      <c r="D5395">
        <v>5.6600970000000004</v>
      </c>
      <c r="E5395">
        <v>0.34420079999999997</v>
      </c>
      <c r="F5395" t="s">
        <v>38</v>
      </c>
      <c r="G5395">
        <v>-298.15699999999998</v>
      </c>
      <c r="H5395">
        <v>1.0547770000000001</v>
      </c>
      <c r="I5395">
        <v>-47.405119999999997</v>
      </c>
      <c r="J5395">
        <v>-298.86500000000001</v>
      </c>
      <c r="K5395">
        <v>1.1062700000000001</v>
      </c>
      <c r="L5395">
        <v>-47.040990000000001</v>
      </c>
      <c r="M5395">
        <v>0.3011064</v>
      </c>
      <c r="N5395">
        <v>0</v>
      </c>
      <c r="O5395">
        <v>-0.95348469999999996</v>
      </c>
      <c r="P5395">
        <v>0.40092</v>
      </c>
      <c r="Q5395">
        <v>-1.9506140000000002E-2</v>
      </c>
      <c r="R5395">
        <v>-0.91590590000000005</v>
      </c>
      <c r="S5395">
        <v>2.8932500000000001</v>
      </c>
      <c r="T5395">
        <v>-0.194517299999999</v>
      </c>
      <c r="U5395">
        <v>-2.018707</v>
      </c>
      <c r="V5395">
        <v>-0.10647189999999999</v>
      </c>
      <c r="W5395">
        <v>-5.8286830000000003E-3</v>
      </c>
      <c r="X5395">
        <v>0.99429859999999903</v>
      </c>
      <c r="Y5395">
        <v>-0.60831219999999997</v>
      </c>
      <c r="Z5395">
        <v>5.8131809999999999E-2</v>
      </c>
      <c r="AA5395">
        <v>0.79156610000000005</v>
      </c>
      <c r="AB5395">
        <v>18</v>
      </c>
      <c r="AC5395">
        <v>0.70800000000002605</v>
      </c>
      <c r="AD5395">
        <v>-5.1492999999999997E-2</v>
      </c>
      <c r="AE5395">
        <v>-0.36413000000000201</v>
      </c>
      <c r="AF5395">
        <v>-0.56312671074460496</v>
      </c>
      <c r="AG5395">
        <v>-5.1492999999999997E-2</v>
      </c>
      <c r="AH5395">
        <v>0.558097659284291</v>
      </c>
      <c r="AI5395">
        <v>93.716031497476294</v>
      </c>
      <c r="AJ5395">
        <v>135.256988252356</v>
      </c>
      <c r="AK5395">
        <v>0.79450375625395397</v>
      </c>
    </row>
    <row r="5396" spans="1:37" x14ac:dyDescent="0.2">
      <c r="A5396" t="str">
        <f>"20200111160010324"</f>
        <v>20200111160010324</v>
      </c>
      <c r="B5396" t="str">
        <f>"1578729610316537"</f>
        <v>1578729610316537</v>
      </c>
      <c r="C5396" t="s">
        <v>37</v>
      </c>
      <c r="D5396">
        <v>5.702763</v>
      </c>
      <c r="E5396">
        <v>0.37826500000000002</v>
      </c>
      <c r="F5396" t="s">
        <v>39</v>
      </c>
      <c r="G5396">
        <v>-279.23009999999999</v>
      </c>
      <c r="H5396" s="1">
        <v>-3.9119090000000002E-6</v>
      </c>
      <c r="I5396">
        <v>-65.870319999999893</v>
      </c>
      <c r="J5396">
        <v>-298.8066</v>
      </c>
      <c r="K5396">
        <v>1.1063259999999999</v>
      </c>
      <c r="L5396">
        <v>-47.211269999999999</v>
      </c>
      <c r="M5396">
        <v>0.30465609999999999</v>
      </c>
      <c r="N5396">
        <v>0</v>
      </c>
      <c r="O5396">
        <v>-0.95235630000000004</v>
      </c>
      <c r="P5396">
        <v>0.40567049999999999</v>
      </c>
      <c r="Q5396">
        <v>-2.2061790000000001E-2</v>
      </c>
      <c r="R5396">
        <v>-0.9137535</v>
      </c>
      <c r="S5396">
        <v>2.3431090000000001</v>
      </c>
      <c r="T5396">
        <v>-0.13201599999999999</v>
      </c>
      <c r="U5396">
        <v>-2.2469790000000001</v>
      </c>
      <c r="V5396">
        <v>-0.1079363</v>
      </c>
      <c r="W5396">
        <v>-8.4077830000000003E-3</v>
      </c>
      <c r="X5396">
        <v>0.99412230000000001</v>
      </c>
      <c r="Y5396">
        <v>-0.47590329999999897</v>
      </c>
      <c r="Z5396">
        <v>4.1838099999999899E-2</v>
      </c>
      <c r="AA5396">
        <v>0.87850189999999995</v>
      </c>
      <c r="AB5396">
        <v>18</v>
      </c>
      <c r="AC5396">
        <v>19.576499999999999</v>
      </c>
      <c r="AD5396">
        <v>-1.106329911909</v>
      </c>
      <c r="AE5396">
        <v>-18.659049999999901</v>
      </c>
      <c r="AF5396">
        <v>-12.938867038731001</v>
      </c>
      <c r="AG5396">
        <v>-1.106329911909</v>
      </c>
      <c r="AH5396">
        <v>23.6969073560374</v>
      </c>
      <c r="AI5396">
        <v>92.346460409356695</v>
      </c>
      <c r="AJ5396">
        <v>118.635202641468</v>
      </c>
      <c r="AK5396">
        <v>27.021873812905099</v>
      </c>
    </row>
    <row r="5397" spans="1:37" x14ac:dyDescent="0.2">
      <c r="A5397" t="str">
        <f>"20200111160010346"</f>
        <v>20200111160010346</v>
      </c>
      <c r="B5397" t="str">
        <f>"1578729610336565"</f>
        <v>1578729610336565</v>
      </c>
      <c r="C5397" t="s">
        <v>37</v>
      </c>
      <c r="D5397">
        <v>5.0215120000000004</v>
      </c>
      <c r="E5397">
        <v>0.3503869</v>
      </c>
      <c r="F5397" t="s">
        <v>39</v>
      </c>
      <c r="G5397">
        <v>-277.98910000000001</v>
      </c>
      <c r="H5397">
        <v>6.6990110000000005E-2</v>
      </c>
      <c r="I5397">
        <v>-70.400669999999906</v>
      </c>
      <c r="J5397">
        <v>-298.74930000000001</v>
      </c>
      <c r="K5397">
        <v>1.106382</v>
      </c>
      <c r="L5397">
        <v>-47.375639999999997</v>
      </c>
      <c r="M5397">
        <v>0.30819419999999997</v>
      </c>
      <c r="N5397">
        <v>0</v>
      </c>
      <c r="O5397">
        <v>-0.95121719999999899</v>
      </c>
      <c r="P5397">
        <v>0.40993990000000002</v>
      </c>
      <c r="Q5397">
        <v>-2.290099E-2</v>
      </c>
      <c r="R5397">
        <v>-0.91182540000000001</v>
      </c>
      <c r="S5397">
        <v>2.105804</v>
      </c>
      <c r="T5397">
        <v>-0.10513450000000001</v>
      </c>
      <c r="U5397">
        <v>-2.3457340000000002</v>
      </c>
      <c r="V5397">
        <v>-0.108892</v>
      </c>
      <c r="W5397">
        <v>-9.2688189999999993E-3</v>
      </c>
      <c r="X5397">
        <v>0.99401039999999996</v>
      </c>
      <c r="Y5397">
        <v>-0.40574329999999997</v>
      </c>
      <c r="Z5397">
        <v>3.3890150000000001E-2</v>
      </c>
      <c r="AA5397">
        <v>0.91335849999999996</v>
      </c>
      <c r="AB5397">
        <v>18</v>
      </c>
      <c r="AC5397">
        <v>20.760200000000001</v>
      </c>
      <c r="AD5397">
        <v>-1.0393918900000001</v>
      </c>
      <c r="AE5397">
        <v>-23.025029999999902</v>
      </c>
      <c r="AF5397">
        <v>-12.6383519608369</v>
      </c>
      <c r="AG5397">
        <v>-1.0393918900000001</v>
      </c>
      <c r="AH5397">
        <v>28.271061825616599</v>
      </c>
      <c r="AI5397">
        <v>91.9223567110365</v>
      </c>
      <c r="AJ5397">
        <v>114.086648845551</v>
      </c>
      <c r="AK5397">
        <v>30.984854566946499</v>
      </c>
    </row>
    <row r="5398" spans="1:37" x14ac:dyDescent="0.2">
      <c r="A5398" t="str">
        <f>"20200111160010368"</f>
        <v>20200111160010368</v>
      </c>
      <c r="B5398" t="str">
        <f>"1578729610366820"</f>
        <v>1578729610366820</v>
      </c>
      <c r="C5398" t="s">
        <v>37</v>
      </c>
      <c r="D5398">
        <v>5.0434739999999998</v>
      </c>
      <c r="E5398">
        <v>0.36147590000000002</v>
      </c>
      <c r="F5398" t="s">
        <v>39</v>
      </c>
      <c r="G5398">
        <v>-276.07889999999998</v>
      </c>
      <c r="H5398" s="1">
        <v>-3.2982719999999999E-6</v>
      </c>
      <c r="I5398">
        <v>-69.302090000000007</v>
      </c>
      <c r="J5398">
        <v>-298.69049999999999</v>
      </c>
      <c r="K5398">
        <v>1.1064499999999999</v>
      </c>
      <c r="L5398">
        <v>-47.541870000000003</v>
      </c>
      <c r="M5398">
        <v>0.31189539999999999</v>
      </c>
      <c r="N5398">
        <v>0</v>
      </c>
      <c r="O5398">
        <v>-0.95001009999999997</v>
      </c>
      <c r="P5398">
        <v>0.4137805</v>
      </c>
      <c r="Q5398">
        <v>-2.3768859999999999E-2</v>
      </c>
      <c r="R5398">
        <v>-0.9100665</v>
      </c>
      <c r="S5398">
        <v>2.3202509999999998</v>
      </c>
      <c r="T5398">
        <v>-0.1132354</v>
      </c>
      <c r="U5398">
        <v>-2.24411</v>
      </c>
      <c r="V5398">
        <v>-0.1092134</v>
      </c>
      <c r="W5398">
        <v>-1.015544E-2</v>
      </c>
      <c r="X5398">
        <v>0.99396649999999998</v>
      </c>
      <c r="Y5398">
        <v>-0.46560279999999998</v>
      </c>
      <c r="Z5398">
        <v>3.601244E-2</v>
      </c>
      <c r="AA5398">
        <v>0.88426079999999996</v>
      </c>
      <c r="AB5398">
        <v>18</v>
      </c>
      <c r="AC5398">
        <v>22.611599999999999</v>
      </c>
      <c r="AD5398">
        <v>-1.1064532982719999</v>
      </c>
      <c r="AE5398">
        <v>-21.76022</v>
      </c>
      <c r="AF5398">
        <v>-14.6775743638613</v>
      </c>
      <c r="AG5398">
        <v>-1.1064532982719999</v>
      </c>
      <c r="AH5398">
        <v>27.693257666135398</v>
      </c>
      <c r="AI5398">
        <v>92.021821393760206</v>
      </c>
      <c r="AJ5398">
        <v>117.923828446356</v>
      </c>
      <c r="AK5398">
        <v>31.3619506451831</v>
      </c>
    </row>
    <row r="5399" spans="1:37" x14ac:dyDescent="0.2">
      <c r="A5399" t="str">
        <f>"20200111160010391"</f>
        <v>20200111160010391</v>
      </c>
      <c r="B5399" t="str">
        <f>"1578729610386340"</f>
        <v>1578729610386340</v>
      </c>
      <c r="C5399" t="s">
        <v>37</v>
      </c>
      <c r="D5399">
        <v>5.6864809999999997</v>
      </c>
      <c r="E5399">
        <v>0.36164469999999999</v>
      </c>
      <c r="F5399" t="s">
        <v>39</v>
      </c>
      <c r="G5399">
        <v>-274.11739999999998</v>
      </c>
      <c r="H5399">
        <v>7.9987089999999997E-2</v>
      </c>
      <c r="I5399">
        <v>-72.364769999999993</v>
      </c>
      <c r="J5399">
        <v>-298.6302</v>
      </c>
      <c r="K5399">
        <v>1.106511</v>
      </c>
      <c r="L5399">
        <v>-47.709989999999998</v>
      </c>
      <c r="M5399">
        <v>0.31574930000000001</v>
      </c>
      <c r="N5399">
        <v>0</v>
      </c>
      <c r="O5399">
        <v>-0.94873609999999897</v>
      </c>
      <c r="P5399">
        <v>0.41740620000000001</v>
      </c>
      <c r="Q5399">
        <v>-2.3703660000000001E-2</v>
      </c>
      <c r="R5399">
        <v>-0.90841099999999997</v>
      </c>
      <c r="S5399">
        <v>2.2487180000000002</v>
      </c>
      <c r="T5399">
        <v>-9.3932989999999994E-2</v>
      </c>
      <c r="U5399">
        <v>-2.271576</v>
      </c>
      <c r="V5399">
        <v>-0.1091404</v>
      </c>
      <c r="W5399">
        <v>-1.0104200000000001E-2</v>
      </c>
      <c r="X5399">
        <v>0.99397500000000005</v>
      </c>
      <c r="Y5399">
        <v>-0.442779599999999</v>
      </c>
      <c r="Z5399">
        <v>3.0038479999999999E-2</v>
      </c>
      <c r="AA5399">
        <v>0.89612719999999901</v>
      </c>
      <c r="AB5399">
        <v>18</v>
      </c>
      <c r="AC5399">
        <v>24.512799999999999</v>
      </c>
      <c r="AD5399">
        <v>-1.0265239100000001</v>
      </c>
      <c r="AE5399">
        <v>-24.654779999999899</v>
      </c>
      <c r="AF5399">
        <v>-15.459535772648101</v>
      </c>
      <c r="AG5399">
        <v>-1.0265239100000001</v>
      </c>
      <c r="AH5399">
        <v>31.1068086505956</v>
      </c>
      <c r="AI5399">
        <v>91.692692713886501</v>
      </c>
      <c r="AJ5399">
        <v>116.42656674043999</v>
      </c>
      <c r="AK5399">
        <v>34.751755956618297</v>
      </c>
    </row>
    <row r="5400" spans="1:37" x14ac:dyDescent="0.2">
      <c r="A5400" t="str">
        <f>"20200111160010413"</f>
        <v>20200111160010413</v>
      </c>
      <c r="B5400" t="str">
        <f>"1578729610406836"</f>
        <v>1578729610406836</v>
      </c>
      <c r="C5400" t="s">
        <v>37</v>
      </c>
      <c r="D5400">
        <v>5.7051780000000001</v>
      </c>
      <c r="E5400">
        <v>0.37460700000000002</v>
      </c>
      <c r="F5400" t="s">
        <v>39</v>
      </c>
      <c r="G5400">
        <v>-272.67970000000003</v>
      </c>
      <c r="H5400">
        <v>7.9987610000000001E-2</v>
      </c>
      <c r="I5400">
        <v>-73.739019999999996</v>
      </c>
      <c r="J5400">
        <v>-298.56849999999997</v>
      </c>
      <c r="K5400">
        <v>1.1065670000000001</v>
      </c>
      <c r="L5400">
        <v>-47.879459999999902</v>
      </c>
      <c r="M5400">
        <v>0.3197468</v>
      </c>
      <c r="N5400">
        <v>0</v>
      </c>
      <c r="O5400">
        <v>-0.94739629999999997</v>
      </c>
      <c r="P5400">
        <v>0.42128009999999899</v>
      </c>
      <c r="Q5400">
        <v>-2.3848979999999999E-2</v>
      </c>
      <c r="R5400">
        <v>-0.90661719999999901</v>
      </c>
      <c r="S5400">
        <v>2.2564700000000002</v>
      </c>
      <c r="T5400">
        <v>-8.9259389999999994E-2</v>
      </c>
      <c r="U5400">
        <v>-2.263306</v>
      </c>
      <c r="V5400">
        <v>-0.10919139999999999</v>
      </c>
      <c r="W5400">
        <v>-1.0262149999999999E-2</v>
      </c>
      <c r="X5400">
        <v>0.99396779999999996</v>
      </c>
      <c r="Y5400">
        <v>-0.44220730000000003</v>
      </c>
      <c r="Z5400">
        <v>2.8534279999999999E-2</v>
      </c>
      <c r="AA5400">
        <v>0.89645889999999995</v>
      </c>
      <c r="AB5400">
        <v>18</v>
      </c>
      <c r="AC5400">
        <v>25.8887999999999</v>
      </c>
      <c r="AD5400">
        <v>-1.02657939</v>
      </c>
      <c r="AE5400">
        <v>-25.859559999999998</v>
      </c>
      <c r="AF5400">
        <v>-16.247298023314599</v>
      </c>
      <c r="AG5400">
        <v>-1.02657939</v>
      </c>
      <c r="AH5400">
        <v>32.754646557757198</v>
      </c>
      <c r="AI5400">
        <v>91.608277998213296</v>
      </c>
      <c r="AJ5400">
        <v>116.382805974685</v>
      </c>
      <c r="AK5400">
        <v>36.577252896109798</v>
      </c>
    </row>
    <row r="5401" spans="1:37" x14ac:dyDescent="0.2">
      <c r="A5401" t="str">
        <f>"20200111160010436"</f>
        <v>20200111160010436</v>
      </c>
      <c r="B5401" t="str">
        <f>"1578729610426356"</f>
        <v>1578729610426356</v>
      </c>
      <c r="C5401" t="s">
        <v>37</v>
      </c>
      <c r="D5401">
        <v>5.6824620000000001</v>
      </c>
      <c r="E5401">
        <v>0.38466709999999998</v>
      </c>
      <c r="F5401" t="s">
        <v>41</v>
      </c>
      <c r="G5401">
        <v>-266.5865</v>
      </c>
      <c r="H5401">
        <v>-0.05</v>
      </c>
      <c r="I5401">
        <v>-81.717469999999906</v>
      </c>
      <c r="J5401">
        <v>-298.50689999999997</v>
      </c>
      <c r="K5401">
        <v>1.106622</v>
      </c>
      <c r="L5401">
        <v>-48.045749999999998</v>
      </c>
      <c r="M5401">
        <v>0.32379029999999998</v>
      </c>
      <c r="N5401">
        <v>0</v>
      </c>
      <c r="O5401">
        <v>-0.94602199999999903</v>
      </c>
      <c r="P5401">
        <v>0.42526170000000002</v>
      </c>
      <c r="Q5401">
        <v>-2.3501950000000001E-2</v>
      </c>
      <c r="R5401">
        <v>-0.90476540000000005</v>
      </c>
      <c r="S5401">
        <v>2.1717529999999998</v>
      </c>
      <c r="T5401">
        <v>-7.8537339999999997E-2</v>
      </c>
      <c r="U5401">
        <v>-2.2977910000000001</v>
      </c>
      <c r="V5401">
        <v>-0.1093131</v>
      </c>
      <c r="W5401">
        <v>-9.9264219999999903E-3</v>
      </c>
      <c r="X5401">
        <v>0.9939578</v>
      </c>
      <c r="Y5401">
        <v>-0.41431489999999999</v>
      </c>
      <c r="Z5401">
        <v>2.523949E-2</v>
      </c>
      <c r="AA5401">
        <v>0.90978359999999903</v>
      </c>
      <c r="AB5401">
        <v>18</v>
      </c>
      <c r="AC5401">
        <v>31.920399999999901</v>
      </c>
      <c r="AD5401">
        <v>-1.156622</v>
      </c>
      <c r="AE5401">
        <v>-33.671719999999901</v>
      </c>
      <c r="AF5401">
        <v>-19.284791132307099</v>
      </c>
      <c r="AG5401">
        <v>-1.156622</v>
      </c>
      <c r="AH5401">
        <v>42.1677653899227</v>
      </c>
      <c r="AI5401">
        <v>91.428901909203901</v>
      </c>
      <c r="AJ5401">
        <v>114.576272335542</v>
      </c>
      <c r="AK5401">
        <v>46.382770308026601</v>
      </c>
    </row>
    <row r="5402" spans="1:37" x14ac:dyDescent="0.2">
      <c r="A5402" t="str">
        <f>"20200111160010457"</f>
        <v>20200111160010457</v>
      </c>
      <c r="B5402" t="str">
        <f>"1578729610446177"</f>
        <v>1578729610446177</v>
      </c>
      <c r="C5402" t="s">
        <v>37</v>
      </c>
      <c r="D5402">
        <v>5.6927479999999999</v>
      </c>
      <c r="E5402">
        <v>0.39301409999999998</v>
      </c>
      <c r="F5402" t="s">
        <v>41</v>
      </c>
      <c r="G5402">
        <v>-263.23</v>
      </c>
      <c r="H5402">
        <v>-0.05</v>
      </c>
      <c r="I5402">
        <v>-86.90343</v>
      </c>
      <c r="J5402">
        <v>-298.44709999999998</v>
      </c>
      <c r="K5402">
        <v>1.1066739999999999</v>
      </c>
      <c r="L5402">
        <v>-48.20505</v>
      </c>
      <c r="M5402">
        <v>0.32778020000000002</v>
      </c>
      <c r="N5402">
        <v>0</v>
      </c>
      <c r="O5402">
        <v>-0.94464689999999996</v>
      </c>
      <c r="P5402">
        <v>0.42965019999999998</v>
      </c>
      <c r="Q5402">
        <v>-2.2885699999999998E-2</v>
      </c>
      <c r="R5402">
        <v>-0.90270550000000005</v>
      </c>
      <c r="S5402">
        <v>2.108765</v>
      </c>
      <c r="T5402">
        <v>-6.913996E-2</v>
      </c>
      <c r="U5402">
        <v>-2.3228149999999999</v>
      </c>
      <c r="V5402">
        <v>-0.10994180000000001</v>
      </c>
      <c r="W5402">
        <v>-9.3241950000000004E-3</v>
      </c>
      <c r="X5402">
        <v>0.99389430000000001</v>
      </c>
      <c r="Y5402">
        <v>-0.39214090000000001</v>
      </c>
      <c r="Z5402">
        <v>2.2291299999999899E-2</v>
      </c>
      <c r="AA5402">
        <v>0.91963510000000004</v>
      </c>
      <c r="AB5402">
        <v>18</v>
      </c>
      <c r="AC5402">
        <v>35.217099999999903</v>
      </c>
      <c r="AD5402">
        <v>-1.156674</v>
      </c>
      <c r="AE5402">
        <v>-38.69838</v>
      </c>
      <c r="AF5402">
        <v>-20.5751901274113</v>
      </c>
      <c r="AG5402">
        <v>-1.156674</v>
      </c>
      <c r="AH5402">
        <v>48.081144629416599</v>
      </c>
      <c r="AI5402">
        <v>91.266990714591103</v>
      </c>
      <c r="AJ5402">
        <v>113.167359570652</v>
      </c>
      <c r="AK5402">
        <v>52.311306735697997</v>
      </c>
    </row>
    <row r="5403" spans="1:37" x14ac:dyDescent="0.2">
      <c r="A5403" t="str">
        <f>"20200111160010480"</f>
        <v>20200111160010480</v>
      </c>
      <c r="B5403" t="str">
        <f>"1578729610476432"</f>
        <v>1578729610476432</v>
      </c>
      <c r="C5403" t="s">
        <v>37</v>
      </c>
      <c r="D5403">
        <v>5.6907170000000002</v>
      </c>
      <c r="E5403">
        <v>0.40295359999999902</v>
      </c>
      <c r="F5403" t="s">
        <v>41</v>
      </c>
      <c r="G5403">
        <v>-260.26589999999999</v>
      </c>
      <c r="H5403">
        <v>-0.05</v>
      </c>
      <c r="I5403">
        <v>-91.603899999999996</v>
      </c>
      <c r="J5403">
        <v>-298.38409999999999</v>
      </c>
      <c r="K5403">
        <v>1.1067359999999999</v>
      </c>
      <c r="L5403">
        <v>-48.370240000000003</v>
      </c>
      <c r="M5403">
        <v>0.33203519999999997</v>
      </c>
      <c r="N5403">
        <v>0</v>
      </c>
      <c r="O5403">
        <v>-0.94315939999999998</v>
      </c>
      <c r="P5403">
        <v>0.43479689999999999</v>
      </c>
      <c r="Q5403">
        <v>-2.2281019999999999E-2</v>
      </c>
      <c r="R5403">
        <v>-0.90025279999999996</v>
      </c>
      <c r="S5403">
        <v>2.0598749999999999</v>
      </c>
      <c r="T5403">
        <v>-6.2402609999999997E-2</v>
      </c>
      <c r="U5403">
        <v>-2.34137</v>
      </c>
      <c r="V5403">
        <v>-0.1111323</v>
      </c>
      <c r="W5403">
        <v>-8.7383789999999992E-3</v>
      </c>
      <c r="X5403">
        <v>0.99376719999999896</v>
      </c>
      <c r="Y5403">
        <v>-0.37359389999999998</v>
      </c>
      <c r="Z5403">
        <v>2.0159119999999999E-2</v>
      </c>
      <c r="AA5403">
        <v>0.92737329999999996</v>
      </c>
      <c r="AB5403">
        <v>18</v>
      </c>
      <c r="AC5403">
        <v>38.118200000000002</v>
      </c>
      <c r="AD5403">
        <v>-1.156736</v>
      </c>
      <c r="AE5403">
        <v>-43.233659999999901</v>
      </c>
      <c r="AF5403">
        <v>-21.589938136762299</v>
      </c>
      <c r="AG5403">
        <v>-1.156736</v>
      </c>
      <c r="AH5403">
        <v>53.416726210135501</v>
      </c>
      <c r="AI5403">
        <v>91.150175287931901</v>
      </c>
      <c r="AJ5403">
        <v>112.00754222187101</v>
      </c>
      <c r="AK5403">
        <v>57.626470531618502</v>
      </c>
    </row>
    <row r="5404" spans="1:37" x14ac:dyDescent="0.2">
      <c r="A5404" t="str">
        <f>"20200111160010503"</f>
        <v>20200111160010503</v>
      </c>
      <c r="B5404" t="str">
        <f>"1578729610495952"</f>
        <v>1578729610495952</v>
      </c>
      <c r="C5404" t="s">
        <v>37</v>
      </c>
      <c r="D5404">
        <v>5.6813719999999996</v>
      </c>
      <c r="E5404">
        <v>0.40832550000000001</v>
      </c>
      <c r="F5404" t="s">
        <v>62</v>
      </c>
      <c r="G5404">
        <v>-261.82190000000003</v>
      </c>
      <c r="H5404">
        <v>0.17185539999999999</v>
      </c>
      <c r="I5404">
        <v>-91.564989999999995</v>
      </c>
      <c r="J5404">
        <v>-298.31869999999998</v>
      </c>
      <c r="K5404">
        <v>1.106803</v>
      </c>
      <c r="L5404">
        <v>-48.539119999999997</v>
      </c>
      <c r="M5404">
        <v>0.3365031</v>
      </c>
      <c r="N5404">
        <v>0</v>
      </c>
      <c r="O5404">
        <v>-0.94157479999999905</v>
      </c>
      <c r="P5404">
        <v>0.44135219999999997</v>
      </c>
      <c r="Q5404">
        <v>-2.0543430000000001E-2</v>
      </c>
      <c r="R5404">
        <v>-0.89709930000000004</v>
      </c>
      <c r="S5404">
        <v>2.0014340000000002</v>
      </c>
      <c r="T5404">
        <v>-5.1175119999999998E-2</v>
      </c>
      <c r="U5404">
        <v>-2.3645019999999999</v>
      </c>
      <c r="V5404">
        <v>-0.1136634</v>
      </c>
      <c r="W5404">
        <v>-7.0300769999999896E-3</v>
      </c>
      <c r="X5404">
        <v>0.99349449999999995</v>
      </c>
      <c r="Y5404">
        <v>-0.35142600000000002</v>
      </c>
      <c r="Z5404">
        <v>1.6563029999999999E-2</v>
      </c>
      <c r="AA5404">
        <v>0.93606909999999899</v>
      </c>
      <c r="AB5404">
        <v>18</v>
      </c>
      <c r="AC5404">
        <v>36.496799999999901</v>
      </c>
      <c r="AD5404">
        <v>-0.93494759999999999</v>
      </c>
      <c r="AE5404">
        <v>-43.025869999999998</v>
      </c>
      <c r="AF5404">
        <v>-19.8826830558741</v>
      </c>
      <c r="AG5404">
        <v>-0.93494759999999999</v>
      </c>
      <c r="AH5404">
        <v>52.784214305193203</v>
      </c>
      <c r="AI5404">
        <v>90.949630280621506</v>
      </c>
      <c r="AJ5404">
        <v>110.64031709929201</v>
      </c>
      <c r="AK5404">
        <v>56.4124852522175</v>
      </c>
    </row>
    <row r="5405" spans="1:37" x14ac:dyDescent="0.2">
      <c r="A5405" t="str">
        <f>"20200111160010526"</f>
        <v>20200111160010526</v>
      </c>
      <c r="B5405" t="str">
        <f>"1578729610516449"</f>
        <v>1578729610516449</v>
      </c>
      <c r="C5405" t="s">
        <v>37</v>
      </c>
      <c r="D5405">
        <v>5.0766559999999998</v>
      </c>
      <c r="E5405">
        <v>0.40832550000000001</v>
      </c>
      <c r="F5405" t="s">
        <v>62</v>
      </c>
      <c r="G5405">
        <v>-262.36</v>
      </c>
      <c r="H5405">
        <v>0.373135099999999</v>
      </c>
      <c r="I5405">
        <v>-91.564989999999995</v>
      </c>
      <c r="J5405">
        <v>-298.2559</v>
      </c>
      <c r="K5405">
        <v>1.1068770000000001</v>
      </c>
      <c r="L5405">
        <v>-48.69858</v>
      </c>
      <c r="M5405">
        <v>0.34083249999999998</v>
      </c>
      <c r="N5405">
        <v>0</v>
      </c>
      <c r="O5405">
        <v>-0.94001599999999996</v>
      </c>
      <c r="P5405">
        <v>0.44839259999999997</v>
      </c>
      <c r="Q5405">
        <v>-1.815729E-2</v>
      </c>
      <c r="R5405">
        <v>-0.89365260000000002</v>
      </c>
      <c r="S5405">
        <v>1.9799500000000001</v>
      </c>
      <c r="T5405">
        <v>-4.0396210000000002E-2</v>
      </c>
      <c r="U5405">
        <v>-2.3690799999999999</v>
      </c>
      <c r="V5405">
        <v>-0.11689719999999899</v>
      </c>
      <c r="W5405">
        <v>-4.6785020000000002E-3</v>
      </c>
      <c r="X5405">
        <v>0.99313300000000004</v>
      </c>
      <c r="Y5405">
        <v>-0.34126329999999999</v>
      </c>
      <c r="Z5405">
        <v>1.308369E-2</v>
      </c>
      <c r="AA5405">
        <v>0.93987670000000001</v>
      </c>
      <c r="AB5405">
        <v>18</v>
      </c>
      <c r="AC5405">
        <v>35.895899999999898</v>
      </c>
      <c r="AD5405">
        <v>-0.73374189999999995</v>
      </c>
      <c r="AE5405">
        <v>-42.866410000000002</v>
      </c>
      <c r="AF5405">
        <v>-19.131103281948501</v>
      </c>
      <c r="AG5405">
        <v>-0.73374189999999995</v>
      </c>
      <c r="AH5405">
        <v>52.525890321450099</v>
      </c>
      <c r="AI5405">
        <v>90.752000636222505</v>
      </c>
      <c r="AJ5405">
        <v>110.012754440737</v>
      </c>
      <c r="AK5405">
        <v>55.906230815727596</v>
      </c>
    </row>
    <row r="5406" spans="1:37" x14ac:dyDescent="0.2">
      <c r="A5406" t="str">
        <f>"20200111160010547"</f>
        <v>20200111160010547</v>
      </c>
      <c r="B5406" t="str">
        <f>"1578729610535969"</f>
        <v>1578729610535969</v>
      </c>
      <c r="C5406" t="s">
        <v>37</v>
      </c>
      <c r="D5406">
        <v>5.0457919999999996</v>
      </c>
      <c r="E5406">
        <v>0.40832550000000001</v>
      </c>
      <c r="F5406" t="s">
        <v>62</v>
      </c>
      <c r="G5406">
        <v>-261.85489999999999</v>
      </c>
      <c r="H5406">
        <v>0.49204870000000001</v>
      </c>
      <c r="I5406">
        <v>-91.564989999999995</v>
      </c>
      <c r="J5406">
        <v>-298.19189999999998</v>
      </c>
      <c r="K5406">
        <v>1.1069439999999999</v>
      </c>
      <c r="L5406">
        <v>-48.858280000000001</v>
      </c>
      <c r="M5406">
        <v>0.34528969999999998</v>
      </c>
      <c r="N5406">
        <v>0</v>
      </c>
      <c r="O5406">
        <v>-0.938387999999999</v>
      </c>
      <c r="P5406">
        <v>0.45625759999999999</v>
      </c>
      <c r="Q5406">
        <v>-1.505828E-2</v>
      </c>
      <c r="R5406">
        <v>-0.88972059999999997</v>
      </c>
      <c r="S5406">
        <v>1.9985660000000001</v>
      </c>
      <c r="T5406">
        <v>-3.3756019999999998E-2</v>
      </c>
      <c r="U5406">
        <v>-2.3535459999999899</v>
      </c>
      <c r="V5406">
        <v>-0.1209402</v>
      </c>
      <c r="W5406">
        <v>-1.62063299999999E-3</v>
      </c>
      <c r="X5406">
        <v>0.992658499999999</v>
      </c>
      <c r="Y5406">
        <v>-0.34419879999999903</v>
      </c>
      <c r="Z5406">
        <v>1.092975E-2</v>
      </c>
      <c r="AA5406">
        <v>0.93883320000000003</v>
      </c>
      <c r="AB5406">
        <v>18</v>
      </c>
      <c r="AC5406">
        <v>36.336999999999897</v>
      </c>
      <c r="AD5406">
        <v>-0.61489530000000003</v>
      </c>
      <c r="AE5406">
        <v>-42.706710000000001</v>
      </c>
      <c r="AF5406">
        <v>-19.351655006810301</v>
      </c>
      <c r="AG5406">
        <v>-0.61489530000000003</v>
      </c>
      <c r="AH5406">
        <v>52.6212698482123</v>
      </c>
      <c r="AI5406">
        <v>90.628348708267296</v>
      </c>
      <c r="AJ5406">
        <v>110.19117418158299</v>
      </c>
      <c r="AK5406">
        <v>56.070158624449697</v>
      </c>
    </row>
    <row r="5407" spans="1:37" x14ac:dyDescent="0.2">
      <c r="A5407" t="str">
        <f>"20200111160010570"</f>
        <v>20200111160010570</v>
      </c>
      <c r="B5407" t="str">
        <f>"1578729610566224"</f>
        <v>1578729610566224</v>
      </c>
      <c r="C5407" t="s">
        <v>37</v>
      </c>
      <c r="D5407">
        <v>5.0656349999999897</v>
      </c>
      <c r="E5407">
        <v>0.27151129999999901</v>
      </c>
      <c r="F5407" t="s">
        <v>62</v>
      </c>
      <c r="G5407">
        <v>-261.2749</v>
      </c>
      <c r="H5407">
        <v>0.66587830000000003</v>
      </c>
      <c r="I5407">
        <v>-91.564989999999995</v>
      </c>
      <c r="J5407">
        <v>-298.12549999999999</v>
      </c>
      <c r="K5407">
        <v>1.10701</v>
      </c>
      <c r="L5407">
        <v>-49.021419999999999</v>
      </c>
      <c r="M5407">
        <v>0.34994330000000001</v>
      </c>
      <c r="N5407">
        <v>0</v>
      </c>
      <c r="O5407">
        <v>-0.93666249999999995</v>
      </c>
      <c r="P5407">
        <v>0.46471380000000001</v>
      </c>
      <c r="Q5407">
        <v>-9.6879010000000005E-3</v>
      </c>
      <c r="R5407">
        <v>-0.88540799999999997</v>
      </c>
      <c r="S5407">
        <v>2.0192570000000001</v>
      </c>
      <c r="T5407">
        <v>-2.4124260000000002E-2</v>
      </c>
      <c r="U5407">
        <v>-2.3359380000000001</v>
      </c>
      <c r="V5407">
        <v>-0.12547459999999999</v>
      </c>
      <c r="W5407">
        <v>3.7067490000000001E-3</v>
      </c>
      <c r="X5407">
        <v>0.99208989999999997</v>
      </c>
      <c r="Y5407">
        <v>-0.34781699999999999</v>
      </c>
      <c r="Z5407">
        <v>7.8095049999999996E-3</v>
      </c>
      <c r="AA5407">
        <v>0.93752990000000003</v>
      </c>
      <c r="AB5407">
        <v>18</v>
      </c>
      <c r="AC5407">
        <v>36.850599999999901</v>
      </c>
      <c r="AD5407">
        <v>-0.44113170000000002</v>
      </c>
      <c r="AE5407">
        <v>-42.543570000000003</v>
      </c>
      <c r="AF5407">
        <v>-19.629525142786498</v>
      </c>
      <c r="AG5407">
        <v>-0.44113170000000002</v>
      </c>
      <c r="AH5407">
        <v>52.746702767831501</v>
      </c>
      <c r="AI5407">
        <v>90.449077647253702</v>
      </c>
      <c r="AJ5407">
        <v>110.412597355545</v>
      </c>
      <c r="AK5407">
        <v>56.282568414971998</v>
      </c>
    </row>
    <row r="5408" spans="1:37" x14ac:dyDescent="0.2">
      <c r="A5408" t="str">
        <f>"20200111160010592"</f>
        <v>20200111160010592</v>
      </c>
      <c r="B5408" t="str">
        <f>"1578729610586723"</f>
        <v>1578729610586723</v>
      </c>
      <c r="C5408" t="s">
        <v>37</v>
      </c>
      <c r="D5408">
        <v>5.186242</v>
      </c>
      <c r="E5408">
        <v>0.27370729999999999</v>
      </c>
      <c r="F5408" t="s">
        <v>39</v>
      </c>
      <c r="G5408">
        <v>-272.24889999999999</v>
      </c>
      <c r="H5408" s="1">
        <v>-1.043783E-6</v>
      </c>
      <c r="I5408">
        <v>-64.542289999999994</v>
      </c>
      <c r="J5408">
        <v>-298.05790000000002</v>
      </c>
      <c r="K5408">
        <v>1.107051</v>
      </c>
      <c r="L5408">
        <v>-49.184690000000003</v>
      </c>
      <c r="M5408">
        <v>0.35470009999999902</v>
      </c>
      <c r="N5408">
        <v>0</v>
      </c>
      <c r="O5408">
        <v>-0.93487140000000002</v>
      </c>
      <c r="P5408">
        <v>0.47350950000000003</v>
      </c>
      <c r="Q5408">
        <v>-5.38107E-3</v>
      </c>
      <c r="R5408">
        <v>-0.88077249999999996</v>
      </c>
      <c r="S5408">
        <v>3.011444</v>
      </c>
      <c r="T5408">
        <v>-0.1288308</v>
      </c>
      <c r="U5408">
        <v>-1.8062739999999999</v>
      </c>
      <c r="V5408">
        <v>-0.13032449999999901</v>
      </c>
      <c r="W5408">
        <v>7.9691209999999991E-3</v>
      </c>
      <c r="X5408">
        <v>0.99143930000000002</v>
      </c>
      <c r="Y5408">
        <v>-0.6186642</v>
      </c>
      <c r="Z5408">
        <v>3.8788530000000002E-2</v>
      </c>
      <c r="AA5408">
        <v>0.78469750000000005</v>
      </c>
      <c r="AB5408">
        <v>18</v>
      </c>
      <c r="AC5408">
        <v>25.809000000000001</v>
      </c>
      <c r="AD5408">
        <v>-1.107052043783</v>
      </c>
      <c r="AE5408">
        <v>-15.3576</v>
      </c>
      <c r="AF5408">
        <v>-18.6573017991287</v>
      </c>
      <c r="AG5408">
        <v>-1.107052043783</v>
      </c>
      <c r="AH5408">
        <v>23.482319022103699</v>
      </c>
      <c r="AI5408">
        <v>92.113924794240802</v>
      </c>
      <c r="AJ5408">
        <v>128.46803804868901</v>
      </c>
      <c r="AK5408">
        <v>30.0123271558083</v>
      </c>
    </row>
    <row r="5409" spans="1:37" x14ac:dyDescent="0.2">
      <c r="A5409" t="str">
        <f>"20200111160010615"</f>
        <v>20200111160010615</v>
      </c>
      <c r="B5409" t="str">
        <f>"1578729610606240"</f>
        <v>1578729610606240</v>
      </c>
      <c r="C5409" t="s">
        <v>37</v>
      </c>
      <c r="D5409">
        <v>5.0447989999999896</v>
      </c>
      <c r="E5409">
        <v>0.27334229999999998</v>
      </c>
      <c r="F5409" t="s">
        <v>39</v>
      </c>
      <c r="G5409">
        <v>-267.55369999999999</v>
      </c>
      <c r="H5409" s="1">
        <v>-3.6760699999999999E-6</v>
      </c>
      <c r="I5409">
        <v>-67.244869999999906</v>
      </c>
      <c r="J5409">
        <v>-297.99220000000003</v>
      </c>
      <c r="K5409">
        <v>1.107086</v>
      </c>
      <c r="L5409">
        <v>-49.341029999999897</v>
      </c>
      <c r="M5409">
        <v>0.35935689999999998</v>
      </c>
      <c r="N5409">
        <v>0</v>
      </c>
      <c r="O5409">
        <v>-0.93309120000000001</v>
      </c>
      <c r="P5409">
        <v>0.48183729999999902</v>
      </c>
      <c r="Q5409">
        <v>-5.6850410000000001E-3</v>
      </c>
      <c r="R5409">
        <v>-0.87624249999999904</v>
      </c>
      <c r="S5409">
        <v>3.0145569999999999</v>
      </c>
      <c r="T5409">
        <v>-0.1094038</v>
      </c>
      <c r="U5409">
        <v>-1.7847900000000001</v>
      </c>
      <c r="V5409">
        <v>-0.13477739999999999</v>
      </c>
      <c r="W5409">
        <v>7.6234249999999996E-3</v>
      </c>
      <c r="X5409">
        <v>0.99084660000000002</v>
      </c>
      <c r="Y5409">
        <v>-0.61941840000000004</v>
      </c>
      <c r="Z5409">
        <v>3.3023660000000003E-2</v>
      </c>
      <c r="AA5409">
        <v>0.78436619999999901</v>
      </c>
      <c r="AB5409">
        <v>18</v>
      </c>
      <c r="AC5409">
        <v>30.438500000000001</v>
      </c>
      <c r="AD5409">
        <v>-1.10708967607</v>
      </c>
      <c r="AE5409">
        <v>-17.903839999999899</v>
      </c>
      <c r="AF5409">
        <v>-21.9486908783126</v>
      </c>
      <c r="AG5409">
        <v>-1.10708967607</v>
      </c>
      <c r="AH5409">
        <v>27.619866975243401</v>
      </c>
      <c r="AI5409">
        <v>91.797412146293496</v>
      </c>
      <c r="AJ5409">
        <v>128.47312644687099</v>
      </c>
      <c r="AK5409">
        <v>35.296284939816601</v>
      </c>
    </row>
    <row r="5410" spans="1:37" x14ac:dyDescent="0.2">
      <c r="A5410" t="str">
        <f>"20200111160010636"</f>
        <v>20200111160010636</v>
      </c>
      <c r="B5410" t="str">
        <f>"1578729610626737"</f>
        <v>1578729610626737</v>
      </c>
      <c r="C5410" t="s">
        <v>37</v>
      </c>
      <c r="D5410">
        <v>5.0264759999999997</v>
      </c>
      <c r="E5410">
        <v>0.27380909999999897</v>
      </c>
      <c r="F5410" t="s">
        <v>39</v>
      </c>
      <c r="G5410">
        <v>-266.584</v>
      </c>
      <c r="H5410" s="1">
        <v>-3.3916989999999998E-6</v>
      </c>
      <c r="I5410">
        <v>-67.502110000000002</v>
      </c>
      <c r="J5410">
        <v>-297.9255</v>
      </c>
      <c r="K5410">
        <v>1.107116</v>
      </c>
      <c r="L5410">
        <v>-49.497279999999897</v>
      </c>
      <c r="M5410">
        <v>0.36412040000000001</v>
      </c>
      <c r="N5410">
        <v>0</v>
      </c>
      <c r="O5410">
        <v>-0.93124269999999998</v>
      </c>
      <c r="P5410">
        <v>0.49063390000000001</v>
      </c>
      <c r="Q5410">
        <v>-8.8668919999999995E-3</v>
      </c>
      <c r="R5410">
        <v>-0.87132109999999996</v>
      </c>
      <c r="S5410">
        <v>3.0342410000000002</v>
      </c>
      <c r="T5410">
        <v>-0.1069522</v>
      </c>
      <c r="U5410">
        <v>-1.754486</v>
      </c>
      <c r="V5410">
        <v>-0.13967739999999901</v>
      </c>
      <c r="W5410">
        <v>4.3938650000000003E-3</v>
      </c>
      <c r="X5410">
        <v>0.99018729999999999</v>
      </c>
      <c r="Y5410">
        <v>-0.62350099999999997</v>
      </c>
      <c r="Z5410">
        <v>3.2295259999999999E-2</v>
      </c>
      <c r="AA5410">
        <v>0.78115519999999905</v>
      </c>
      <c r="AB5410">
        <v>18</v>
      </c>
      <c r="AC5410">
        <v>31.3415</v>
      </c>
      <c r="AD5410">
        <v>-1.1071193916990001</v>
      </c>
      <c r="AE5410">
        <v>-18.004829999999998</v>
      </c>
      <c r="AF5410">
        <v>-22.611704587754001</v>
      </c>
      <c r="AG5410">
        <v>-1.1071193916990001</v>
      </c>
      <c r="AH5410">
        <v>28.155396642068698</v>
      </c>
      <c r="AI5410">
        <v>91.7560613692213</v>
      </c>
      <c r="AJ5410">
        <v>128.768078163925</v>
      </c>
      <c r="AK5410">
        <v>36.128122810126001</v>
      </c>
    </row>
    <row r="5411" spans="1:37" x14ac:dyDescent="0.2">
      <c r="A5411" t="str">
        <f>"20200111160010683"</f>
        <v>20200111160010683</v>
      </c>
      <c r="B5411" t="str">
        <f>"1578729610676512"</f>
        <v>1578729610676512</v>
      </c>
      <c r="C5411" t="s">
        <v>37</v>
      </c>
      <c r="D5411">
        <v>5.0888900000000001</v>
      </c>
      <c r="E5411">
        <v>0.27643249999999903</v>
      </c>
      <c r="F5411" t="s">
        <v>87</v>
      </c>
      <c r="G5411">
        <v>-268.46969999999999</v>
      </c>
      <c r="H5411" s="1">
        <v>-3.796348E-6</v>
      </c>
      <c r="I5411">
        <v>-66.165729999999996</v>
      </c>
      <c r="J5411">
        <v>-297.78489999999999</v>
      </c>
      <c r="K5411">
        <v>1.1072070000000001</v>
      </c>
      <c r="L5411">
        <v>-49.818449999999999</v>
      </c>
      <c r="M5411">
        <v>0.37430249999999998</v>
      </c>
      <c r="N5411">
        <v>0</v>
      </c>
      <c r="O5411">
        <v>-0.92719660000000004</v>
      </c>
      <c r="P5411">
        <v>0.50999240000000001</v>
      </c>
      <c r="Q5411">
        <v>-1.359603E-2</v>
      </c>
      <c r="R5411">
        <v>-0.86007140000000004</v>
      </c>
      <c r="S5411">
        <v>3.0486759999999999</v>
      </c>
      <c r="T5411">
        <v>-0.1145867</v>
      </c>
      <c r="U5411">
        <v>-1.7251889999999901</v>
      </c>
      <c r="V5411">
        <v>-0.150951799999999</v>
      </c>
      <c r="W5411">
        <v>-4.623071E-4</v>
      </c>
      <c r="X5411">
        <v>0.988541</v>
      </c>
      <c r="Y5411">
        <v>-0.62213359999999995</v>
      </c>
      <c r="Z5411">
        <v>3.4590870000000003E-2</v>
      </c>
      <c r="AA5411">
        <v>0.78214659999999903</v>
      </c>
      <c r="AB5411">
        <v>17</v>
      </c>
      <c r="AC5411">
        <v>29.315200000000001</v>
      </c>
      <c r="AD5411">
        <v>-1.107210796348</v>
      </c>
      <c r="AE5411">
        <v>-16.347280000000001</v>
      </c>
      <c r="AF5411">
        <v>-21.041379757739101</v>
      </c>
      <c r="AG5411">
        <v>-1.107210796348</v>
      </c>
      <c r="AH5411">
        <v>26.104157081663299</v>
      </c>
      <c r="AI5411">
        <v>91.891384375592907</v>
      </c>
      <c r="AJ5411">
        <v>128.870715781499</v>
      </c>
      <c r="AK5411">
        <v>33.546871609750703</v>
      </c>
    </row>
    <row r="5412" spans="1:37" x14ac:dyDescent="0.2">
      <c r="A5412" t="str">
        <f>"20200111160010703"</f>
        <v>20200111160010703</v>
      </c>
      <c r="B5412" t="str">
        <f>"1578729610696035"</f>
        <v>1578729610696035</v>
      </c>
      <c r="C5412" t="s">
        <v>37</v>
      </c>
      <c r="D5412">
        <v>6.2135160000000003</v>
      </c>
      <c r="E5412">
        <v>0.31033729999999998</v>
      </c>
      <c r="F5412" t="s">
        <v>38</v>
      </c>
      <c r="G5412">
        <v>-296.97340000000003</v>
      </c>
      <c r="H5412">
        <v>1.069852</v>
      </c>
      <c r="I5412">
        <v>-50.259239999999998</v>
      </c>
      <c r="J5412">
        <v>-297.71600000000001</v>
      </c>
      <c r="K5412">
        <v>1.1072839999999999</v>
      </c>
      <c r="L5412">
        <v>-49.971829999999997</v>
      </c>
      <c r="M5412">
        <v>0.37938889999999997</v>
      </c>
      <c r="N5412">
        <v>0</v>
      </c>
      <c r="O5412">
        <v>-0.92512700000000003</v>
      </c>
      <c r="P5412">
        <v>0.51894399999999996</v>
      </c>
      <c r="Q5412">
        <v>-1.5061939999999999E-2</v>
      </c>
      <c r="R5412">
        <v>-0.85467590000000004</v>
      </c>
      <c r="S5412">
        <v>3.0685419999999999</v>
      </c>
      <c r="T5412">
        <v>-0.1412292</v>
      </c>
      <c r="U5412">
        <v>-1.6663209999999999</v>
      </c>
      <c r="V5412">
        <v>-0.1558406</v>
      </c>
      <c r="W5412">
        <v>-1.9941429999999999E-3</v>
      </c>
      <c r="X5412">
        <v>0.9877802</v>
      </c>
      <c r="Y5412">
        <v>-0.63116740000000005</v>
      </c>
      <c r="Z5412">
        <v>4.2848410000000003E-2</v>
      </c>
      <c r="AA5412">
        <v>0.77446230000000005</v>
      </c>
      <c r="AB5412">
        <v>17</v>
      </c>
      <c r="AC5412">
        <v>0.74259999999998105</v>
      </c>
      <c r="AD5412">
        <v>-3.7431999999999903E-2</v>
      </c>
      <c r="AE5412">
        <v>-0.28741000000000799</v>
      </c>
      <c r="AF5412">
        <v>-0.57674363758052405</v>
      </c>
      <c r="AG5412">
        <v>-3.7431999999999903E-2</v>
      </c>
      <c r="AH5412">
        <v>0.54647323534877301</v>
      </c>
      <c r="AI5412">
        <v>92.697356682916606</v>
      </c>
      <c r="AJ5412">
        <v>136.54373267825699</v>
      </c>
      <c r="AK5412">
        <v>0.795403906871327</v>
      </c>
    </row>
    <row r="5413" spans="1:37" x14ac:dyDescent="0.2">
      <c r="A5413" t="str">
        <f>"20200111160010726"</f>
        <v>20200111160010726</v>
      </c>
      <c r="B5413" t="str">
        <f>"1578729610716529"</f>
        <v>1578729610716529</v>
      </c>
      <c r="C5413" t="s">
        <v>37</v>
      </c>
      <c r="D5413">
        <v>5.3210540000000002</v>
      </c>
      <c r="E5413">
        <v>0.31033729999999998</v>
      </c>
      <c r="F5413" t="s">
        <v>39</v>
      </c>
      <c r="G5413">
        <v>-264.93720000000002</v>
      </c>
      <c r="H5413">
        <v>4.3314619999999998E-2</v>
      </c>
      <c r="I5413">
        <v>-70.383669999999995</v>
      </c>
      <c r="J5413">
        <v>-297.64760000000001</v>
      </c>
      <c r="K5413">
        <v>1.107386</v>
      </c>
      <c r="L5413">
        <v>-50.121369999999999</v>
      </c>
      <c r="M5413">
        <v>0.384532599999999</v>
      </c>
      <c r="N5413">
        <v>0</v>
      </c>
      <c r="O5413">
        <v>-0.92300079999999995</v>
      </c>
      <c r="P5413">
        <v>0.52716180000000001</v>
      </c>
      <c r="Q5413">
        <v>-1.6169220000000002E-2</v>
      </c>
      <c r="R5413">
        <v>-0.84961149999999996</v>
      </c>
      <c r="S5413">
        <v>2.8526609999999999</v>
      </c>
      <c r="T5413">
        <v>-9.2594620000000002E-2</v>
      </c>
      <c r="U5413">
        <v>-1.7763979999999999</v>
      </c>
      <c r="V5413">
        <v>-0.15986549999999999</v>
      </c>
      <c r="W5413">
        <v>-3.1645159999999901E-3</v>
      </c>
      <c r="X5413">
        <v>0.9871337</v>
      </c>
      <c r="Y5413">
        <v>-0.57993149999999904</v>
      </c>
      <c r="Z5413">
        <v>2.8811819999999998E-2</v>
      </c>
      <c r="AA5413">
        <v>0.81415559999999998</v>
      </c>
      <c r="AB5413">
        <v>17</v>
      </c>
      <c r="AC5413">
        <v>32.7103999999999</v>
      </c>
      <c r="AD5413">
        <v>-1.0640713799999999</v>
      </c>
      <c r="AE5413">
        <v>-20.2623</v>
      </c>
      <c r="AF5413">
        <v>-22.3853785136874</v>
      </c>
      <c r="AG5413">
        <v>-1.0640713799999999</v>
      </c>
      <c r="AH5413">
        <v>31.259622478301601</v>
      </c>
      <c r="AI5413">
        <v>91.585279313169295</v>
      </c>
      <c r="AJ5413">
        <v>125.606890739549</v>
      </c>
      <c r="AK5413">
        <v>38.462987619122003</v>
      </c>
    </row>
    <row r="5414" spans="1:37" x14ac:dyDescent="0.2">
      <c r="A5414" t="str">
        <f>"20200111160010748"</f>
        <v>20200111160010748</v>
      </c>
      <c r="B5414" t="str">
        <f>"1578729610736049"</f>
        <v>1578729610736049</v>
      </c>
      <c r="C5414" t="s">
        <v>37</v>
      </c>
      <c r="D5414">
        <v>5.3878079999999997</v>
      </c>
      <c r="E5414">
        <v>0.42392469999999999</v>
      </c>
      <c r="F5414" t="s">
        <v>39</v>
      </c>
      <c r="G5414">
        <v>-264.39370000000002</v>
      </c>
      <c r="H5414">
        <v>3.8424220000000002E-2</v>
      </c>
      <c r="I5414">
        <v>-70.383669999999995</v>
      </c>
      <c r="J5414">
        <v>-297.57479999999998</v>
      </c>
      <c r="K5414">
        <v>1.1075010000000001</v>
      </c>
      <c r="L5414">
        <v>-50.277159999999903</v>
      </c>
      <c r="M5414">
        <v>0.39010790000000001</v>
      </c>
      <c r="N5414">
        <v>0</v>
      </c>
      <c r="O5414">
        <v>-0.92065789999999903</v>
      </c>
      <c r="P5414">
        <v>0.53521509999999894</v>
      </c>
      <c r="Q5414">
        <v>-1.552944E-2</v>
      </c>
      <c r="R5414">
        <v>-0.84457340000000003</v>
      </c>
      <c r="S5414">
        <v>2.8697810000000001</v>
      </c>
      <c r="T5414">
        <v>-9.2250589999999993E-2</v>
      </c>
      <c r="U5414">
        <v>-1.7486269999999999</v>
      </c>
      <c r="V5414">
        <v>-0.16327739999999999</v>
      </c>
      <c r="W5414">
        <v>-2.5858840000000001E-3</v>
      </c>
      <c r="X5414">
        <v>0.98657680000000003</v>
      </c>
      <c r="Y5414">
        <v>-0.58290790000000003</v>
      </c>
      <c r="Z5414">
        <v>2.8711E-2</v>
      </c>
      <c r="AA5414">
        <v>0.81203080000000005</v>
      </c>
      <c r="AB5414">
        <v>17</v>
      </c>
      <c r="AC5414">
        <v>33.181099999999901</v>
      </c>
      <c r="AD5414">
        <v>-1.0690767800000001</v>
      </c>
      <c r="AE5414">
        <v>-20.10651</v>
      </c>
      <c r="AF5414">
        <v>-22.689831289505499</v>
      </c>
      <c r="AG5414">
        <v>-1.0690767800000001</v>
      </c>
      <c r="AH5414">
        <v>31.4347808664076</v>
      </c>
      <c r="AI5414">
        <v>91.579595042199401</v>
      </c>
      <c r="AJ5414">
        <v>125.821998471786</v>
      </c>
      <c r="AK5414">
        <v>38.782944927207701</v>
      </c>
    </row>
    <row r="5415" spans="1:37" x14ac:dyDescent="0.2">
      <c r="A5415" t="str">
        <f>"20200111160010771"</f>
        <v>20200111160010771</v>
      </c>
      <c r="B5415" t="str">
        <f>"1578729610766304"</f>
        <v>1578729610766304</v>
      </c>
      <c r="C5415" t="s">
        <v>37</v>
      </c>
      <c r="D5415">
        <v>5.4809900000000003</v>
      </c>
      <c r="E5415">
        <v>0.42894579999999999</v>
      </c>
      <c r="F5415" t="s">
        <v>75</v>
      </c>
      <c r="G5415">
        <v>-289.13150000000002</v>
      </c>
      <c r="H5415" s="1">
        <v>-1.668223E-6</v>
      </c>
      <c r="I5415">
        <v>-59.007800000000003</v>
      </c>
      <c r="J5415">
        <v>-297.50229999999999</v>
      </c>
      <c r="K5415">
        <v>1.1076090000000001</v>
      </c>
      <c r="L5415">
        <v>-50.42944</v>
      </c>
      <c r="M5415">
        <v>0.39574159999999903</v>
      </c>
      <c r="N5415">
        <v>0</v>
      </c>
      <c r="O5415">
        <v>-0.91825009999999996</v>
      </c>
      <c r="P5415">
        <v>0.54315080000000004</v>
      </c>
      <c r="Q5415">
        <v>-1.4915390000000001E-2</v>
      </c>
      <c r="R5415">
        <v>-0.83950279999999999</v>
      </c>
      <c r="S5415">
        <v>2.1268009999999999</v>
      </c>
      <c r="T5415">
        <v>-0.278972099999999</v>
      </c>
      <c r="U5415">
        <v>-2.1991879999999999</v>
      </c>
      <c r="V5415">
        <v>-0.16652829999999999</v>
      </c>
      <c r="W5415">
        <v>-2.027222E-3</v>
      </c>
      <c r="X5415">
        <v>0.98603459999999998</v>
      </c>
      <c r="Y5415">
        <v>-0.3508946</v>
      </c>
      <c r="Z5415">
        <v>8.9952959999999998E-2</v>
      </c>
      <c r="AA5415">
        <v>0.93208440000000004</v>
      </c>
      <c r="AB5415">
        <v>17</v>
      </c>
      <c r="AC5415">
        <v>8.3707999999999707</v>
      </c>
      <c r="AD5415">
        <v>-1.107610668223</v>
      </c>
      <c r="AE5415">
        <v>-8.57836</v>
      </c>
      <c r="AF5415">
        <v>-4.2557716922979401</v>
      </c>
      <c r="AG5415">
        <v>-1.107610668223</v>
      </c>
      <c r="AH5415">
        <v>11.0961449577223</v>
      </c>
      <c r="AI5415">
        <v>95.324566719481297</v>
      </c>
      <c r="AJ5415">
        <v>110.98361985880101</v>
      </c>
      <c r="AK5415">
        <v>11.935779279632801</v>
      </c>
    </row>
    <row r="5416" spans="1:37" x14ac:dyDescent="0.2">
      <c r="A5416" t="str">
        <f>"20200111160010793"</f>
        <v>20200111160010793</v>
      </c>
      <c r="B5416" t="str">
        <f>"1578729610786800"</f>
        <v>1578729610786800</v>
      </c>
      <c r="C5416" t="s">
        <v>37</v>
      </c>
      <c r="D5416">
        <v>5.3129530000000003</v>
      </c>
      <c r="E5416">
        <v>0.42999599999999999</v>
      </c>
      <c r="F5416" t="s">
        <v>75</v>
      </c>
      <c r="G5416">
        <v>-289.0446</v>
      </c>
      <c r="H5416" s="1">
        <v>-1.669459E-6</v>
      </c>
      <c r="I5416">
        <v>-59.233629999999998</v>
      </c>
      <c r="J5416">
        <v>-297.42759999999998</v>
      </c>
      <c r="K5416">
        <v>1.1077109999999999</v>
      </c>
      <c r="L5416">
        <v>-50.583370000000002</v>
      </c>
      <c r="M5416">
        <v>0.40162769999999998</v>
      </c>
      <c r="N5416">
        <v>0</v>
      </c>
      <c r="O5416">
        <v>-0.91569080000000003</v>
      </c>
      <c r="P5416">
        <v>0.55089809999999995</v>
      </c>
      <c r="Q5416">
        <v>-1.2777149999999999E-2</v>
      </c>
      <c r="R5416">
        <v>-0.83447479999999996</v>
      </c>
      <c r="S5416">
        <v>2.114166</v>
      </c>
      <c r="T5416">
        <v>-0.27686850000000002</v>
      </c>
      <c r="U5416">
        <v>-2.2007750000000001</v>
      </c>
      <c r="V5416">
        <v>-0.16932700000000001</v>
      </c>
      <c r="W5416" s="1">
        <v>6.3862649999999997E-5</v>
      </c>
      <c r="X5416">
        <v>0.98555990000000004</v>
      </c>
      <c r="Y5416">
        <v>-0.34180459999999901</v>
      </c>
      <c r="Z5416">
        <v>8.9184979999999997E-2</v>
      </c>
      <c r="AA5416">
        <v>0.93552959999999996</v>
      </c>
      <c r="AB5416">
        <v>17</v>
      </c>
      <c r="AC5416">
        <v>8.3829999999999796</v>
      </c>
      <c r="AD5416">
        <v>-1.1077126694589901</v>
      </c>
      <c r="AE5416">
        <v>-8.6502599999999994</v>
      </c>
      <c r="AF5416">
        <v>-4.1672442976567199</v>
      </c>
      <c r="AG5416">
        <v>-1.1077126694589901</v>
      </c>
      <c r="AH5416">
        <v>11.194306072566899</v>
      </c>
      <c r="AI5416">
        <v>95.298223376240102</v>
      </c>
      <c r="AJ5416">
        <v>110.41851933134301</v>
      </c>
      <c r="AK5416">
        <v>11.996059388013199</v>
      </c>
    </row>
    <row r="5417" spans="1:37" x14ac:dyDescent="0.2">
      <c r="A5417" t="str">
        <f>"20200111160010815"</f>
        <v>20200111160010815</v>
      </c>
      <c r="B5417" t="str">
        <f>"1578729610806320"</f>
        <v>1578729610806320</v>
      </c>
      <c r="C5417" t="s">
        <v>37</v>
      </c>
      <c r="D5417">
        <v>5.1692749999999998</v>
      </c>
      <c r="E5417">
        <v>0.43119730000000001</v>
      </c>
      <c r="F5417" t="s">
        <v>75</v>
      </c>
      <c r="G5417">
        <v>-288.73219999999998</v>
      </c>
      <c r="H5417" s="1">
        <v>-1.7912239999999999E-6</v>
      </c>
      <c r="I5417">
        <v>-59.517539999999997</v>
      </c>
      <c r="J5417">
        <v>-297.35419999999999</v>
      </c>
      <c r="K5417">
        <v>1.1078049999999999</v>
      </c>
      <c r="L5417">
        <v>-50.73151</v>
      </c>
      <c r="M5417">
        <v>0.4074895</v>
      </c>
      <c r="N5417">
        <v>0</v>
      </c>
      <c r="O5417">
        <v>-0.91309699999999905</v>
      </c>
      <c r="P5417">
        <v>0.55810999999999999</v>
      </c>
      <c r="Q5417">
        <v>-9.7121140000000009E-3</v>
      </c>
      <c r="R5417">
        <v>-0.82971030000000001</v>
      </c>
      <c r="S5417">
        <v>2.127777</v>
      </c>
      <c r="T5417">
        <v>-0.27106059999999998</v>
      </c>
      <c r="U5417">
        <v>-2.1862180000000002</v>
      </c>
      <c r="V5417">
        <v>-0.1715575</v>
      </c>
      <c r="W5417">
        <v>3.0887709999999902E-3</v>
      </c>
      <c r="X5417">
        <v>0.98516919999999897</v>
      </c>
      <c r="Y5417">
        <v>-0.3420127</v>
      </c>
      <c r="Z5417">
        <v>8.7222610000000006E-2</v>
      </c>
      <c r="AA5417">
        <v>0.93563859999999999</v>
      </c>
      <c r="AB5417">
        <v>17</v>
      </c>
      <c r="AC5417">
        <v>8.6220000000000105</v>
      </c>
      <c r="AD5417">
        <v>-1.1078067912239999</v>
      </c>
      <c r="AE5417">
        <v>-8.7860300000000002</v>
      </c>
      <c r="AF5417">
        <v>-4.2584615435307498</v>
      </c>
      <c r="AG5417">
        <v>-1.1078067912239999</v>
      </c>
      <c r="AH5417">
        <v>11.444375880836199</v>
      </c>
      <c r="AI5417">
        <v>95.183804125870694</v>
      </c>
      <c r="AJ5417">
        <v>110.410274758675</v>
      </c>
      <c r="AK5417">
        <v>12.2611365666596</v>
      </c>
    </row>
    <row r="5418" spans="1:37" x14ac:dyDescent="0.2">
      <c r="A5418" t="str">
        <f>"20200111160010837"</f>
        <v>20200111160010837</v>
      </c>
      <c r="B5418" t="str">
        <f>"1578729610826817"</f>
        <v>1578729610826817</v>
      </c>
      <c r="C5418" t="s">
        <v>37</v>
      </c>
      <c r="D5418">
        <v>5.3749900000000004</v>
      </c>
      <c r="E5418">
        <v>0.4322569</v>
      </c>
      <c r="F5418" t="s">
        <v>75</v>
      </c>
      <c r="G5418">
        <v>-288.36430000000001</v>
      </c>
      <c r="H5418" s="1">
        <v>-1.9314139999999998E-6</v>
      </c>
      <c r="I5418">
        <v>-59.866549999999997</v>
      </c>
      <c r="J5418">
        <v>-297.27940000000001</v>
      </c>
      <c r="K5418">
        <v>1.1079110000000001</v>
      </c>
      <c r="L5418">
        <v>-50.879820000000002</v>
      </c>
      <c r="M5418">
        <v>0.4135741</v>
      </c>
      <c r="N5418">
        <v>0</v>
      </c>
      <c r="O5418">
        <v>-0.91035710000000003</v>
      </c>
      <c r="P5418">
        <v>0.56517959999999901</v>
      </c>
      <c r="Q5418">
        <v>-6.657049E-3</v>
      </c>
      <c r="R5418">
        <v>-0.82494129999999999</v>
      </c>
      <c r="S5418">
        <v>2.1391909999999998</v>
      </c>
      <c r="T5418">
        <v>-0.26360539999999999</v>
      </c>
      <c r="U5418">
        <v>-2.1737060000000001</v>
      </c>
      <c r="V5418">
        <v>-0.17341419999999999</v>
      </c>
      <c r="W5418">
        <v>6.1047339999999997E-3</v>
      </c>
      <c r="X5418">
        <v>0.98483009999999904</v>
      </c>
      <c r="Y5418">
        <v>-0.34109129999999999</v>
      </c>
      <c r="Z5418">
        <v>8.4705219999999998E-2</v>
      </c>
      <c r="AA5418">
        <v>0.93620599999999998</v>
      </c>
      <c r="AB5418">
        <v>17</v>
      </c>
      <c r="AC5418">
        <v>8.91509999999999</v>
      </c>
      <c r="AD5418">
        <v>-1.1079129314139999</v>
      </c>
      <c r="AE5418">
        <v>-8.9867299999999908</v>
      </c>
      <c r="AF5418">
        <v>-4.3662535895443</v>
      </c>
      <c r="AG5418">
        <v>-1.1079129314139999</v>
      </c>
      <c r="AH5418">
        <v>11.779182237111399</v>
      </c>
      <c r="AI5418">
        <v>95.040043140830704</v>
      </c>
      <c r="AJ5418">
        <v>110.33850616856699</v>
      </c>
      <c r="AK5418">
        <v>12.611136968841601</v>
      </c>
    </row>
    <row r="5419" spans="1:37" x14ac:dyDescent="0.2">
      <c r="A5419" t="str">
        <f>"20200111160010860"</f>
        <v>20200111160010860</v>
      </c>
      <c r="B5419" t="str">
        <f>"1578729610856096"</f>
        <v>1578729610856096</v>
      </c>
      <c r="C5419" t="s">
        <v>37</v>
      </c>
      <c r="D5419">
        <v>5.4059910000000002</v>
      </c>
      <c r="E5419">
        <v>0.434131499999999</v>
      </c>
      <c r="F5419" t="s">
        <v>75</v>
      </c>
      <c r="G5419">
        <v>-288.01240000000001</v>
      </c>
      <c r="H5419" s="1">
        <v>-2.0681209999999899E-6</v>
      </c>
      <c r="I5419">
        <v>-60.188429999999997</v>
      </c>
      <c r="J5419">
        <v>-297.2022</v>
      </c>
      <c r="K5419">
        <v>1.1080410000000001</v>
      </c>
      <c r="L5419">
        <v>-51.029629999999997</v>
      </c>
      <c r="M5419">
        <v>0.41995329999999897</v>
      </c>
      <c r="N5419">
        <v>0</v>
      </c>
      <c r="O5419">
        <v>-0.90743149999999995</v>
      </c>
      <c r="P5419">
        <v>0.57184060000000003</v>
      </c>
      <c r="Q5419">
        <v>-3.2519609999999998E-3</v>
      </c>
      <c r="R5419">
        <v>-0.82035879999999906</v>
      </c>
      <c r="S5419">
        <v>2.1511230000000001</v>
      </c>
      <c r="T5419">
        <v>-0.25717479999999998</v>
      </c>
      <c r="U5419">
        <v>-2.1607669999999999</v>
      </c>
      <c r="V5419">
        <v>-0.1744975</v>
      </c>
      <c r="W5419">
        <v>9.4739609999999995E-3</v>
      </c>
      <c r="X5419">
        <v>0.98461200000000004</v>
      </c>
      <c r="Y5419">
        <v>-0.34003149999999999</v>
      </c>
      <c r="Z5419">
        <v>8.2502039999999999E-2</v>
      </c>
      <c r="AA5419">
        <v>0.93678809999999901</v>
      </c>
      <c r="AB5419">
        <v>17</v>
      </c>
      <c r="AC5419">
        <v>9.1897999999999893</v>
      </c>
      <c r="AD5419">
        <v>-1.1080430681209901</v>
      </c>
      <c r="AE5419">
        <v>-9.1587999999999994</v>
      </c>
      <c r="AF5419">
        <v>-4.4607767781757897</v>
      </c>
      <c r="AG5419">
        <v>-1.1080430681209901</v>
      </c>
      <c r="AH5419">
        <v>12.083401766597801</v>
      </c>
      <c r="AI5419">
        <v>94.916758425948501</v>
      </c>
      <c r="AJ5419">
        <v>110.26241360574301</v>
      </c>
      <c r="AK5419">
        <v>12.9280658707535</v>
      </c>
    </row>
    <row r="5420" spans="1:37" x14ac:dyDescent="0.2">
      <c r="A5420" t="str">
        <f>"20200111160010883"</f>
        <v>20200111160010883</v>
      </c>
      <c r="B5420" t="str">
        <f>"1578729610876592"</f>
        <v>1578729610876592</v>
      </c>
      <c r="C5420" t="s">
        <v>37</v>
      </c>
      <c r="D5420">
        <v>5.3832230000000001</v>
      </c>
      <c r="E5420">
        <v>0.43529390000000001</v>
      </c>
      <c r="F5420" t="s">
        <v>75</v>
      </c>
      <c r="G5420">
        <v>-287.63490000000002</v>
      </c>
      <c r="H5420" s="1">
        <v>-4.6684320000000001E-6</v>
      </c>
      <c r="I5420">
        <v>-60.577259999999903</v>
      </c>
      <c r="J5420">
        <v>-297.12209999999999</v>
      </c>
      <c r="K5420">
        <v>1.108182</v>
      </c>
      <c r="L5420">
        <v>-51.182040000000001</v>
      </c>
      <c r="M5420">
        <v>0.42668719999999999</v>
      </c>
      <c r="N5420">
        <v>0</v>
      </c>
      <c r="O5420">
        <v>-0.90428419999999898</v>
      </c>
      <c r="P5420">
        <v>0.57877069999999997</v>
      </c>
      <c r="Q5420">
        <v>-8.6261240000000004E-4</v>
      </c>
      <c r="R5420">
        <v>-0.81548999999999905</v>
      </c>
      <c r="S5420">
        <v>2.1569210000000001</v>
      </c>
      <c r="T5420">
        <v>-0.24980340000000001</v>
      </c>
      <c r="U5420">
        <v>-2.152466</v>
      </c>
      <c r="V5420">
        <v>-0.17554149999999999</v>
      </c>
      <c r="W5420">
        <v>1.1822249999999999E-2</v>
      </c>
      <c r="X5420">
        <v>0.98440099999999997</v>
      </c>
      <c r="Y5420">
        <v>-0.33625820000000001</v>
      </c>
      <c r="Z5420">
        <v>7.996549E-2</v>
      </c>
      <c r="AA5420">
        <v>0.93836869999999994</v>
      </c>
      <c r="AB5420">
        <v>17</v>
      </c>
      <c r="AC5420">
        <v>9.4871999999999694</v>
      </c>
      <c r="AD5420">
        <v>-1.1081866684320001</v>
      </c>
      <c r="AE5420">
        <v>-9.3952199999999895</v>
      </c>
      <c r="AF5420">
        <v>-4.5395097911241198</v>
      </c>
      <c r="AG5420">
        <v>-1.1081866684320001</v>
      </c>
      <c r="AH5420">
        <v>12.4594930159193</v>
      </c>
      <c r="AI5420">
        <v>94.777065536206507</v>
      </c>
      <c r="AJ5420">
        <v>110.018779002372</v>
      </c>
      <c r="AK5420">
        <v>13.306922749063499</v>
      </c>
    </row>
    <row r="5421" spans="1:37" x14ac:dyDescent="0.2">
      <c r="A5421" t="str">
        <f>"20200111160010905"</f>
        <v>20200111160010905</v>
      </c>
      <c r="B5421" t="str">
        <f>"1578729610896112"</f>
        <v>1578729610896112</v>
      </c>
      <c r="C5421" t="s">
        <v>37</v>
      </c>
      <c r="D5421">
        <v>5.7390549999999996</v>
      </c>
      <c r="E5421">
        <v>0.43467509999999998</v>
      </c>
      <c r="F5421" t="s">
        <v>75</v>
      </c>
      <c r="G5421">
        <v>-287.4203</v>
      </c>
      <c r="H5421" s="1">
        <v>-4.7439880000000003E-6</v>
      </c>
      <c r="I5421">
        <v>-60.759259999999998</v>
      </c>
      <c r="J5421">
        <v>-297.04349999999999</v>
      </c>
      <c r="K5421">
        <v>1.108322</v>
      </c>
      <c r="L5421">
        <v>-51.328159999999997</v>
      </c>
      <c r="M5421">
        <v>0.43339430000000001</v>
      </c>
      <c r="N5421">
        <v>0</v>
      </c>
      <c r="O5421">
        <v>-0.90108860000000002</v>
      </c>
      <c r="P5421">
        <v>0.58549980000000001</v>
      </c>
      <c r="Q5421">
        <v>1.210441E-3</v>
      </c>
      <c r="R5421">
        <v>-0.8106719</v>
      </c>
      <c r="S5421">
        <v>2.1678160000000002</v>
      </c>
      <c r="T5421">
        <v>-0.24761900000000001</v>
      </c>
      <c r="U5421">
        <v>-2.1399840000000001</v>
      </c>
      <c r="V5421">
        <v>-0.17639669999999999</v>
      </c>
      <c r="W5421">
        <v>1.385436E-2</v>
      </c>
      <c r="X5421">
        <v>0.98422160000000003</v>
      </c>
      <c r="Y5421">
        <v>-0.33440429999999999</v>
      </c>
      <c r="Z5421">
        <v>7.9098020000000005E-2</v>
      </c>
      <c r="AA5421">
        <v>0.93910450000000001</v>
      </c>
      <c r="AB5421">
        <v>17</v>
      </c>
      <c r="AC5421">
        <v>9.62319999999999</v>
      </c>
      <c r="AD5421">
        <v>-1.108326743988</v>
      </c>
      <c r="AE5421">
        <v>-9.4311000000000007</v>
      </c>
      <c r="AF5421">
        <v>-4.5536391111007903</v>
      </c>
      <c r="AG5421">
        <v>-1.108326743988</v>
      </c>
      <c r="AH5421">
        <v>12.585067775887</v>
      </c>
      <c r="AI5421">
        <v>94.734009120322398</v>
      </c>
      <c r="AJ5421">
        <v>109.891579509241</v>
      </c>
      <c r="AK5421">
        <v>13.4293688701016</v>
      </c>
    </row>
    <row r="5422" spans="1:37" x14ac:dyDescent="0.2">
      <c r="A5422" t="str">
        <f>"20200111160010927"</f>
        <v>20200111160010927</v>
      </c>
      <c r="B5422" t="str">
        <f>"1578729610916610"</f>
        <v>1578729610916610</v>
      </c>
      <c r="C5422" t="s">
        <v>37</v>
      </c>
      <c r="D5422">
        <v>5.3049369999999998</v>
      </c>
      <c r="E5422">
        <v>0.37106109999999998</v>
      </c>
      <c r="F5422" t="s">
        <v>75</v>
      </c>
      <c r="G5422">
        <v>-287.16399999999999</v>
      </c>
      <c r="H5422" s="1">
        <v>-4.8495129999999996E-6</v>
      </c>
      <c r="I5422">
        <v>-60.891080000000002</v>
      </c>
      <c r="J5422">
        <v>-296.96609999999998</v>
      </c>
      <c r="K5422">
        <v>1.1084689999999999</v>
      </c>
      <c r="L5422">
        <v>-51.468509999999903</v>
      </c>
      <c r="M5422">
        <v>0.44009929999999903</v>
      </c>
      <c r="N5422">
        <v>0</v>
      </c>
      <c r="O5422">
        <v>-0.89783250000000003</v>
      </c>
      <c r="P5422">
        <v>0.59141339999999998</v>
      </c>
      <c r="Q5422">
        <v>3.1149300000000001E-3</v>
      </c>
      <c r="R5422">
        <v>-0.80636249999999998</v>
      </c>
      <c r="S5422">
        <v>2.1896969999999998</v>
      </c>
      <c r="T5422">
        <v>-0.24565090000000001</v>
      </c>
      <c r="U5422">
        <v>-2.1195369999999998</v>
      </c>
      <c r="V5422">
        <v>-0.176283</v>
      </c>
      <c r="W5422">
        <v>1.573242E-2</v>
      </c>
      <c r="X5422">
        <v>0.98421380000000003</v>
      </c>
      <c r="Y5422">
        <v>-0.33664699999999997</v>
      </c>
      <c r="Z5422">
        <v>7.8313640000000004E-2</v>
      </c>
      <c r="AA5422">
        <v>0.93836869999999994</v>
      </c>
      <c r="AB5422">
        <v>17</v>
      </c>
      <c r="AC5422">
        <v>9.8020999999999905</v>
      </c>
      <c r="AD5422">
        <v>-1.108473849513</v>
      </c>
      <c r="AE5422">
        <v>-9.4225700000000092</v>
      </c>
      <c r="AF5422">
        <v>-4.6235344493163497</v>
      </c>
      <c r="AG5422">
        <v>-1.108473849513</v>
      </c>
      <c r="AH5422">
        <v>12.690775198093901</v>
      </c>
      <c r="AI5422">
        <v>94.691636837255302</v>
      </c>
      <c r="AJ5422">
        <v>110.017818335379</v>
      </c>
      <c r="AK5422">
        <v>13.5521791682232</v>
      </c>
    </row>
    <row r="5423" spans="1:37" x14ac:dyDescent="0.2">
      <c r="A5423" t="str">
        <f>"20200111160010949"</f>
        <v>20200111160010949</v>
      </c>
      <c r="B5423" t="str">
        <f>"1578729610946865"</f>
        <v>1578729610946865</v>
      </c>
      <c r="C5423" t="s">
        <v>37</v>
      </c>
      <c r="D5423">
        <v>5.2276939999999996</v>
      </c>
      <c r="E5423">
        <v>0.30738080000000001</v>
      </c>
      <c r="F5423" t="s">
        <v>38</v>
      </c>
      <c r="G5423">
        <v>-296.16609999999997</v>
      </c>
      <c r="H5423">
        <v>1.067067</v>
      </c>
      <c r="I5423">
        <v>-52.021900000000002</v>
      </c>
      <c r="J5423">
        <v>-296.88339999999999</v>
      </c>
      <c r="K5423">
        <v>1.1085879999999999</v>
      </c>
      <c r="L5423">
        <v>-51.615139999999997</v>
      </c>
      <c r="M5423">
        <v>0.44733319999999999</v>
      </c>
      <c r="N5423">
        <v>0</v>
      </c>
      <c r="O5423">
        <v>-0.89424979999999998</v>
      </c>
      <c r="P5423">
        <v>0.59734229999999999</v>
      </c>
      <c r="Q5423">
        <v>4.6803629999999999E-3</v>
      </c>
      <c r="R5423">
        <v>-0.80197299999999905</v>
      </c>
      <c r="S5423">
        <v>2.6107480000000001</v>
      </c>
      <c r="T5423">
        <v>-0.13512650000000001</v>
      </c>
      <c r="U5423">
        <v>-1.806152</v>
      </c>
      <c r="V5423">
        <v>-0.17561570000000001</v>
      </c>
      <c r="W5423">
        <v>1.7286699999999999E-2</v>
      </c>
      <c r="X5423">
        <v>0.98430699999999904</v>
      </c>
      <c r="Y5423">
        <v>-0.48014109999999999</v>
      </c>
      <c r="Z5423">
        <v>4.2906399999999997E-2</v>
      </c>
      <c r="AA5423">
        <v>0.87614130000000001</v>
      </c>
      <c r="AB5423">
        <v>17</v>
      </c>
      <c r="AC5423">
        <v>0.71730000000002203</v>
      </c>
      <c r="AD5423">
        <v>-4.1520999999999898E-2</v>
      </c>
      <c r="AE5423">
        <v>-0.40675999999999801</v>
      </c>
      <c r="AF5423">
        <v>-0.45837429727901902</v>
      </c>
      <c r="AG5423">
        <v>-4.1520999999999898E-2</v>
      </c>
      <c r="AH5423">
        <v>0.68295759245052201</v>
      </c>
      <c r="AI5423">
        <v>92.889853491941096</v>
      </c>
      <c r="AJ5423">
        <v>123.86795977352701</v>
      </c>
      <c r="AK5423">
        <v>0.82356667182010801</v>
      </c>
    </row>
    <row r="5424" spans="1:37" x14ac:dyDescent="0.2">
      <c r="A5424" t="str">
        <f>"20200111160010974"</f>
        <v>20200111160010974</v>
      </c>
      <c r="B5424" t="str">
        <f>"1578729610966385"</f>
        <v>1578729610966385</v>
      </c>
      <c r="C5424" t="s">
        <v>37</v>
      </c>
      <c r="D5424">
        <v>5.7691379999999999</v>
      </c>
      <c r="E5424">
        <v>0.30738080000000001</v>
      </c>
      <c r="F5424" t="s">
        <v>38</v>
      </c>
      <c r="G5424">
        <v>-295.97980000000001</v>
      </c>
      <c r="H5424">
        <v>1.073204</v>
      </c>
      <c r="I5424">
        <v>-52.057279999999999</v>
      </c>
      <c r="J5424">
        <v>-296.79579999999999</v>
      </c>
      <c r="K5424">
        <v>1.108681</v>
      </c>
      <c r="L5424">
        <v>-51.767029999999998</v>
      </c>
      <c r="M5424">
        <v>0.45506590000000002</v>
      </c>
      <c r="N5424">
        <v>0</v>
      </c>
      <c r="O5424">
        <v>-0.8903392</v>
      </c>
      <c r="P5424">
        <v>0.60266500000000001</v>
      </c>
      <c r="Q5424">
        <v>5.6844669999999899E-3</v>
      </c>
      <c r="R5424">
        <v>-0.79797430000000003</v>
      </c>
      <c r="S5424">
        <v>3.0317989999999999</v>
      </c>
      <c r="T5424">
        <v>-0.118709</v>
      </c>
      <c r="U5424">
        <v>-1.4832459999999901</v>
      </c>
      <c r="V5424">
        <v>-0.17365129999999901</v>
      </c>
      <c r="W5424">
        <v>1.8306490000000002E-2</v>
      </c>
      <c r="X5424">
        <v>0.98463699999999998</v>
      </c>
      <c r="Y5424">
        <v>-0.59919180000000005</v>
      </c>
      <c r="Z5424">
        <v>3.662696E-2</v>
      </c>
      <c r="AA5424">
        <v>0.79976720000000001</v>
      </c>
      <c r="AB5424">
        <v>17</v>
      </c>
      <c r="AC5424">
        <v>0.81599999999997397</v>
      </c>
      <c r="AD5424">
        <v>-3.5476999999999898E-2</v>
      </c>
      <c r="AE5424">
        <v>-0.29025000000000001</v>
      </c>
      <c r="AF5424">
        <v>-0.59350081955529999</v>
      </c>
      <c r="AG5424">
        <v>-3.5476999999999898E-2</v>
      </c>
      <c r="AH5424">
        <v>0.62876619351164398</v>
      </c>
      <c r="AI5424">
        <v>92.349601397560207</v>
      </c>
      <c r="AJ5424">
        <v>133.34733599987899</v>
      </c>
      <c r="AK5424">
        <v>0.86536048352402595</v>
      </c>
    </row>
    <row r="5425" spans="1:37" x14ac:dyDescent="0.2">
      <c r="A5425" t="str">
        <f>"20200111160010994"</f>
        <v>20200111160010994</v>
      </c>
      <c r="B5425" t="str">
        <f>"1578729610986881"</f>
        <v>1578729610986881</v>
      </c>
      <c r="C5425" t="s">
        <v>37</v>
      </c>
      <c r="D5425">
        <v>5.8076309999999998</v>
      </c>
      <c r="E5425">
        <v>0.30738080000000001</v>
      </c>
      <c r="F5425" t="s">
        <v>39</v>
      </c>
      <c r="G5425">
        <v>-266.48590000000002</v>
      </c>
      <c r="H5425" s="1">
        <v>-3.153003E-6</v>
      </c>
      <c r="I5425">
        <v>-66.344569999999905</v>
      </c>
      <c r="J5425">
        <v>-296.71699999999998</v>
      </c>
      <c r="K5425">
        <v>1.108741</v>
      </c>
      <c r="L5425">
        <v>-51.900509999999997</v>
      </c>
      <c r="M5425">
        <v>0.46206549999999902</v>
      </c>
      <c r="N5425">
        <v>0</v>
      </c>
      <c r="O5425">
        <v>-0.88672619999999902</v>
      </c>
      <c r="P5425">
        <v>0.60800209999999999</v>
      </c>
      <c r="Q5425">
        <v>6.23725699999999E-3</v>
      </c>
      <c r="R5425">
        <v>-0.79391099999999903</v>
      </c>
      <c r="S5425">
        <v>3.0418400000000001</v>
      </c>
      <c r="T5425">
        <v>-0.1112654</v>
      </c>
      <c r="U5425">
        <v>-1.462982</v>
      </c>
      <c r="V5425">
        <v>-0.17250699999999999</v>
      </c>
      <c r="W5425">
        <v>1.8870970000000001E-2</v>
      </c>
      <c r="X5425">
        <v>0.98482749999999997</v>
      </c>
      <c r="Y5425">
        <v>-0.59832559999999901</v>
      </c>
      <c r="Z5425">
        <v>3.4278999999999997E-2</v>
      </c>
      <c r="AA5425">
        <v>0.80051949999999905</v>
      </c>
      <c r="AB5425">
        <v>17</v>
      </c>
      <c r="AC5425">
        <v>30.231099999999898</v>
      </c>
      <c r="AD5425">
        <v>-1.108744153003</v>
      </c>
      <c r="AE5425">
        <v>-14.444059999999901</v>
      </c>
      <c r="AF5425">
        <v>-20.112716628883099</v>
      </c>
      <c r="AG5425">
        <v>-1.108744153003</v>
      </c>
      <c r="AH5425">
        <v>26.750220782453901</v>
      </c>
      <c r="AI5425">
        <v>91.897438063411201</v>
      </c>
      <c r="AJ5425">
        <v>126.93844619783</v>
      </c>
      <c r="AK5425">
        <v>33.486191119633197</v>
      </c>
    </row>
    <row r="5426" spans="1:37" x14ac:dyDescent="0.2">
      <c r="A5426" t="str">
        <f>"20200111160011016"</f>
        <v>20200111160011016</v>
      </c>
      <c r="B5426" t="str">
        <f>"1578729611006400"</f>
        <v>1578729611006400</v>
      </c>
      <c r="C5426" t="s">
        <v>37</v>
      </c>
      <c r="D5426">
        <v>4.3019600000000002</v>
      </c>
      <c r="E5426">
        <v>0.29166399999999998</v>
      </c>
      <c r="F5426" t="s">
        <v>39</v>
      </c>
      <c r="G5426">
        <v>-265.24599999999998</v>
      </c>
      <c r="H5426" s="1">
        <v>-2.807393E-6</v>
      </c>
      <c r="I5426">
        <v>-66.774909999999906</v>
      </c>
      <c r="J5426">
        <v>-296.6345</v>
      </c>
      <c r="K5426">
        <v>1.1088020000000001</v>
      </c>
      <c r="L5426">
        <v>-52.03745</v>
      </c>
      <c r="M5426">
        <v>0.46945039999999999</v>
      </c>
      <c r="N5426">
        <v>0</v>
      </c>
      <c r="O5426">
        <v>-0.88283849999999997</v>
      </c>
      <c r="P5426">
        <v>0.61419419999999902</v>
      </c>
      <c r="Q5426">
        <v>6.1848800000000002E-3</v>
      </c>
      <c r="R5426">
        <v>-0.78913129999999998</v>
      </c>
      <c r="S5426">
        <v>3.0518190000000001</v>
      </c>
      <c r="T5426">
        <v>-0.1075176</v>
      </c>
      <c r="U5426">
        <v>-1.4424129999999999</v>
      </c>
      <c r="V5426">
        <v>-0.171992899999999</v>
      </c>
      <c r="W5426">
        <v>1.8823289999999999E-2</v>
      </c>
      <c r="X5426">
        <v>0.98491839999999997</v>
      </c>
      <c r="Y5426">
        <v>-0.59710039999999998</v>
      </c>
      <c r="Z5426">
        <v>3.3065480000000001E-2</v>
      </c>
      <c r="AA5426">
        <v>0.80148469999999905</v>
      </c>
      <c r="AB5426">
        <v>17</v>
      </c>
      <c r="AC5426">
        <v>31.388500000000001</v>
      </c>
      <c r="AD5426">
        <v>-1.1088048073929999</v>
      </c>
      <c r="AE5426">
        <v>-14.737459999999899</v>
      </c>
      <c r="AF5426">
        <v>-20.7734391698095</v>
      </c>
      <c r="AG5426">
        <v>-1.1088048073929999</v>
      </c>
      <c r="AH5426">
        <v>27.720745921441399</v>
      </c>
      <c r="AI5426">
        <v>91.833341136198001</v>
      </c>
      <c r="AJ5426">
        <v>126.847244053675</v>
      </c>
      <c r="AK5426">
        <v>34.658404139310598</v>
      </c>
    </row>
    <row r="5427" spans="1:37" x14ac:dyDescent="0.2">
      <c r="A5427" t="str">
        <f>"20200111160011038"</f>
        <v>20200111160011038</v>
      </c>
      <c r="B5427" t="str">
        <f>"1578729611036656"</f>
        <v>1578729611036656</v>
      </c>
      <c r="C5427" t="s">
        <v>37</v>
      </c>
      <c r="D5427">
        <v>4.3354589999999904</v>
      </c>
      <c r="E5427">
        <v>0.28665669999999999</v>
      </c>
      <c r="F5427" t="s">
        <v>46</v>
      </c>
      <c r="G5427">
        <v>-226.84649999999999</v>
      </c>
      <c r="H5427">
        <v>2.1543649999999999</v>
      </c>
      <c r="I5427">
        <v>-81.815880000000007</v>
      </c>
      <c r="J5427">
        <v>-296.54860000000002</v>
      </c>
      <c r="K5427">
        <v>1.108867</v>
      </c>
      <c r="L5427">
        <v>-52.176819999999999</v>
      </c>
      <c r="M5427">
        <v>0.47717850000000001</v>
      </c>
      <c r="N5427">
        <v>0</v>
      </c>
      <c r="O5427">
        <v>-0.87868489999999999</v>
      </c>
      <c r="P5427">
        <v>0.62159399999999998</v>
      </c>
      <c r="Q5427">
        <v>5.6990280000000001E-3</v>
      </c>
      <c r="R5427">
        <v>-0.78331909999999905</v>
      </c>
      <c r="S5427">
        <v>3.154541</v>
      </c>
      <c r="T5427">
        <v>4.7261480000000002E-2</v>
      </c>
      <c r="U5427">
        <v>-1.346039</v>
      </c>
      <c r="V5427">
        <v>-0.17261770000000001</v>
      </c>
      <c r="W5427">
        <v>1.8326990000000001E-2</v>
      </c>
      <c r="X5427">
        <v>0.98481839999999998</v>
      </c>
      <c r="Y5427">
        <v>-0.62087329999999996</v>
      </c>
      <c r="Z5427">
        <v>-1.439736E-2</v>
      </c>
      <c r="AA5427">
        <v>0.78377869999999905</v>
      </c>
      <c r="AB5427">
        <v>17</v>
      </c>
      <c r="AC5427">
        <v>69.702100000000002</v>
      </c>
      <c r="AD5427">
        <v>1.045498</v>
      </c>
      <c r="AE5427">
        <v>-29.639060000000001</v>
      </c>
      <c r="AF5427">
        <v>-47.099116255765097</v>
      </c>
      <c r="AG5427">
        <v>1.045498</v>
      </c>
      <c r="AH5427">
        <v>59.298772015308003</v>
      </c>
      <c r="AI5427">
        <v>89.209022754788293</v>
      </c>
      <c r="AJ5427">
        <v>128.45899136393001</v>
      </c>
      <c r="AK5427">
        <v>75.734828055958204</v>
      </c>
    </row>
    <row r="5428" spans="1:37" x14ac:dyDescent="0.2">
      <c r="A5428" t="str">
        <f>"20200111160011061"</f>
        <v>20200111160011061</v>
      </c>
      <c r="B5428" t="str">
        <f>"1578729611056178"</f>
        <v>1578729611056178</v>
      </c>
      <c r="C5428" t="s">
        <v>37</v>
      </c>
      <c r="D5428">
        <v>4.3187889999999998</v>
      </c>
      <c r="E5428">
        <v>0.28570040000000002</v>
      </c>
      <c r="F5428" t="s">
        <v>46</v>
      </c>
      <c r="G5428">
        <v>-223.31700000000001</v>
      </c>
      <c r="H5428">
        <v>3.5051160000000001</v>
      </c>
      <c r="I5428">
        <v>-81.816329999999994</v>
      </c>
      <c r="J5428">
        <v>-296.46050000000002</v>
      </c>
      <c r="K5428">
        <v>1.1089420000000001</v>
      </c>
      <c r="L5428">
        <v>-52.316499999999998</v>
      </c>
      <c r="M5428">
        <v>0.4851143</v>
      </c>
      <c r="N5428">
        <v>0</v>
      </c>
      <c r="O5428">
        <v>-0.87432809999999905</v>
      </c>
      <c r="P5428">
        <v>0.63011779999999995</v>
      </c>
      <c r="Q5428">
        <v>4.324881E-3</v>
      </c>
      <c r="R5428">
        <v>-0.77648759999999994</v>
      </c>
      <c r="S5428">
        <v>3.1954959999999999</v>
      </c>
      <c r="T5428">
        <v>0.10456169999999999</v>
      </c>
      <c r="U5428">
        <v>-1.2933349999999999</v>
      </c>
      <c r="V5428">
        <v>-0.1744494</v>
      </c>
      <c r="W5428">
        <v>1.6924359999999999E-2</v>
      </c>
      <c r="X5428">
        <v>0.98452070000000003</v>
      </c>
      <c r="Y5428">
        <v>-0.62802009999999997</v>
      </c>
      <c r="Z5428">
        <v>-3.1709250000000001E-2</v>
      </c>
      <c r="AA5428">
        <v>0.77755079999999999</v>
      </c>
      <c r="AB5428">
        <v>17</v>
      </c>
      <c r="AC5428">
        <v>73.143500000000003</v>
      </c>
      <c r="AD5428">
        <v>2.3961739999999998</v>
      </c>
      <c r="AE5428">
        <v>-29.499829999999999</v>
      </c>
      <c r="AF5428">
        <v>-49.6001684529652</v>
      </c>
      <c r="AG5428">
        <v>2.3961739999999998</v>
      </c>
      <c r="AH5428">
        <v>61.225545585276798</v>
      </c>
      <c r="AI5428">
        <v>88.258171942422905</v>
      </c>
      <c r="AJ5428">
        <v>129.01169707326801</v>
      </c>
      <c r="AK5428">
        <v>78.832009949103806</v>
      </c>
    </row>
    <row r="5429" spans="1:37" x14ac:dyDescent="0.2">
      <c r="A5429" t="str">
        <f>"20200111160011131"</f>
        <v>20200111160011131</v>
      </c>
      <c r="B5429" t="str">
        <f>"1578729611126449"</f>
        <v>1578729611126449</v>
      </c>
      <c r="C5429" t="s">
        <v>37</v>
      </c>
      <c r="D5429">
        <v>4.9457550000000001</v>
      </c>
      <c r="E5429">
        <v>0.2851361</v>
      </c>
      <c r="F5429" t="s">
        <v>46</v>
      </c>
      <c r="G5429">
        <v>-220.84289999999999</v>
      </c>
      <c r="H5429">
        <v>3.7908900000000001</v>
      </c>
      <c r="I5429">
        <v>-81.816419999999994</v>
      </c>
      <c r="J5429">
        <v>-296.18299999999999</v>
      </c>
      <c r="K5429">
        <v>1.109138</v>
      </c>
      <c r="L5429">
        <v>-52.735379999999999</v>
      </c>
      <c r="M5429">
        <v>0.5101021</v>
      </c>
      <c r="N5429">
        <v>0</v>
      </c>
      <c r="O5429">
        <v>-0.85998790000000003</v>
      </c>
      <c r="P5429">
        <v>0.6572462</v>
      </c>
      <c r="Q5429">
        <v>-1.210626E-3</v>
      </c>
      <c r="R5429">
        <v>-0.75367530000000005</v>
      </c>
      <c r="S5429">
        <v>3.2147830000000002</v>
      </c>
      <c r="T5429">
        <v>0.1140196</v>
      </c>
      <c r="U5429">
        <v>-1.2541500000000001</v>
      </c>
      <c r="V5429">
        <v>-0.1809267</v>
      </c>
      <c r="W5429">
        <v>1.1293950000000001E-2</v>
      </c>
      <c r="X5429">
        <v>0.98343179999999997</v>
      </c>
      <c r="Y5429">
        <v>-0.61524979999999996</v>
      </c>
      <c r="Z5429">
        <v>-3.4204779999999997E-2</v>
      </c>
      <c r="AA5429">
        <v>0.78758989999999995</v>
      </c>
      <c r="AB5429">
        <v>17</v>
      </c>
      <c r="AC5429">
        <v>75.340100000000007</v>
      </c>
      <c r="AD5429">
        <v>2.6817519999999999</v>
      </c>
      <c r="AE5429">
        <v>-29.081039999999899</v>
      </c>
      <c r="AF5429">
        <v>-49.907653127084401</v>
      </c>
      <c r="AG5429">
        <v>2.6817519999999999</v>
      </c>
      <c r="AH5429">
        <v>63.377471423530203</v>
      </c>
      <c r="AI5429">
        <v>88.095964729616895</v>
      </c>
      <c r="AJ5429">
        <v>128.21925710963501</v>
      </c>
      <c r="AK5429">
        <v>80.713502702356195</v>
      </c>
    </row>
    <row r="5430" spans="1:37" x14ac:dyDescent="0.2">
      <c r="A5430" t="str">
        <f>"20200111160011150"</f>
        <v>20200111160011150</v>
      </c>
      <c r="B5430" t="str">
        <f>"1578729611146945"</f>
        <v>1578729611146945</v>
      </c>
      <c r="C5430" t="s">
        <v>37</v>
      </c>
      <c r="D5430">
        <v>4.8734960000000003</v>
      </c>
      <c r="E5430">
        <v>0.31054959999999998</v>
      </c>
      <c r="F5430" t="s">
        <v>46</v>
      </c>
      <c r="G5430">
        <v>-212.7961</v>
      </c>
      <c r="H5430">
        <v>3.7765949999999999</v>
      </c>
      <c r="I5430">
        <v>-81.816419999999994</v>
      </c>
      <c r="J5430">
        <v>-296.10199999999998</v>
      </c>
      <c r="K5430">
        <v>1.109154</v>
      </c>
      <c r="L5430">
        <v>-52.852229999999999</v>
      </c>
      <c r="M5430">
        <v>0.51735429999999905</v>
      </c>
      <c r="N5430">
        <v>0</v>
      </c>
      <c r="O5430">
        <v>-0.85564430000000002</v>
      </c>
      <c r="P5430">
        <v>0.66599350000000002</v>
      </c>
      <c r="Q5430">
        <v>-3.2023339999999998E-3</v>
      </c>
      <c r="R5430">
        <v>-0.74595059999999902</v>
      </c>
      <c r="S5430">
        <v>3.26065099999999</v>
      </c>
      <c r="T5430">
        <v>0.10430489999999901</v>
      </c>
      <c r="U5430">
        <v>-1.137146</v>
      </c>
      <c r="V5430">
        <v>-0.18406589999999901</v>
      </c>
      <c r="W5430">
        <v>9.2665460000000005E-3</v>
      </c>
      <c r="X5430">
        <v>0.98287019999999903</v>
      </c>
      <c r="Y5430">
        <v>-0.63710929999999999</v>
      </c>
      <c r="Z5430">
        <v>-3.1460490000000001E-2</v>
      </c>
      <c r="AA5430">
        <v>0.77013120000000002</v>
      </c>
      <c r="AB5430">
        <v>16</v>
      </c>
      <c r="AC5430">
        <v>83.305899999999994</v>
      </c>
      <c r="AD5430">
        <v>2.6674410000000002</v>
      </c>
      <c r="AE5430">
        <v>-28.964189999999899</v>
      </c>
      <c r="AF5430">
        <v>-56.250137617748699</v>
      </c>
      <c r="AG5430">
        <v>2.6674410000000002</v>
      </c>
      <c r="AH5430">
        <v>67.827047062771896</v>
      </c>
      <c r="AI5430">
        <v>88.266093444880894</v>
      </c>
      <c r="AJ5430">
        <v>129.66950188045701</v>
      </c>
      <c r="AK5430">
        <v>88.157254589509705</v>
      </c>
    </row>
    <row r="5431" spans="1:37" x14ac:dyDescent="0.2">
      <c r="A5431" t="str">
        <f>"20200111160011174"</f>
        <v>20200111160011174</v>
      </c>
      <c r="B5431" t="str">
        <f>"1578729611166464"</f>
        <v>1578729611166464</v>
      </c>
      <c r="C5431" t="s">
        <v>37</v>
      </c>
      <c r="D5431">
        <v>4.9830809999999897</v>
      </c>
      <c r="E5431">
        <v>0.31283430000000001</v>
      </c>
      <c r="F5431" t="s">
        <v>38</v>
      </c>
      <c r="G5431">
        <v>-295.17619999999999</v>
      </c>
      <c r="H5431">
        <v>1.0664279999999999</v>
      </c>
      <c r="I5431">
        <v>-53.214259999999904</v>
      </c>
      <c r="J5431">
        <v>-296.00689999999997</v>
      </c>
      <c r="K5431">
        <v>1.1091569999999999</v>
      </c>
      <c r="L5431">
        <v>-52.986419999999903</v>
      </c>
      <c r="M5431">
        <v>0.52580509999999903</v>
      </c>
      <c r="N5431">
        <v>0</v>
      </c>
      <c r="O5431">
        <v>-0.85047739999999905</v>
      </c>
      <c r="P5431">
        <v>0.67562929999999999</v>
      </c>
      <c r="Q5431">
        <v>-5.1942859999999898E-3</v>
      </c>
      <c r="R5431">
        <v>-0.73722390000000004</v>
      </c>
      <c r="S5431">
        <v>3.132263</v>
      </c>
      <c r="T5431">
        <v>-0.14454310000000001</v>
      </c>
      <c r="U5431">
        <v>-1.2245790000000001</v>
      </c>
      <c r="V5431">
        <v>-0.1870831</v>
      </c>
      <c r="W5431">
        <v>7.2476869999999896E-3</v>
      </c>
      <c r="X5431">
        <v>0.98231729999999995</v>
      </c>
      <c r="Y5431">
        <v>-0.59969189999999895</v>
      </c>
      <c r="Z5431">
        <v>4.4056520000000002E-2</v>
      </c>
      <c r="AA5431">
        <v>0.79901730000000004</v>
      </c>
      <c r="AB5431">
        <v>16</v>
      </c>
      <c r="AC5431">
        <v>0.83069999999997801</v>
      </c>
      <c r="AD5431">
        <v>-4.2728999999999802E-2</v>
      </c>
      <c r="AE5431">
        <v>-0.22783999999999999</v>
      </c>
      <c r="AF5431">
        <v>-0.58531558346426205</v>
      </c>
      <c r="AG5431">
        <v>-4.2728999999999802E-2</v>
      </c>
      <c r="AH5431">
        <v>0.62907958346649095</v>
      </c>
      <c r="AI5431">
        <v>92.846825884238697</v>
      </c>
      <c r="AJ5431">
        <v>132.93608546725801</v>
      </c>
      <c r="AK5431">
        <v>0.86032622999736796</v>
      </c>
    </row>
    <row r="5432" spans="1:37" x14ac:dyDescent="0.2">
      <c r="A5432" t="str">
        <f>"20200111160011194"</f>
        <v>20200111160011194</v>
      </c>
      <c r="B5432" t="str">
        <f>"1578729611185985"</f>
        <v>1578729611185985</v>
      </c>
      <c r="C5432" t="s">
        <v>37</v>
      </c>
      <c r="D5432">
        <v>5.6293680000000004</v>
      </c>
      <c r="E5432">
        <v>0.31283430000000001</v>
      </c>
      <c r="F5432" t="s">
        <v>38</v>
      </c>
      <c r="G5432">
        <v>-295.1001</v>
      </c>
      <c r="H5432">
        <v>1.0645690000000001</v>
      </c>
      <c r="I5432">
        <v>-53.3324</v>
      </c>
      <c r="J5432">
        <v>-295.91640000000001</v>
      </c>
      <c r="K5432">
        <v>1.10914</v>
      </c>
      <c r="L5432">
        <v>-53.1113</v>
      </c>
      <c r="M5432">
        <v>0.53377339999999995</v>
      </c>
      <c r="N5432">
        <v>0</v>
      </c>
      <c r="O5432">
        <v>-0.84549830000000004</v>
      </c>
      <c r="P5432">
        <v>0.68413679999999999</v>
      </c>
      <c r="Q5432">
        <v>-7.1559619999999897E-3</v>
      </c>
      <c r="R5432">
        <v>-0.72931880000000004</v>
      </c>
      <c r="S5432">
        <v>3.13443</v>
      </c>
      <c r="T5432">
        <v>-0.15410389999999999</v>
      </c>
      <c r="U5432">
        <v>-1.1956789999999999</v>
      </c>
      <c r="V5432">
        <v>-0.18923589999999901</v>
      </c>
      <c r="W5432">
        <v>5.2717129999999999E-3</v>
      </c>
      <c r="X5432">
        <v>0.981917499999999</v>
      </c>
      <c r="Y5432">
        <v>-0.59863359999999999</v>
      </c>
      <c r="Z5432">
        <v>4.6959399999999998E-2</v>
      </c>
      <c r="AA5432">
        <v>0.7996453</v>
      </c>
      <c r="AB5432">
        <v>16</v>
      </c>
      <c r="AC5432">
        <v>0.81630000000001202</v>
      </c>
      <c r="AD5432">
        <v>-4.4570999999999902E-2</v>
      </c>
      <c r="AE5432">
        <v>-0.22109999999999899</v>
      </c>
      <c r="AF5432">
        <v>-0.570640535890656</v>
      </c>
      <c r="AG5432">
        <v>-4.4570999999999902E-2</v>
      </c>
      <c r="AH5432">
        <v>0.62100211185005405</v>
      </c>
      <c r="AI5432">
        <v>93.0251898352344</v>
      </c>
      <c r="AJ5432">
        <v>132.57998787702601</v>
      </c>
      <c r="AK5432">
        <v>0.84454770034901105</v>
      </c>
    </row>
    <row r="5433" spans="1:37" x14ac:dyDescent="0.2">
      <c r="A5433" t="str">
        <f>"20200111160011217"</f>
        <v>20200111160011217</v>
      </c>
      <c r="B5433" t="str">
        <f>"1578729611206481"</f>
        <v>1578729611206481</v>
      </c>
      <c r="C5433" t="s">
        <v>37</v>
      </c>
      <c r="D5433">
        <v>4.9403959999999998</v>
      </c>
      <c r="E5433">
        <v>0.31555620000000001</v>
      </c>
      <c r="F5433" t="s">
        <v>38</v>
      </c>
      <c r="G5433">
        <v>-295.015999999999</v>
      </c>
      <c r="H5433">
        <v>1.063788</v>
      </c>
      <c r="I5433">
        <v>-53.442689999999999</v>
      </c>
      <c r="J5433">
        <v>-295.8218</v>
      </c>
      <c r="K5433">
        <v>1.1091229999999901</v>
      </c>
      <c r="L5433">
        <v>-53.239169999999902</v>
      </c>
      <c r="M5433">
        <v>0.54203049999999997</v>
      </c>
      <c r="N5433">
        <v>0</v>
      </c>
      <c r="O5433">
        <v>-0.84022889999999995</v>
      </c>
      <c r="P5433">
        <v>0.69221060000000001</v>
      </c>
      <c r="Q5433">
        <v>-8.4837209999999996E-3</v>
      </c>
      <c r="R5433">
        <v>-0.72164609999999996</v>
      </c>
      <c r="S5433">
        <v>3.14800999999999</v>
      </c>
      <c r="T5433">
        <v>-0.1585773</v>
      </c>
      <c r="U5433">
        <v>-1.158936</v>
      </c>
      <c r="V5433">
        <v>-0.1905367</v>
      </c>
      <c r="W5433">
        <v>3.9399209999999999E-3</v>
      </c>
      <c r="X5433">
        <v>0.98167219999999999</v>
      </c>
      <c r="Y5433">
        <v>-0.60006199999999998</v>
      </c>
      <c r="Z5433">
        <v>4.8229569999999999E-2</v>
      </c>
      <c r="AA5433">
        <v>0.79849829999999999</v>
      </c>
      <c r="AB5433">
        <v>16</v>
      </c>
      <c r="AC5433">
        <v>0.80580000000003305</v>
      </c>
      <c r="AD5433">
        <v>-4.5334999999999903E-2</v>
      </c>
      <c r="AE5433">
        <v>-0.203520000000004</v>
      </c>
      <c r="AF5433">
        <v>-0.56512277059338001</v>
      </c>
      <c r="AG5433">
        <v>-4.5334999999999903E-2</v>
      </c>
      <c r="AH5433">
        <v>0.60603468031089802</v>
      </c>
      <c r="AI5433">
        <v>93.131543072761502</v>
      </c>
      <c r="AJ5433">
        <v>132.99930662120099</v>
      </c>
      <c r="AK5433">
        <v>0.82987772702228202</v>
      </c>
    </row>
    <row r="5434" spans="1:37" x14ac:dyDescent="0.2">
      <c r="A5434" t="str">
        <f>"20200111160011239"</f>
        <v>20200111160011239</v>
      </c>
      <c r="B5434" t="str">
        <f>"1578729611236737"</f>
        <v>1578729611236737</v>
      </c>
      <c r="C5434" t="s">
        <v>37</v>
      </c>
      <c r="D5434">
        <v>4.2228459999999997</v>
      </c>
      <c r="E5434">
        <v>0.31660630000000001</v>
      </c>
      <c r="F5434" t="s">
        <v>38</v>
      </c>
      <c r="G5434">
        <v>-294.93830000000003</v>
      </c>
      <c r="H5434">
        <v>1.062144</v>
      </c>
      <c r="I5434">
        <v>-53.559130000000003</v>
      </c>
      <c r="J5434">
        <v>-295.72629999999998</v>
      </c>
      <c r="K5434">
        <v>1.109116</v>
      </c>
      <c r="L5434">
        <v>-53.365540000000003</v>
      </c>
      <c r="M5434">
        <v>0.55028379999999999</v>
      </c>
      <c r="N5434">
        <v>0</v>
      </c>
      <c r="O5434">
        <v>-0.83484659999999999</v>
      </c>
      <c r="P5434">
        <v>0.69970310000000002</v>
      </c>
      <c r="Q5434">
        <v>-8.4952299999999994E-3</v>
      </c>
      <c r="R5434">
        <v>-0.71438349999999995</v>
      </c>
      <c r="S5434">
        <v>3.145111</v>
      </c>
      <c r="T5434">
        <v>-0.16721269999999999</v>
      </c>
      <c r="U5434">
        <v>-1.1383969999999899</v>
      </c>
      <c r="V5434">
        <v>-0.19110679999999999</v>
      </c>
      <c r="W5434">
        <v>3.9318139999999996E-3</v>
      </c>
      <c r="X5434">
        <v>0.98156139999999903</v>
      </c>
      <c r="Y5434">
        <v>-0.59640119999999996</v>
      </c>
      <c r="Z5434">
        <v>5.0798959999999997E-2</v>
      </c>
      <c r="AA5434">
        <v>0.8010775</v>
      </c>
      <c r="AB5434">
        <v>16</v>
      </c>
      <c r="AC5434">
        <v>0.78799999999995396</v>
      </c>
      <c r="AD5434">
        <v>-4.6972E-2</v>
      </c>
      <c r="AE5434">
        <v>-0.19359000000000001</v>
      </c>
      <c r="AF5434">
        <v>-0.54954849445575404</v>
      </c>
      <c r="AG5434">
        <v>-4.6972E-2</v>
      </c>
      <c r="AH5434">
        <v>0.59331853561669101</v>
      </c>
      <c r="AI5434">
        <v>93.3241074612868</v>
      </c>
      <c r="AJ5434">
        <v>132.80673210666899</v>
      </c>
      <c r="AK5434">
        <v>0.810084440813994</v>
      </c>
    </row>
    <row r="5435" spans="1:37" x14ac:dyDescent="0.2">
      <c r="A5435" t="str">
        <f>"20200111160011263"</f>
        <v>20200111160011263</v>
      </c>
      <c r="B5435" t="str">
        <f>"1578729611256256"</f>
        <v>1578729611256256</v>
      </c>
      <c r="C5435" t="s">
        <v>37</v>
      </c>
      <c r="D5435">
        <v>4.8623699999999896</v>
      </c>
      <c r="E5435">
        <v>0.30625770000000002</v>
      </c>
      <c r="F5435" t="s">
        <v>38</v>
      </c>
      <c r="G5435">
        <v>-294.85719999999998</v>
      </c>
      <c r="H5435">
        <v>1.063925</v>
      </c>
      <c r="I5435">
        <v>-53.672130000000003</v>
      </c>
      <c r="J5435">
        <v>-295.62689999999998</v>
      </c>
      <c r="K5435">
        <v>1.109116</v>
      </c>
      <c r="L5435">
        <v>-53.494109999999999</v>
      </c>
      <c r="M5435">
        <v>0.55876579999999998</v>
      </c>
      <c r="N5435">
        <v>0</v>
      </c>
      <c r="O5435">
        <v>-0.82919310000000002</v>
      </c>
      <c r="P5435">
        <v>0.70573439999999998</v>
      </c>
      <c r="Q5435">
        <v>-7.2294639999999997E-3</v>
      </c>
      <c r="R5435">
        <v>-0.70843979999999995</v>
      </c>
      <c r="S5435">
        <v>3.1508479999999999</v>
      </c>
      <c r="T5435">
        <v>-0.1638307</v>
      </c>
      <c r="U5435">
        <v>-1.111359</v>
      </c>
      <c r="V5435">
        <v>-0.18942790000000001</v>
      </c>
      <c r="W5435">
        <v>5.2287979999999998E-3</v>
      </c>
      <c r="X5435">
        <v>0.98188069999999905</v>
      </c>
      <c r="Y5435">
        <v>-0.59484550000000003</v>
      </c>
      <c r="Z5435">
        <v>4.9659660000000001E-2</v>
      </c>
      <c r="AA5435">
        <v>0.80230469999999998</v>
      </c>
      <c r="AB5435">
        <v>16</v>
      </c>
      <c r="AC5435">
        <v>0.76970000000000005</v>
      </c>
      <c r="AD5435">
        <v>-4.5190999999999898E-2</v>
      </c>
      <c r="AE5435">
        <v>-0.17802000000000301</v>
      </c>
      <c r="AF5435">
        <v>-0.53706027600669104</v>
      </c>
      <c r="AG5435">
        <v>-4.5190999999999898E-2</v>
      </c>
      <c r="AH5435">
        <v>0.57587409865835604</v>
      </c>
      <c r="AI5435">
        <v>93.284580876468596</v>
      </c>
      <c r="AJ5435">
        <v>133.00260705670701</v>
      </c>
      <c r="AK5435">
        <v>0.78873756348417801</v>
      </c>
    </row>
    <row r="5436" spans="1:37" x14ac:dyDescent="0.2">
      <c r="A5436" t="str">
        <f>"20200111160011284"</f>
        <v>20200111160011284</v>
      </c>
      <c r="B5436" t="str">
        <f>"1578729611276753"</f>
        <v>1578729611276753</v>
      </c>
      <c r="C5436" t="s">
        <v>37</v>
      </c>
      <c r="D5436">
        <v>5.668285</v>
      </c>
      <c r="E5436">
        <v>0.31629420000000003</v>
      </c>
      <c r="F5436" t="s">
        <v>38</v>
      </c>
      <c r="G5436">
        <v>-294.71409999999997</v>
      </c>
      <c r="H5436">
        <v>1.074416</v>
      </c>
      <c r="I5436">
        <v>-53.786029999999997</v>
      </c>
      <c r="J5436">
        <v>-295.53050000000002</v>
      </c>
      <c r="K5436">
        <v>1.1091299999999999</v>
      </c>
      <c r="L5436">
        <v>-53.61618</v>
      </c>
      <c r="M5436">
        <v>0.56690059999999998</v>
      </c>
      <c r="N5436">
        <v>0</v>
      </c>
      <c r="O5436">
        <v>-0.82365299999999997</v>
      </c>
      <c r="P5436">
        <v>0.71047530000000003</v>
      </c>
      <c r="Q5436">
        <v>-5.1096639999999999E-3</v>
      </c>
      <c r="R5436">
        <v>-0.70370369999999904</v>
      </c>
      <c r="S5436">
        <v>3.2178960000000001</v>
      </c>
      <c r="T5436">
        <v>-0.12227789999999999</v>
      </c>
      <c r="U5436">
        <v>-1.0278020000000001</v>
      </c>
      <c r="V5436">
        <v>-0.18636800000000001</v>
      </c>
      <c r="W5436">
        <v>7.3950250000000004E-3</v>
      </c>
      <c r="X5436">
        <v>0.982452199999999</v>
      </c>
      <c r="Y5436">
        <v>-0.61144390000000004</v>
      </c>
      <c r="Z5436">
        <v>3.6807060000000003E-2</v>
      </c>
      <c r="AA5436">
        <v>0.79043129999999995</v>
      </c>
      <c r="AB5436">
        <v>16</v>
      </c>
      <c r="AC5436">
        <v>0.81640000000004398</v>
      </c>
      <c r="AD5436">
        <v>-3.4713999999999898E-2</v>
      </c>
      <c r="AE5436">
        <v>-0.169849999999996</v>
      </c>
      <c r="AF5436">
        <v>-0.57520862669850004</v>
      </c>
      <c r="AG5436">
        <v>-3.4713999999999898E-2</v>
      </c>
      <c r="AH5436">
        <v>0.60173843602005095</v>
      </c>
      <c r="AI5436">
        <v>92.387940462985</v>
      </c>
      <c r="AJ5436">
        <v>133.70870255444299</v>
      </c>
      <c r="AK5436">
        <v>0.83316215192976195</v>
      </c>
    </row>
    <row r="5437" spans="1:37" x14ac:dyDescent="0.2">
      <c r="A5437" t="str">
        <f>"20200111160011307"</f>
        <v>20200111160011307</v>
      </c>
      <c r="B5437" t="str">
        <f>"1578729611296272"</f>
        <v>1578729611296272</v>
      </c>
      <c r="C5437" t="s">
        <v>37</v>
      </c>
      <c r="D5437">
        <v>4.8850410000000002</v>
      </c>
      <c r="E5437">
        <v>0.31013479999999999</v>
      </c>
      <c r="F5437" t="s">
        <v>87</v>
      </c>
      <c r="G5437">
        <v>-260.48340000000002</v>
      </c>
      <c r="H5437" s="1">
        <v>-5.4216490000000002E-7</v>
      </c>
      <c r="I5437">
        <v>-65.380399999999995</v>
      </c>
      <c r="J5437">
        <v>-295.43279999999999</v>
      </c>
      <c r="K5437">
        <v>1.1091489999999999</v>
      </c>
      <c r="L5437">
        <v>-53.737029999999997</v>
      </c>
      <c r="M5437">
        <v>0.57505099999999998</v>
      </c>
      <c r="N5437">
        <v>0</v>
      </c>
      <c r="O5437">
        <v>-0.81798329999999997</v>
      </c>
      <c r="P5437">
        <v>0.71481660000000002</v>
      </c>
      <c r="Q5437">
        <v>-3.47546099999999E-3</v>
      </c>
      <c r="R5437">
        <v>-0.69930360000000003</v>
      </c>
      <c r="S5437">
        <v>3.168396</v>
      </c>
      <c r="T5437">
        <v>-0.10026979999999899</v>
      </c>
      <c r="U5437">
        <v>-1.0635379999999901</v>
      </c>
      <c r="V5437">
        <v>-0.18270449999999999</v>
      </c>
      <c r="W5437">
        <v>9.0824949999999995E-3</v>
      </c>
      <c r="X5437">
        <v>0.9831259</v>
      </c>
      <c r="Y5437">
        <v>-0.59203240000000001</v>
      </c>
      <c r="Z5437">
        <v>3.0191079999999999E-2</v>
      </c>
      <c r="AA5437">
        <v>0.80534850000000002</v>
      </c>
      <c r="AB5437">
        <v>16</v>
      </c>
      <c r="AC5437">
        <v>34.949399999999898</v>
      </c>
      <c r="AD5437">
        <v>-1.10914954216489</v>
      </c>
      <c r="AE5437">
        <v>-11.6433699999999</v>
      </c>
      <c r="AF5437">
        <v>-21.875068105756199</v>
      </c>
      <c r="AG5437">
        <v>-1.10914954216489</v>
      </c>
      <c r="AH5437">
        <v>29.5981914477182</v>
      </c>
      <c r="AI5437">
        <v>91.726157185137097</v>
      </c>
      <c r="AJ5437">
        <v>126.466910836778</v>
      </c>
      <c r="AK5437">
        <v>36.821213373735198</v>
      </c>
    </row>
    <row r="5438" spans="1:37" x14ac:dyDescent="0.2">
      <c r="A5438" t="str">
        <f>"20200111160011329"</f>
        <v>20200111160011329</v>
      </c>
      <c r="B5438" t="str">
        <f>"1578729611326528"</f>
        <v>1578729611326528</v>
      </c>
      <c r="C5438" t="s">
        <v>37</v>
      </c>
      <c r="D5438">
        <v>5.5613219999999997</v>
      </c>
      <c r="E5438">
        <v>0.3266133</v>
      </c>
      <c r="F5438" t="s">
        <v>88</v>
      </c>
      <c r="G5438">
        <v>-257.00099999999998</v>
      </c>
      <c r="H5438" s="1">
        <v>-3.1318700000000001E-6</v>
      </c>
      <c r="I5438">
        <v>-65.817119999999903</v>
      </c>
      <c r="J5438">
        <v>-295.33269999999999</v>
      </c>
      <c r="K5438">
        <v>1.1091660000000001</v>
      </c>
      <c r="L5438">
        <v>-53.858249999999998</v>
      </c>
      <c r="M5438">
        <v>0.58331469999999996</v>
      </c>
      <c r="N5438">
        <v>0</v>
      </c>
      <c r="O5438">
        <v>-0.81211080000000002</v>
      </c>
      <c r="P5438">
        <v>0.71915299999999904</v>
      </c>
      <c r="Q5438">
        <v>-2.9244570000000001E-3</v>
      </c>
      <c r="R5438">
        <v>-0.69484590000000002</v>
      </c>
      <c r="S5438">
        <v>3.209473</v>
      </c>
      <c r="T5438">
        <v>-9.2626330000000007E-2</v>
      </c>
      <c r="U5438">
        <v>-1.0088200000000001</v>
      </c>
      <c r="V5438">
        <v>-0.1788566</v>
      </c>
      <c r="W5438">
        <v>9.6894839999999999E-3</v>
      </c>
      <c r="X5438">
        <v>0.98382739999999902</v>
      </c>
      <c r="Y5438">
        <v>-0.59946549999999998</v>
      </c>
      <c r="Z5438">
        <v>2.770276E-2</v>
      </c>
      <c r="AA5438">
        <v>0.79992099999999999</v>
      </c>
      <c r="AB5438">
        <v>16</v>
      </c>
      <c r="AC5438">
        <v>38.331699999999998</v>
      </c>
      <c r="AD5438">
        <v>-1.1091691318700001</v>
      </c>
      <c r="AE5438">
        <v>-11.9588699999999</v>
      </c>
      <c r="AF5438">
        <v>-24.138042347827401</v>
      </c>
      <c r="AG5438">
        <v>-1.1091691318700001</v>
      </c>
      <c r="AH5438">
        <v>32.050444757496102</v>
      </c>
      <c r="AI5438">
        <v>91.583483671095806</v>
      </c>
      <c r="AJ5438">
        <v>126.984375757164</v>
      </c>
      <c r="AK5438">
        <v>40.138589333731097</v>
      </c>
    </row>
    <row r="5439" spans="1:37" x14ac:dyDescent="0.2">
      <c r="A5439" t="str">
        <f>"20200111160011351"</f>
        <v>20200111160011351</v>
      </c>
      <c r="B5439" t="str">
        <f>"1578729611346052"</f>
        <v>1578729611346052</v>
      </c>
      <c r="C5439" t="s">
        <v>37</v>
      </c>
      <c r="D5439">
        <v>4.8955849999999996</v>
      </c>
      <c r="E5439">
        <v>0.33179179999999903</v>
      </c>
      <c r="F5439" t="s">
        <v>89</v>
      </c>
      <c r="G5439">
        <v>-248.93599999999901</v>
      </c>
      <c r="H5439" s="1">
        <v>-4.6148880000000002E-6</v>
      </c>
      <c r="I5439">
        <v>-69.966709999999907</v>
      </c>
      <c r="J5439">
        <v>-295.22899999999998</v>
      </c>
      <c r="K5439">
        <v>1.1091629999999999</v>
      </c>
      <c r="L5439">
        <v>-53.980930000000001</v>
      </c>
      <c r="M5439">
        <v>0.59175480000000003</v>
      </c>
      <c r="N5439">
        <v>0</v>
      </c>
      <c r="O5439">
        <v>-0.80598149999999902</v>
      </c>
      <c r="P5439">
        <v>0.72395810000000005</v>
      </c>
      <c r="Q5439">
        <v>-3.9473059999999898E-3</v>
      </c>
      <c r="R5439">
        <v>-0.68983269999999997</v>
      </c>
      <c r="S5439">
        <v>3.1234739999999999</v>
      </c>
      <c r="T5439">
        <v>-7.4670550000000002E-2</v>
      </c>
      <c r="U5439">
        <v>-1.0844419999999999</v>
      </c>
      <c r="V5439">
        <v>-0.17541229999999999</v>
      </c>
      <c r="W5439">
        <v>8.7196359999999994E-3</v>
      </c>
      <c r="X5439">
        <v>0.98445640000000001</v>
      </c>
      <c r="Y5439">
        <v>-0.5670944</v>
      </c>
      <c r="Z5439">
        <v>2.2356580000000001E-2</v>
      </c>
      <c r="AA5439">
        <v>0.82334929999999995</v>
      </c>
      <c r="AB5439">
        <v>16</v>
      </c>
      <c r="AC5439">
        <v>46.292999999999999</v>
      </c>
      <c r="AD5439">
        <v>-1.1091676148880001</v>
      </c>
      <c r="AE5439">
        <v>-15.985779999999901</v>
      </c>
      <c r="AF5439">
        <v>-27.8404252524745</v>
      </c>
      <c r="AG5439">
        <v>-1.1091676148880001</v>
      </c>
      <c r="AH5439">
        <v>40.2621300864364</v>
      </c>
      <c r="AI5439">
        <v>91.298047124495994</v>
      </c>
      <c r="AJ5439">
        <v>124.663051726924</v>
      </c>
      <c r="AK5439">
        <v>48.9628292701072</v>
      </c>
    </row>
    <row r="5440" spans="1:37" x14ac:dyDescent="0.2">
      <c r="A5440" t="str">
        <f>"20200111160011375"</f>
        <v>20200111160011375</v>
      </c>
      <c r="B5440" t="str">
        <f>"1578729611366547"</f>
        <v>1578729611366547</v>
      </c>
      <c r="C5440" t="s">
        <v>37</v>
      </c>
      <c r="D5440">
        <v>4.9333269999999896</v>
      </c>
      <c r="E5440">
        <v>0.32918579999999997</v>
      </c>
      <c r="F5440" t="s">
        <v>89</v>
      </c>
      <c r="G5440">
        <v>-248.66900000000001</v>
      </c>
      <c r="H5440">
        <v>6.8044639999999997E-3</v>
      </c>
      <c r="I5440">
        <v>-70.383669999999995</v>
      </c>
      <c r="J5440">
        <v>-295.12389999999999</v>
      </c>
      <c r="K5440">
        <v>1.109148</v>
      </c>
      <c r="L5440">
        <v>-54.102690000000003</v>
      </c>
      <c r="M5440">
        <v>0.60020499999999999</v>
      </c>
      <c r="N5440">
        <v>0</v>
      </c>
      <c r="O5440">
        <v>-0.79970850000000004</v>
      </c>
      <c r="P5440">
        <v>0.72890410000000005</v>
      </c>
      <c r="Q5440">
        <v>-6.3676219999999999E-3</v>
      </c>
      <c r="R5440">
        <v>-0.68458649999999999</v>
      </c>
      <c r="S5440">
        <v>3.10214199999999</v>
      </c>
      <c r="T5440">
        <v>-7.3446510000000007E-2</v>
      </c>
      <c r="U5440">
        <v>-1.092865</v>
      </c>
      <c r="V5440">
        <v>-0.17211860000000001</v>
      </c>
      <c r="W5440">
        <v>6.3522090000000002E-3</v>
      </c>
      <c r="X5440">
        <v>0.98505569999999898</v>
      </c>
      <c r="Y5440">
        <v>-0.55462860000000003</v>
      </c>
      <c r="Z5440">
        <v>2.191442E-2</v>
      </c>
      <c r="AA5440">
        <v>0.83180949999999998</v>
      </c>
      <c r="AB5440">
        <v>16</v>
      </c>
      <c r="AC5440">
        <v>46.454899999999903</v>
      </c>
      <c r="AD5440">
        <v>-1.102343536</v>
      </c>
      <c r="AE5440">
        <v>-16.2809799999999</v>
      </c>
      <c r="AF5440">
        <v>-27.367744160193102</v>
      </c>
      <c r="AG5440">
        <v>-1.102343536</v>
      </c>
      <c r="AH5440">
        <v>40.886503002116299</v>
      </c>
      <c r="AI5440">
        <v>91.283501833170405</v>
      </c>
      <c r="AJ5440">
        <v>123.796725333742</v>
      </c>
      <c r="AK5440">
        <v>49.212952659144698</v>
      </c>
    </row>
    <row r="5441" spans="1:37" x14ac:dyDescent="0.2">
      <c r="A5441" t="str">
        <f>"20200111160011395"</f>
        <v>20200111160011395</v>
      </c>
      <c r="B5441" t="str">
        <f>"1578729611386065"</f>
        <v>1578729611386065</v>
      </c>
      <c r="C5441" t="s">
        <v>37</v>
      </c>
      <c r="D5441">
        <v>4.9210649999999996</v>
      </c>
      <c r="E5441">
        <v>0.32464729999999897</v>
      </c>
      <c r="F5441" t="s">
        <v>88</v>
      </c>
      <c r="G5441">
        <v>-253.51820000000001</v>
      </c>
      <c r="H5441" s="1">
        <v>-2.259043E-6</v>
      </c>
      <c r="I5441">
        <v>-68.154309999999995</v>
      </c>
      <c r="J5441">
        <v>-295.02620000000002</v>
      </c>
      <c r="K5441">
        <v>1.1091279999999999</v>
      </c>
      <c r="L5441">
        <v>-54.213469999999901</v>
      </c>
      <c r="M5441">
        <v>0.607958199999999</v>
      </c>
      <c r="N5441">
        <v>0</v>
      </c>
      <c r="O5441">
        <v>-0.79383019999999904</v>
      </c>
      <c r="P5441">
        <v>0.73342759999999996</v>
      </c>
      <c r="Q5441">
        <v>-9.4495139999999991E-3</v>
      </c>
      <c r="R5441">
        <v>-0.67970209999999998</v>
      </c>
      <c r="S5441">
        <v>3.1241150000000002</v>
      </c>
      <c r="T5441">
        <v>-8.3284380000000005E-2</v>
      </c>
      <c r="U5441">
        <v>-1.055115</v>
      </c>
      <c r="V5441">
        <v>-0.16905209999999901</v>
      </c>
      <c r="W5441">
        <v>3.3195590000000001E-3</v>
      </c>
      <c r="X5441">
        <v>0.98560149999999902</v>
      </c>
      <c r="Y5441">
        <v>-0.5572783</v>
      </c>
      <c r="Z5441">
        <v>2.4722480000000002E-2</v>
      </c>
      <c r="AA5441">
        <v>0.82995769999999902</v>
      </c>
      <c r="AB5441">
        <v>16</v>
      </c>
      <c r="AC5441">
        <v>41.508000000000003</v>
      </c>
      <c r="AD5441">
        <v>-1.1091302590430001</v>
      </c>
      <c r="AE5441">
        <v>-13.94084</v>
      </c>
      <c r="AF5441">
        <v>-24.461858588002901</v>
      </c>
      <c r="AG5441">
        <v>-1.1091302590430001</v>
      </c>
      <c r="AH5441">
        <v>36.282510723161302</v>
      </c>
      <c r="AI5441">
        <v>91.451944933006402</v>
      </c>
      <c r="AJ5441">
        <v>123.988055122341</v>
      </c>
      <c r="AK5441">
        <v>43.772517404043498</v>
      </c>
    </row>
    <row r="5442" spans="1:37" x14ac:dyDescent="0.2">
      <c r="A5442" t="str">
        <f>"20200111160011418"</f>
        <v>20200111160011418</v>
      </c>
      <c r="B5442" t="str">
        <f>"1578729611416320"</f>
        <v>1578729611416320</v>
      </c>
      <c r="C5442" t="s">
        <v>37</v>
      </c>
      <c r="D5442">
        <v>4.8973389999999997</v>
      </c>
      <c r="E5442">
        <v>0.31930910000000001</v>
      </c>
      <c r="F5442" t="s">
        <v>88</v>
      </c>
      <c r="G5442">
        <v>-258.5299</v>
      </c>
      <c r="H5442" s="1">
        <v>-3.6580660000000001E-6</v>
      </c>
      <c r="I5442">
        <v>-65.861400000000003</v>
      </c>
      <c r="J5442">
        <v>-294.92230000000001</v>
      </c>
      <c r="K5442">
        <v>1.109105</v>
      </c>
      <c r="L5442">
        <v>-54.328859999999999</v>
      </c>
      <c r="M5442">
        <v>0.61609630000000004</v>
      </c>
      <c r="N5442">
        <v>0</v>
      </c>
      <c r="O5442">
        <v>-0.78753079999999998</v>
      </c>
      <c r="P5442">
        <v>0.738869199999999</v>
      </c>
      <c r="Q5442">
        <v>-1.2429020000000001E-2</v>
      </c>
      <c r="R5442">
        <v>-0.67373450000000001</v>
      </c>
      <c r="S5442">
        <v>3.15576199999999</v>
      </c>
      <c r="T5442">
        <v>-9.5904229999999993E-2</v>
      </c>
      <c r="U5442">
        <v>-1.007172</v>
      </c>
      <c r="V5442">
        <v>-0.16682959999999999</v>
      </c>
      <c r="W5442">
        <v>3.7652629999999898E-4</v>
      </c>
      <c r="X5442">
        <v>0.98598569999999996</v>
      </c>
      <c r="Y5442">
        <v>-0.562531</v>
      </c>
      <c r="Z5442">
        <v>2.8288230000000001E-2</v>
      </c>
      <c r="AA5442">
        <v>0.82629209999999997</v>
      </c>
      <c r="AB5442">
        <v>16</v>
      </c>
      <c r="AC5442">
        <v>36.392400000000002</v>
      </c>
      <c r="AD5442">
        <v>-1.1091086580659999</v>
      </c>
      <c r="AE5442">
        <v>-11.532539999999999</v>
      </c>
      <c r="AF5442">
        <v>-21.539178324843899</v>
      </c>
      <c r="AG5442">
        <v>-1.1091086580659999</v>
      </c>
      <c r="AH5442">
        <v>31.480357701568298</v>
      </c>
      <c r="AI5442">
        <v>91.665522385328998</v>
      </c>
      <c r="AJ5442">
        <v>124.38032763248999</v>
      </c>
      <c r="AK5442">
        <v>38.159916744452097</v>
      </c>
    </row>
    <row r="5443" spans="1:37" x14ac:dyDescent="0.2">
      <c r="A5443" t="str">
        <f>"20200111160011440"</f>
        <v>20200111160011440</v>
      </c>
      <c r="B5443" t="str">
        <f>"1578729611436818"</f>
        <v>1578729611436818</v>
      </c>
      <c r="C5443" t="s">
        <v>37</v>
      </c>
      <c r="D5443">
        <v>5.0554610000000002</v>
      </c>
      <c r="E5443">
        <v>0.31681989999999999</v>
      </c>
      <c r="F5443" t="s">
        <v>39</v>
      </c>
      <c r="G5443">
        <v>-261.84199999999998</v>
      </c>
      <c r="H5443" s="1">
        <v>-8.0254209999999998E-7</v>
      </c>
      <c r="I5443">
        <v>-64.168480000000002</v>
      </c>
      <c r="J5443">
        <v>-294.81659999999999</v>
      </c>
      <c r="K5443">
        <v>1.1090850000000001</v>
      </c>
      <c r="L5443">
        <v>-54.443730000000002</v>
      </c>
      <c r="M5443">
        <v>0.62426409999999999</v>
      </c>
      <c r="N5443">
        <v>0</v>
      </c>
      <c r="O5443">
        <v>-0.78107219999999999</v>
      </c>
      <c r="P5443">
        <v>0.74471409999999905</v>
      </c>
      <c r="Q5443">
        <v>-1.4306950000000001E-2</v>
      </c>
      <c r="R5443">
        <v>-0.66723049999999995</v>
      </c>
      <c r="S5443">
        <v>3.1925349999999999</v>
      </c>
      <c r="T5443">
        <v>-0.1070383</v>
      </c>
      <c r="U5443">
        <v>-0.94961549999999995</v>
      </c>
      <c r="V5443">
        <v>-0.16515920000000001</v>
      </c>
      <c r="W5443">
        <v>-1.473416E-3</v>
      </c>
      <c r="X5443">
        <v>0.98626579999999997</v>
      </c>
      <c r="Y5443">
        <v>-0.57016739999999999</v>
      </c>
      <c r="Z5443">
        <v>3.1373360000000003E-2</v>
      </c>
      <c r="AA5443">
        <v>0.82092929999999997</v>
      </c>
      <c r="AB5443">
        <v>16</v>
      </c>
      <c r="AC5443">
        <v>32.974600000000002</v>
      </c>
      <c r="AD5443">
        <v>-1.1090858025421</v>
      </c>
      <c r="AE5443">
        <v>-9.7247500000000002</v>
      </c>
      <c r="AF5443">
        <v>-19.666434094887901</v>
      </c>
      <c r="AG5443">
        <v>-1.1090858025421</v>
      </c>
      <c r="AH5443">
        <v>28.154396999236699</v>
      </c>
      <c r="AI5443">
        <v>91.849690985452398</v>
      </c>
      <c r="AJ5443">
        <v>124.93510316168501</v>
      </c>
      <c r="AK5443">
        <v>34.360861044458701</v>
      </c>
    </row>
    <row r="5444" spans="1:37" x14ac:dyDescent="0.2">
      <c r="A5444" t="str">
        <f>"20200111160011464"</f>
        <v>20200111160011464</v>
      </c>
      <c r="B5444" t="str">
        <f>"1578729611456336"</f>
        <v>1578729611456336</v>
      </c>
      <c r="C5444" t="s">
        <v>37</v>
      </c>
      <c r="D5444">
        <v>4.9158839999999904</v>
      </c>
      <c r="E5444">
        <v>0.31469930000000002</v>
      </c>
      <c r="F5444" t="s">
        <v>39</v>
      </c>
      <c r="G5444">
        <v>-263.87950000000001</v>
      </c>
      <c r="H5444" s="1">
        <v>-1.4106139999999899E-6</v>
      </c>
      <c r="I5444">
        <v>-63.168680000000002</v>
      </c>
      <c r="J5444">
        <v>-294.70650000000001</v>
      </c>
      <c r="K5444">
        <v>1.109076</v>
      </c>
      <c r="L5444">
        <v>-54.560879999999997</v>
      </c>
      <c r="M5444">
        <v>0.63264819999999999</v>
      </c>
      <c r="N5444">
        <v>0</v>
      </c>
      <c r="O5444">
        <v>-0.77429689999999995</v>
      </c>
      <c r="P5444">
        <v>0.75166330000000003</v>
      </c>
      <c r="Q5444">
        <v>-1.560955E-2</v>
      </c>
      <c r="R5444">
        <v>-0.65936240000000002</v>
      </c>
      <c r="S5444">
        <v>3.2140200000000001</v>
      </c>
      <c r="T5444">
        <v>-0.1152219</v>
      </c>
      <c r="U5444">
        <v>-0.90643309999999999</v>
      </c>
      <c r="V5444">
        <v>-0.16486389999999901</v>
      </c>
      <c r="W5444">
        <v>-2.7679699999999998E-3</v>
      </c>
      <c r="X5444">
        <v>0.98631239999999998</v>
      </c>
      <c r="Y5444">
        <v>-0.57290490000000005</v>
      </c>
      <c r="Z5444">
        <v>3.358013E-2</v>
      </c>
      <c r="AA5444">
        <v>0.81893369999999999</v>
      </c>
      <c r="AB5444">
        <v>16</v>
      </c>
      <c r="AC5444">
        <v>30.826999999999899</v>
      </c>
      <c r="AD5444">
        <v>-1.109077410614</v>
      </c>
      <c r="AE5444">
        <v>-8.6077999999999903</v>
      </c>
      <c r="AF5444">
        <v>-18.403475404941499</v>
      </c>
      <c r="AG5444">
        <v>-1.109077410614</v>
      </c>
      <c r="AH5444">
        <v>26.139138496745598</v>
      </c>
      <c r="AI5444">
        <v>91.986996556066501</v>
      </c>
      <c r="AJ5444">
        <v>125.147775918403</v>
      </c>
      <c r="AK5444">
        <v>31.987068028111999</v>
      </c>
    </row>
    <row r="5445" spans="1:37" x14ac:dyDescent="0.2">
      <c r="A5445" t="str">
        <f>"20200111160011488"</f>
        <v>20200111160011488</v>
      </c>
      <c r="B5445" t="str">
        <f>"1578729611476835"</f>
        <v>1578729611476835</v>
      </c>
      <c r="C5445" t="s">
        <v>37</v>
      </c>
      <c r="D5445">
        <v>5.0901529999999999</v>
      </c>
      <c r="E5445">
        <v>0.31313340000000001</v>
      </c>
      <c r="F5445" t="s">
        <v>38</v>
      </c>
      <c r="G5445">
        <v>-293.76119999999997</v>
      </c>
      <c r="H5445">
        <v>1.073401</v>
      </c>
      <c r="I5445">
        <v>-54.8123199999999</v>
      </c>
      <c r="J5445">
        <v>-294.59809999999999</v>
      </c>
      <c r="K5445">
        <v>1.109067</v>
      </c>
      <c r="L5445">
        <v>-54.673430000000003</v>
      </c>
      <c r="M5445">
        <v>0.64076040000000001</v>
      </c>
      <c r="N5445">
        <v>0</v>
      </c>
      <c r="O5445">
        <v>-0.76759699999999997</v>
      </c>
      <c r="P5445">
        <v>0.75887789999999999</v>
      </c>
      <c r="Q5445">
        <v>-1.637912E-2</v>
      </c>
      <c r="R5445">
        <v>-0.65102700000000002</v>
      </c>
      <c r="S5445">
        <v>3.2345579999999998</v>
      </c>
      <c r="T5445">
        <v>-0.122054199999999</v>
      </c>
      <c r="U5445">
        <v>-0.85964969999999996</v>
      </c>
      <c r="V5445">
        <v>-0.1653493</v>
      </c>
      <c r="W5445">
        <v>-3.540344E-3</v>
      </c>
      <c r="X5445">
        <v>0.98622869999999996</v>
      </c>
      <c r="Y5445">
        <v>-0.57658299999999996</v>
      </c>
      <c r="Z5445">
        <v>3.5397440000000002E-2</v>
      </c>
      <c r="AA5445">
        <v>0.81627139999999998</v>
      </c>
      <c r="AB5445">
        <v>16</v>
      </c>
      <c r="AC5445">
        <v>0.83690000000001397</v>
      </c>
      <c r="AD5445">
        <v>-3.5665999999999899E-2</v>
      </c>
      <c r="AE5445">
        <v>-0.13888999999998899</v>
      </c>
      <c r="AF5445">
        <v>-0.55249133210186097</v>
      </c>
      <c r="AG5445">
        <v>-3.5665999999999899E-2</v>
      </c>
      <c r="AH5445">
        <v>0.64180057045622396</v>
      </c>
      <c r="AI5445">
        <v>92.411648717591007</v>
      </c>
      <c r="AJ5445">
        <v>130.72337715317701</v>
      </c>
      <c r="AK5445">
        <v>0.84760055913243904</v>
      </c>
    </row>
    <row r="5446" spans="1:37" x14ac:dyDescent="0.2">
      <c r="A5446" t="str">
        <f>"20200111160011508"</f>
        <v>20200111160011508</v>
      </c>
      <c r="B5446" t="str">
        <f>"1578729611496353"</f>
        <v>1578729611496353</v>
      </c>
      <c r="C5446" t="s">
        <v>37</v>
      </c>
      <c r="D5446">
        <v>5.0430570000000001</v>
      </c>
      <c r="E5446">
        <v>0.31182549999999998</v>
      </c>
      <c r="F5446" t="s">
        <v>38</v>
      </c>
      <c r="G5446">
        <v>-293.62299999999999</v>
      </c>
      <c r="H5446">
        <v>1.071175</v>
      </c>
      <c r="I5446">
        <v>-54.917809999999903</v>
      </c>
      <c r="J5446">
        <v>-294.49790000000002</v>
      </c>
      <c r="K5446">
        <v>1.109049</v>
      </c>
      <c r="L5446">
        <v>-54.775480000000002</v>
      </c>
      <c r="M5446">
        <v>0.64815199999999995</v>
      </c>
      <c r="N5446">
        <v>0</v>
      </c>
      <c r="O5446">
        <v>-0.76136610000000005</v>
      </c>
      <c r="P5446">
        <v>0.765667599999999</v>
      </c>
      <c r="Q5446">
        <v>-1.7082529999999999E-2</v>
      </c>
      <c r="R5446">
        <v>-0.64301030000000003</v>
      </c>
      <c r="S5446">
        <v>3.252014</v>
      </c>
      <c r="T5446">
        <v>-0.12633059999999999</v>
      </c>
      <c r="U5446">
        <v>-0.81417850000000003</v>
      </c>
      <c r="V5446">
        <v>-0.1661666</v>
      </c>
      <c r="W5446">
        <v>-4.2506180000000003E-3</v>
      </c>
      <c r="X5446">
        <v>0.98608850000000003</v>
      </c>
      <c r="Y5446">
        <v>-0.58042289999999996</v>
      </c>
      <c r="Z5446">
        <v>3.649326E-2</v>
      </c>
      <c r="AA5446">
        <v>0.81349709999999997</v>
      </c>
      <c r="AB5446">
        <v>16</v>
      </c>
      <c r="AC5446">
        <v>0.87490000000002499</v>
      </c>
      <c r="AD5446">
        <v>-3.7873999999999901E-2</v>
      </c>
      <c r="AE5446">
        <v>-0.14232999999999399</v>
      </c>
      <c r="AF5446">
        <v>-0.57288515142080498</v>
      </c>
      <c r="AG5446">
        <v>-3.7873999999999901E-2</v>
      </c>
      <c r="AH5446">
        <v>0.67427694589986797</v>
      </c>
      <c r="AI5446">
        <v>92.451096276287402</v>
      </c>
      <c r="AJ5446">
        <v>130.352188954132</v>
      </c>
      <c r="AK5446">
        <v>0.88559654265726095</v>
      </c>
    </row>
    <row r="5447" spans="1:37" x14ac:dyDescent="0.2">
      <c r="A5447" t="str">
        <f>"20200111160011575"</f>
        <v>20200111160011575</v>
      </c>
      <c r="B5447" t="str">
        <f>"1578729611566627"</f>
        <v>1578729611566627</v>
      </c>
      <c r="C5447" t="s">
        <v>37</v>
      </c>
      <c r="D5447">
        <v>5.0224469999999997</v>
      </c>
      <c r="E5447">
        <v>0.31120359999999903</v>
      </c>
      <c r="F5447" t="s">
        <v>38</v>
      </c>
      <c r="G5447">
        <v>-293.52359999999999</v>
      </c>
      <c r="H5447">
        <v>1.071026</v>
      </c>
      <c r="I5447">
        <v>-55.005499999999998</v>
      </c>
      <c r="J5447">
        <v>-294.1671</v>
      </c>
      <c r="K5447">
        <v>1.108951</v>
      </c>
      <c r="L5447">
        <v>-55.098329999999997</v>
      </c>
      <c r="M5447">
        <v>0.67170830000000004</v>
      </c>
      <c r="N5447">
        <v>0</v>
      </c>
      <c r="O5447">
        <v>-0.74066699999999996</v>
      </c>
      <c r="P5447">
        <v>0.78733469999999905</v>
      </c>
      <c r="Q5447">
        <v>-1.8837159999999999E-2</v>
      </c>
      <c r="R5447">
        <v>-0.61623819999999996</v>
      </c>
      <c r="S5447">
        <v>3.2673030000000001</v>
      </c>
      <c r="T5447">
        <v>-0.127521</v>
      </c>
      <c r="U5447">
        <v>-0.77163700000000002</v>
      </c>
      <c r="V5447">
        <v>-0.16918429999999901</v>
      </c>
      <c r="W5447">
        <v>-6.0238409999999899E-3</v>
      </c>
      <c r="X5447">
        <v>0.98556599999999905</v>
      </c>
      <c r="Y5447">
        <v>-0.56570830000000005</v>
      </c>
      <c r="Z5447">
        <v>3.6032939999999999E-2</v>
      </c>
      <c r="AA5447">
        <v>0.82381779999999905</v>
      </c>
      <c r="AB5447">
        <v>16</v>
      </c>
      <c r="AC5447">
        <v>0.64350000000001695</v>
      </c>
      <c r="AD5447">
        <v>-3.7924999999999903E-2</v>
      </c>
      <c r="AE5447">
        <v>9.2830000000006394E-2</v>
      </c>
      <c r="AF5447">
        <v>-0.537205401410489</v>
      </c>
      <c r="AG5447">
        <v>-3.7924999999999903E-2</v>
      </c>
      <c r="AH5447">
        <v>0.36229548698733899</v>
      </c>
      <c r="AI5447">
        <v>93.349709569609601</v>
      </c>
      <c r="AJ5447">
        <v>146.00396827262799</v>
      </c>
      <c r="AK5447">
        <v>0.64906545804024895</v>
      </c>
    </row>
    <row r="5448" spans="1:37" x14ac:dyDescent="0.2">
      <c r="A5448" t="str">
        <f>"20200111160011620"</f>
        <v>20200111160011620</v>
      </c>
      <c r="B5448" t="str">
        <f>"1578729611616400"</f>
        <v>1578729611616400</v>
      </c>
      <c r="C5448" t="s">
        <v>37</v>
      </c>
      <c r="D5448">
        <v>4.9754800000000001</v>
      </c>
      <c r="E5448">
        <v>0.31074279999999999</v>
      </c>
      <c r="F5448" t="s">
        <v>38</v>
      </c>
      <c r="G5448">
        <v>-293.23630000000003</v>
      </c>
      <c r="H5448">
        <v>1.0720780000000001</v>
      </c>
      <c r="I5448">
        <v>-55.283259999999999</v>
      </c>
      <c r="J5448">
        <v>-293.945999999999</v>
      </c>
      <c r="K5448">
        <v>1.1088629999999999</v>
      </c>
      <c r="L5448">
        <v>-55.303159999999998</v>
      </c>
      <c r="M5448">
        <v>0.68671669999999996</v>
      </c>
      <c r="N5448">
        <v>0</v>
      </c>
      <c r="O5448">
        <v>-0.72677429999999998</v>
      </c>
      <c r="P5448">
        <v>0.79985539999999999</v>
      </c>
      <c r="Q5448">
        <v>-1.9858290000000001E-2</v>
      </c>
      <c r="R5448">
        <v>-0.59986479999999998</v>
      </c>
      <c r="S5448">
        <v>3.295105</v>
      </c>
      <c r="T5448">
        <v>-0.1305181</v>
      </c>
      <c r="U5448">
        <v>-0.65423580000000003</v>
      </c>
      <c r="V5448">
        <v>-0.1693308</v>
      </c>
      <c r="W5448">
        <v>-7.0322980000000002E-3</v>
      </c>
      <c r="X5448">
        <v>0.98553419999999903</v>
      </c>
      <c r="Y5448">
        <v>-0.57833590000000001</v>
      </c>
      <c r="Z5448">
        <v>3.672185E-2</v>
      </c>
      <c r="AA5448">
        <v>0.81497189999999997</v>
      </c>
      <c r="AB5448">
        <v>16</v>
      </c>
      <c r="AC5448">
        <v>0.70969999999994104</v>
      </c>
      <c r="AD5448">
        <v>-3.6784999999999797E-2</v>
      </c>
      <c r="AE5448">
        <v>1.98999999999998E-2</v>
      </c>
      <c r="AF5448">
        <v>-0.52809780845258203</v>
      </c>
      <c r="AG5448">
        <v>-3.6784999999999797E-2</v>
      </c>
      <c r="AH5448">
        <v>0.47168569041823399</v>
      </c>
      <c r="AI5448">
        <v>92.973869786515095</v>
      </c>
      <c r="AJ5448">
        <v>138.229451895045</v>
      </c>
      <c r="AK5448">
        <v>0.70903301902150195</v>
      </c>
    </row>
    <row r="5449" spans="1:37" x14ac:dyDescent="0.2">
      <c r="A5449" t="str">
        <f>"20200111160011687"</f>
        <v>20200111160011687</v>
      </c>
      <c r="B5449" t="str">
        <f>"1578729611676914"</f>
        <v>1578729611676914</v>
      </c>
      <c r="C5449" t="s">
        <v>37</v>
      </c>
      <c r="D5449">
        <v>5.6986679999999996</v>
      </c>
      <c r="E5449">
        <v>0.46888239999999998</v>
      </c>
      <c r="F5449" t="s">
        <v>38</v>
      </c>
      <c r="G5449">
        <v>-293.04169999999999</v>
      </c>
      <c r="H5449">
        <v>1.071321</v>
      </c>
      <c r="I5449">
        <v>-55.462479999999999</v>
      </c>
      <c r="J5449">
        <v>-293.60399999999998</v>
      </c>
      <c r="K5449">
        <v>1.1087689999999999</v>
      </c>
      <c r="L5449">
        <v>-55.604459999999897</v>
      </c>
      <c r="M5449">
        <v>0.70881939999999999</v>
      </c>
      <c r="N5449">
        <v>0</v>
      </c>
      <c r="O5449">
        <v>-0.70523459999999905</v>
      </c>
      <c r="P5449">
        <v>0.81796259999999998</v>
      </c>
      <c r="Q5449">
        <v>-1.892425E-2</v>
      </c>
      <c r="R5449">
        <v>-0.57496029999999998</v>
      </c>
      <c r="S5449">
        <v>3.3101199999999902</v>
      </c>
      <c r="T5449">
        <v>-0.13740479999999899</v>
      </c>
      <c r="U5449">
        <v>-0.58294679999999999</v>
      </c>
      <c r="V5449">
        <v>-0.16927729999999999</v>
      </c>
      <c r="W5449">
        <v>-6.0881809999999998E-3</v>
      </c>
      <c r="X5449">
        <v>0.98554959999999903</v>
      </c>
      <c r="Y5449">
        <v>-0.57073469999999904</v>
      </c>
      <c r="Z5449">
        <v>3.7898859999999999E-2</v>
      </c>
      <c r="AA5449">
        <v>0.82025949999999903</v>
      </c>
      <c r="AB5449">
        <v>16</v>
      </c>
      <c r="AC5449">
        <v>0.56230000000004998</v>
      </c>
      <c r="AD5449">
        <v>-3.7448000000000099E-2</v>
      </c>
      <c r="AE5449">
        <v>0.141979999999989</v>
      </c>
      <c r="AF5449">
        <v>-0.49518146283351899</v>
      </c>
      <c r="AG5449">
        <v>-3.7448000000000099E-2</v>
      </c>
      <c r="AH5449">
        <v>0.297233356111404</v>
      </c>
      <c r="AI5449">
        <v>93.7098959609297</v>
      </c>
      <c r="AJ5449">
        <v>149.025654217583</v>
      </c>
      <c r="AK5449">
        <v>0.57875271215191104</v>
      </c>
    </row>
    <row r="5450" spans="1:37" x14ac:dyDescent="0.2">
      <c r="A5450" t="str">
        <f>"20200111160011709"</f>
        <v>20200111160011709</v>
      </c>
      <c r="B5450" t="str">
        <f>"1578729611706192"</f>
        <v>1578729611706192</v>
      </c>
      <c r="C5450" t="s">
        <v>37</v>
      </c>
      <c r="D5450">
        <v>5.0695860000000001</v>
      </c>
      <c r="E5450">
        <v>0.46942990000000001</v>
      </c>
      <c r="F5450" t="s">
        <v>62</v>
      </c>
      <c r="G5450">
        <v>-247.1448</v>
      </c>
      <c r="H5450">
        <v>1.2263489999999999</v>
      </c>
      <c r="I5450">
        <v>-82.926559999999995</v>
      </c>
      <c r="J5450">
        <v>-293.49029999999999</v>
      </c>
      <c r="K5450">
        <v>1.108738</v>
      </c>
      <c r="L5450">
        <v>-55.700530000000001</v>
      </c>
      <c r="M5450">
        <v>0.71588369999999901</v>
      </c>
      <c r="N5450">
        <v>0</v>
      </c>
      <c r="O5450">
        <v>-0.69806279999999998</v>
      </c>
      <c r="P5450">
        <v>0.8233511</v>
      </c>
      <c r="Q5450">
        <v>-1.997548E-2</v>
      </c>
      <c r="R5450">
        <v>-0.56718080000000004</v>
      </c>
      <c r="S5450">
        <v>2.595062</v>
      </c>
      <c r="T5450">
        <v>6.5681929999999999E-3</v>
      </c>
      <c r="U5450">
        <v>-1.5261229999999999</v>
      </c>
      <c r="V5450">
        <v>-0.1686695</v>
      </c>
      <c r="W5450">
        <v>-7.1317689999999996E-3</v>
      </c>
      <c r="X5450">
        <v>0.98564680000000005</v>
      </c>
      <c r="Y5450">
        <v>-0.238847899999999</v>
      </c>
      <c r="Z5450">
        <v>-1.71243E-3</v>
      </c>
      <c r="AA5450">
        <v>0.97105549999999996</v>
      </c>
      <c r="AB5450">
        <v>15</v>
      </c>
      <c r="AC5450">
        <v>46.345499999999902</v>
      </c>
      <c r="AD5450">
        <v>0.11761099999999899</v>
      </c>
      <c r="AE5450">
        <v>-27.226029999999898</v>
      </c>
      <c r="AF5450">
        <v>-12.8627444459985</v>
      </c>
      <c r="AG5450">
        <v>0.11761099999999899</v>
      </c>
      <c r="AH5450">
        <v>52.188928142201398</v>
      </c>
      <c r="AI5450">
        <v>89.874632199029307</v>
      </c>
      <c r="AJ5450">
        <v>103.84545933686699</v>
      </c>
      <c r="AK5450">
        <v>53.750797646753497</v>
      </c>
    </row>
    <row r="5451" spans="1:37" x14ac:dyDescent="0.2">
      <c r="A5451" t="str">
        <f>"20200111160011723"</f>
        <v>20200111160011723</v>
      </c>
      <c r="B5451" t="str">
        <f>"1578729611716929"</f>
        <v>1578729611716929</v>
      </c>
      <c r="C5451" t="s">
        <v>37</v>
      </c>
      <c r="D5451">
        <v>5.1404779999999999</v>
      </c>
      <c r="E5451">
        <v>0.46942990000000001</v>
      </c>
      <c r="F5451" t="s">
        <v>62</v>
      </c>
      <c r="G5451">
        <v>-247.1448</v>
      </c>
      <c r="H5451">
        <v>1.2879449999999999</v>
      </c>
      <c r="I5451">
        <v>-82.472569999999905</v>
      </c>
      <c r="J5451">
        <v>-293.41250000000002</v>
      </c>
      <c r="K5451">
        <v>1.1087199999999999</v>
      </c>
      <c r="L5451">
        <v>-55.765140000000002</v>
      </c>
      <c r="M5451">
        <v>0.72063509999999997</v>
      </c>
      <c r="N5451">
        <v>0</v>
      </c>
      <c r="O5451">
        <v>-0.69315729999999998</v>
      </c>
      <c r="P5451">
        <v>0.82705930000000005</v>
      </c>
      <c r="Q5451">
        <v>-2.0982029999999999E-2</v>
      </c>
      <c r="R5451">
        <v>-0.56172349999999904</v>
      </c>
      <c r="S5451">
        <v>2.6066590000000001</v>
      </c>
      <c r="T5451">
        <v>1.00801E-2</v>
      </c>
      <c r="U5451">
        <v>-1.505768</v>
      </c>
      <c r="V5451">
        <v>-0.16842850000000001</v>
      </c>
      <c r="W5451">
        <v>-8.1356409999999903E-3</v>
      </c>
      <c r="X5451">
        <v>0.98568029999999995</v>
      </c>
      <c r="Y5451">
        <v>-0.23976929999999899</v>
      </c>
      <c r="Z5451">
        <v>-2.6148949999999999E-3</v>
      </c>
      <c r="AA5451">
        <v>0.97082639999999998</v>
      </c>
      <c r="AB5451">
        <v>15</v>
      </c>
      <c r="AC5451">
        <v>46.267699999999998</v>
      </c>
      <c r="AD5451">
        <v>0.179224999999999</v>
      </c>
      <c r="AE5451">
        <v>-26.707429999999899</v>
      </c>
      <c r="AF5451">
        <v>-12.8257363288549</v>
      </c>
      <c r="AG5451">
        <v>0.179224999999999</v>
      </c>
      <c r="AH5451">
        <v>51.859648340505601</v>
      </c>
      <c r="AI5451">
        <v>89.807780034981704</v>
      </c>
      <c r="AJ5451">
        <v>103.891432613137</v>
      </c>
      <c r="AK5451">
        <v>53.4224181405039</v>
      </c>
    </row>
    <row r="5452" spans="1:37" x14ac:dyDescent="0.2">
      <c r="A5452" t="str">
        <f>"20200111160011743"</f>
        <v>20200111160011743</v>
      </c>
      <c r="B5452" t="str">
        <f>"1578729611736448"</f>
        <v>1578729611736448</v>
      </c>
      <c r="C5452" t="s">
        <v>37</v>
      </c>
      <c r="D5452">
        <v>5.0996809999999897</v>
      </c>
      <c r="E5452">
        <v>0.46942990000000001</v>
      </c>
      <c r="F5452" t="s">
        <v>62</v>
      </c>
      <c r="G5452">
        <v>-247.1448</v>
      </c>
      <c r="H5452">
        <v>1.2335830000000001</v>
      </c>
      <c r="I5452">
        <v>-82.084459999999893</v>
      </c>
      <c r="J5452">
        <v>-293.31509999999997</v>
      </c>
      <c r="K5452">
        <v>1.108695</v>
      </c>
      <c r="L5452">
        <v>-55.844790000000003</v>
      </c>
      <c r="M5452">
        <v>0.72650559999999997</v>
      </c>
      <c r="N5452">
        <v>0</v>
      </c>
      <c r="O5452">
        <v>-0.68700169999999905</v>
      </c>
      <c r="P5452">
        <v>0.8312273</v>
      </c>
      <c r="Q5452">
        <v>-2.2886190000000001E-2</v>
      </c>
      <c r="R5452">
        <v>-0.55546139999999999</v>
      </c>
      <c r="S5452">
        <v>2.6165769999999999</v>
      </c>
      <c r="T5452">
        <v>7.0621969999999897E-3</v>
      </c>
      <c r="U5452">
        <v>-1.488434</v>
      </c>
      <c r="V5452">
        <v>-0.16743329999999901</v>
      </c>
      <c r="W5452">
        <v>-1.0028189999999999E-2</v>
      </c>
      <c r="X5452">
        <v>0.98583240000000005</v>
      </c>
      <c r="Y5452">
        <v>-0.23795269999999999</v>
      </c>
      <c r="Z5452">
        <v>-1.8176449999999999E-3</v>
      </c>
      <c r="AA5452">
        <v>0.971275</v>
      </c>
      <c r="AB5452">
        <v>15</v>
      </c>
      <c r="AC5452">
        <v>46.170299999999898</v>
      </c>
      <c r="AD5452">
        <v>0.124888</v>
      </c>
      <c r="AE5452">
        <v>-26.239669999999901</v>
      </c>
      <c r="AF5452">
        <v>-12.6571188573564</v>
      </c>
      <c r="AG5452">
        <v>0.124888</v>
      </c>
      <c r="AH5452">
        <v>51.575023337496702</v>
      </c>
      <c r="AI5452">
        <v>89.865257782562395</v>
      </c>
      <c r="AJ5452">
        <v>103.78855643420501</v>
      </c>
      <c r="AK5452">
        <v>53.105567382762402</v>
      </c>
    </row>
    <row r="5453" spans="1:37" x14ac:dyDescent="0.2">
      <c r="A5453" t="str">
        <f>"20200111160011777"</f>
        <v>20200111160011777</v>
      </c>
      <c r="B5453" t="str">
        <f>"1578729611766704"</f>
        <v>1578729611766704</v>
      </c>
      <c r="C5453" t="s">
        <v>37</v>
      </c>
      <c r="D5453">
        <v>5.0390009999999998</v>
      </c>
      <c r="E5453">
        <v>0.46942990000000001</v>
      </c>
      <c r="F5453" t="s">
        <v>62</v>
      </c>
      <c r="G5453">
        <v>-247.1448</v>
      </c>
      <c r="H5453">
        <v>1.131502</v>
      </c>
      <c r="I5453">
        <v>-81.650959999999998</v>
      </c>
      <c r="J5453">
        <v>-293.13810000000001</v>
      </c>
      <c r="K5453">
        <v>1.1086609999999999</v>
      </c>
      <c r="L5453">
        <v>-55.985930000000003</v>
      </c>
      <c r="M5453">
        <v>0.73693580000000003</v>
      </c>
      <c r="N5453">
        <v>0</v>
      </c>
      <c r="O5453">
        <v>-0.6758016</v>
      </c>
      <c r="P5453">
        <v>0.83883539999999901</v>
      </c>
      <c r="Q5453">
        <v>-2.276736E-2</v>
      </c>
      <c r="R5453">
        <v>-0.54390909999999904</v>
      </c>
      <c r="S5453">
        <v>2.6277159999999999</v>
      </c>
      <c r="T5453">
        <v>1.298785E-3</v>
      </c>
      <c r="U5453">
        <v>-1.4687190000000001</v>
      </c>
      <c r="V5453">
        <v>-0.16598640000000001</v>
      </c>
      <c r="W5453">
        <v>-9.8923169999999994E-3</v>
      </c>
      <c r="X5453">
        <v>0.98607839999999902</v>
      </c>
      <c r="Y5453">
        <v>-0.2303868</v>
      </c>
      <c r="Z5453">
        <v>-3.2873119999999998E-4</v>
      </c>
      <c r="AA5453">
        <v>0.97309909999999999</v>
      </c>
      <c r="AB5453">
        <v>15</v>
      </c>
      <c r="AC5453">
        <v>45.993299999999998</v>
      </c>
      <c r="AD5453">
        <v>2.2840999999999799E-2</v>
      </c>
      <c r="AE5453">
        <v>-25.665029999999899</v>
      </c>
      <c r="AF5453">
        <v>-12.170189578229399</v>
      </c>
      <c r="AG5453">
        <v>2.2840999999999799E-2</v>
      </c>
      <c r="AH5453">
        <v>51.244149441654102</v>
      </c>
      <c r="AI5453">
        <v>89.975152739522599</v>
      </c>
      <c r="AJ5453">
        <v>103.359905250574</v>
      </c>
      <c r="AK5453">
        <v>52.669506244884303</v>
      </c>
    </row>
    <row r="5454" spans="1:37" x14ac:dyDescent="0.2">
      <c r="A5454" t="str">
        <f>"20200111160011798"</f>
        <v>20200111160011798</v>
      </c>
      <c r="B5454" t="str">
        <f>"1578729611795986"</f>
        <v>1578729611795986</v>
      </c>
      <c r="C5454" t="s">
        <v>37</v>
      </c>
      <c r="D5454">
        <v>5.1548280000000002</v>
      </c>
      <c r="E5454">
        <v>0.278277</v>
      </c>
      <c r="F5454" t="s">
        <v>62</v>
      </c>
      <c r="G5454">
        <v>-247.1448</v>
      </c>
      <c r="H5454">
        <v>1.1375059999999999</v>
      </c>
      <c r="I5454">
        <v>-80.865009999999998</v>
      </c>
      <c r="J5454">
        <v>-293.02260000000001</v>
      </c>
      <c r="K5454">
        <v>1.108644</v>
      </c>
      <c r="L5454">
        <v>-56.075710000000001</v>
      </c>
      <c r="M5454">
        <v>0.74358400000000002</v>
      </c>
      <c r="N5454">
        <v>0</v>
      </c>
      <c r="O5454">
        <v>-0.66847990000000002</v>
      </c>
      <c r="P5454">
        <v>0.84375689999999903</v>
      </c>
      <c r="Q5454">
        <v>-2.1153330000000001E-2</v>
      </c>
      <c r="R5454">
        <v>-0.53630849999999997</v>
      </c>
      <c r="S5454">
        <v>2.6477659999999998</v>
      </c>
      <c r="T5454">
        <v>1.661301E-3</v>
      </c>
      <c r="U5454">
        <v>-1.4322509999999999</v>
      </c>
      <c r="V5454">
        <v>-0.16518720000000001</v>
      </c>
      <c r="W5454">
        <v>-8.268213E-3</v>
      </c>
      <c r="X5454">
        <v>0.98622759999999998</v>
      </c>
      <c r="Y5454">
        <v>-0.23421320000000001</v>
      </c>
      <c r="Z5454">
        <v>-4.1769250000000001E-4</v>
      </c>
      <c r="AA5454">
        <v>0.97218519999999897</v>
      </c>
      <c r="AB5454">
        <v>15</v>
      </c>
      <c r="AC5454">
        <v>45.877800000000001</v>
      </c>
      <c r="AD5454">
        <v>2.8861999999999902E-2</v>
      </c>
      <c r="AE5454">
        <v>-24.789300000000001</v>
      </c>
      <c r="AF5454">
        <v>-12.2367871242894</v>
      </c>
      <c r="AG5454">
        <v>2.8861999999999902E-2</v>
      </c>
      <c r="AH5454">
        <v>50.690643142255503</v>
      </c>
      <c r="AI5454">
        <v>89.968288117379601</v>
      </c>
      <c r="AJ5454">
        <v>103.571624897549</v>
      </c>
      <c r="AK5454">
        <v>52.146726592526598</v>
      </c>
    </row>
    <row r="5455" spans="1:37" x14ac:dyDescent="0.2">
      <c r="A5455" t="str">
        <f>"20200111160011821"</f>
        <v>20200111160011821</v>
      </c>
      <c r="B5455" t="str">
        <f>"1578729611816481"</f>
        <v>1578729611816481</v>
      </c>
      <c r="C5455" t="s">
        <v>37</v>
      </c>
      <c r="D5455">
        <v>5.1310449999999896</v>
      </c>
      <c r="E5455">
        <v>0.28177170000000001</v>
      </c>
      <c r="F5455" t="s">
        <v>39</v>
      </c>
      <c r="G5455">
        <v>-265.07139999999998</v>
      </c>
      <c r="H5455" s="1">
        <v>-1.7954669999999999E-6</v>
      </c>
      <c r="I5455">
        <v>-56.918799999999997</v>
      </c>
      <c r="J5455">
        <v>-292.90390000000002</v>
      </c>
      <c r="K5455">
        <v>1.108622</v>
      </c>
      <c r="L5455">
        <v>-56.166169999999902</v>
      </c>
      <c r="M5455">
        <v>0.75028819999999996</v>
      </c>
      <c r="N5455">
        <v>0</v>
      </c>
      <c r="O5455">
        <v>-0.66094659999999905</v>
      </c>
      <c r="P5455">
        <v>0.84909590000000001</v>
      </c>
      <c r="Q5455">
        <v>-2.0203570000000001E-2</v>
      </c>
      <c r="R5455">
        <v>-0.52785219999999999</v>
      </c>
      <c r="S5455">
        <v>3.4852289999999999</v>
      </c>
      <c r="T5455">
        <v>-0.13823659999999999</v>
      </c>
      <c r="U5455">
        <v>-0.10513309999999999</v>
      </c>
      <c r="V5455">
        <v>-0.16511879999999901</v>
      </c>
      <c r="W5455">
        <v>-7.3173040000000002E-3</v>
      </c>
      <c r="X5455">
        <v>0.98624650000000003</v>
      </c>
      <c r="Y5455">
        <v>-0.63715219999999995</v>
      </c>
      <c r="Z5455">
        <v>3.68975E-2</v>
      </c>
      <c r="AA5455">
        <v>0.76985429999999999</v>
      </c>
      <c r="AB5455">
        <v>15</v>
      </c>
      <c r="AC5455">
        <v>27.8325</v>
      </c>
      <c r="AD5455">
        <v>-1.108623795467</v>
      </c>
      <c r="AE5455">
        <v>-0.75263000000000302</v>
      </c>
      <c r="AF5455">
        <v>-17.804815438137599</v>
      </c>
      <c r="AG5455">
        <v>-1.108623795467</v>
      </c>
      <c r="AH5455">
        <v>21.3483206670487</v>
      </c>
      <c r="AI5455">
        <v>92.283777530986796</v>
      </c>
      <c r="AJ5455">
        <v>129.828606492202</v>
      </c>
      <c r="AK5455">
        <v>27.820699035235599</v>
      </c>
    </row>
    <row r="5456" spans="1:37" x14ac:dyDescent="0.2">
      <c r="A5456" t="str">
        <f>"20200111160011843"</f>
        <v>20200111160011843</v>
      </c>
      <c r="B5456" t="str">
        <f>"1578729611836002"</f>
        <v>1578729611836002</v>
      </c>
      <c r="C5456" t="s">
        <v>37</v>
      </c>
      <c r="D5456">
        <v>5.1686019999999999</v>
      </c>
      <c r="E5456">
        <v>0.28360849999999999</v>
      </c>
      <c r="F5456" t="s">
        <v>38</v>
      </c>
      <c r="G5456">
        <v>-291.97379999999998</v>
      </c>
      <c r="H5456">
        <v>1.0714109999999999</v>
      </c>
      <c r="I5456">
        <v>-56.19144</v>
      </c>
      <c r="J5456">
        <v>-292.78230000000002</v>
      </c>
      <c r="K5456">
        <v>1.1085989999999999</v>
      </c>
      <c r="L5456">
        <v>-56.256959999999999</v>
      </c>
      <c r="M5456">
        <v>0.75702440000000004</v>
      </c>
      <c r="N5456">
        <v>0</v>
      </c>
      <c r="O5456">
        <v>-0.65322069999999999</v>
      </c>
      <c r="P5456">
        <v>0.85475049999999997</v>
      </c>
      <c r="Q5456">
        <v>-1.9660690000000001E-2</v>
      </c>
      <c r="R5456">
        <v>-0.51866670000000004</v>
      </c>
      <c r="S5456">
        <v>3.4714969999999998</v>
      </c>
      <c r="T5456">
        <v>-0.13887539999999901</v>
      </c>
      <c r="U5456">
        <v>-9.3902589999999994E-2</v>
      </c>
      <c r="V5456">
        <v>-0.16565639999999901</v>
      </c>
      <c r="W5456">
        <v>-6.7807409999999999E-3</v>
      </c>
      <c r="X5456">
        <v>0.98616019999999904</v>
      </c>
      <c r="Y5456">
        <v>-0.63163040000000004</v>
      </c>
      <c r="Z5456">
        <v>3.6883829999999999E-2</v>
      </c>
      <c r="AA5456">
        <v>0.77439179999999996</v>
      </c>
      <c r="AB5456">
        <v>15</v>
      </c>
      <c r="AC5456">
        <v>0.80850000000003697</v>
      </c>
      <c r="AD5456">
        <v>-3.71879999999997E-2</v>
      </c>
      <c r="AE5456">
        <v>6.5519999999999301E-2</v>
      </c>
      <c r="AF5456">
        <v>-0.57657991597437896</v>
      </c>
      <c r="AG5456">
        <v>-3.71879999999997E-2</v>
      </c>
      <c r="AH5456">
        <v>0.56812280547215999</v>
      </c>
      <c r="AI5456">
        <v>92.630453378906395</v>
      </c>
      <c r="AJ5456">
        <v>135.42329585983501</v>
      </c>
      <c r="AK5456">
        <v>0.81030294886948295</v>
      </c>
    </row>
    <row r="5457" spans="1:37" x14ac:dyDescent="0.2">
      <c r="A5457" t="str">
        <f>"20200111160011857"</f>
        <v>20200111160011857</v>
      </c>
      <c r="B5457" t="str">
        <f>"1578729611846736"</f>
        <v>1578729611846736</v>
      </c>
      <c r="C5457" t="s">
        <v>37</v>
      </c>
      <c r="D5457">
        <v>5.1568519999999998</v>
      </c>
      <c r="E5457">
        <v>0.28434409999999999</v>
      </c>
      <c r="F5457" t="s">
        <v>38</v>
      </c>
      <c r="G5457">
        <v>-291.87430000000001</v>
      </c>
      <c r="H5457">
        <v>1.07202999999999</v>
      </c>
      <c r="I5457">
        <v>-56.274839999999998</v>
      </c>
      <c r="J5457">
        <v>-292.70999999999998</v>
      </c>
      <c r="K5457">
        <v>1.1085849999999999</v>
      </c>
      <c r="L5457">
        <v>-56.309840000000001</v>
      </c>
      <c r="M5457">
        <v>0.76096070000000005</v>
      </c>
      <c r="N5457">
        <v>0</v>
      </c>
      <c r="O5457">
        <v>-0.64863099999999996</v>
      </c>
      <c r="P5457">
        <v>0.85808469999999903</v>
      </c>
      <c r="Q5457">
        <v>-1.9455750000000001E-2</v>
      </c>
      <c r="R5457">
        <v>-0.51313980000000003</v>
      </c>
      <c r="S5457">
        <v>3.4648129999999999</v>
      </c>
      <c r="T5457">
        <v>-0.1395595</v>
      </c>
      <c r="U5457">
        <v>-6.8847660000000005E-2</v>
      </c>
      <c r="V5457">
        <v>-0.16606199999999999</v>
      </c>
      <c r="W5457">
        <v>-6.5801549999999999E-3</v>
      </c>
      <c r="X5457">
        <v>0.98609329999999995</v>
      </c>
      <c r="Y5457">
        <v>-0.632490199999999</v>
      </c>
      <c r="Z5457">
        <v>3.7033990000000003E-2</v>
      </c>
      <c r="AA5457">
        <v>0.7736826</v>
      </c>
      <c r="AB5457">
        <v>15</v>
      </c>
      <c r="AC5457">
        <v>0.83569999999997402</v>
      </c>
      <c r="AD5457">
        <v>-3.6555000000000101E-2</v>
      </c>
      <c r="AE5457">
        <v>3.4999999999996499E-2</v>
      </c>
      <c r="AF5457">
        <v>-0.56767191275670803</v>
      </c>
      <c r="AG5457">
        <v>-3.6555000000000101E-2</v>
      </c>
      <c r="AH5457">
        <v>0.612130043986015</v>
      </c>
      <c r="AI5457">
        <v>92.507205040874695</v>
      </c>
      <c r="AJ5457">
        <v>132.841961014677</v>
      </c>
      <c r="AK5457">
        <v>0.83563799537130901</v>
      </c>
    </row>
    <row r="5458" spans="1:37" x14ac:dyDescent="0.2">
      <c r="A5458" t="str">
        <f>"20200111160011876"</f>
        <v>20200111160011876</v>
      </c>
      <c r="B5458" t="str">
        <f>"1578729611866256"</f>
        <v>1578729611866256</v>
      </c>
      <c r="C5458" t="s">
        <v>37</v>
      </c>
      <c r="D5458">
        <v>5.0864310000000001</v>
      </c>
      <c r="E5458">
        <v>0.28520009999999901</v>
      </c>
      <c r="F5458" t="s">
        <v>38</v>
      </c>
      <c r="G5458">
        <v>-291.75749999999999</v>
      </c>
      <c r="H5458">
        <v>1.069447</v>
      </c>
      <c r="I5458">
        <v>-56.324119999999901</v>
      </c>
      <c r="J5458">
        <v>-292.60910000000001</v>
      </c>
      <c r="K5458">
        <v>1.1085670000000001</v>
      </c>
      <c r="L5458">
        <v>-56.382659999999902</v>
      </c>
      <c r="M5458">
        <v>0.76637549999999999</v>
      </c>
      <c r="N5458">
        <v>0</v>
      </c>
      <c r="O5458">
        <v>-0.64222440000000003</v>
      </c>
      <c r="P5458">
        <v>0.86261980000000005</v>
      </c>
      <c r="Q5458">
        <v>-1.8751759999999999E-2</v>
      </c>
      <c r="R5458">
        <v>-0.50550550000000005</v>
      </c>
      <c r="S5458">
        <v>3.4623110000000001</v>
      </c>
      <c r="T5458">
        <v>-0.1422525</v>
      </c>
      <c r="U5458">
        <v>-5.1208499999999997E-2</v>
      </c>
      <c r="V5458">
        <v>-0.16655639999999999</v>
      </c>
      <c r="W5458">
        <v>-5.8809869999999998E-3</v>
      </c>
      <c r="X5458">
        <v>0.98601439999999996</v>
      </c>
      <c r="Y5458">
        <v>-0.6298899</v>
      </c>
      <c r="Z5458">
        <v>3.753546E-2</v>
      </c>
      <c r="AA5458">
        <v>0.77577689999999999</v>
      </c>
      <c r="AB5458">
        <v>15</v>
      </c>
      <c r="AC5458">
        <v>0.85160000000001901</v>
      </c>
      <c r="AD5458">
        <v>-3.9120000000000002E-2</v>
      </c>
      <c r="AE5458">
        <v>5.8540000000000703E-2</v>
      </c>
      <c r="AF5458">
        <v>-0.59060552367500696</v>
      </c>
      <c r="AG5458">
        <v>-3.9120000000000002E-2</v>
      </c>
      <c r="AH5458">
        <v>0.61382690879183099</v>
      </c>
      <c r="AI5458">
        <v>92.629470391742203</v>
      </c>
      <c r="AJ5458">
        <v>133.89547764738001</v>
      </c>
      <c r="AK5458">
        <v>0.85271843708950301</v>
      </c>
    </row>
    <row r="5459" spans="1:37" x14ac:dyDescent="0.2">
      <c r="A5459" t="str">
        <f>"20200111160011891"</f>
        <v>20200111160011891</v>
      </c>
      <c r="B5459" t="str">
        <f>"1578729611886752"</f>
        <v>1578729611886752</v>
      </c>
      <c r="C5459" t="s">
        <v>37</v>
      </c>
      <c r="D5459">
        <v>5.7519289999999996</v>
      </c>
      <c r="E5459">
        <v>0.28568850000000001</v>
      </c>
      <c r="F5459" t="s">
        <v>38</v>
      </c>
      <c r="G5459">
        <v>-291.64780000000002</v>
      </c>
      <c r="H5459">
        <v>1.07064</v>
      </c>
      <c r="I5459">
        <v>-56.390039999999999</v>
      </c>
      <c r="J5459">
        <v>-292.53050000000002</v>
      </c>
      <c r="K5459">
        <v>1.108552</v>
      </c>
      <c r="L5459">
        <v>-56.438569999999999</v>
      </c>
      <c r="M5459">
        <v>0.77053099999999997</v>
      </c>
      <c r="N5459">
        <v>0</v>
      </c>
      <c r="O5459">
        <v>-0.63723280000000004</v>
      </c>
      <c r="P5459">
        <v>0.86589969999999905</v>
      </c>
      <c r="Q5459">
        <v>-1.8038390000000001E-2</v>
      </c>
      <c r="R5459">
        <v>-0.49989220000000001</v>
      </c>
      <c r="S5459">
        <v>3.4592589999999999</v>
      </c>
      <c r="T5459">
        <v>-0.13648179999999999</v>
      </c>
      <c r="U5459">
        <v>-2.651978E-2</v>
      </c>
      <c r="V5459">
        <v>-0.166573</v>
      </c>
      <c r="W5459">
        <v>-5.1667409999999999E-3</v>
      </c>
      <c r="X5459">
        <v>0.98601559999999899</v>
      </c>
      <c r="Y5459">
        <v>-0.63045469999999904</v>
      </c>
      <c r="Z5459">
        <v>3.5922280000000001E-2</v>
      </c>
      <c r="AA5459">
        <v>0.77539440000000004</v>
      </c>
      <c r="AB5459">
        <v>15</v>
      </c>
      <c r="AC5459">
        <v>0.88269999999999904</v>
      </c>
      <c r="AD5459">
        <v>-3.7911999999999897E-2</v>
      </c>
      <c r="AE5459">
        <v>4.8529999999999497E-2</v>
      </c>
      <c r="AF5459">
        <v>-0.59884280067655904</v>
      </c>
      <c r="AG5459">
        <v>-3.7911999999999897E-2</v>
      </c>
      <c r="AH5459">
        <v>0.64810108965612601</v>
      </c>
      <c r="AI5459">
        <v>92.4601512529388</v>
      </c>
      <c r="AJ5459">
        <v>132.73780889929401</v>
      </c>
      <c r="AK5459">
        <v>0.883224230917383</v>
      </c>
    </row>
    <row r="5460" spans="1:37" x14ac:dyDescent="0.2">
      <c r="A5460" t="str">
        <f>"20200111160011905"</f>
        <v>20200111160011905</v>
      </c>
      <c r="B5460" t="str">
        <f>"1578729611896512"</f>
        <v>1578729611896512</v>
      </c>
      <c r="C5460" t="s">
        <v>37</v>
      </c>
      <c r="D5460">
        <v>5.8030179999999998</v>
      </c>
      <c r="E5460">
        <v>0.49278690000000003</v>
      </c>
      <c r="F5460" t="s">
        <v>39</v>
      </c>
      <c r="G5460">
        <v>-263.94880000000001</v>
      </c>
      <c r="H5460" s="1">
        <v>-1.388233E-6</v>
      </c>
      <c r="I5460">
        <v>-56.499809999999997</v>
      </c>
      <c r="J5460">
        <v>-292.45119999999997</v>
      </c>
      <c r="K5460">
        <v>1.108528</v>
      </c>
      <c r="L5460">
        <v>-56.494289999999999</v>
      </c>
      <c r="M5460">
        <v>0.77467450000000004</v>
      </c>
      <c r="N5460">
        <v>0</v>
      </c>
      <c r="O5460">
        <v>-0.63218920000000001</v>
      </c>
      <c r="P5460">
        <v>0.86914990000000003</v>
      </c>
      <c r="Q5460">
        <v>-1.768517E-2</v>
      </c>
      <c r="R5460">
        <v>-0.49423249999999902</v>
      </c>
      <c r="S5460">
        <v>3.4575199999999899</v>
      </c>
      <c r="T5460">
        <v>-0.1341012</v>
      </c>
      <c r="U5460">
        <v>-7.4157709999999998E-3</v>
      </c>
      <c r="V5460">
        <v>-0.16657710000000001</v>
      </c>
      <c r="W5460">
        <v>-4.8126100000000002E-3</v>
      </c>
      <c r="X5460">
        <v>0.98601669999999997</v>
      </c>
      <c r="Y5460">
        <v>-0.62970619999999999</v>
      </c>
      <c r="Z5460">
        <v>3.516006E-2</v>
      </c>
      <c r="AA5460">
        <v>0.77603730000000004</v>
      </c>
      <c r="AB5460">
        <v>15</v>
      </c>
      <c r="AC5460">
        <v>28.502399999999898</v>
      </c>
      <c r="AD5460">
        <v>-1.1085293882330001</v>
      </c>
      <c r="AE5460">
        <v>-5.5199999999970802E-3</v>
      </c>
      <c r="AF5460">
        <v>-17.9893700710746</v>
      </c>
      <c r="AG5460">
        <v>-1.1085293882330001</v>
      </c>
      <c r="AH5460">
        <v>22.052602815901398</v>
      </c>
      <c r="AI5460">
        <v>92.230618705880204</v>
      </c>
      <c r="AJ5460">
        <v>129.205782077354</v>
      </c>
      <c r="AK5460">
        <v>28.480933339947899</v>
      </c>
    </row>
    <row r="5461" spans="1:37" x14ac:dyDescent="0.2">
      <c r="A5461" t="str">
        <f>"20200111160011918"</f>
        <v>20200111160011918</v>
      </c>
      <c r="B5461" t="str">
        <f>"1578729611916032"</f>
        <v>1578729611916032</v>
      </c>
      <c r="C5461" t="s">
        <v>37</v>
      </c>
      <c r="D5461">
        <v>5.1452119999999999</v>
      </c>
      <c r="E5461">
        <v>0.49278690000000003</v>
      </c>
      <c r="F5461" t="s">
        <v>62</v>
      </c>
      <c r="G5461">
        <v>-247.1448</v>
      </c>
      <c r="H5461">
        <v>2.3331580000000001</v>
      </c>
      <c r="I5461">
        <v>-81.326030000000003</v>
      </c>
      <c r="J5461">
        <v>-292.38060000000002</v>
      </c>
      <c r="K5461">
        <v>1.108517</v>
      </c>
      <c r="L5461">
        <v>-56.543030000000002</v>
      </c>
      <c r="M5461">
        <v>0.77830779999999999</v>
      </c>
      <c r="N5461">
        <v>0</v>
      </c>
      <c r="O5461">
        <v>-0.62771149999999998</v>
      </c>
      <c r="P5461">
        <v>0.87213159999999901</v>
      </c>
      <c r="Q5461">
        <v>-1.7577269999999999E-2</v>
      </c>
      <c r="R5461">
        <v>-0.48895649999999902</v>
      </c>
      <c r="S5461">
        <v>2.6326290000000001</v>
      </c>
      <c r="T5461">
        <v>7.1160669999999995E-2</v>
      </c>
      <c r="U5461">
        <v>-1.4429019999999999</v>
      </c>
      <c r="V5461">
        <v>-0.16686909999999999</v>
      </c>
      <c r="W5461">
        <v>-4.7078620000000002E-3</v>
      </c>
      <c r="X5461">
        <v>0.98596779999999995</v>
      </c>
      <c r="Y5461">
        <v>-0.17621020000000001</v>
      </c>
      <c r="Z5461">
        <v>-1.651588E-2</v>
      </c>
      <c r="AA5461">
        <v>0.98421399999999903</v>
      </c>
      <c r="AB5461">
        <v>15</v>
      </c>
      <c r="AC5461">
        <v>45.235799999999998</v>
      </c>
      <c r="AD5461">
        <v>1.2246410000000001</v>
      </c>
      <c r="AE5461">
        <v>-24.783000000000001</v>
      </c>
      <c r="AF5461">
        <v>-9.1020788755446098</v>
      </c>
      <c r="AG5461">
        <v>1.2246410000000001</v>
      </c>
      <c r="AH5461">
        <v>50.740810931647999</v>
      </c>
      <c r="AI5461">
        <v>88.639135351558593</v>
      </c>
      <c r="AJ5461">
        <v>100.169771734802</v>
      </c>
      <c r="AK5461">
        <v>51.565273968405997</v>
      </c>
    </row>
    <row r="5462" spans="1:37" x14ac:dyDescent="0.2">
      <c r="A5462" t="str">
        <f>"20200111160011932"</f>
        <v>20200111160011932</v>
      </c>
      <c r="B5462" t="str">
        <f>"1578729611926769"</f>
        <v>1578729611926769</v>
      </c>
      <c r="C5462" t="s">
        <v>37</v>
      </c>
      <c r="D5462">
        <v>5.1911559999999897</v>
      </c>
      <c r="E5462">
        <v>0.49278690000000003</v>
      </c>
      <c r="F5462" t="s">
        <v>62</v>
      </c>
      <c r="G5462">
        <v>-247.1448</v>
      </c>
      <c r="H5462">
        <v>2.332973</v>
      </c>
      <c r="I5462">
        <v>-80.982190000000003</v>
      </c>
      <c r="J5462">
        <v>-292.30549999999999</v>
      </c>
      <c r="K5462">
        <v>1.1085039999999999</v>
      </c>
      <c r="L5462">
        <v>-56.5944199999999</v>
      </c>
      <c r="M5462">
        <v>0.78213500000000002</v>
      </c>
      <c r="N5462">
        <v>0</v>
      </c>
      <c r="O5462">
        <v>-0.62293599999999905</v>
      </c>
      <c r="P5462">
        <v>0.87521979999999999</v>
      </c>
      <c r="Q5462">
        <v>-1.6917350000000001E-2</v>
      </c>
      <c r="R5462">
        <v>-0.48342970000000002</v>
      </c>
      <c r="S5462">
        <v>2.6412659999999999</v>
      </c>
      <c r="T5462">
        <v>7.1495180000000005E-2</v>
      </c>
      <c r="U5462">
        <v>-1.426971</v>
      </c>
      <c r="V5462">
        <v>-0.1670854</v>
      </c>
      <c r="W5462">
        <v>-4.0503839999999998E-3</v>
      </c>
      <c r="X5462">
        <v>0.98593410000000004</v>
      </c>
      <c r="Y5462">
        <v>-0.17612559999999999</v>
      </c>
      <c r="Z5462">
        <v>-1.648722E-2</v>
      </c>
      <c r="AA5462">
        <v>0.98422960000000004</v>
      </c>
      <c r="AB5462">
        <v>15</v>
      </c>
      <c r="AC5462">
        <v>45.160699999999899</v>
      </c>
      <c r="AD5462">
        <v>1.22446899999999</v>
      </c>
      <c r="AE5462">
        <v>-24.38777</v>
      </c>
      <c r="AF5462">
        <v>-9.0535208730183108</v>
      </c>
      <c r="AG5462">
        <v>1.22446899999999</v>
      </c>
      <c r="AH5462">
        <v>50.490492365875298</v>
      </c>
      <c r="AI5462">
        <v>88.632565912798199</v>
      </c>
      <c r="AJ5462">
        <v>100.16575345341001</v>
      </c>
      <c r="AK5462">
        <v>51.310382807757897</v>
      </c>
    </row>
    <row r="5463" spans="1:37" x14ac:dyDescent="0.2">
      <c r="A5463" t="str">
        <f>"20200111160011946"</f>
        <v>20200111160011946</v>
      </c>
      <c r="B5463" t="str">
        <f>"1578729611936529"</f>
        <v>1578729611936529</v>
      </c>
      <c r="C5463" t="s">
        <v>37</v>
      </c>
      <c r="D5463">
        <v>5.1899579999999998</v>
      </c>
      <c r="E5463">
        <v>0.49278690000000003</v>
      </c>
      <c r="F5463" t="s">
        <v>62</v>
      </c>
      <c r="G5463">
        <v>-247.1448</v>
      </c>
      <c r="H5463">
        <v>2.36085699999999</v>
      </c>
      <c r="I5463">
        <v>-80.625439999999998</v>
      </c>
      <c r="J5463">
        <v>-292.23180000000002</v>
      </c>
      <c r="K5463">
        <v>1.108492</v>
      </c>
      <c r="L5463">
        <v>-56.644289999999998</v>
      </c>
      <c r="M5463">
        <v>0.78584589999999999</v>
      </c>
      <c r="N5463">
        <v>0</v>
      </c>
      <c r="O5463">
        <v>-0.61824789999999996</v>
      </c>
      <c r="P5463">
        <v>0.87806109999999904</v>
      </c>
      <c r="Q5463">
        <v>-1.7024279999999999E-2</v>
      </c>
      <c r="R5463">
        <v>-0.478245799999999</v>
      </c>
      <c r="S5463">
        <v>2.6501769999999998</v>
      </c>
      <c r="T5463">
        <v>7.3492879999999997E-2</v>
      </c>
      <c r="U5463">
        <v>-1.4102170000000001</v>
      </c>
      <c r="V5463">
        <v>-0.1670181</v>
      </c>
      <c r="W5463">
        <v>-4.1567979999999997E-3</v>
      </c>
      <c r="X5463">
        <v>0.98594499999999996</v>
      </c>
      <c r="Y5463">
        <v>-0.1764512</v>
      </c>
      <c r="Z5463">
        <v>-1.6844609999999999E-2</v>
      </c>
      <c r="AA5463">
        <v>0.98416530000000002</v>
      </c>
      <c r="AB5463">
        <v>15</v>
      </c>
      <c r="AC5463">
        <v>45.087000000000003</v>
      </c>
      <c r="AD5463">
        <v>1.25236499999999</v>
      </c>
      <c r="AE5463">
        <v>-23.9811499999999</v>
      </c>
      <c r="AF5463">
        <v>-9.0250012375071993</v>
      </c>
      <c r="AG5463">
        <v>1.25236499999999</v>
      </c>
      <c r="AH5463">
        <v>50.232942062797797</v>
      </c>
      <c r="AI5463">
        <v>88.594343217785493</v>
      </c>
      <c r="AJ5463">
        <v>100.185270098808</v>
      </c>
      <c r="AK5463">
        <v>51.052595758831302</v>
      </c>
    </row>
    <row r="5464" spans="1:37" x14ac:dyDescent="0.2">
      <c r="A5464" t="str">
        <f>"20200111160011967"</f>
        <v>20200111160011967</v>
      </c>
      <c r="B5464" t="str">
        <f>"1578729611956084"</f>
        <v>1578729611956084</v>
      </c>
      <c r="C5464" t="s">
        <v>37</v>
      </c>
      <c r="D5464">
        <v>5.149159</v>
      </c>
      <c r="E5464">
        <v>0.30232179999999997</v>
      </c>
      <c r="F5464" t="s">
        <v>62</v>
      </c>
      <c r="G5464">
        <v>-246.81890000000001</v>
      </c>
      <c r="H5464">
        <v>2.3582689999999999</v>
      </c>
      <c r="I5464">
        <v>-80.464519999999993</v>
      </c>
      <c r="J5464">
        <v>-292.11970000000002</v>
      </c>
      <c r="K5464">
        <v>1.1084700000000001</v>
      </c>
      <c r="L5464">
        <v>-56.718719999999998</v>
      </c>
      <c r="M5464">
        <v>0.79140120000000003</v>
      </c>
      <c r="N5464">
        <v>0</v>
      </c>
      <c r="O5464">
        <v>-0.61112109999999997</v>
      </c>
      <c r="P5464">
        <v>0.88215169999999998</v>
      </c>
      <c r="Q5464">
        <v>-1.6992360000000001E-2</v>
      </c>
      <c r="R5464">
        <v>-0.470659099999999</v>
      </c>
      <c r="S5464">
        <v>2.65853899999999</v>
      </c>
      <c r="T5464">
        <v>7.3164460000000001E-2</v>
      </c>
      <c r="U5464">
        <v>-1.3944700000000001</v>
      </c>
      <c r="V5464">
        <v>-0.16660720000000001</v>
      </c>
      <c r="W5464">
        <v>-4.1212180000000003E-3</v>
      </c>
      <c r="X5464">
        <v>0.98601469999999902</v>
      </c>
      <c r="Y5464">
        <v>-0.17340439999999999</v>
      </c>
      <c r="Z5464">
        <v>-1.6577459999999999E-2</v>
      </c>
      <c r="AA5464">
        <v>0.98471119999999901</v>
      </c>
      <c r="AB5464">
        <v>15</v>
      </c>
      <c r="AC5464">
        <v>45.300800000000002</v>
      </c>
      <c r="AD5464">
        <v>1.2497989999999899</v>
      </c>
      <c r="AE5464">
        <v>-23.745799999999999</v>
      </c>
      <c r="AF5464">
        <v>-8.8874701651069792</v>
      </c>
      <c r="AG5464">
        <v>1.2497989999999899</v>
      </c>
      <c r="AH5464">
        <v>50.338029093199999</v>
      </c>
      <c r="AI5464">
        <v>88.599398666966493</v>
      </c>
      <c r="AJ5464">
        <v>100.012713637397</v>
      </c>
      <c r="AK5464">
        <v>51.1318520734768</v>
      </c>
    </row>
    <row r="5465" spans="1:37" x14ac:dyDescent="0.2">
      <c r="A5465" t="str">
        <f>"20200111160011982"</f>
        <v>20200111160011982</v>
      </c>
      <c r="B5465" t="str">
        <f>"1578729611976580"</f>
        <v>1578729611976580</v>
      </c>
      <c r="C5465" t="s">
        <v>37</v>
      </c>
      <c r="D5465">
        <v>5.1379279999999996</v>
      </c>
      <c r="E5465">
        <v>0.305983</v>
      </c>
      <c r="F5465" t="s">
        <v>38</v>
      </c>
      <c r="G5465">
        <v>-291.11040000000003</v>
      </c>
      <c r="H5465">
        <v>1.061947</v>
      </c>
      <c r="I5465">
        <v>-56.720939999999999</v>
      </c>
      <c r="J5465">
        <v>-292.03489999999999</v>
      </c>
      <c r="K5465">
        <v>1.108455</v>
      </c>
      <c r="L5465">
        <v>-56.774079999999998</v>
      </c>
      <c r="M5465">
        <v>0.79553779999999996</v>
      </c>
      <c r="N5465">
        <v>0</v>
      </c>
      <c r="O5465">
        <v>-0.6057264</v>
      </c>
      <c r="P5465">
        <v>0.88511759999999995</v>
      </c>
      <c r="Q5465">
        <v>-1.6878560000000001E-2</v>
      </c>
      <c r="R5465">
        <v>-0.46506120000000001</v>
      </c>
      <c r="S5465">
        <v>3.3940730000000001</v>
      </c>
      <c r="T5465">
        <v>-0.15644149999999901</v>
      </c>
      <c r="U5465">
        <v>-6.9274899999999997E-3</v>
      </c>
      <c r="V5465">
        <v>-0.16615260000000001</v>
      </c>
      <c r="W5465">
        <v>-4.0032699999999997E-3</v>
      </c>
      <c r="X5465">
        <v>0.98609190000000002</v>
      </c>
      <c r="Y5465">
        <v>-0.60295679999999996</v>
      </c>
      <c r="Z5465">
        <v>4.0202929999999998E-2</v>
      </c>
      <c r="AA5465">
        <v>0.79676029999999998</v>
      </c>
      <c r="AB5465">
        <v>15</v>
      </c>
      <c r="AC5465">
        <v>0.92449999999996602</v>
      </c>
      <c r="AD5465">
        <v>-4.6508000000000001E-2</v>
      </c>
      <c r="AE5465">
        <v>5.3140000000006099E-2</v>
      </c>
      <c r="AF5465">
        <v>-0.60081824454841404</v>
      </c>
      <c r="AG5465">
        <v>-4.6508000000000001E-2</v>
      </c>
      <c r="AH5465">
        <v>0.70159238253930301</v>
      </c>
      <c r="AI5465">
        <v>92.882402373312303</v>
      </c>
      <c r="AJ5465">
        <v>130.575549504283</v>
      </c>
      <c r="AK5465">
        <v>0.92486616776883701</v>
      </c>
    </row>
    <row r="5466" spans="1:37" x14ac:dyDescent="0.2">
      <c r="A5466" t="str">
        <f>"20200111160011998"</f>
        <v>20200111160011998</v>
      </c>
      <c r="B5466" t="str">
        <f>"1578729611986341"</f>
        <v>1578729611986341</v>
      </c>
      <c r="C5466" t="s">
        <v>37</v>
      </c>
      <c r="D5466">
        <v>5.0899640000000002</v>
      </c>
      <c r="E5466">
        <v>0.30672389999999999</v>
      </c>
      <c r="F5466" t="s">
        <v>38</v>
      </c>
      <c r="G5466">
        <v>-291.13679999999999</v>
      </c>
      <c r="H5466">
        <v>1.0640069999999999</v>
      </c>
      <c r="I5466">
        <v>-56.777019999999901</v>
      </c>
      <c r="J5466">
        <v>-291.9504</v>
      </c>
      <c r="K5466">
        <v>1.1084419999999999</v>
      </c>
      <c r="L5466">
        <v>-56.828309999999902</v>
      </c>
      <c r="M5466">
        <v>0.79960229999999999</v>
      </c>
      <c r="N5466">
        <v>0</v>
      </c>
      <c r="O5466">
        <v>-0.60035119999999997</v>
      </c>
      <c r="P5466">
        <v>0.88809229999999995</v>
      </c>
      <c r="Q5466">
        <v>-1.68226E-2</v>
      </c>
      <c r="R5466">
        <v>-0.45935759999999998</v>
      </c>
      <c r="S5466">
        <v>3.3807070000000001</v>
      </c>
      <c r="T5466">
        <v>-0.1672997</v>
      </c>
      <c r="U5466">
        <v>-1.0467529999999999E-2</v>
      </c>
      <c r="V5466">
        <v>-0.16585179999999999</v>
      </c>
      <c r="W5466">
        <v>-3.9453639999999998E-3</v>
      </c>
      <c r="X5466">
        <v>0.98614279999999999</v>
      </c>
      <c r="Y5466">
        <v>-0.59655459999999905</v>
      </c>
      <c r="Z5466">
        <v>4.2785730000000001E-2</v>
      </c>
      <c r="AA5466">
        <v>0.80143129999999996</v>
      </c>
      <c r="AB5466">
        <v>15</v>
      </c>
      <c r="AC5466">
        <v>0.81360000000000798</v>
      </c>
      <c r="AD5466">
        <v>-4.4435000000000002E-2</v>
      </c>
      <c r="AE5466">
        <v>5.1290000000001598E-2</v>
      </c>
      <c r="AF5466">
        <v>-0.52794561941790397</v>
      </c>
      <c r="AG5466">
        <v>-4.4435000000000002E-2</v>
      </c>
      <c r="AH5466">
        <v>0.61799485249424402</v>
      </c>
      <c r="AI5466">
        <v>93.129189750428097</v>
      </c>
      <c r="AJ5466">
        <v>130.50686926628299</v>
      </c>
      <c r="AK5466">
        <v>0.81401393353980001</v>
      </c>
    </row>
    <row r="5467" spans="1:37" x14ac:dyDescent="0.2">
      <c r="A5467" t="str">
        <f>"20200111160012012"</f>
        <v>20200111160012012</v>
      </c>
      <c r="B5467" t="str">
        <f>"1578729611986341"</f>
        <v>1578729611986341</v>
      </c>
      <c r="C5467" t="s">
        <v>37</v>
      </c>
      <c r="D5467">
        <v>5.0899640000000002</v>
      </c>
      <c r="E5467">
        <v>0.30672389999999999</v>
      </c>
      <c r="F5467" t="s">
        <v>38</v>
      </c>
      <c r="G5467">
        <v>-291.02140000000003</v>
      </c>
      <c r="H5467">
        <v>1.06367099999999</v>
      </c>
      <c r="I5467">
        <v>-56.826799999999999</v>
      </c>
      <c r="J5467">
        <v>-291.8725</v>
      </c>
      <c r="K5467">
        <v>1.1084270000000001</v>
      </c>
      <c r="L5467">
        <v>-56.877690000000001</v>
      </c>
      <c r="M5467">
        <v>0.80330159999999995</v>
      </c>
      <c r="N5467">
        <v>0</v>
      </c>
      <c r="O5467">
        <v>-0.59539209999999998</v>
      </c>
      <c r="P5467">
        <v>0.8906752</v>
      </c>
      <c r="Q5467">
        <v>-1.6955479999999998E-2</v>
      </c>
      <c r="R5467">
        <v>-0.4543239</v>
      </c>
      <c r="S5467">
        <v>3.377869</v>
      </c>
      <c r="T5467">
        <v>-0.16278989999999999</v>
      </c>
      <c r="U5467">
        <v>5.64575199999999E-3</v>
      </c>
      <c r="V5467">
        <v>-0.16532820000000001</v>
      </c>
      <c r="W5467">
        <v>-4.0735909999999997E-3</v>
      </c>
      <c r="X5467">
        <v>0.98623019999999995</v>
      </c>
      <c r="Y5467">
        <v>-0.59549079999999999</v>
      </c>
      <c r="Z5467">
        <v>4.146043E-2</v>
      </c>
      <c r="AA5467">
        <v>0.80229159999999999</v>
      </c>
      <c r="AB5467">
        <v>15</v>
      </c>
      <c r="AC5467">
        <v>0.85109999999997399</v>
      </c>
      <c r="AD5467">
        <v>-4.4756000000000198E-2</v>
      </c>
      <c r="AE5467">
        <v>5.0890000000002503E-2</v>
      </c>
      <c r="AF5467">
        <v>-0.54617210870261601</v>
      </c>
      <c r="AG5467">
        <v>-4.4756000000000198E-2</v>
      </c>
      <c r="AH5467">
        <v>0.65166504306851802</v>
      </c>
      <c r="AI5467">
        <v>93.013094529560405</v>
      </c>
      <c r="AJ5467">
        <v>129.966974258069</v>
      </c>
      <c r="AK5467">
        <v>0.85145428545410196</v>
      </c>
    </row>
    <row r="5468" spans="1:37" x14ac:dyDescent="0.2">
      <c r="A5468" t="str">
        <f>"20200111160012026"</f>
        <v>20200111160012026</v>
      </c>
      <c r="B5468" t="str">
        <f>"1578729611986341"</f>
        <v>1578729611986341</v>
      </c>
      <c r="C5468" t="s">
        <v>37</v>
      </c>
      <c r="D5468">
        <v>5.0899640000000002</v>
      </c>
      <c r="E5468">
        <v>0.30672389999999999</v>
      </c>
      <c r="F5468" t="s">
        <v>38</v>
      </c>
      <c r="G5468">
        <v>-290.90390000000002</v>
      </c>
      <c r="H5468">
        <v>1.0616299999999901</v>
      </c>
      <c r="I5468">
        <v>-56.870699999999999</v>
      </c>
      <c r="J5468">
        <v>-291.79320000000001</v>
      </c>
      <c r="K5468">
        <v>1.108417</v>
      </c>
      <c r="L5468">
        <v>-56.927369999999897</v>
      </c>
      <c r="M5468">
        <v>0.80702369999999901</v>
      </c>
      <c r="N5468">
        <v>0</v>
      </c>
      <c r="O5468">
        <v>-0.59033760000000002</v>
      </c>
      <c r="P5468">
        <v>0.89340149999999996</v>
      </c>
      <c r="Q5468">
        <v>-1.7441189999999999E-2</v>
      </c>
      <c r="R5468">
        <v>-0.44892139999999903</v>
      </c>
      <c r="S5468">
        <v>3.3777469999999998</v>
      </c>
      <c r="T5468">
        <v>-0.16318299999999999</v>
      </c>
      <c r="U5468">
        <v>2.471924E-2</v>
      </c>
      <c r="V5468">
        <v>-0.16510079999999999</v>
      </c>
      <c r="W5468">
        <v>-4.5582209999999899E-3</v>
      </c>
      <c r="X5468">
        <v>0.98626619999999998</v>
      </c>
      <c r="Y5468">
        <v>-0.59498119999999999</v>
      </c>
      <c r="Z5468">
        <v>4.1362620000000003E-2</v>
      </c>
      <c r="AA5468">
        <v>0.80267460000000002</v>
      </c>
      <c r="AB5468">
        <v>15</v>
      </c>
      <c r="AC5468">
        <v>0.88929999999999099</v>
      </c>
      <c r="AD5468">
        <v>-4.6787000000000099E-2</v>
      </c>
      <c r="AE5468">
        <v>5.6669999999996799E-2</v>
      </c>
      <c r="AF5468">
        <v>-0.56921324786657501</v>
      </c>
      <c r="AG5468">
        <v>-4.6787000000000099E-2</v>
      </c>
      <c r="AH5468">
        <v>0.68242380374872902</v>
      </c>
      <c r="AI5468">
        <v>93.013799258071401</v>
      </c>
      <c r="AJ5468">
        <v>129.83166123646899</v>
      </c>
      <c r="AK5468">
        <v>0.88988481998441704</v>
      </c>
    </row>
    <row r="5469" spans="1:37" x14ac:dyDescent="0.2">
      <c r="A5469" t="str">
        <f>"20200111160012066"</f>
        <v>20200111160012066</v>
      </c>
      <c r="B5469" t="str">
        <f>"1578729612056612"</f>
        <v>1578729612056612</v>
      </c>
      <c r="C5469" t="s">
        <v>37</v>
      </c>
      <c r="D5469">
        <v>5.1049470000000001</v>
      </c>
      <c r="E5469">
        <v>0.31056739999999999</v>
      </c>
      <c r="F5469" t="s">
        <v>38</v>
      </c>
      <c r="G5469">
        <v>-290.78660000000002</v>
      </c>
      <c r="H5469">
        <v>1.059334</v>
      </c>
      <c r="I5469">
        <v>-56.913869999999903</v>
      </c>
      <c r="J5469">
        <v>-291.57260000000002</v>
      </c>
      <c r="K5469">
        <v>1.1083909999999999</v>
      </c>
      <c r="L5469">
        <v>-57.061709999999998</v>
      </c>
      <c r="M5469">
        <v>0.81714200000000003</v>
      </c>
      <c r="N5469">
        <v>0</v>
      </c>
      <c r="O5469">
        <v>-0.57625090000000001</v>
      </c>
      <c r="P5469">
        <v>0.90050599999999903</v>
      </c>
      <c r="Q5469">
        <v>-1.7795080000000001E-2</v>
      </c>
      <c r="R5469">
        <v>-0.43447970000000002</v>
      </c>
      <c r="S5469">
        <v>3.377472</v>
      </c>
      <c r="T5469">
        <v>-0.16467760000000001</v>
      </c>
      <c r="U5469">
        <v>4.5257569999999997E-2</v>
      </c>
      <c r="V5469">
        <v>-0.1638645</v>
      </c>
      <c r="W5469">
        <v>-4.9005400000000001E-3</v>
      </c>
      <c r="X5469">
        <v>0.98647070000000003</v>
      </c>
      <c r="Y5469">
        <v>-0.58589639999999998</v>
      </c>
      <c r="Z5469">
        <v>4.0969989999999998E-2</v>
      </c>
      <c r="AA5469">
        <v>0.80934969999999995</v>
      </c>
      <c r="AB5469">
        <v>15</v>
      </c>
      <c r="AC5469">
        <v>0.78600000000000103</v>
      </c>
      <c r="AD5469">
        <v>-4.9056999999999899E-2</v>
      </c>
      <c r="AE5469">
        <v>0.147840000000002</v>
      </c>
      <c r="AF5469">
        <v>-0.571650097580227</v>
      </c>
      <c r="AG5469">
        <v>-4.9056999999999899E-2</v>
      </c>
      <c r="AH5469">
        <v>0.55505196208732199</v>
      </c>
      <c r="AI5469">
        <v>93.523177688405994</v>
      </c>
      <c r="AJ5469">
        <v>135.84399803537599</v>
      </c>
      <c r="AK5469">
        <v>0.79829387065758495</v>
      </c>
    </row>
    <row r="5470" spans="1:37" x14ac:dyDescent="0.2">
      <c r="A5470" t="str">
        <f>"20200111160012088"</f>
        <v>20200111160012088</v>
      </c>
      <c r="B5470" t="str">
        <f>"1578729612086870"</f>
        <v>1578729612086870</v>
      </c>
      <c r="C5470" t="s">
        <v>37</v>
      </c>
      <c r="D5470">
        <v>7.3522619999999996</v>
      </c>
      <c r="E5470">
        <v>0.31219709999999901</v>
      </c>
      <c r="F5470" t="s">
        <v>38</v>
      </c>
      <c r="G5470">
        <v>-290.57029999999997</v>
      </c>
      <c r="H5470">
        <v>1.0580020000000001</v>
      </c>
      <c r="I5470">
        <v>-57.040119999999902</v>
      </c>
      <c r="J5470">
        <v>-291.44959999999998</v>
      </c>
      <c r="K5470">
        <v>1.108371</v>
      </c>
      <c r="L5470">
        <v>-57.134309999999999</v>
      </c>
      <c r="M5470">
        <v>0.82263509999999995</v>
      </c>
      <c r="N5470">
        <v>0</v>
      </c>
      <c r="O5470">
        <v>-0.56838169999999899</v>
      </c>
      <c r="P5470">
        <v>0.90474690000000002</v>
      </c>
      <c r="Q5470">
        <v>-1.8405080000000001E-2</v>
      </c>
      <c r="R5470">
        <v>-0.42555209999999999</v>
      </c>
      <c r="S5470">
        <v>3.362946</v>
      </c>
      <c r="T5470">
        <v>-0.1690652</v>
      </c>
      <c r="U5470">
        <v>7.2235110000000005E-2</v>
      </c>
      <c r="V5470">
        <v>-0.16414049999999999</v>
      </c>
      <c r="W5470">
        <v>-5.5149400000000003E-3</v>
      </c>
      <c r="X5470">
        <v>0.98642149999999995</v>
      </c>
      <c r="Y5470">
        <v>-0.58458909999999997</v>
      </c>
      <c r="Z5470">
        <v>4.1893340000000001E-2</v>
      </c>
      <c r="AA5470">
        <v>0.81024719999999995</v>
      </c>
      <c r="AB5470">
        <v>15</v>
      </c>
      <c r="AC5470">
        <v>0.87929999999999997</v>
      </c>
      <c r="AD5470">
        <v>-5.0368999999999803E-2</v>
      </c>
      <c r="AE5470">
        <v>9.4190000000004603E-2</v>
      </c>
      <c r="AF5470">
        <v>-0.57545687549755997</v>
      </c>
      <c r="AG5470">
        <v>-5.0368999999999803E-2</v>
      </c>
      <c r="AH5470">
        <v>0.66771262024560296</v>
      </c>
      <c r="AI5470">
        <v>93.270438709975494</v>
      </c>
      <c r="AJ5470">
        <v>130.75585354068801</v>
      </c>
      <c r="AK5470">
        <v>0.88290871269552196</v>
      </c>
    </row>
    <row r="5471" spans="1:37" x14ac:dyDescent="0.2">
      <c r="A5471" t="str">
        <f>"20200111160012111"</f>
        <v>20200111160012111</v>
      </c>
      <c r="B5471" t="str">
        <f>"1578729612106387"</f>
        <v>1578729612106387</v>
      </c>
      <c r="C5471" t="s">
        <v>37</v>
      </c>
      <c r="D5471">
        <v>5.0443439999999997</v>
      </c>
      <c r="E5471">
        <v>0.31507639999999998</v>
      </c>
      <c r="F5471" t="s">
        <v>38</v>
      </c>
      <c r="G5471">
        <v>-290.46390000000002</v>
      </c>
      <c r="H5471">
        <v>1.0593319999999999</v>
      </c>
      <c r="I5471">
        <v>-57.107100000000003</v>
      </c>
      <c r="J5471">
        <v>-291.3254</v>
      </c>
      <c r="K5471">
        <v>1.108344</v>
      </c>
      <c r="L5471">
        <v>-57.205930000000002</v>
      </c>
      <c r="M5471">
        <v>0.82807299999999995</v>
      </c>
      <c r="N5471">
        <v>0</v>
      </c>
      <c r="O5471">
        <v>-0.56042990000000004</v>
      </c>
      <c r="P5471">
        <v>0.9087134</v>
      </c>
      <c r="Q5471">
        <v>-1.889163E-2</v>
      </c>
      <c r="R5471">
        <v>-0.41699309999999901</v>
      </c>
      <c r="S5471">
        <v>3.3563540000000001</v>
      </c>
      <c r="T5471">
        <v>-0.16696040000000001</v>
      </c>
      <c r="U5471">
        <v>9.3383789999999994E-2</v>
      </c>
      <c r="V5471">
        <v>-0.16393829999999901</v>
      </c>
      <c r="W5471">
        <v>-5.9998259999999998E-3</v>
      </c>
      <c r="X5471">
        <v>0.98645229999999995</v>
      </c>
      <c r="Y5471">
        <v>-0.58195410000000003</v>
      </c>
      <c r="Z5471">
        <v>4.1065499999999998E-2</v>
      </c>
      <c r="AA5471">
        <v>0.81218409999999996</v>
      </c>
      <c r="AB5471">
        <v>15</v>
      </c>
      <c r="AC5471">
        <v>0.86149999999997795</v>
      </c>
      <c r="AD5471">
        <v>-4.9012E-2</v>
      </c>
      <c r="AE5471">
        <v>9.8829999999999502E-2</v>
      </c>
      <c r="AF5471">
        <v>-0.56291080738768295</v>
      </c>
      <c r="AG5471">
        <v>-4.9012E-2</v>
      </c>
      <c r="AH5471">
        <v>0.65597226604678205</v>
      </c>
      <c r="AI5471">
        <v>93.245271922567696</v>
      </c>
      <c r="AJ5471">
        <v>130.63395015239399</v>
      </c>
      <c r="AK5471">
        <v>0.86577731954608494</v>
      </c>
    </row>
    <row r="5472" spans="1:37" x14ac:dyDescent="0.2">
      <c r="A5472" t="str">
        <f>"20200111160012133"</f>
        <v>20200111160012133</v>
      </c>
      <c r="B5472" t="str">
        <f>"1578729612125907"</f>
        <v>1578729612125907</v>
      </c>
      <c r="C5472" t="s">
        <v>37</v>
      </c>
      <c r="D5472">
        <v>5.0310459999999999</v>
      </c>
      <c r="E5472">
        <v>0.31744709999999998</v>
      </c>
      <c r="F5472" t="s">
        <v>38</v>
      </c>
      <c r="G5472">
        <v>-290.35809999999998</v>
      </c>
      <c r="H5472">
        <v>1.059879</v>
      </c>
      <c r="I5472">
        <v>-57.175819999999902</v>
      </c>
      <c r="J5472">
        <v>-291.19560000000001</v>
      </c>
      <c r="K5472">
        <v>1.1083270000000001</v>
      </c>
      <c r="L5472">
        <v>-57.279269999999997</v>
      </c>
      <c r="M5472">
        <v>0.83365230000000001</v>
      </c>
      <c r="N5472">
        <v>0</v>
      </c>
      <c r="O5472">
        <v>-0.55209649999999999</v>
      </c>
      <c r="P5472">
        <v>0.91266519999999995</v>
      </c>
      <c r="Q5472">
        <v>-1.881325E-2</v>
      </c>
      <c r="R5472">
        <v>-0.4082749</v>
      </c>
      <c r="S5472">
        <v>3.3456730000000001</v>
      </c>
      <c r="T5472">
        <v>-0.16762560000000001</v>
      </c>
      <c r="U5472">
        <v>0.104126</v>
      </c>
      <c r="V5472">
        <v>-0.16348959999999901</v>
      </c>
      <c r="W5472">
        <v>-5.9164389999999999E-3</v>
      </c>
      <c r="X5472">
        <v>0.9865273</v>
      </c>
      <c r="Y5472">
        <v>-0.57646619999999904</v>
      </c>
      <c r="Z5472">
        <v>4.0874140000000003E-2</v>
      </c>
      <c r="AA5472">
        <v>0.81609799999999999</v>
      </c>
      <c r="AB5472">
        <v>15</v>
      </c>
      <c r="AC5472">
        <v>0.837500000000034</v>
      </c>
      <c r="AD5472">
        <v>-4.8447999999999998E-2</v>
      </c>
      <c r="AE5472">
        <v>0.103450000000002</v>
      </c>
      <c r="AF5472">
        <v>-0.54687808125154203</v>
      </c>
      <c r="AG5472">
        <v>-4.8447999999999998E-2</v>
      </c>
      <c r="AH5472">
        <v>0.63903146083954199</v>
      </c>
      <c r="AI5472">
        <v>93.296666552604293</v>
      </c>
      <c r="AJ5472">
        <v>130.55665053133399</v>
      </c>
      <c r="AK5472">
        <v>0.84248682624720495</v>
      </c>
    </row>
    <row r="5473" spans="1:37" x14ac:dyDescent="0.2">
      <c r="A5473" t="str">
        <f>"20200111160012156"</f>
        <v>20200111160012156</v>
      </c>
      <c r="B5473" t="str">
        <f>"1578729612146404"</f>
        <v>1578729612146404</v>
      </c>
      <c r="C5473" t="s">
        <v>37</v>
      </c>
      <c r="D5473">
        <v>5.1277239999999997</v>
      </c>
      <c r="E5473">
        <v>0.31999490000000003</v>
      </c>
      <c r="F5473" t="s">
        <v>38</v>
      </c>
      <c r="G5473">
        <v>-290.25290000000001</v>
      </c>
      <c r="H5473">
        <v>1.06152</v>
      </c>
      <c r="I5473">
        <v>-57.245959999999997</v>
      </c>
      <c r="J5473">
        <v>-291.07119999999998</v>
      </c>
      <c r="K5473">
        <v>1.108311</v>
      </c>
      <c r="L5473">
        <v>-57.347839999999998</v>
      </c>
      <c r="M5473">
        <v>0.83888549999999995</v>
      </c>
      <c r="N5473">
        <v>0</v>
      </c>
      <c r="O5473">
        <v>-0.54411200000000004</v>
      </c>
      <c r="P5473">
        <v>0.9165044</v>
      </c>
      <c r="Q5473">
        <v>-1.8752410000000001E-2</v>
      </c>
      <c r="R5473">
        <v>-0.39958509999999903</v>
      </c>
      <c r="S5473">
        <v>3.3367610000000001</v>
      </c>
      <c r="T5473">
        <v>-0.16565639999999901</v>
      </c>
      <c r="U5473">
        <v>0.1186218</v>
      </c>
      <c r="V5473">
        <v>-0.16344539999999999</v>
      </c>
      <c r="W5473">
        <v>-5.8552150000000004E-3</v>
      </c>
      <c r="X5473">
        <v>0.98653500000000005</v>
      </c>
      <c r="Y5473">
        <v>-0.57231189999999998</v>
      </c>
      <c r="Z5473">
        <v>4.0066579999999997E-2</v>
      </c>
      <c r="AA5473">
        <v>0.81905660000000002</v>
      </c>
      <c r="AB5473">
        <v>15</v>
      </c>
      <c r="AC5473">
        <v>0.81829999999996506</v>
      </c>
      <c r="AD5473">
        <v>-4.6790999999999999E-2</v>
      </c>
      <c r="AE5473">
        <v>0.10188000000000801</v>
      </c>
      <c r="AF5473">
        <v>-0.52906565248267401</v>
      </c>
      <c r="AG5473">
        <v>-4.6790999999999999E-2</v>
      </c>
      <c r="AH5473">
        <v>0.629067740214732</v>
      </c>
      <c r="AI5473">
        <v>93.258066131495099</v>
      </c>
      <c r="AJ5473">
        <v>130.06488550867201</v>
      </c>
      <c r="AK5473">
        <v>0.82330193981114097</v>
      </c>
    </row>
    <row r="5474" spans="1:37" x14ac:dyDescent="0.2">
      <c r="A5474" t="str">
        <f>"20200111160012177"</f>
        <v>20200111160012177</v>
      </c>
      <c r="B5474" t="str">
        <f>"1578729612165924"</f>
        <v>1578729612165924</v>
      </c>
      <c r="C5474" t="s">
        <v>37</v>
      </c>
      <c r="D5474">
        <v>5.0717169999999996</v>
      </c>
      <c r="E5474">
        <v>0.32148880000000002</v>
      </c>
      <c r="F5474" t="s">
        <v>38</v>
      </c>
      <c r="G5474">
        <v>-290.1456</v>
      </c>
      <c r="H5474">
        <v>1.0623670000000001</v>
      </c>
      <c r="I5474">
        <v>-57.311119999999903</v>
      </c>
      <c r="J5474">
        <v>-290.95</v>
      </c>
      <c r="K5474">
        <v>1.108298</v>
      </c>
      <c r="L5474">
        <v>-57.413240000000002</v>
      </c>
      <c r="M5474">
        <v>0.84388999999999903</v>
      </c>
      <c r="N5474">
        <v>0</v>
      </c>
      <c r="O5474">
        <v>-0.53631790000000001</v>
      </c>
      <c r="P5474">
        <v>0.92000599999999999</v>
      </c>
      <c r="Q5474">
        <v>-1.7598369999999999E-2</v>
      </c>
      <c r="R5474">
        <v>-0.3915093</v>
      </c>
      <c r="S5474">
        <v>3.3273619999999999</v>
      </c>
      <c r="T5474">
        <v>-0.16516339999999999</v>
      </c>
      <c r="U5474">
        <v>0.13171389999999999</v>
      </c>
      <c r="V5474">
        <v>-0.16300609999999999</v>
      </c>
      <c r="W5474">
        <v>-4.6962009999999997E-3</v>
      </c>
      <c r="X5474">
        <v>0.98661390000000004</v>
      </c>
      <c r="Y5474">
        <v>-0.56802900000000001</v>
      </c>
      <c r="Z5474">
        <v>3.9626040000000001E-2</v>
      </c>
      <c r="AA5474">
        <v>0.82205399999999995</v>
      </c>
      <c r="AB5474">
        <v>15</v>
      </c>
      <c r="AC5474">
        <v>0.80439999999998602</v>
      </c>
      <c r="AD5474">
        <v>-4.5930999999999902E-2</v>
      </c>
      <c r="AE5474">
        <v>0.102120000000006</v>
      </c>
      <c r="AF5474">
        <v>-0.51599159747461798</v>
      </c>
      <c r="AG5474">
        <v>-4.5930999999999902E-2</v>
      </c>
      <c r="AH5474">
        <v>0.62212654115671295</v>
      </c>
      <c r="AI5474">
        <v>93.2524385904876</v>
      </c>
      <c r="AJ5474">
        <v>129.672303703381</v>
      </c>
      <c r="AK5474">
        <v>0.80956680924864</v>
      </c>
    </row>
    <row r="5475" spans="1:37" x14ac:dyDescent="0.2">
      <c r="A5475" t="str">
        <f>"20200111160012200"</f>
        <v>20200111160012200</v>
      </c>
      <c r="B5475" t="str">
        <f>"1578729612196180"</f>
        <v>1578729612196180</v>
      </c>
      <c r="C5475" t="s">
        <v>37</v>
      </c>
      <c r="D5475">
        <v>5.0800780000000003</v>
      </c>
      <c r="E5475">
        <v>0.32384499999999999</v>
      </c>
      <c r="F5475" t="s">
        <v>38</v>
      </c>
      <c r="G5475">
        <v>-290.03680000000003</v>
      </c>
      <c r="H5475">
        <v>1.063761</v>
      </c>
      <c r="I5475">
        <v>-57.372190000000003</v>
      </c>
      <c r="J5475">
        <v>-290.82319999999999</v>
      </c>
      <c r="K5475">
        <v>1.108293</v>
      </c>
      <c r="L5475">
        <v>-57.480130000000003</v>
      </c>
      <c r="M5475">
        <v>0.84902279999999997</v>
      </c>
      <c r="N5475">
        <v>0</v>
      </c>
      <c r="O5475">
        <v>-0.52815489999999998</v>
      </c>
      <c r="P5475">
        <v>0.92356669999999996</v>
      </c>
      <c r="Q5475">
        <v>-1.5647250000000001E-2</v>
      </c>
      <c r="R5475">
        <v>-0.38311899999999999</v>
      </c>
      <c r="S5475">
        <v>3.321564</v>
      </c>
      <c r="T5475">
        <v>-0.16198129999999999</v>
      </c>
      <c r="U5475">
        <v>0.14993290000000001</v>
      </c>
      <c r="V5475">
        <v>-0.1625086</v>
      </c>
      <c r="W5475">
        <v>-2.7393500000000002E-3</v>
      </c>
      <c r="X5475">
        <v>0.98670329999999995</v>
      </c>
      <c r="Y5475">
        <v>-0.5647103</v>
      </c>
      <c r="Z5475">
        <v>3.8511190000000001E-2</v>
      </c>
      <c r="AA5475">
        <v>0.82439019999999996</v>
      </c>
      <c r="AB5475">
        <v>15</v>
      </c>
      <c r="AC5475">
        <v>0.78639999999995702</v>
      </c>
      <c r="AD5475">
        <v>-4.4532000000000002E-2</v>
      </c>
      <c r="AE5475">
        <v>0.107939999999999</v>
      </c>
      <c r="AF5475">
        <v>-0.50544761336224497</v>
      </c>
      <c r="AG5475">
        <v>-4.4532000000000002E-2</v>
      </c>
      <c r="AH5475">
        <v>0.60881126979065603</v>
      </c>
      <c r="AI5475">
        <v>93.221107628526298</v>
      </c>
      <c r="AJ5475">
        <v>129.70015370470901</v>
      </c>
      <c r="AK5475">
        <v>0.79253488951698503</v>
      </c>
    </row>
    <row r="5476" spans="1:37" x14ac:dyDescent="0.2">
      <c r="A5476" t="str">
        <f>"20200111160012223"</f>
        <v>20200111160012223</v>
      </c>
      <c r="B5476" t="str">
        <f>"1578729612216676"</f>
        <v>1578729612216676</v>
      </c>
      <c r="C5476" t="s">
        <v>37</v>
      </c>
      <c r="D5476">
        <v>5.1794390000000003</v>
      </c>
      <c r="E5476">
        <v>0.34017799999999998</v>
      </c>
      <c r="F5476" t="s">
        <v>38</v>
      </c>
      <c r="G5476">
        <v>-289.92899999999997</v>
      </c>
      <c r="H5476">
        <v>1.0658219999999901</v>
      </c>
      <c r="I5476">
        <v>-57.436079999999997</v>
      </c>
      <c r="J5476">
        <v>-290.69260000000003</v>
      </c>
      <c r="K5476">
        <v>1.1082860000000001</v>
      </c>
      <c r="L5476">
        <v>-57.54739</v>
      </c>
      <c r="M5476">
        <v>0.85419820000000002</v>
      </c>
      <c r="N5476">
        <v>0</v>
      </c>
      <c r="O5476">
        <v>-0.51974330000000002</v>
      </c>
      <c r="P5476">
        <v>0.92691950000000001</v>
      </c>
      <c r="Q5476">
        <v>-1.401997E-2</v>
      </c>
      <c r="R5476">
        <v>-0.3749982</v>
      </c>
      <c r="S5476">
        <v>3.3131710000000001</v>
      </c>
      <c r="T5476">
        <v>-0.15738550000000001</v>
      </c>
      <c r="U5476">
        <v>0.16284179999999901</v>
      </c>
      <c r="V5476">
        <v>-0.16145129999999999</v>
      </c>
      <c r="W5476">
        <v>-1.1002539999999999E-3</v>
      </c>
      <c r="X5476">
        <v>0.98688009999999904</v>
      </c>
      <c r="Y5476">
        <v>-0.55993280000000001</v>
      </c>
      <c r="Z5476">
        <v>3.705613E-2</v>
      </c>
      <c r="AA5476">
        <v>0.82770889999999997</v>
      </c>
      <c r="AB5476">
        <v>15</v>
      </c>
      <c r="AC5476">
        <v>0.76359999999999595</v>
      </c>
      <c r="AD5476">
        <v>-4.2464000000000203E-2</v>
      </c>
      <c r="AE5476">
        <v>0.111309999999996</v>
      </c>
      <c r="AF5476">
        <v>-0.49052364170808099</v>
      </c>
      <c r="AG5476">
        <v>-4.2464000000000203E-2</v>
      </c>
      <c r="AH5476">
        <v>0.59268150433576305</v>
      </c>
      <c r="AI5476">
        <v>93.1592535957884</v>
      </c>
      <c r="AJ5476">
        <v>129.61232935258101</v>
      </c>
      <c r="AK5476">
        <v>0.77051151837741005</v>
      </c>
    </row>
    <row r="5477" spans="1:37" x14ac:dyDescent="0.2">
      <c r="A5477" t="str">
        <f>"20200111160012245"</f>
        <v>20200111160012245</v>
      </c>
      <c r="B5477" t="str">
        <f>"1578729612236196"</f>
        <v>1578729612236196</v>
      </c>
      <c r="C5477" t="s">
        <v>37</v>
      </c>
      <c r="D5477">
        <v>5.0821370000000003</v>
      </c>
      <c r="E5477">
        <v>0.33879899999999902</v>
      </c>
      <c r="F5477" t="s">
        <v>38</v>
      </c>
      <c r="G5477">
        <v>-289.83120000000002</v>
      </c>
      <c r="H5477">
        <v>1.0612979999999901</v>
      </c>
      <c r="I5477">
        <v>-57.528230000000001</v>
      </c>
      <c r="J5477">
        <v>-290.56889999999999</v>
      </c>
      <c r="K5477">
        <v>1.1082719999999999</v>
      </c>
      <c r="L5477">
        <v>-57.6096199999999</v>
      </c>
      <c r="M5477">
        <v>0.85900100000000001</v>
      </c>
      <c r="N5477">
        <v>0</v>
      </c>
      <c r="O5477">
        <v>-0.51176670000000002</v>
      </c>
      <c r="P5477">
        <v>0.92981399999999903</v>
      </c>
      <c r="Q5477">
        <v>-1.2444780000000001E-2</v>
      </c>
      <c r="R5477">
        <v>-0.36781979999999997</v>
      </c>
      <c r="S5477">
        <v>3.263458</v>
      </c>
      <c r="T5477">
        <v>-0.17799219999999999</v>
      </c>
      <c r="U5477">
        <v>7.3242189999999999E-2</v>
      </c>
      <c r="V5477">
        <v>-0.159918</v>
      </c>
      <c r="W5477">
        <v>4.9239770000000002E-4</v>
      </c>
      <c r="X5477">
        <v>0.98713019999999996</v>
      </c>
      <c r="Y5477">
        <v>-0.52947429999999995</v>
      </c>
      <c r="Z5477">
        <v>4.1299669999999997E-2</v>
      </c>
      <c r="AA5477">
        <v>0.84732009999999902</v>
      </c>
      <c r="AB5477">
        <v>15</v>
      </c>
      <c r="AC5477">
        <v>0.73769999999996105</v>
      </c>
      <c r="AD5477">
        <v>-4.6974000000000002E-2</v>
      </c>
      <c r="AE5477">
        <v>8.1389999999984697E-2</v>
      </c>
      <c r="AF5477">
        <v>-0.44570639226827902</v>
      </c>
      <c r="AG5477">
        <v>-4.6974000000000002E-2</v>
      </c>
      <c r="AH5477">
        <v>0.58973273395320702</v>
      </c>
      <c r="AI5477">
        <v>93.636016352305404</v>
      </c>
      <c r="AJ5477">
        <v>127.081146699676</v>
      </c>
      <c r="AK5477">
        <v>0.740706043097213</v>
      </c>
    </row>
    <row r="5478" spans="1:37" x14ac:dyDescent="0.2">
      <c r="A5478" t="str">
        <f>"20200111160012268"</f>
        <v>20200111160012268</v>
      </c>
      <c r="B5478" t="str">
        <f>"1578729612256321"</f>
        <v>1578729612256321</v>
      </c>
      <c r="C5478" t="s">
        <v>37</v>
      </c>
      <c r="D5478">
        <v>8.1676169999999999</v>
      </c>
      <c r="E5478">
        <v>0.34075259999999902</v>
      </c>
      <c r="F5478" t="s">
        <v>38</v>
      </c>
      <c r="G5478">
        <v>-289.58890000000002</v>
      </c>
      <c r="H5478">
        <v>1.0600559999999899</v>
      </c>
      <c r="I5478">
        <v>-57.577390000000001</v>
      </c>
      <c r="J5478">
        <v>-290.44319999999999</v>
      </c>
      <c r="K5478">
        <v>1.1082590000000001</v>
      </c>
      <c r="L5478">
        <v>-57.67136</v>
      </c>
      <c r="M5478">
        <v>0.86378600000000005</v>
      </c>
      <c r="N5478">
        <v>0</v>
      </c>
      <c r="O5478">
        <v>-0.50364830000000005</v>
      </c>
      <c r="P5478">
        <v>0.93292739999999996</v>
      </c>
      <c r="Q5478">
        <v>-1.191943E-2</v>
      </c>
      <c r="R5478">
        <v>-0.3598672</v>
      </c>
      <c r="S5478">
        <v>3.2669980000000001</v>
      </c>
      <c r="T5478">
        <v>-0.16072320000000001</v>
      </c>
      <c r="U5478">
        <v>0.1078186</v>
      </c>
      <c r="V5478">
        <v>-0.15905179999999999</v>
      </c>
      <c r="W5478">
        <v>1.0269330000000001E-3</v>
      </c>
      <c r="X5478">
        <v>0.98726970000000003</v>
      </c>
      <c r="Y5478">
        <v>-0.53071169999999901</v>
      </c>
      <c r="Z5478">
        <v>3.6948170000000002E-2</v>
      </c>
      <c r="AA5478">
        <v>0.84674669999999896</v>
      </c>
      <c r="AB5478">
        <v>15</v>
      </c>
      <c r="AC5478">
        <v>0.85429999999996598</v>
      </c>
      <c r="AD5478">
        <v>-4.8203000000000197E-2</v>
      </c>
      <c r="AE5478">
        <v>9.3969999999998693E-2</v>
      </c>
      <c r="AF5478">
        <v>-0.50988706537600603</v>
      </c>
      <c r="AG5478">
        <v>-4.8203000000000197E-2</v>
      </c>
      <c r="AH5478">
        <v>0.68851202470123896</v>
      </c>
      <c r="AI5478">
        <v>93.220187111254603</v>
      </c>
      <c r="AJ5478">
        <v>126.522307832556</v>
      </c>
      <c r="AK5478">
        <v>0.85811255485801796</v>
      </c>
    </row>
    <row r="5479" spans="1:37" x14ac:dyDescent="0.2">
      <c r="A5479" t="str">
        <f>"20200111160012290"</f>
        <v>20200111160012290</v>
      </c>
      <c r="B5479" t="str">
        <f>"1578729612286580"</f>
        <v>1578729612286580</v>
      </c>
      <c r="C5479" t="s">
        <v>37</v>
      </c>
      <c r="D5479">
        <v>5.4949440000000003</v>
      </c>
      <c r="E5479">
        <v>0.49648629999999999</v>
      </c>
      <c r="F5479" t="s">
        <v>38</v>
      </c>
      <c r="G5479">
        <v>-289.4796</v>
      </c>
      <c r="H5479">
        <v>1.0601780000000001</v>
      </c>
      <c r="I5479">
        <v>-57.635489999999997</v>
      </c>
      <c r="J5479">
        <v>-290.31509999999997</v>
      </c>
      <c r="K5479">
        <v>1.108241</v>
      </c>
      <c r="L5479">
        <v>-57.732640000000004</v>
      </c>
      <c r="M5479">
        <v>0.86855569999999904</v>
      </c>
      <c r="N5479">
        <v>0</v>
      </c>
      <c r="O5479">
        <v>-0.49537789999999998</v>
      </c>
      <c r="P5479">
        <v>0.93587180000000003</v>
      </c>
      <c r="Q5479">
        <v>-1.1360210000000001E-2</v>
      </c>
      <c r="R5479">
        <v>-0.35215809999999997</v>
      </c>
      <c r="S5479">
        <v>3.2603759999999999</v>
      </c>
      <c r="T5479">
        <v>-0.16268750000000001</v>
      </c>
      <c r="U5479">
        <v>0.1212463</v>
      </c>
      <c r="V5479">
        <v>-0.15777859999999999</v>
      </c>
      <c r="W5479">
        <v>1.60009E-3</v>
      </c>
      <c r="X5479">
        <v>0.98747320000000005</v>
      </c>
      <c r="Y5479">
        <v>-0.52613719999999997</v>
      </c>
      <c r="Z5479">
        <v>3.6999600000000001E-2</v>
      </c>
      <c r="AA5479">
        <v>0.84959449999999903</v>
      </c>
      <c r="AB5479">
        <v>14</v>
      </c>
      <c r="AC5479">
        <v>0.83549999999996705</v>
      </c>
      <c r="AD5479">
        <v>-4.8062999999999897E-2</v>
      </c>
      <c r="AE5479">
        <v>9.7149999999999098E-2</v>
      </c>
      <c r="AF5479">
        <v>-0.49669940725919198</v>
      </c>
      <c r="AG5479">
        <v>-4.8062999999999897E-2</v>
      </c>
      <c r="AH5479">
        <v>0.67541875671669505</v>
      </c>
      <c r="AI5479">
        <v>93.281039073708598</v>
      </c>
      <c r="AJ5479">
        <v>126.330568180066</v>
      </c>
      <c r="AK5479">
        <v>0.83976833118745298</v>
      </c>
    </row>
    <row r="5480" spans="1:37" x14ac:dyDescent="0.2">
      <c r="A5480" t="str">
        <f>"20200111160012312"</f>
        <v>20200111160012312</v>
      </c>
      <c r="B5480" t="str">
        <f>"1578729612306096"</f>
        <v>1578729612306096</v>
      </c>
      <c r="C5480" t="s">
        <v>37</v>
      </c>
      <c r="D5480">
        <v>5.36327</v>
      </c>
      <c r="E5480">
        <v>0.43976660000000001</v>
      </c>
      <c r="F5480" t="s">
        <v>46</v>
      </c>
      <c r="G5480">
        <v>-224.9838</v>
      </c>
      <c r="H5480">
        <v>2.4280369999999998</v>
      </c>
      <c r="I5480">
        <v>-81.815969999999993</v>
      </c>
      <c r="J5480">
        <v>-290.18419999999998</v>
      </c>
      <c r="K5480">
        <v>1.1082190000000001</v>
      </c>
      <c r="L5480">
        <v>-57.793849999999999</v>
      </c>
      <c r="M5480">
        <v>0.87333019999999995</v>
      </c>
      <c r="N5480">
        <v>0</v>
      </c>
      <c r="O5480">
        <v>-0.48691179999999901</v>
      </c>
      <c r="P5480">
        <v>0.9387896</v>
      </c>
      <c r="Q5480">
        <v>-1.0647999999999999E-2</v>
      </c>
      <c r="R5480">
        <v>-0.344327299999999</v>
      </c>
      <c r="S5480">
        <v>2.8157040000000002</v>
      </c>
      <c r="T5480">
        <v>5.6881790000000002E-2</v>
      </c>
      <c r="U5480">
        <v>-1.0379639999999899</v>
      </c>
      <c r="V5480">
        <v>-0.1564401</v>
      </c>
      <c r="W5480">
        <v>2.3267890000000001E-3</v>
      </c>
      <c r="X5480">
        <v>0.98768469999999997</v>
      </c>
      <c r="Y5480">
        <v>-0.15470210000000001</v>
      </c>
      <c r="Z5480">
        <v>-1.0517479999999999E-2</v>
      </c>
      <c r="AA5480">
        <v>0.98790519999999904</v>
      </c>
      <c r="AB5480">
        <v>14</v>
      </c>
      <c r="AC5480">
        <v>65.200399999999902</v>
      </c>
      <c r="AD5480">
        <v>1.3198179999999899</v>
      </c>
      <c r="AE5480">
        <v>-24.022119999999902</v>
      </c>
      <c r="AF5480">
        <v>-10.7648550423622</v>
      </c>
      <c r="AG5480">
        <v>1.3198179999999899</v>
      </c>
      <c r="AH5480">
        <v>68.620626277579504</v>
      </c>
      <c r="AI5480">
        <v>88.9114446818798</v>
      </c>
      <c r="AJ5480">
        <v>98.915607598778905</v>
      </c>
      <c r="AK5480">
        <v>69.472400090708106</v>
      </c>
    </row>
    <row r="5481" spans="1:37" x14ac:dyDescent="0.2">
      <c r="A5481" t="str">
        <f>"20200111160012334"</f>
        <v>20200111160012334</v>
      </c>
      <c r="B5481" t="str">
        <f>"1578729612326595"</f>
        <v>1578729612326595</v>
      </c>
      <c r="C5481" t="s">
        <v>37</v>
      </c>
      <c r="D5481">
        <v>5.4663170000000001</v>
      </c>
      <c r="E5481">
        <v>0.43971459999999901</v>
      </c>
      <c r="F5481" t="s">
        <v>39</v>
      </c>
      <c r="G5481">
        <v>-277.84010000000001</v>
      </c>
      <c r="H5481" s="1">
        <v>-2.5789060000000002E-6</v>
      </c>
      <c r="I5481">
        <v>-60.106630000000003</v>
      </c>
      <c r="J5481">
        <v>-290.06060000000002</v>
      </c>
      <c r="K5481">
        <v>1.108203</v>
      </c>
      <c r="L5481">
        <v>-57.850219999999901</v>
      </c>
      <c r="M5481">
        <v>0.8777431</v>
      </c>
      <c r="N5481">
        <v>0</v>
      </c>
      <c r="O5481">
        <v>-0.47891099999999998</v>
      </c>
      <c r="P5481">
        <v>0.94138619999999995</v>
      </c>
      <c r="Q5481">
        <v>-1.0073789999999999E-2</v>
      </c>
      <c r="R5481">
        <v>-0.337180599999999</v>
      </c>
      <c r="S5481">
        <v>2.9872740000000002</v>
      </c>
      <c r="T5481">
        <v>-0.26818950000000003</v>
      </c>
      <c r="U5481">
        <v>-0.55969239999999998</v>
      </c>
      <c r="V5481">
        <v>-0.1549307</v>
      </c>
      <c r="W5481">
        <v>2.9171119999999999E-3</v>
      </c>
      <c r="X5481">
        <v>0.987921099999999</v>
      </c>
      <c r="Y5481">
        <v>-0.30624790000000002</v>
      </c>
      <c r="Z5481">
        <v>5.4301839999999997E-2</v>
      </c>
      <c r="AA5481">
        <v>0.95040179999999996</v>
      </c>
      <c r="AB5481">
        <v>14</v>
      </c>
      <c r="AC5481">
        <v>12.220499999999999</v>
      </c>
      <c r="AD5481">
        <v>-1.1082055789059999</v>
      </c>
      <c r="AE5481">
        <v>-2.2564099999999998</v>
      </c>
      <c r="AF5481">
        <v>-3.8418405022356499</v>
      </c>
      <c r="AG5481">
        <v>-1.1082055789059999</v>
      </c>
      <c r="AH5481">
        <v>11.7151620094647</v>
      </c>
      <c r="AI5481">
        <v>95.136281545514194</v>
      </c>
      <c r="AJ5481">
        <v>108.156255316406</v>
      </c>
      <c r="AK5481">
        <v>12.3787268714413</v>
      </c>
    </row>
    <row r="5482" spans="1:37" x14ac:dyDescent="0.2">
      <c r="A5482" t="str">
        <f>"20200111160012356"</f>
        <v>20200111160012356</v>
      </c>
      <c r="B5482" t="str">
        <f>"1578729612346113"</f>
        <v>1578729612346113</v>
      </c>
      <c r="C5482" t="s">
        <v>37</v>
      </c>
      <c r="D5482">
        <v>5.4503159999999999</v>
      </c>
      <c r="E5482">
        <v>0.44001069999999998</v>
      </c>
      <c r="F5482" t="s">
        <v>39</v>
      </c>
      <c r="G5482">
        <v>-277.74619999999999</v>
      </c>
      <c r="H5482" s="1">
        <v>-2.549442E-6</v>
      </c>
      <c r="I5482">
        <v>-60.05771</v>
      </c>
      <c r="J5482">
        <v>-289.93529999999998</v>
      </c>
      <c r="K5482">
        <v>1.108182</v>
      </c>
      <c r="L5482">
        <v>-57.90598</v>
      </c>
      <c r="M5482">
        <v>0.88212429999999997</v>
      </c>
      <c r="N5482">
        <v>0</v>
      </c>
      <c r="O5482">
        <v>-0.47079269999999901</v>
      </c>
      <c r="P5482">
        <v>0.94408799999999904</v>
      </c>
      <c r="Q5482">
        <v>-1.021975E-2</v>
      </c>
      <c r="R5482">
        <v>-0.329536</v>
      </c>
      <c r="S5482">
        <v>2.9918209999999998</v>
      </c>
      <c r="T5482">
        <v>-0.26924179999999998</v>
      </c>
      <c r="U5482">
        <v>-0.53631589999999996</v>
      </c>
      <c r="V5482">
        <v>-0.15382460000000001</v>
      </c>
      <c r="W5482">
        <v>2.7826439999999999E-3</v>
      </c>
      <c r="X5482">
        <v>0.98809429999999998</v>
      </c>
      <c r="Y5482">
        <v>-0.30492849999999999</v>
      </c>
      <c r="Z5482">
        <v>5.37978E-2</v>
      </c>
      <c r="AA5482">
        <v>0.95085459999999999</v>
      </c>
      <c r="AB5482">
        <v>14</v>
      </c>
      <c r="AC5482">
        <v>12.1890999999999</v>
      </c>
      <c r="AD5482">
        <v>-1.108184549442</v>
      </c>
      <c r="AE5482">
        <v>-2.1517299999999899</v>
      </c>
      <c r="AF5482">
        <v>-3.8103079672002398</v>
      </c>
      <c r="AG5482">
        <v>-1.108184549442</v>
      </c>
      <c r="AH5482">
        <v>11.672991387494701</v>
      </c>
      <c r="AI5482">
        <v>95.156938603247994</v>
      </c>
      <c r="AJ5482">
        <v>108.07776308922401</v>
      </c>
      <c r="AK5482">
        <v>12.3290408277796</v>
      </c>
    </row>
    <row r="5483" spans="1:37" x14ac:dyDescent="0.2">
      <c r="A5483" t="str">
        <f>"20200111160012379"</f>
        <v>20200111160012379</v>
      </c>
      <c r="B5483" t="str">
        <f>"1578729612376369"</f>
        <v>1578729612376369</v>
      </c>
      <c r="C5483" t="s">
        <v>37</v>
      </c>
      <c r="D5483">
        <v>5.4575269999999998</v>
      </c>
      <c r="E5483">
        <v>0.44057299999999899</v>
      </c>
      <c r="F5483" t="s">
        <v>39</v>
      </c>
      <c r="G5483">
        <v>-277.74180000000001</v>
      </c>
      <c r="H5483" s="1">
        <v>-2.5606539999999999E-6</v>
      </c>
      <c r="I5483">
        <v>-59.998440000000002</v>
      </c>
      <c r="J5483">
        <v>-289.80799999999999</v>
      </c>
      <c r="K5483">
        <v>1.1081529999999999</v>
      </c>
      <c r="L5483">
        <v>-57.961209999999902</v>
      </c>
      <c r="M5483">
        <v>0.88647909999999996</v>
      </c>
      <c r="N5483">
        <v>0</v>
      </c>
      <c r="O5483">
        <v>-0.46254099999999998</v>
      </c>
      <c r="P5483">
        <v>0.94654609999999995</v>
      </c>
      <c r="Q5483">
        <v>-1.0729259999999999E-2</v>
      </c>
      <c r="R5483">
        <v>-0.32239099999999998</v>
      </c>
      <c r="S5483">
        <v>2.9952999999999999</v>
      </c>
      <c r="T5483">
        <v>-0.27222229999999997</v>
      </c>
      <c r="U5483">
        <v>-0.51400760000000001</v>
      </c>
      <c r="V5483">
        <v>-0.1520656</v>
      </c>
      <c r="W5483">
        <v>2.2915029999999999E-3</v>
      </c>
      <c r="X5483">
        <v>0.98836769999999996</v>
      </c>
      <c r="Y5483">
        <v>-0.3030815</v>
      </c>
      <c r="Z5483">
        <v>5.3643570000000002E-2</v>
      </c>
      <c r="AA5483">
        <v>0.95145360000000001</v>
      </c>
      <c r="AB5483">
        <v>14</v>
      </c>
      <c r="AC5483">
        <v>12.066199999999901</v>
      </c>
      <c r="AD5483">
        <v>-1.1081555606539999</v>
      </c>
      <c r="AE5483">
        <v>-2.0372300000000001</v>
      </c>
      <c r="AF5483">
        <v>-3.7448375649229302</v>
      </c>
      <c r="AG5483">
        <v>-1.1081555606539999</v>
      </c>
      <c r="AH5483">
        <v>11.5452824744085</v>
      </c>
      <c r="AI5483">
        <v>95.216677755752201</v>
      </c>
      <c r="AJ5483">
        <v>107.971032984354</v>
      </c>
      <c r="AK5483">
        <v>12.18791879478</v>
      </c>
    </row>
    <row r="5484" spans="1:37" x14ac:dyDescent="0.2">
      <c r="A5484" t="str">
        <f>"20200111160012401"</f>
        <v>20200111160012401</v>
      </c>
      <c r="B5484" t="str">
        <f>"1578729612395891"</f>
        <v>1578729612395891</v>
      </c>
      <c r="C5484" t="s">
        <v>37</v>
      </c>
      <c r="D5484">
        <v>5.4374609999999999</v>
      </c>
      <c r="E5484">
        <v>0.44149670000000002</v>
      </c>
      <c r="F5484" t="s">
        <v>39</v>
      </c>
      <c r="G5484">
        <v>-277.96910000000003</v>
      </c>
      <c r="H5484" s="1">
        <v>-2.67663999999999E-6</v>
      </c>
      <c r="I5484">
        <v>-59.914879999999997</v>
      </c>
      <c r="J5484">
        <v>-289.67770000000002</v>
      </c>
      <c r="K5484">
        <v>1.1081369999999999</v>
      </c>
      <c r="L5484">
        <v>-58.016390000000001</v>
      </c>
      <c r="M5484">
        <v>0.89084390000000002</v>
      </c>
      <c r="N5484">
        <v>0</v>
      </c>
      <c r="O5484">
        <v>-0.45407749999999902</v>
      </c>
      <c r="P5484">
        <v>0.94905599999999901</v>
      </c>
      <c r="Q5484">
        <v>-1.139568E-2</v>
      </c>
      <c r="R5484">
        <v>-0.31490079999999998</v>
      </c>
      <c r="S5484">
        <v>2.9977419999999899</v>
      </c>
      <c r="T5484">
        <v>-0.28059620000000002</v>
      </c>
      <c r="U5484">
        <v>-0.49468990000000002</v>
      </c>
      <c r="V5484">
        <v>-0.15045329999999901</v>
      </c>
      <c r="W5484">
        <v>1.6410979999999999E-3</v>
      </c>
      <c r="X5484">
        <v>0.98861580000000004</v>
      </c>
      <c r="Y5484">
        <v>-0.29996440000000002</v>
      </c>
      <c r="Z5484">
        <v>5.4446439999999999E-2</v>
      </c>
      <c r="AA5484">
        <v>0.9523954</v>
      </c>
      <c r="AB5484">
        <v>14</v>
      </c>
      <c r="AC5484">
        <v>11.708599999999899</v>
      </c>
      <c r="AD5484">
        <v>-1.10813967664</v>
      </c>
      <c r="AE5484">
        <v>-1.89849</v>
      </c>
      <c r="AF5484">
        <v>-3.5943645312908101</v>
      </c>
      <c r="AG5484">
        <v>-1.10813967664</v>
      </c>
      <c r="AH5484">
        <v>11.1960688388659</v>
      </c>
      <c r="AI5484">
        <v>95.383568156331293</v>
      </c>
      <c r="AJ5484">
        <v>107.798608596101</v>
      </c>
      <c r="AK5484">
        <v>11.8109858763512</v>
      </c>
    </row>
    <row r="5485" spans="1:37" x14ac:dyDescent="0.2">
      <c r="A5485" t="str">
        <f>"20200111160012424"</f>
        <v>20200111160012424</v>
      </c>
      <c r="B5485" t="str">
        <f>"1578729612416384"</f>
        <v>1578729612416384</v>
      </c>
      <c r="C5485" t="s">
        <v>37</v>
      </c>
      <c r="D5485">
        <v>5.3937039999999996</v>
      </c>
      <c r="E5485">
        <v>0.44229659999999899</v>
      </c>
      <c r="F5485" t="s">
        <v>39</v>
      </c>
      <c r="G5485">
        <v>-277.83350000000002</v>
      </c>
      <c r="H5485" s="1">
        <v>-2.620846E-6</v>
      </c>
      <c r="I5485">
        <v>-59.904150000000001</v>
      </c>
      <c r="J5485">
        <v>-289.5487</v>
      </c>
      <c r="K5485">
        <v>1.1081270000000001</v>
      </c>
      <c r="L5485">
        <v>-58.06955</v>
      </c>
      <c r="M5485">
        <v>0.89506909999999895</v>
      </c>
      <c r="N5485">
        <v>0</v>
      </c>
      <c r="O5485">
        <v>-0.44569150000000002</v>
      </c>
      <c r="P5485">
        <v>0.95126129999999998</v>
      </c>
      <c r="Q5485">
        <v>-1.06462E-2</v>
      </c>
      <c r="R5485">
        <v>-0.30820259999999999</v>
      </c>
      <c r="S5485">
        <v>2.9990540000000001</v>
      </c>
      <c r="T5485">
        <v>-0.2805899</v>
      </c>
      <c r="U5485">
        <v>-0.4779968</v>
      </c>
      <c r="V5485">
        <v>-0.1481489</v>
      </c>
      <c r="W5485">
        <v>2.4150040000000001E-3</v>
      </c>
      <c r="X5485">
        <v>0.98896209999999996</v>
      </c>
      <c r="Y5485">
        <v>-0.2962863</v>
      </c>
      <c r="Z5485">
        <v>5.3594339999999997E-2</v>
      </c>
      <c r="AA5485">
        <v>0.95359430000000001</v>
      </c>
      <c r="AB5485">
        <v>14</v>
      </c>
      <c r="AC5485">
        <v>11.7151999999999</v>
      </c>
      <c r="AD5485">
        <v>-1.1081296208460001</v>
      </c>
      <c r="AE5485">
        <v>-1.8346</v>
      </c>
      <c r="AF5485">
        <v>-3.5486577119951401</v>
      </c>
      <c r="AG5485">
        <v>-1.1081296208460001</v>
      </c>
      <c r="AH5485">
        <v>11.206899410816501</v>
      </c>
      <c r="AI5485">
        <v>95.385143018896699</v>
      </c>
      <c r="AJ5485">
        <v>107.57035841198</v>
      </c>
      <c r="AK5485">
        <v>11.8074348280081</v>
      </c>
    </row>
    <row r="5486" spans="1:37" x14ac:dyDescent="0.2">
      <c r="A5486" t="str">
        <f>"20200111160012446"</f>
        <v>20200111160012446</v>
      </c>
      <c r="B5486" t="str">
        <f>"1578729612435904"</f>
        <v>1578729612435904</v>
      </c>
      <c r="C5486" t="s">
        <v>37</v>
      </c>
      <c r="D5486">
        <v>5.8830349999999996</v>
      </c>
      <c r="E5486">
        <v>0.510189</v>
      </c>
      <c r="F5486" t="s">
        <v>39</v>
      </c>
      <c r="G5486">
        <v>-277.74279999999999</v>
      </c>
      <c r="H5486" s="1">
        <v>-2.5854849999999999E-6</v>
      </c>
      <c r="I5486">
        <v>-59.888150000000003</v>
      </c>
      <c r="J5486">
        <v>-289.42239999999998</v>
      </c>
      <c r="K5486">
        <v>1.1081179999999999</v>
      </c>
      <c r="L5486">
        <v>-58.120179999999998</v>
      </c>
      <c r="M5486">
        <v>0.89911090000000005</v>
      </c>
      <c r="N5486">
        <v>0</v>
      </c>
      <c r="O5486">
        <v>-0.43748109999999901</v>
      </c>
      <c r="P5486">
        <v>0.95326169999999999</v>
      </c>
      <c r="Q5486">
        <v>-9.1432030000000008E-3</v>
      </c>
      <c r="R5486">
        <v>-0.30200900000000003</v>
      </c>
      <c r="S5486">
        <v>3.0007929999999998</v>
      </c>
      <c r="T5486">
        <v>-0.28166279999999999</v>
      </c>
      <c r="U5486">
        <v>-0.46224979999999899</v>
      </c>
      <c r="V5486">
        <v>-0.14554890000000001</v>
      </c>
      <c r="W5486">
        <v>3.9446890000000004E-3</v>
      </c>
      <c r="X5486">
        <v>0.98934319999999898</v>
      </c>
      <c r="Y5486">
        <v>-0.29254159999999901</v>
      </c>
      <c r="Z5486">
        <v>5.2941429999999998E-2</v>
      </c>
      <c r="AA5486">
        <v>0.95478619999999903</v>
      </c>
      <c r="AB5486">
        <v>14</v>
      </c>
      <c r="AC5486">
        <v>11.679599999999899</v>
      </c>
      <c r="AD5486">
        <v>-1.108120585485</v>
      </c>
      <c r="AE5486">
        <v>-1.76796999999999</v>
      </c>
      <c r="AF5486">
        <v>-3.48966380714656</v>
      </c>
      <c r="AG5486">
        <v>-1.108120585485</v>
      </c>
      <c r="AH5486">
        <v>11.1775309900473</v>
      </c>
      <c r="AI5486">
        <v>95.405997126157303</v>
      </c>
      <c r="AJ5486">
        <v>107.338544251629</v>
      </c>
      <c r="AK5486">
        <v>11.761925172026601</v>
      </c>
    </row>
    <row r="5487" spans="1:37" x14ac:dyDescent="0.2">
      <c r="A5487" t="str">
        <f>"20200111160012469"</f>
        <v>20200111160012469</v>
      </c>
      <c r="B5487" t="str">
        <f>"1578729612466795"</f>
        <v>1578729612466795</v>
      </c>
      <c r="C5487" t="s">
        <v>37</v>
      </c>
      <c r="D5487">
        <v>5.574389</v>
      </c>
      <c r="E5487">
        <v>0.57036249999999999</v>
      </c>
      <c r="F5487" t="s">
        <v>39</v>
      </c>
      <c r="G5487">
        <v>-261.54640000000001</v>
      </c>
      <c r="H5487" s="1">
        <v>-1.6182E-6</v>
      </c>
      <c r="I5487">
        <v>-67.710589999999996</v>
      </c>
      <c r="J5487">
        <v>-289.29070000000002</v>
      </c>
      <c r="K5487">
        <v>1.108107</v>
      </c>
      <c r="L5487">
        <v>-58.171480000000003</v>
      </c>
      <c r="M5487">
        <v>0.90323159999999902</v>
      </c>
      <c r="N5487">
        <v>0</v>
      </c>
      <c r="O5487">
        <v>-0.42890859999999897</v>
      </c>
      <c r="P5487">
        <v>0.95540170000000002</v>
      </c>
      <c r="Q5487">
        <v>-8.540466E-3</v>
      </c>
      <c r="R5487">
        <v>-0.29518610000000001</v>
      </c>
      <c r="S5487">
        <v>2.8368229999999999</v>
      </c>
      <c r="T5487">
        <v>-0.112768699999999</v>
      </c>
      <c r="U5487">
        <v>-0.97598269999999998</v>
      </c>
      <c r="V5487">
        <v>-0.14321809999999999</v>
      </c>
      <c r="W5487">
        <v>4.5717240000000001E-3</v>
      </c>
      <c r="X5487">
        <v>0.98968060000000002</v>
      </c>
      <c r="Y5487">
        <v>-0.111391</v>
      </c>
      <c r="Z5487">
        <v>1.8013810000000002E-2</v>
      </c>
      <c r="AA5487">
        <v>0.99361339999999998</v>
      </c>
      <c r="AB5487">
        <v>14</v>
      </c>
      <c r="AC5487">
        <v>27.744299999999999</v>
      </c>
      <c r="AD5487">
        <v>-1.1081086182</v>
      </c>
      <c r="AE5487">
        <v>-9.5391099999999902</v>
      </c>
      <c r="AF5487">
        <v>-3.2794099784893298</v>
      </c>
      <c r="AG5487">
        <v>-1.1081086182</v>
      </c>
      <c r="AH5487">
        <v>29.112466538307</v>
      </c>
      <c r="AI5487">
        <v>92.166111960673106</v>
      </c>
      <c r="AJ5487">
        <v>96.427060976819803</v>
      </c>
      <c r="AK5487">
        <v>29.317539843254099</v>
      </c>
    </row>
    <row r="5488" spans="1:37" x14ac:dyDescent="0.2">
      <c r="A5488" t="str">
        <f>"20200111160012491"</f>
        <v>20200111160012491</v>
      </c>
      <c r="B5488" t="str">
        <f>"1578729612486315"</f>
        <v>1578729612486315</v>
      </c>
      <c r="C5488" t="s">
        <v>37</v>
      </c>
      <c r="D5488">
        <v>5.4582730000000002</v>
      </c>
      <c r="E5488">
        <v>0.57133800000000001</v>
      </c>
      <c r="F5488" t="s">
        <v>38</v>
      </c>
      <c r="G5488">
        <v>-288.56229999999999</v>
      </c>
      <c r="H5488">
        <v>1.041174</v>
      </c>
      <c r="I5488">
        <v>-58.549550000000004</v>
      </c>
      <c r="J5488">
        <v>-289.16399999999999</v>
      </c>
      <c r="K5488">
        <v>1.1080939999999999</v>
      </c>
      <c r="L5488">
        <v>-58.219540000000002</v>
      </c>
      <c r="M5488">
        <v>0.90710650000000004</v>
      </c>
      <c r="N5488">
        <v>0</v>
      </c>
      <c r="O5488">
        <v>-0.42065209999999997</v>
      </c>
      <c r="P5488">
        <v>0.95750159999999995</v>
      </c>
      <c r="Q5488">
        <v>-7.7138129999999999E-3</v>
      </c>
      <c r="R5488">
        <v>-0.28832540000000001</v>
      </c>
      <c r="S5488">
        <v>2.704132</v>
      </c>
      <c r="T5488">
        <v>-0.2485947</v>
      </c>
      <c r="U5488">
        <v>-1.4037170000000001</v>
      </c>
      <c r="V5488">
        <v>-0.14129939999999999</v>
      </c>
      <c r="W5488">
        <v>5.4166689999999998E-3</v>
      </c>
      <c r="X5488">
        <v>0.9899521</v>
      </c>
      <c r="Y5488">
        <v>4.5700909999999997E-2</v>
      </c>
      <c r="Z5488">
        <v>3.2569519999999998E-2</v>
      </c>
      <c r="AA5488">
        <v>0.99842410000000004</v>
      </c>
      <c r="AB5488">
        <v>14</v>
      </c>
      <c r="AC5488">
        <v>0.60169999999999302</v>
      </c>
      <c r="AD5488">
        <v>-6.6919999999999993E-2</v>
      </c>
      <c r="AE5488">
        <v>-0.33001000000000102</v>
      </c>
      <c r="AF5488">
        <v>4.5817018502664501E-2</v>
      </c>
      <c r="AG5488">
        <v>-6.6919999999999993E-2</v>
      </c>
      <c r="AH5488">
        <v>0.67824764671271498</v>
      </c>
      <c r="AI5488">
        <v>95.622178038803497</v>
      </c>
      <c r="AJ5488">
        <v>86.135423918652094</v>
      </c>
      <c r="AK5488">
        <v>0.68307931886114703</v>
      </c>
    </row>
    <row r="5489" spans="1:37" x14ac:dyDescent="0.2">
      <c r="A5489" t="str">
        <f>"20200111160012513"</f>
        <v>20200111160012513</v>
      </c>
      <c r="B5489" t="str">
        <f>"1578729612506815"</f>
        <v>1578729612506815</v>
      </c>
      <c r="C5489" t="s">
        <v>37</v>
      </c>
      <c r="D5489">
        <v>5.4826169999999896</v>
      </c>
      <c r="E5489">
        <v>0.57148509999999997</v>
      </c>
      <c r="F5489" t="s">
        <v>38</v>
      </c>
      <c r="G5489">
        <v>-288.44650000000001</v>
      </c>
      <c r="H5489">
        <v>1.037115</v>
      </c>
      <c r="I5489">
        <v>-58.587179999999996</v>
      </c>
      <c r="J5489">
        <v>-289.03199999999998</v>
      </c>
      <c r="K5489">
        <v>1.1080829999999999</v>
      </c>
      <c r="L5489">
        <v>-58.2682199999999</v>
      </c>
      <c r="M5489">
        <v>0.91104789999999902</v>
      </c>
      <c r="N5489">
        <v>0</v>
      </c>
      <c r="O5489">
        <v>-0.41204619999999997</v>
      </c>
      <c r="P5489">
        <v>0.95992239999999995</v>
      </c>
      <c r="Q5489">
        <v>-6.2267850000000003E-3</v>
      </c>
      <c r="R5489">
        <v>-0.28019699999999997</v>
      </c>
      <c r="S5489">
        <v>2.712494</v>
      </c>
      <c r="T5489">
        <v>-0.26894629999999897</v>
      </c>
      <c r="U5489">
        <v>-1.389893</v>
      </c>
      <c r="V5489">
        <v>-0.14033789999999999</v>
      </c>
      <c r="W5489">
        <v>6.9129559999999996E-3</v>
      </c>
      <c r="X5489">
        <v>0.9900795</v>
      </c>
      <c r="Y5489">
        <v>5.0021540000000003E-2</v>
      </c>
      <c r="Z5489">
        <v>3.4272709999999998E-2</v>
      </c>
      <c r="AA5489">
        <v>0.99815989999999999</v>
      </c>
      <c r="AB5489">
        <v>14</v>
      </c>
      <c r="AC5489">
        <v>0.58549999999996705</v>
      </c>
      <c r="AD5489">
        <v>-7.0967999999999906E-2</v>
      </c>
      <c r="AE5489">
        <v>-0.31896000000001101</v>
      </c>
      <c r="AF5489">
        <v>4.87872282044425E-2</v>
      </c>
      <c r="AG5489">
        <v>-7.0967999999999906E-2</v>
      </c>
      <c r="AH5489">
        <v>0.65746578238651499</v>
      </c>
      <c r="AI5489">
        <v>96.143990193429602</v>
      </c>
      <c r="AJ5489">
        <v>85.756146454625195</v>
      </c>
      <c r="AK5489">
        <v>0.66308212588561299</v>
      </c>
    </row>
    <row r="5490" spans="1:37" x14ac:dyDescent="0.2">
      <c r="A5490" t="str">
        <f>"20200111160012536"</f>
        <v>20200111160012536</v>
      </c>
      <c r="B5490" t="str">
        <f>"1578729612526331"</f>
        <v>1578729612526331</v>
      </c>
      <c r="C5490" t="s">
        <v>37</v>
      </c>
      <c r="D5490">
        <v>5.4420580000000003</v>
      </c>
      <c r="E5490">
        <v>0.57283580000000001</v>
      </c>
      <c r="F5490" t="s">
        <v>38</v>
      </c>
      <c r="G5490">
        <v>-288.3279</v>
      </c>
      <c r="H5490">
        <v>1.0363610000000001</v>
      </c>
      <c r="I5490">
        <v>-58.621540000000003</v>
      </c>
      <c r="J5490">
        <v>-288.90640000000002</v>
      </c>
      <c r="K5490">
        <v>1.1080760000000001</v>
      </c>
      <c r="L5490">
        <v>-58.313229999999997</v>
      </c>
      <c r="M5490">
        <v>0.91471190000000002</v>
      </c>
      <c r="N5490">
        <v>0</v>
      </c>
      <c r="O5490">
        <v>-0.40384769999999998</v>
      </c>
      <c r="P5490">
        <v>0.96213979999999999</v>
      </c>
      <c r="Q5490">
        <v>-4.1323230000000002E-3</v>
      </c>
      <c r="R5490">
        <v>-0.27252559999999998</v>
      </c>
      <c r="S5490">
        <v>2.724396</v>
      </c>
      <c r="T5490">
        <v>-0.27771420000000002</v>
      </c>
      <c r="U5490">
        <v>-1.3670959999999901</v>
      </c>
      <c r="V5490">
        <v>-0.13937140000000001</v>
      </c>
      <c r="W5490">
        <v>9.0157399999999995E-3</v>
      </c>
      <c r="X5490">
        <v>0.9901991</v>
      </c>
      <c r="Y5490">
        <v>5.0621380000000001E-2</v>
      </c>
      <c r="Z5490">
        <v>3.4603109999999999E-2</v>
      </c>
      <c r="AA5490">
        <v>0.99811830000000001</v>
      </c>
      <c r="AB5490">
        <v>14</v>
      </c>
      <c r="AC5490">
        <v>0.578500000000019</v>
      </c>
      <c r="AD5490">
        <v>-7.1714999999999904E-2</v>
      </c>
      <c r="AE5490">
        <v>-0.30830999999999797</v>
      </c>
      <c r="AF5490">
        <v>4.7821643157121597E-2</v>
      </c>
      <c r="AG5490">
        <v>-7.1714999999999904E-2</v>
      </c>
      <c r="AH5490">
        <v>0.646007796477301</v>
      </c>
      <c r="AI5490">
        <v>96.317470192848006</v>
      </c>
      <c r="AJ5490">
        <v>85.766320803446504</v>
      </c>
      <c r="AK5490">
        <v>0.65173309252231804</v>
      </c>
    </row>
    <row r="5491" spans="1:37" x14ac:dyDescent="0.2">
      <c r="A5491" t="str">
        <f>"20200111160012557"</f>
        <v>20200111160012557</v>
      </c>
      <c r="B5491" t="str">
        <f>"1578729612546827"</f>
        <v>1578729612546827</v>
      </c>
      <c r="C5491" t="s">
        <v>37</v>
      </c>
      <c r="D5491">
        <v>5.495476</v>
      </c>
      <c r="E5491">
        <v>0.57378569999999995</v>
      </c>
      <c r="F5491" t="s">
        <v>38</v>
      </c>
      <c r="G5491">
        <v>-288.20929999999998</v>
      </c>
      <c r="H5491">
        <v>1.038805</v>
      </c>
      <c r="I5491">
        <v>-58.659089999999999</v>
      </c>
      <c r="J5491">
        <v>-288.77879999999999</v>
      </c>
      <c r="K5491">
        <v>1.10806</v>
      </c>
      <c r="L5491">
        <v>-58.357669999999999</v>
      </c>
      <c r="M5491">
        <v>0.91834669999999896</v>
      </c>
      <c r="N5491">
        <v>0</v>
      </c>
      <c r="O5491">
        <v>-0.39551320000000001</v>
      </c>
      <c r="P5491">
        <v>0.96448449999999997</v>
      </c>
      <c r="Q5491">
        <v>-3.0550029999999902E-3</v>
      </c>
      <c r="R5491">
        <v>-0.2641232</v>
      </c>
      <c r="S5491">
        <v>2.7328189999999899</v>
      </c>
      <c r="T5491">
        <v>-0.27176209999999901</v>
      </c>
      <c r="U5491">
        <v>-1.3558649999999901</v>
      </c>
      <c r="V5491">
        <v>-0.139014</v>
      </c>
      <c r="W5491">
        <v>1.009525E-2</v>
      </c>
      <c r="X5491">
        <v>0.99023899999999998</v>
      </c>
      <c r="Y5491">
        <v>5.5080280000000002E-2</v>
      </c>
      <c r="Z5491">
        <v>3.2906110000000002E-2</v>
      </c>
      <c r="AA5491">
        <v>0.99793949999999998</v>
      </c>
      <c r="AB5491">
        <v>14</v>
      </c>
      <c r="AC5491">
        <v>0.569500000000005</v>
      </c>
      <c r="AD5491">
        <v>-6.9254999999999997E-2</v>
      </c>
      <c r="AE5491">
        <v>-0.30142000000000002</v>
      </c>
      <c r="AF5491">
        <v>5.0979751243883202E-2</v>
      </c>
      <c r="AG5491">
        <v>-6.9254999999999997E-2</v>
      </c>
      <c r="AH5491">
        <v>0.63494607498111899</v>
      </c>
      <c r="AI5491">
        <v>96.204961409710506</v>
      </c>
      <c r="AJ5491">
        <v>85.409575206720106</v>
      </c>
      <c r="AK5491">
        <v>0.64074309063447299</v>
      </c>
    </row>
    <row r="5492" spans="1:37" x14ac:dyDescent="0.2">
      <c r="A5492" t="str">
        <f>"20200111160012580"</f>
        <v>20200111160012580</v>
      </c>
      <c r="B5492" t="str">
        <f>"1578729612576108"</f>
        <v>1578729612576108</v>
      </c>
      <c r="C5492" t="s">
        <v>37</v>
      </c>
      <c r="D5492">
        <v>5.340408</v>
      </c>
      <c r="E5492">
        <v>0.57565679999999997</v>
      </c>
      <c r="F5492" t="s">
        <v>38</v>
      </c>
      <c r="G5492">
        <v>-288.08980000000003</v>
      </c>
      <c r="H5492">
        <v>1.041706</v>
      </c>
      <c r="I5492">
        <v>-58.694189999999999</v>
      </c>
      <c r="J5492">
        <v>-288.6472</v>
      </c>
      <c r="K5492">
        <v>1.108044</v>
      </c>
      <c r="L5492">
        <v>-58.40213</v>
      </c>
      <c r="M5492">
        <v>0.92200479999999996</v>
      </c>
      <c r="N5492">
        <v>0</v>
      </c>
      <c r="O5492">
        <v>-0.3869088</v>
      </c>
      <c r="P5492">
        <v>0.96664760000000005</v>
      </c>
      <c r="Q5492">
        <v>-1.8320489999999899E-3</v>
      </c>
      <c r="R5492">
        <v>-0.25610339999999998</v>
      </c>
      <c r="S5492">
        <v>2.7427980000000001</v>
      </c>
      <c r="T5492">
        <v>-0.26386490000000001</v>
      </c>
      <c r="U5492">
        <v>-1.339691</v>
      </c>
      <c r="V5492">
        <v>-0.13799029999999901</v>
      </c>
      <c r="W5492">
        <v>1.132733E-2</v>
      </c>
      <c r="X5492">
        <v>0.99036880000000005</v>
      </c>
      <c r="Y5492">
        <v>5.8119860000000002E-2</v>
      </c>
      <c r="Z5492">
        <v>3.1063480000000001E-2</v>
      </c>
      <c r="AA5492">
        <v>0.997826199999999</v>
      </c>
      <c r="AB5492">
        <v>14</v>
      </c>
      <c r="AC5492">
        <v>0.55739999999997203</v>
      </c>
      <c r="AD5492">
        <v>-6.6337999999999994E-2</v>
      </c>
      <c r="AE5492">
        <v>-0.29205999999999199</v>
      </c>
      <c r="AF5492">
        <v>5.3033979977752999E-2</v>
      </c>
      <c r="AG5492">
        <v>-6.6337999999999994E-2</v>
      </c>
      <c r="AH5492">
        <v>0.62010024475218795</v>
      </c>
      <c r="AI5492">
        <v>96.084205247016001</v>
      </c>
      <c r="AJ5492">
        <v>85.111682465905105</v>
      </c>
      <c r="AK5492">
        <v>0.62588948450825099</v>
      </c>
    </row>
    <row r="5493" spans="1:37" x14ac:dyDescent="0.2">
      <c r="A5493" t="str">
        <f>"20200111160012592"</f>
        <v>20200111160012592</v>
      </c>
      <c r="B5493" t="str">
        <f>"1578729612586844"</f>
        <v>1578729612586844</v>
      </c>
      <c r="C5493" t="s">
        <v>37</v>
      </c>
      <c r="D5493">
        <v>5.3095889999999999</v>
      </c>
      <c r="E5493">
        <v>0.57654510000000003</v>
      </c>
      <c r="F5493" t="s">
        <v>38</v>
      </c>
      <c r="G5493">
        <v>-287.97149999999999</v>
      </c>
      <c r="H5493">
        <v>1.043069</v>
      </c>
      <c r="I5493">
        <v>-58.729100000000003</v>
      </c>
      <c r="J5493">
        <v>-288.57990000000001</v>
      </c>
      <c r="K5493">
        <v>1.108039</v>
      </c>
      <c r="L5493">
        <v>-58.424349999999997</v>
      </c>
      <c r="M5493">
        <v>0.92384080000000002</v>
      </c>
      <c r="N5493">
        <v>0</v>
      </c>
      <c r="O5493">
        <v>-0.38250429999999902</v>
      </c>
      <c r="P5493">
        <v>0.96771600000000002</v>
      </c>
      <c r="Q5493">
        <v>-1.58576299999999E-3</v>
      </c>
      <c r="R5493">
        <v>-0.25203930000000002</v>
      </c>
      <c r="S5493">
        <v>2.7504270000000002</v>
      </c>
      <c r="T5493">
        <v>-0.26556030000000003</v>
      </c>
      <c r="U5493">
        <v>-1.330811</v>
      </c>
      <c r="V5493">
        <v>-0.13742739999999901</v>
      </c>
      <c r="W5493">
        <v>1.15786E-2</v>
      </c>
      <c r="X5493">
        <v>0.990444199999999</v>
      </c>
      <c r="Y5493">
        <v>5.9178499999999898E-2</v>
      </c>
      <c r="Z5493">
        <v>3.0802889999999999E-2</v>
      </c>
      <c r="AA5493">
        <v>0.99777199999999899</v>
      </c>
      <c r="AB5493">
        <v>14</v>
      </c>
      <c r="AC5493">
        <v>0.60840000000001704</v>
      </c>
      <c r="AD5493">
        <v>-6.4969999999999903E-2</v>
      </c>
      <c r="AE5493">
        <v>-0.30475000000000502</v>
      </c>
      <c r="AF5493">
        <v>4.8388830199372998E-2</v>
      </c>
      <c r="AG5493">
        <v>-6.4969999999999903E-2</v>
      </c>
      <c r="AH5493">
        <v>0.67257229948756303</v>
      </c>
      <c r="AI5493">
        <v>95.503473649246601</v>
      </c>
      <c r="AJ5493">
        <v>85.884893108541206</v>
      </c>
      <c r="AK5493">
        <v>0.67743344900148905</v>
      </c>
    </row>
    <row r="5494" spans="1:37" x14ac:dyDescent="0.2">
      <c r="A5494" t="str">
        <f>"20200111160012604"</f>
        <v>20200111160012604</v>
      </c>
      <c r="B5494" t="str">
        <f>"1578729612596604"</f>
        <v>1578729612596604</v>
      </c>
      <c r="C5494" t="s">
        <v>37</v>
      </c>
      <c r="D5494">
        <v>5.276535</v>
      </c>
      <c r="E5494">
        <v>0.57731250000000001</v>
      </c>
      <c r="F5494" t="s">
        <v>38</v>
      </c>
      <c r="G5494">
        <v>-287.85939999999999</v>
      </c>
      <c r="H5494">
        <v>1.0389389999999901</v>
      </c>
      <c r="I5494">
        <v>-58.771209999999897</v>
      </c>
      <c r="J5494">
        <v>-288.51029999999997</v>
      </c>
      <c r="K5494">
        <v>1.1080299999999901</v>
      </c>
      <c r="L5494">
        <v>-58.447049999999997</v>
      </c>
      <c r="M5494">
        <v>0.92571380000000003</v>
      </c>
      <c r="N5494">
        <v>0</v>
      </c>
      <c r="O5494">
        <v>-0.37794879999999997</v>
      </c>
      <c r="P5494">
        <v>0.96883809999999904</v>
      </c>
      <c r="Q5494">
        <v>-1.6221929999999901E-3</v>
      </c>
      <c r="R5494">
        <v>-0.24768989999999999</v>
      </c>
      <c r="S5494">
        <v>2.7543329999999999</v>
      </c>
      <c r="T5494">
        <v>-0.26454290000000003</v>
      </c>
      <c r="U5494">
        <v>-1.3259889999999901</v>
      </c>
      <c r="V5494">
        <v>-0.13699629999999999</v>
      </c>
      <c r="W5494">
        <v>1.154618E-2</v>
      </c>
      <c r="X5494">
        <v>0.9905043</v>
      </c>
      <c r="Y5494">
        <v>6.2089499999999999E-2</v>
      </c>
      <c r="Z5494">
        <v>3.015646E-2</v>
      </c>
      <c r="AA5494">
        <v>0.99761489999999997</v>
      </c>
      <c r="AB5494">
        <v>14</v>
      </c>
      <c r="AC5494">
        <v>0.65089999999997805</v>
      </c>
      <c r="AD5494">
        <v>-6.9091E-2</v>
      </c>
      <c r="AE5494">
        <v>-0.324159999999999</v>
      </c>
      <c r="AF5494">
        <v>5.3594303846443203E-2</v>
      </c>
      <c r="AG5494">
        <v>-6.9091E-2</v>
      </c>
      <c r="AH5494">
        <v>0.71865066769458297</v>
      </c>
      <c r="AI5494">
        <v>95.476417623421696</v>
      </c>
      <c r="AJ5494">
        <v>85.734988177063101</v>
      </c>
      <c r="AK5494">
        <v>0.72395075651846297</v>
      </c>
    </row>
    <row r="5495" spans="1:37" x14ac:dyDescent="0.2">
      <c r="A5495" t="str">
        <f>"20200111160012615"</f>
        <v>20200111160012615</v>
      </c>
      <c r="B5495" t="str">
        <f>"1578729612606363"</f>
        <v>1578729612606363</v>
      </c>
      <c r="C5495" t="s">
        <v>37</v>
      </c>
      <c r="D5495">
        <v>5.2428689999999998</v>
      </c>
      <c r="E5495">
        <v>0.57809739999999998</v>
      </c>
      <c r="F5495" t="s">
        <v>38</v>
      </c>
      <c r="G5495">
        <v>-287.85230000000001</v>
      </c>
      <c r="H5495">
        <v>1.0450429999999999</v>
      </c>
      <c r="I5495">
        <v>-58.761780000000002</v>
      </c>
      <c r="J5495">
        <v>-288.4461</v>
      </c>
      <c r="K5495">
        <v>1.1080190000000001</v>
      </c>
      <c r="L5495">
        <v>-58.467469999999999</v>
      </c>
      <c r="M5495">
        <v>0.927419199999999</v>
      </c>
      <c r="N5495">
        <v>0</v>
      </c>
      <c r="O5495">
        <v>-0.3737452</v>
      </c>
      <c r="P5495">
        <v>0.96969059999999996</v>
      </c>
      <c r="Q5495">
        <v>-1.482651E-3</v>
      </c>
      <c r="R5495">
        <v>-0.244332299999999</v>
      </c>
      <c r="S5495">
        <v>2.7587280000000001</v>
      </c>
      <c r="T5495">
        <v>-0.26452740000000002</v>
      </c>
      <c r="U5495">
        <v>-1.3194269999999999</v>
      </c>
      <c r="V5495">
        <v>-0.13593469999999999</v>
      </c>
      <c r="W5495">
        <v>1.16959E-2</v>
      </c>
      <c r="X5495">
        <v>0.99064869999999905</v>
      </c>
      <c r="Y5495">
        <v>6.4045660000000004E-2</v>
      </c>
      <c r="Z5495">
        <v>2.969784E-2</v>
      </c>
      <c r="AA5495">
        <v>0.99750499999999998</v>
      </c>
      <c r="AB5495">
        <v>14</v>
      </c>
      <c r="AC5495">
        <v>0.593799999999987</v>
      </c>
      <c r="AD5495">
        <v>-6.2976000000000101E-2</v>
      </c>
      <c r="AE5495">
        <v>-0.29431000000000201</v>
      </c>
      <c r="AF5495">
        <v>5.0567548139186701E-2</v>
      </c>
      <c r="AG5495">
        <v>-6.2976000000000101E-2</v>
      </c>
      <c r="AH5495">
        <v>0.65485413735813802</v>
      </c>
      <c r="AI5495">
        <v>95.476921774950796</v>
      </c>
      <c r="AJ5495">
        <v>85.584407742649802</v>
      </c>
      <c r="AK5495">
        <v>0.65981587940567199</v>
      </c>
    </row>
    <row r="5496" spans="1:37" x14ac:dyDescent="0.2">
      <c r="A5496" t="str">
        <f>"20200111160012627"</f>
        <v>20200111160012627</v>
      </c>
      <c r="B5496" t="str">
        <f>"1578729612617101"</f>
        <v>1578729612617101</v>
      </c>
      <c r="C5496" t="s">
        <v>37</v>
      </c>
      <c r="D5496">
        <v>5.2316039999999999</v>
      </c>
      <c r="E5496">
        <v>0.57900790000000002</v>
      </c>
      <c r="F5496" t="s">
        <v>38</v>
      </c>
      <c r="G5496">
        <v>-287.7407</v>
      </c>
      <c r="H5496">
        <v>1.040646</v>
      </c>
      <c r="I5496">
        <v>-58.803619999999903</v>
      </c>
      <c r="J5496">
        <v>-288.37830000000002</v>
      </c>
      <c r="K5496">
        <v>1.108009</v>
      </c>
      <c r="L5496">
        <v>-58.488859999999903</v>
      </c>
      <c r="M5496">
        <v>0.92919669999999899</v>
      </c>
      <c r="N5496">
        <v>0</v>
      </c>
      <c r="O5496">
        <v>-0.36930359999999901</v>
      </c>
      <c r="P5496">
        <v>0.97067399999999904</v>
      </c>
      <c r="Q5496">
        <v>-1.3679789999999901E-3</v>
      </c>
      <c r="R5496">
        <v>-0.24039569999999999</v>
      </c>
      <c r="S5496">
        <v>2.761749</v>
      </c>
      <c r="T5496">
        <v>-0.26425529999999903</v>
      </c>
      <c r="U5496">
        <v>-1.315979</v>
      </c>
      <c r="V5496">
        <v>-0.135215</v>
      </c>
      <c r="W5496">
        <v>1.181748E-2</v>
      </c>
      <c r="X5496">
        <v>0.99074580000000001</v>
      </c>
      <c r="Y5496">
        <v>6.735215E-2</v>
      </c>
      <c r="Z5496">
        <v>2.913495E-2</v>
      </c>
      <c r="AA5496">
        <v>0.99730379999999996</v>
      </c>
      <c r="AB5496">
        <v>14</v>
      </c>
      <c r="AC5496">
        <v>0.63760000000002004</v>
      </c>
      <c r="AD5496">
        <v>-6.7363000000000006E-2</v>
      </c>
      <c r="AE5496">
        <v>-0.31475999999999899</v>
      </c>
      <c r="AF5496">
        <v>5.6504792865098998E-2</v>
      </c>
      <c r="AG5496">
        <v>-6.7363000000000006E-2</v>
      </c>
      <c r="AH5496">
        <v>0.70246708870552899</v>
      </c>
      <c r="AI5496">
        <v>95.460094263809196</v>
      </c>
      <c r="AJ5496">
        <v>85.401164298695704</v>
      </c>
      <c r="AK5496">
        <v>0.70794814506441694</v>
      </c>
    </row>
    <row r="5497" spans="1:37" x14ac:dyDescent="0.2">
      <c r="A5497" t="str">
        <f>"20200111160012640"</f>
        <v>20200111160012640</v>
      </c>
      <c r="B5497" t="str">
        <f>"1578729612636621"</f>
        <v>1578729612636621</v>
      </c>
      <c r="C5497" t="s">
        <v>37</v>
      </c>
      <c r="D5497">
        <v>5.0753469999999998</v>
      </c>
      <c r="E5497">
        <v>0.58104019999999901</v>
      </c>
      <c r="F5497" t="s">
        <v>38</v>
      </c>
      <c r="G5497">
        <v>-287.62869999999998</v>
      </c>
      <c r="H5497">
        <v>1.0362209999999901</v>
      </c>
      <c r="I5497">
        <v>-58.844359999999902</v>
      </c>
      <c r="J5497">
        <v>-288.3</v>
      </c>
      <c r="K5497">
        <v>1.107999</v>
      </c>
      <c r="L5497">
        <v>-58.512969999999903</v>
      </c>
      <c r="M5497">
        <v>0.9312165</v>
      </c>
      <c r="N5497">
        <v>0</v>
      </c>
      <c r="O5497">
        <v>-0.36418099999999998</v>
      </c>
      <c r="P5497">
        <v>0.97168390000000004</v>
      </c>
      <c r="Q5497">
        <v>-1.3609270000000001E-3</v>
      </c>
      <c r="R5497">
        <v>-0.236281399999999</v>
      </c>
      <c r="S5497">
        <v>2.7654719999999999</v>
      </c>
      <c r="T5497">
        <v>-0.26503739999999998</v>
      </c>
      <c r="U5497">
        <v>-1.311523</v>
      </c>
      <c r="V5497">
        <v>-0.13395579999999899</v>
      </c>
      <c r="W5497">
        <v>1.183655E-2</v>
      </c>
      <c r="X5497">
        <v>0.99091659999999904</v>
      </c>
      <c r="Y5497">
        <v>7.0989819999999995E-2</v>
      </c>
      <c r="Z5497">
        <v>2.861176E-2</v>
      </c>
      <c r="AA5497">
        <v>0.99706659999999903</v>
      </c>
      <c r="AB5497">
        <v>14</v>
      </c>
      <c r="AC5497">
        <v>0.67130000000002998</v>
      </c>
      <c r="AD5497">
        <v>-7.1778000000000106E-2</v>
      </c>
      <c r="AE5497">
        <v>-0.33138999999999802</v>
      </c>
      <c r="AF5497">
        <v>6.3543673170109602E-2</v>
      </c>
      <c r="AG5497">
        <v>-7.1778000000000106E-2</v>
      </c>
      <c r="AH5497">
        <v>0.739095001790251</v>
      </c>
      <c r="AI5497">
        <v>95.526684444213302</v>
      </c>
      <c r="AJ5497">
        <v>85.086080503103503</v>
      </c>
      <c r="AK5497">
        <v>0.74528605337499798</v>
      </c>
    </row>
    <row r="5498" spans="1:37" x14ac:dyDescent="0.2">
      <c r="A5498" t="str">
        <f>"20200111160012654"</f>
        <v>20200111160012654</v>
      </c>
      <c r="B5498" t="str">
        <f>"1578729612646380"</f>
        <v>1578729612646380</v>
      </c>
      <c r="C5498" t="s">
        <v>37</v>
      </c>
      <c r="D5498">
        <v>5.1221170000000003</v>
      </c>
      <c r="E5498">
        <v>0.58104019999999901</v>
      </c>
      <c r="F5498" t="s">
        <v>38</v>
      </c>
      <c r="G5498">
        <v>-287.62130000000002</v>
      </c>
      <c r="H5498">
        <v>1.0438190000000001</v>
      </c>
      <c r="I5498">
        <v>-58.83569</v>
      </c>
      <c r="J5498">
        <v>-288.2244</v>
      </c>
      <c r="K5498">
        <v>1.1079870000000001</v>
      </c>
      <c r="L5498">
        <v>-58.53586</v>
      </c>
      <c r="M5498">
        <v>0.93313740000000001</v>
      </c>
      <c r="N5498">
        <v>0</v>
      </c>
      <c r="O5498">
        <v>-0.35923040000000001</v>
      </c>
      <c r="P5498">
        <v>0.97257950000000004</v>
      </c>
      <c r="Q5498">
        <v>-1.2375789999999999E-3</v>
      </c>
      <c r="R5498">
        <v>-0.23256789999999999</v>
      </c>
      <c r="S5498">
        <v>2.76709</v>
      </c>
      <c r="T5498">
        <v>-0.26181549999999998</v>
      </c>
      <c r="U5498">
        <v>-1.3157650000000001</v>
      </c>
      <c r="V5498">
        <v>-0.13247890000000001</v>
      </c>
      <c r="W5498">
        <v>1.197435E-2</v>
      </c>
      <c r="X5498">
        <v>0.99111349999999998</v>
      </c>
      <c r="Y5498">
        <v>7.7245049999999996E-2</v>
      </c>
      <c r="Z5498">
        <v>2.7557499999999999E-2</v>
      </c>
      <c r="AA5498">
        <v>0.99663119999999905</v>
      </c>
      <c r="AB5498">
        <v>14</v>
      </c>
      <c r="AC5498">
        <v>0.60309999999998298</v>
      </c>
      <c r="AD5498">
        <v>-6.4167999999999906E-2</v>
      </c>
      <c r="AE5498">
        <v>-0.29982999999999999</v>
      </c>
      <c r="AF5498">
        <v>6.2569366755506298E-2</v>
      </c>
      <c r="AG5498">
        <v>-6.4167999999999906E-2</v>
      </c>
      <c r="AH5498">
        <v>0.66452120381681001</v>
      </c>
      <c r="AI5498">
        <v>95.491398945060894</v>
      </c>
      <c r="AJ5498">
        <v>84.621055879741505</v>
      </c>
      <c r="AK5498">
        <v>0.67053776045971303</v>
      </c>
    </row>
    <row r="5499" spans="1:37" x14ac:dyDescent="0.2">
      <c r="A5499" t="str">
        <f>"20200111160012666"</f>
        <v>20200111160012666</v>
      </c>
      <c r="B5499" t="str">
        <f>"1578729612656140"</f>
        <v>1578729612656140</v>
      </c>
      <c r="C5499" t="s">
        <v>37</v>
      </c>
      <c r="D5499">
        <v>5.2445719999999998</v>
      </c>
      <c r="E5499">
        <v>0.58166399999999996</v>
      </c>
      <c r="F5499" t="s">
        <v>38</v>
      </c>
      <c r="G5499">
        <v>-287.50779999999997</v>
      </c>
      <c r="H5499">
        <v>1.040462</v>
      </c>
      <c r="I5499">
        <v>-58.873219999999897</v>
      </c>
      <c r="J5499">
        <v>-288.14729999999997</v>
      </c>
      <c r="K5499">
        <v>1.1079749999999999</v>
      </c>
      <c r="L5499">
        <v>-58.558839999999996</v>
      </c>
      <c r="M5499">
        <v>0.93506369999999905</v>
      </c>
      <c r="N5499">
        <v>0</v>
      </c>
      <c r="O5499">
        <v>-0.3541861</v>
      </c>
      <c r="P5499">
        <v>0.97343179999999996</v>
      </c>
      <c r="Q5499">
        <v>-1.0541229999999999E-3</v>
      </c>
      <c r="R5499">
        <v>-0.22897500000000001</v>
      </c>
      <c r="S5499">
        <v>2.772186</v>
      </c>
      <c r="T5499">
        <v>-0.26189889999999999</v>
      </c>
      <c r="U5499">
        <v>-1.3050539999999999</v>
      </c>
      <c r="V5499">
        <v>-0.1307874</v>
      </c>
      <c r="W5499">
        <v>1.217413E-2</v>
      </c>
      <c r="X5499">
        <v>0.99133570000000004</v>
      </c>
      <c r="Y5499">
        <v>7.8749719999999995E-2</v>
      </c>
      <c r="Z5499">
        <v>2.7069220000000001E-2</v>
      </c>
      <c r="AA5499">
        <v>0.99652680000000005</v>
      </c>
      <c r="AB5499">
        <v>14</v>
      </c>
      <c r="AC5499">
        <v>0.63949999999999796</v>
      </c>
      <c r="AD5499">
        <v>-6.7512999999999906E-2</v>
      </c>
      <c r="AE5499">
        <v>-0.314379999999992</v>
      </c>
      <c r="AF5499">
        <v>6.6870104233102801E-2</v>
      </c>
      <c r="AG5499">
        <v>-6.7512999999999906E-2</v>
      </c>
      <c r="AH5499">
        <v>0.70308512964939096</v>
      </c>
      <c r="AI5499">
        <v>95.460457596575097</v>
      </c>
      <c r="AJ5499">
        <v>84.566967443362699</v>
      </c>
      <c r="AK5499">
        <v>0.70947749474049304</v>
      </c>
    </row>
    <row r="5500" spans="1:37" x14ac:dyDescent="0.2">
      <c r="A5500" t="str">
        <f>"20200111160012681"</f>
        <v>20200111160012681</v>
      </c>
      <c r="B5500" t="str">
        <f>"1578729612676636"</f>
        <v>1578729612676636</v>
      </c>
      <c r="C5500" t="s">
        <v>37</v>
      </c>
      <c r="D5500">
        <v>5.1763839999999997</v>
      </c>
      <c r="E5500">
        <v>0.58295149999999996</v>
      </c>
      <c r="F5500" t="s">
        <v>38</v>
      </c>
      <c r="G5500">
        <v>-287.39490000000001</v>
      </c>
      <c r="H5500">
        <v>1.0368930000000001</v>
      </c>
      <c r="I5500">
        <v>-58.911029999999997</v>
      </c>
      <c r="J5500">
        <v>-288.06259999999997</v>
      </c>
      <c r="K5500">
        <v>1.1079600000000001</v>
      </c>
      <c r="L5500">
        <v>-58.583469999999998</v>
      </c>
      <c r="M5500">
        <v>0.93714489999999995</v>
      </c>
      <c r="N5500">
        <v>0</v>
      </c>
      <c r="O5500">
        <v>-0.34864250000000002</v>
      </c>
      <c r="P5500">
        <v>0.97383799999999898</v>
      </c>
      <c r="Q5500">
        <v>-6.2581900000000001E-4</v>
      </c>
      <c r="R5500">
        <v>-0.22724229999999901</v>
      </c>
      <c r="S5500">
        <v>2.77597</v>
      </c>
      <c r="T5500">
        <v>-0.262596</v>
      </c>
      <c r="U5500">
        <v>-1.2992859999999999</v>
      </c>
      <c r="V5500">
        <v>-0.1266825</v>
      </c>
      <c r="W5500">
        <v>1.26433E-2</v>
      </c>
      <c r="X5500">
        <v>0.99186269999999999</v>
      </c>
      <c r="Y5500">
        <v>8.240625E-2</v>
      </c>
      <c r="Z5500">
        <v>2.6504300000000001E-2</v>
      </c>
      <c r="AA5500">
        <v>0.99624630000000003</v>
      </c>
      <c r="AB5500">
        <v>14</v>
      </c>
      <c r="AC5500">
        <v>0.66769999999996799</v>
      </c>
      <c r="AD5500">
        <v>-7.1066999999999894E-2</v>
      </c>
      <c r="AE5500">
        <v>-0.32756000000000501</v>
      </c>
      <c r="AF5500">
        <v>7.3518995917595004E-2</v>
      </c>
      <c r="AG5500">
        <v>-7.1066999999999894E-2</v>
      </c>
      <c r="AH5500">
        <v>0.73331401672187002</v>
      </c>
      <c r="AI5500">
        <v>95.507927644767506</v>
      </c>
      <c r="AJ5500">
        <v>84.274895112929798</v>
      </c>
      <c r="AK5500">
        <v>0.74040867659050003</v>
      </c>
    </row>
    <row r="5501" spans="1:37" x14ac:dyDescent="0.2">
      <c r="A5501" t="str">
        <f>"20200111160012694"</f>
        <v>20200111160012694</v>
      </c>
      <c r="B5501" t="str">
        <f>"1578729612686397"</f>
        <v>1578729612686397</v>
      </c>
      <c r="C5501" t="s">
        <v>37</v>
      </c>
      <c r="D5501">
        <v>5.1753089999999897</v>
      </c>
      <c r="E5501">
        <v>0.5835264</v>
      </c>
      <c r="F5501" t="s">
        <v>38</v>
      </c>
      <c r="G5501">
        <v>-287.38740000000001</v>
      </c>
      <c r="H5501">
        <v>1.0439829999999899</v>
      </c>
      <c r="I5501">
        <v>-58.900559999999999</v>
      </c>
      <c r="J5501">
        <v>-287.99009999999998</v>
      </c>
      <c r="K5501">
        <v>1.1079479999999999</v>
      </c>
      <c r="L5501">
        <v>-58.604129999999998</v>
      </c>
      <c r="M5501">
        <v>0.93889590000000001</v>
      </c>
      <c r="N5501">
        <v>0</v>
      </c>
      <c r="O5501">
        <v>-0.34389959999999897</v>
      </c>
      <c r="P5501">
        <v>0.97444050000000004</v>
      </c>
      <c r="Q5501">
        <v>-3.419742E-4</v>
      </c>
      <c r="R5501">
        <v>-0.22464619999999999</v>
      </c>
      <c r="S5501">
        <v>2.7762150000000001</v>
      </c>
      <c r="T5501">
        <v>-0.26339439999999997</v>
      </c>
      <c r="U5501">
        <v>-1.3036799999999999</v>
      </c>
      <c r="V5501">
        <v>-0.12431209999999999</v>
      </c>
      <c r="W5501">
        <v>1.294988E-2</v>
      </c>
      <c r="X5501">
        <v>0.99215869999999995</v>
      </c>
      <c r="Y5501">
        <v>8.8671120000000006E-2</v>
      </c>
      <c r="Z5501">
        <v>2.5900530000000001E-2</v>
      </c>
      <c r="AA5501">
        <v>0.9957241</v>
      </c>
      <c r="AB5501">
        <v>14</v>
      </c>
      <c r="AC5501">
        <v>0.60269999999997004</v>
      </c>
      <c r="AD5501">
        <v>-6.3964999999999994E-2</v>
      </c>
      <c r="AE5501">
        <v>-0.29642999999999298</v>
      </c>
      <c r="AF5501">
        <v>7.0417330523177807E-2</v>
      </c>
      <c r="AG5501">
        <v>-6.3964999999999994E-2</v>
      </c>
      <c r="AH5501">
        <v>0.66188094690798205</v>
      </c>
      <c r="AI5501">
        <v>95.489206122530405</v>
      </c>
      <c r="AJ5501">
        <v>83.927161505388895</v>
      </c>
      <c r="AK5501">
        <v>0.66868266729654102</v>
      </c>
    </row>
    <row r="5502" spans="1:37" x14ac:dyDescent="0.2">
      <c r="A5502" t="str">
        <f>"20200111160012706"</f>
        <v>20200111160012706</v>
      </c>
      <c r="B5502" t="str">
        <f>"1578729612696157"</f>
        <v>1578729612696157</v>
      </c>
      <c r="C5502" t="s">
        <v>37</v>
      </c>
      <c r="D5502">
        <v>5.1799010000000001</v>
      </c>
      <c r="E5502">
        <v>0.58413579999999998</v>
      </c>
      <c r="F5502" t="s">
        <v>38</v>
      </c>
      <c r="G5502">
        <v>-287.2749</v>
      </c>
      <c r="H5502">
        <v>1.040338</v>
      </c>
      <c r="I5502">
        <v>-58.938859999999998</v>
      </c>
      <c r="J5502">
        <v>-287.91800000000001</v>
      </c>
      <c r="K5502">
        <v>1.1079319999999999</v>
      </c>
      <c r="L5502">
        <v>-58.624359999999903</v>
      </c>
      <c r="M5502">
        <v>0.94060779999999999</v>
      </c>
      <c r="N5502">
        <v>0</v>
      </c>
      <c r="O5502">
        <v>-0.33918949999999998</v>
      </c>
      <c r="P5502">
        <v>0.97506309999999996</v>
      </c>
      <c r="Q5502">
        <v>2.1264330000000001E-4</v>
      </c>
      <c r="R5502">
        <v>-0.2219283</v>
      </c>
      <c r="S5502">
        <v>2.778778</v>
      </c>
      <c r="T5502">
        <v>-0.26383200000000001</v>
      </c>
      <c r="U5502">
        <v>-1.3005370000000001</v>
      </c>
      <c r="V5502">
        <v>-0.1221091</v>
      </c>
      <c r="W5502">
        <v>1.352633E-2</v>
      </c>
      <c r="X5502">
        <v>0.99242450000000004</v>
      </c>
      <c r="Y5502">
        <v>9.2360330000000004E-2</v>
      </c>
      <c r="Z5502">
        <v>2.5374620000000001E-2</v>
      </c>
      <c r="AA5502">
        <v>0.99540229999999996</v>
      </c>
      <c r="AB5502">
        <v>14</v>
      </c>
      <c r="AC5502">
        <v>0.643100000000004</v>
      </c>
      <c r="AD5502">
        <v>-6.7593999999999904E-2</v>
      </c>
      <c r="AE5502">
        <v>-0.314500000000002</v>
      </c>
      <c r="AF5502">
        <v>7.7009884036222401E-2</v>
      </c>
      <c r="AG5502">
        <v>-6.7593999999999904E-2</v>
      </c>
      <c r="AH5502">
        <v>0.70536529773864798</v>
      </c>
      <c r="AI5502">
        <v>95.441706054347705</v>
      </c>
      <c r="AJ5502">
        <v>83.769278934309796</v>
      </c>
      <c r="AK5502">
        <v>0.712769018917913</v>
      </c>
    </row>
    <row r="5503" spans="1:37" x14ac:dyDescent="0.2">
      <c r="A5503" t="str">
        <f>"20200111160012717"</f>
        <v>20200111160012717</v>
      </c>
      <c r="B5503" t="str">
        <f>"1578729612706893"</f>
        <v>1578729612706893</v>
      </c>
      <c r="C5503" t="s">
        <v>37</v>
      </c>
      <c r="D5503">
        <v>5.2248260000000002</v>
      </c>
      <c r="E5503">
        <v>0.58449819999999997</v>
      </c>
      <c r="F5503" t="s">
        <v>38</v>
      </c>
      <c r="G5503">
        <v>-287.1626</v>
      </c>
      <c r="H5503">
        <v>1.03647</v>
      </c>
      <c r="I5503">
        <v>-58.976649999999999</v>
      </c>
      <c r="J5503">
        <v>-287.85300000000001</v>
      </c>
      <c r="K5503">
        <v>1.1079190000000001</v>
      </c>
      <c r="L5503">
        <v>-58.642119999999998</v>
      </c>
      <c r="M5503">
        <v>0.94212439999999997</v>
      </c>
      <c r="N5503">
        <v>0</v>
      </c>
      <c r="O5503">
        <v>-0.33495409999999998</v>
      </c>
      <c r="P5503">
        <v>0.97552169999999905</v>
      </c>
      <c r="Q5503">
        <v>4.644804E-4</v>
      </c>
      <c r="R5503">
        <v>-0.2199025</v>
      </c>
      <c r="S5503">
        <v>2.781555</v>
      </c>
      <c r="T5503">
        <v>-0.26385969999999997</v>
      </c>
      <c r="U5503">
        <v>-1.2970889999999999</v>
      </c>
      <c r="V5503">
        <v>-0.1197067</v>
      </c>
      <c r="W5503">
        <v>1.3801920000000001E-2</v>
      </c>
      <c r="X5503">
        <v>0.99271339999999997</v>
      </c>
      <c r="Y5503">
        <v>9.5420409999999997E-2</v>
      </c>
      <c r="Z5503">
        <v>2.4874779999999999E-2</v>
      </c>
      <c r="AA5503">
        <v>0.99512619999999896</v>
      </c>
      <c r="AB5503">
        <v>14</v>
      </c>
      <c r="AC5503">
        <v>0.690400000000011</v>
      </c>
      <c r="AD5503">
        <v>-7.1449000000000096E-2</v>
      </c>
      <c r="AE5503">
        <v>-0.33452999999999999</v>
      </c>
      <c r="AF5503">
        <v>8.3203591710999295E-2</v>
      </c>
      <c r="AG5503">
        <v>-7.1449000000000096E-2</v>
      </c>
      <c r="AH5503">
        <v>0.75601656035621601</v>
      </c>
      <c r="AI5503">
        <v>95.366615826924701</v>
      </c>
      <c r="AJ5503">
        <v>83.719573771351307</v>
      </c>
      <c r="AK5503">
        <v>0.76392986380128802</v>
      </c>
    </row>
    <row r="5504" spans="1:37" x14ac:dyDescent="0.2">
      <c r="A5504" t="str">
        <f>"20200111160012729"</f>
        <v>20200111160012729</v>
      </c>
      <c r="B5504" t="str">
        <f>"1578729612726413"</f>
        <v>1578729612726413</v>
      </c>
      <c r="C5504" t="s">
        <v>37</v>
      </c>
      <c r="D5504">
        <v>4.3376869999999998</v>
      </c>
      <c r="E5504">
        <v>0.58279130000000001</v>
      </c>
      <c r="F5504" t="s">
        <v>38</v>
      </c>
      <c r="G5504">
        <v>-287.15620000000001</v>
      </c>
      <c r="H5504">
        <v>1.0417529999999999</v>
      </c>
      <c r="I5504">
        <v>-58.965989999999998</v>
      </c>
      <c r="J5504">
        <v>-287.78870000000001</v>
      </c>
      <c r="K5504">
        <v>1.1079019999999999</v>
      </c>
      <c r="L5504">
        <v>-58.659519999999901</v>
      </c>
      <c r="M5504">
        <v>0.94360140000000003</v>
      </c>
      <c r="N5504">
        <v>0</v>
      </c>
      <c r="O5504">
        <v>-0.33077089999999998</v>
      </c>
      <c r="P5504">
        <v>0.97592880000000004</v>
      </c>
      <c r="Q5504">
        <v>1.2516230000000001E-3</v>
      </c>
      <c r="R5504">
        <v>-0.218085799999999</v>
      </c>
      <c r="S5504">
        <v>2.7837519999999998</v>
      </c>
      <c r="T5504">
        <v>-0.26507720000000001</v>
      </c>
      <c r="U5504">
        <v>-1.2938229999999999</v>
      </c>
      <c r="V5504">
        <v>-0.11715539999999899</v>
      </c>
      <c r="W5504">
        <v>1.461341E-2</v>
      </c>
      <c r="X5504">
        <v>0.9930061</v>
      </c>
      <c r="Y5504">
        <v>9.8558779999999999E-2</v>
      </c>
      <c r="Z5504">
        <v>2.44891E-2</v>
      </c>
      <c r="AA5504">
        <v>0.99482979999999999</v>
      </c>
      <c r="AB5504">
        <v>14</v>
      </c>
      <c r="AC5504">
        <v>0.63249999999999296</v>
      </c>
      <c r="AD5504">
        <v>-6.6148999999999694E-2</v>
      </c>
      <c r="AE5504">
        <v>-0.30647000000001101</v>
      </c>
      <c r="AF5504">
        <v>7.9278950425928404E-2</v>
      </c>
      <c r="AG5504">
        <v>-6.6148999999999694E-2</v>
      </c>
      <c r="AH5504">
        <v>0.69214052055114395</v>
      </c>
      <c r="AI5504">
        <v>95.424018474331504</v>
      </c>
      <c r="AJ5504">
        <v>83.465720980933099</v>
      </c>
      <c r="AK5504">
        <v>0.69979950155058301</v>
      </c>
    </row>
    <row r="5505" spans="1:37" x14ac:dyDescent="0.2">
      <c r="A5505" t="str">
        <f>"20200111160012741"</f>
        <v>20200111160012741</v>
      </c>
      <c r="B5505" t="str">
        <f>"1578729612736173"</f>
        <v>1578729612736173</v>
      </c>
      <c r="C5505" t="s">
        <v>37</v>
      </c>
      <c r="D5505">
        <v>5.1502410000000003</v>
      </c>
      <c r="E5505">
        <v>0.58279130000000001</v>
      </c>
      <c r="F5505" t="s">
        <v>38</v>
      </c>
      <c r="G5505">
        <v>-287.04340000000002</v>
      </c>
      <c r="H5505">
        <v>1.0369839999999999</v>
      </c>
      <c r="I5505">
        <v>-59.000149999999998</v>
      </c>
      <c r="J5505">
        <v>-287.7174</v>
      </c>
      <c r="K5505">
        <v>1.107883</v>
      </c>
      <c r="L5505">
        <v>-58.678440000000002</v>
      </c>
      <c r="M5505">
        <v>0.94521250000000001</v>
      </c>
      <c r="N5505">
        <v>0</v>
      </c>
      <c r="O5505">
        <v>-0.3261385</v>
      </c>
      <c r="P5505">
        <v>0.97648060000000003</v>
      </c>
      <c r="Q5505">
        <v>1.672123E-3</v>
      </c>
      <c r="R5505">
        <v>-0.21559899999999901</v>
      </c>
      <c r="S5505">
        <v>2.7894899999999998</v>
      </c>
      <c r="T5505">
        <v>-0.26562019999999997</v>
      </c>
      <c r="U5505">
        <v>-1.2748109999999999</v>
      </c>
      <c r="V5505">
        <v>-0.11481569999999899</v>
      </c>
      <c r="W5505">
        <v>1.5055870000000001E-2</v>
      </c>
      <c r="X5505">
        <v>0.99327269999999901</v>
      </c>
      <c r="Y5505">
        <v>9.7056710000000004E-2</v>
      </c>
      <c r="Z5505">
        <v>2.421564E-2</v>
      </c>
      <c r="AA5505">
        <v>0.99498419999999899</v>
      </c>
      <c r="AB5505">
        <v>14</v>
      </c>
      <c r="AC5505">
        <v>0.67399999999997795</v>
      </c>
      <c r="AD5505">
        <v>-7.0899000000000004E-2</v>
      </c>
      <c r="AE5505">
        <v>-0.321709999999995</v>
      </c>
      <c r="AF5505">
        <v>8.3522976414900002E-2</v>
      </c>
      <c r="AG5505">
        <v>-7.0899000000000004E-2</v>
      </c>
      <c r="AH5505">
        <v>0.73544421047323905</v>
      </c>
      <c r="AI5505">
        <v>95.471510302689296</v>
      </c>
      <c r="AJ5505">
        <v>83.520789632507899</v>
      </c>
      <c r="AK5505">
        <v>0.74355964287258702</v>
      </c>
    </row>
    <row r="5506" spans="1:37" x14ac:dyDescent="0.2">
      <c r="A5506" t="str">
        <f>"20200111160012754"</f>
        <v>20200111160012754</v>
      </c>
      <c r="B5506" t="str">
        <f>"1578729612746911"</f>
        <v>1578729612746911</v>
      </c>
      <c r="C5506" t="s">
        <v>37</v>
      </c>
      <c r="D5506">
        <v>5.133877</v>
      </c>
      <c r="E5506">
        <v>0.48785990000000001</v>
      </c>
      <c r="F5506" t="s">
        <v>38</v>
      </c>
      <c r="G5506">
        <v>-287.036</v>
      </c>
      <c r="H5506">
        <v>1.0432790000000001</v>
      </c>
      <c r="I5506">
        <v>-58.987699999999997</v>
      </c>
      <c r="J5506">
        <v>-287.6422</v>
      </c>
      <c r="K5506">
        <v>1.107855</v>
      </c>
      <c r="L5506">
        <v>-58.697969999999998</v>
      </c>
      <c r="M5506">
        <v>0.946878</v>
      </c>
      <c r="N5506">
        <v>0</v>
      </c>
      <c r="O5506">
        <v>-0.3212719</v>
      </c>
      <c r="P5506">
        <v>0.97710849999999905</v>
      </c>
      <c r="Q5506">
        <v>2.5158300000000001E-3</v>
      </c>
      <c r="R5506">
        <v>-0.2127281</v>
      </c>
      <c r="S5506">
        <v>2.7928769999999998</v>
      </c>
      <c r="T5506">
        <v>-0.26500629999999997</v>
      </c>
      <c r="U5506">
        <v>-1.2674559999999999</v>
      </c>
      <c r="V5506">
        <v>-0.11262999999999999</v>
      </c>
      <c r="W5506">
        <v>1.592027E-2</v>
      </c>
      <c r="X5506">
        <v>0.99350949999999905</v>
      </c>
      <c r="Y5506">
        <v>9.9521029999999996E-2</v>
      </c>
      <c r="Z5506">
        <v>2.363175E-2</v>
      </c>
      <c r="AA5506">
        <v>0.99475480000000005</v>
      </c>
      <c r="AB5506">
        <v>14</v>
      </c>
      <c r="AC5506">
        <v>0.60620000000000096</v>
      </c>
      <c r="AD5506">
        <v>-6.4575999999999897E-2</v>
      </c>
      <c r="AE5506">
        <v>-0.28972999999999799</v>
      </c>
      <c r="AF5506">
        <v>7.8863640675043201E-2</v>
      </c>
      <c r="AG5506">
        <v>-6.4575999999999897E-2</v>
      </c>
      <c r="AH5506">
        <v>0.66104196278597105</v>
      </c>
      <c r="AI5506">
        <v>95.540376786608803</v>
      </c>
      <c r="AJ5506">
        <v>83.196653512313205</v>
      </c>
      <c r="AK5506">
        <v>0.668854251807112</v>
      </c>
    </row>
    <row r="5507" spans="1:37" x14ac:dyDescent="0.2">
      <c r="A5507" t="str">
        <f>"20200111160012766"</f>
        <v>20200111160012766</v>
      </c>
      <c r="B5507" t="str">
        <f>"1578729612756668"</f>
        <v>1578729612756668</v>
      </c>
      <c r="C5507" t="s">
        <v>37</v>
      </c>
      <c r="D5507">
        <v>5.1937230000000003</v>
      </c>
      <c r="E5507">
        <v>0.48216769999999998</v>
      </c>
      <c r="F5507" t="s">
        <v>39</v>
      </c>
      <c r="G5507">
        <v>-272.52</v>
      </c>
      <c r="H5507" s="1">
        <v>-4.5168890000000002E-7</v>
      </c>
      <c r="I5507">
        <v>-61.356639999999999</v>
      </c>
      <c r="J5507">
        <v>-287.5745</v>
      </c>
      <c r="K5507">
        <v>1.1078239999999999</v>
      </c>
      <c r="L5507">
        <v>-58.715330000000002</v>
      </c>
      <c r="M5507">
        <v>0.94835059999999904</v>
      </c>
      <c r="N5507">
        <v>0</v>
      </c>
      <c r="O5507">
        <v>-0.31689859999999997</v>
      </c>
      <c r="P5507">
        <v>0.97761509999999996</v>
      </c>
      <c r="Q5507">
        <v>2.883404E-3</v>
      </c>
      <c r="R5507">
        <v>-0.2103824</v>
      </c>
      <c r="S5507">
        <v>2.9576419999999999</v>
      </c>
      <c r="T5507">
        <v>-0.21667649999999999</v>
      </c>
      <c r="U5507">
        <v>-0.51998900000000003</v>
      </c>
      <c r="V5507">
        <v>-0.110430399999999</v>
      </c>
      <c r="W5507">
        <v>1.6308369999999999E-2</v>
      </c>
      <c r="X5507">
        <v>0.99375000000000002</v>
      </c>
      <c r="Y5507">
        <v>-0.14674679999999901</v>
      </c>
      <c r="Z5507">
        <v>2.787765E-2</v>
      </c>
      <c r="AA5507">
        <v>0.98878120000000003</v>
      </c>
      <c r="AB5507">
        <v>14</v>
      </c>
      <c r="AC5507">
        <v>15.054500000000001</v>
      </c>
      <c r="AD5507">
        <v>-1.10782445168889</v>
      </c>
      <c r="AE5507">
        <v>-2.6413099999999998</v>
      </c>
      <c r="AF5507">
        <v>-2.2542534028208401</v>
      </c>
      <c r="AG5507">
        <v>-1.10782445168889</v>
      </c>
      <c r="AH5507">
        <v>15.0365384282523</v>
      </c>
      <c r="AI5507">
        <v>94.167278173755193</v>
      </c>
      <c r="AJ5507">
        <v>98.526191684164203</v>
      </c>
      <c r="AK5507">
        <v>15.244881807485299</v>
      </c>
    </row>
    <row r="5508" spans="1:37" x14ac:dyDescent="0.2">
      <c r="A5508" t="str">
        <f>"20200111160012778"</f>
        <v>20200111160012778</v>
      </c>
      <c r="B5508" t="str">
        <f>"1578729612766429"</f>
        <v>1578729612766429</v>
      </c>
      <c r="C5508" t="s">
        <v>37</v>
      </c>
      <c r="D5508">
        <v>5.1641760000000003</v>
      </c>
      <c r="E5508">
        <v>0.47993570000000002</v>
      </c>
      <c r="F5508" t="s">
        <v>39</v>
      </c>
      <c r="G5508">
        <v>-271.6533</v>
      </c>
      <c r="H5508" s="1">
        <v>-5.2121440000000002E-8</v>
      </c>
      <c r="I5508">
        <v>-61.231669999999902</v>
      </c>
      <c r="J5508">
        <v>-287.50310000000002</v>
      </c>
      <c r="K5508">
        <v>1.1077889999999999</v>
      </c>
      <c r="L5508">
        <v>-58.733150000000002</v>
      </c>
      <c r="M5508">
        <v>0.9498664</v>
      </c>
      <c r="N5508">
        <v>0</v>
      </c>
      <c r="O5508">
        <v>-0.3123264</v>
      </c>
      <c r="P5508">
        <v>0.97819500000000004</v>
      </c>
      <c r="Q5508">
        <v>3.4742089999999998E-3</v>
      </c>
      <c r="R5508">
        <v>-0.20766079999999901</v>
      </c>
      <c r="S5508">
        <v>2.968353</v>
      </c>
      <c r="T5508">
        <v>-0.20654349999999999</v>
      </c>
      <c r="U5508">
        <v>-0.46914670000000003</v>
      </c>
      <c r="V5508">
        <v>-0.10841050000000001</v>
      </c>
      <c r="W5508">
        <v>1.691815E-2</v>
      </c>
      <c r="X5508">
        <v>0.99396219999999902</v>
      </c>
      <c r="Y5508">
        <v>-0.1591484</v>
      </c>
      <c r="Z5508">
        <v>2.666352E-2</v>
      </c>
      <c r="AA5508">
        <v>0.98689450000000001</v>
      </c>
      <c r="AB5508">
        <v>14</v>
      </c>
      <c r="AC5508">
        <v>15.8498</v>
      </c>
      <c r="AD5508">
        <v>-1.10778905212144</v>
      </c>
      <c r="AE5508">
        <v>-2.4985199999999899</v>
      </c>
      <c r="AF5508">
        <v>-2.5650896155167402</v>
      </c>
      <c r="AG5508">
        <v>-1.10778905212144</v>
      </c>
      <c r="AH5508">
        <v>15.762046885908401</v>
      </c>
      <c r="AI5508">
        <v>93.968221119610703</v>
      </c>
      <c r="AJ5508">
        <v>99.2431912514282</v>
      </c>
      <c r="AK5508">
        <v>16.007779463536</v>
      </c>
    </row>
    <row r="5509" spans="1:37" x14ac:dyDescent="0.2">
      <c r="A5509" t="str">
        <f>"20200111160012793"</f>
        <v>20200111160012793</v>
      </c>
      <c r="B5509" t="str">
        <f>"1578729612786927"</f>
        <v>1578729612786927</v>
      </c>
      <c r="C5509" t="s">
        <v>37</v>
      </c>
      <c r="D5509">
        <v>5.0867279999999999</v>
      </c>
      <c r="E5509">
        <v>0.47668779999999999</v>
      </c>
      <c r="F5509" t="s">
        <v>39</v>
      </c>
      <c r="G5509">
        <v>-270.69400000000002</v>
      </c>
      <c r="H5509" s="1">
        <v>3.5651880000000001E-7</v>
      </c>
      <c r="I5509">
        <v>-61.24465</v>
      </c>
      <c r="J5509">
        <v>-287.41419999999999</v>
      </c>
      <c r="K5509">
        <v>1.1077440000000001</v>
      </c>
      <c r="L5509">
        <v>-58.755000000000003</v>
      </c>
      <c r="M5509">
        <v>0.951712</v>
      </c>
      <c r="N5509">
        <v>0</v>
      </c>
      <c r="O5509">
        <v>-0.3066566</v>
      </c>
      <c r="P5509">
        <v>0.97851520000000003</v>
      </c>
      <c r="Q5509">
        <v>3.900003E-3</v>
      </c>
      <c r="R5509">
        <v>-0.206137399999999</v>
      </c>
      <c r="S5509">
        <v>2.9732669999999999</v>
      </c>
      <c r="T5509">
        <v>-0.1959504</v>
      </c>
      <c r="U5509">
        <v>-0.44424439999999998</v>
      </c>
      <c r="V5509">
        <v>-0.104030199999999</v>
      </c>
      <c r="W5509">
        <v>1.738396E-2</v>
      </c>
      <c r="X5509">
        <v>0.99442219999999903</v>
      </c>
      <c r="Y5509">
        <v>-0.16170299999999899</v>
      </c>
      <c r="Z5509">
        <v>2.5011410000000001E-2</v>
      </c>
      <c r="AA5509">
        <v>0.98652240000000002</v>
      </c>
      <c r="AB5509">
        <v>14</v>
      </c>
      <c r="AC5509">
        <v>16.720199999999899</v>
      </c>
      <c r="AD5509">
        <v>-1.10774364348119</v>
      </c>
      <c r="AE5509">
        <v>-2.4896499999999899</v>
      </c>
      <c r="AF5509">
        <v>-2.7464206146648</v>
      </c>
      <c r="AG5509">
        <v>-1.10774364348119</v>
      </c>
      <c r="AH5509">
        <v>16.606689760293602</v>
      </c>
      <c r="AI5509">
        <v>93.765248652277194</v>
      </c>
      <c r="AJ5509">
        <v>99.390600184712198</v>
      </c>
      <c r="AK5509">
        <v>16.8686711677882</v>
      </c>
    </row>
    <row r="5510" spans="1:37" x14ac:dyDescent="0.2">
      <c r="A5510" t="str">
        <f>"20200111160012806"</f>
        <v>20200111160012806</v>
      </c>
      <c r="B5510" t="str">
        <f>"1578729612796683"</f>
        <v>1578729612796683</v>
      </c>
      <c r="C5510" t="s">
        <v>37</v>
      </c>
      <c r="D5510">
        <v>5.0445000000000002</v>
      </c>
      <c r="E5510">
        <v>0.47585230000000001</v>
      </c>
      <c r="F5510" t="s">
        <v>39</v>
      </c>
      <c r="G5510">
        <v>-271.26409999999998</v>
      </c>
      <c r="H5510" s="1">
        <v>1.6791449999999999E-7</v>
      </c>
      <c r="I5510">
        <v>-60.993119999999998</v>
      </c>
      <c r="J5510">
        <v>-287.34190000000001</v>
      </c>
      <c r="K5510">
        <v>1.107702</v>
      </c>
      <c r="L5510">
        <v>-58.772459999999903</v>
      </c>
      <c r="M5510">
        <v>0.95317659999999904</v>
      </c>
      <c r="N5510">
        <v>0</v>
      </c>
      <c r="O5510">
        <v>-0.30207420000000001</v>
      </c>
      <c r="P5510">
        <v>0.97897000000000001</v>
      </c>
      <c r="Q5510">
        <v>3.9136559999999997E-3</v>
      </c>
      <c r="R5510">
        <v>-0.2039675</v>
      </c>
      <c r="S5510">
        <v>2.9797060000000002</v>
      </c>
      <c r="T5510">
        <v>-0.20437929999999899</v>
      </c>
      <c r="U5510">
        <v>-0.412933299999999</v>
      </c>
      <c r="V5510">
        <v>-0.10144830000000001</v>
      </c>
      <c r="W5510">
        <v>1.7420669999999999E-2</v>
      </c>
      <c r="X5510">
        <v>0.99468829999999997</v>
      </c>
      <c r="Y5510">
        <v>-0.16733499999999901</v>
      </c>
      <c r="Z5510">
        <v>2.5951399999999999E-2</v>
      </c>
      <c r="AA5510">
        <v>0.985558499999999</v>
      </c>
      <c r="AB5510">
        <v>14</v>
      </c>
      <c r="AC5510">
        <v>16.0778</v>
      </c>
      <c r="AD5510">
        <v>-1.1077018320855001</v>
      </c>
      <c r="AE5510">
        <v>-2.2206600000000001</v>
      </c>
      <c r="AF5510">
        <v>-2.7275843889827298</v>
      </c>
      <c r="AG5510">
        <v>-1.1077018320855001</v>
      </c>
      <c r="AH5510">
        <v>15.923262859905</v>
      </c>
      <c r="AI5510">
        <v>93.922422327832507</v>
      </c>
      <c r="AJ5510">
        <v>99.720175524552602</v>
      </c>
      <c r="AK5510">
        <v>16.1931164404341</v>
      </c>
    </row>
    <row r="5511" spans="1:37" x14ac:dyDescent="0.2">
      <c r="A5511" t="str">
        <f>"20200111160012818"</f>
        <v>20200111160012818</v>
      </c>
      <c r="B5511" t="str">
        <f>"1578729612806444"</f>
        <v>1578729612806444</v>
      </c>
      <c r="C5511" t="s">
        <v>37</v>
      </c>
      <c r="D5511">
        <v>4.9529829999999997</v>
      </c>
      <c r="E5511">
        <v>0.47497699999999998</v>
      </c>
      <c r="F5511" t="s">
        <v>39</v>
      </c>
      <c r="G5511">
        <v>-271.32159999999999</v>
      </c>
      <c r="H5511" s="1">
        <v>1.60047299999999E-7</v>
      </c>
      <c r="I5511">
        <v>-60.91751</v>
      </c>
      <c r="J5511">
        <v>-287.2724</v>
      </c>
      <c r="K5511">
        <v>1.107653</v>
      </c>
      <c r="L5511">
        <v>-58.788759999999897</v>
      </c>
      <c r="M5511">
        <v>0.95454749999999999</v>
      </c>
      <c r="N5511">
        <v>0</v>
      </c>
      <c r="O5511">
        <v>-0.29771439999999999</v>
      </c>
      <c r="P5511">
        <v>0.97943559999999996</v>
      </c>
      <c r="Q5511">
        <v>3.6698989999999999E-3</v>
      </c>
      <c r="R5511">
        <v>-0.20172300000000001</v>
      </c>
      <c r="S5511">
        <v>2.9821169999999899</v>
      </c>
      <c r="T5511">
        <v>-0.20619399999999999</v>
      </c>
      <c r="U5511">
        <v>-0.39929199999999998</v>
      </c>
      <c r="V5511">
        <v>-9.9177000000000001E-2</v>
      </c>
      <c r="W5511">
        <v>1.719563E-2</v>
      </c>
      <c r="X5511">
        <v>0.99492119999999995</v>
      </c>
      <c r="Y5511">
        <v>-0.16735520000000001</v>
      </c>
      <c r="Z5511">
        <v>2.5886699999999999E-2</v>
      </c>
      <c r="AA5511">
        <v>0.98555680000000001</v>
      </c>
      <c r="AB5511">
        <v>14</v>
      </c>
      <c r="AC5511">
        <v>15.950799999999999</v>
      </c>
      <c r="AD5511">
        <v>-1.1076528399526999</v>
      </c>
      <c r="AE5511">
        <v>-2.1287500000000001</v>
      </c>
      <c r="AF5511">
        <v>-2.7042564700787</v>
      </c>
      <c r="AG5511">
        <v>-1.1076528399526999</v>
      </c>
      <c r="AH5511">
        <v>15.786390762280501</v>
      </c>
      <c r="AI5511">
        <v>93.956143889818804</v>
      </c>
      <c r="AJ5511">
        <v>99.720590408941007</v>
      </c>
      <c r="AK5511">
        <v>16.054595328728499</v>
      </c>
    </row>
    <row r="5512" spans="1:37" x14ac:dyDescent="0.2">
      <c r="A5512" t="str">
        <f>"20200111160012829"</f>
        <v>20200111160012829</v>
      </c>
      <c r="B5512" t="str">
        <f>"1578729612826940"</f>
        <v>1578729612826940</v>
      </c>
      <c r="C5512" t="s">
        <v>37</v>
      </c>
      <c r="D5512">
        <v>5.014068</v>
      </c>
      <c r="E5512">
        <v>0.47383350000000002</v>
      </c>
      <c r="F5512" t="s">
        <v>39</v>
      </c>
      <c r="G5512">
        <v>-271.41930000000002</v>
      </c>
      <c r="H5512" s="1">
        <v>1.3630320000000001E-7</v>
      </c>
      <c r="I5512">
        <v>-60.835680000000004</v>
      </c>
      <c r="J5512">
        <v>-287.20659999999998</v>
      </c>
      <c r="K5512">
        <v>1.107605</v>
      </c>
      <c r="L5512">
        <v>-58.804079999999999</v>
      </c>
      <c r="M5512">
        <v>0.9558179</v>
      </c>
      <c r="N5512">
        <v>0</v>
      </c>
      <c r="O5512">
        <v>-0.29361120000000002</v>
      </c>
      <c r="P5512">
        <v>0.97982279999999999</v>
      </c>
      <c r="Q5512">
        <v>3.7499959999999998E-3</v>
      </c>
      <c r="R5512">
        <v>-0.1998337</v>
      </c>
      <c r="S5512">
        <v>2.9844360000000001</v>
      </c>
      <c r="T5512">
        <v>-0.20852270000000001</v>
      </c>
      <c r="U5512">
        <v>-0.38534550000000001</v>
      </c>
      <c r="V5512">
        <v>-9.6820139999999999E-2</v>
      </c>
      <c r="W5512">
        <v>1.7294799999999999E-2</v>
      </c>
      <c r="X5512">
        <v>0.99515159999999903</v>
      </c>
      <c r="Y5512">
        <v>-0.16773339999999901</v>
      </c>
      <c r="Z5512">
        <v>2.59104E-2</v>
      </c>
      <c r="AA5512">
        <v>0.98549179999999903</v>
      </c>
      <c r="AB5512">
        <v>14</v>
      </c>
      <c r="AC5512">
        <v>15.787299999999901</v>
      </c>
      <c r="AD5512">
        <v>-1.1076048636967999</v>
      </c>
      <c r="AE5512">
        <v>-2.0315999999999899</v>
      </c>
      <c r="AF5512">
        <v>-2.6807838044654102</v>
      </c>
      <c r="AG5512">
        <v>-1.1076048636967999</v>
      </c>
      <c r="AH5512">
        <v>15.6122953724038</v>
      </c>
      <c r="AI5512">
        <v>93.999674228988297</v>
      </c>
      <c r="AJ5512">
        <v>99.743229905481897</v>
      </c>
      <c r="AK5512">
        <v>15.879457079369899</v>
      </c>
    </row>
    <row r="5513" spans="1:37" x14ac:dyDescent="0.2">
      <c r="A5513" t="str">
        <f>"20200111160012842"</f>
        <v>20200111160012842</v>
      </c>
      <c r="B5513" t="str">
        <f>"1578729612836700"</f>
        <v>1578729612836700</v>
      </c>
      <c r="C5513" t="s">
        <v>37</v>
      </c>
      <c r="D5513">
        <v>4.9545979999999998</v>
      </c>
      <c r="E5513">
        <v>0.47374480000000002</v>
      </c>
      <c r="F5513" t="s">
        <v>39</v>
      </c>
      <c r="G5513">
        <v>-271.37049999999999</v>
      </c>
      <c r="H5513" s="1">
        <v>1.724495E-7</v>
      </c>
      <c r="I5513">
        <v>-60.767409999999998</v>
      </c>
      <c r="J5513">
        <v>-287.13200000000001</v>
      </c>
      <c r="K5513">
        <v>1.107548</v>
      </c>
      <c r="L5513">
        <v>-58.821080000000002</v>
      </c>
      <c r="M5513">
        <v>0.95722369999999901</v>
      </c>
      <c r="N5513">
        <v>0</v>
      </c>
      <c r="O5513">
        <v>-0.28899550000000002</v>
      </c>
      <c r="P5513">
        <v>0.98030219999999901</v>
      </c>
      <c r="Q5513">
        <v>3.4200620000000002E-3</v>
      </c>
      <c r="R5513">
        <v>-0.1974747</v>
      </c>
      <c r="S5513">
        <v>2.9870610000000002</v>
      </c>
      <c r="T5513">
        <v>-0.2089201</v>
      </c>
      <c r="U5513">
        <v>-0.37033080000000002</v>
      </c>
      <c r="V5513">
        <v>-9.4408339999999993E-2</v>
      </c>
      <c r="W5513">
        <v>1.6983470000000001E-2</v>
      </c>
      <c r="X5513">
        <v>0.99538869999999902</v>
      </c>
      <c r="Y5513">
        <v>-0.16796910000000001</v>
      </c>
      <c r="Z5513">
        <v>2.5649769999999999E-2</v>
      </c>
      <c r="AA5513">
        <v>0.98545849999999902</v>
      </c>
      <c r="AB5513">
        <v>14</v>
      </c>
      <c r="AC5513">
        <v>15.7615</v>
      </c>
      <c r="AD5513">
        <v>-1.1075478275505</v>
      </c>
      <c r="AE5513">
        <v>-1.9463299999999899</v>
      </c>
      <c r="AF5513">
        <v>-2.6791740952729102</v>
      </c>
      <c r="AG5513">
        <v>-1.1075478275505</v>
      </c>
      <c r="AH5513">
        <v>15.5756080813974</v>
      </c>
      <c r="AI5513">
        <v>94.008657897826893</v>
      </c>
      <c r="AJ5513">
        <v>99.759986884950493</v>
      </c>
      <c r="AK5513">
        <v>15.8431121667552</v>
      </c>
    </row>
    <row r="5514" spans="1:37" x14ac:dyDescent="0.2">
      <c r="A5514" t="str">
        <f>"20200111160012853"</f>
        <v>20200111160012853</v>
      </c>
      <c r="B5514" t="str">
        <f>"1578729612846460"</f>
        <v>1578729612846460</v>
      </c>
      <c r="C5514" t="s">
        <v>37</v>
      </c>
      <c r="D5514">
        <v>4.8742970000000003</v>
      </c>
      <c r="E5514">
        <v>0.47367559999999898</v>
      </c>
      <c r="F5514" t="s">
        <v>39</v>
      </c>
      <c r="G5514">
        <v>-271.22919999999999</v>
      </c>
      <c r="H5514" s="1">
        <v>2.3690000000000001E-7</v>
      </c>
      <c r="I5514">
        <v>-60.750129999999999</v>
      </c>
      <c r="J5514">
        <v>-287.07119999999998</v>
      </c>
      <c r="K5514">
        <v>1.107497</v>
      </c>
      <c r="L5514">
        <v>-58.834629999999997</v>
      </c>
      <c r="M5514">
        <v>0.95833639999999998</v>
      </c>
      <c r="N5514">
        <v>0</v>
      </c>
      <c r="O5514">
        <v>-0.28528439999999999</v>
      </c>
      <c r="P5514">
        <v>0.98063650000000002</v>
      </c>
      <c r="Q5514">
        <v>3.08603E-3</v>
      </c>
      <c r="R5514">
        <v>-0.19581189999999901</v>
      </c>
      <c r="S5514">
        <v>2.9880369999999998</v>
      </c>
      <c r="T5514">
        <v>-0.20810119999999999</v>
      </c>
      <c r="U5514">
        <v>-0.36245729999999998</v>
      </c>
      <c r="V5514">
        <v>-9.2234769999999994E-2</v>
      </c>
      <c r="W5514">
        <v>1.6665470000000002E-2</v>
      </c>
      <c r="X5514">
        <v>0.99559779999999998</v>
      </c>
      <c r="Y5514">
        <v>-0.166767</v>
      </c>
      <c r="Z5514">
        <v>2.5259E-2</v>
      </c>
      <c r="AA5514">
        <v>0.98567269999999896</v>
      </c>
      <c r="AB5514">
        <v>14</v>
      </c>
      <c r="AC5514">
        <v>15.841999999999899</v>
      </c>
      <c r="AD5514">
        <v>-1.1074967630999999</v>
      </c>
      <c r="AE5514">
        <v>-1.9155</v>
      </c>
      <c r="AF5514">
        <v>-2.6711894152397702</v>
      </c>
      <c r="AG5514">
        <v>-1.1074967630999999</v>
      </c>
      <c r="AH5514">
        <v>15.654627567912399</v>
      </c>
      <c r="AI5514">
        <v>93.989217734299103</v>
      </c>
      <c r="AJ5514">
        <v>99.683267490443797</v>
      </c>
      <c r="AK5514">
        <v>15.919458730195799</v>
      </c>
    </row>
    <row r="5515" spans="1:37" x14ac:dyDescent="0.2">
      <c r="A5515" t="str">
        <f>"20200111160012864"</f>
        <v>20200111160012864</v>
      </c>
      <c r="B5515" t="str">
        <f>"1578729612856220"</f>
        <v>1578729612856220</v>
      </c>
      <c r="C5515" t="s">
        <v>37</v>
      </c>
      <c r="D5515">
        <v>4.9038620000000002</v>
      </c>
      <c r="E5515">
        <v>0.47349439999999998</v>
      </c>
      <c r="F5515" t="s">
        <v>39</v>
      </c>
      <c r="G5515">
        <v>-271.32319999999999</v>
      </c>
      <c r="H5515" s="1">
        <v>2.0456870000000001E-7</v>
      </c>
      <c r="I5515">
        <v>-60.7142699999999</v>
      </c>
      <c r="J5515">
        <v>-287.0059</v>
      </c>
      <c r="K5515">
        <v>1.107437</v>
      </c>
      <c r="L5515">
        <v>-58.8491199999999</v>
      </c>
      <c r="M5515">
        <v>0.959511</v>
      </c>
      <c r="N5515">
        <v>0</v>
      </c>
      <c r="O5515">
        <v>-0.28130949999999999</v>
      </c>
      <c r="P5515">
        <v>0.98105869999999995</v>
      </c>
      <c r="Q5515">
        <v>2.9080359999999902E-3</v>
      </c>
      <c r="R5515">
        <v>-0.19368969999999999</v>
      </c>
      <c r="S5515">
        <v>2.98867799999999</v>
      </c>
      <c r="T5515">
        <v>-0.21018149999999999</v>
      </c>
      <c r="U5515">
        <v>-0.35671999999999998</v>
      </c>
      <c r="V5515">
        <v>-9.0258019999999994E-2</v>
      </c>
      <c r="W5515">
        <v>1.6500979999999998E-2</v>
      </c>
      <c r="X5515">
        <v>0.99578169999999899</v>
      </c>
      <c r="Y5515">
        <v>-0.16456370000000001</v>
      </c>
      <c r="Z5515">
        <v>2.5165670000000001E-2</v>
      </c>
      <c r="AA5515">
        <v>0.98604539999999996</v>
      </c>
      <c r="AB5515">
        <v>14</v>
      </c>
      <c r="AC5515">
        <v>15.682700000000001</v>
      </c>
      <c r="AD5515">
        <v>-1.1074367954313</v>
      </c>
      <c r="AE5515">
        <v>-1.8651500000000001</v>
      </c>
      <c r="AF5515">
        <v>-2.6094967451360902</v>
      </c>
      <c r="AG5515">
        <v>-1.1074367954313</v>
      </c>
      <c r="AH5515">
        <v>15.497791160969101</v>
      </c>
      <c r="AI5515">
        <v>94.030730264591597</v>
      </c>
      <c r="AJ5515">
        <v>99.557732517187901</v>
      </c>
      <c r="AK5515">
        <v>15.754917339921599</v>
      </c>
    </row>
    <row r="5516" spans="1:37" x14ac:dyDescent="0.2">
      <c r="A5516" t="str">
        <f>"20200111160012874"</f>
        <v>20200111160012874</v>
      </c>
      <c r="B5516" t="str">
        <f>"1578729612866956"</f>
        <v>1578729612866956</v>
      </c>
      <c r="C5516" t="s">
        <v>37</v>
      </c>
      <c r="D5516">
        <v>4.8889620000000003</v>
      </c>
      <c r="E5516">
        <v>0.4735664</v>
      </c>
      <c r="F5516" t="s">
        <v>39</v>
      </c>
      <c r="G5516">
        <v>-271.4162</v>
      </c>
      <c r="H5516" s="1">
        <v>1.7514709999999999E-7</v>
      </c>
      <c r="I5516">
        <v>-60.66704</v>
      </c>
      <c r="J5516">
        <v>-286.94330000000002</v>
      </c>
      <c r="K5516">
        <v>1.1073809999999999</v>
      </c>
      <c r="L5516">
        <v>-58.862609999999997</v>
      </c>
      <c r="M5516">
        <v>0.96059830000000002</v>
      </c>
      <c r="N5516">
        <v>0</v>
      </c>
      <c r="O5516">
        <v>-0.27757520000000002</v>
      </c>
      <c r="P5516">
        <v>0.98144569999999998</v>
      </c>
      <c r="Q5516">
        <v>2.0735710000000002E-3</v>
      </c>
      <c r="R5516">
        <v>-0.19173019999999999</v>
      </c>
      <c r="S5516">
        <v>2.989716</v>
      </c>
      <c r="T5516">
        <v>-0.21237880000000001</v>
      </c>
      <c r="U5516">
        <v>-0.34863280000000002</v>
      </c>
      <c r="V5516">
        <v>-8.8365899999999997E-2</v>
      </c>
      <c r="W5516">
        <v>1.5678069999999999E-2</v>
      </c>
      <c r="X5516">
        <v>0.99596469999999904</v>
      </c>
      <c r="Y5516">
        <v>-0.1633878</v>
      </c>
      <c r="Z5516">
        <v>2.5129970000000001E-2</v>
      </c>
      <c r="AA5516">
        <v>0.98624179999999995</v>
      </c>
      <c r="AB5516">
        <v>14</v>
      </c>
      <c r="AC5516">
        <v>15.527100000000001</v>
      </c>
      <c r="AD5516">
        <v>-1.1073808248529</v>
      </c>
      <c r="AE5516">
        <v>-1.80443</v>
      </c>
      <c r="AF5516">
        <v>-2.56399912545595</v>
      </c>
      <c r="AG5516">
        <v>-1.1073808248529</v>
      </c>
      <c r="AH5516">
        <v>15.3407452939925</v>
      </c>
      <c r="AI5516">
        <v>94.072472839158394</v>
      </c>
      <c r="AJ5516">
        <v>99.488514485062694</v>
      </c>
      <c r="AK5516">
        <v>15.5929102473446</v>
      </c>
    </row>
    <row r="5517" spans="1:37" x14ac:dyDescent="0.2">
      <c r="A5517" t="str">
        <f>"20200111160012885"</f>
        <v>20200111160012885</v>
      </c>
      <c r="B5517" t="str">
        <f>"1578729612876716"</f>
        <v>1578729612876716</v>
      </c>
      <c r="C5517" t="s">
        <v>37</v>
      </c>
      <c r="D5517">
        <v>4.8426080000000002</v>
      </c>
      <c r="E5517">
        <v>0.47375230000000002</v>
      </c>
      <c r="F5517" t="s">
        <v>39</v>
      </c>
      <c r="G5517">
        <v>-271.46440000000001</v>
      </c>
      <c r="H5517" s="1">
        <v>1.6040570000000001E-7</v>
      </c>
      <c r="I5517">
        <v>-60.640360000000001</v>
      </c>
      <c r="J5517">
        <v>-286.88040000000001</v>
      </c>
      <c r="K5517">
        <v>1.107321</v>
      </c>
      <c r="L5517">
        <v>-58.876159999999999</v>
      </c>
      <c r="M5517">
        <v>0.96167209999999903</v>
      </c>
      <c r="N5517">
        <v>0</v>
      </c>
      <c r="O5517">
        <v>-0.27383259999999998</v>
      </c>
      <c r="P5517">
        <v>0.98177700000000001</v>
      </c>
      <c r="Q5517">
        <v>1.85267299999999E-3</v>
      </c>
      <c r="R5517">
        <v>-0.19002810000000001</v>
      </c>
      <c r="S5517">
        <v>2.9901119999999999</v>
      </c>
      <c r="T5517">
        <v>-0.21391639999999901</v>
      </c>
      <c r="U5517">
        <v>-0.34341430000000001</v>
      </c>
      <c r="V5517">
        <v>-8.6210350000000005E-2</v>
      </c>
      <c r="W5517">
        <v>1.5470670000000001E-2</v>
      </c>
      <c r="X5517">
        <v>0.99615679999999995</v>
      </c>
      <c r="Y5517">
        <v>-0.16125829999999999</v>
      </c>
      <c r="Z5517">
        <v>2.4979629999999999E-2</v>
      </c>
      <c r="AA5517">
        <v>0.98659599999999903</v>
      </c>
      <c r="AB5517">
        <v>14</v>
      </c>
      <c r="AC5517">
        <v>15.415999999999899</v>
      </c>
      <c r="AD5517">
        <v>-1.1073208395942999</v>
      </c>
      <c r="AE5517">
        <v>-1.7642</v>
      </c>
      <c r="AF5517">
        <v>-2.51228265402754</v>
      </c>
      <c r="AG5517">
        <v>-1.1073208395942999</v>
      </c>
      <c r="AH5517">
        <v>15.232208697634499</v>
      </c>
      <c r="AI5517">
        <v>94.102626996785602</v>
      </c>
      <c r="AJ5517">
        <v>99.365606883330798</v>
      </c>
      <c r="AK5517">
        <v>15.477658265507101</v>
      </c>
    </row>
    <row r="5518" spans="1:37" x14ac:dyDescent="0.2">
      <c r="A5518" t="str">
        <f>"20200111160012896"</f>
        <v>20200111160012896</v>
      </c>
      <c r="B5518" t="str">
        <f>"1578729612886477"</f>
        <v>1578729612886477</v>
      </c>
      <c r="C5518" t="s">
        <v>37</v>
      </c>
      <c r="D5518">
        <v>4.9239649999999999</v>
      </c>
      <c r="E5518">
        <v>0.47398409999999902</v>
      </c>
      <c r="F5518" t="s">
        <v>39</v>
      </c>
      <c r="G5518">
        <v>-271.33920000000001</v>
      </c>
      <c r="H5518" s="1">
        <v>2.1354169999999999E-7</v>
      </c>
      <c r="I5518">
        <v>-60.6430199999999</v>
      </c>
      <c r="J5518">
        <v>-286.8168</v>
      </c>
      <c r="K5518">
        <v>1.1072500000000001</v>
      </c>
      <c r="L5518">
        <v>-58.889469999999903</v>
      </c>
      <c r="M5518">
        <v>0.96271909999999905</v>
      </c>
      <c r="N5518">
        <v>0</v>
      </c>
      <c r="O5518">
        <v>-0.27012909999999901</v>
      </c>
      <c r="P5518">
        <v>0.98212339999999998</v>
      </c>
      <c r="Q5518">
        <v>1.454372E-3</v>
      </c>
      <c r="R5518">
        <v>-0.1882334</v>
      </c>
      <c r="S5518">
        <v>2.990326</v>
      </c>
      <c r="T5518">
        <v>-0.21306220000000001</v>
      </c>
      <c r="U5518">
        <v>-0.33996579999999998</v>
      </c>
      <c r="V5518">
        <v>-8.41919E-2</v>
      </c>
      <c r="W5518">
        <v>1.508352E-2</v>
      </c>
      <c r="X5518">
        <v>0.99633539999999998</v>
      </c>
      <c r="Y5518">
        <v>-0.15861449999999999</v>
      </c>
      <c r="Z5518">
        <v>2.453402E-2</v>
      </c>
      <c r="AA5518">
        <v>0.98703580000000002</v>
      </c>
      <c r="AB5518">
        <v>14</v>
      </c>
      <c r="AC5518">
        <v>15.477599999999899</v>
      </c>
      <c r="AD5518">
        <v>-1.1072497864583</v>
      </c>
      <c r="AE5518">
        <v>-1.75354999999999</v>
      </c>
      <c r="AF5518">
        <v>-2.48049234332789</v>
      </c>
      <c r="AG5518">
        <v>-1.1072497864583</v>
      </c>
      <c r="AH5518">
        <v>15.2985180089088</v>
      </c>
      <c r="AI5518">
        <v>94.086455078512799</v>
      </c>
      <c r="AJ5518">
        <v>99.209755092698401</v>
      </c>
      <c r="AK5518">
        <v>15.5378086493503</v>
      </c>
    </row>
    <row r="5519" spans="1:37" x14ac:dyDescent="0.2">
      <c r="A5519" t="str">
        <f>"20200111160012906"</f>
        <v>20200111160012906</v>
      </c>
      <c r="B5519" t="str">
        <f>"1578729612896236"</f>
        <v>1578729612896236</v>
      </c>
      <c r="C5519" t="s">
        <v>37</v>
      </c>
      <c r="D5519">
        <v>4.8333029999999999</v>
      </c>
      <c r="E5519">
        <v>0.4740876</v>
      </c>
      <c r="F5519" t="s">
        <v>39</v>
      </c>
      <c r="G5519">
        <v>-271.32420000000002</v>
      </c>
      <c r="H5519" s="1">
        <v>2.22307999999999E-7</v>
      </c>
      <c r="I5519">
        <v>-60.632539999999999</v>
      </c>
      <c r="J5519">
        <v>-286.75819999999999</v>
      </c>
      <c r="K5519">
        <v>1.107191</v>
      </c>
      <c r="L5519">
        <v>-58.901699999999998</v>
      </c>
      <c r="M5519">
        <v>0.96366469999999904</v>
      </c>
      <c r="N5519">
        <v>0</v>
      </c>
      <c r="O5519">
        <v>-0.26673669999999999</v>
      </c>
      <c r="P5519">
        <v>0.98237600000000003</v>
      </c>
      <c r="Q5519">
        <v>1.683787E-3</v>
      </c>
      <c r="R5519">
        <v>-0.1869075</v>
      </c>
      <c r="S5519">
        <v>2.99044799999999</v>
      </c>
      <c r="T5519">
        <v>-0.21372620000000001</v>
      </c>
      <c r="U5519">
        <v>-0.33645629999999999</v>
      </c>
      <c r="V5519">
        <v>-8.2026420000000003E-2</v>
      </c>
      <c r="W5519">
        <v>1.532477E-2</v>
      </c>
      <c r="X5519">
        <v>0.99651239999999996</v>
      </c>
      <c r="Y5519">
        <v>-0.1562924</v>
      </c>
      <c r="Z5519">
        <v>2.4296359999999999E-2</v>
      </c>
      <c r="AA5519">
        <v>0.98741199999999996</v>
      </c>
      <c r="AB5519">
        <v>14</v>
      </c>
      <c r="AC5519">
        <v>15.4339999999999</v>
      </c>
      <c r="AD5519">
        <v>-1.107190777692</v>
      </c>
      <c r="AE5519">
        <v>-1.7308399999999999</v>
      </c>
      <c r="AF5519">
        <v>-2.4367278659054099</v>
      </c>
      <c r="AG5519">
        <v>-1.107190777692</v>
      </c>
      <c r="AH5519">
        <v>15.258877496458901</v>
      </c>
      <c r="AI5519">
        <v>94.098384773258999</v>
      </c>
      <c r="AJ5519">
        <v>99.073095849467094</v>
      </c>
      <c r="AK5519">
        <v>15.491831930492401</v>
      </c>
    </row>
    <row r="5520" spans="1:37" x14ac:dyDescent="0.2">
      <c r="A5520" t="str">
        <f>"20200111160012918"</f>
        <v>20200111160012918</v>
      </c>
      <c r="B5520" t="str">
        <f>"1578729612906972"</f>
        <v>1578729612906972</v>
      </c>
      <c r="C5520" t="s">
        <v>37</v>
      </c>
      <c r="D5520">
        <v>4.7857669999999999</v>
      </c>
      <c r="E5520">
        <v>0.47387820000000003</v>
      </c>
      <c r="F5520" t="s">
        <v>39</v>
      </c>
      <c r="G5520">
        <v>-271.32549999999998</v>
      </c>
      <c r="H5520" s="1">
        <v>2.24343799999999E-7</v>
      </c>
      <c r="I5520">
        <v>-60.620840000000001</v>
      </c>
      <c r="J5520">
        <v>-286.69170000000003</v>
      </c>
      <c r="K5520">
        <v>1.1071249999999999</v>
      </c>
      <c r="L5520">
        <v>-58.91525</v>
      </c>
      <c r="M5520">
        <v>0.9647017</v>
      </c>
      <c r="N5520">
        <v>0</v>
      </c>
      <c r="O5520">
        <v>-0.262963</v>
      </c>
      <c r="P5520">
        <v>0.98277689999999995</v>
      </c>
      <c r="Q5520">
        <v>1.548734E-3</v>
      </c>
      <c r="R5520">
        <v>-0.18478989999999901</v>
      </c>
      <c r="S5520">
        <v>2.9907840000000001</v>
      </c>
      <c r="T5520">
        <v>-0.21456799999999901</v>
      </c>
      <c r="U5520">
        <v>-0.33316040000000002</v>
      </c>
      <c r="V5520">
        <v>-8.0270209999999995E-2</v>
      </c>
      <c r="W5520">
        <v>1.5197E-2</v>
      </c>
      <c r="X5520">
        <v>0.99665729999999997</v>
      </c>
      <c r="Y5520">
        <v>-0.1535212</v>
      </c>
      <c r="Z5520">
        <v>2.40322E-2</v>
      </c>
      <c r="AA5520">
        <v>0.98785309999999904</v>
      </c>
      <c r="AB5520">
        <v>13</v>
      </c>
      <c r="AC5520">
        <v>15.366199999999999</v>
      </c>
      <c r="AD5520">
        <v>-1.1071247756561999</v>
      </c>
      <c r="AE5520">
        <v>-1.7055899999999999</v>
      </c>
      <c r="AF5520">
        <v>-2.3833755675363202</v>
      </c>
      <c r="AG5520">
        <v>-1.1071247756561999</v>
      </c>
      <c r="AH5520">
        <v>15.195918473706801</v>
      </c>
      <c r="AI5520">
        <v>94.116866852009096</v>
      </c>
      <c r="AJ5520">
        <v>98.913830636372694</v>
      </c>
      <c r="AK5520">
        <v>15.421483152548801</v>
      </c>
    </row>
    <row r="5521" spans="1:37" x14ac:dyDescent="0.2">
      <c r="A5521" t="str">
        <f>"20200111160012930"</f>
        <v>20200111160012930</v>
      </c>
      <c r="B5521" t="str">
        <f>"1578729612926492"</f>
        <v>1578729612926492</v>
      </c>
      <c r="C5521" t="s">
        <v>37</v>
      </c>
      <c r="D5521">
        <v>4.6794479999999998</v>
      </c>
      <c r="E5521">
        <v>0.47657680000000002</v>
      </c>
      <c r="F5521" t="s">
        <v>39</v>
      </c>
      <c r="G5521">
        <v>-271.3997</v>
      </c>
      <c r="H5521" s="1">
        <v>2.0220819999999999E-7</v>
      </c>
      <c r="I5521">
        <v>-60.577100000000002</v>
      </c>
      <c r="J5521">
        <v>-286.62740000000002</v>
      </c>
      <c r="K5521">
        <v>1.107064</v>
      </c>
      <c r="L5521">
        <v>-58.928249999999998</v>
      </c>
      <c r="M5521">
        <v>0.9656787</v>
      </c>
      <c r="N5521">
        <v>0</v>
      </c>
      <c r="O5521">
        <v>-0.2593529</v>
      </c>
      <c r="P5521">
        <v>0.98308689999999999</v>
      </c>
      <c r="Q5521">
        <v>1.937497E-3</v>
      </c>
      <c r="R5521">
        <v>-0.1831296</v>
      </c>
      <c r="S5521">
        <v>2.9918209999999998</v>
      </c>
      <c r="T5521">
        <v>-0.21660489999999999</v>
      </c>
      <c r="U5521">
        <v>-0.32513429999999999</v>
      </c>
      <c r="V5521">
        <v>-7.8225080000000002E-2</v>
      </c>
      <c r="W5521">
        <v>1.559368E-2</v>
      </c>
      <c r="X5521">
        <v>0.99681379999999997</v>
      </c>
      <c r="Y5521">
        <v>-0.15247369999999999</v>
      </c>
      <c r="Z5521">
        <v>2.396744E-2</v>
      </c>
      <c r="AA5521">
        <v>0.98801679999999903</v>
      </c>
      <c r="AB5521">
        <v>13</v>
      </c>
      <c r="AC5521">
        <v>15.2277</v>
      </c>
      <c r="AD5521">
        <v>-1.1070637977918001</v>
      </c>
      <c r="AE5521">
        <v>-1.6488499999999999</v>
      </c>
      <c r="AF5521">
        <v>-2.3450744396977399</v>
      </c>
      <c r="AG5521">
        <v>-1.1070637977918001</v>
      </c>
      <c r="AH5521">
        <v>15.0555662132933</v>
      </c>
      <c r="AI5521">
        <v>94.155567069050804</v>
      </c>
      <c r="AJ5521">
        <v>98.853323512594301</v>
      </c>
      <c r="AK5521">
        <v>15.277271954866899</v>
      </c>
    </row>
    <row r="5522" spans="1:37" x14ac:dyDescent="0.2">
      <c r="A5522" t="str">
        <f>"20200111160012941"</f>
        <v>20200111160012941</v>
      </c>
      <c r="B5522" t="str">
        <f>"1578729612936252"</f>
        <v>1578729612936252</v>
      </c>
      <c r="C5522" t="s">
        <v>37</v>
      </c>
      <c r="D5522">
        <v>4.8423910000000001</v>
      </c>
      <c r="E5522">
        <v>0.47657680000000002</v>
      </c>
      <c r="F5522" t="s">
        <v>39</v>
      </c>
      <c r="G5522">
        <v>-278.42</v>
      </c>
      <c r="H5522" s="1">
        <v>-2.893051E-6</v>
      </c>
      <c r="I5522">
        <v>-59.811030000000002</v>
      </c>
      <c r="J5522">
        <v>-286.56279999999998</v>
      </c>
      <c r="K5522">
        <v>1.107</v>
      </c>
      <c r="L5522">
        <v>-58.941130000000001</v>
      </c>
      <c r="M5522">
        <v>0.96663299999999996</v>
      </c>
      <c r="N5522">
        <v>0</v>
      </c>
      <c r="O5522">
        <v>-0.25577489999999897</v>
      </c>
      <c r="P5522">
        <v>0.98342269999999898</v>
      </c>
      <c r="Q5522">
        <v>2.6412609999999898E-3</v>
      </c>
      <c r="R5522">
        <v>-0.18130979999999999</v>
      </c>
      <c r="S5522">
        <v>2.9924930000000001</v>
      </c>
      <c r="T5522">
        <v>-0.40364620000000001</v>
      </c>
      <c r="U5522">
        <v>-0.32186890000000001</v>
      </c>
      <c r="V5522">
        <v>-7.63789E-2</v>
      </c>
      <c r="W5522">
        <v>1.6303120000000001E-2</v>
      </c>
      <c r="X5522">
        <v>0.99694559999999999</v>
      </c>
      <c r="Y5522">
        <v>-0.14740309999999901</v>
      </c>
      <c r="Z5522">
        <v>4.371237E-2</v>
      </c>
      <c r="AA5522">
        <v>0.98811009999999999</v>
      </c>
      <c r="AB5522">
        <v>13</v>
      </c>
      <c r="AC5522">
        <v>8.1427999999999603</v>
      </c>
      <c r="AD5522">
        <v>-1.1070028930510001</v>
      </c>
      <c r="AE5522">
        <v>-0.86990000000000101</v>
      </c>
      <c r="AF5522">
        <v>-1.21968599364887</v>
      </c>
      <c r="AG5522">
        <v>-1.1070028930510001</v>
      </c>
      <c r="AH5522">
        <v>7.9491479374101299</v>
      </c>
      <c r="AI5522">
        <v>97.837493298123505</v>
      </c>
      <c r="AJ5522">
        <v>98.723207856184302</v>
      </c>
      <c r="AK5522">
        <v>8.1180072837586295</v>
      </c>
    </row>
    <row r="5523" spans="1:37" x14ac:dyDescent="0.2">
      <c r="A5523" t="str">
        <f>"20200111160012952"</f>
        <v>20200111160012952</v>
      </c>
      <c r="B5523" t="str">
        <f>"1578729612946988"</f>
        <v>1578729612946988</v>
      </c>
      <c r="C5523" t="s">
        <v>37</v>
      </c>
      <c r="D5523">
        <v>4.7326870000000003</v>
      </c>
      <c r="E5523">
        <v>0.480162799999999</v>
      </c>
      <c r="F5523" t="s">
        <v>39</v>
      </c>
      <c r="G5523">
        <v>-278.3159</v>
      </c>
      <c r="H5523" s="1">
        <v>-2.847736E-6</v>
      </c>
      <c r="I5523">
        <v>-59.813980000000001</v>
      </c>
      <c r="J5523">
        <v>-286.49950000000001</v>
      </c>
      <c r="K5523">
        <v>1.106935</v>
      </c>
      <c r="L5523">
        <v>-58.95355</v>
      </c>
      <c r="M5523">
        <v>0.96753559999999905</v>
      </c>
      <c r="N5523">
        <v>0</v>
      </c>
      <c r="O5523">
        <v>-0.2523396</v>
      </c>
      <c r="P5523">
        <v>0.98370219999999897</v>
      </c>
      <c r="Q5523">
        <v>3.401056E-3</v>
      </c>
      <c r="R5523">
        <v>-0.17977370000000001</v>
      </c>
      <c r="S5523">
        <v>2.9932249999999998</v>
      </c>
      <c r="T5523">
        <v>-0.40179039999999999</v>
      </c>
      <c r="U5523">
        <v>-0.316803</v>
      </c>
      <c r="V5523">
        <v>-7.4394979999999999E-2</v>
      </c>
      <c r="W5523">
        <v>1.706881E-2</v>
      </c>
      <c r="X5523">
        <v>0.99708280000000005</v>
      </c>
      <c r="Y5523">
        <v>-0.14564759999999999</v>
      </c>
      <c r="Z5523">
        <v>4.2948319999999998E-2</v>
      </c>
      <c r="AA5523">
        <v>0.9884039</v>
      </c>
      <c r="AB5523">
        <v>13</v>
      </c>
      <c r="AC5523">
        <v>8.1836000000000109</v>
      </c>
      <c r="AD5523">
        <v>-1.1069378477359999</v>
      </c>
      <c r="AE5523">
        <v>-0.86043000000000702</v>
      </c>
      <c r="AF5523">
        <v>-1.2107627269552499</v>
      </c>
      <c r="AG5523">
        <v>-1.1069378477359999</v>
      </c>
      <c r="AH5523">
        <v>7.9912470797463504</v>
      </c>
      <c r="AI5523">
        <v>97.798469866061893</v>
      </c>
      <c r="AJ5523">
        <v>98.615421900329906</v>
      </c>
      <c r="AK5523">
        <v>8.1578972578287097</v>
      </c>
    </row>
    <row r="5524" spans="1:37" x14ac:dyDescent="0.2">
      <c r="A5524" t="str">
        <f>"20200111160012963"</f>
        <v>20200111160012963</v>
      </c>
      <c r="B5524" t="str">
        <f>"1578729612956748"</f>
        <v>1578729612956748</v>
      </c>
      <c r="C5524" t="s">
        <v>37</v>
      </c>
      <c r="D5524">
        <v>4.8239769999999904</v>
      </c>
      <c r="E5524">
        <v>0.47825089999999998</v>
      </c>
      <c r="F5524" t="s">
        <v>39</v>
      </c>
      <c r="G5524">
        <v>-271.35730000000001</v>
      </c>
      <c r="H5524" s="1">
        <v>1.760242E-7</v>
      </c>
      <c r="I5524">
        <v>-60.776709999999902</v>
      </c>
      <c r="J5524">
        <v>-286.43090000000001</v>
      </c>
      <c r="K5524">
        <v>1.1068639999999901</v>
      </c>
      <c r="L5524">
        <v>-58.966889999999999</v>
      </c>
      <c r="M5524">
        <v>0.96848909999999999</v>
      </c>
      <c r="N5524">
        <v>0</v>
      </c>
      <c r="O5524">
        <v>-0.24865670000000001</v>
      </c>
      <c r="P5524">
        <v>0.98409720000000001</v>
      </c>
      <c r="Q5524">
        <v>4.1255470000000002E-3</v>
      </c>
      <c r="R5524">
        <v>-0.17758309999999999</v>
      </c>
      <c r="S5524">
        <v>2.984772</v>
      </c>
      <c r="T5524">
        <v>-0.218194999999999</v>
      </c>
      <c r="U5524">
        <v>-0.359375</v>
      </c>
      <c r="V5524">
        <v>-7.2821179999999999E-2</v>
      </c>
      <c r="W5524">
        <v>1.7795399999999999E-2</v>
      </c>
      <c r="X5524">
        <v>0.99718619999999902</v>
      </c>
      <c r="Y5524">
        <v>-0.13013540000000001</v>
      </c>
      <c r="Z5524">
        <v>2.2611889999999999E-2</v>
      </c>
      <c r="AA5524">
        <v>0.99123839999999996</v>
      </c>
      <c r="AB5524">
        <v>13</v>
      </c>
      <c r="AC5524">
        <v>15.073600000000001</v>
      </c>
      <c r="AD5524">
        <v>-1.10686382397579</v>
      </c>
      <c r="AE5524">
        <v>-1.80981999999999</v>
      </c>
      <c r="AF5524">
        <v>-1.9850077966873301</v>
      </c>
      <c r="AG5524">
        <v>-1.10686382397579</v>
      </c>
      <c r="AH5524">
        <v>14.970561559371101</v>
      </c>
      <c r="AI5524">
        <v>94.191971433048906</v>
      </c>
      <c r="AJ5524">
        <v>97.553022941857606</v>
      </c>
      <c r="AK5524">
        <v>15.142097505981599</v>
      </c>
    </row>
    <row r="5525" spans="1:37" x14ac:dyDescent="0.2">
      <c r="A5525" t="str">
        <f>"20200111160012974"</f>
        <v>20200111160012974</v>
      </c>
      <c r="B5525" t="str">
        <f>"1578729612966508"</f>
        <v>1578729612966508</v>
      </c>
      <c r="C5525" t="s">
        <v>37</v>
      </c>
      <c r="D5525">
        <v>4.8451969999999998</v>
      </c>
      <c r="E5525">
        <v>0.47851099999999902</v>
      </c>
      <c r="F5525" t="s">
        <v>39</v>
      </c>
      <c r="G5525">
        <v>-271.59859999999998</v>
      </c>
      <c r="H5525" s="1">
        <v>1.02861E-7</v>
      </c>
      <c r="I5525">
        <v>-60.6402199999999</v>
      </c>
      <c r="J5525">
        <v>-286.37189999999998</v>
      </c>
      <c r="K5525">
        <v>1.1068039999999999</v>
      </c>
      <c r="L5525">
        <v>-58.978119999999997</v>
      </c>
      <c r="M5525">
        <v>0.96927229999999998</v>
      </c>
      <c r="N5525">
        <v>0</v>
      </c>
      <c r="O5525">
        <v>-0.245587</v>
      </c>
      <c r="P5525">
        <v>0.98423490000000002</v>
      </c>
      <c r="Q5525">
        <v>4.7910619999999996E-3</v>
      </c>
      <c r="R5525">
        <v>-0.17680219999999999</v>
      </c>
      <c r="S5525">
        <v>2.988556</v>
      </c>
      <c r="T5525">
        <v>-0.22302150000000001</v>
      </c>
      <c r="U5525">
        <v>-0.33715820000000002</v>
      </c>
      <c r="V5525">
        <v>-7.0452639999999997E-2</v>
      </c>
      <c r="W5525">
        <v>1.846859E-2</v>
      </c>
      <c r="X5525">
        <v>0.99734409999999896</v>
      </c>
      <c r="Y5525">
        <v>-0.13436609999999999</v>
      </c>
      <c r="Z5525">
        <v>2.3031989999999999E-2</v>
      </c>
      <c r="AA5525">
        <v>0.99066409999999905</v>
      </c>
      <c r="AB5525">
        <v>13</v>
      </c>
      <c r="AC5525">
        <v>14.773300000000001</v>
      </c>
      <c r="AD5525">
        <v>-1.106803897139</v>
      </c>
      <c r="AE5525">
        <v>-1.6620999999999899</v>
      </c>
      <c r="AF5525">
        <v>-2.0061831676097701</v>
      </c>
      <c r="AG5525">
        <v>-1.106803897139</v>
      </c>
      <c r="AH5525">
        <v>14.6478117456493</v>
      </c>
      <c r="AI5525">
        <v>94.281299538641903</v>
      </c>
      <c r="AJ5525">
        <v>97.7987811346146</v>
      </c>
      <c r="AK5525">
        <v>14.825929134617599</v>
      </c>
    </row>
    <row r="5526" spans="1:37" x14ac:dyDescent="0.2">
      <c r="A5526" t="str">
        <f>"20200111160012984"</f>
        <v>20200111160012984</v>
      </c>
      <c r="B5526" t="str">
        <f>"1578729612976268"</f>
        <v>1578729612976268</v>
      </c>
      <c r="C5526" t="s">
        <v>37</v>
      </c>
      <c r="D5526">
        <v>4.7556709999999898</v>
      </c>
      <c r="E5526">
        <v>0.47680519999999998</v>
      </c>
      <c r="F5526" t="s">
        <v>39</v>
      </c>
      <c r="G5526">
        <v>-270.99200000000002</v>
      </c>
      <c r="H5526" s="1">
        <v>3.4641339999999999E-7</v>
      </c>
      <c r="I5526">
        <v>-60.715299999999999</v>
      </c>
      <c r="J5526">
        <v>-286.3109</v>
      </c>
      <c r="K5526">
        <v>1.1067389999999999</v>
      </c>
      <c r="L5526">
        <v>-58.989719999999998</v>
      </c>
      <c r="M5526">
        <v>0.97006829999999999</v>
      </c>
      <c r="N5526">
        <v>0</v>
      </c>
      <c r="O5526">
        <v>-0.2424239</v>
      </c>
      <c r="P5526">
        <v>0.98444940000000003</v>
      </c>
      <c r="Q5526">
        <v>6.0302759999999898E-3</v>
      </c>
      <c r="R5526">
        <v>-0.175564</v>
      </c>
      <c r="S5526">
        <v>2.9884949999999999</v>
      </c>
      <c r="T5526">
        <v>-0.215064899999999</v>
      </c>
      <c r="U5526">
        <v>-0.33755489999999999</v>
      </c>
      <c r="V5526">
        <v>-6.8455370000000001E-2</v>
      </c>
      <c r="W5526">
        <v>1.9711949999999999E-2</v>
      </c>
      <c r="X5526">
        <v>0.9974594</v>
      </c>
      <c r="Y5526">
        <v>-0.13108889999999901</v>
      </c>
      <c r="Z5526">
        <v>2.1875490000000001E-2</v>
      </c>
      <c r="AA5526">
        <v>0.99112919999999904</v>
      </c>
      <c r="AB5526">
        <v>13</v>
      </c>
      <c r="AC5526">
        <v>15.3188999999999</v>
      </c>
      <c r="AD5526">
        <v>-1.1067386535866</v>
      </c>
      <c r="AE5526">
        <v>-1.7255799999999999</v>
      </c>
      <c r="AF5526">
        <v>-2.0294788508835602</v>
      </c>
      <c r="AG5526">
        <v>-1.1067386535866</v>
      </c>
      <c r="AH5526">
        <v>15.2018620078961</v>
      </c>
      <c r="AI5526">
        <v>94.127458186281402</v>
      </c>
      <c r="AJ5526">
        <v>97.604137760607301</v>
      </c>
      <c r="AK5526">
        <v>15.3766141708973</v>
      </c>
    </row>
    <row r="5527" spans="1:37" x14ac:dyDescent="0.2">
      <c r="A5527" t="str">
        <f>"20200111160012995"</f>
        <v>20200111160012995</v>
      </c>
      <c r="B5527" t="str">
        <f>"1578729612987004"</f>
        <v>1578729612987004</v>
      </c>
      <c r="C5527" t="s">
        <v>37</v>
      </c>
      <c r="D5527">
        <v>4.7552469999999998</v>
      </c>
      <c r="E5527">
        <v>0.47444259999999899</v>
      </c>
      <c r="F5527" t="s">
        <v>39</v>
      </c>
      <c r="G5527">
        <v>-271.12369999999999</v>
      </c>
      <c r="H5527" s="1">
        <v>3.1255820000000002E-7</v>
      </c>
      <c r="I5527">
        <v>-60.613459999999897</v>
      </c>
      <c r="J5527">
        <v>-286.2509</v>
      </c>
      <c r="K5527">
        <v>1.1066719999999901</v>
      </c>
      <c r="L5527">
        <v>-59.000889999999998</v>
      </c>
      <c r="M5527">
        <v>0.97080889999999997</v>
      </c>
      <c r="N5527">
        <v>0</v>
      </c>
      <c r="O5527">
        <v>-0.2394424</v>
      </c>
      <c r="P5527">
        <v>0.9846393</v>
      </c>
      <c r="Q5527">
        <v>7.1001609999999998E-3</v>
      </c>
      <c r="R5527">
        <v>-0.1744569</v>
      </c>
      <c r="S5527">
        <v>2.9916689999999999</v>
      </c>
      <c r="T5527">
        <v>-0.21801219999999999</v>
      </c>
      <c r="U5527">
        <v>-0.31985469999999999</v>
      </c>
      <c r="V5527">
        <v>-6.6511810000000005E-2</v>
      </c>
      <c r="W5527">
        <v>2.0785089999999999E-2</v>
      </c>
      <c r="X5527">
        <v>0.99756909999999899</v>
      </c>
      <c r="Y5527">
        <v>-0.1339293</v>
      </c>
      <c r="Z5527">
        <v>2.2054420000000002E-2</v>
      </c>
      <c r="AA5527">
        <v>0.9907454</v>
      </c>
      <c r="AB5527">
        <v>13</v>
      </c>
      <c r="AC5527">
        <v>15.1272</v>
      </c>
      <c r="AD5527">
        <v>-1.1066716874417999</v>
      </c>
      <c r="AE5527">
        <v>-1.6125699999999901</v>
      </c>
      <c r="AF5527">
        <v>-2.0459716835863602</v>
      </c>
      <c r="AG5527">
        <v>-1.1066716874417999</v>
      </c>
      <c r="AH5527">
        <v>14.9938795636319</v>
      </c>
      <c r="AI5527">
        <v>94.182625363746297</v>
      </c>
      <c r="AJ5527">
        <v>97.770237046004794</v>
      </c>
      <c r="AK5527">
        <v>15.1732378457111</v>
      </c>
    </row>
    <row r="5528" spans="1:37" x14ac:dyDescent="0.2">
      <c r="A5528" t="str">
        <f>"20200111160013007"</f>
        <v>20200111160013007</v>
      </c>
      <c r="B5528" t="str">
        <f>"1578729612996764"</f>
        <v>1578729612996764</v>
      </c>
      <c r="C5528" t="s">
        <v>37</v>
      </c>
      <c r="D5528">
        <v>4.7256849999999897</v>
      </c>
      <c r="E5528">
        <v>0.47444259999999899</v>
      </c>
      <c r="F5528" t="s">
        <v>39</v>
      </c>
      <c r="G5528">
        <v>-270.90890000000002</v>
      </c>
      <c r="H5528" s="1">
        <v>4.2410100000000002E-7</v>
      </c>
      <c r="I5528">
        <v>-60.526159999999997</v>
      </c>
      <c r="J5528">
        <v>-286.1823</v>
      </c>
      <c r="K5528">
        <v>1.106589</v>
      </c>
      <c r="L5528">
        <v>-59.01361</v>
      </c>
      <c r="M5528">
        <v>0.9716378</v>
      </c>
      <c r="N5528">
        <v>0</v>
      </c>
      <c r="O5528">
        <v>-0.23605789999999899</v>
      </c>
      <c r="P5528">
        <v>0.98487479999999905</v>
      </c>
      <c r="Q5528">
        <v>7.7333259999999996E-3</v>
      </c>
      <c r="R5528">
        <v>-0.17309530000000001</v>
      </c>
      <c r="S5528">
        <v>2.9956360000000002</v>
      </c>
      <c r="T5528">
        <v>-0.21608520000000001</v>
      </c>
      <c r="U5528">
        <v>-0.297821</v>
      </c>
      <c r="V5528">
        <v>-6.4411640000000006E-2</v>
      </c>
      <c r="W5528">
        <v>2.1421050000000001E-2</v>
      </c>
      <c r="X5528">
        <v>0.99769349999999901</v>
      </c>
      <c r="Y5528">
        <v>-0.13784109999999999</v>
      </c>
      <c r="Z5528">
        <v>2.1747369999999999E-2</v>
      </c>
      <c r="AA5528">
        <v>0.99021559999999897</v>
      </c>
      <c r="AB5528">
        <v>13</v>
      </c>
      <c r="AC5528">
        <v>15.273399999999899</v>
      </c>
      <c r="AD5528">
        <v>-1.1065885758989999</v>
      </c>
      <c r="AE5528">
        <v>-1.5125499999999901</v>
      </c>
      <c r="AF5528">
        <v>-2.1249200091542901</v>
      </c>
      <c r="AG5528">
        <v>-1.1065885758989999</v>
      </c>
      <c r="AH5528">
        <v>15.120157358926299</v>
      </c>
      <c r="AI5528">
        <v>94.145213865093694</v>
      </c>
      <c r="AJ5528">
        <v>97.999704480430907</v>
      </c>
      <c r="AK5528">
        <v>15.308787733857599</v>
      </c>
    </row>
    <row r="5529" spans="1:37" x14ac:dyDescent="0.2">
      <c r="A5529" t="str">
        <f>"20200111160013019"</f>
        <v>20200111160013019</v>
      </c>
      <c r="B5529" t="str">
        <f>"1578729613006524"</f>
        <v>1578729613006524</v>
      </c>
      <c r="C5529" t="s">
        <v>37</v>
      </c>
      <c r="D5529">
        <v>4.7801980000000004</v>
      </c>
      <c r="E5529">
        <v>0.45278180000000001</v>
      </c>
      <c r="F5529" t="s">
        <v>39</v>
      </c>
      <c r="G5529">
        <v>-270.70170000000002</v>
      </c>
      <c r="H5529" s="1">
        <v>5.1193649999999997E-7</v>
      </c>
      <c r="I5529">
        <v>-60.53096</v>
      </c>
      <c r="J5529">
        <v>-286.11219999999997</v>
      </c>
      <c r="K5529">
        <v>1.1064909999999999</v>
      </c>
      <c r="L5529">
        <v>-59.026429999999998</v>
      </c>
      <c r="M5529">
        <v>0.97243959999999996</v>
      </c>
      <c r="N5529">
        <v>0</v>
      </c>
      <c r="O5529">
        <v>-0.23273489999999999</v>
      </c>
      <c r="P5529">
        <v>0.98514849999999998</v>
      </c>
      <c r="Q5529">
        <v>8.8124650000000002E-3</v>
      </c>
      <c r="R5529">
        <v>-0.17147870000000001</v>
      </c>
      <c r="S5529">
        <v>2.9961549999999999</v>
      </c>
      <c r="T5529">
        <v>-0.21417129999999901</v>
      </c>
      <c r="U5529">
        <v>-0.29367070000000001</v>
      </c>
      <c r="V5529">
        <v>-6.2635549999999998E-2</v>
      </c>
      <c r="W5529">
        <v>2.2499870000000002E-2</v>
      </c>
      <c r="X5529">
        <v>0.99778279999999997</v>
      </c>
      <c r="Y5529">
        <v>-0.13586029999999999</v>
      </c>
      <c r="Z5529">
        <v>2.125291E-2</v>
      </c>
      <c r="AA5529">
        <v>0.99050000000000005</v>
      </c>
      <c r="AB5529">
        <v>13</v>
      </c>
      <c r="AC5529">
        <v>15.4104999999999</v>
      </c>
      <c r="AD5529">
        <v>-1.10649048806349</v>
      </c>
      <c r="AE5529">
        <v>-1.5045299999999899</v>
      </c>
      <c r="AF5529">
        <v>-2.1129143696417798</v>
      </c>
      <c r="AG5529">
        <v>-1.10649048806349</v>
      </c>
      <c r="AH5529">
        <v>15.259511824646401</v>
      </c>
      <c r="AI5529">
        <v>94.108285480514297</v>
      </c>
      <c r="AJ5529">
        <v>97.883356261006497</v>
      </c>
      <c r="AK5529">
        <v>15.444786481532701</v>
      </c>
    </row>
    <row r="5530" spans="1:37" x14ac:dyDescent="0.2">
      <c r="A5530" t="str">
        <f>"20200111160013031"</f>
        <v>20200111160013031</v>
      </c>
      <c r="B5530" t="str">
        <f>"1578729613027021"</f>
        <v>1578729613027021</v>
      </c>
      <c r="C5530" t="s">
        <v>37</v>
      </c>
      <c r="D5530">
        <v>4.9610339999999997</v>
      </c>
      <c r="E5530">
        <v>0.45472190000000001</v>
      </c>
      <c r="F5530" t="s">
        <v>39</v>
      </c>
      <c r="G5530">
        <v>-273.73970000000003</v>
      </c>
      <c r="H5530" s="1">
        <v>-9.5784230000000009E-7</v>
      </c>
      <c r="I5530">
        <v>-59.482529999999997</v>
      </c>
      <c r="J5530">
        <v>-286.04129999999998</v>
      </c>
      <c r="K5530">
        <v>1.106393</v>
      </c>
      <c r="L5530">
        <v>-59.03931</v>
      </c>
      <c r="M5530">
        <v>0.97321749999999996</v>
      </c>
      <c r="N5530">
        <v>0</v>
      </c>
      <c r="O5530">
        <v>-0.22946140000000001</v>
      </c>
      <c r="P5530">
        <v>0.98539920000000003</v>
      </c>
      <c r="Q5530">
        <v>9.2650800000000002E-3</v>
      </c>
      <c r="R5530">
        <v>-0.17000860000000001</v>
      </c>
      <c r="S5530">
        <v>3.0282290000000001</v>
      </c>
      <c r="T5530">
        <v>-0.27081909999999998</v>
      </c>
      <c r="U5530">
        <v>-0.1116333</v>
      </c>
      <c r="V5530">
        <v>-6.0762150000000001E-2</v>
      </c>
      <c r="W5530">
        <v>2.2951800000000001E-2</v>
      </c>
      <c r="X5530">
        <v>0.99788840000000001</v>
      </c>
      <c r="Y5530">
        <v>-0.1918088</v>
      </c>
      <c r="Z5530">
        <v>2.8871919999999999E-2</v>
      </c>
      <c r="AA5530">
        <v>0.98100750000000003</v>
      </c>
      <c r="AB5530">
        <v>13</v>
      </c>
      <c r="AC5530">
        <v>12.301599999999899</v>
      </c>
      <c r="AD5530">
        <v>-1.1063939578423001</v>
      </c>
      <c r="AE5530">
        <v>-0.443220000000003</v>
      </c>
      <c r="AF5530">
        <v>-2.3724602685914502</v>
      </c>
      <c r="AG5530">
        <v>-1.1063939578423001</v>
      </c>
      <c r="AH5530">
        <v>11.9782458764676</v>
      </c>
      <c r="AI5530">
        <v>95.177251257274506</v>
      </c>
      <c r="AJ5530">
        <v>101.203239073959</v>
      </c>
      <c r="AK5530">
        <v>12.2609563082619</v>
      </c>
    </row>
    <row r="5531" spans="1:37" x14ac:dyDescent="0.2">
      <c r="A5531" t="str">
        <f>"20200111160013044"</f>
        <v>20200111160013044</v>
      </c>
      <c r="B5531" t="str">
        <f>"1578729613036780"</f>
        <v>1578729613036780</v>
      </c>
      <c r="C5531" t="s">
        <v>37</v>
      </c>
      <c r="D5531">
        <v>4.7463559999999996</v>
      </c>
      <c r="E5531">
        <v>0.45354040000000001</v>
      </c>
      <c r="F5531" t="s">
        <v>39</v>
      </c>
      <c r="G5531">
        <v>-273.77730000000003</v>
      </c>
      <c r="H5531" s="1">
        <v>-9.6266840000000005E-7</v>
      </c>
      <c r="I5531">
        <v>-59.533679999999997</v>
      </c>
      <c r="J5531">
        <v>-285.96589999999998</v>
      </c>
      <c r="K5531">
        <v>1.1062879999999999</v>
      </c>
      <c r="L5531">
        <v>-59.052859999999903</v>
      </c>
      <c r="M5531">
        <v>0.97401360000000003</v>
      </c>
      <c r="N5531">
        <v>0</v>
      </c>
      <c r="O5531">
        <v>-0.2260597</v>
      </c>
      <c r="P5531">
        <v>0.98567909999999903</v>
      </c>
      <c r="Q5531">
        <v>9.5958859999999997E-3</v>
      </c>
      <c r="R5531">
        <v>-0.16835810000000001</v>
      </c>
      <c r="S5531">
        <v>3.0259399999999999</v>
      </c>
      <c r="T5531">
        <v>-0.27298440000000002</v>
      </c>
      <c r="U5531">
        <v>-0.1219788</v>
      </c>
      <c r="V5531">
        <v>-5.8940599999999899E-2</v>
      </c>
      <c r="W5531">
        <v>2.3280249999999999E-2</v>
      </c>
      <c r="X5531">
        <v>0.99798999999999904</v>
      </c>
      <c r="Y5531">
        <v>-0.1850118</v>
      </c>
      <c r="Z5531">
        <v>2.8514729999999999E-2</v>
      </c>
      <c r="AA5531">
        <v>0.98232249999999999</v>
      </c>
      <c r="AB5531">
        <v>13</v>
      </c>
      <c r="AC5531">
        <v>12.1885999999999</v>
      </c>
      <c r="AD5531">
        <v>-1.1062889626684</v>
      </c>
      <c r="AE5531">
        <v>-0.48082000000000802</v>
      </c>
      <c r="AF5531">
        <v>-2.2685885808173101</v>
      </c>
      <c r="AG5531">
        <v>-1.1062889626684</v>
      </c>
      <c r="AH5531">
        <v>11.8839717981935</v>
      </c>
      <c r="AI5531">
        <v>95.224578946264799</v>
      </c>
      <c r="AJ5531">
        <v>100.80744167243699</v>
      </c>
      <c r="AK5531">
        <v>12.1490392672917</v>
      </c>
    </row>
    <row r="5532" spans="1:37" x14ac:dyDescent="0.2">
      <c r="A5532" t="str">
        <f>"20200111160013056"</f>
        <v>20200111160013056</v>
      </c>
      <c r="B5532" t="str">
        <f>"1578729613046540"</f>
        <v>1578729613046540</v>
      </c>
      <c r="C5532" t="s">
        <v>37</v>
      </c>
      <c r="D5532">
        <v>4.7782609999999996</v>
      </c>
      <c r="E5532">
        <v>0.45345340000000001</v>
      </c>
      <c r="F5532" t="s">
        <v>39</v>
      </c>
      <c r="G5532">
        <v>-273.27530000000002</v>
      </c>
      <c r="H5532" s="1">
        <v>-7.5316879999999995E-7</v>
      </c>
      <c r="I5532">
        <v>-59.507089999999998</v>
      </c>
      <c r="J5532">
        <v>-285.8997</v>
      </c>
      <c r="K5532">
        <v>1.1061889999999901</v>
      </c>
      <c r="L5532">
        <v>-59.064639999999997</v>
      </c>
      <c r="M5532">
        <v>0.97466659999999905</v>
      </c>
      <c r="N5532">
        <v>0</v>
      </c>
      <c r="O5532">
        <v>-0.22322889999999901</v>
      </c>
      <c r="P5532">
        <v>0.98588679999999995</v>
      </c>
      <c r="Q5532">
        <v>9.7413169999999993E-3</v>
      </c>
      <c r="R5532">
        <v>-0.16713059999999999</v>
      </c>
      <c r="S5532">
        <v>3.0276489999999998</v>
      </c>
      <c r="T5532">
        <v>-0.26393080000000002</v>
      </c>
      <c r="U5532">
        <v>-0.108367899999999</v>
      </c>
      <c r="V5532">
        <v>-5.7278080000000002E-2</v>
      </c>
      <c r="W5532">
        <v>2.3423739999999998E-2</v>
      </c>
      <c r="X5532">
        <v>0.99808339999999995</v>
      </c>
      <c r="Y5532">
        <v>-0.1867019</v>
      </c>
      <c r="Z5532">
        <v>2.739463E-2</v>
      </c>
      <c r="AA5532">
        <v>0.98203459999999998</v>
      </c>
      <c r="AB5532">
        <v>13</v>
      </c>
      <c r="AC5532">
        <v>12.6243999999999</v>
      </c>
      <c r="AD5532">
        <v>-1.1061897531688001</v>
      </c>
      <c r="AE5532">
        <v>-0.44245000000000001</v>
      </c>
      <c r="AF5532">
        <v>-2.3689550131335002</v>
      </c>
      <c r="AG5532">
        <v>-1.1061897531688001</v>
      </c>
      <c r="AH5532">
        <v>12.310152042750801</v>
      </c>
      <c r="AI5532">
        <v>95.042770180276904</v>
      </c>
      <c r="AJ5532">
        <v>100.89278941489199</v>
      </c>
      <c r="AK5532">
        <v>12.584730705895399</v>
      </c>
    </row>
    <row r="5533" spans="1:37" x14ac:dyDescent="0.2">
      <c r="A5533" t="str">
        <f>"20200111160013068"</f>
        <v>20200111160013068</v>
      </c>
      <c r="B5533" t="str">
        <f>"1578729613056300"</f>
        <v>1578729613056300</v>
      </c>
      <c r="C5533" t="s">
        <v>37</v>
      </c>
      <c r="D5533">
        <v>4.7009819999999998</v>
      </c>
      <c r="E5533">
        <v>0.45322699999999999</v>
      </c>
      <c r="F5533" t="s">
        <v>39</v>
      </c>
      <c r="G5533">
        <v>-272.76900000000001</v>
      </c>
      <c r="H5533" s="1">
        <v>-5.3350880000000001E-7</v>
      </c>
      <c r="I5533">
        <v>-59.518329999999999</v>
      </c>
      <c r="J5533">
        <v>-285.82690000000002</v>
      </c>
      <c r="K5533">
        <v>1.1060809999999901</v>
      </c>
      <c r="L5533">
        <v>-59.077509999999997</v>
      </c>
      <c r="M5533">
        <v>0.97535859999999996</v>
      </c>
      <c r="N5533">
        <v>0</v>
      </c>
      <c r="O5533">
        <v>-0.22018750000000001</v>
      </c>
      <c r="P5533">
        <v>0.9861837</v>
      </c>
      <c r="Q5533">
        <v>9.7596909999999992E-3</v>
      </c>
      <c r="R5533">
        <v>-0.16536889999999899</v>
      </c>
      <c r="S5533">
        <v>3.0277099999999999</v>
      </c>
      <c r="T5533">
        <v>-0.2550694</v>
      </c>
      <c r="U5533">
        <v>-0.10461429999999999</v>
      </c>
      <c r="V5533">
        <v>-5.594114E-2</v>
      </c>
      <c r="W5533">
        <v>2.3437090000000001E-2</v>
      </c>
      <c r="X5533">
        <v>0.99815889999999996</v>
      </c>
      <c r="Y5533">
        <v>-0.18497230000000001</v>
      </c>
      <c r="Z5533">
        <v>2.6155850000000001E-2</v>
      </c>
      <c r="AA5533">
        <v>0.98239560000000004</v>
      </c>
      <c r="AB5533">
        <v>13</v>
      </c>
      <c r="AC5533">
        <v>13.0579</v>
      </c>
      <c r="AD5533">
        <v>-1.1060815335087999</v>
      </c>
      <c r="AE5533">
        <v>-0.44082000000000898</v>
      </c>
      <c r="AF5533">
        <v>-2.4280631085595998</v>
      </c>
      <c r="AG5533">
        <v>-1.1060815335087999</v>
      </c>
      <c r="AH5533">
        <v>12.7431082072143</v>
      </c>
      <c r="AI5533">
        <v>94.873504990831805</v>
      </c>
      <c r="AJ5533">
        <v>100.787787968454</v>
      </c>
      <c r="AK5533">
        <v>13.019435993878099</v>
      </c>
    </row>
    <row r="5534" spans="1:37" x14ac:dyDescent="0.2">
      <c r="A5534" t="str">
        <f>"20200111160013084"</f>
        <v>20200111160013084</v>
      </c>
      <c r="B5534" t="str">
        <f>"1578729613076795"</f>
        <v>1578729613076795</v>
      </c>
      <c r="C5534" t="s">
        <v>37</v>
      </c>
      <c r="D5534">
        <v>4.6897140000000004</v>
      </c>
      <c r="E5534">
        <v>0.45315319999999998</v>
      </c>
      <c r="F5534" t="s">
        <v>39</v>
      </c>
      <c r="G5534">
        <v>-272.52659999999997</v>
      </c>
      <c r="H5534" s="1">
        <v>-4.3215680000000001E-7</v>
      </c>
      <c r="I5534">
        <v>-59.506450000000001</v>
      </c>
      <c r="J5534">
        <v>-285.73540000000003</v>
      </c>
      <c r="K5534">
        <v>1.105936</v>
      </c>
      <c r="L5534">
        <v>-59.09366</v>
      </c>
      <c r="M5534">
        <v>0.97617480000000001</v>
      </c>
      <c r="N5534">
        <v>0</v>
      </c>
      <c r="O5534">
        <v>-0.2165426</v>
      </c>
      <c r="P5534">
        <v>0.98645369999999999</v>
      </c>
      <c r="Q5534">
        <v>9.6430330000000005E-3</v>
      </c>
      <c r="R5534">
        <v>-0.16375699999999899</v>
      </c>
      <c r="S5534">
        <v>3.0281069999999999</v>
      </c>
      <c r="T5534">
        <v>-0.25182399999999999</v>
      </c>
      <c r="U5534">
        <v>-9.765625E-2</v>
      </c>
      <c r="V5534">
        <v>-5.3834100000000003E-2</v>
      </c>
      <c r="W5534">
        <v>2.3315530000000001E-2</v>
      </c>
      <c r="X5534">
        <v>0.99827770000000005</v>
      </c>
      <c r="Y5534">
        <v>-0.183614</v>
      </c>
      <c r="Z5534">
        <v>2.5470219999999998E-2</v>
      </c>
      <c r="AA5534">
        <v>0.9826684</v>
      </c>
      <c r="AB5534">
        <v>13</v>
      </c>
      <c r="AC5534">
        <v>13.2088</v>
      </c>
      <c r="AD5534">
        <v>-1.1059364321567999</v>
      </c>
      <c r="AE5534">
        <v>-0.41279000000000099</v>
      </c>
      <c r="AF5534">
        <v>-2.4404571850930901</v>
      </c>
      <c r="AG5534">
        <v>-1.1059364321567999</v>
      </c>
      <c r="AH5534">
        <v>12.8944263390273</v>
      </c>
      <c r="AI5534">
        <v>94.8170755440687</v>
      </c>
      <c r="AJ5534">
        <v>100.71728898353901</v>
      </c>
      <c r="AK5534">
        <v>13.169857906478899</v>
      </c>
    </row>
    <row r="5535" spans="1:37" x14ac:dyDescent="0.2">
      <c r="A5535" t="str">
        <f>"20200111160013096"</f>
        <v>20200111160013096</v>
      </c>
      <c r="B5535" t="str">
        <f>"1578729613086557"</f>
        <v>1578729613086557</v>
      </c>
      <c r="C5535" t="s">
        <v>37</v>
      </c>
      <c r="D5535">
        <v>4.739077</v>
      </c>
      <c r="E5535">
        <v>0.45334049999999998</v>
      </c>
      <c r="F5535" t="s">
        <v>39</v>
      </c>
      <c r="G5535">
        <v>-273.5575</v>
      </c>
      <c r="H5535" s="1">
        <v>-8.8567319999999897E-7</v>
      </c>
      <c r="I5535">
        <v>-59.455359999999999</v>
      </c>
      <c r="J5535">
        <v>-285.66809999999998</v>
      </c>
      <c r="K5535">
        <v>1.1058190000000001</v>
      </c>
      <c r="L5535">
        <v>-59.105409999999999</v>
      </c>
      <c r="M5535">
        <v>0.97672349999999997</v>
      </c>
      <c r="N5535">
        <v>0</v>
      </c>
      <c r="O5535">
        <v>-0.214055</v>
      </c>
      <c r="P5535">
        <v>0.98675679999999999</v>
      </c>
      <c r="Q5535">
        <v>9.4383209999999995E-3</v>
      </c>
      <c r="R5535">
        <v>-0.16193170000000001</v>
      </c>
      <c r="S5535">
        <v>3.0289919999999899</v>
      </c>
      <c r="T5535">
        <v>-0.27507789999999999</v>
      </c>
      <c r="U5535">
        <v>-8.9965820000000002E-2</v>
      </c>
      <c r="V5535">
        <v>-5.3131270000000001E-2</v>
      </c>
      <c r="W5535">
        <v>2.3102910000000001E-2</v>
      </c>
      <c r="X5535">
        <v>0.99832019999999899</v>
      </c>
      <c r="Y5535">
        <v>-0.18335979999999999</v>
      </c>
      <c r="Z5535">
        <v>2.757478E-2</v>
      </c>
      <c r="AA5535">
        <v>0.98265899999999995</v>
      </c>
      <c r="AB5535">
        <v>13</v>
      </c>
      <c r="AC5535">
        <v>12.1105999999999</v>
      </c>
      <c r="AD5535">
        <v>-1.1058198856732</v>
      </c>
      <c r="AE5535">
        <v>-0.34994999999999898</v>
      </c>
      <c r="AF5535">
        <v>-2.2321506958817201</v>
      </c>
      <c r="AG5535">
        <v>-1.1058198856732</v>
      </c>
      <c r="AH5535">
        <v>11.806402935023799</v>
      </c>
      <c r="AI5535">
        <v>95.258251937201706</v>
      </c>
      <c r="AJ5535">
        <v>100.70612731049</v>
      </c>
      <c r="AK5535">
        <v>12.0663368348813</v>
      </c>
    </row>
    <row r="5536" spans="1:37" x14ac:dyDescent="0.2">
      <c r="A5536" t="str">
        <f>"20200111160013108"</f>
        <v>20200111160013108</v>
      </c>
      <c r="B5536" t="str">
        <f>"1578729613096316"</f>
        <v>1578729613096316</v>
      </c>
      <c r="C5536" t="s">
        <v>37</v>
      </c>
      <c r="D5536">
        <v>4.7486959999999998</v>
      </c>
      <c r="E5536">
        <v>0.45328479999999999</v>
      </c>
      <c r="F5536" t="s">
        <v>39</v>
      </c>
      <c r="G5536">
        <v>-273.30739999999997</v>
      </c>
      <c r="H5536" s="1">
        <v>-7.7765629999999996E-7</v>
      </c>
      <c r="I5536">
        <v>-59.458629999999999</v>
      </c>
      <c r="J5536">
        <v>-285.60219999999998</v>
      </c>
      <c r="K5536">
        <v>1.1057079999999999</v>
      </c>
      <c r="L5536">
        <v>-59.11694</v>
      </c>
      <c r="M5536">
        <v>0.97724239999999996</v>
      </c>
      <c r="N5536">
        <v>0</v>
      </c>
      <c r="O5536">
        <v>-0.21167559999999999</v>
      </c>
      <c r="P5536">
        <v>0.98701170000000005</v>
      </c>
      <c r="Q5536">
        <v>9.4357390000000003E-3</v>
      </c>
      <c r="R5536">
        <v>-0.16037179999999901</v>
      </c>
      <c r="S5536">
        <v>3.0286559999999998</v>
      </c>
      <c r="T5536">
        <v>-0.27095029999999998</v>
      </c>
      <c r="U5536">
        <v>-8.6547849999999996E-2</v>
      </c>
      <c r="V5536">
        <v>-5.2271539999999998E-2</v>
      </c>
      <c r="W5536">
        <v>2.3093860000000001E-2</v>
      </c>
      <c r="X5536">
        <v>0.99836579999999997</v>
      </c>
      <c r="Y5536">
        <v>-0.18213270000000001</v>
      </c>
      <c r="Z5536">
        <v>2.6903570000000002E-2</v>
      </c>
      <c r="AA5536">
        <v>0.9829059</v>
      </c>
      <c r="AB5536">
        <v>13</v>
      </c>
      <c r="AC5536">
        <v>12.2948</v>
      </c>
      <c r="AD5536">
        <v>-1.1057087776562999</v>
      </c>
      <c r="AE5536">
        <v>-0.34169000000000599</v>
      </c>
      <c r="AF5536">
        <v>-2.25062270850071</v>
      </c>
      <c r="AG5536">
        <v>-1.1057087776562999</v>
      </c>
      <c r="AH5536">
        <v>11.991567804275199</v>
      </c>
      <c r="AI5536">
        <v>95.178277028822194</v>
      </c>
      <c r="AJ5536">
        <v>100.62982683871699</v>
      </c>
      <c r="AK5536">
        <v>12.2509425303335</v>
      </c>
    </row>
    <row r="5537" spans="1:37" x14ac:dyDescent="0.2">
      <c r="A5537" t="str">
        <f>"20200111160013119"</f>
        <v>20200111160013119</v>
      </c>
      <c r="B5537" t="str">
        <f>"1578729613116813"</f>
        <v>1578729613116813</v>
      </c>
      <c r="C5537" t="s">
        <v>37</v>
      </c>
      <c r="D5537">
        <v>4.7020239999999998</v>
      </c>
      <c r="E5537">
        <v>0.45312049999999998</v>
      </c>
      <c r="F5537" t="s">
        <v>39</v>
      </c>
      <c r="G5537">
        <v>-273.06729999999999</v>
      </c>
      <c r="H5537" s="1">
        <v>-6.7525210000000001E-7</v>
      </c>
      <c r="I5537">
        <v>-59.455939999999998</v>
      </c>
      <c r="J5537">
        <v>-285.53629999999998</v>
      </c>
      <c r="K5537">
        <v>1.1055900000000001</v>
      </c>
      <c r="L5537">
        <v>-59.128419999999998</v>
      </c>
      <c r="M5537">
        <v>0.97772060000000005</v>
      </c>
      <c r="N5537">
        <v>0</v>
      </c>
      <c r="O5537">
        <v>-0.209456799999999</v>
      </c>
      <c r="P5537">
        <v>0.98730929999999995</v>
      </c>
      <c r="Q5537">
        <v>8.9122839999999995E-3</v>
      </c>
      <c r="R5537">
        <v>-0.1585589</v>
      </c>
      <c r="S5537">
        <v>3.0287169999999999</v>
      </c>
      <c r="T5537">
        <v>-0.26716390000000001</v>
      </c>
      <c r="U5537">
        <v>-8.1909179999999998E-2</v>
      </c>
      <c r="V5537">
        <v>-5.1831809999999999E-2</v>
      </c>
      <c r="W5537">
        <v>2.256327E-2</v>
      </c>
      <c r="X5537">
        <v>0.99840090000000004</v>
      </c>
      <c r="Y5537">
        <v>-0.18145999999999901</v>
      </c>
      <c r="Z5537">
        <v>2.6308560000000002E-2</v>
      </c>
      <c r="AA5537">
        <v>0.98304639999999999</v>
      </c>
      <c r="AB5537">
        <v>13</v>
      </c>
      <c r="AC5537">
        <v>12.4689999999999</v>
      </c>
      <c r="AD5537">
        <v>-1.1055906752521001</v>
      </c>
      <c r="AE5537">
        <v>-0.32752000000000597</v>
      </c>
      <c r="AF5537">
        <v>-2.27384747648702</v>
      </c>
      <c r="AG5537">
        <v>-1.1055906752521001</v>
      </c>
      <c r="AH5537">
        <v>12.1653893149818</v>
      </c>
      <c r="AI5537">
        <v>95.104849957927001</v>
      </c>
      <c r="AJ5537">
        <v>100.58706161443401</v>
      </c>
      <c r="AK5537">
        <v>12.425353527067299</v>
      </c>
    </row>
    <row r="5538" spans="1:37" x14ac:dyDescent="0.2">
      <c r="A5538" t="str">
        <f>"20200111160013139"</f>
        <v>20200111160013139</v>
      </c>
      <c r="B5538" t="str">
        <f>"1578729613136332"</f>
        <v>1578729613136332</v>
      </c>
      <c r="C5538" t="s">
        <v>37</v>
      </c>
      <c r="D5538">
        <v>4.6971239999999996</v>
      </c>
      <c r="E5538">
        <v>0.4534089</v>
      </c>
      <c r="F5538" t="s">
        <v>39</v>
      </c>
      <c r="G5538">
        <v>-272.94749999999999</v>
      </c>
      <c r="H5538" s="1">
        <v>-6.2683589999999997E-7</v>
      </c>
      <c r="I5538">
        <v>-59.442469999999901</v>
      </c>
      <c r="J5538">
        <v>-285.423</v>
      </c>
      <c r="K5538">
        <v>1.105383</v>
      </c>
      <c r="L5538">
        <v>-59.148159999999997</v>
      </c>
      <c r="M5538">
        <v>0.97847569999999995</v>
      </c>
      <c r="N5538">
        <v>0</v>
      </c>
      <c r="O5538">
        <v>-0.20590329999999901</v>
      </c>
      <c r="P5538">
        <v>0.98771119999999901</v>
      </c>
      <c r="Q5538">
        <v>7.9743039999999998E-3</v>
      </c>
      <c r="R5538">
        <v>-0.1560878</v>
      </c>
      <c r="S5538">
        <v>3.0288390000000001</v>
      </c>
      <c r="T5538">
        <v>-0.2660034</v>
      </c>
      <c r="U5538">
        <v>-7.5561519999999993E-2</v>
      </c>
      <c r="V5538">
        <v>-5.0691689999999998E-2</v>
      </c>
      <c r="W5538">
        <v>2.1614129999999999E-2</v>
      </c>
      <c r="X5538">
        <v>0.99848040000000005</v>
      </c>
      <c r="Y5538">
        <v>-0.17997969999999999</v>
      </c>
      <c r="Z5538">
        <v>2.5824690000000001E-2</v>
      </c>
      <c r="AA5538">
        <v>0.98333130000000002</v>
      </c>
      <c r="AB5538">
        <v>13</v>
      </c>
      <c r="AC5538">
        <v>12.4755</v>
      </c>
      <c r="AD5538">
        <v>-1.1053836268359001</v>
      </c>
      <c r="AE5538">
        <v>-0.29430999999999502</v>
      </c>
      <c r="AF5538">
        <v>-2.2632290331820601</v>
      </c>
      <c r="AG5538">
        <v>-1.1053836268359001</v>
      </c>
      <c r="AH5538">
        <v>12.1732177689747</v>
      </c>
      <c r="AI5538">
        <v>95.101541324074304</v>
      </c>
      <c r="AJ5538">
        <v>100.53210645340199</v>
      </c>
      <c r="AK5538">
        <v>12.431062282443801</v>
      </c>
    </row>
    <row r="5539" spans="1:37" x14ac:dyDescent="0.2">
      <c r="A5539" t="str">
        <f>"20200111160013149"</f>
        <v>20200111160013149</v>
      </c>
      <c r="B5539" t="str">
        <f>"1578729613146094"</f>
        <v>1578729613146094</v>
      </c>
      <c r="C5539" t="s">
        <v>37</v>
      </c>
      <c r="D5539">
        <v>4.7729029999999897</v>
      </c>
      <c r="E5539">
        <v>0.4536597</v>
      </c>
      <c r="F5539" t="s">
        <v>39</v>
      </c>
      <c r="G5539">
        <v>-272.66030000000001</v>
      </c>
      <c r="H5539" s="1">
        <v>-5.0243149999999997E-7</v>
      </c>
      <c r="I5539">
        <v>-59.447980000000001</v>
      </c>
      <c r="J5539">
        <v>-285.36070000000001</v>
      </c>
      <c r="K5539">
        <v>1.105262</v>
      </c>
      <c r="L5539">
        <v>-59.159030000000001</v>
      </c>
      <c r="M5539">
        <v>0.97885370000000005</v>
      </c>
      <c r="N5539">
        <v>0</v>
      </c>
      <c r="O5539">
        <v>-0.20410010000000001</v>
      </c>
      <c r="P5539">
        <v>0.987869</v>
      </c>
      <c r="Q5539">
        <v>7.8411920000000003E-3</v>
      </c>
      <c r="R5539">
        <v>-0.15509220000000001</v>
      </c>
      <c r="S5539">
        <v>3.028168</v>
      </c>
      <c r="T5539">
        <v>-0.26227209999999901</v>
      </c>
      <c r="U5539">
        <v>-7.1136469999999993E-2</v>
      </c>
      <c r="V5539">
        <v>-4.9852439999999998E-2</v>
      </c>
      <c r="W5539">
        <v>2.1475879999999999E-2</v>
      </c>
      <c r="X5539">
        <v>0.99852569999999996</v>
      </c>
      <c r="Y5539">
        <v>-0.17964630000000001</v>
      </c>
      <c r="Z5539">
        <v>2.5302979999999999E-2</v>
      </c>
      <c r="AA5539">
        <v>0.9834058</v>
      </c>
      <c r="AB5539">
        <v>13</v>
      </c>
      <c r="AC5539">
        <v>12.7004</v>
      </c>
      <c r="AD5539">
        <v>-1.1052625024314999</v>
      </c>
      <c r="AE5539">
        <v>-0.28894999999999899</v>
      </c>
      <c r="AF5539">
        <v>-2.2921800904599898</v>
      </c>
      <c r="AG5539">
        <v>-1.1052625024314999</v>
      </c>
      <c r="AH5539">
        <v>12.398137603045701</v>
      </c>
      <c r="AI5539">
        <v>95.009848229605296</v>
      </c>
      <c r="AJ5539">
        <v>100.47462549150799</v>
      </c>
      <c r="AK5539">
        <v>12.656599495537399</v>
      </c>
    </row>
    <row r="5540" spans="1:37" x14ac:dyDescent="0.2">
      <c r="A5540" t="str">
        <f>"20200111160013161"</f>
        <v>20200111160013161</v>
      </c>
      <c r="B5540" t="str">
        <f>"1578729613156828"</f>
        <v>1578729613156828</v>
      </c>
      <c r="C5540" t="s">
        <v>37</v>
      </c>
      <c r="D5540">
        <v>4.8154309999999896</v>
      </c>
      <c r="E5540">
        <v>0.45390779999999997</v>
      </c>
      <c r="F5540" t="s">
        <v>39</v>
      </c>
      <c r="G5540">
        <v>-272.5299</v>
      </c>
      <c r="H5540" s="1">
        <v>-4.4438649999999998E-7</v>
      </c>
      <c r="I5540">
        <v>-59.457369999999997</v>
      </c>
      <c r="J5540">
        <v>-285.29180000000002</v>
      </c>
      <c r="K5540">
        <v>1.10514</v>
      </c>
      <c r="L5540">
        <v>-59.171050000000001</v>
      </c>
      <c r="M5540">
        <v>0.97924149999999999</v>
      </c>
      <c r="N5540">
        <v>0</v>
      </c>
      <c r="O5540">
        <v>-0.20223329999999901</v>
      </c>
      <c r="P5540">
        <v>0.98814619999999997</v>
      </c>
      <c r="Q5540">
        <v>7.6709279999999996E-3</v>
      </c>
      <c r="R5540">
        <v>-0.15332509999999999</v>
      </c>
      <c r="S5540">
        <v>3.0278320000000001</v>
      </c>
      <c r="T5540">
        <v>-0.26082060000000001</v>
      </c>
      <c r="U5540">
        <v>-7.0404049999999996E-2</v>
      </c>
      <c r="V5540">
        <v>-4.9728349999999998E-2</v>
      </c>
      <c r="W5540">
        <v>2.129853E-2</v>
      </c>
      <c r="X5540">
        <v>0.99853559999999997</v>
      </c>
      <c r="Y5540">
        <v>-0.17803389999999999</v>
      </c>
      <c r="Z5540">
        <v>2.4939369999999999E-2</v>
      </c>
      <c r="AA5540">
        <v>0.98370829999999998</v>
      </c>
      <c r="AB5540">
        <v>13</v>
      </c>
      <c r="AC5540">
        <v>12.761900000000001</v>
      </c>
      <c r="AD5540">
        <v>-1.1051404443865001</v>
      </c>
      <c r="AE5540">
        <v>-0.28631999999999602</v>
      </c>
      <c r="AF5540">
        <v>-2.2836045749896998</v>
      </c>
      <c r="AG5540">
        <v>-1.1051404443865001</v>
      </c>
      <c r="AH5540">
        <v>12.4626538428816</v>
      </c>
      <c r="AI5540">
        <v>94.984949216943207</v>
      </c>
      <c r="AJ5540">
        <v>100.383452207041</v>
      </c>
      <c r="AK5540">
        <v>12.718251690551799</v>
      </c>
    </row>
    <row r="5541" spans="1:37" x14ac:dyDescent="0.2">
      <c r="A5541" t="str">
        <f>"20200111160013173"</f>
        <v>20200111160013173</v>
      </c>
      <c r="B5541" t="str">
        <f>"1578729613166588"</f>
        <v>1578729613166588</v>
      </c>
      <c r="C5541" t="s">
        <v>37</v>
      </c>
      <c r="D5541">
        <v>4.7777479999999999</v>
      </c>
      <c r="E5541">
        <v>0.45417959999999902</v>
      </c>
      <c r="F5541" t="s">
        <v>39</v>
      </c>
      <c r="G5541">
        <v>-272.41570000000002</v>
      </c>
      <c r="H5541" s="1">
        <v>-3.953669E-7</v>
      </c>
      <c r="I5541">
        <v>-59.457500000000003</v>
      </c>
      <c r="J5541">
        <v>-285.226</v>
      </c>
      <c r="K5541">
        <v>1.1050199999999999</v>
      </c>
      <c r="L5541">
        <v>-59.182589999999998</v>
      </c>
      <c r="M5541">
        <v>0.97957490000000003</v>
      </c>
      <c r="N5541">
        <v>0</v>
      </c>
      <c r="O5541">
        <v>-0.20061279999999901</v>
      </c>
      <c r="P5541">
        <v>0.98840720000000004</v>
      </c>
      <c r="Q5541">
        <v>7.2503309999999996E-3</v>
      </c>
      <c r="R5541">
        <v>-0.1516537</v>
      </c>
      <c r="S5541">
        <v>3.0275270000000001</v>
      </c>
      <c r="T5541">
        <v>-0.25984760000000001</v>
      </c>
      <c r="U5541">
        <v>-6.7352289999999995E-2</v>
      </c>
      <c r="V5541">
        <v>-4.9759270000000001E-2</v>
      </c>
      <c r="W5541">
        <v>2.0871859999999999E-2</v>
      </c>
      <c r="X5541">
        <v>0.99854310000000002</v>
      </c>
      <c r="Y5541">
        <v>-0.17741299999999999</v>
      </c>
      <c r="Z5541">
        <v>2.4686820000000002E-2</v>
      </c>
      <c r="AA5541">
        <v>0.9838268</v>
      </c>
      <c r="AB5541">
        <v>13</v>
      </c>
      <c r="AC5541">
        <v>12.8102999999999</v>
      </c>
      <c r="AD5541">
        <v>-1.1050203953669</v>
      </c>
      <c r="AE5541">
        <v>-0.27490999999999799</v>
      </c>
      <c r="AF5541">
        <v>-2.2838450480351802</v>
      </c>
      <c r="AG5541">
        <v>-1.1050203953669</v>
      </c>
      <c r="AH5541">
        <v>12.5119243274741</v>
      </c>
      <c r="AI5541">
        <v>94.965494759989596</v>
      </c>
      <c r="AJ5541">
        <v>100.34451337991</v>
      </c>
      <c r="AK5541">
        <v>12.766568397735201</v>
      </c>
    </row>
    <row r="5542" spans="1:37" x14ac:dyDescent="0.2">
      <c r="A5542" t="str">
        <f>"20200111160013184"</f>
        <v>20200111160013184</v>
      </c>
      <c r="B5542" t="str">
        <f>"1578729613176348"</f>
        <v>1578729613176348</v>
      </c>
      <c r="C5542" t="s">
        <v>37</v>
      </c>
      <c r="D5542">
        <v>4.745431</v>
      </c>
      <c r="E5542">
        <v>0.45450760000000001</v>
      </c>
      <c r="F5542" t="s">
        <v>39</v>
      </c>
      <c r="G5542">
        <v>-272.30220000000003</v>
      </c>
      <c r="H5542" s="1">
        <v>-3.4626030000000001E-7</v>
      </c>
      <c r="I5542">
        <v>-59.459449999999997</v>
      </c>
      <c r="J5542">
        <v>-285.16129999999998</v>
      </c>
      <c r="K5542">
        <v>1.1049009999999999</v>
      </c>
      <c r="L5542">
        <v>-59.193969999999901</v>
      </c>
      <c r="M5542">
        <v>0.97988790000000003</v>
      </c>
      <c r="N5542">
        <v>0</v>
      </c>
      <c r="O5542">
        <v>-0.19907939999999999</v>
      </c>
      <c r="P5542">
        <v>0.98862490000000003</v>
      </c>
      <c r="Q5542">
        <v>6.8710219999999897E-3</v>
      </c>
      <c r="R5542">
        <v>-0.15024579999999901</v>
      </c>
      <c r="S5542">
        <v>3.0271300000000001</v>
      </c>
      <c r="T5542">
        <v>-0.25882769999999999</v>
      </c>
      <c r="U5542">
        <v>-6.4849850000000001E-2</v>
      </c>
      <c r="V5542">
        <v>-4.9612539999999997E-2</v>
      </c>
      <c r="W5542">
        <v>2.048761E-2</v>
      </c>
      <c r="X5542">
        <v>0.99855839999999996</v>
      </c>
      <c r="Y5542">
        <v>-0.17670139999999901</v>
      </c>
      <c r="Z5542">
        <v>2.4434999999999998E-2</v>
      </c>
      <c r="AA5542">
        <v>0.98396119999999898</v>
      </c>
      <c r="AB5542">
        <v>13</v>
      </c>
      <c r="AC5542">
        <v>12.8590999999999</v>
      </c>
      <c r="AD5542">
        <v>-1.1049013462602999</v>
      </c>
      <c r="AE5542">
        <v>-0.26548000000000299</v>
      </c>
      <c r="AF5542">
        <v>-2.2832069851601999</v>
      </c>
      <c r="AG5542">
        <v>-1.1049013462602999</v>
      </c>
      <c r="AH5542">
        <v>12.561809126059</v>
      </c>
      <c r="AI5542">
        <v>94.946016800070097</v>
      </c>
      <c r="AJ5542">
        <v>100.30149837605499</v>
      </c>
      <c r="AK5542">
        <v>12.8153380619315</v>
      </c>
    </row>
    <row r="5543" spans="1:37" x14ac:dyDescent="0.2">
      <c r="A5543" t="str">
        <f>"20200111160013196"</f>
        <v>20200111160013196</v>
      </c>
      <c r="B5543" t="str">
        <f>"1578729613186109"</f>
        <v>1578729613186109</v>
      </c>
      <c r="C5543" t="s">
        <v>37</v>
      </c>
      <c r="D5543">
        <v>4.852665</v>
      </c>
      <c r="E5543">
        <v>0.45491239999999999</v>
      </c>
      <c r="F5543" t="s">
        <v>39</v>
      </c>
      <c r="G5543">
        <v>-272.17860000000002</v>
      </c>
      <c r="H5543" s="1">
        <v>-2.9151289999999998E-7</v>
      </c>
      <c r="I5543">
        <v>-59.467169999999903</v>
      </c>
      <c r="J5543">
        <v>-285.096</v>
      </c>
      <c r="K5543">
        <v>1.1047799999999901</v>
      </c>
      <c r="L5543">
        <v>-59.205539999999999</v>
      </c>
      <c r="M5543">
        <v>0.98015490000000005</v>
      </c>
      <c r="N5543">
        <v>0</v>
      </c>
      <c r="O5543">
        <v>-0.19776160000000001</v>
      </c>
      <c r="P5543">
        <v>0.98885689999999904</v>
      </c>
      <c r="Q5543">
        <v>6.0814469999999898E-3</v>
      </c>
      <c r="R5543">
        <v>-0.1487445</v>
      </c>
      <c r="S5543">
        <v>3.0266419999999998</v>
      </c>
      <c r="T5543">
        <v>-0.25758389999999998</v>
      </c>
      <c r="U5543">
        <v>-6.3690189999999994E-2</v>
      </c>
      <c r="V5543">
        <v>-4.9780459999999999E-2</v>
      </c>
      <c r="W5543">
        <v>1.9693829999999999E-2</v>
      </c>
      <c r="X5543">
        <v>0.99856599999999995</v>
      </c>
      <c r="Y5543">
        <v>-0.17577209999999999</v>
      </c>
      <c r="Z5543">
        <v>2.4172570000000001E-2</v>
      </c>
      <c r="AA5543">
        <v>0.98413410000000001</v>
      </c>
      <c r="AB5543">
        <v>13</v>
      </c>
      <c r="AC5543">
        <v>12.917399999999899</v>
      </c>
      <c r="AD5543">
        <v>-1.1047802915128999</v>
      </c>
      <c r="AE5543">
        <v>-0.26162999999999598</v>
      </c>
      <c r="AF5543">
        <v>-2.28165934460942</v>
      </c>
      <c r="AG5543">
        <v>-1.1047802915128999</v>
      </c>
      <c r="AH5543">
        <v>12.6216931904198</v>
      </c>
      <c r="AI5543">
        <v>94.922975889586496</v>
      </c>
      <c r="AJ5543">
        <v>100.246858835392</v>
      </c>
      <c r="AK5543">
        <v>12.8737581090546</v>
      </c>
    </row>
    <row r="5544" spans="1:37" x14ac:dyDescent="0.2">
      <c r="A5544" t="str">
        <f>"20200111160013207"</f>
        <v>20200111160013207</v>
      </c>
      <c r="B5544" t="str">
        <f>"1578729613196844"</f>
        <v>1578729613196844</v>
      </c>
      <c r="C5544" t="s">
        <v>37</v>
      </c>
      <c r="D5544">
        <v>4.842638</v>
      </c>
      <c r="E5544">
        <v>0.45534949999999902</v>
      </c>
      <c r="F5544" t="s">
        <v>39</v>
      </c>
      <c r="G5544">
        <v>-272.20229999999998</v>
      </c>
      <c r="H5544" s="1">
        <v>-3.0050379999999999E-7</v>
      </c>
      <c r="I5544">
        <v>-59.472630000000002</v>
      </c>
      <c r="J5544">
        <v>-285.02999999999997</v>
      </c>
      <c r="K5544">
        <v>1.1046579999999999</v>
      </c>
      <c r="L5544">
        <v>-59.217289999999998</v>
      </c>
      <c r="M5544">
        <v>0.98041089999999997</v>
      </c>
      <c r="N5544">
        <v>0</v>
      </c>
      <c r="O5544">
        <v>-0.1964912</v>
      </c>
      <c r="P5544">
        <v>0.98908809999999903</v>
      </c>
      <c r="Q5544">
        <v>5.37418599999999E-3</v>
      </c>
      <c r="R5544">
        <v>-0.14722939999999901</v>
      </c>
      <c r="S5544">
        <v>3.02597</v>
      </c>
      <c r="T5544">
        <v>-0.25927689999999998</v>
      </c>
      <c r="U5544">
        <v>-6.268311E-2</v>
      </c>
      <c r="V5544">
        <v>-5.0012069999999999E-2</v>
      </c>
      <c r="W5544">
        <v>1.8983960000000001E-2</v>
      </c>
      <c r="X5544">
        <v>0.99856819999999902</v>
      </c>
      <c r="Y5544">
        <v>-0.17480899999999999</v>
      </c>
      <c r="Z5544">
        <v>2.4188379999999999E-2</v>
      </c>
      <c r="AA5544">
        <v>0.98430519999999999</v>
      </c>
      <c r="AB5544">
        <v>13</v>
      </c>
      <c r="AC5544">
        <v>12.827699999999901</v>
      </c>
      <c r="AD5544">
        <v>-1.1046583005038</v>
      </c>
      <c r="AE5544">
        <v>-0.25533999999999601</v>
      </c>
      <c r="AF5544">
        <v>-2.2536964805614299</v>
      </c>
      <c r="AG5544">
        <v>-1.1046583005038</v>
      </c>
      <c r="AH5544">
        <v>12.534842216963501</v>
      </c>
      <c r="AI5544">
        <v>94.957214520753993</v>
      </c>
      <c r="AJ5544">
        <v>100.19257205000901</v>
      </c>
      <c r="AK5544">
        <v>12.7836492126285</v>
      </c>
    </row>
    <row r="5545" spans="1:37" x14ac:dyDescent="0.2">
      <c r="A5545" t="str">
        <f>"20200111160013219"</f>
        <v>20200111160013219</v>
      </c>
      <c r="B5545" t="str">
        <f>"1578729613216364"</f>
        <v>1578729613216364</v>
      </c>
      <c r="C5545" t="s">
        <v>37</v>
      </c>
      <c r="D5545">
        <v>4.8096589999999999</v>
      </c>
      <c r="E5545">
        <v>0.455879599999999</v>
      </c>
      <c r="F5545" t="s">
        <v>39</v>
      </c>
      <c r="G5545">
        <v>-272.13780000000003</v>
      </c>
      <c r="H5545" s="1">
        <v>-2.7097139999999999E-7</v>
      </c>
      <c r="I5545">
        <v>-59.481029999999997</v>
      </c>
      <c r="J5545">
        <v>-284.96019999999999</v>
      </c>
      <c r="K5545">
        <v>1.1045209999999901</v>
      </c>
      <c r="L5545">
        <v>-59.229769999999903</v>
      </c>
      <c r="M5545">
        <v>0.98063809999999996</v>
      </c>
      <c r="N5545">
        <v>0</v>
      </c>
      <c r="O5545">
        <v>-0.19535379999999899</v>
      </c>
      <c r="P5545">
        <v>0.98930750000000001</v>
      </c>
      <c r="Q5545">
        <v>4.4167449999999997E-3</v>
      </c>
      <c r="R5545">
        <v>-0.14577660000000001</v>
      </c>
      <c r="S5545">
        <v>3.02526899999999</v>
      </c>
      <c r="T5545">
        <v>-0.25921820000000001</v>
      </c>
      <c r="U5545">
        <v>-6.1889649999999997E-2</v>
      </c>
      <c r="V5545">
        <v>-5.0314850000000001E-2</v>
      </c>
      <c r="W5545">
        <v>1.8025679999999999E-2</v>
      </c>
      <c r="X5545">
        <v>0.99857070000000003</v>
      </c>
      <c r="Y5545">
        <v>-0.17392759999999999</v>
      </c>
      <c r="Z5545">
        <v>2.4055259999999998E-2</v>
      </c>
      <c r="AA5545">
        <v>0.98446460000000002</v>
      </c>
      <c r="AB5545">
        <v>13</v>
      </c>
      <c r="AC5545">
        <v>12.822399999999901</v>
      </c>
      <c r="AD5545">
        <v>-1.1045212709713901</v>
      </c>
      <c r="AE5545">
        <v>-0.25126000000000898</v>
      </c>
      <c r="AF5545">
        <v>-2.2420891605183599</v>
      </c>
      <c r="AG5545">
        <v>-1.1045212709713901</v>
      </c>
      <c r="AH5545">
        <v>12.5314426729239</v>
      </c>
      <c r="AI5545">
        <v>94.958692845317302</v>
      </c>
      <c r="AJ5545">
        <v>100.143863003063</v>
      </c>
      <c r="AK5545">
        <v>12.7782622647417</v>
      </c>
    </row>
    <row r="5546" spans="1:37" x14ac:dyDescent="0.2">
      <c r="A5546" t="str">
        <f>"20200111160013231"</f>
        <v>20200111160013231</v>
      </c>
      <c r="B5546" t="str">
        <f>"1578729613226124"</f>
        <v>1578729613226124</v>
      </c>
      <c r="C5546" t="s">
        <v>37</v>
      </c>
      <c r="D5546">
        <v>4.8561540000000001</v>
      </c>
      <c r="E5546">
        <v>0.45630680000000001</v>
      </c>
      <c r="F5546" t="s">
        <v>39</v>
      </c>
      <c r="G5546">
        <v>-272.1155</v>
      </c>
      <c r="H5546" s="1">
        <v>-2.5863370000000001E-7</v>
      </c>
      <c r="I5546">
        <v>-59.493519999999997</v>
      </c>
      <c r="J5546">
        <v>-284.89550000000003</v>
      </c>
      <c r="K5546">
        <v>1.1044</v>
      </c>
      <c r="L5546">
        <v>-59.241489999999999</v>
      </c>
      <c r="M5546">
        <v>0.98082389999999997</v>
      </c>
      <c r="N5546">
        <v>0</v>
      </c>
      <c r="O5546">
        <v>-0.19442010000000001</v>
      </c>
      <c r="P5546">
        <v>0.989457699999999</v>
      </c>
      <c r="Q5546">
        <v>3.0292499999999998E-3</v>
      </c>
      <c r="R5546">
        <v>-0.14478959999999999</v>
      </c>
      <c r="S5546">
        <v>3.0244450000000001</v>
      </c>
      <c r="T5546">
        <v>-0.2600732</v>
      </c>
      <c r="U5546">
        <v>-6.2103270000000002E-2</v>
      </c>
      <c r="V5546">
        <v>-5.0356529999999997E-2</v>
      </c>
      <c r="W5546">
        <v>1.663829E-2</v>
      </c>
      <c r="X5546">
        <v>0.9985927</v>
      </c>
      <c r="Y5546">
        <v>-0.1729127</v>
      </c>
      <c r="Z5546">
        <v>2.4018379999999999E-2</v>
      </c>
      <c r="AA5546">
        <v>0.98464430000000003</v>
      </c>
      <c r="AB5546">
        <v>13</v>
      </c>
      <c r="AC5546">
        <v>12.78</v>
      </c>
      <c r="AD5546">
        <v>-1.1044002586337001</v>
      </c>
      <c r="AE5546">
        <v>-0.25202999999999698</v>
      </c>
      <c r="AF5546">
        <v>-2.2211187952437901</v>
      </c>
      <c r="AG5546">
        <v>-1.1044002586337001</v>
      </c>
      <c r="AH5546">
        <v>12.4918451766587</v>
      </c>
      <c r="AI5546">
        <v>94.974741255611704</v>
      </c>
      <c r="AJ5546">
        <v>100.082137762896</v>
      </c>
      <c r="AK5546">
        <v>12.7357475065842</v>
      </c>
    </row>
    <row r="5547" spans="1:37" x14ac:dyDescent="0.2">
      <c r="A5547" t="str">
        <f>"20200111160013242"</f>
        <v>20200111160013242</v>
      </c>
      <c r="B5547" t="str">
        <f>"1578729613236860"</f>
        <v>1578729613236860</v>
      </c>
      <c r="C5547" t="s">
        <v>37</v>
      </c>
      <c r="D5547">
        <v>4.9337349999999898</v>
      </c>
      <c r="E5547">
        <v>0.45673959999999902</v>
      </c>
      <c r="F5547" t="s">
        <v>39</v>
      </c>
      <c r="G5547">
        <v>-272.16250000000002</v>
      </c>
      <c r="H5547" s="1">
        <v>-2.7623399999999998E-7</v>
      </c>
      <c r="I5547">
        <v>-59.505200000000002</v>
      </c>
      <c r="J5547">
        <v>-284.8279</v>
      </c>
      <c r="K5547">
        <v>1.1042780000000001</v>
      </c>
      <c r="L5547">
        <v>-59.253779999999999</v>
      </c>
      <c r="M5547">
        <v>0.98099509999999901</v>
      </c>
      <c r="N5547">
        <v>0</v>
      </c>
      <c r="O5547">
        <v>-0.19355639999999999</v>
      </c>
      <c r="P5547">
        <v>0.98963429999999997</v>
      </c>
      <c r="Q5547">
        <v>1.6261750000000001E-3</v>
      </c>
      <c r="R5547">
        <v>-0.143602799999999</v>
      </c>
      <c r="S5547">
        <v>3.0235599999999998</v>
      </c>
      <c r="T5547">
        <v>-0.2622506</v>
      </c>
      <c r="U5547">
        <v>-6.2622070000000002E-2</v>
      </c>
      <c r="V5547">
        <v>-5.0671939999999999E-2</v>
      </c>
      <c r="W5547">
        <v>1.5236090000000001E-2</v>
      </c>
      <c r="X5547">
        <v>0.99859909999999996</v>
      </c>
      <c r="Y5547">
        <v>-0.17185449999999999</v>
      </c>
      <c r="Z5547">
        <v>2.4106249999999999E-2</v>
      </c>
      <c r="AA5547">
        <v>0.98482729999999996</v>
      </c>
      <c r="AB5547">
        <v>13</v>
      </c>
      <c r="AC5547">
        <v>12.665399999999901</v>
      </c>
      <c r="AD5547">
        <v>-1.104278276234</v>
      </c>
      <c r="AE5547">
        <v>-0.25141999999999598</v>
      </c>
      <c r="AF5547">
        <v>-2.1884015561108598</v>
      </c>
      <c r="AG5547">
        <v>-1.104278276234</v>
      </c>
      <c r="AH5547">
        <v>12.3804332156437</v>
      </c>
      <c r="AI5547">
        <v>95.019624742279603</v>
      </c>
      <c r="AJ5547">
        <v>100.024222645921</v>
      </c>
      <c r="AK5547">
        <v>12.6207629915613</v>
      </c>
    </row>
    <row r="5548" spans="1:37" x14ac:dyDescent="0.2">
      <c r="A5548" t="str">
        <f>"20200111160013253"</f>
        <v>20200111160013253</v>
      </c>
      <c r="B5548" t="str">
        <f>"1578729613246620"</f>
        <v>1578729613246620</v>
      </c>
      <c r="C5548" t="s">
        <v>37</v>
      </c>
      <c r="D5548">
        <v>4.8253779999999997</v>
      </c>
      <c r="E5548">
        <v>0.45704240000000002</v>
      </c>
      <c r="F5548" t="s">
        <v>39</v>
      </c>
      <c r="G5548">
        <v>-272.19990000000001</v>
      </c>
      <c r="H5548" s="1">
        <v>-2.9012540000000001E-7</v>
      </c>
      <c r="I5548">
        <v>-59.514879999999998</v>
      </c>
      <c r="J5548">
        <v>-284.76650000000001</v>
      </c>
      <c r="K5548">
        <v>1.1041749999999999</v>
      </c>
      <c r="L5548">
        <v>-59.26511</v>
      </c>
      <c r="M5548">
        <v>0.98111659999999901</v>
      </c>
      <c r="N5548">
        <v>0</v>
      </c>
      <c r="O5548">
        <v>-0.19293949999999899</v>
      </c>
      <c r="P5548">
        <v>0.98975469999999899</v>
      </c>
      <c r="Q5548">
        <v>-4.4217710000000001E-4</v>
      </c>
      <c r="R5548">
        <v>-0.14277770000000001</v>
      </c>
      <c r="S5548">
        <v>3.0227970000000002</v>
      </c>
      <c r="T5548">
        <v>-0.26433400000000001</v>
      </c>
      <c r="U5548">
        <v>-6.25E-2</v>
      </c>
      <c r="V5548">
        <v>-5.0874849999999999E-2</v>
      </c>
      <c r="W5548">
        <v>1.316969E-2</v>
      </c>
      <c r="X5548">
        <v>0.99861819999999901</v>
      </c>
      <c r="Y5548">
        <v>-0.17125190000000001</v>
      </c>
      <c r="Z5548">
        <v>2.422386E-2</v>
      </c>
      <c r="AA5548">
        <v>0.98492939999999995</v>
      </c>
      <c r="AB5548">
        <v>13</v>
      </c>
      <c r="AC5548">
        <v>12.5665999999999</v>
      </c>
      <c r="AD5548">
        <v>-1.1041752901253901</v>
      </c>
      <c r="AE5548">
        <v>-0.24977000000000499</v>
      </c>
      <c r="AF5548">
        <v>-2.1630481623989199</v>
      </c>
      <c r="AG5548">
        <v>-1.1041752901253901</v>
      </c>
      <c r="AH5548">
        <v>12.283833951183</v>
      </c>
      <c r="AI5548">
        <v>95.059005624059694</v>
      </c>
      <c r="AJ5548">
        <v>99.986775895121596</v>
      </c>
      <c r="AK5548">
        <v>12.5216036099382</v>
      </c>
    </row>
    <row r="5549" spans="1:37" x14ac:dyDescent="0.2">
      <c r="A5549" t="str">
        <f>"20200111160013264"</f>
        <v>20200111160013264</v>
      </c>
      <c r="B5549" t="str">
        <f>"1578729613256380"</f>
        <v>1578729613256380</v>
      </c>
      <c r="C5549" t="s">
        <v>37</v>
      </c>
      <c r="D5549">
        <v>4.9416859999999998</v>
      </c>
      <c r="E5549">
        <v>0.45732669999999997</v>
      </c>
      <c r="F5549" t="s">
        <v>39</v>
      </c>
      <c r="G5549">
        <v>-272.37970000000001</v>
      </c>
      <c r="H5549" s="1">
        <v>-3.6596529999999998E-7</v>
      </c>
      <c r="I5549">
        <v>-59.520669999999903</v>
      </c>
      <c r="J5549">
        <v>-284.70569999999998</v>
      </c>
      <c r="K5549">
        <v>1.1040840000000001</v>
      </c>
      <c r="L5549">
        <v>-59.276309999999903</v>
      </c>
      <c r="M5549">
        <v>0.98122830000000005</v>
      </c>
      <c r="N5549">
        <v>0</v>
      </c>
      <c r="O5549">
        <v>-0.1923713</v>
      </c>
      <c r="P5549">
        <v>0.98991299999999904</v>
      </c>
      <c r="Q5549">
        <v>-2.2692350000000001E-3</v>
      </c>
      <c r="R5549">
        <v>-0.14165800000000001</v>
      </c>
      <c r="S5549">
        <v>3.0219119999999999</v>
      </c>
      <c r="T5549">
        <v>-0.26937719999999998</v>
      </c>
      <c r="U5549">
        <v>-6.2347409999999999E-2</v>
      </c>
      <c r="V5549">
        <v>-5.1424549999999999E-2</v>
      </c>
      <c r="W5549">
        <v>1.134545E-2</v>
      </c>
      <c r="X5549">
        <v>0.99861250000000001</v>
      </c>
      <c r="Y5549">
        <v>-0.17067570000000001</v>
      </c>
      <c r="Z5549">
        <v>2.461605E-2</v>
      </c>
      <c r="AA5549">
        <v>0.98501970000000005</v>
      </c>
      <c r="AB5549">
        <v>13</v>
      </c>
      <c r="AC5549">
        <v>12.325999999999899</v>
      </c>
      <c r="AD5549">
        <v>-1.1040843659652999</v>
      </c>
      <c r="AE5549">
        <v>-0.24435999999999999</v>
      </c>
      <c r="AF5549">
        <v>-2.1146321956119301</v>
      </c>
      <c r="AG5549">
        <v>-1.1040843659652999</v>
      </c>
      <c r="AH5549">
        <v>12.0461335538788</v>
      </c>
      <c r="AI5549">
        <v>95.158353069919499</v>
      </c>
      <c r="AJ5549">
        <v>99.956511856788197</v>
      </c>
      <c r="AK5549">
        <v>12.280065358448701</v>
      </c>
    </row>
    <row r="5550" spans="1:37" x14ac:dyDescent="0.2">
      <c r="A5550" t="str">
        <f>"20200111160013274"</f>
        <v>20200111160013274</v>
      </c>
      <c r="B5550" t="str">
        <f>"1578729613266139"</f>
        <v>1578729613266139</v>
      </c>
      <c r="C5550" t="s">
        <v>37</v>
      </c>
      <c r="D5550">
        <v>4.900226</v>
      </c>
      <c r="E5550">
        <v>0.45763469999999901</v>
      </c>
      <c r="F5550" t="s">
        <v>39</v>
      </c>
      <c r="G5550">
        <v>-272.54719999999998</v>
      </c>
      <c r="H5550" s="1">
        <v>-4.37562099999999E-7</v>
      </c>
      <c r="I5550">
        <v>-59.521929999999998</v>
      </c>
      <c r="J5550">
        <v>-284.647999999999</v>
      </c>
      <c r="K5550">
        <v>1.1039969999999999</v>
      </c>
      <c r="L5550">
        <v>-59.287140000000001</v>
      </c>
      <c r="M5550">
        <v>0.98129809999999995</v>
      </c>
      <c r="N5550">
        <v>0</v>
      </c>
      <c r="O5550">
        <v>-0.19201550000000001</v>
      </c>
      <c r="P5550">
        <v>0.99002279999999998</v>
      </c>
      <c r="Q5550">
        <v>-4.3708829999999999E-3</v>
      </c>
      <c r="R5550">
        <v>-0.14083999999999999</v>
      </c>
      <c r="S5550">
        <v>3.0211790000000001</v>
      </c>
      <c r="T5550">
        <v>-0.27434639999999999</v>
      </c>
      <c r="U5550">
        <v>-6.1035159999999998E-2</v>
      </c>
      <c r="V5550">
        <v>-5.188707E-2</v>
      </c>
      <c r="W5550">
        <v>9.2474730000000008E-3</v>
      </c>
      <c r="X5550">
        <v>0.99861009999999995</v>
      </c>
      <c r="Y5550">
        <v>-0.1706887</v>
      </c>
      <c r="Z5550">
        <v>2.504346E-2</v>
      </c>
      <c r="AA5550">
        <v>0.98500669999999901</v>
      </c>
      <c r="AB5550">
        <v>13</v>
      </c>
      <c r="AC5550">
        <v>12.1007999999999</v>
      </c>
      <c r="AD5550">
        <v>-1.1039974375621</v>
      </c>
      <c r="AE5550">
        <v>-0.234790000000003</v>
      </c>
      <c r="AF5550">
        <v>-2.07606119676357</v>
      </c>
      <c r="AG5550">
        <v>-1.1039974375621</v>
      </c>
      <c r="AH5550">
        <v>11.822306253981999</v>
      </c>
      <c r="AI5550">
        <v>95.255006692395796</v>
      </c>
      <c r="AJ5550">
        <v>99.959899966516005</v>
      </c>
      <c r="AK5550">
        <v>12.0538693205872</v>
      </c>
    </row>
    <row r="5551" spans="1:37" x14ac:dyDescent="0.2">
      <c r="A5551" t="str">
        <f>"20200111160013285"</f>
        <v>20200111160013285</v>
      </c>
      <c r="B5551" t="str">
        <f>"1578729613276876"</f>
        <v>1578729613276876</v>
      </c>
      <c r="C5551" t="s">
        <v>37</v>
      </c>
      <c r="D5551">
        <v>4.9783269999999904</v>
      </c>
      <c r="E5551">
        <v>0.45809629999999901</v>
      </c>
      <c r="F5551" t="s">
        <v>39</v>
      </c>
      <c r="G5551">
        <v>-272.7124</v>
      </c>
      <c r="H5551" s="1">
        <v>-5.0711980000000002E-7</v>
      </c>
      <c r="I5551">
        <v>-59.527729999999998</v>
      </c>
      <c r="J5551">
        <v>-284.58370000000002</v>
      </c>
      <c r="K5551">
        <v>1.1039000000000001</v>
      </c>
      <c r="L5551">
        <v>-59.299259999999997</v>
      </c>
      <c r="M5551">
        <v>0.98136999999999996</v>
      </c>
      <c r="N5551">
        <v>0</v>
      </c>
      <c r="O5551">
        <v>-0.19164719999999999</v>
      </c>
      <c r="P5551">
        <v>0.99018200000000001</v>
      </c>
      <c r="Q5551">
        <v>-5.9480590000000003E-3</v>
      </c>
      <c r="R5551">
        <v>-0.13965759999999999</v>
      </c>
      <c r="S5551">
        <v>3.0203250000000001</v>
      </c>
      <c r="T5551">
        <v>-0.27936729999999999</v>
      </c>
      <c r="U5551">
        <v>-6.0882569999999997E-2</v>
      </c>
      <c r="V5551">
        <v>-5.2703449999999999E-2</v>
      </c>
      <c r="W5551">
        <v>7.6753969999999996E-3</v>
      </c>
      <c r="X5551">
        <v>0.99858069999999899</v>
      </c>
      <c r="Y5551">
        <v>-0.17031070000000001</v>
      </c>
      <c r="Z5551">
        <v>2.545615E-2</v>
      </c>
      <c r="AA5551">
        <v>0.98506149999999904</v>
      </c>
      <c r="AB5551">
        <v>13</v>
      </c>
      <c r="AC5551">
        <v>11.8713</v>
      </c>
      <c r="AD5551">
        <v>-1.1039005071198</v>
      </c>
      <c r="AE5551">
        <v>-0.228470000000008</v>
      </c>
      <c r="AF5551">
        <v>-2.0334997156235501</v>
      </c>
      <c r="AG5551">
        <v>-1.1039005071198</v>
      </c>
      <c r="AH5551">
        <v>11.594778477045701</v>
      </c>
      <c r="AI5551">
        <v>95.357269104910699</v>
      </c>
      <c r="AJ5551">
        <v>99.947405366583197</v>
      </c>
      <c r="AK5551">
        <v>11.823392294719101</v>
      </c>
    </row>
    <row r="5552" spans="1:37" x14ac:dyDescent="0.2">
      <c r="A5552" t="str">
        <f>"20200111160013296"</f>
        <v>20200111160013296</v>
      </c>
      <c r="B5552" t="str">
        <f>"1578729613286636"</f>
        <v>1578729613286636</v>
      </c>
      <c r="C5552" t="s">
        <v>37</v>
      </c>
      <c r="D5552">
        <v>4.9734299999999996</v>
      </c>
      <c r="E5552">
        <v>0.45847379999999999</v>
      </c>
      <c r="F5552" t="s">
        <v>39</v>
      </c>
      <c r="G5552">
        <v>-272.75819999999999</v>
      </c>
      <c r="H5552" s="1">
        <v>-5.2456880000000003E-7</v>
      </c>
      <c r="I5552">
        <v>-59.537819999999897</v>
      </c>
      <c r="J5552">
        <v>-284.52099999999899</v>
      </c>
      <c r="K5552">
        <v>1.103817</v>
      </c>
      <c r="L5552">
        <v>-59.311250000000001</v>
      </c>
      <c r="M5552">
        <v>0.98140079999999996</v>
      </c>
      <c r="N5552">
        <v>0</v>
      </c>
      <c r="O5552">
        <v>-0.19149070000000001</v>
      </c>
      <c r="P5552">
        <v>0.99031159999999996</v>
      </c>
      <c r="Q5552">
        <v>-7.2802450000000003E-3</v>
      </c>
      <c r="R5552">
        <v>-0.13867260000000001</v>
      </c>
      <c r="S5552">
        <v>3.0194700000000001</v>
      </c>
      <c r="T5552">
        <v>-0.28186620000000001</v>
      </c>
      <c r="U5552">
        <v>-6.0913090000000003E-2</v>
      </c>
      <c r="V5552">
        <v>-5.3536260000000002E-2</v>
      </c>
      <c r="W5552">
        <v>6.3488709999999999E-3</v>
      </c>
      <c r="X5552">
        <v>0.99854569999999998</v>
      </c>
      <c r="Y5552">
        <v>-0.17011099999999901</v>
      </c>
      <c r="Z5552">
        <v>2.566643E-2</v>
      </c>
      <c r="AA5552">
        <v>0.98509059999999904</v>
      </c>
      <c r="AB5552">
        <v>13</v>
      </c>
      <c r="AC5552">
        <v>11.762799999999899</v>
      </c>
      <c r="AD5552">
        <v>-1.1038175245688</v>
      </c>
      <c r="AE5552">
        <v>-0.226569999999995</v>
      </c>
      <c r="AF5552">
        <v>-2.0125814077680402</v>
      </c>
      <c r="AG5552">
        <v>-1.1038175245688</v>
      </c>
      <c r="AH5552">
        <v>11.4873534718984</v>
      </c>
      <c r="AI5552">
        <v>95.406833819555501</v>
      </c>
      <c r="AJ5552">
        <v>99.937349643374603</v>
      </c>
      <c r="AK5552">
        <v>11.714443513832601</v>
      </c>
    </row>
    <row r="5553" spans="1:37" x14ac:dyDescent="0.2">
      <c r="A5553" t="str">
        <f>"20200111160013307"</f>
        <v>20200111160013307</v>
      </c>
      <c r="B5553" t="str">
        <f>"1578729613296396"</f>
        <v>1578729613296396</v>
      </c>
      <c r="C5553" t="s">
        <v>37</v>
      </c>
      <c r="D5553">
        <v>4.9380069999999998</v>
      </c>
      <c r="E5553">
        <v>0.45847379999999999</v>
      </c>
      <c r="F5553" t="s">
        <v>39</v>
      </c>
      <c r="G5553">
        <v>-272.71609999999998</v>
      </c>
      <c r="H5553" s="1">
        <v>-5.037492E-7</v>
      </c>
      <c r="I5553">
        <v>-59.550289999999997</v>
      </c>
      <c r="J5553">
        <v>-284.46129999999999</v>
      </c>
      <c r="K5553">
        <v>1.103745</v>
      </c>
      <c r="L5553">
        <v>-59.322719999999997</v>
      </c>
      <c r="M5553">
        <v>0.98142289999999999</v>
      </c>
      <c r="N5553">
        <v>0</v>
      </c>
      <c r="O5553">
        <v>-0.19137770000000001</v>
      </c>
      <c r="P5553">
        <v>0.99048320000000001</v>
      </c>
      <c r="Q5553">
        <v>-7.8982559999999993E-3</v>
      </c>
      <c r="R5553">
        <v>-0.1374079</v>
      </c>
      <c r="S5553">
        <v>3.018707</v>
      </c>
      <c r="T5553">
        <v>-0.28226489999999999</v>
      </c>
      <c r="U5553">
        <v>-6.1126710000000001E-2</v>
      </c>
      <c r="V5553">
        <v>-5.4695359999999998E-2</v>
      </c>
      <c r="W5553">
        <v>5.7380529999999999E-3</v>
      </c>
      <c r="X5553">
        <v>0.9984866</v>
      </c>
      <c r="Y5553">
        <v>-0.16991899999999999</v>
      </c>
      <c r="Z5553">
        <v>2.5689670000000001E-2</v>
      </c>
      <c r="AA5553">
        <v>0.98512310000000003</v>
      </c>
      <c r="AB5553">
        <v>13</v>
      </c>
      <c r="AC5553">
        <v>11.745200000000001</v>
      </c>
      <c r="AD5553">
        <v>-1.1037455037491899</v>
      </c>
      <c r="AE5553">
        <v>-0.22757000000000699</v>
      </c>
      <c r="AF5553">
        <v>-2.0068963453144</v>
      </c>
      <c r="AG5553">
        <v>-1.1037455037491899</v>
      </c>
      <c r="AH5553">
        <v>11.470364333684101</v>
      </c>
      <c r="AI5553">
        <v>95.414659204145295</v>
      </c>
      <c r="AJ5553">
        <v>99.924222424659106</v>
      </c>
      <c r="AK5553">
        <v>11.6968006320248</v>
      </c>
    </row>
    <row r="5554" spans="1:37" x14ac:dyDescent="0.2">
      <c r="A5554" t="str">
        <f>"20200111160013316"</f>
        <v>20200111160013316</v>
      </c>
      <c r="B5554" t="str">
        <f>"1578729613306156"</f>
        <v>1578729613306156</v>
      </c>
      <c r="C5554" t="s">
        <v>37</v>
      </c>
      <c r="D5554">
        <v>4.8681239999999999</v>
      </c>
      <c r="E5554">
        <v>0.45814779999999999</v>
      </c>
      <c r="F5554" t="s">
        <v>39</v>
      </c>
      <c r="G5554">
        <v>-272.73430000000002</v>
      </c>
      <c r="H5554" s="1">
        <v>-5.1266429999999997E-7</v>
      </c>
      <c r="I5554">
        <v>-59.545259999999999</v>
      </c>
      <c r="J5554">
        <v>-284.40039999999999</v>
      </c>
      <c r="K5554">
        <v>1.1036840000000001</v>
      </c>
      <c r="L5554">
        <v>-59.334559999999897</v>
      </c>
      <c r="M5554">
        <v>0.98141730000000005</v>
      </c>
      <c r="N5554">
        <v>0</v>
      </c>
      <c r="O5554">
        <v>-0.19140699999999999</v>
      </c>
      <c r="P5554">
        <v>0.99067659999999902</v>
      </c>
      <c r="Q5554">
        <v>-7.3786939999999999E-3</v>
      </c>
      <c r="R5554">
        <v>-0.13603599999999999</v>
      </c>
      <c r="S5554">
        <v>3.0186160000000002</v>
      </c>
      <c r="T5554">
        <v>-0.28411320000000001</v>
      </c>
      <c r="U5554">
        <v>-5.7281489999999997E-2</v>
      </c>
      <c r="V5554">
        <v>-5.610681E-2</v>
      </c>
      <c r="W5554">
        <v>6.2654249999999998E-3</v>
      </c>
      <c r="X5554">
        <v>0.99840509999999905</v>
      </c>
      <c r="Y5554">
        <v>-0.17117569999999999</v>
      </c>
      <c r="Z5554">
        <v>2.5920499999999999E-2</v>
      </c>
      <c r="AA5554">
        <v>0.98489950000000004</v>
      </c>
      <c r="AB5554">
        <v>13</v>
      </c>
      <c r="AC5554">
        <v>11.666099999999901</v>
      </c>
      <c r="AD5554">
        <v>-1.1036845126643</v>
      </c>
      <c r="AE5554">
        <v>-0.210700000000002</v>
      </c>
      <c r="AF5554">
        <v>-2.0084044503530398</v>
      </c>
      <c r="AG5554">
        <v>-1.1036845126643</v>
      </c>
      <c r="AH5554">
        <v>11.388795700617401</v>
      </c>
      <c r="AI5554">
        <v>95.451628019123604</v>
      </c>
      <c r="AJ5554">
        <v>100.001231944783</v>
      </c>
      <c r="AK5554">
        <v>11.617076889222</v>
      </c>
    </row>
    <row r="5555" spans="1:37" x14ac:dyDescent="0.2">
      <c r="A5555" t="str">
        <f>"20200111160013328"</f>
        <v>20200111160013328</v>
      </c>
      <c r="B5555" t="str">
        <f>"1578729613326652"</f>
        <v>1578729613326652</v>
      </c>
      <c r="C5555" t="s">
        <v>37</v>
      </c>
      <c r="D5555">
        <v>4.9579069999999996</v>
      </c>
      <c r="E5555">
        <v>0.45782240000000002</v>
      </c>
      <c r="F5555" t="s">
        <v>39</v>
      </c>
      <c r="G5555">
        <v>-272.5856</v>
      </c>
      <c r="H5555" s="1">
        <v>-4.5166089999999999E-7</v>
      </c>
      <c r="I5555">
        <v>-59.5325699999999</v>
      </c>
      <c r="J5555">
        <v>-284.33949999999999</v>
      </c>
      <c r="K5555">
        <v>1.103637</v>
      </c>
      <c r="L5555">
        <v>-59.346530000000001</v>
      </c>
      <c r="M5555">
        <v>0.98140070000000001</v>
      </c>
      <c r="N5555">
        <v>0</v>
      </c>
      <c r="O5555">
        <v>-0.19149189999999999</v>
      </c>
      <c r="P5555">
        <v>0.9908363</v>
      </c>
      <c r="Q5555">
        <v>-5.7359150000000003E-3</v>
      </c>
      <c r="R5555">
        <v>-0.1349466</v>
      </c>
      <c r="S5555">
        <v>3.019196</v>
      </c>
      <c r="T5555">
        <v>-0.28203899999999998</v>
      </c>
      <c r="U5555">
        <v>-5.059814E-2</v>
      </c>
      <c r="V5555">
        <v>-5.7288199999999997E-2</v>
      </c>
      <c r="W5555">
        <v>7.9157159999999997E-3</v>
      </c>
      <c r="X5555">
        <v>0.9983263</v>
      </c>
      <c r="Y5555">
        <v>-0.17345679999999999</v>
      </c>
      <c r="Z5555">
        <v>2.5842730000000001E-2</v>
      </c>
      <c r="AA5555">
        <v>0.984502399999999</v>
      </c>
      <c r="AB5555">
        <v>13</v>
      </c>
      <c r="AC5555">
        <v>11.7538999999999</v>
      </c>
      <c r="AD5555">
        <v>-1.1036374516609</v>
      </c>
      <c r="AE5555">
        <v>-0.18603999999999099</v>
      </c>
      <c r="AF5555">
        <v>-2.05031489075298</v>
      </c>
      <c r="AG5555">
        <v>-1.1036374516609</v>
      </c>
      <c r="AH5555">
        <v>11.470866863614001</v>
      </c>
      <c r="AI5555">
        <v>95.410411391977107</v>
      </c>
      <c r="AJ5555">
        <v>100.13409014274301</v>
      </c>
      <c r="AK5555">
        <v>11.704810693843299</v>
      </c>
    </row>
    <row r="5556" spans="1:37" x14ac:dyDescent="0.2">
      <c r="A5556" t="str">
        <f>"20200111160013340"</f>
        <v>20200111160013340</v>
      </c>
      <c r="B5556" t="str">
        <f>"1578729613336412"</f>
        <v>1578729613336412</v>
      </c>
      <c r="C5556" t="s">
        <v>37</v>
      </c>
      <c r="D5556">
        <v>4.940042</v>
      </c>
      <c r="E5556">
        <v>0.45666299999999999</v>
      </c>
      <c r="F5556" t="s">
        <v>89</v>
      </c>
      <c r="G5556">
        <v>-248.643</v>
      </c>
      <c r="H5556" s="1">
        <v>-2.7475730000000001E-6</v>
      </c>
      <c r="I5556">
        <v>-60.086979999999997</v>
      </c>
      <c r="J5556">
        <v>-284.27359999999999</v>
      </c>
      <c r="K5556">
        <v>1.103594</v>
      </c>
      <c r="L5556">
        <v>-59.3596199999999</v>
      </c>
      <c r="M5556">
        <v>0.98135890000000003</v>
      </c>
      <c r="N5556">
        <v>0</v>
      </c>
      <c r="O5556">
        <v>-0.1917055</v>
      </c>
      <c r="P5556">
        <v>0.99100390000000005</v>
      </c>
      <c r="Q5556">
        <v>-3.791329E-3</v>
      </c>
      <c r="R5556">
        <v>-0.1337777</v>
      </c>
      <c r="S5556">
        <v>3.0186769999999998</v>
      </c>
      <c r="T5556">
        <v>-9.3329309999999999E-2</v>
      </c>
      <c r="U5556">
        <v>-6.2622070000000002E-2</v>
      </c>
      <c r="V5556">
        <v>-5.8679059999999998E-2</v>
      </c>
      <c r="W5556">
        <v>9.8697170000000001E-3</v>
      </c>
      <c r="X5556">
        <v>0.99822809999999995</v>
      </c>
      <c r="Y5556">
        <v>-0.1711539</v>
      </c>
      <c r="Z5556">
        <v>8.5397119999999997E-3</v>
      </c>
      <c r="AA5556">
        <v>0.98520730000000001</v>
      </c>
      <c r="AB5556">
        <v>13</v>
      </c>
      <c r="AC5556">
        <v>35.630599999999902</v>
      </c>
      <c r="AD5556">
        <v>-1.103596747573</v>
      </c>
      <c r="AE5556">
        <v>-0.727360000000011</v>
      </c>
      <c r="AF5556">
        <v>-6.1114821411350899</v>
      </c>
      <c r="AG5556">
        <v>-1.103596747573</v>
      </c>
      <c r="AH5556">
        <v>35.075435032254703</v>
      </c>
      <c r="AI5556">
        <v>91.775401862107302</v>
      </c>
      <c r="AJ5556">
        <v>99.883891449175096</v>
      </c>
      <c r="AK5556">
        <v>35.620980930409303</v>
      </c>
    </row>
    <row r="5557" spans="1:37" x14ac:dyDescent="0.2">
      <c r="A5557" t="str">
        <f>"20200111160013352"</f>
        <v>20200111160013352</v>
      </c>
      <c r="B5557" t="str">
        <f>"1578729613346172"</f>
        <v>1578729613346172</v>
      </c>
      <c r="C5557" t="s">
        <v>37</v>
      </c>
      <c r="D5557">
        <v>4.987152</v>
      </c>
      <c r="E5557">
        <v>0.45781119999999997</v>
      </c>
      <c r="F5557" t="s">
        <v>88</v>
      </c>
      <c r="G5557">
        <v>-253.1224</v>
      </c>
      <c r="H5557" s="1">
        <v>-5.9248210000000002E-7</v>
      </c>
      <c r="I5557">
        <v>-59.855359999999997</v>
      </c>
      <c r="J5557">
        <v>-284.207999999999</v>
      </c>
      <c r="K5557">
        <v>1.103558</v>
      </c>
      <c r="L5557">
        <v>-59.372769999999903</v>
      </c>
      <c r="M5557">
        <v>0.98129730000000004</v>
      </c>
      <c r="N5557">
        <v>0</v>
      </c>
      <c r="O5557">
        <v>-0.19202089999999999</v>
      </c>
      <c r="P5557">
        <v>0.991143</v>
      </c>
      <c r="Q5557">
        <v>-6.3596669999999998E-4</v>
      </c>
      <c r="R5557">
        <v>-0.1327972</v>
      </c>
      <c r="S5557">
        <v>3.0202939999999998</v>
      </c>
      <c r="T5557">
        <v>-0.10700029999999899</v>
      </c>
      <c r="U5557">
        <v>-4.8065190000000001E-2</v>
      </c>
      <c r="V5557">
        <v>-5.9979629999999999E-2</v>
      </c>
      <c r="W5557">
        <v>1.3034280000000001E-2</v>
      </c>
      <c r="X5557">
        <v>0.99811450000000002</v>
      </c>
      <c r="Y5557">
        <v>-0.17616870000000001</v>
      </c>
      <c r="Z5557">
        <v>9.8856589999999998E-3</v>
      </c>
      <c r="AA5557">
        <v>0.98431029999999997</v>
      </c>
      <c r="AB5557">
        <v>13</v>
      </c>
      <c r="AC5557">
        <v>31.0855999999999</v>
      </c>
      <c r="AD5557">
        <v>-1.1035585924821001</v>
      </c>
      <c r="AE5557">
        <v>-0.48259000000000102</v>
      </c>
      <c r="AF5557">
        <v>-5.48910890576337</v>
      </c>
      <c r="AG5557">
        <v>-1.1035585924821001</v>
      </c>
      <c r="AH5557">
        <v>30.561184801040699</v>
      </c>
      <c r="AI5557">
        <v>92.035497374266598</v>
      </c>
      <c r="AJ5557">
        <v>100.182354506805</v>
      </c>
      <c r="AK5557">
        <v>31.069827398775999</v>
      </c>
    </row>
    <row r="5558" spans="1:37" x14ac:dyDescent="0.2">
      <c r="A5558" t="str">
        <f>"20200111160013362"</f>
        <v>20200111160013362</v>
      </c>
      <c r="B5558" t="str">
        <f>"1578729613356907"</f>
        <v>1578729613356907</v>
      </c>
      <c r="C5558" t="s">
        <v>37</v>
      </c>
      <c r="D5558">
        <v>5.0708120000000001</v>
      </c>
      <c r="E5558">
        <v>0.45869849999999901</v>
      </c>
      <c r="F5558" t="s">
        <v>88</v>
      </c>
      <c r="G5558">
        <v>-250.5284</v>
      </c>
      <c r="H5558" s="1">
        <v>5.4737600000000002E-7</v>
      </c>
      <c r="I5558">
        <v>-59.97766</v>
      </c>
      <c r="J5558">
        <v>-284.14580000000001</v>
      </c>
      <c r="K5558">
        <v>1.103534</v>
      </c>
      <c r="L5558">
        <v>-59.385350000000003</v>
      </c>
      <c r="M5558">
        <v>0.98122500000000001</v>
      </c>
      <c r="N5558">
        <v>0</v>
      </c>
      <c r="O5558">
        <v>-0.19239039999999999</v>
      </c>
      <c r="P5558">
        <v>0.991322699999999</v>
      </c>
      <c r="Q5558">
        <v>3.0915769999999999E-3</v>
      </c>
      <c r="R5558">
        <v>-0.131415</v>
      </c>
      <c r="S5558">
        <v>3.0194700000000001</v>
      </c>
      <c r="T5558">
        <v>-9.8937029999999995E-2</v>
      </c>
      <c r="U5558">
        <v>-5.4229739999999999E-2</v>
      </c>
      <c r="V5558">
        <v>-6.1735169999999999E-2</v>
      </c>
      <c r="W5558">
        <v>1.6771790000000002E-2</v>
      </c>
      <c r="X5558">
        <v>0.99795159999999905</v>
      </c>
      <c r="Y5558">
        <v>-0.17455970000000001</v>
      </c>
      <c r="Z5558">
        <v>9.1287099999999999E-3</v>
      </c>
      <c r="AA5558">
        <v>0.98460429999999999</v>
      </c>
      <c r="AB5558">
        <v>13</v>
      </c>
      <c r="AC5558">
        <v>33.617400000000004</v>
      </c>
      <c r="AD5558">
        <v>-1.1035334526239999</v>
      </c>
      <c r="AE5558">
        <v>-0.59230999999999701</v>
      </c>
      <c r="AF5558">
        <v>-5.88068077670117</v>
      </c>
      <c r="AG5558">
        <v>-1.1035334526239999</v>
      </c>
      <c r="AH5558">
        <v>33.067602955072502</v>
      </c>
      <c r="AI5558">
        <v>91.881862936863996</v>
      </c>
      <c r="AJ5558">
        <v>100.083950114896</v>
      </c>
      <c r="AK5558">
        <v>33.604561560491199</v>
      </c>
    </row>
    <row r="5559" spans="1:37" x14ac:dyDescent="0.2">
      <c r="A5559" t="str">
        <f>"20200111160013374"</f>
        <v>20200111160013374</v>
      </c>
      <c r="B5559" t="str">
        <f>"1578729613366668"</f>
        <v>1578729613366668</v>
      </c>
      <c r="C5559" t="s">
        <v>37</v>
      </c>
      <c r="D5559">
        <v>4.9683650000000004</v>
      </c>
      <c r="E5559">
        <v>0.45991320000000002</v>
      </c>
      <c r="F5559" t="s">
        <v>89</v>
      </c>
      <c r="G5559">
        <v>-244.17439999999999</v>
      </c>
      <c r="H5559" s="1">
        <v>-8.197273E-7</v>
      </c>
      <c r="I5559">
        <v>-60.148169999999901</v>
      </c>
      <c r="J5559">
        <v>-284.0804</v>
      </c>
      <c r="K5559">
        <v>1.103507</v>
      </c>
      <c r="L5559">
        <v>-59.398769999999899</v>
      </c>
      <c r="M5559">
        <v>0.9811221</v>
      </c>
      <c r="N5559">
        <v>0</v>
      </c>
      <c r="O5559">
        <v>-0.19291440000000001</v>
      </c>
      <c r="P5559">
        <v>0.99143689999999995</v>
      </c>
      <c r="Q5559">
        <v>6.7449399999999996E-3</v>
      </c>
      <c r="R5559">
        <v>-0.13041340000000001</v>
      </c>
      <c r="S5559">
        <v>3.0188290000000002</v>
      </c>
      <c r="T5559">
        <v>-8.3344340000000003E-2</v>
      </c>
      <c r="U5559">
        <v>-5.7617189999999999E-2</v>
      </c>
      <c r="V5559">
        <v>-6.3261139999999993E-2</v>
      </c>
      <c r="W5559">
        <v>2.0436119999999999E-2</v>
      </c>
      <c r="X5559">
        <v>0.9977878</v>
      </c>
      <c r="Y5559">
        <v>-0.1740341</v>
      </c>
      <c r="Z5559">
        <v>7.69900599999999E-3</v>
      </c>
      <c r="AA5559">
        <v>0.98470949999999902</v>
      </c>
      <c r="AB5559">
        <v>13</v>
      </c>
      <c r="AC5559">
        <v>39.905999999999999</v>
      </c>
      <c r="AD5559">
        <v>-1.1035078197273001</v>
      </c>
      <c r="AE5559">
        <v>-0.74940000000000095</v>
      </c>
      <c r="AF5559">
        <v>-6.9585088711441099</v>
      </c>
      <c r="AG5559">
        <v>-1.1035078197273001</v>
      </c>
      <c r="AH5559">
        <v>39.270815134037299</v>
      </c>
      <c r="AI5559">
        <v>91.584909037922898</v>
      </c>
      <c r="AJ5559">
        <v>100.04810929671299</v>
      </c>
      <c r="AK5559">
        <v>39.8978131795431</v>
      </c>
    </row>
    <row r="5560" spans="1:37" x14ac:dyDescent="0.2">
      <c r="A5560" t="str">
        <f>"20200111160013385"</f>
        <v>20200111160013385</v>
      </c>
      <c r="B5560" t="str">
        <f>"1578729613376428"</f>
        <v>1578729613376428</v>
      </c>
      <c r="C5560" t="s">
        <v>37</v>
      </c>
      <c r="D5560">
        <v>5.0734089999999998</v>
      </c>
      <c r="E5560">
        <v>0.4605322</v>
      </c>
      <c r="F5560" t="s">
        <v>89</v>
      </c>
      <c r="G5560">
        <v>-249.51499999999999</v>
      </c>
      <c r="H5560" s="1">
        <v>-3.1174999999999998E-6</v>
      </c>
      <c r="I5560">
        <v>-60.110590000000002</v>
      </c>
      <c r="J5560">
        <v>-284.01839999999999</v>
      </c>
      <c r="K5560">
        <v>1.1034790000000001</v>
      </c>
      <c r="L5560">
        <v>-59.411559999999902</v>
      </c>
      <c r="M5560">
        <v>0.98101729999999998</v>
      </c>
      <c r="N5560">
        <v>0</v>
      </c>
      <c r="O5560">
        <v>-0.1934476</v>
      </c>
      <c r="P5560">
        <v>0.99148389999999997</v>
      </c>
      <c r="Q5560">
        <v>9.243701E-3</v>
      </c>
      <c r="R5560">
        <v>-0.12990309999999999</v>
      </c>
      <c r="S5560">
        <v>3.018402</v>
      </c>
      <c r="T5560">
        <v>-9.6363309999999994E-2</v>
      </c>
      <c r="U5560">
        <v>-6.216431E-2</v>
      </c>
      <c r="V5560">
        <v>-6.4303360000000004E-2</v>
      </c>
      <c r="W5560">
        <v>2.2945119999999999E-2</v>
      </c>
      <c r="X5560">
        <v>0.99766659999999996</v>
      </c>
      <c r="Y5560">
        <v>-0.1730371</v>
      </c>
      <c r="Z5560">
        <v>8.9028179999999998E-3</v>
      </c>
      <c r="AA5560">
        <v>0.9848751</v>
      </c>
      <c r="AB5560">
        <v>13</v>
      </c>
      <c r="AC5560">
        <v>34.503399999999999</v>
      </c>
      <c r="AD5560">
        <v>-1.1034821175</v>
      </c>
      <c r="AE5560">
        <v>-0.69903000000000703</v>
      </c>
      <c r="AF5560">
        <v>-5.9832702970056602</v>
      </c>
      <c r="AG5560">
        <v>-1.1034821175</v>
      </c>
      <c r="AH5560">
        <v>33.952056127930803</v>
      </c>
      <c r="AI5560">
        <v>91.833295549698803</v>
      </c>
      <c r="AJ5560">
        <v>99.994446297581007</v>
      </c>
      <c r="AK5560">
        <v>34.492887840029297</v>
      </c>
    </row>
    <row r="5561" spans="1:37" x14ac:dyDescent="0.2">
      <c r="A5561" t="str">
        <f>"20200111160013395"</f>
        <v>20200111160013395</v>
      </c>
      <c r="B5561" t="str">
        <f>"1578729613386188"</f>
        <v>1578729613386188</v>
      </c>
      <c r="C5561" t="s">
        <v>37</v>
      </c>
      <c r="D5561">
        <v>5.0325169999999897</v>
      </c>
      <c r="E5561">
        <v>0.4605899</v>
      </c>
      <c r="F5561" t="s">
        <v>89</v>
      </c>
      <c r="G5561">
        <v>-245.85810000000001</v>
      </c>
      <c r="H5561" s="1">
        <v>-1.5252619999999901E-6</v>
      </c>
      <c r="I5561">
        <v>-60.242660000000001</v>
      </c>
      <c r="J5561">
        <v>-283.95240000000001</v>
      </c>
      <c r="K5561">
        <v>1.1034469999999901</v>
      </c>
      <c r="L5561">
        <v>-59.425449999999998</v>
      </c>
      <c r="M5561">
        <v>0.98087449999999998</v>
      </c>
      <c r="N5561">
        <v>0</v>
      </c>
      <c r="O5561">
        <v>-0.19416910000000001</v>
      </c>
      <c r="P5561">
        <v>0.99150090000000002</v>
      </c>
      <c r="Q5561">
        <v>1.090496E-2</v>
      </c>
      <c r="R5561">
        <v>-0.12964310000000001</v>
      </c>
      <c r="S5561">
        <v>3.018005</v>
      </c>
      <c r="T5561">
        <v>-8.7271689999999999E-2</v>
      </c>
      <c r="U5561">
        <v>-6.5734860000000006E-2</v>
      </c>
      <c r="V5561">
        <v>-6.5288819999999997E-2</v>
      </c>
      <c r="W5561">
        <v>2.461787E-2</v>
      </c>
      <c r="X5561">
        <v>0.99756270000000002</v>
      </c>
      <c r="Y5561">
        <v>-0.17262739999999999</v>
      </c>
      <c r="Z5561">
        <v>8.0786450000000006E-3</v>
      </c>
      <c r="AA5561">
        <v>0.98495409999999906</v>
      </c>
      <c r="AB5561">
        <v>13</v>
      </c>
      <c r="AC5561">
        <v>38.094299999999997</v>
      </c>
      <c r="AD5561">
        <v>-1.1034485252619901</v>
      </c>
      <c r="AE5561">
        <v>-0.81721000000000199</v>
      </c>
      <c r="AF5561">
        <v>-6.5902339895263999</v>
      </c>
      <c r="AG5561">
        <v>-1.1034485252619901</v>
      </c>
      <c r="AH5561">
        <v>37.4964025389406</v>
      </c>
      <c r="AI5561">
        <v>91.660188147331795</v>
      </c>
      <c r="AJ5561">
        <v>99.9682927001558</v>
      </c>
      <c r="AK5561">
        <v>38.087123625273698</v>
      </c>
    </row>
    <row r="5562" spans="1:37" x14ac:dyDescent="0.2">
      <c r="A5562" t="str">
        <f>"20200111160013409"</f>
        <v>20200111160013409</v>
      </c>
      <c r="B5562" t="str">
        <f>"1578729613406684"</f>
        <v>1578729613406684</v>
      </c>
      <c r="C5562" t="s">
        <v>37</v>
      </c>
      <c r="D5562">
        <v>5.1103529999999999</v>
      </c>
      <c r="E5562">
        <v>0.46126089999999997</v>
      </c>
      <c r="F5562" t="s">
        <v>89</v>
      </c>
      <c r="G5562">
        <v>-245.91370000000001</v>
      </c>
      <c r="H5562" s="1">
        <v>-1.5489919999999999E-6</v>
      </c>
      <c r="I5562">
        <v>-60.243479999999998</v>
      </c>
      <c r="J5562">
        <v>-283.88510000000002</v>
      </c>
      <c r="K5562">
        <v>1.103399</v>
      </c>
      <c r="L5562">
        <v>-59.439639999999997</v>
      </c>
      <c r="M5562">
        <v>0.98072000000000004</v>
      </c>
      <c r="N5562">
        <v>0</v>
      </c>
      <c r="O5562">
        <v>-0.19494739999999999</v>
      </c>
      <c r="P5562">
        <v>0.99135390000000001</v>
      </c>
      <c r="Q5562">
        <v>1.0798729999999999E-2</v>
      </c>
      <c r="R5562">
        <v>-0.13077079999999999</v>
      </c>
      <c r="S5562">
        <v>3.0181580000000001</v>
      </c>
      <c r="T5562">
        <v>-8.7552669999999999E-2</v>
      </c>
      <c r="U5562">
        <v>-6.4910889999999999E-2</v>
      </c>
      <c r="V5562">
        <v>-6.4943630000000002E-2</v>
      </c>
      <c r="W5562">
        <v>2.45210999999999E-2</v>
      </c>
      <c r="X5562">
        <v>0.99758760000000002</v>
      </c>
      <c r="Y5562">
        <v>-0.173677</v>
      </c>
      <c r="Z5562">
        <v>8.141733E-3</v>
      </c>
      <c r="AA5562">
        <v>0.98476900000000001</v>
      </c>
      <c r="AB5562">
        <v>13</v>
      </c>
      <c r="AC5562">
        <v>37.971400000000003</v>
      </c>
      <c r="AD5562">
        <v>-1.103400548992</v>
      </c>
      <c r="AE5562">
        <v>-0.803840000000001</v>
      </c>
      <c r="AF5562">
        <v>-6.6091133350089004</v>
      </c>
      <c r="AG5562">
        <v>-1.103400548992</v>
      </c>
      <c r="AH5562">
        <v>37.367915267354299</v>
      </c>
      <c r="AI5562">
        <v>91.665505153920606</v>
      </c>
      <c r="AJ5562">
        <v>100.029948969529</v>
      </c>
      <c r="AK5562">
        <v>37.963916595560598</v>
      </c>
    </row>
    <row r="5563" spans="1:37" x14ac:dyDescent="0.2">
      <c r="A5563" t="str">
        <f>"20200111160013421"</f>
        <v>20200111160013421</v>
      </c>
      <c r="B5563" t="str">
        <f>"1578729613416444"</f>
        <v>1578729613416444</v>
      </c>
      <c r="C5563" t="s">
        <v>37</v>
      </c>
      <c r="D5563">
        <v>5.0664980000000002</v>
      </c>
      <c r="E5563">
        <v>0.46119460000000001</v>
      </c>
      <c r="F5563" t="s">
        <v>89</v>
      </c>
      <c r="G5563">
        <v>-248.41299999999899</v>
      </c>
      <c r="H5563" s="1">
        <v>-2.6116900000000001E-6</v>
      </c>
      <c r="I5563">
        <v>-60.296959999999999</v>
      </c>
      <c r="J5563">
        <v>-283.81670000000003</v>
      </c>
      <c r="K5563">
        <v>1.103369</v>
      </c>
      <c r="L5563">
        <v>-59.454279999999997</v>
      </c>
      <c r="M5563">
        <v>0.98054439999999998</v>
      </c>
      <c r="N5563">
        <v>0</v>
      </c>
      <c r="O5563">
        <v>-0.19582939999999999</v>
      </c>
      <c r="P5563">
        <v>0.99129650000000002</v>
      </c>
      <c r="Q5563">
        <v>1.1953729999999999E-2</v>
      </c>
      <c r="R5563">
        <v>-0.13110459999999999</v>
      </c>
      <c r="S5563">
        <v>3.0175779999999999</v>
      </c>
      <c r="T5563">
        <v>-9.3865390000000007E-2</v>
      </c>
      <c r="U5563">
        <v>-7.2937009999999997E-2</v>
      </c>
      <c r="V5563">
        <v>-6.5495869999999998E-2</v>
      </c>
      <c r="W5563">
        <v>2.5687080000000001E-2</v>
      </c>
      <c r="X5563">
        <v>0.99752220000000003</v>
      </c>
      <c r="Y5563">
        <v>-0.17191779999999901</v>
      </c>
      <c r="Z5563">
        <v>8.7291469999999996E-3</v>
      </c>
      <c r="AA5563">
        <v>0.98507259999999996</v>
      </c>
      <c r="AB5563">
        <v>13</v>
      </c>
      <c r="AC5563">
        <v>35.403700000000001</v>
      </c>
      <c r="AD5563">
        <v>-1.1033716116900001</v>
      </c>
      <c r="AE5563">
        <v>-0.84267999999999399</v>
      </c>
      <c r="AF5563">
        <v>-6.1014377540545404</v>
      </c>
      <c r="AG5563">
        <v>-1.1033716116900001</v>
      </c>
      <c r="AH5563">
        <v>34.849293014280903</v>
      </c>
      <c r="AI5563">
        <v>91.786296048311101</v>
      </c>
      <c r="AJ5563">
        <v>99.930730445270399</v>
      </c>
      <c r="AK5563">
        <v>35.3965845128495</v>
      </c>
    </row>
    <row r="5564" spans="1:37" x14ac:dyDescent="0.2">
      <c r="A5564" t="str">
        <f>"20200111160013432"</f>
        <v>20200111160013432</v>
      </c>
      <c r="B5564" t="str">
        <f>"1578729613426204"</f>
        <v>1578729613426204</v>
      </c>
      <c r="C5564" t="s">
        <v>37</v>
      </c>
      <c r="D5564">
        <v>5.0436449999999997</v>
      </c>
      <c r="E5564">
        <v>0.4614568</v>
      </c>
      <c r="F5564" t="s">
        <v>89</v>
      </c>
      <c r="G5564">
        <v>-247.79079999999999</v>
      </c>
      <c r="H5564" s="1">
        <v>-2.3396570000000001E-6</v>
      </c>
      <c r="I5564">
        <v>-60.325669999999903</v>
      </c>
      <c r="J5564">
        <v>-283.75630000000001</v>
      </c>
      <c r="K5564">
        <v>1.103353</v>
      </c>
      <c r="L5564">
        <v>-59.467379999999999</v>
      </c>
      <c r="M5564">
        <v>0.98037609999999997</v>
      </c>
      <c r="N5564">
        <v>0</v>
      </c>
      <c r="O5564">
        <v>-0.19666979999999901</v>
      </c>
      <c r="P5564">
        <v>0.99115159999999902</v>
      </c>
      <c r="Q5564">
        <v>1.323423E-2</v>
      </c>
      <c r="R5564">
        <v>-0.13207569999999999</v>
      </c>
      <c r="S5564">
        <v>3.017792</v>
      </c>
      <c r="T5564">
        <v>-9.2426419999999995E-2</v>
      </c>
      <c r="U5564">
        <v>-7.2998049999999995E-2</v>
      </c>
      <c r="V5564">
        <v>-6.5365240000000005E-2</v>
      </c>
      <c r="W5564">
        <v>2.697457E-2</v>
      </c>
      <c r="X5564">
        <v>0.99749669999999901</v>
      </c>
      <c r="Y5564">
        <v>-0.1727486</v>
      </c>
      <c r="Z5564">
        <v>8.6328159999999998E-3</v>
      </c>
      <c r="AA5564">
        <v>0.98492809999999897</v>
      </c>
      <c r="AB5564">
        <v>13</v>
      </c>
      <c r="AC5564">
        <v>35.965499999999999</v>
      </c>
      <c r="AD5564">
        <v>-1.1033553396569999</v>
      </c>
      <c r="AE5564">
        <v>-0.85828999999998901</v>
      </c>
      <c r="AF5564">
        <v>-6.2265963199101098</v>
      </c>
      <c r="AG5564">
        <v>-1.1033553396569999</v>
      </c>
      <c r="AH5564">
        <v>35.398474475865001</v>
      </c>
      <c r="AI5564">
        <v>91.758329422842493</v>
      </c>
      <c r="AJ5564">
        <v>99.9762790775669</v>
      </c>
      <c r="AK5564">
        <v>35.958863857957702</v>
      </c>
    </row>
    <row r="5565" spans="1:37" x14ac:dyDescent="0.2">
      <c r="A5565" t="str">
        <f>"20200111160013442"</f>
        <v>20200111160013442</v>
      </c>
      <c r="B5565" t="str">
        <f>"1578729613436940"</f>
        <v>1578729613436940</v>
      </c>
      <c r="C5565" t="s">
        <v>37</v>
      </c>
      <c r="D5565">
        <v>5.1230960000000003</v>
      </c>
      <c r="E5565">
        <v>0.46180779999999899</v>
      </c>
      <c r="F5565" t="s">
        <v>89</v>
      </c>
      <c r="G5565">
        <v>-246.01390000000001</v>
      </c>
      <c r="H5565" s="1">
        <v>-1.581946E-6</v>
      </c>
      <c r="I5565">
        <v>-60.439480000000003</v>
      </c>
      <c r="J5565">
        <v>-283.69310000000002</v>
      </c>
      <c r="K5565">
        <v>1.103337</v>
      </c>
      <c r="L5565">
        <v>-59.481200000000001</v>
      </c>
      <c r="M5565">
        <v>0.98019129999999999</v>
      </c>
      <c r="N5565">
        <v>0</v>
      </c>
      <c r="O5565">
        <v>-0.19758829999999999</v>
      </c>
      <c r="P5565">
        <v>0.99098069999999905</v>
      </c>
      <c r="Q5565">
        <v>1.451071E-2</v>
      </c>
      <c r="R5565">
        <v>-0.13321759999999999</v>
      </c>
      <c r="S5565">
        <v>3.017639</v>
      </c>
      <c r="T5565">
        <v>-8.8217019999999993E-2</v>
      </c>
      <c r="U5565">
        <v>-7.7728270000000002E-2</v>
      </c>
      <c r="V5565">
        <v>-6.5141270000000001E-2</v>
      </c>
      <c r="W5565">
        <v>2.8257730000000002E-2</v>
      </c>
      <c r="X5565">
        <v>0.99747589999999997</v>
      </c>
      <c r="Y5565">
        <v>-0.1721425</v>
      </c>
      <c r="Z5565">
        <v>8.2574060000000001E-3</v>
      </c>
      <c r="AA5565">
        <v>0.98503739999999995</v>
      </c>
      <c r="AB5565">
        <v>13</v>
      </c>
      <c r="AC5565">
        <v>37.679200000000002</v>
      </c>
      <c r="AD5565">
        <v>-1.103338581946</v>
      </c>
      <c r="AE5565">
        <v>-0.95828000000000202</v>
      </c>
      <c r="AF5565">
        <v>-6.5006990740244897</v>
      </c>
      <c r="AG5565">
        <v>-1.103338581946</v>
      </c>
      <c r="AH5565">
        <v>37.093796497578197</v>
      </c>
      <c r="AI5565">
        <v>91.678174543561198</v>
      </c>
      <c r="AJ5565">
        <v>99.940160066508</v>
      </c>
      <c r="AK5565">
        <v>37.675272833533398</v>
      </c>
    </row>
    <row r="5566" spans="1:37" x14ac:dyDescent="0.2">
      <c r="A5566" t="str">
        <f>"20200111160013453"</f>
        <v>20200111160013453</v>
      </c>
      <c r="B5566" t="str">
        <f>"1578729613446700"</f>
        <v>1578729613446700</v>
      </c>
      <c r="C5566" t="s">
        <v>37</v>
      </c>
      <c r="D5566">
        <v>5.0936870000000001</v>
      </c>
      <c r="E5566">
        <v>0.46177289999999999</v>
      </c>
      <c r="F5566" t="s">
        <v>89</v>
      </c>
      <c r="G5566">
        <v>-243.97149999999999</v>
      </c>
      <c r="H5566" s="1">
        <v>-7.4408999999999898E-7</v>
      </c>
      <c r="I5566">
        <v>-60.583579999999998</v>
      </c>
      <c r="J5566">
        <v>-283.635999999999</v>
      </c>
      <c r="K5566">
        <v>1.103332</v>
      </c>
      <c r="L5566">
        <v>-59.4938</v>
      </c>
      <c r="M5566">
        <v>0.98001159999999998</v>
      </c>
      <c r="N5566">
        <v>0</v>
      </c>
      <c r="O5566">
        <v>-0.19847779999999901</v>
      </c>
      <c r="P5566">
        <v>0.99078369999999905</v>
      </c>
      <c r="Q5566">
        <v>1.6100299999999901E-2</v>
      </c>
      <c r="R5566">
        <v>-0.13449510000000001</v>
      </c>
      <c r="S5566">
        <v>3.0172119999999998</v>
      </c>
      <c r="T5566">
        <v>-8.3808419999999995E-2</v>
      </c>
      <c r="U5566">
        <v>-8.3740229999999999E-2</v>
      </c>
      <c r="V5566">
        <v>-6.4749199999999896E-2</v>
      </c>
      <c r="W5566">
        <v>2.9850640000000001E-2</v>
      </c>
      <c r="X5566">
        <v>0.99745499999999998</v>
      </c>
      <c r="Y5566">
        <v>-0.17108670000000001</v>
      </c>
      <c r="Z5566">
        <v>7.8551750000000007E-3</v>
      </c>
      <c r="AA5566">
        <v>0.98522469999999995</v>
      </c>
      <c r="AB5566">
        <v>13</v>
      </c>
      <c r="AC5566">
        <v>39.664499999999897</v>
      </c>
      <c r="AD5566">
        <v>-1.10333274409</v>
      </c>
      <c r="AE5566">
        <v>-1.08978</v>
      </c>
      <c r="AF5566">
        <v>-6.7998936194081496</v>
      </c>
      <c r="AG5566">
        <v>-1.10333274409</v>
      </c>
      <c r="AH5566">
        <v>39.061358936261101</v>
      </c>
      <c r="AI5566">
        <v>91.593994771066093</v>
      </c>
      <c r="AJ5566">
        <v>99.8752230934317</v>
      </c>
      <c r="AK5566">
        <v>39.664160880155698</v>
      </c>
    </row>
    <row r="5567" spans="1:37" x14ac:dyDescent="0.2">
      <c r="A5567" t="str">
        <f>"20200111160013476"</f>
        <v>20200111160013476</v>
      </c>
      <c r="B5567" t="str">
        <f>"1578729613466220"</f>
        <v>1578729613466220</v>
      </c>
      <c r="C5567" t="s">
        <v>37</v>
      </c>
      <c r="D5567">
        <v>5.1537430000000004</v>
      </c>
      <c r="E5567">
        <v>0.46217320000000001</v>
      </c>
      <c r="F5567" t="s">
        <v>89</v>
      </c>
      <c r="G5567">
        <v>-242.28530000000001</v>
      </c>
      <c r="H5567" s="1">
        <v>-4.7785529999999998E-8</v>
      </c>
      <c r="I5567">
        <v>-60.685229999999997</v>
      </c>
      <c r="J5567">
        <v>-283.50619999999998</v>
      </c>
      <c r="K5567">
        <v>1.103337</v>
      </c>
      <c r="L5567">
        <v>-59.522859999999902</v>
      </c>
      <c r="M5567">
        <v>0.9795777</v>
      </c>
      <c r="N5567">
        <v>0</v>
      </c>
      <c r="O5567">
        <v>-0.20060729999999999</v>
      </c>
      <c r="P5567">
        <v>0.99026780000000003</v>
      </c>
      <c r="Q5567">
        <v>1.8923969999999998E-2</v>
      </c>
      <c r="R5567">
        <v>-0.137882</v>
      </c>
      <c r="S5567">
        <v>3.0174259999999999</v>
      </c>
      <c r="T5567">
        <v>-8.0512050000000002E-2</v>
      </c>
      <c r="U5567">
        <v>-8.6944579999999994E-2</v>
      </c>
      <c r="V5567">
        <v>-6.3486459999999995E-2</v>
      </c>
      <c r="W5567">
        <v>3.2677390000000001E-2</v>
      </c>
      <c r="X5567">
        <v>0.99744759999999999</v>
      </c>
      <c r="Y5567">
        <v>-0.17219429999999999</v>
      </c>
      <c r="Z5567">
        <v>7.6161550000000003E-3</v>
      </c>
      <c r="AA5567">
        <v>0.98503359999999995</v>
      </c>
      <c r="AB5567">
        <v>13</v>
      </c>
      <c r="AC5567">
        <v>41.220899999999901</v>
      </c>
      <c r="AD5567">
        <v>-1.10333704778553</v>
      </c>
      <c r="AE5567">
        <v>-1.1623700000000099</v>
      </c>
      <c r="AF5567">
        <v>-7.1261372718137102</v>
      </c>
      <c r="AG5567">
        <v>-1.10333704778553</v>
      </c>
      <c r="AH5567">
        <v>40.586940942208003</v>
      </c>
      <c r="AI5567">
        <v>91.533726088876307</v>
      </c>
      <c r="AJ5567">
        <v>99.958325056822204</v>
      </c>
      <c r="AK5567">
        <v>41.222554022088801</v>
      </c>
    </row>
    <row r="5568" spans="1:37" x14ac:dyDescent="0.2">
      <c r="A5568" t="str">
        <f>"20200111160013487"</f>
        <v>20200111160013487</v>
      </c>
      <c r="B5568" t="str">
        <f>"1578729613476956"</f>
        <v>1578729613476956</v>
      </c>
      <c r="C5568" t="s">
        <v>37</v>
      </c>
      <c r="D5568">
        <v>5.1276570000000001</v>
      </c>
      <c r="E5568">
        <v>0.46202280000000001</v>
      </c>
      <c r="F5568" t="s">
        <v>90</v>
      </c>
      <c r="G5568">
        <v>-238.273</v>
      </c>
      <c r="H5568" s="1">
        <v>-2.7045589999999998E-6</v>
      </c>
      <c r="I5568">
        <v>-61.016210000000001</v>
      </c>
      <c r="J5568">
        <v>-283.44349999999997</v>
      </c>
      <c r="K5568">
        <v>1.103348</v>
      </c>
      <c r="L5568">
        <v>-59.537050000000001</v>
      </c>
      <c r="M5568">
        <v>0.97935649999999996</v>
      </c>
      <c r="N5568">
        <v>0</v>
      </c>
      <c r="O5568">
        <v>-0.2016849</v>
      </c>
      <c r="P5568">
        <v>0.98992849999999999</v>
      </c>
      <c r="Q5568">
        <v>2.021158E-2</v>
      </c>
      <c r="R5568">
        <v>-0.14011899999999999</v>
      </c>
      <c r="S5568">
        <v>3.0169980000000001</v>
      </c>
      <c r="T5568">
        <v>-7.3591470000000006E-2</v>
      </c>
      <c r="U5568">
        <v>-9.9609379999999997E-2</v>
      </c>
      <c r="V5568">
        <v>-6.2321330000000001E-2</v>
      </c>
      <c r="W5568">
        <v>3.3962689999999997E-2</v>
      </c>
      <c r="X5568">
        <v>0.99747809999999903</v>
      </c>
      <c r="Y5568">
        <v>-0.16916439999999999</v>
      </c>
      <c r="Z5568">
        <v>6.9506009999999998E-3</v>
      </c>
      <c r="AA5568">
        <v>0.98556330000000003</v>
      </c>
      <c r="AB5568">
        <v>13</v>
      </c>
      <c r="AC5568">
        <v>45.170499999999898</v>
      </c>
      <c r="AD5568">
        <v>-1.1033507045590001</v>
      </c>
      <c r="AE5568">
        <v>-1.47916</v>
      </c>
      <c r="AF5568">
        <v>-7.6577238951817499</v>
      </c>
      <c r="AG5568">
        <v>-1.1033507045590001</v>
      </c>
      <c r="AH5568">
        <v>44.513915338088196</v>
      </c>
      <c r="AI5568">
        <v>91.399332725843607</v>
      </c>
      <c r="AJ5568">
        <v>99.761044541430493</v>
      </c>
      <c r="AK5568">
        <v>45.181265771983099</v>
      </c>
    </row>
    <row r="5569" spans="1:37" x14ac:dyDescent="0.2">
      <c r="A5569" t="str">
        <f>"20200111160013498"</f>
        <v>20200111160013498</v>
      </c>
      <c r="B5569" t="str">
        <f>"1578729613496476"</f>
        <v>1578729613496476</v>
      </c>
      <c r="C5569" t="s">
        <v>37</v>
      </c>
      <c r="D5569">
        <v>5.1223989999999997</v>
      </c>
      <c r="E5569">
        <v>0.46223379999999997</v>
      </c>
      <c r="F5569" t="s">
        <v>90</v>
      </c>
      <c r="G5569">
        <v>-236.97409999999999</v>
      </c>
      <c r="H5569" s="1">
        <v>-2.1828079999999999E-6</v>
      </c>
      <c r="I5569">
        <v>-61.149650000000001</v>
      </c>
      <c r="J5569">
        <v>-283.37979999999999</v>
      </c>
      <c r="K5569">
        <v>1.103375</v>
      </c>
      <c r="L5569">
        <v>-59.551609999999997</v>
      </c>
      <c r="M5569">
        <v>0.97912149999999998</v>
      </c>
      <c r="N5569">
        <v>0</v>
      </c>
      <c r="O5569">
        <v>-0.20282210000000001</v>
      </c>
      <c r="P5569">
        <v>0.98953230000000003</v>
      </c>
      <c r="Q5569">
        <v>2.12455E-2</v>
      </c>
      <c r="R5569">
        <v>-0.14274039999999999</v>
      </c>
      <c r="S5569">
        <v>3.0171199999999998</v>
      </c>
      <c r="T5569">
        <v>-7.1637149999999997E-2</v>
      </c>
      <c r="U5569">
        <v>-0.1047058</v>
      </c>
      <c r="V5569">
        <v>-6.0831780000000002E-2</v>
      </c>
      <c r="W5569">
        <v>3.4991099999999997E-2</v>
      </c>
      <c r="X5569">
        <v>0.99753449999999899</v>
      </c>
      <c r="Y5569">
        <v>-0.16865289999999999</v>
      </c>
      <c r="Z5569">
        <v>6.7858469999999898E-3</v>
      </c>
      <c r="AA5569">
        <v>0.98565210000000003</v>
      </c>
      <c r="AB5569">
        <v>13</v>
      </c>
      <c r="AC5569">
        <v>46.405700000000003</v>
      </c>
      <c r="AD5569">
        <v>-1.1033771828079999</v>
      </c>
      <c r="AE5569">
        <v>-1.5980399999999999</v>
      </c>
      <c r="AF5569">
        <v>-7.8437203096304904</v>
      </c>
      <c r="AG5569">
        <v>-1.1033771828079999</v>
      </c>
      <c r="AH5569">
        <v>45.7393261254186</v>
      </c>
      <c r="AI5569">
        <v>91.362013133966798</v>
      </c>
      <c r="AJ5569">
        <v>99.730855591452993</v>
      </c>
      <c r="AK5569">
        <v>46.420117879111899</v>
      </c>
    </row>
    <row r="5570" spans="1:37" x14ac:dyDescent="0.2">
      <c r="A5570" t="str">
        <f>"20200111160013509"</f>
        <v>20200111160013509</v>
      </c>
      <c r="B5570" t="str">
        <f>"1578729613506236"</f>
        <v>1578729613506236</v>
      </c>
      <c r="C5570" t="s">
        <v>37</v>
      </c>
      <c r="D5570">
        <v>5.1111430000000002</v>
      </c>
      <c r="E5570">
        <v>0.46225450000000001</v>
      </c>
      <c r="F5570" t="s">
        <v>90</v>
      </c>
      <c r="G5570">
        <v>-236.46109999999999</v>
      </c>
      <c r="H5570" s="1">
        <v>-2.008435E-6</v>
      </c>
      <c r="I5570">
        <v>-61.321369999999902</v>
      </c>
      <c r="J5570">
        <v>-283.32380000000001</v>
      </c>
      <c r="K5570">
        <v>1.1033999999999999</v>
      </c>
      <c r="L5570">
        <v>-59.564480000000003</v>
      </c>
      <c r="M5570">
        <v>0.97891189999999995</v>
      </c>
      <c r="N5570">
        <v>0</v>
      </c>
      <c r="O5570">
        <v>-0.2038305</v>
      </c>
      <c r="P5570">
        <v>0.98912080000000002</v>
      </c>
      <c r="Q5570">
        <v>2.2054859999999999E-2</v>
      </c>
      <c r="R5570">
        <v>-0.1454433</v>
      </c>
      <c r="S5570">
        <v>3.0168759999999999</v>
      </c>
      <c r="T5570">
        <v>-7.0947289999999996E-2</v>
      </c>
      <c r="U5570">
        <v>-0.1138</v>
      </c>
      <c r="V5570">
        <v>-5.9129050000000002E-2</v>
      </c>
      <c r="W5570">
        <v>3.579454E-2</v>
      </c>
      <c r="X5570">
        <v>0.99760839999999995</v>
      </c>
      <c r="Y5570">
        <v>-0.16670009999999999</v>
      </c>
      <c r="Z5570">
        <v>6.7206610000000002E-3</v>
      </c>
      <c r="AA5570">
        <v>0.98598469999999905</v>
      </c>
      <c r="AB5570">
        <v>13</v>
      </c>
      <c r="AC5570">
        <v>46.862699999999997</v>
      </c>
      <c r="AD5570">
        <v>-1.103402008435</v>
      </c>
      <c r="AE5570">
        <v>-1.7568899999999901</v>
      </c>
      <c r="AF5570">
        <v>-7.8285961534422404</v>
      </c>
      <c r="AG5570">
        <v>-1.103402008435</v>
      </c>
      <c r="AH5570">
        <v>46.211247814809703</v>
      </c>
      <c r="AI5570">
        <v>91.348603420981306</v>
      </c>
      <c r="AJ5570">
        <v>99.615125238707705</v>
      </c>
      <c r="AK5570">
        <v>46.882660316237001</v>
      </c>
    </row>
    <row r="5571" spans="1:37" x14ac:dyDescent="0.2">
      <c r="A5571" t="str">
        <f>"20200111160013520"</f>
        <v>20200111160013520</v>
      </c>
      <c r="B5571" t="str">
        <f>"1578729613516972"</f>
        <v>1578729613516972</v>
      </c>
      <c r="C5571" t="s">
        <v>37</v>
      </c>
      <c r="D5571">
        <v>6.0697580000000002</v>
      </c>
      <c r="E5571">
        <v>0.4627541</v>
      </c>
      <c r="F5571" t="s">
        <v>90</v>
      </c>
      <c r="G5571">
        <v>-236.31540000000001</v>
      </c>
      <c r="H5571" s="1">
        <v>-1.982422E-6</v>
      </c>
      <c r="I5571">
        <v>-61.458530000000003</v>
      </c>
      <c r="J5571">
        <v>-283.26530000000002</v>
      </c>
      <c r="K5571">
        <v>1.1034329999999899</v>
      </c>
      <c r="L5571">
        <v>-59.578029999999998</v>
      </c>
      <c r="M5571">
        <v>0.97868809999999995</v>
      </c>
      <c r="N5571">
        <v>0</v>
      </c>
      <c r="O5571">
        <v>-0.2049029</v>
      </c>
      <c r="P5571">
        <v>0.98864359999999996</v>
      </c>
      <c r="Q5571">
        <v>2.2680519999999999E-2</v>
      </c>
      <c r="R5571">
        <v>-0.14855760000000001</v>
      </c>
      <c r="S5571">
        <v>3.0166930000000001</v>
      </c>
      <c r="T5571">
        <v>-7.0809129999999998E-2</v>
      </c>
      <c r="U5571">
        <v>-0.12155150000000001</v>
      </c>
      <c r="V5571">
        <v>-5.70774E-2</v>
      </c>
      <c r="W5571">
        <v>3.641117E-2</v>
      </c>
      <c r="X5571">
        <v>0.99770559999999997</v>
      </c>
      <c r="Y5571">
        <v>-0.165248799999999</v>
      </c>
      <c r="Z5571">
        <v>6.7150140000000001E-3</v>
      </c>
      <c r="AA5571">
        <v>0.98622909999999997</v>
      </c>
      <c r="AB5571">
        <v>13</v>
      </c>
      <c r="AC5571">
        <v>46.9499</v>
      </c>
      <c r="AD5571">
        <v>-1.10343498242199</v>
      </c>
      <c r="AE5571">
        <v>-1.8804999999999901</v>
      </c>
      <c r="AF5571">
        <v>-7.7761767137315498</v>
      </c>
      <c r="AG5571">
        <v>-1.10343498242199</v>
      </c>
      <c r="AH5571">
        <v>46.3133602901149</v>
      </c>
      <c r="AI5571">
        <v>91.346003408947297</v>
      </c>
      <c r="AJ5571">
        <v>99.5312601128512</v>
      </c>
      <c r="AK5571">
        <v>46.974608400769</v>
      </c>
    </row>
    <row r="5572" spans="1:37" x14ac:dyDescent="0.2">
      <c r="A5572" t="str">
        <f>"20200111160013532"</f>
        <v>20200111160013532</v>
      </c>
      <c r="B5572" t="str">
        <f>"1578729613526731"</f>
        <v>1578729613526731</v>
      </c>
      <c r="C5572" t="s">
        <v>37</v>
      </c>
      <c r="D5572">
        <v>5.1805430000000001</v>
      </c>
      <c r="E5572">
        <v>0.46278320000000001</v>
      </c>
      <c r="F5572" t="s">
        <v>90</v>
      </c>
      <c r="G5572">
        <v>-234.7714</v>
      </c>
      <c r="H5572" s="1">
        <v>-1.39614299999999E-6</v>
      </c>
      <c r="I5572">
        <v>-61.744529999999997</v>
      </c>
      <c r="J5572">
        <v>-283.19720000000001</v>
      </c>
      <c r="K5572">
        <v>1.1034709999999901</v>
      </c>
      <c r="L5572">
        <v>-59.593899999999998</v>
      </c>
      <c r="M5572">
        <v>0.97842499999999999</v>
      </c>
      <c r="N5572">
        <v>0</v>
      </c>
      <c r="O5572">
        <v>-0.20615539999999999</v>
      </c>
      <c r="P5572">
        <v>0.988062</v>
      </c>
      <c r="Q5572">
        <v>2.3062650000000001E-2</v>
      </c>
      <c r="R5572">
        <v>-0.1523206</v>
      </c>
      <c r="S5572">
        <v>3.0157780000000001</v>
      </c>
      <c r="T5572">
        <v>-6.8621280000000007E-2</v>
      </c>
      <c r="U5572">
        <v>-0.1347351</v>
      </c>
      <c r="V5572">
        <v>-5.4555999999999903E-2</v>
      </c>
      <c r="W5572">
        <v>3.6782380000000003E-2</v>
      </c>
      <c r="X5572">
        <v>0.99783299999999997</v>
      </c>
      <c r="Y5572">
        <v>-0.1622014</v>
      </c>
      <c r="Z5572">
        <v>6.5017429999999999E-3</v>
      </c>
      <c r="AA5572">
        <v>0.98673619999999995</v>
      </c>
      <c r="AB5572">
        <v>13</v>
      </c>
      <c r="AC5572">
        <v>48.425800000000002</v>
      </c>
      <c r="AD5572">
        <v>-1.103472396143</v>
      </c>
      <c r="AE5572">
        <v>-2.15063</v>
      </c>
      <c r="AF5572">
        <v>-7.8756555173170097</v>
      </c>
      <c r="AG5572">
        <v>-1.103472396143</v>
      </c>
      <c r="AH5572">
        <v>47.804016089399703</v>
      </c>
      <c r="AI5572">
        <v>91.304756172703193</v>
      </c>
      <c r="AJ5572">
        <v>99.355374724603607</v>
      </c>
      <c r="AK5572">
        <v>48.460990037679601</v>
      </c>
    </row>
    <row r="5573" spans="1:37" x14ac:dyDescent="0.2">
      <c r="A5573" t="str">
        <f>"20200111160013543"</f>
        <v>20200111160013543</v>
      </c>
      <c r="B5573" t="str">
        <f>"1578729613536492"</f>
        <v>1578729613536492</v>
      </c>
      <c r="C5573" t="s">
        <v>37</v>
      </c>
      <c r="D5573">
        <v>5.1256789999999999</v>
      </c>
      <c r="E5573">
        <v>0.46272730000000001</v>
      </c>
      <c r="F5573" t="s">
        <v>90</v>
      </c>
      <c r="G5573">
        <v>-234.77440000000001</v>
      </c>
      <c r="H5573" s="1">
        <v>-1.4491339999999999E-6</v>
      </c>
      <c r="I5573">
        <v>-61.938859999999998</v>
      </c>
      <c r="J5573">
        <v>-283.13479999999998</v>
      </c>
      <c r="K5573">
        <v>1.103513</v>
      </c>
      <c r="L5573">
        <v>-59.608490000000003</v>
      </c>
      <c r="M5573">
        <v>0.97818179999999999</v>
      </c>
      <c r="N5573">
        <v>0</v>
      </c>
      <c r="O5573">
        <v>-0.2073065</v>
      </c>
      <c r="P5573">
        <v>0.98749750000000003</v>
      </c>
      <c r="Q5573">
        <v>2.3244589999999999E-2</v>
      </c>
      <c r="R5573">
        <v>-0.15591279999999999</v>
      </c>
      <c r="S5573">
        <v>3.0153500000000002</v>
      </c>
      <c r="T5573">
        <v>-6.8714620000000004E-2</v>
      </c>
      <c r="U5573">
        <v>-0.14602660000000001</v>
      </c>
      <c r="V5573">
        <v>-5.2102740000000002E-2</v>
      </c>
      <c r="W5573">
        <v>3.6953449999999999E-2</v>
      </c>
      <c r="X5573">
        <v>0.99795780000000001</v>
      </c>
      <c r="Y5573">
        <v>-0.1596687</v>
      </c>
      <c r="Z5573">
        <v>6.5073630000000004E-3</v>
      </c>
      <c r="AA5573">
        <v>0.98714919999999995</v>
      </c>
      <c r="AB5573">
        <v>13</v>
      </c>
      <c r="AC5573">
        <v>48.360399999999899</v>
      </c>
      <c r="AD5573">
        <v>-1.1035144491339901</v>
      </c>
      <c r="AE5573">
        <v>-2.3303699999999901</v>
      </c>
      <c r="AF5573">
        <v>-7.7425918161278897</v>
      </c>
      <c r="AG5573">
        <v>-1.1035144491339901</v>
      </c>
      <c r="AH5573">
        <v>47.767955709398997</v>
      </c>
      <c r="AI5573">
        <v>91.306343584775902</v>
      </c>
      <c r="AJ5573">
        <v>99.206862125806396</v>
      </c>
      <c r="AK5573">
        <v>48.4039571194931</v>
      </c>
    </row>
    <row r="5574" spans="1:37" x14ac:dyDescent="0.2">
      <c r="A5574" t="str">
        <f>"20200111160013555"</f>
        <v>20200111160013555</v>
      </c>
      <c r="B5574" t="str">
        <f>"1578729613546252"</f>
        <v>1578729613546252</v>
      </c>
      <c r="C5574" t="s">
        <v>37</v>
      </c>
      <c r="D5574">
        <v>5.1624889999999999</v>
      </c>
      <c r="E5574">
        <v>0.46266649999999998</v>
      </c>
      <c r="F5574" t="s">
        <v>90</v>
      </c>
      <c r="G5574">
        <v>-235.8989</v>
      </c>
      <c r="H5574" s="1">
        <v>-1.96232599999999E-6</v>
      </c>
      <c r="I5574">
        <v>-62.054519999999997</v>
      </c>
      <c r="J5574">
        <v>-283.07279999999997</v>
      </c>
      <c r="K5574">
        <v>1.1035600000000001</v>
      </c>
      <c r="L5574">
        <v>-59.623049999999999</v>
      </c>
      <c r="M5574">
        <v>0.977940699999999</v>
      </c>
      <c r="N5574">
        <v>0</v>
      </c>
      <c r="O5574">
        <v>-0.20844169999999901</v>
      </c>
      <c r="P5574">
        <v>0.98693129999999996</v>
      </c>
      <c r="Q5574">
        <v>2.3570799999999999E-2</v>
      </c>
      <c r="R5574">
        <v>-0.15940960000000001</v>
      </c>
      <c r="S5574">
        <v>3.0149539999999999</v>
      </c>
      <c r="T5574">
        <v>-7.0434689999999994E-2</v>
      </c>
      <c r="U5574">
        <v>-0.15612789999999999</v>
      </c>
      <c r="V5574">
        <v>-4.9726489999999998E-2</v>
      </c>
      <c r="W5574">
        <v>3.7268419999999997E-2</v>
      </c>
      <c r="X5574">
        <v>0.99806729999999999</v>
      </c>
      <c r="Y5574">
        <v>-0.15750420000000001</v>
      </c>
      <c r="Z5574">
        <v>6.6708330000000001E-3</v>
      </c>
      <c r="AA5574">
        <v>0.98749580000000003</v>
      </c>
      <c r="AB5574">
        <v>13</v>
      </c>
      <c r="AC5574">
        <v>47.173899999999897</v>
      </c>
      <c r="AD5574">
        <v>-1.103561962326</v>
      </c>
      <c r="AE5574">
        <v>-2.4314699999999898</v>
      </c>
      <c r="AF5574">
        <v>-7.4517933489291899</v>
      </c>
      <c r="AG5574">
        <v>-1.103561962326</v>
      </c>
      <c r="AH5574">
        <v>46.618944197836399</v>
      </c>
      <c r="AI5574">
        <v>91.339057876679107</v>
      </c>
      <c r="AJ5574">
        <v>99.081603415614197</v>
      </c>
      <c r="AK5574">
        <v>47.223649067398703</v>
      </c>
    </row>
    <row r="5575" spans="1:37" x14ac:dyDescent="0.2">
      <c r="A5575" t="str">
        <f>"20200111160013565"</f>
        <v>20200111160013565</v>
      </c>
      <c r="B5575" t="str">
        <f>"1578729613556988"</f>
        <v>1578729613556988</v>
      </c>
      <c r="C5575" t="s">
        <v>37</v>
      </c>
      <c r="D5575">
        <v>5.2110820000000002</v>
      </c>
      <c r="E5575">
        <v>0.46270719999999999</v>
      </c>
      <c r="F5575" t="s">
        <v>90</v>
      </c>
      <c r="G5575">
        <v>-236.48439999999999</v>
      </c>
      <c r="H5575" s="1">
        <v>-2.2493019999999998E-6</v>
      </c>
      <c r="I5575">
        <v>-62.18909</v>
      </c>
      <c r="J5575">
        <v>-283.0102</v>
      </c>
      <c r="K5575">
        <v>1.1036109999999999</v>
      </c>
      <c r="L5575">
        <v>-59.637819999999998</v>
      </c>
      <c r="M5575">
        <v>0.97769589999999995</v>
      </c>
      <c r="N5575">
        <v>0</v>
      </c>
      <c r="O5575">
        <v>-0.20958499999999999</v>
      </c>
      <c r="P5575">
        <v>0.98626170000000002</v>
      </c>
      <c r="Q5575">
        <v>2.413502E-2</v>
      </c>
      <c r="R5575">
        <v>-0.16341789999999901</v>
      </c>
      <c r="S5575">
        <v>3.014618</v>
      </c>
      <c r="T5575">
        <v>-7.1408630000000001E-2</v>
      </c>
      <c r="U5575">
        <v>-0.1660461</v>
      </c>
      <c r="V5575">
        <v>-4.6837469999999999E-2</v>
      </c>
      <c r="W5575">
        <v>3.7819739999999998E-2</v>
      </c>
      <c r="X5575">
        <v>0.99818629999999997</v>
      </c>
      <c r="Y5575">
        <v>-0.15541079999999999</v>
      </c>
      <c r="Z5575">
        <v>6.7645400000000003E-3</v>
      </c>
      <c r="AA5575">
        <v>0.9878268</v>
      </c>
      <c r="AB5575">
        <v>13</v>
      </c>
      <c r="AC5575">
        <v>46.525799999999997</v>
      </c>
      <c r="AD5575">
        <v>-1.1036132493020001</v>
      </c>
      <c r="AE5575">
        <v>-2.5512700000000001</v>
      </c>
      <c r="AF5575">
        <v>-7.2533454565380699</v>
      </c>
      <c r="AG5575">
        <v>-1.1036132493020001</v>
      </c>
      <c r="AH5575">
        <v>46.001240719502697</v>
      </c>
      <c r="AI5575">
        <v>91.357550511832798</v>
      </c>
      <c r="AJ5575">
        <v>98.960463768532193</v>
      </c>
      <c r="AK5575">
        <v>46.582648381661997</v>
      </c>
    </row>
    <row r="5576" spans="1:37" x14ac:dyDescent="0.2">
      <c r="A5576" t="str">
        <f>"20200111160013575"</f>
        <v>20200111160013575</v>
      </c>
      <c r="B5576" t="str">
        <f>"1578729613566748"</f>
        <v>1578729613566748</v>
      </c>
      <c r="C5576" t="s">
        <v>37</v>
      </c>
      <c r="D5576">
        <v>5.1718250000000001</v>
      </c>
      <c r="E5576">
        <v>0.4624838</v>
      </c>
      <c r="F5576" t="s">
        <v>90</v>
      </c>
      <c r="G5576">
        <v>-235.4939</v>
      </c>
      <c r="H5576" s="1">
        <v>-1.8950869999999999E-6</v>
      </c>
      <c r="I5576">
        <v>-62.454799999999999</v>
      </c>
      <c r="J5576">
        <v>-282.95179999999999</v>
      </c>
      <c r="K5576">
        <v>1.1036600000000001</v>
      </c>
      <c r="L5576">
        <v>-59.651699999999998</v>
      </c>
      <c r="M5576">
        <v>0.97747099999999898</v>
      </c>
      <c r="N5576">
        <v>0</v>
      </c>
      <c r="O5576">
        <v>-0.2106326</v>
      </c>
      <c r="P5576">
        <v>0.98564089999999904</v>
      </c>
      <c r="Q5576">
        <v>2.446454E-2</v>
      </c>
      <c r="R5576">
        <v>-0.16707420000000001</v>
      </c>
      <c r="S5576">
        <v>3.0138849999999899</v>
      </c>
      <c r="T5576">
        <v>-7.0000409999999999E-2</v>
      </c>
      <c r="U5576">
        <v>-0.17868039999999999</v>
      </c>
      <c r="V5576">
        <v>-4.4206080000000002E-2</v>
      </c>
      <c r="W5576">
        <v>3.8137549999999999E-2</v>
      </c>
      <c r="X5576">
        <v>0.99829419999999902</v>
      </c>
      <c r="Y5576">
        <v>-0.152332299999999</v>
      </c>
      <c r="Z5576">
        <v>6.61956099999999E-3</v>
      </c>
      <c r="AA5576">
        <v>0.98830720000000005</v>
      </c>
      <c r="AB5576">
        <v>13</v>
      </c>
      <c r="AC5576">
        <v>47.457900000000002</v>
      </c>
      <c r="AD5576">
        <v>-1.1036618950870001</v>
      </c>
      <c r="AE5576">
        <v>-2.8031000000000001</v>
      </c>
      <c r="AF5576">
        <v>-7.2529919032840198</v>
      </c>
      <c r="AG5576">
        <v>-1.1036618950870001</v>
      </c>
      <c r="AH5576">
        <v>46.958168398143599</v>
      </c>
      <c r="AI5576">
        <v>91.330607103929296</v>
      </c>
      <c r="AJ5576">
        <v>98.780317922445207</v>
      </c>
      <c r="AK5576">
        <v>47.527818595388801</v>
      </c>
    </row>
    <row r="5577" spans="1:37" x14ac:dyDescent="0.2">
      <c r="A5577" t="str">
        <f>"20200111160013586"</f>
        <v>20200111160013586</v>
      </c>
      <c r="B5577" t="str">
        <f>"1578729613576509"</f>
        <v>1578729613576509</v>
      </c>
      <c r="C5577" t="s">
        <v>37</v>
      </c>
      <c r="D5577">
        <v>5.1249199999999897</v>
      </c>
      <c r="E5577">
        <v>0.462227</v>
      </c>
      <c r="F5577" t="s">
        <v>90</v>
      </c>
      <c r="G5577">
        <v>-237.70609999999999</v>
      </c>
      <c r="H5577" s="1">
        <v>-2.8478629999999999E-6</v>
      </c>
      <c r="I5577">
        <v>-62.468869999999903</v>
      </c>
      <c r="J5577">
        <v>-282.89699999999999</v>
      </c>
      <c r="K5577">
        <v>1.1037049999999999</v>
      </c>
      <c r="L5577">
        <v>-59.664729999999999</v>
      </c>
      <c r="M5577">
        <v>0.97725980000000001</v>
      </c>
      <c r="N5577">
        <v>0</v>
      </c>
      <c r="O5577">
        <v>-0.21161060000000001</v>
      </c>
      <c r="P5577">
        <v>0.98504059999999904</v>
      </c>
      <c r="Q5577">
        <v>2.494569E-2</v>
      </c>
      <c r="R5577">
        <v>-0.17050770000000001</v>
      </c>
      <c r="S5577">
        <v>3.013763</v>
      </c>
      <c r="T5577">
        <v>-7.3513750000000003E-2</v>
      </c>
      <c r="U5577">
        <v>-0.1876526</v>
      </c>
      <c r="V5577">
        <v>-4.1725579999999998E-2</v>
      </c>
      <c r="W5577">
        <v>3.860736E-2</v>
      </c>
      <c r="X5577">
        <v>0.99838289999999996</v>
      </c>
      <c r="Y5577">
        <v>-0.1503776</v>
      </c>
      <c r="Z5577">
        <v>6.9504819999999896E-3</v>
      </c>
      <c r="AA5577">
        <v>0.98860419999999904</v>
      </c>
      <c r="AB5577">
        <v>13</v>
      </c>
      <c r="AC5577">
        <v>45.190899999999999</v>
      </c>
      <c r="AD5577">
        <v>-1.103707847863</v>
      </c>
      <c r="AE5577">
        <v>-2.8041399999999799</v>
      </c>
      <c r="AF5577">
        <v>-6.8190767952432703</v>
      </c>
      <c r="AG5577">
        <v>-1.103707847863</v>
      </c>
      <c r="AH5577">
        <v>44.734177799520502</v>
      </c>
      <c r="AI5577">
        <v>91.397214789715406</v>
      </c>
      <c r="AJ5577">
        <v>98.667189877208997</v>
      </c>
      <c r="AK5577">
        <v>45.264386030874</v>
      </c>
    </row>
    <row r="5578" spans="1:37" x14ac:dyDescent="0.2">
      <c r="A5578" t="str">
        <f>"20200111160013597"</f>
        <v>20200111160013597</v>
      </c>
      <c r="B5578" t="str">
        <f>"1578729613586269"</f>
        <v>1578729613586269</v>
      </c>
      <c r="C5578" t="s">
        <v>37</v>
      </c>
      <c r="D5578">
        <v>5.2461890000000002</v>
      </c>
      <c r="E5578">
        <v>0.46223639999999999</v>
      </c>
      <c r="F5578" t="s">
        <v>90</v>
      </c>
      <c r="G5578">
        <v>-238.15989999999999</v>
      </c>
      <c r="H5578" s="1">
        <v>-3.0392360000000002E-6</v>
      </c>
      <c r="I5578">
        <v>-62.572780000000002</v>
      </c>
      <c r="J5578">
        <v>-282.83620000000002</v>
      </c>
      <c r="K5578">
        <v>1.103758</v>
      </c>
      <c r="L5578">
        <v>-59.679229999999997</v>
      </c>
      <c r="M5578">
        <v>0.97702999999999995</v>
      </c>
      <c r="N5578">
        <v>0</v>
      </c>
      <c r="O5578">
        <v>-0.2126692</v>
      </c>
      <c r="P5578">
        <v>0.9844446</v>
      </c>
      <c r="Q5578">
        <v>2.5145609999999999E-2</v>
      </c>
      <c r="R5578">
        <v>-0.17388770000000001</v>
      </c>
      <c r="S5578">
        <v>3.0135190000000001</v>
      </c>
      <c r="T5578">
        <v>-7.4346540000000003E-2</v>
      </c>
      <c r="U5578">
        <v>-0.19589229999999899</v>
      </c>
      <c r="V5578">
        <v>-3.9382460000000001E-2</v>
      </c>
      <c r="W5578">
        <v>3.8796530000000003E-2</v>
      </c>
      <c r="X5578">
        <v>0.99847079999999999</v>
      </c>
      <c r="Y5578">
        <v>-0.14874899999999999</v>
      </c>
      <c r="Z5578">
        <v>7.0342569999999899E-3</v>
      </c>
      <c r="AA5578">
        <v>0.98884989999999995</v>
      </c>
      <c r="AB5578">
        <v>13</v>
      </c>
      <c r="AC5578">
        <v>44.676299999999998</v>
      </c>
      <c r="AD5578">
        <v>-1.103761039236</v>
      </c>
      <c r="AE5578">
        <v>-2.8935499999999901</v>
      </c>
      <c r="AF5578">
        <v>-6.6707479292839498</v>
      </c>
      <c r="AG5578">
        <v>-1.103761039236</v>
      </c>
      <c r="AH5578">
        <v>44.2426398196178</v>
      </c>
      <c r="AI5578">
        <v>91.413146986490403</v>
      </c>
      <c r="AJ5578">
        <v>98.574268710427205</v>
      </c>
      <c r="AK5578">
        <v>44.7563218392241</v>
      </c>
    </row>
    <row r="5579" spans="1:37" x14ac:dyDescent="0.2">
      <c r="A5579" t="str">
        <f>"20200111160013609"</f>
        <v>20200111160013609</v>
      </c>
      <c r="B5579" t="str">
        <f>"1578729613606764"</f>
        <v>1578729613606764</v>
      </c>
      <c r="C5579" t="s">
        <v>37</v>
      </c>
      <c r="D5579">
        <v>5.1847690000000002</v>
      </c>
      <c r="E5579">
        <v>0.461935499999999</v>
      </c>
      <c r="F5579" t="s">
        <v>90</v>
      </c>
      <c r="G5579">
        <v>-238.1593</v>
      </c>
      <c r="H5579" s="1">
        <v>-3.068456E-6</v>
      </c>
      <c r="I5579">
        <v>-62.738759999999999</v>
      </c>
      <c r="J5579">
        <v>-282.77280000000002</v>
      </c>
      <c r="K5579">
        <v>1.1038129999999999</v>
      </c>
      <c r="L5579">
        <v>-59.694429999999997</v>
      </c>
      <c r="M5579">
        <v>0.97679150000000003</v>
      </c>
      <c r="N5579">
        <v>0</v>
      </c>
      <c r="O5579">
        <v>-0.21376199999999901</v>
      </c>
      <c r="P5579">
        <v>0.98391200000000001</v>
      </c>
      <c r="Q5579">
        <v>2.5425650000000001E-2</v>
      </c>
      <c r="R5579">
        <v>-0.17683579999999999</v>
      </c>
      <c r="S5579">
        <v>3.01287799999999</v>
      </c>
      <c r="T5579">
        <v>-7.4434280000000005E-2</v>
      </c>
      <c r="U5579">
        <v>-0.20632929999999899</v>
      </c>
      <c r="V5579">
        <v>-3.7509939999999999E-2</v>
      </c>
      <c r="W5579">
        <v>3.9065740000000002E-2</v>
      </c>
      <c r="X5579">
        <v>0.99853239999999999</v>
      </c>
      <c r="Y5579">
        <v>-0.14643100000000001</v>
      </c>
      <c r="Z5579">
        <v>7.0405519999999899E-3</v>
      </c>
      <c r="AA5579">
        <v>0.98919579999999996</v>
      </c>
      <c r="AB5579">
        <v>13</v>
      </c>
      <c r="AC5579">
        <v>44.613500000000002</v>
      </c>
      <c r="AD5579">
        <v>-1.1038160684559899</v>
      </c>
      <c r="AE5579">
        <v>-3.0443299999999902</v>
      </c>
      <c r="AF5579">
        <v>-6.5596028888216704</v>
      </c>
      <c r="AG5579">
        <v>-1.1038160684559899</v>
      </c>
      <c r="AH5579">
        <v>44.205987636284803</v>
      </c>
      <c r="AI5579">
        <v>91.414882973015906</v>
      </c>
      <c r="AJ5579">
        <v>98.440371265699994</v>
      </c>
      <c r="AK5579">
        <v>44.703647981695902</v>
      </c>
    </row>
    <row r="5580" spans="1:37" x14ac:dyDescent="0.2">
      <c r="A5580" t="str">
        <f>"20200111160013621"</f>
        <v>20200111160013621</v>
      </c>
      <c r="B5580" t="str">
        <f>"1578729613616523"</f>
        <v>1578729613616523</v>
      </c>
      <c r="C5580" t="s">
        <v>37</v>
      </c>
      <c r="D5580">
        <v>5.2556560000000001</v>
      </c>
      <c r="E5580">
        <v>0.461786799999999</v>
      </c>
      <c r="F5580" t="s">
        <v>90</v>
      </c>
      <c r="G5580">
        <v>-239.8219</v>
      </c>
      <c r="H5580" s="1">
        <v>-3.6322199999999998E-6</v>
      </c>
      <c r="I5580">
        <v>-62.727200000000003</v>
      </c>
      <c r="J5580">
        <v>-282.70659999999998</v>
      </c>
      <c r="K5580">
        <v>1.1038680000000001</v>
      </c>
      <c r="L5580">
        <v>-59.710329999999999</v>
      </c>
      <c r="M5580">
        <v>0.97654649999999998</v>
      </c>
      <c r="N5580">
        <v>0</v>
      </c>
      <c r="O5580">
        <v>-0.2148795</v>
      </c>
      <c r="P5580">
        <v>0.98340550000000004</v>
      </c>
      <c r="Q5580">
        <v>2.6101739999999998E-2</v>
      </c>
      <c r="R5580">
        <v>-0.17953479999999999</v>
      </c>
      <c r="S5580">
        <v>3.0127869999999999</v>
      </c>
      <c r="T5580">
        <v>-7.742715E-2</v>
      </c>
      <c r="U5580">
        <v>-0.21273800000000001</v>
      </c>
      <c r="V5580">
        <v>-3.5911980000000003E-2</v>
      </c>
      <c r="W5580">
        <v>3.973136E-2</v>
      </c>
      <c r="X5580">
        <v>0.99856480000000003</v>
      </c>
      <c r="Y5580">
        <v>-0.1454577</v>
      </c>
      <c r="Z5580">
        <v>7.3384919999999899E-3</v>
      </c>
      <c r="AA5580">
        <v>0.98933729999999998</v>
      </c>
      <c r="AB5580">
        <v>13</v>
      </c>
      <c r="AC5580">
        <v>42.884699999999903</v>
      </c>
      <c r="AD5580">
        <v>-1.10387163222</v>
      </c>
      <c r="AE5580">
        <v>-3.0168699999999902</v>
      </c>
      <c r="AF5580">
        <v>-6.2653742286877501</v>
      </c>
      <c r="AG5580">
        <v>-1.10387163222</v>
      </c>
      <c r="AH5580">
        <v>42.503051976873301</v>
      </c>
      <c r="AI5580">
        <v>91.471829611668696</v>
      </c>
      <c r="AJ5580">
        <v>98.385579252385597</v>
      </c>
      <c r="AK5580">
        <v>42.976538647903197</v>
      </c>
    </row>
    <row r="5581" spans="1:37" x14ac:dyDescent="0.2">
      <c r="A5581" t="str">
        <f>"20200111160013633"</f>
        <v>20200111160013633</v>
      </c>
      <c r="B5581" t="str">
        <f>"1578729613626284"</f>
        <v>1578729613626284</v>
      </c>
      <c r="C5581" t="s">
        <v>37</v>
      </c>
      <c r="D5581">
        <v>5.2296569999999996</v>
      </c>
      <c r="E5581">
        <v>0.46155629999999997</v>
      </c>
      <c r="F5581" t="s">
        <v>90</v>
      </c>
      <c r="G5581">
        <v>-239.37049999999999</v>
      </c>
      <c r="H5581" s="1">
        <v>-3.5045749999999998E-6</v>
      </c>
      <c r="I5581">
        <v>-62.873750000000001</v>
      </c>
      <c r="J5581">
        <v>-282.64389999999997</v>
      </c>
      <c r="K5581">
        <v>1.103915</v>
      </c>
      <c r="L5581">
        <v>-59.725430000000003</v>
      </c>
      <c r="M5581">
        <v>0.976319099999999</v>
      </c>
      <c r="N5581">
        <v>0</v>
      </c>
      <c r="O5581">
        <v>-0.21590989999999999</v>
      </c>
      <c r="P5581">
        <v>0.98300810000000005</v>
      </c>
      <c r="Q5581">
        <v>2.6894729999999999E-2</v>
      </c>
      <c r="R5581">
        <v>-0.18158199999999999</v>
      </c>
      <c r="S5581">
        <v>3.0125120000000001</v>
      </c>
      <c r="T5581">
        <v>-7.6735620000000004E-2</v>
      </c>
      <c r="U5581">
        <v>-0.21990970000000001</v>
      </c>
      <c r="V5581">
        <v>-3.4884289999999998E-2</v>
      </c>
      <c r="W5581">
        <v>4.0515120000000002E-2</v>
      </c>
      <c r="X5581">
        <v>0.99856979999999995</v>
      </c>
      <c r="Y5581">
        <v>-0.14415439999999999</v>
      </c>
      <c r="Z5581">
        <v>7.2817269999999896E-3</v>
      </c>
      <c r="AA5581">
        <v>0.98952839999999997</v>
      </c>
      <c r="AB5581">
        <v>13</v>
      </c>
      <c r="AC5581">
        <v>43.273399999999903</v>
      </c>
      <c r="AD5581">
        <v>-1.103918504575</v>
      </c>
      <c r="AE5581">
        <v>-3.1483199999999898</v>
      </c>
      <c r="AF5581">
        <v>-6.2659109235587298</v>
      </c>
      <c r="AG5581">
        <v>-1.103918504575</v>
      </c>
      <c r="AH5581">
        <v>42.904574571513798</v>
      </c>
      <c r="AI5581">
        <v>91.458409558579802</v>
      </c>
      <c r="AJ5581">
        <v>98.308905035039203</v>
      </c>
      <c r="AK5581">
        <v>43.373756984256097</v>
      </c>
    </row>
    <row r="5582" spans="1:37" x14ac:dyDescent="0.2">
      <c r="A5582" t="str">
        <f>"20200111160013643"</f>
        <v>20200111160013643</v>
      </c>
      <c r="B5582" t="str">
        <f>"1578729613637020"</f>
        <v>1578729613637020</v>
      </c>
      <c r="C5582" t="s">
        <v>37</v>
      </c>
      <c r="D5582">
        <v>5.2085540000000004</v>
      </c>
      <c r="E5582">
        <v>0.4611672</v>
      </c>
      <c r="F5582" t="s">
        <v>90</v>
      </c>
      <c r="G5582">
        <v>-239.51439999999999</v>
      </c>
      <c r="H5582" s="1">
        <v>-3.5648889999999999E-6</v>
      </c>
      <c r="I5582">
        <v>-62.937559999999998</v>
      </c>
      <c r="J5582">
        <v>-282.58</v>
      </c>
      <c r="K5582">
        <v>1.1039680000000001</v>
      </c>
      <c r="L5582">
        <v>-59.740839999999999</v>
      </c>
      <c r="M5582">
        <v>0.9760894</v>
      </c>
      <c r="N5582">
        <v>0</v>
      </c>
      <c r="O5582">
        <v>-0.21694659999999999</v>
      </c>
      <c r="P5582">
        <v>0.98265910000000001</v>
      </c>
      <c r="Q5582">
        <v>2.7718329999999999E-2</v>
      </c>
      <c r="R5582">
        <v>-0.1833388</v>
      </c>
      <c r="S5582">
        <v>3.0125120000000001</v>
      </c>
      <c r="T5582">
        <v>-7.7106599999999997E-2</v>
      </c>
      <c r="U5582">
        <v>-0.22436519999999999</v>
      </c>
      <c r="V5582">
        <v>-3.4157470000000002E-2</v>
      </c>
      <c r="W5582">
        <v>4.1330310000000002E-2</v>
      </c>
      <c r="X5582">
        <v>0.99856149999999999</v>
      </c>
      <c r="Y5582">
        <v>-0.14374819999999999</v>
      </c>
      <c r="Z5582">
        <v>7.33701699999999E-3</v>
      </c>
      <c r="AA5582">
        <v>0.98958709999999905</v>
      </c>
      <c r="AB5582">
        <v>13</v>
      </c>
      <c r="AC5582">
        <v>43.065599999999897</v>
      </c>
      <c r="AD5582">
        <v>-1.1039715648890001</v>
      </c>
      <c r="AE5582">
        <v>-3.1967199999999898</v>
      </c>
      <c r="AF5582">
        <v>-6.2191580491857996</v>
      </c>
      <c r="AG5582">
        <v>-1.1039715648890001</v>
      </c>
      <c r="AH5582">
        <v>42.705408044604397</v>
      </c>
      <c r="AI5582">
        <v>91.465365146815302</v>
      </c>
      <c r="AJ5582">
        <v>98.285697002512507</v>
      </c>
      <c r="AK5582">
        <v>43.169996019376597</v>
      </c>
    </row>
    <row r="5583" spans="1:37" x14ac:dyDescent="0.2">
      <c r="A5583" t="str">
        <f>"20200111160013656"</f>
        <v>20200111160013656</v>
      </c>
      <c r="B5583" t="str">
        <f>"1578729613646780"</f>
        <v>1578729613646780</v>
      </c>
      <c r="C5583" t="s">
        <v>37</v>
      </c>
      <c r="D5583">
        <v>5.200634</v>
      </c>
      <c r="E5583">
        <v>0.46080519999999903</v>
      </c>
      <c r="F5583" t="s">
        <v>90</v>
      </c>
      <c r="G5583">
        <v>-239.82169999999999</v>
      </c>
      <c r="H5583" s="1">
        <v>-3.67305099999999E-6</v>
      </c>
      <c r="I5583">
        <v>-62.957919999999902</v>
      </c>
      <c r="J5583">
        <v>-282.51560000000001</v>
      </c>
      <c r="K5583">
        <v>1.1040159999999899</v>
      </c>
      <c r="L5583">
        <v>-59.756469999999901</v>
      </c>
      <c r="M5583">
        <v>0.97586600000000001</v>
      </c>
      <c r="N5583">
        <v>0</v>
      </c>
      <c r="O5583">
        <v>-0.217948999999999</v>
      </c>
      <c r="P5583">
        <v>0.98246849999999997</v>
      </c>
      <c r="Q5583">
        <v>2.848127E-2</v>
      </c>
      <c r="R5583">
        <v>-0.18424070000000001</v>
      </c>
      <c r="S5583">
        <v>3.0128169999999899</v>
      </c>
      <c r="T5583">
        <v>-7.7787519999999999E-2</v>
      </c>
      <c r="U5583">
        <v>-0.22668460000000001</v>
      </c>
      <c r="V5583">
        <v>-3.4264959999999997E-2</v>
      </c>
      <c r="W5583">
        <v>4.2084959999999998E-2</v>
      </c>
      <c r="X5583">
        <v>0.99852629999999998</v>
      </c>
      <c r="Y5583">
        <v>-0.14401220000000001</v>
      </c>
      <c r="Z5583">
        <v>7.4293789999999998E-3</v>
      </c>
      <c r="AA5583">
        <v>0.98954799999999998</v>
      </c>
      <c r="AB5583">
        <v>13</v>
      </c>
      <c r="AC5583">
        <v>42.693899999999999</v>
      </c>
      <c r="AD5583">
        <v>-1.1040196730509999</v>
      </c>
      <c r="AE5583">
        <v>-3.2014499999999999</v>
      </c>
      <c r="AF5583">
        <v>-6.1773670383044399</v>
      </c>
      <c r="AG5583">
        <v>-1.1040196730509999</v>
      </c>
      <c r="AH5583">
        <v>42.337019571353999</v>
      </c>
      <c r="AI5583">
        <v>91.478115463787503</v>
      </c>
      <c r="AJ5583">
        <v>98.3014097000802</v>
      </c>
      <c r="AK5583">
        <v>42.799555478411499</v>
      </c>
    </row>
    <row r="5584" spans="1:37" x14ac:dyDescent="0.2">
      <c r="A5584" t="str">
        <f>"20200111160013668"</f>
        <v>20200111160013668</v>
      </c>
      <c r="B5584" t="str">
        <f>"1578729613656540"</f>
        <v>1578729613656540</v>
      </c>
      <c r="C5584" t="s">
        <v>37</v>
      </c>
      <c r="D5584">
        <v>5.2176279999999897</v>
      </c>
      <c r="E5584">
        <v>0.46051899999999901</v>
      </c>
      <c r="F5584" t="s">
        <v>89</v>
      </c>
      <c r="G5584">
        <v>-240.5883</v>
      </c>
      <c r="H5584" s="1">
        <v>8.847906E-8</v>
      </c>
      <c r="I5584">
        <v>-62.909209999999902</v>
      </c>
      <c r="J5584">
        <v>-282.44850000000002</v>
      </c>
      <c r="K5584">
        <v>1.104063</v>
      </c>
      <c r="L5584">
        <v>-59.772769999999902</v>
      </c>
      <c r="M5584">
        <v>0.97563559999999905</v>
      </c>
      <c r="N5584">
        <v>0</v>
      </c>
      <c r="O5584">
        <v>-0.21897900000000001</v>
      </c>
      <c r="P5584">
        <v>0.98226360000000001</v>
      </c>
      <c r="Q5584">
        <v>2.9428030000000001E-2</v>
      </c>
      <c r="R5584">
        <v>-0.18518209999999999</v>
      </c>
      <c r="S5584">
        <v>3.0133359999999998</v>
      </c>
      <c r="T5584">
        <v>-7.9346180000000002E-2</v>
      </c>
      <c r="U5584">
        <v>-0.22659299999999999</v>
      </c>
      <c r="V5584">
        <v>-3.4359290000000001E-2</v>
      </c>
      <c r="W5584">
        <v>4.3018239999999999E-2</v>
      </c>
      <c r="X5584">
        <v>0.99848329999999996</v>
      </c>
      <c r="Y5584">
        <v>-0.14509379999999999</v>
      </c>
      <c r="Z5584">
        <v>7.6175919999999899E-3</v>
      </c>
      <c r="AA5584">
        <v>0.98938859999999995</v>
      </c>
      <c r="AB5584">
        <v>12</v>
      </c>
      <c r="AC5584">
        <v>41.860199999999999</v>
      </c>
      <c r="AD5584">
        <v>-1.1040629115209399</v>
      </c>
      <c r="AE5584">
        <v>-3.1364399999999999</v>
      </c>
      <c r="AF5584">
        <v>-6.10282050475712</v>
      </c>
      <c r="AG5584">
        <v>-1.1040629115209399</v>
      </c>
      <c r="AH5584">
        <v>41.502214390400098</v>
      </c>
      <c r="AI5584">
        <v>91.507646673267601</v>
      </c>
      <c r="AJ5584">
        <v>98.365283004002904</v>
      </c>
      <c r="AK5584">
        <v>41.963045317667401</v>
      </c>
    </row>
    <row r="5585" spans="1:37" x14ac:dyDescent="0.2">
      <c r="A5585" t="str">
        <f>"20200111160013680"</f>
        <v>20200111160013680</v>
      </c>
      <c r="B5585" t="str">
        <f>"1578729613677036"</f>
        <v>1578729613677036</v>
      </c>
      <c r="C5585" t="s">
        <v>37</v>
      </c>
      <c r="D5585">
        <v>5.2586550000000001</v>
      </c>
      <c r="E5585">
        <v>0.46024159999999997</v>
      </c>
      <c r="F5585" t="s">
        <v>90</v>
      </c>
      <c r="G5585">
        <v>-239.6146</v>
      </c>
      <c r="H5585" s="1">
        <v>-3.610723E-6</v>
      </c>
      <c r="I5585">
        <v>-63.003740000000001</v>
      </c>
      <c r="J5585">
        <v>-282.38010000000003</v>
      </c>
      <c r="K5585">
        <v>1.1041030000000001</v>
      </c>
      <c r="L5585">
        <v>-59.789400000000001</v>
      </c>
      <c r="M5585">
        <v>0.97540799999999905</v>
      </c>
      <c r="N5585">
        <v>0</v>
      </c>
      <c r="O5585">
        <v>-0.21999199999999999</v>
      </c>
      <c r="P5585">
        <v>0.98208909999999905</v>
      </c>
      <c r="Q5585">
        <v>2.9998049999999998E-2</v>
      </c>
      <c r="R5585">
        <v>-0.1860134</v>
      </c>
      <c r="S5585">
        <v>3.0136409999999998</v>
      </c>
      <c r="T5585">
        <v>-7.7678319999999995E-2</v>
      </c>
      <c r="U5585">
        <v>-0.22732539999999901</v>
      </c>
      <c r="V5585">
        <v>-3.4550339999999999E-2</v>
      </c>
      <c r="W5585">
        <v>4.3561320000000001E-2</v>
      </c>
      <c r="X5585">
        <v>0.99845309999999898</v>
      </c>
      <c r="Y5585">
        <v>-0.145894</v>
      </c>
      <c r="Z5585">
        <v>7.4924329999999997E-3</v>
      </c>
      <c r="AA5585">
        <v>0.98927189999999998</v>
      </c>
      <c r="AB5585">
        <v>12</v>
      </c>
      <c r="AC5585">
        <v>42.765500000000003</v>
      </c>
      <c r="AD5585">
        <v>-1.104106610723</v>
      </c>
      <c r="AE5585">
        <v>-3.21434</v>
      </c>
      <c r="AF5585">
        <v>-6.2691929125546197</v>
      </c>
      <c r="AG5585">
        <v>-1.104106610723</v>
      </c>
      <c r="AH5585">
        <v>42.396715806169702</v>
      </c>
      <c r="AI5585">
        <v>91.475735461365304</v>
      </c>
      <c r="AJ5585">
        <v>98.411361440538002</v>
      </c>
      <c r="AK5585">
        <v>42.871941200880897</v>
      </c>
    </row>
    <row r="5586" spans="1:37" x14ac:dyDescent="0.2">
      <c r="A5586" t="str">
        <f>"20200111160013694"</f>
        <v>20200111160013694</v>
      </c>
      <c r="B5586" t="str">
        <f>"1578729613686797"</f>
        <v>1578729613686797</v>
      </c>
      <c r="C5586" t="s">
        <v>37</v>
      </c>
      <c r="D5586">
        <v>5.2665600000000001</v>
      </c>
      <c r="E5586">
        <v>0.45996419999999999</v>
      </c>
      <c r="F5586" t="s">
        <v>90</v>
      </c>
      <c r="G5586">
        <v>-239.7337</v>
      </c>
      <c r="H5586" s="1">
        <v>-3.6527030000000001E-6</v>
      </c>
      <c r="I5586">
        <v>-63.011959999999902</v>
      </c>
      <c r="J5586">
        <v>-282.30889999999999</v>
      </c>
      <c r="K5586">
        <v>1.104131</v>
      </c>
      <c r="L5586">
        <v>-59.806759999999997</v>
      </c>
      <c r="M5586">
        <v>0.97517710000000002</v>
      </c>
      <c r="N5586">
        <v>0</v>
      </c>
      <c r="O5586">
        <v>-0.22101589999999999</v>
      </c>
      <c r="P5586">
        <v>0.98191509999999904</v>
      </c>
      <c r="Q5586">
        <v>3.0369500000000001E-2</v>
      </c>
      <c r="R5586">
        <v>-0.18687010000000001</v>
      </c>
      <c r="S5586">
        <v>3.0139469999999999</v>
      </c>
      <c r="T5586">
        <v>-7.8030470000000005E-2</v>
      </c>
      <c r="U5586">
        <v>-0.2277527</v>
      </c>
      <c r="V5586">
        <v>-3.4728870000000002E-2</v>
      </c>
      <c r="W5586">
        <v>4.3882409999999997E-2</v>
      </c>
      <c r="X5586">
        <v>0.99843289999999996</v>
      </c>
      <c r="Y5586">
        <v>-0.14679879999999901</v>
      </c>
      <c r="Z5586">
        <v>7.5631149999999996E-3</v>
      </c>
      <c r="AA5586">
        <v>0.9891375</v>
      </c>
      <c r="AB5586">
        <v>12</v>
      </c>
      <c r="AC5586">
        <v>42.575200000000002</v>
      </c>
      <c r="AD5586">
        <v>-1.104134652703</v>
      </c>
      <c r="AE5586">
        <v>-3.2051999999999898</v>
      </c>
      <c r="AF5586">
        <v>-6.2805289460922404</v>
      </c>
      <c r="AG5586">
        <v>-1.104134652703</v>
      </c>
      <c r="AH5586">
        <v>42.202371204847303</v>
      </c>
      <c r="AI5586">
        <v>91.482361691832494</v>
      </c>
      <c r="AJ5586">
        <v>98.464595794453999</v>
      </c>
      <c r="AK5586">
        <v>42.681427957435197</v>
      </c>
    </row>
    <row r="5587" spans="1:37" x14ac:dyDescent="0.2">
      <c r="A5587" t="str">
        <f>"20200111160013709"</f>
        <v>20200111160013709</v>
      </c>
      <c r="B5587" t="str">
        <f>"1578729613706317"</f>
        <v>1578729613706317</v>
      </c>
      <c r="C5587" t="s">
        <v>37</v>
      </c>
      <c r="D5587">
        <v>5.2937479999999999</v>
      </c>
      <c r="E5587">
        <v>0.45952280000000001</v>
      </c>
      <c r="F5587" t="s">
        <v>90</v>
      </c>
      <c r="G5587">
        <v>-239.63810000000001</v>
      </c>
      <c r="H5587" s="1">
        <v>-3.624683E-6</v>
      </c>
      <c r="I5587">
        <v>-63.03736</v>
      </c>
      <c r="J5587">
        <v>-282.22800000000001</v>
      </c>
      <c r="K5587">
        <v>1.104155</v>
      </c>
      <c r="L5587">
        <v>-59.826509999999999</v>
      </c>
      <c r="M5587">
        <v>0.97492049999999997</v>
      </c>
      <c r="N5587">
        <v>0</v>
      </c>
      <c r="O5587">
        <v>-0.2221504</v>
      </c>
      <c r="P5587">
        <v>0.98174269999999997</v>
      </c>
      <c r="Q5587">
        <v>3.0844440000000001E-2</v>
      </c>
      <c r="R5587">
        <v>-0.1876969</v>
      </c>
      <c r="S5587">
        <v>3.014221</v>
      </c>
      <c r="T5587">
        <v>-7.7994939999999999E-2</v>
      </c>
      <c r="U5587">
        <v>-0.22821039999999901</v>
      </c>
      <c r="V5587">
        <v>-3.5049619999999997E-2</v>
      </c>
      <c r="W5587">
        <v>4.4275889999999998E-2</v>
      </c>
      <c r="X5587">
        <v>0.99840429999999902</v>
      </c>
      <c r="Y5587">
        <v>-0.1478062</v>
      </c>
      <c r="Z5587">
        <v>7.6005519999999896E-3</v>
      </c>
      <c r="AA5587">
        <v>0.98898709999999901</v>
      </c>
      <c r="AB5587">
        <v>12</v>
      </c>
      <c r="AC5587">
        <v>42.5899</v>
      </c>
      <c r="AD5587">
        <v>-1.104158624683</v>
      </c>
      <c r="AE5587">
        <v>-3.2108500000000002</v>
      </c>
      <c r="AF5587">
        <v>-6.3273784783040403</v>
      </c>
      <c r="AG5587">
        <v>-1.104158624683</v>
      </c>
      <c r="AH5587">
        <v>42.210632914145798</v>
      </c>
      <c r="AI5587">
        <v>91.481869944879605</v>
      </c>
      <c r="AJ5587">
        <v>98.525168141201902</v>
      </c>
      <c r="AK5587">
        <v>42.696515263999402</v>
      </c>
    </row>
    <row r="5588" spans="1:37" x14ac:dyDescent="0.2">
      <c r="A5588" t="str">
        <f>"20200111160013719"</f>
        <v>20200111160013719</v>
      </c>
      <c r="B5588" t="str">
        <f>"1578729613717052"</f>
        <v>1578729613717052</v>
      </c>
      <c r="C5588" t="s">
        <v>37</v>
      </c>
      <c r="D5588">
        <v>5.2550179999999997</v>
      </c>
      <c r="E5588">
        <v>0.45924910000000002</v>
      </c>
      <c r="F5588" t="s">
        <v>90</v>
      </c>
      <c r="G5588">
        <v>-238.68860000000001</v>
      </c>
      <c r="H5588" s="1">
        <v>-3.31466799999999E-6</v>
      </c>
      <c r="I5588">
        <v>-63.111309999999897</v>
      </c>
      <c r="J5588">
        <v>-282.16890000000001</v>
      </c>
      <c r="K5588">
        <v>1.1041620000000001</v>
      </c>
      <c r="L5588">
        <v>-59.841000000000001</v>
      </c>
      <c r="M5588">
        <v>0.97473849999999995</v>
      </c>
      <c r="N5588">
        <v>0</v>
      </c>
      <c r="O5588">
        <v>-0.22295139999999999</v>
      </c>
      <c r="P5588">
        <v>0.981581699999999</v>
      </c>
      <c r="Q5588">
        <v>3.108288E-2</v>
      </c>
      <c r="R5588">
        <v>-0.1884971</v>
      </c>
      <c r="S5588">
        <v>3.0147089999999999</v>
      </c>
      <c r="T5588">
        <v>-7.6452850000000003E-2</v>
      </c>
      <c r="U5588">
        <v>-0.2274475</v>
      </c>
      <c r="V5588">
        <v>-3.5056990000000003E-2</v>
      </c>
      <c r="W5588">
        <v>4.4430230000000001E-2</v>
      </c>
      <c r="X5588">
        <v>0.99839719999999998</v>
      </c>
      <c r="Y5588">
        <v>-0.14888370000000001</v>
      </c>
      <c r="Z5588">
        <v>7.4826789999999999E-3</v>
      </c>
      <c r="AA5588">
        <v>0.98882639999999999</v>
      </c>
      <c r="AB5588">
        <v>12</v>
      </c>
      <c r="AC5588">
        <v>43.4803</v>
      </c>
      <c r="AD5588">
        <v>-1.1041653146679999</v>
      </c>
      <c r="AE5588">
        <v>-3.2703099999999901</v>
      </c>
      <c r="AF5588">
        <v>-6.5027043860808504</v>
      </c>
      <c r="AG5588">
        <v>-1.1041653146679999</v>
      </c>
      <c r="AH5588">
        <v>43.087239788554797</v>
      </c>
      <c r="AI5588">
        <v>91.451525677167695</v>
      </c>
      <c r="AJ5588">
        <v>98.582282433236202</v>
      </c>
      <c r="AK5588">
        <v>43.589156655885098</v>
      </c>
    </row>
    <row r="5589" spans="1:37" x14ac:dyDescent="0.2">
      <c r="A5589" t="str">
        <f>"20200111160013731"</f>
        <v>20200111160013731</v>
      </c>
      <c r="B5589" t="str">
        <f>"1578729613726812"</f>
        <v>1578729613726812</v>
      </c>
      <c r="C5589" t="s">
        <v>37</v>
      </c>
      <c r="D5589">
        <v>5.3095589999999904</v>
      </c>
      <c r="E5589">
        <v>0.4590342</v>
      </c>
      <c r="F5589" t="s">
        <v>90</v>
      </c>
      <c r="G5589">
        <v>-238.4838</v>
      </c>
      <c r="H5589" s="1">
        <v>-3.2497730000000001E-6</v>
      </c>
      <c r="I5589">
        <v>-63.13823</v>
      </c>
      <c r="J5589">
        <v>-282.10820000000001</v>
      </c>
      <c r="K5589">
        <v>1.1041650000000001</v>
      </c>
      <c r="L5589">
        <v>-59.855899999999998</v>
      </c>
      <c r="M5589">
        <v>0.97455530000000001</v>
      </c>
      <c r="N5589">
        <v>0</v>
      </c>
      <c r="O5589">
        <v>-0.22375690000000001</v>
      </c>
      <c r="P5589">
        <v>0.9814408</v>
      </c>
      <c r="Q5589">
        <v>3.1300010000000003E-2</v>
      </c>
      <c r="R5589">
        <v>-0.1891948</v>
      </c>
      <c r="S5589">
        <v>3.015015</v>
      </c>
      <c r="T5589">
        <v>-7.6206209999999996E-2</v>
      </c>
      <c r="U5589">
        <v>-0.22756959999999901</v>
      </c>
      <c r="V5589">
        <v>-3.5173450000000002E-2</v>
      </c>
      <c r="W5589">
        <v>4.4547419999999997E-2</v>
      </c>
      <c r="X5589">
        <v>0.99838789999999999</v>
      </c>
      <c r="Y5589">
        <v>-0.14966849999999901</v>
      </c>
      <c r="Z5589">
        <v>7.4875180000000003E-3</v>
      </c>
      <c r="AA5589">
        <v>0.98870789999999997</v>
      </c>
      <c r="AB5589">
        <v>12</v>
      </c>
      <c r="AC5589">
        <v>43.624400000000001</v>
      </c>
      <c r="AD5589">
        <v>-1.1041682497730001</v>
      </c>
      <c r="AE5589">
        <v>-3.28233</v>
      </c>
      <c r="AF5589">
        <v>-6.55884391885456</v>
      </c>
      <c r="AG5589">
        <v>-1.1041682497730001</v>
      </c>
      <c r="AH5589">
        <v>43.225079352027699</v>
      </c>
      <c r="AI5589">
        <v>91.446727845203299</v>
      </c>
      <c r="AJ5589">
        <v>98.628073571081401</v>
      </c>
      <c r="AK5589">
        <v>43.733798212192802</v>
      </c>
    </row>
    <row r="5590" spans="1:37" x14ac:dyDescent="0.2">
      <c r="A5590" t="str">
        <f>"20200111160013742"</f>
        <v>20200111160013742</v>
      </c>
      <c r="B5590" t="str">
        <f>"1578729613736575"</f>
        <v>1578729613736575</v>
      </c>
      <c r="C5590" t="s">
        <v>37</v>
      </c>
      <c r="D5590">
        <v>5.3139260000000004</v>
      </c>
      <c r="E5590">
        <v>0.45870429999999901</v>
      </c>
      <c r="F5590" t="s">
        <v>90</v>
      </c>
      <c r="G5590">
        <v>-238.30330000000001</v>
      </c>
      <c r="H5590" s="1">
        <v>-3.193555E-6</v>
      </c>
      <c r="I5590">
        <v>-63.167740000000002</v>
      </c>
      <c r="J5590">
        <v>-282.04340000000002</v>
      </c>
      <c r="K5590">
        <v>1.1041620000000001</v>
      </c>
      <c r="L5590">
        <v>-59.871830000000003</v>
      </c>
      <c r="M5590">
        <v>0.97436279999999997</v>
      </c>
      <c r="N5590">
        <v>0</v>
      </c>
      <c r="O5590">
        <v>-0.22460069999999999</v>
      </c>
      <c r="P5590">
        <v>0.98130119999999899</v>
      </c>
      <c r="Q5590">
        <v>3.144512E-2</v>
      </c>
      <c r="R5590">
        <v>-0.18989229999999899</v>
      </c>
      <c r="S5590">
        <v>3.0151979999999998</v>
      </c>
      <c r="T5590">
        <v>-7.6002479999999997E-2</v>
      </c>
      <c r="U5590">
        <v>-0.22796630000000001</v>
      </c>
      <c r="V5590">
        <v>-3.5329569999999998E-2</v>
      </c>
      <c r="W5590">
        <v>4.4573620000000001E-2</v>
      </c>
      <c r="X5590">
        <v>0.99838119999999997</v>
      </c>
      <c r="Y5590">
        <v>-0.1503997</v>
      </c>
      <c r="Z5590">
        <v>7.4969219999999996E-3</v>
      </c>
      <c r="AA5590">
        <v>0.9885969</v>
      </c>
      <c r="AB5590">
        <v>12</v>
      </c>
      <c r="AC5590">
        <v>43.740099999999998</v>
      </c>
      <c r="AD5590">
        <v>-1.1041651935550001</v>
      </c>
      <c r="AE5590">
        <v>-3.2959099999999899</v>
      </c>
      <c r="AF5590">
        <v>-6.6090248063137498</v>
      </c>
      <c r="AG5590">
        <v>-1.1041651935550001</v>
      </c>
      <c r="AH5590">
        <v>43.335252577371001</v>
      </c>
      <c r="AI5590">
        <v>91.442881725899994</v>
      </c>
      <c r="AJ5590">
        <v>98.671316728111904</v>
      </c>
      <c r="AK5590">
        <v>43.850228113542002</v>
      </c>
    </row>
    <row r="5591" spans="1:37" x14ac:dyDescent="0.2">
      <c r="A5591" t="str">
        <f>"20200111160013755"</f>
        <v>20200111160013755</v>
      </c>
      <c r="B5591" t="str">
        <f>"1578729613746332"</f>
        <v>1578729613746332</v>
      </c>
      <c r="C5591" t="s">
        <v>37</v>
      </c>
      <c r="D5591">
        <v>5.356268</v>
      </c>
      <c r="E5591">
        <v>0.45833599999999902</v>
      </c>
      <c r="F5591" t="s">
        <v>90</v>
      </c>
      <c r="G5591">
        <v>-239.17760000000001</v>
      </c>
      <c r="H5591" s="1">
        <v>-3.4799919999999999E-6</v>
      </c>
      <c r="I5591">
        <v>-63.105240000000002</v>
      </c>
      <c r="J5591">
        <v>-281.97919999999999</v>
      </c>
      <c r="K5591">
        <v>1.104158</v>
      </c>
      <c r="L5591">
        <v>-59.887630000000001</v>
      </c>
      <c r="M5591">
        <v>0.97417869999999995</v>
      </c>
      <c r="N5591">
        <v>0</v>
      </c>
      <c r="O5591">
        <v>-0.22540579999999999</v>
      </c>
      <c r="P5591">
        <v>0.98116970000000003</v>
      </c>
      <c r="Q5591">
        <v>3.141033E-2</v>
      </c>
      <c r="R5591">
        <v>-0.19057729999999901</v>
      </c>
      <c r="S5591">
        <v>3.0156559999999999</v>
      </c>
      <c r="T5591">
        <v>-7.7679159999999997E-2</v>
      </c>
      <c r="U5591">
        <v>-0.22747800000000001</v>
      </c>
      <c r="V5591">
        <v>-3.5460739999999998E-2</v>
      </c>
      <c r="W5591">
        <v>4.4409280000000002E-2</v>
      </c>
      <c r="X5591">
        <v>0.99838389999999999</v>
      </c>
      <c r="Y5591">
        <v>-0.15138070000000001</v>
      </c>
      <c r="Z5591">
        <v>7.6939840000000001E-3</v>
      </c>
      <c r="AA5591">
        <v>0.98844560000000004</v>
      </c>
      <c r="AB5591">
        <v>12</v>
      </c>
      <c r="AC5591">
        <v>42.801599999999901</v>
      </c>
      <c r="AD5591">
        <v>-1.1041614799920001</v>
      </c>
      <c r="AE5591">
        <v>-3.2176100000000001</v>
      </c>
      <c r="AF5591">
        <v>-6.5094415589299501</v>
      </c>
      <c r="AG5591">
        <v>-1.1041614799920001</v>
      </c>
      <c r="AH5591">
        <v>42.397184108911702</v>
      </c>
      <c r="AI5591">
        <v>91.474561596263101</v>
      </c>
      <c r="AJ5591">
        <v>98.728732510883603</v>
      </c>
      <c r="AK5591">
        <v>42.908195281880303</v>
      </c>
    </row>
    <row r="5592" spans="1:37" x14ac:dyDescent="0.2">
      <c r="A5592" t="str">
        <f>"20200111160013765"</f>
        <v>20200111160013765</v>
      </c>
      <c r="B5592" t="str">
        <f>"1578729613757068"</f>
        <v>1578729613757068</v>
      </c>
      <c r="C5592" t="s">
        <v>37</v>
      </c>
      <c r="D5592">
        <v>5.402965</v>
      </c>
      <c r="E5592">
        <v>0.45803490000000002</v>
      </c>
      <c r="F5592" t="s">
        <v>90</v>
      </c>
      <c r="G5592">
        <v>-239.82419999999999</v>
      </c>
      <c r="H5592" s="1">
        <v>-3.6915929999999898E-6</v>
      </c>
      <c r="I5592">
        <v>-63.057580000000002</v>
      </c>
      <c r="J5592">
        <v>-281.91950000000003</v>
      </c>
      <c r="K5592">
        <v>1.104152</v>
      </c>
      <c r="L5592">
        <v>-59.902369999999998</v>
      </c>
      <c r="M5592">
        <v>0.974008599999999</v>
      </c>
      <c r="N5592">
        <v>0</v>
      </c>
      <c r="O5592">
        <v>-0.226146299999999</v>
      </c>
      <c r="P5592">
        <v>0.98103619999999903</v>
      </c>
      <c r="Q5592">
        <v>3.1255959999999999E-2</v>
      </c>
      <c r="R5592">
        <v>-0.19128800000000001</v>
      </c>
      <c r="S5592">
        <v>3.0160830000000001</v>
      </c>
      <c r="T5592">
        <v>-7.8999879999999995E-2</v>
      </c>
      <c r="U5592">
        <v>-0.2268066</v>
      </c>
      <c r="V5592">
        <v>-3.5499259999999998E-2</v>
      </c>
      <c r="W5592">
        <v>4.4132030000000003E-2</v>
      </c>
      <c r="X5592">
        <v>0.99839480000000003</v>
      </c>
      <c r="Y5592">
        <v>-0.1523563</v>
      </c>
      <c r="Z5592">
        <v>7.8554009999999997E-3</v>
      </c>
      <c r="AA5592">
        <v>0.98829439999999902</v>
      </c>
      <c r="AB5592">
        <v>12</v>
      </c>
      <c r="AC5592">
        <v>42.095300000000002</v>
      </c>
      <c r="AD5592">
        <v>-1.104155691593</v>
      </c>
      <c r="AE5592">
        <v>-3.1552099999999998</v>
      </c>
      <c r="AF5592">
        <v>-6.4426190763747</v>
      </c>
      <c r="AG5592">
        <v>-1.104155691593</v>
      </c>
      <c r="AH5592">
        <v>41.689644662960902</v>
      </c>
      <c r="AI5592">
        <v>91.499341895989303</v>
      </c>
      <c r="AJ5592">
        <v>98.784861123042205</v>
      </c>
      <c r="AK5592">
        <v>42.198968855630703</v>
      </c>
    </row>
    <row r="5593" spans="1:37" x14ac:dyDescent="0.2">
      <c r="A5593" t="str">
        <f>"20200111160013775"</f>
        <v>20200111160013775</v>
      </c>
      <c r="B5593" t="str">
        <f>"1578729613766829"</f>
        <v>1578729613766829</v>
      </c>
      <c r="C5593" t="s">
        <v>37</v>
      </c>
      <c r="D5593">
        <v>5.3576550000000003</v>
      </c>
      <c r="E5593">
        <v>0.45776279999999903</v>
      </c>
      <c r="F5593" t="s">
        <v>89</v>
      </c>
      <c r="G5593">
        <v>-240.619</v>
      </c>
      <c r="H5593" s="1">
        <v>4.9172630000000001E-8</v>
      </c>
      <c r="I5593">
        <v>-63.007429999999999</v>
      </c>
      <c r="J5593">
        <v>-281.85980000000001</v>
      </c>
      <c r="K5593">
        <v>1.1041540000000001</v>
      </c>
      <c r="L5593">
        <v>-59.917110000000001</v>
      </c>
      <c r="M5593">
        <v>0.97384760000000004</v>
      </c>
      <c r="N5593">
        <v>0</v>
      </c>
      <c r="O5593">
        <v>-0.2268452</v>
      </c>
      <c r="P5593">
        <v>0.98086580000000001</v>
      </c>
      <c r="Q5593">
        <v>3.0761259999999999E-2</v>
      </c>
      <c r="R5593">
        <v>-0.192239299999999</v>
      </c>
      <c r="S5593">
        <v>3.0162960000000001</v>
      </c>
      <c r="T5593">
        <v>-8.0639600000000006E-2</v>
      </c>
      <c r="U5593">
        <v>-0.22677610000000001</v>
      </c>
      <c r="V5593">
        <v>-3.525408E-2</v>
      </c>
      <c r="W5593">
        <v>4.351083E-2</v>
      </c>
      <c r="X5593">
        <v>0.99843069999999901</v>
      </c>
      <c r="Y5593">
        <v>-0.1530745</v>
      </c>
      <c r="Z5593">
        <v>8.0456079999999992E-3</v>
      </c>
      <c r="AA5593">
        <v>0.98818189999999995</v>
      </c>
      <c r="AB5593">
        <v>13</v>
      </c>
      <c r="AC5593">
        <v>41.240799999999901</v>
      </c>
      <c r="AD5593">
        <v>-1.1041539508273699</v>
      </c>
      <c r="AE5593">
        <v>-3.0903200000000002</v>
      </c>
      <c r="AF5593">
        <v>-6.3417707465793498</v>
      </c>
      <c r="AG5593">
        <v>-1.1041539508273699</v>
      </c>
      <c r="AH5593">
        <v>40.837481543887598</v>
      </c>
      <c r="AI5593">
        <v>91.530436998043101</v>
      </c>
      <c r="AJ5593">
        <v>98.827120204393395</v>
      </c>
      <c r="AK5593">
        <v>41.3417115150868</v>
      </c>
    </row>
    <row r="5594" spans="1:37" x14ac:dyDescent="0.2">
      <c r="A5594" t="str">
        <f>"20200111160013787"</f>
        <v>20200111160013787</v>
      </c>
      <c r="B5594" t="str">
        <f>"1578729613776589"</f>
        <v>1578729613776589</v>
      </c>
      <c r="C5594" t="s">
        <v>37</v>
      </c>
      <c r="D5594">
        <v>5.3925799999999997</v>
      </c>
      <c r="E5594">
        <v>0.45741219999999999</v>
      </c>
      <c r="F5594" t="s">
        <v>89</v>
      </c>
      <c r="G5594">
        <v>-241.9665</v>
      </c>
      <c r="H5594" s="1">
        <v>-5.0761249999999899E-7</v>
      </c>
      <c r="I5594">
        <v>-62.927430000000001</v>
      </c>
      <c r="J5594">
        <v>-281.80040000000002</v>
      </c>
      <c r="K5594">
        <v>1.104155</v>
      </c>
      <c r="L5594">
        <v>-59.931789999999999</v>
      </c>
      <c r="M5594">
        <v>0.97368920000000003</v>
      </c>
      <c r="N5594">
        <v>0</v>
      </c>
      <c r="O5594">
        <v>-0.22753139999999999</v>
      </c>
      <c r="P5594">
        <v>0.98065809999999998</v>
      </c>
      <c r="Q5594">
        <v>3.036026E-2</v>
      </c>
      <c r="R5594">
        <v>-0.19336139999999999</v>
      </c>
      <c r="S5594">
        <v>3.0165410000000001</v>
      </c>
      <c r="T5594">
        <v>-8.3490969999999998E-2</v>
      </c>
      <c r="U5594">
        <v>-0.22763059999999999</v>
      </c>
      <c r="V5594">
        <v>-3.4821159999999997E-2</v>
      </c>
      <c r="W5594">
        <v>4.2984420000000002E-2</v>
      </c>
      <c r="X5594">
        <v>0.99846880000000005</v>
      </c>
      <c r="Y5594">
        <v>-0.15348809999999999</v>
      </c>
      <c r="Z5594">
        <v>8.3533849999999996E-3</v>
      </c>
      <c r="AA5594">
        <v>0.98811519999999997</v>
      </c>
      <c r="AB5594">
        <v>13</v>
      </c>
      <c r="AC5594">
        <v>39.8339</v>
      </c>
      <c r="AD5594">
        <v>-1.1041555076125</v>
      </c>
      <c r="AE5594">
        <v>-2.9956399999999999</v>
      </c>
      <c r="AF5594">
        <v>-6.14243587942895</v>
      </c>
      <c r="AG5594">
        <v>-1.1041555076125</v>
      </c>
      <c r="AH5594">
        <v>39.440441205249698</v>
      </c>
      <c r="AI5594">
        <v>91.584515058008293</v>
      </c>
      <c r="AJ5594">
        <v>98.852106338932302</v>
      </c>
      <c r="AK5594">
        <v>39.931154258080802</v>
      </c>
    </row>
    <row r="5595" spans="1:37" x14ac:dyDescent="0.2">
      <c r="A5595" t="str">
        <f>"20200111160013799"</f>
        <v>20200111160013799</v>
      </c>
      <c r="B5595" t="str">
        <f>"1578729613786348"</f>
        <v>1578729613786348</v>
      </c>
      <c r="C5595" t="s">
        <v>37</v>
      </c>
      <c r="D5595">
        <v>5.3597529999999898</v>
      </c>
      <c r="E5595">
        <v>0.45714070000000001</v>
      </c>
      <c r="F5595" t="s">
        <v>89</v>
      </c>
      <c r="G5595">
        <v>-243.15799999999999</v>
      </c>
      <c r="H5595" s="1">
        <v>-9.9953990000000002E-7</v>
      </c>
      <c r="I5595">
        <v>-62.855240000000002</v>
      </c>
      <c r="J5595">
        <v>-281.7371</v>
      </c>
      <c r="K5595">
        <v>1.1041559999999999</v>
      </c>
      <c r="L5595">
        <v>-59.947450000000003</v>
      </c>
      <c r="M5595">
        <v>0.97352830000000001</v>
      </c>
      <c r="N5595">
        <v>0</v>
      </c>
      <c r="O5595">
        <v>-0.2282257</v>
      </c>
      <c r="P5595">
        <v>0.980402199999999</v>
      </c>
      <c r="Q5595">
        <v>3.0092569999999999E-2</v>
      </c>
      <c r="R5595">
        <v>-0.19469520000000001</v>
      </c>
      <c r="S5595">
        <v>3.0168459999999899</v>
      </c>
      <c r="T5595">
        <v>-8.6202379999999995E-2</v>
      </c>
      <c r="U5595">
        <v>-0.228240999999999</v>
      </c>
      <c r="V5595">
        <v>-3.4178519999999997E-2</v>
      </c>
      <c r="W5595">
        <v>4.2585669999999999E-2</v>
      </c>
      <c r="X5595">
        <v>0.99850799999999995</v>
      </c>
      <c r="Y5595">
        <v>-0.15399119999999999</v>
      </c>
      <c r="Z5595">
        <v>8.6500689999999998E-3</v>
      </c>
      <c r="AA5595">
        <v>0.98803439999999998</v>
      </c>
      <c r="AB5595">
        <v>13</v>
      </c>
      <c r="AC5595">
        <v>38.579099999999997</v>
      </c>
      <c r="AD5595">
        <v>-1.1041569995398901</v>
      </c>
      <c r="AE5595">
        <v>-2.9077899999999901</v>
      </c>
      <c r="AF5595">
        <v>-5.9695290586558203</v>
      </c>
      <c r="AG5595">
        <v>-1.1041569995398901</v>
      </c>
      <c r="AH5595">
        <v>38.193344613779601</v>
      </c>
      <c r="AI5595">
        <v>91.636088480403004</v>
      </c>
      <c r="AJ5595">
        <v>98.883322818318007</v>
      </c>
      <c r="AK5595">
        <v>38.672807147253899</v>
      </c>
    </row>
    <row r="5596" spans="1:37" x14ac:dyDescent="0.2">
      <c r="A5596" t="str">
        <f>"20200111160013811"</f>
        <v>20200111160013811</v>
      </c>
      <c r="B5596" t="str">
        <f>"1578729613806844"</f>
        <v>1578729613806844</v>
      </c>
      <c r="C5596" t="s">
        <v>37</v>
      </c>
      <c r="D5596">
        <v>5.3345070000000003</v>
      </c>
      <c r="E5596">
        <v>0.45654509999999998</v>
      </c>
      <c r="F5596" t="s">
        <v>89</v>
      </c>
      <c r="G5596">
        <v>-244.10310000000001</v>
      </c>
      <c r="H5596" s="1">
        <v>-1.395007E-6</v>
      </c>
      <c r="I5596">
        <v>-62.817709999999998</v>
      </c>
      <c r="J5596">
        <v>-281.6678</v>
      </c>
      <c r="K5596">
        <v>1.104166</v>
      </c>
      <c r="L5596">
        <v>-59.964599999999997</v>
      </c>
      <c r="M5596">
        <v>0.97335869999999902</v>
      </c>
      <c r="N5596">
        <v>0</v>
      </c>
      <c r="O5596">
        <v>-0.2289553</v>
      </c>
      <c r="P5596">
        <v>0.9801552</v>
      </c>
      <c r="Q5596">
        <v>2.915949E-2</v>
      </c>
      <c r="R5596">
        <v>-0.19607559999999999</v>
      </c>
      <c r="S5596">
        <v>3.0169679999999999</v>
      </c>
      <c r="T5596">
        <v>-8.8515999999999997E-2</v>
      </c>
      <c r="U5596">
        <v>-0.23010249999999999</v>
      </c>
      <c r="V5596">
        <v>-3.3530589999999999E-2</v>
      </c>
      <c r="W5596">
        <v>4.1512779999999999E-2</v>
      </c>
      <c r="X5596">
        <v>0.9985752</v>
      </c>
      <c r="Y5596">
        <v>-0.1541196</v>
      </c>
      <c r="Z5596">
        <v>8.9041659999999998E-3</v>
      </c>
      <c r="AA5596">
        <v>0.98801209999999995</v>
      </c>
      <c r="AB5596">
        <v>13</v>
      </c>
      <c r="AC5596">
        <v>37.564699999999903</v>
      </c>
      <c r="AD5596">
        <v>-1.1041673950069999</v>
      </c>
      <c r="AE5596">
        <v>-2.85311</v>
      </c>
      <c r="AF5596">
        <v>-5.8189825432137097</v>
      </c>
      <c r="AG5596">
        <v>-1.1041673950069999</v>
      </c>
      <c r="AH5596">
        <v>37.1880509308209</v>
      </c>
      <c r="AI5596">
        <v>91.680261822006798</v>
      </c>
      <c r="AJ5596">
        <v>98.893216376469098</v>
      </c>
      <c r="AK5596">
        <v>37.656750729553799</v>
      </c>
    </row>
    <row r="5597" spans="1:37" x14ac:dyDescent="0.2">
      <c r="A5597" t="str">
        <f>"20200111160013823"</f>
        <v>20200111160013823</v>
      </c>
      <c r="B5597" t="str">
        <f>"1578729613816605"</f>
        <v>1578729613816605</v>
      </c>
      <c r="C5597" t="s">
        <v>37</v>
      </c>
      <c r="D5597">
        <v>5.3277159999999997</v>
      </c>
      <c r="E5597">
        <v>0.45624999999999999</v>
      </c>
      <c r="F5597" t="s">
        <v>89</v>
      </c>
      <c r="G5597">
        <v>-246.22900000000001</v>
      </c>
      <c r="H5597" s="1">
        <v>-2.264956E-6</v>
      </c>
      <c r="I5597">
        <v>-62.659669999999998</v>
      </c>
      <c r="J5597">
        <v>-281.60140000000001</v>
      </c>
      <c r="K5597">
        <v>1.104176</v>
      </c>
      <c r="L5597">
        <v>-59.981019999999901</v>
      </c>
      <c r="M5597">
        <v>0.97320219999999902</v>
      </c>
      <c r="N5597">
        <v>0</v>
      </c>
      <c r="O5597">
        <v>-0.22962640000000001</v>
      </c>
      <c r="P5597">
        <v>0.97995580000000004</v>
      </c>
      <c r="Q5597">
        <v>2.8289640000000001E-2</v>
      </c>
      <c r="R5597">
        <v>-0.1971977</v>
      </c>
      <c r="S5597">
        <v>3.017639</v>
      </c>
      <c r="T5597">
        <v>-9.4020720000000002E-2</v>
      </c>
      <c r="U5597">
        <v>-0.22949220000000001</v>
      </c>
      <c r="V5597">
        <v>-3.3085320000000001E-2</v>
      </c>
      <c r="W5597">
        <v>4.0512270000000003E-2</v>
      </c>
      <c r="X5597">
        <v>0.99863109999999999</v>
      </c>
      <c r="Y5597">
        <v>-0.1549944</v>
      </c>
      <c r="Z5597">
        <v>9.4896149999999999E-3</v>
      </c>
      <c r="AA5597">
        <v>0.98786980000000002</v>
      </c>
      <c r="AB5597">
        <v>13</v>
      </c>
      <c r="AC5597">
        <v>35.372399999999999</v>
      </c>
      <c r="AD5597">
        <v>-1.1041782649559999</v>
      </c>
      <c r="AE5597">
        <v>-2.6786500000000002</v>
      </c>
      <c r="AF5597">
        <v>-5.5106411899202596</v>
      </c>
      <c r="AG5597">
        <v>-1.1041782649559999</v>
      </c>
      <c r="AH5597">
        <v>35.008281894073697</v>
      </c>
      <c r="AI5597">
        <v>91.784578696981598</v>
      </c>
      <c r="AJ5597">
        <v>98.945506882338506</v>
      </c>
      <c r="AK5597">
        <v>35.4565392718998</v>
      </c>
    </row>
    <row r="5598" spans="1:37" x14ac:dyDescent="0.2">
      <c r="A5598" t="str">
        <f>"20200111160013834"</f>
        <v>20200111160013834</v>
      </c>
      <c r="B5598" t="str">
        <f>"1578729613826364"</f>
        <v>1578729613826364</v>
      </c>
      <c r="C5598" t="s">
        <v>37</v>
      </c>
      <c r="D5598">
        <v>5.3692459999999897</v>
      </c>
      <c r="E5598">
        <v>0.4560728</v>
      </c>
      <c r="F5598" t="s">
        <v>89</v>
      </c>
      <c r="G5598">
        <v>-247.75380000000001</v>
      </c>
      <c r="H5598" s="1">
        <v>-2.8943360000000001E-6</v>
      </c>
      <c r="I5598">
        <v>-62.566580000000002</v>
      </c>
      <c r="J5598">
        <v>-281.54570000000001</v>
      </c>
      <c r="K5598">
        <v>1.1041859999999999</v>
      </c>
      <c r="L5598">
        <v>-59.994810000000001</v>
      </c>
      <c r="M5598">
        <v>0.97308209999999995</v>
      </c>
      <c r="N5598">
        <v>0</v>
      </c>
      <c r="O5598">
        <v>-0.23014109999999999</v>
      </c>
      <c r="P5598">
        <v>0.97977369999999997</v>
      </c>
      <c r="Q5598">
        <v>2.708404E-2</v>
      </c>
      <c r="R5598">
        <v>-0.1982681</v>
      </c>
      <c r="S5598">
        <v>3.017792</v>
      </c>
      <c r="T5598">
        <v>-9.8446610000000004E-2</v>
      </c>
      <c r="U5598">
        <v>-0.23052979999999901</v>
      </c>
      <c r="V5598">
        <v>-3.2532730000000003E-2</v>
      </c>
      <c r="W5598">
        <v>3.920249E-2</v>
      </c>
      <c r="X5598">
        <v>0.99870159999999997</v>
      </c>
      <c r="Y5598">
        <v>-0.15516469999999999</v>
      </c>
      <c r="Z5598">
        <v>9.9544950000000007E-3</v>
      </c>
      <c r="AA5598">
        <v>0.98783840000000001</v>
      </c>
      <c r="AB5598">
        <v>13</v>
      </c>
      <c r="AC5598">
        <v>33.791899999999998</v>
      </c>
      <c r="AD5598">
        <v>-1.1041888943360001</v>
      </c>
      <c r="AE5598">
        <v>-2.5717699999999999</v>
      </c>
      <c r="AF5598">
        <v>-5.2691539130020697</v>
      </c>
      <c r="AG5598">
        <v>-1.1041888943360001</v>
      </c>
      <c r="AH5598">
        <v>33.441111447018798</v>
      </c>
      <c r="AI5598">
        <v>91.8681258779541</v>
      </c>
      <c r="AJ5598">
        <v>98.954201370943807</v>
      </c>
      <c r="AK5598">
        <v>33.871686566883803</v>
      </c>
    </row>
    <row r="5599" spans="1:37" x14ac:dyDescent="0.2">
      <c r="A5599" t="str">
        <f>"20200111160013844"</f>
        <v>20200111160013844</v>
      </c>
      <c r="B5599" t="str">
        <f>"1578729613836123"</f>
        <v>1578729613836123</v>
      </c>
      <c r="C5599" t="s">
        <v>37</v>
      </c>
      <c r="D5599">
        <v>5.3617790000000003</v>
      </c>
      <c r="E5599">
        <v>0.45586320000000002</v>
      </c>
      <c r="F5599" t="s">
        <v>89</v>
      </c>
      <c r="G5599">
        <v>-248.92449999999999</v>
      </c>
      <c r="H5599" s="1">
        <v>-3.2879759999999999E-6</v>
      </c>
      <c r="I5599">
        <v>-62.508189999999999</v>
      </c>
      <c r="J5599">
        <v>-281.48309999999998</v>
      </c>
      <c r="K5599">
        <v>1.1042000000000001</v>
      </c>
      <c r="L5599">
        <v>-60.010280000000002</v>
      </c>
      <c r="M5599">
        <v>0.972948699999999</v>
      </c>
      <c r="N5599">
        <v>0</v>
      </c>
      <c r="O5599">
        <v>-0.2307099</v>
      </c>
      <c r="P5599">
        <v>0.97969050000000002</v>
      </c>
      <c r="Q5599">
        <v>2.5717420000000001E-2</v>
      </c>
      <c r="R5599">
        <v>-0.19885999999999901</v>
      </c>
      <c r="S5599">
        <v>3.0177309999999999</v>
      </c>
      <c r="T5599">
        <v>-0.1021465</v>
      </c>
      <c r="U5599">
        <v>-0.23251340000000001</v>
      </c>
      <c r="V5599">
        <v>-3.2525539999999999E-2</v>
      </c>
      <c r="W5599">
        <v>3.7719669999999997E-2</v>
      </c>
      <c r="X5599">
        <v>0.99875890000000001</v>
      </c>
      <c r="Y5599">
        <v>-0.1550791</v>
      </c>
      <c r="Z5599">
        <v>1.0345490000000001E-2</v>
      </c>
      <c r="AA5599">
        <v>0.987847899999999</v>
      </c>
      <c r="AB5599">
        <v>13</v>
      </c>
      <c r="AC5599">
        <v>32.558599999999899</v>
      </c>
      <c r="AD5599">
        <v>-1.104203287976</v>
      </c>
      <c r="AE5599">
        <v>-2.4979099999999899</v>
      </c>
      <c r="AF5599">
        <v>-5.0758144171784902</v>
      </c>
      <c r="AG5599">
        <v>-1.104203287976</v>
      </c>
      <c r="AH5599">
        <v>32.219617357634597</v>
      </c>
      <c r="AI5599">
        <v>91.938929605612799</v>
      </c>
      <c r="AJ5599">
        <v>98.952683767945899</v>
      </c>
      <c r="AK5599">
        <v>32.6356691301282</v>
      </c>
    </row>
    <row r="5600" spans="1:37" x14ac:dyDescent="0.2">
      <c r="A5600" t="str">
        <f>"20200111160013855"</f>
        <v>20200111160013855</v>
      </c>
      <c r="B5600" t="str">
        <f>"1578729613846860"</f>
        <v>1578729613846860</v>
      </c>
      <c r="C5600" t="s">
        <v>37</v>
      </c>
      <c r="D5600">
        <v>5.4120309999999998</v>
      </c>
      <c r="E5600">
        <v>0.45567579999999902</v>
      </c>
      <c r="F5600" t="s">
        <v>88</v>
      </c>
      <c r="G5600">
        <v>-250.2543</v>
      </c>
      <c r="H5600" s="1">
        <v>3.0211289999999998E-7</v>
      </c>
      <c r="I5600">
        <v>-62.419280000000001</v>
      </c>
      <c r="J5600">
        <v>-281.42140000000001</v>
      </c>
      <c r="K5600">
        <v>1.1042259999999999</v>
      </c>
      <c r="L5600">
        <v>-60.025569999999902</v>
      </c>
      <c r="M5600">
        <v>0.97283569999999997</v>
      </c>
      <c r="N5600">
        <v>0</v>
      </c>
      <c r="O5600">
        <v>-0.23119139999999899</v>
      </c>
      <c r="P5600">
        <v>0.97959439999999998</v>
      </c>
      <c r="Q5600">
        <v>2.4888710000000001E-2</v>
      </c>
      <c r="R5600">
        <v>-0.19943829999999901</v>
      </c>
      <c r="S5600">
        <v>3.0177309999999999</v>
      </c>
      <c r="T5600">
        <v>-0.10670199999999901</v>
      </c>
      <c r="U5600">
        <v>-0.2327881</v>
      </c>
      <c r="V5600">
        <v>-3.2439049999999997E-2</v>
      </c>
      <c r="W5600">
        <v>3.6783330000000003E-2</v>
      </c>
      <c r="X5600">
        <v>0.99879660000000003</v>
      </c>
      <c r="Y5600">
        <v>-0.15545809999999999</v>
      </c>
      <c r="Z5600">
        <v>1.0829770000000001E-2</v>
      </c>
      <c r="AA5600">
        <v>0.98778310000000002</v>
      </c>
      <c r="AB5600">
        <v>13</v>
      </c>
      <c r="AC5600">
        <v>31.167100000000001</v>
      </c>
      <c r="AD5600">
        <v>-1.1042256978870999</v>
      </c>
      <c r="AE5600">
        <v>-2.3937100000000102</v>
      </c>
      <c r="AF5600">
        <v>-4.8711448282831196</v>
      </c>
      <c r="AG5600">
        <v>-1.1042256978870999</v>
      </c>
      <c r="AH5600">
        <v>30.837571990999901</v>
      </c>
      <c r="AI5600">
        <v>92.025664821939998</v>
      </c>
      <c r="AJ5600">
        <v>98.976350982693205</v>
      </c>
      <c r="AK5600">
        <v>31.239449621113501</v>
      </c>
    </row>
    <row r="5601" spans="1:37" x14ac:dyDescent="0.2">
      <c r="A5601" t="str">
        <f>"20200111160013867"</f>
        <v>20200111160013867</v>
      </c>
      <c r="B5601" t="str">
        <f>"1578729613856620"</f>
        <v>1578729613856620</v>
      </c>
      <c r="C5601" t="s">
        <v>37</v>
      </c>
      <c r="D5601">
        <v>5.3092689999999996</v>
      </c>
      <c r="E5601">
        <v>0.45550489999999999</v>
      </c>
      <c r="F5601" t="s">
        <v>88</v>
      </c>
      <c r="G5601">
        <v>-250.9359</v>
      </c>
      <c r="H5601" s="1">
        <v>1.8143789999999999E-8</v>
      </c>
      <c r="I5601">
        <v>-62.381180000000001</v>
      </c>
      <c r="J5601">
        <v>-281.36110000000002</v>
      </c>
      <c r="K5601">
        <v>1.1042620000000001</v>
      </c>
      <c r="L5601">
        <v>-60.040439999999997</v>
      </c>
      <c r="M5601">
        <v>0.97272890000000001</v>
      </c>
      <c r="N5601">
        <v>0</v>
      </c>
      <c r="O5601">
        <v>-0.231645399999999</v>
      </c>
      <c r="P5601">
        <v>0.97949189999999997</v>
      </c>
      <c r="Q5601">
        <v>2.3943280000000001E-2</v>
      </c>
      <c r="R5601">
        <v>-0.2000556</v>
      </c>
      <c r="S5601">
        <v>3.017792</v>
      </c>
      <c r="T5601">
        <v>-0.10930869999999999</v>
      </c>
      <c r="U5601">
        <v>-0.2331848</v>
      </c>
      <c r="V5601">
        <v>-3.2285010000000003E-2</v>
      </c>
      <c r="W5601">
        <v>3.5733550000000003E-2</v>
      </c>
      <c r="X5601">
        <v>0.998839699999999</v>
      </c>
      <c r="Y5601">
        <v>-0.155779</v>
      </c>
      <c r="Z5601">
        <v>1.111564E-2</v>
      </c>
      <c r="AA5601">
        <v>0.98772939999999998</v>
      </c>
      <c r="AB5601">
        <v>13</v>
      </c>
      <c r="AC5601">
        <v>30.4252</v>
      </c>
      <c r="AD5601">
        <v>-1.1042619818562001</v>
      </c>
      <c r="AE5601">
        <v>-2.3407399999999998</v>
      </c>
      <c r="AF5601">
        <v>-4.7650435933451201</v>
      </c>
      <c r="AG5601">
        <v>-1.1042619818562001</v>
      </c>
      <c r="AH5601">
        <v>30.100368958383001</v>
      </c>
      <c r="AI5601">
        <v>92.075191679519506</v>
      </c>
      <c r="AJ5601">
        <v>98.9955684362087</v>
      </c>
      <c r="AK5601">
        <v>30.495200383041201</v>
      </c>
    </row>
    <row r="5602" spans="1:37" x14ac:dyDescent="0.2">
      <c r="A5602" t="str">
        <f>"20200111160013878"</f>
        <v>20200111160013878</v>
      </c>
      <c r="B5602" t="str">
        <f>"1578729613866380"</f>
        <v>1578729613866380</v>
      </c>
      <c r="C5602" t="s">
        <v>37</v>
      </c>
      <c r="D5602">
        <v>5.322946</v>
      </c>
      <c r="E5602">
        <v>0.45520549999999999</v>
      </c>
      <c r="F5602" t="s">
        <v>88</v>
      </c>
      <c r="G5602">
        <v>-251.73679999999999</v>
      </c>
      <c r="H5602" s="1">
        <v>-3.1512929999999999E-7</v>
      </c>
      <c r="I5602">
        <v>-62.334850000000003</v>
      </c>
      <c r="J5602">
        <v>-281.29930000000002</v>
      </c>
      <c r="K5602">
        <v>1.1042959999999999</v>
      </c>
      <c r="L5602">
        <v>-60.055659999999897</v>
      </c>
      <c r="M5602">
        <v>0.97263429999999995</v>
      </c>
      <c r="N5602">
        <v>0</v>
      </c>
      <c r="O5602">
        <v>-0.23204759999999999</v>
      </c>
      <c r="P5602">
        <v>0.97943760000000002</v>
      </c>
      <c r="Q5602">
        <v>2.3426120000000002E-2</v>
      </c>
      <c r="R5602">
        <v>-0.2003829</v>
      </c>
      <c r="S5602">
        <v>3.0178529999999899</v>
      </c>
      <c r="T5602">
        <v>-0.11249199999999999</v>
      </c>
      <c r="U5602">
        <v>-0.2337341</v>
      </c>
      <c r="V5602">
        <v>-3.2370499999999899E-2</v>
      </c>
      <c r="W5602">
        <v>3.5115E-2</v>
      </c>
      <c r="X5602">
        <v>0.99885889999999999</v>
      </c>
      <c r="Y5602">
        <v>-0.15599489999999999</v>
      </c>
      <c r="Z5602">
        <v>1.145738E-2</v>
      </c>
      <c r="AA5602">
        <v>0.9876914</v>
      </c>
      <c r="AB5602">
        <v>13</v>
      </c>
      <c r="AC5602">
        <v>29.5625</v>
      </c>
      <c r="AD5602">
        <v>-1.1042963151292999</v>
      </c>
      <c r="AE5602">
        <v>-2.2791899999999998</v>
      </c>
      <c r="AF5602">
        <v>-4.6369735101607503</v>
      </c>
      <c r="AG5602">
        <v>-1.1042963151292999</v>
      </c>
      <c r="AH5602">
        <v>29.243814979709999</v>
      </c>
      <c r="AI5602">
        <v>92.135900192735605</v>
      </c>
      <c r="AJ5602">
        <v>99.009954229053506</v>
      </c>
      <c r="AK5602">
        <v>29.6297436413657</v>
      </c>
    </row>
    <row r="5603" spans="1:37" x14ac:dyDescent="0.2">
      <c r="A5603" t="str">
        <f>"20200111160013889"</f>
        <v>20200111160013889</v>
      </c>
      <c r="B5603" t="str">
        <f>"1578729613886877"</f>
        <v>1578729613886877</v>
      </c>
      <c r="C5603" t="s">
        <v>37</v>
      </c>
      <c r="D5603">
        <v>5.3761320000000001</v>
      </c>
      <c r="E5603">
        <v>0.45486209999999999</v>
      </c>
      <c r="F5603" t="s">
        <v>88</v>
      </c>
      <c r="G5603">
        <v>-252.36439999999999</v>
      </c>
      <c r="H5603" s="1">
        <v>-5.7313419999999898E-7</v>
      </c>
      <c r="I5603">
        <v>-62.284439999999996</v>
      </c>
      <c r="J5603">
        <v>-281.23739999999998</v>
      </c>
      <c r="K5603">
        <v>1.10433799999999</v>
      </c>
      <c r="L5603">
        <v>-60.070889999999999</v>
      </c>
      <c r="M5603">
        <v>0.97254819999999997</v>
      </c>
      <c r="N5603">
        <v>0</v>
      </c>
      <c r="O5603">
        <v>-0.23241239999999999</v>
      </c>
      <c r="P5603">
        <v>0.97944279999999995</v>
      </c>
      <c r="Q5603">
        <v>2.2636110000000001E-2</v>
      </c>
      <c r="R5603">
        <v>-0.20044879999999901</v>
      </c>
      <c r="S5603">
        <v>3.0181879999999999</v>
      </c>
      <c r="T5603">
        <v>-0.11518869999999901</v>
      </c>
      <c r="U5603">
        <v>-0.23248289999999899</v>
      </c>
      <c r="V5603">
        <v>-3.2686819999999998E-2</v>
      </c>
      <c r="W5603">
        <v>3.4226230000000003E-2</v>
      </c>
      <c r="X5603">
        <v>0.99887939999999997</v>
      </c>
      <c r="Y5603">
        <v>-0.15676699999999999</v>
      </c>
      <c r="Z5603">
        <v>1.175907E-2</v>
      </c>
      <c r="AA5603">
        <v>0.98756559999999904</v>
      </c>
      <c r="AB5603">
        <v>13</v>
      </c>
      <c r="AC5603">
        <v>28.872999999999902</v>
      </c>
      <c r="AD5603">
        <v>-1.1043385731341999</v>
      </c>
      <c r="AE5603">
        <v>-2.2135499999999899</v>
      </c>
      <c r="AF5603">
        <v>-4.5513462822514299</v>
      </c>
      <c r="AG5603">
        <v>-1.1043385731341999</v>
      </c>
      <c r="AH5603">
        <v>28.5552335492462</v>
      </c>
      <c r="AI5603">
        <v>92.187160004137993</v>
      </c>
      <c r="AJ5603">
        <v>99.056053996194606</v>
      </c>
      <c r="AK5603">
        <v>28.936753095623502</v>
      </c>
    </row>
    <row r="5604" spans="1:37" x14ac:dyDescent="0.2">
      <c r="A5604" t="str">
        <f>"20200111160013900"</f>
        <v>20200111160013900</v>
      </c>
      <c r="B5604" t="str">
        <f>"1578729613896636"</f>
        <v>1578729613896636</v>
      </c>
      <c r="C5604" t="s">
        <v>37</v>
      </c>
      <c r="D5604">
        <v>5.3381270000000001</v>
      </c>
      <c r="E5604">
        <v>0.45461849999999998</v>
      </c>
      <c r="F5604" t="s">
        <v>88</v>
      </c>
      <c r="G5604">
        <v>-253.1421</v>
      </c>
      <c r="H5604" s="1">
        <v>-8.90714199999999E-7</v>
      </c>
      <c r="I5604">
        <v>-62.212249999999997</v>
      </c>
      <c r="J5604">
        <v>-281.17469999999997</v>
      </c>
      <c r="K5604">
        <v>1.1043860000000001</v>
      </c>
      <c r="L5604">
        <v>-60.086300000000001</v>
      </c>
      <c r="M5604">
        <v>0.97247359999999905</v>
      </c>
      <c r="N5604">
        <v>0</v>
      </c>
      <c r="O5604">
        <v>-0.23272970000000001</v>
      </c>
      <c r="P5604">
        <v>0.97943999999999998</v>
      </c>
      <c r="Q5604">
        <v>2.2013109999999999E-2</v>
      </c>
      <c r="R5604">
        <v>-0.20053209999999999</v>
      </c>
      <c r="S5604">
        <v>3.0186160000000002</v>
      </c>
      <c r="T5604">
        <v>-0.11865249999999999</v>
      </c>
      <c r="U5604">
        <v>-0.230071999999999</v>
      </c>
      <c r="V5604">
        <v>-3.2934810000000002E-2</v>
      </c>
      <c r="W5604">
        <v>3.3506620000000001E-2</v>
      </c>
      <c r="X5604">
        <v>0.99889570000000005</v>
      </c>
      <c r="Y5604">
        <v>-0.1578657</v>
      </c>
      <c r="Z5604">
        <v>1.214495E-2</v>
      </c>
      <c r="AA5604">
        <v>0.98738590000000004</v>
      </c>
      <c r="AB5604">
        <v>13</v>
      </c>
      <c r="AC5604">
        <v>28.032599999999899</v>
      </c>
      <c r="AD5604">
        <v>-1.1043868907142</v>
      </c>
      <c r="AE5604">
        <v>-2.1259499999999898</v>
      </c>
      <c r="AF5604">
        <v>-4.4500151585079202</v>
      </c>
      <c r="AG5604">
        <v>-1.1043868907142</v>
      </c>
      <c r="AH5604">
        <v>27.714797229449701</v>
      </c>
      <c r="AI5604">
        <v>92.253102266346801</v>
      </c>
      <c r="AJ5604">
        <v>99.121815520409498</v>
      </c>
      <c r="AK5604">
        <v>28.091498550003401</v>
      </c>
    </row>
    <row r="5605" spans="1:37" x14ac:dyDescent="0.2">
      <c r="A5605" t="str">
        <f>"20200111160013912"</f>
        <v>20200111160013912</v>
      </c>
      <c r="B5605" t="str">
        <f>"1578729613906397"</f>
        <v>1578729613906397</v>
      </c>
      <c r="C5605" t="s">
        <v>37</v>
      </c>
      <c r="D5605">
        <v>5.463978</v>
      </c>
      <c r="E5605">
        <v>0.45449339999999999</v>
      </c>
      <c r="F5605" t="s">
        <v>88</v>
      </c>
      <c r="G5605">
        <v>-253.8022</v>
      </c>
      <c r="H5605" s="1">
        <v>-1.162151E-6</v>
      </c>
      <c r="I5605">
        <v>-62.159379999999999</v>
      </c>
      <c r="J5605">
        <v>-281.11709999999999</v>
      </c>
      <c r="K5605">
        <v>1.1044350000000001</v>
      </c>
      <c r="L5605">
        <v>-60.100340000000003</v>
      </c>
      <c r="M5605">
        <v>0.97241869999999997</v>
      </c>
      <c r="N5605">
        <v>0</v>
      </c>
      <c r="O5605">
        <v>-0.23296239999999999</v>
      </c>
      <c r="P5605">
        <v>0.97947489999999904</v>
      </c>
      <c r="Q5605">
        <v>2.1264970000000001E-2</v>
      </c>
      <c r="R5605">
        <v>-0.20044049999999999</v>
      </c>
      <c r="S5605">
        <v>3.0188899999999999</v>
      </c>
      <c r="T5605">
        <v>-0.12180199999999999</v>
      </c>
      <c r="U5605">
        <v>-0.2286377</v>
      </c>
      <c r="V5605">
        <v>-3.327534E-2</v>
      </c>
      <c r="W5605">
        <v>3.2674040000000001E-2</v>
      </c>
      <c r="X5605">
        <v>0.99891200000000002</v>
      </c>
      <c r="Y5605">
        <v>-0.15855829999999899</v>
      </c>
      <c r="Z5605">
        <v>1.248936E-2</v>
      </c>
      <c r="AA5605">
        <v>0.98727069999999995</v>
      </c>
      <c r="AB5605">
        <v>13</v>
      </c>
      <c r="AC5605">
        <v>27.314899999999898</v>
      </c>
      <c r="AD5605">
        <v>-1.1044361621509999</v>
      </c>
      <c r="AE5605">
        <v>-2.05904</v>
      </c>
      <c r="AF5605">
        <v>-4.3543015392756903</v>
      </c>
      <c r="AG5605">
        <v>-1.1044361621509999</v>
      </c>
      <c r="AH5605">
        <v>26.999071154729599</v>
      </c>
      <c r="AI5605">
        <v>92.312611655332603</v>
      </c>
      <c r="AJ5605">
        <v>99.161545861706998</v>
      </c>
      <c r="AK5605">
        <v>27.370231353595798</v>
      </c>
    </row>
    <row r="5606" spans="1:37" x14ac:dyDescent="0.2">
      <c r="A5606" t="str">
        <f>"20200111160013922"</f>
        <v>20200111160013922</v>
      </c>
      <c r="B5606" t="str">
        <f>"1578729613916155"</f>
        <v>1578729613916155</v>
      </c>
      <c r="C5606" t="s">
        <v>37</v>
      </c>
      <c r="D5606">
        <v>5.4176359999999999</v>
      </c>
      <c r="E5606">
        <v>0.4543393</v>
      </c>
      <c r="F5606" t="s">
        <v>88</v>
      </c>
      <c r="G5606">
        <v>-254.37780000000001</v>
      </c>
      <c r="H5606" s="1">
        <v>-1.3997309999999999E-6</v>
      </c>
      <c r="I5606">
        <v>-62.117289999999997</v>
      </c>
      <c r="J5606">
        <v>-281.05220000000003</v>
      </c>
      <c r="K5606">
        <v>1.104492</v>
      </c>
      <c r="L5606">
        <v>-60.116209999999903</v>
      </c>
      <c r="M5606">
        <v>0.97236639999999996</v>
      </c>
      <c r="N5606">
        <v>0</v>
      </c>
      <c r="O5606">
        <v>-0.23318469999999999</v>
      </c>
      <c r="P5606">
        <v>0.97954850000000004</v>
      </c>
      <c r="Q5606">
        <v>2.0840830000000001E-2</v>
      </c>
      <c r="R5606">
        <v>-0.20012650000000001</v>
      </c>
      <c r="S5606">
        <v>3.0189819999999998</v>
      </c>
      <c r="T5606">
        <v>-0.12469569999999899</v>
      </c>
      <c r="U5606">
        <v>-0.22772220000000001</v>
      </c>
      <c r="V5606">
        <v>-3.3830819999999998E-2</v>
      </c>
      <c r="W5606">
        <v>3.2156949999999997E-2</v>
      </c>
      <c r="X5606">
        <v>0.99891010000000002</v>
      </c>
      <c r="Y5606">
        <v>-0.15906809999999999</v>
      </c>
      <c r="Z5606">
        <v>1.28051E-2</v>
      </c>
      <c r="AA5606">
        <v>0.98718459999999997</v>
      </c>
      <c r="AB5606">
        <v>13</v>
      </c>
      <c r="AC5606">
        <v>26.674399999999999</v>
      </c>
      <c r="AD5606">
        <v>-1.104493399731</v>
      </c>
      <c r="AE5606">
        <v>-2.00108</v>
      </c>
      <c r="AF5606">
        <v>-4.2672783164916197</v>
      </c>
      <c r="AG5606">
        <v>-1.104493399731</v>
      </c>
      <c r="AH5606">
        <v>26.3606655125534</v>
      </c>
      <c r="AI5606">
        <v>92.368453107268095</v>
      </c>
      <c r="AJ5606">
        <v>99.195302567085804</v>
      </c>
      <c r="AK5606">
        <v>26.7266581555789</v>
      </c>
    </row>
    <row r="5607" spans="1:37" x14ac:dyDescent="0.2">
      <c r="A5607" t="str">
        <f>"20200111160013933"</f>
        <v>20200111160013933</v>
      </c>
      <c r="B5607" t="str">
        <f>"1578729613926892"</f>
        <v>1578729613926892</v>
      </c>
      <c r="C5607" t="s">
        <v>37</v>
      </c>
      <c r="D5607">
        <v>5.0547510000000004</v>
      </c>
      <c r="E5607">
        <v>0.4543393</v>
      </c>
      <c r="F5607" t="s">
        <v>88</v>
      </c>
      <c r="G5607">
        <v>-254.80199999999999</v>
      </c>
      <c r="H5607" s="1">
        <v>-1.5732119999999999E-6</v>
      </c>
      <c r="I5607">
        <v>-62.079119999999897</v>
      </c>
      <c r="J5607">
        <v>-280.99680000000001</v>
      </c>
      <c r="K5607">
        <v>1.1045399999999901</v>
      </c>
      <c r="L5607">
        <v>-60.129640000000002</v>
      </c>
      <c r="M5607">
        <v>0.97234109999999996</v>
      </c>
      <c r="N5607">
        <v>0</v>
      </c>
      <c r="O5607">
        <v>-0.23329359999999999</v>
      </c>
      <c r="P5607">
        <v>0.97961489999999996</v>
      </c>
      <c r="Q5607">
        <v>2.06123E-2</v>
      </c>
      <c r="R5607">
        <v>-0.1998239</v>
      </c>
      <c r="S5607">
        <v>3.01922599999999</v>
      </c>
      <c r="T5607">
        <v>-0.12703589999999901</v>
      </c>
      <c r="U5607">
        <v>-0.225769</v>
      </c>
      <c r="V5607">
        <v>-3.4256019999999998E-2</v>
      </c>
      <c r="W5607">
        <v>3.1855260000000003E-2</v>
      </c>
      <c r="X5607">
        <v>0.9989053</v>
      </c>
      <c r="Y5607">
        <v>-0.15980629999999901</v>
      </c>
      <c r="Z5607">
        <v>1.3064600000000001E-2</v>
      </c>
      <c r="AA5607">
        <v>0.98706190000000005</v>
      </c>
      <c r="AB5607">
        <v>13</v>
      </c>
      <c r="AC5607">
        <v>26.194799999999901</v>
      </c>
      <c r="AD5607">
        <v>-1.1045415732120001</v>
      </c>
      <c r="AE5607">
        <v>-1.9494799999999901</v>
      </c>
      <c r="AF5607">
        <v>-4.20834586470197</v>
      </c>
      <c r="AG5607">
        <v>-1.1045415732120001</v>
      </c>
      <c r="AH5607">
        <v>25.880963597359202</v>
      </c>
      <c r="AI5607">
        <v>92.412130401706605</v>
      </c>
      <c r="AJ5607">
        <v>99.235686561669695</v>
      </c>
      <c r="AK5607">
        <v>26.244131986631601</v>
      </c>
    </row>
    <row r="5608" spans="1:37" x14ac:dyDescent="0.2">
      <c r="A5608" t="str">
        <f>"20200111160013943"</f>
        <v>20200111160013943</v>
      </c>
      <c r="B5608" t="str">
        <f>"1578729613936651"</f>
        <v>1578729613936651</v>
      </c>
      <c r="C5608" t="s">
        <v>37</v>
      </c>
      <c r="D5608">
        <v>5.4096859999999998</v>
      </c>
      <c r="E5608">
        <v>0.4540786</v>
      </c>
      <c r="F5608" t="s">
        <v>88</v>
      </c>
      <c r="G5608">
        <v>-255.02520000000001</v>
      </c>
      <c r="H5608" s="1">
        <v>-1.6663409999999999E-6</v>
      </c>
      <c r="I5608">
        <v>-62.067279999999997</v>
      </c>
      <c r="J5608">
        <v>-280.93900000000002</v>
      </c>
      <c r="K5608">
        <v>1.1045969999999901</v>
      </c>
      <c r="L5608">
        <v>-60.143650000000001</v>
      </c>
      <c r="M5608">
        <v>0.97231889999999999</v>
      </c>
      <c r="N5608">
        <v>0</v>
      </c>
      <c r="O5608">
        <v>-0.23338909999999999</v>
      </c>
      <c r="P5608">
        <v>0.97963999999999996</v>
      </c>
      <c r="Q5608">
        <v>2.0607279999999999E-2</v>
      </c>
      <c r="R5608">
        <v>-0.19970189999999999</v>
      </c>
      <c r="S5608">
        <v>3.019196</v>
      </c>
      <c r="T5608">
        <v>-0.12840289999999999</v>
      </c>
      <c r="U5608">
        <v>-0.22525019999999901</v>
      </c>
      <c r="V5608">
        <v>-3.4482840000000001E-2</v>
      </c>
      <c r="W5608">
        <v>3.1775200000000003E-2</v>
      </c>
      <c r="X5608">
        <v>0.99890009999999996</v>
      </c>
      <c r="Y5608">
        <v>-0.16006329999999999</v>
      </c>
      <c r="Z5608">
        <v>1.3214729999999999E-2</v>
      </c>
      <c r="AA5608">
        <v>0.98701830000000002</v>
      </c>
      <c r="AB5608">
        <v>13</v>
      </c>
      <c r="AC5608">
        <v>25.913799999999998</v>
      </c>
      <c r="AD5608">
        <v>-1.1045986663409999</v>
      </c>
      <c r="AE5608">
        <v>-1.92363</v>
      </c>
      <c r="AF5608">
        <v>-4.1703429457061096</v>
      </c>
      <c r="AG5608">
        <v>-1.1045986663409999</v>
      </c>
      <c r="AH5608">
        <v>25.600780156193899</v>
      </c>
      <c r="AI5608">
        <v>92.438509777838505</v>
      </c>
      <c r="AJ5608">
        <v>99.252160889699596</v>
      </c>
      <c r="AK5608">
        <v>25.961738060157899</v>
      </c>
    </row>
    <row r="5609" spans="1:37" x14ac:dyDescent="0.2">
      <c r="A5609" t="str">
        <f>"20200111160013955"</f>
        <v>20200111160013955</v>
      </c>
      <c r="B5609" t="str">
        <f>"1578729613946412"</f>
        <v>1578729613946412</v>
      </c>
      <c r="C5609" t="s">
        <v>37</v>
      </c>
      <c r="D5609">
        <v>5.3364709999999898</v>
      </c>
      <c r="E5609">
        <v>0.45381880000000002</v>
      </c>
      <c r="F5609" t="s">
        <v>88</v>
      </c>
      <c r="G5609">
        <v>-254.95490000000001</v>
      </c>
      <c r="H5609" s="1">
        <v>-1.63543E-6</v>
      </c>
      <c r="I5609">
        <v>-62.063879999999997</v>
      </c>
      <c r="J5609">
        <v>-280.87099999999998</v>
      </c>
      <c r="K5609">
        <v>1.1046659999999999</v>
      </c>
      <c r="L5609">
        <v>-60.159969999999902</v>
      </c>
      <c r="M5609">
        <v>0.97232149999999995</v>
      </c>
      <c r="N5609">
        <v>0</v>
      </c>
      <c r="O5609">
        <v>-0.23338229999999999</v>
      </c>
      <c r="P5609">
        <v>0.97958129999999999</v>
      </c>
      <c r="Q5609">
        <v>2.0945680000000001E-2</v>
      </c>
      <c r="R5609">
        <v>-0.19995569999999999</v>
      </c>
      <c r="S5609">
        <v>3.0195310000000002</v>
      </c>
      <c r="T5609">
        <v>-0.12836220000000001</v>
      </c>
      <c r="U5609">
        <v>-0.2231445</v>
      </c>
      <c r="V5609">
        <v>-3.4221059999999998E-2</v>
      </c>
      <c r="W5609">
        <v>3.2033520000000003E-2</v>
      </c>
      <c r="X5609">
        <v>0.99890080000000003</v>
      </c>
      <c r="Y5609">
        <v>-0.16074849999999999</v>
      </c>
      <c r="Z5609">
        <v>1.322386E-2</v>
      </c>
      <c r="AA5609">
        <v>0.98690679999999997</v>
      </c>
      <c r="AB5609">
        <v>13</v>
      </c>
      <c r="AC5609">
        <v>25.916099999999901</v>
      </c>
      <c r="AD5609">
        <v>-1.10466763543</v>
      </c>
      <c r="AE5609">
        <v>-1.90391000000001</v>
      </c>
      <c r="AF5609">
        <v>-4.1898342887122304</v>
      </c>
      <c r="AG5609">
        <v>-1.10466763543</v>
      </c>
      <c r="AH5609">
        <v>25.598445649736401</v>
      </c>
      <c r="AI5609">
        <v>92.438583245669406</v>
      </c>
      <c r="AJ5609">
        <v>99.295483514755105</v>
      </c>
      <c r="AK5609">
        <v>25.962577330344999</v>
      </c>
    </row>
    <row r="5610" spans="1:37" x14ac:dyDescent="0.2">
      <c r="A5610" t="str">
        <f>"20200111160013967"</f>
        <v>20200111160013967</v>
      </c>
      <c r="B5610" t="str">
        <f>"1578729613956805"</f>
        <v>1578729613956805</v>
      </c>
      <c r="C5610" t="s">
        <v>37</v>
      </c>
      <c r="D5610">
        <v>5.2879569999999996</v>
      </c>
      <c r="E5610">
        <v>0.45352500000000001</v>
      </c>
      <c r="F5610" t="s">
        <v>88</v>
      </c>
      <c r="G5610">
        <v>-254.851</v>
      </c>
      <c r="H5610" s="1">
        <v>-1.592859E-6</v>
      </c>
      <c r="I5610">
        <v>-62.072850000000003</v>
      </c>
      <c r="J5610">
        <v>-280.80840000000001</v>
      </c>
      <c r="K5610">
        <v>1.104735</v>
      </c>
      <c r="L5610">
        <v>-60.174990000000001</v>
      </c>
      <c r="M5610">
        <v>0.97233320000000001</v>
      </c>
      <c r="N5610">
        <v>0</v>
      </c>
      <c r="O5610">
        <v>-0.233337399999999</v>
      </c>
      <c r="P5610">
        <v>0.97940930000000004</v>
      </c>
      <c r="Q5610">
        <v>2.1219160000000001E-2</v>
      </c>
      <c r="R5610">
        <v>-0.20076749999999999</v>
      </c>
      <c r="S5610">
        <v>3.0199579999999999</v>
      </c>
      <c r="T5610">
        <v>-0.1282114</v>
      </c>
      <c r="U5610">
        <v>-0.2220154</v>
      </c>
      <c r="V5610">
        <v>-3.3350119999999997E-2</v>
      </c>
      <c r="W5610">
        <v>3.2236059999999997E-2</v>
      </c>
      <c r="X5610">
        <v>0.99892369999999997</v>
      </c>
      <c r="Y5610">
        <v>-0.16108049999999999</v>
      </c>
      <c r="Z5610">
        <v>1.321194E-2</v>
      </c>
      <c r="AA5610">
        <v>0.98685279999999997</v>
      </c>
      <c r="AB5610">
        <v>13</v>
      </c>
      <c r="AC5610">
        <v>25.9574</v>
      </c>
      <c r="AD5610">
        <v>-1.1047365928590001</v>
      </c>
      <c r="AE5610">
        <v>-1.8978600000000001</v>
      </c>
      <c r="AF5610">
        <v>-4.2041618654619404</v>
      </c>
      <c r="AG5610">
        <v>-1.1047365928590001</v>
      </c>
      <c r="AH5610">
        <v>25.637457074207202</v>
      </c>
      <c r="AI5610">
        <v>92.434908629134299</v>
      </c>
      <c r="AJ5610">
        <v>99.312769526221302</v>
      </c>
      <c r="AK5610">
        <v>26.0033579593564</v>
      </c>
    </row>
    <row r="5611" spans="1:37" x14ac:dyDescent="0.2">
      <c r="A5611" t="str">
        <f>"20200111160013978"</f>
        <v>20200111160013978</v>
      </c>
      <c r="B5611" t="str">
        <f>"1578729613976324"</f>
        <v>1578729613976324</v>
      </c>
      <c r="C5611" t="s">
        <v>37</v>
      </c>
      <c r="D5611">
        <v>5.3762689999999997</v>
      </c>
      <c r="E5611">
        <v>0.45305770000000001</v>
      </c>
      <c r="F5611" t="s">
        <v>88</v>
      </c>
      <c r="G5611">
        <v>-254.68680000000001</v>
      </c>
      <c r="H5611" s="1">
        <v>-1.527585E-6</v>
      </c>
      <c r="I5611">
        <v>-62.096159999999998</v>
      </c>
      <c r="J5611">
        <v>-280.74299999999999</v>
      </c>
      <c r="K5611">
        <v>1.104808</v>
      </c>
      <c r="L5611">
        <v>-60.190489999999997</v>
      </c>
      <c r="M5611">
        <v>0.97237129999999905</v>
      </c>
      <c r="N5611">
        <v>0</v>
      </c>
      <c r="O5611">
        <v>-0.2331811</v>
      </c>
      <c r="P5611">
        <v>0.97919579999999995</v>
      </c>
      <c r="Q5611">
        <v>2.1838750000000001E-2</v>
      </c>
      <c r="R5611">
        <v>-0.20173949999999999</v>
      </c>
      <c r="S5611">
        <v>3.0203250000000001</v>
      </c>
      <c r="T5611">
        <v>-0.12773589999999899</v>
      </c>
      <c r="U5611">
        <v>-0.22213749999999999</v>
      </c>
      <c r="V5611">
        <v>-3.2200630000000001E-2</v>
      </c>
      <c r="W5611">
        <v>3.278938E-2</v>
      </c>
      <c r="X5611">
        <v>0.99894340000000004</v>
      </c>
      <c r="Y5611">
        <v>-0.160893799999999</v>
      </c>
      <c r="Z5611">
        <v>1.3150999999999999E-2</v>
      </c>
      <c r="AA5611">
        <v>0.98688410000000004</v>
      </c>
      <c r="AB5611">
        <v>13</v>
      </c>
      <c r="AC5611">
        <v>26.056199999999901</v>
      </c>
      <c r="AD5611">
        <v>-1.1048095275849901</v>
      </c>
      <c r="AE5611">
        <v>-1.90566999999999</v>
      </c>
      <c r="AF5611">
        <v>-4.2155107638466101</v>
      </c>
      <c r="AG5611">
        <v>-1.1048095275849901</v>
      </c>
      <c r="AH5611">
        <v>25.736198829187</v>
      </c>
      <c r="AI5611">
        <v>92.425810543027893</v>
      </c>
      <c r="AJ5611">
        <v>99.302269107881102</v>
      </c>
      <c r="AK5611">
        <v>26.1025490185881</v>
      </c>
    </row>
    <row r="5612" spans="1:37" x14ac:dyDescent="0.2">
      <c r="A5612" t="str">
        <f>"20200111160013990"</f>
        <v>20200111160013990</v>
      </c>
      <c r="B5612" t="str">
        <f>"1578729613987061"</f>
        <v>1578729613987061</v>
      </c>
      <c r="C5612" t="s">
        <v>37</v>
      </c>
      <c r="D5612">
        <v>5.3890219999999998</v>
      </c>
      <c r="E5612">
        <v>0.45290140000000001</v>
      </c>
      <c r="F5612" t="s">
        <v>88</v>
      </c>
      <c r="G5612">
        <v>-254.35390000000001</v>
      </c>
      <c r="H5612" s="1">
        <v>-1.3908379999999899E-6</v>
      </c>
      <c r="I5612">
        <v>-62.123469999999998</v>
      </c>
      <c r="J5612">
        <v>-280.68060000000003</v>
      </c>
      <c r="K5612">
        <v>1.1048750000000001</v>
      </c>
      <c r="L5612">
        <v>-60.20523</v>
      </c>
      <c r="M5612">
        <v>0.97242099999999898</v>
      </c>
      <c r="N5612">
        <v>0</v>
      </c>
      <c r="O5612">
        <v>-0.23297660000000001</v>
      </c>
      <c r="P5612">
        <v>0.97905299999999995</v>
      </c>
      <c r="Q5612">
        <v>2.213335E-2</v>
      </c>
      <c r="R5612">
        <v>-0.20240030000000001</v>
      </c>
      <c r="S5612">
        <v>3.020966</v>
      </c>
      <c r="T5612">
        <v>-0.1264758</v>
      </c>
      <c r="U5612">
        <v>-0.22128299999999901</v>
      </c>
      <c r="V5612">
        <v>-3.1320590000000002E-2</v>
      </c>
      <c r="W5612">
        <v>3.302385E-2</v>
      </c>
      <c r="X5612">
        <v>0.99896369999999901</v>
      </c>
      <c r="Y5612">
        <v>-0.16098609999999999</v>
      </c>
      <c r="Z5612">
        <v>1.301244E-2</v>
      </c>
      <c r="AA5612">
        <v>0.9868709</v>
      </c>
      <c r="AB5612">
        <v>13</v>
      </c>
      <c r="AC5612">
        <v>26.326699999999999</v>
      </c>
      <c r="AD5612">
        <v>-1.1048763908379999</v>
      </c>
      <c r="AE5612">
        <v>-1.91823999999999</v>
      </c>
      <c r="AF5612">
        <v>-4.2609576081875398</v>
      </c>
      <c r="AG5612">
        <v>-1.1048763908379999</v>
      </c>
      <c r="AH5612">
        <v>26.0035365959994</v>
      </c>
      <c r="AI5612">
        <v>92.401021288685996</v>
      </c>
      <c r="AJ5612">
        <v>99.305826260516596</v>
      </c>
      <c r="AK5612">
        <v>26.3734796164117</v>
      </c>
    </row>
    <row r="5613" spans="1:37" x14ac:dyDescent="0.2">
      <c r="A5613" t="str">
        <f>"20200111160014000"</f>
        <v>20200111160014000</v>
      </c>
      <c r="B5613" t="str">
        <f>"1578729613996821"</f>
        <v>1578729613996821</v>
      </c>
      <c r="C5613" t="s">
        <v>37</v>
      </c>
      <c r="D5613">
        <v>5.3888049999999996</v>
      </c>
      <c r="E5613">
        <v>0.45270659999999902</v>
      </c>
      <c r="F5613" t="s">
        <v>88</v>
      </c>
      <c r="G5613">
        <v>-254.1114</v>
      </c>
      <c r="H5613" s="1">
        <v>-1.2946619999999899E-6</v>
      </c>
      <c r="I5613">
        <v>-62.158769999999997</v>
      </c>
      <c r="J5613">
        <v>-280.61860000000001</v>
      </c>
      <c r="K5613">
        <v>1.104943</v>
      </c>
      <c r="L5613">
        <v>-60.219819999999999</v>
      </c>
      <c r="M5613">
        <v>0.97248570000000001</v>
      </c>
      <c r="N5613">
        <v>0</v>
      </c>
      <c r="O5613">
        <v>-0.23270859999999999</v>
      </c>
      <c r="P5613">
        <v>0.9788654</v>
      </c>
      <c r="Q5613">
        <v>2.221592E-2</v>
      </c>
      <c r="R5613">
        <v>-0.20329620000000001</v>
      </c>
      <c r="S5613">
        <v>3.0211790000000001</v>
      </c>
      <c r="T5613">
        <v>-0.12563530000000001</v>
      </c>
      <c r="U5613">
        <v>-0.22213749999999999</v>
      </c>
      <c r="V5613">
        <v>-3.0134919999999999E-2</v>
      </c>
      <c r="W5613">
        <v>3.3051499999999998E-2</v>
      </c>
      <c r="X5613">
        <v>0.99899919999999998</v>
      </c>
      <c r="Y5613">
        <v>-0.1604467</v>
      </c>
      <c r="Z5613">
        <v>1.290288E-2</v>
      </c>
      <c r="AA5613">
        <v>0.98696019999999896</v>
      </c>
      <c r="AB5613">
        <v>13</v>
      </c>
      <c r="AC5613">
        <v>26.507200000000001</v>
      </c>
      <c r="AD5613">
        <v>-1.1049442946619901</v>
      </c>
      <c r="AE5613">
        <v>-1.93894999999999</v>
      </c>
      <c r="AF5613">
        <v>-4.2757155467821404</v>
      </c>
      <c r="AG5613">
        <v>-1.1049442946619901</v>
      </c>
      <c r="AH5613">
        <v>26.185376599404801</v>
      </c>
      <c r="AI5613">
        <v>92.384731401455497</v>
      </c>
      <c r="AJ5613">
        <v>99.273778279216003</v>
      </c>
      <c r="AK5613">
        <v>26.5551613247586</v>
      </c>
    </row>
    <row r="5614" spans="1:37" x14ac:dyDescent="0.2">
      <c r="A5614" t="str">
        <f>"20200111160014012"</f>
        <v>20200111160014012</v>
      </c>
      <c r="B5614" t="str">
        <f>"1578729614006581"</f>
        <v>1578729614006581</v>
      </c>
      <c r="C5614" t="s">
        <v>37</v>
      </c>
      <c r="D5614">
        <v>5.3449400000000002</v>
      </c>
      <c r="E5614">
        <v>0.45250459999999898</v>
      </c>
      <c r="F5614" t="s">
        <v>88</v>
      </c>
      <c r="G5614">
        <v>-254.04509999999999</v>
      </c>
      <c r="H5614" s="1">
        <v>-1.2721559999999999E-6</v>
      </c>
      <c r="I5614">
        <v>-62.185469999999903</v>
      </c>
      <c r="J5614">
        <v>-280.56009999999998</v>
      </c>
      <c r="K5614">
        <v>1.1049949999999999</v>
      </c>
      <c r="L5614">
        <v>-60.233429999999998</v>
      </c>
      <c r="M5614">
        <v>0.97256330000000002</v>
      </c>
      <c r="N5614">
        <v>0</v>
      </c>
      <c r="O5614">
        <v>-0.2323856</v>
      </c>
      <c r="P5614">
        <v>0.97888379999999997</v>
      </c>
      <c r="Q5614">
        <v>2.167504E-2</v>
      </c>
      <c r="R5614">
        <v>-0.20326540000000001</v>
      </c>
      <c r="S5614">
        <v>3.02121</v>
      </c>
      <c r="T5614">
        <v>-0.12562409999999999</v>
      </c>
      <c r="U5614">
        <v>-0.22348019999999999</v>
      </c>
      <c r="V5614">
        <v>-2.9841579999999999E-2</v>
      </c>
      <c r="W5614">
        <v>3.2461959999999998E-2</v>
      </c>
      <c r="X5614">
        <v>0.99902739999999901</v>
      </c>
      <c r="Y5614">
        <v>-0.1596842</v>
      </c>
      <c r="Z5614">
        <v>1.2872369999999999E-2</v>
      </c>
      <c r="AA5614">
        <v>0.98708419999999897</v>
      </c>
      <c r="AB5614">
        <v>13</v>
      </c>
      <c r="AC5614">
        <v>26.514999999999901</v>
      </c>
      <c r="AD5614">
        <v>-1.104996272156</v>
      </c>
      <c r="AE5614">
        <v>-1.95203999999998</v>
      </c>
      <c r="AF5614">
        <v>-4.2561203473309499</v>
      </c>
      <c r="AG5614">
        <v>-1.104996272156</v>
      </c>
      <c r="AH5614">
        <v>26.197431252106799</v>
      </c>
      <c r="AI5614">
        <v>92.384058320457299</v>
      </c>
      <c r="AJ5614">
        <v>99.227835900507998</v>
      </c>
      <c r="AK5614">
        <v>26.563903730086501</v>
      </c>
    </row>
    <row r="5615" spans="1:37" x14ac:dyDescent="0.2">
      <c r="A5615" t="str">
        <f>"20200111160014023"</f>
        <v>20200111160014023</v>
      </c>
      <c r="B5615" t="str">
        <f>"1578729614016341"</f>
        <v>1578729614016341</v>
      </c>
      <c r="C5615" t="s">
        <v>37</v>
      </c>
      <c r="D5615">
        <v>5.368468</v>
      </c>
      <c r="E5615">
        <v>0.4523354</v>
      </c>
      <c r="F5615" t="s">
        <v>88</v>
      </c>
      <c r="G5615">
        <v>-254.4718</v>
      </c>
      <c r="H5615" s="1">
        <v>-1.447641E-6</v>
      </c>
      <c r="I5615">
        <v>-62.151479999999999</v>
      </c>
      <c r="J5615">
        <v>-280.49549999999999</v>
      </c>
      <c r="K5615">
        <v>1.1050489999999999</v>
      </c>
      <c r="L5615">
        <v>-60.248379999999997</v>
      </c>
      <c r="M5615">
        <v>0.9726591</v>
      </c>
      <c r="N5615">
        <v>0</v>
      </c>
      <c r="O5615">
        <v>-0.2319862</v>
      </c>
      <c r="P5615">
        <v>0.97904930000000001</v>
      </c>
      <c r="Q5615">
        <v>2.0615459999999999E-2</v>
      </c>
      <c r="R5615">
        <v>-0.20257729999999999</v>
      </c>
      <c r="S5615">
        <v>3.0213930000000002</v>
      </c>
      <c r="T5615">
        <v>-0.12797429999999901</v>
      </c>
      <c r="U5615">
        <v>-0.22213749999999999</v>
      </c>
      <c r="V5615">
        <v>-3.0141330000000001E-2</v>
      </c>
      <c r="W5615">
        <v>3.1350549999999998E-2</v>
      </c>
      <c r="X5615">
        <v>0.99905390000000005</v>
      </c>
      <c r="Y5615">
        <v>-0.15970719999999999</v>
      </c>
      <c r="Z5615">
        <v>1.309654E-2</v>
      </c>
      <c r="AA5615">
        <v>0.98707749999999905</v>
      </c>
      <c r="AB5615">
        <v>13</v>
      </c>
      <c r="AC5615">
        <v>26.023699999999899</v>
      </c>
      <c r="AD5615">
        <v>-1.1050504476409999</v>
      </c>
      <c r="AE5615">
        <v>-1.9031</v>
      </c>
      <c r="AF5615">
        <v>-4.1788211128823196</v>
      </c>
      <c r="AG5615">
        <v>-1.1050504476409999</v>
      </c>
      <c r="AH5615">
        <v>25.7090740244935</v>
      </c>
      <c r="AI5615">
        <v>92.429379461673093</v>
      </c>
      <c r="AJ5615">
        <v>99.232267224251601</v>
      </c>
      <c r="AK5615">
        <v>26.069909274529302</v>
      </c>
    </row>
    <row r="5616" spans="1:37" x14ac:dyDescent="0.2">
      <c r="A5616" t="str">
        <f>"20200111160014034"</f>
        <v>20200111160014034</v>
      </c>
      <c r="B5616" t="str">
        <f>"1578729614026101"</f>
        <v>1578729614026101</v>
      </c>
      <c r="C5616" t="s">
        <v>37</v>
      </c>
      <c r="D5616">
        <v>5.3267759999999997</v>
      </c>
      <c r="E5616">
        <v>0.4523354</v>
      </c>
      <c r="F5616" t="s">
        <v>88</v>
      </c>
      <c r="G5616">
        <v>-255.12379999999999</v>
      </c>
      <c r="H5616" s="1">
        <v>-1.713117E-6</v>
      </c>
      <c r="I5616">
        <v>-62.087419999999902</v>
      </c>
      <c r="J5616">
        <v>-280.43459999999999</v>
      </c>
      <c r="K5616">
        <v>1.1050930000000001</v>
      </c>
      <c r="L5616">
        <v>-60.262360000000001</v>
      </c>
      <c r="M5616">
        <v>0.97277169999999902</v>
      </c>
      <c r="N5616">
        <v>0</v>
      </c>
      <c r="O5616">
        <v>-0.23151579999999999</v>
      </c>
      <c r="P5616">
        <v>0.97930110000000004</v>
      </c>
      <c r="Q5616">
        <v>1.9466319999999999E-2</v>
      </c>
      <c r="R5616">
        <v>-0.2014705</v>
      </c>
      <c r="S5616">
        <v>3.02169799999999</v>
      </c>
      <c r="T5616">
        <v>-0.13160859999999999</v>
      </c>
      <c r="U5616">
        <v>-0.21902469999999999</v>
      </c>
      <c r="V5616">
        <v>-3.0795110000000001E-2</v>
      </c>
      <c r="W5616">
        <v>3.015663E-2</v>
      </c>
      <c r="X5616">
        <v>0.99907069999999998</v>
      </c>
      <c r="Y5616">
        <v>-0.1602285</v>
      </c>
      <c r="Z5616">
        <v>1.3458960000000001E-2</v>
      </c>
      <c r="AA5616">
        <v>0.98698819999999998</v>
      </c>
      <c r="AB5616">
        <v>13</v>
      </c>
      <c r="AC5616">
        <v>25.3108</v>
      </c>
      <c r="AD5616">
        <v>-1.1050947131169999</v>
      </c>
      <c r="AE5616">
        <v>-1.8250599999999899</v>
      </c>
      <c r="AF5616">
        <v>-4.0769879143145502</v>
      </c>
      <c r="AG5616">
        <v>-1.1050947131169999</v>
      </c>
      <c r="AH5616">
        <v>24.998201374141601</v>
      </c>
      <c r="AI5616">
        <v>92.498260113044594</v>
      </c>
      <c r="AJ5616">
        <v>99.262887762740803</v>
      </c>
      <c r="AK5616">
        <v>25.352576530217998</v>
      </c>
    </row>
    <row r="5617" spans="1:37" x14ac:dyDescent="0.2">
      <c r="A5617" t="str">
        <f>"20200111160014045"</f>
        <v>20200111160014045</v>
      </c>
      <c r="B5617" t="str">
        <f>"1578729614036837"</f>
        <v>1578729614036837</v>
      </c>
      <c r="C5617" t="s">
        <v>37</v>
      </c>
      <c r="D5617">
        <v>5.3532449999999896</v>
      </c>
      <c r="E5617">
        <v>0.43613859999999899</v>
      </c>
      <c r="F5617" t="s">
        <v>88</v>
      </c>
      <c r="G5617">
        <v>-255.84119999999999</v>
      </c>
      <c r="H5617" s="1">
        <v>-2.005696E-6</v>
      </c>
      <c r="I5617">
        <v>-62.019150000000003</v>
      </c>
      <c r="J5617">
        <v>-280.37150000000003</v>
      </c>
      <c r="K5617">
        <v>1.105138</v>
      </c>
      <c r="L5617">
        <v>-60.276759999999904</v>
      </c>
      <c r="M5617">
        <v>0.97289349999999997</v>
      </c>
      <c r="N5617">
        <v>0</v>
      </c>
      <c r="O5617">
        <v>-0.2310054</v>
      </c>
      <c r="P5617">
        <v>0.97967769999999998</v>
      </c>
      <c r="Q5617">
        <v>1.7527629999999999E-2</v>
      </c>
      <c r="R5617">
        <v>-0.19981089999999899</v>
      </c>
      <c r="S5617">
        <v>3.02169799999999</v>
      </c>
      <c r="T5617">
        <v>-0.13577899999999901</v>
      </c>
      <c r="U5617">
        <v>-0.21585079999999901</v>
      </c>
      <c r="V5617">
        <v>-3.1972199999999999E-2</v>
      </c>
      <c r="W5617">
        <v>2.8172409999999998E-2</v>
      </c>
      <c r="X5617">
        <v>0.99909159999999997</v>
      </c>
      <c r="Y5617">
        <v>-0.16071839999999901</v>
      </c>
      <c r="Z5617">
        <v>1.387452E-2</v>
      </c>
      <c r="AA5617">
        <v>0.98690279999999997</v>
      </c>
      <c r="AB5617">
        <v>13</v>
      </c>
      <c r="AC5617">
        <v>24.5303</v>
      </c>
      <c r="AD5617">
        <v>-1.1051400056959999</v>
      </c>
      <c r="AE5617">
        <v>-1.7423900000000001</v>
      </c>
      <c r="AF5617">
        <v>-3.9636950556655202</v>
      </c>
      <c r="AG5617">
        <v>-1.1051400056959999</v>
      </c>
      <c r="AH5617">
        <v>24.220350394116199</v>
      </c>
      <c r="AI5617">
        <v>92.578262638579005</v>
      </c>
      <c r="AJ5617">
        <v>99.294149505409493</v>
      </c>
      <c r="AK5617">
        <v>24.567409023750599</v>
      </c>
    </row>
    <row r="5618" spans="1:37" x14ac:dyDescent="0.2">
      <c r="A5618" t="str">
        <f>"20200111160014056"</f>
        <v>20200111160014056</v>
      </c>
      <c r="B5618" t="str">
        <f>"1578729614046597"</f>
        <v>1578729614046597</v>
      </c>
      <c r="C5618" t="s">
        <v>37</v>
      </c>
      <c r="D5618">
        <v>5.4943280000000003</v>
      </c>
      <c r="E5618">
        <v>0.43613859999999899</v>
      </c>
      <c r="F5618" t="s">
        <v>39</v>
      </c>
      <c r="G5618">
        <v>-263.9923</v>
      </c>
      <c r="H5618" s="1">
        <v>-8.0286529999999999E-7</v>
      </c>
      <c r="I5618">
        <v>-60.702840000000002</v>
      </c>
      <c r="J5618">
        <v>-280.30829999999997</v>
      </c>
      <c r="K5618">
        <v>1.105173</v>
      </c>
      <c r="L5618">
        <v>-60.291019999999897</v>
      </c>
      <c r="M5618">
        <v>0.97303980000000001</v>
      </c>
      <c r="N5618">
        <v>0</v>
      </c>
      <c r="O5618">
        <v>-0.2303895</v>
      </c>
      <c r="P5618">
        <v>0.98002509999999998</v>
      </c>
      <c r="Q5618">
        <v>1.550493E-2</v>
      </c>
      <c r="R5618">
        <v>-0.198269</v>
      </c>
      <c r="S5618">
        <v>3.049744</v>
      </c>
      <c r="T5618">
        <v>-0.20577219999999999</v>
      </c>
      <c r="U5618">
        <v>-7.9345700000000005E-2</v>
      </c>
      <c r="V5618">
        <v>-3.2919219999999999E-2</v>
      </c>
      <c r="W5618">
        <v>2.610989E-2</v>
      </c>
      <c r="X5618">
        <v>0.99911689999999997</v>
      </c>
      <c r="Y5618">
        <v>-0.20403759999999899</v>
      </c>
      <c r="Z5618">
        <v>2.228231E-2</v>
      </c>
      <c r="AA5618">
        <v>0.97870949999999901</v>
      </c>
      <c r="AB5618">
        <v>13</v>
      </c>
      <c r="AC5618">
        <v>16.315999999999899</v>
      </c>
      <c r="AD5618">
        <v>-1.1051738028653</v>
      </c>
      <c r="AE5618">
        <v>-0.41182000000000502</v>
      </c>
      <c r="AF5618">
        <v>-3.3431805389173102</v>
      </c>
      <c r="AG5618">
        <v>-1.1051738028653</v>
      </c>
      <c r="AH5618">
        <v>15.899008659992001</v>
      </c>
      <c r="AI5618">
        <v>93.891521718288502</v>
      </c>
      <c r="AJ5618">
        <v>101.874926038967</v>
      </c>
      <c r="AK5618">
        <v>16.284248266986001</v>
      </c>
    </row>
    <row r="5619" spans="1:37" x14ac:dyDescent="0.2">
      <c r="A5619" t="str">
        <f>"20200111160014067"</f>
        <v>20200111160014067</v>
      </c>
      <c r="B5619" t="str">
        <f>"1578729614056200"</f>
        <v>1578729614056200</v>
      </c>
      <c r="C5619" t="s">
        <v>37</v>
      </c>
      <c r="D5619">
        <v>5.4088539999999998</v>
      </c>
      <c r="E5619">
        <v>0.43654719999999902</v>
      </c>
      <c r="F5619" t="s">
        <v>87</v>
      </c>
      <c r="G5619">
        <v>-264.46530000000001</v>
      </c>
      <c r="H5619" s="1">
        <v>-9.9962679999999994E-7</v>
      </c>
      <c r="I5619">
        <v>-60.679719999999897</v>
      </c>
      <c r="J5619">
        <v>-280.2482</v>
      </c>
      <c r="K5619">
        <v>1.105205</v>
      </c>
      <c r="L5619">
        <v>-60.30453</v>
      </c>
      <c r="M5619">
        <v>0.97318349999999898</v>
      </c>
      <c r="N5619">
        <v>0</v>
      </c>
      <c r="O5619">
        <v>-0.22978419999999999</v>
      </c>
      <c r="P5619">
        <v>0.98041060000000002</v>
      </c>
      <c r="Q5619">
        <v>1.373955E-2</v>
      </c>
      <c r="R5619">
        <v>-0.19648579999999999</v>
      </c>
      <c r="S5619">
        <v>3.0493769999999998</v>
      </c>
      <c r="T5619">
        <v>-0.2127175</v>
      </c>
      <c r="U5619">
        <v>-7.4829099999999996E-2</v>
      </c>
      <c r="V5619">
        <v>-3.411989E-2</v>
      </c>
      <c r="W5619">
        <v>2.4306109999999999E-2</v>
      </c>
      <c r="X5619">
        <v>0.99912209999999901</v>
      </c>
      <c r="Y5619">
        <v>-0.2048063</v>
      </c>
      <c r="Z5619">
        <v>2.3022000000000001E-2</v>
      </c>
      <c r="AA5619">
        <v>0.97853169999999901</v>
      </c>
      <c r="AB5619">
        <v>13</v>
      </c>
      <c r="AC5619">
        <v>15.7828999999999</v>
      </c>
      <c r="AD5619">
        <v>-1.1052059996268</v>
      </c>
      <c r="AE5619">
        <v>-0.37518999999998898</v>
      </c>
      <c r="AF5619">
        <v>-3.2458096993877601</v>
      </c>
      <c r="AG5619">
        <v>-1.1052059996268</v>
      </c>
      <c r="AH5619">
        <v>15.3714118029897</v>
      </c>
      <c r="AI5619">
        <v>94.024062118332196</v>
      </c>
      <c r="AJ5619">
        <v>101.923357263715</v>
      </c>
      <c r="AK5619">
        <v>15.749192414957101</v>
      </c>
    </row>
    <row r="5620" spans="1:37" x14ac:dyDescent="0.2">
      <c r="A5620" t="str">
        <f>"20200111160014078"</f>
        <v>20200111160014078</v>
      </c>
      <c r="B5620" t="str">
        <f>"1578729614076695"</f>
        <v>1578729614076695</v>
      </c>
      <c r="C5620" t="s">
        <v>37</v>
      </c>
      <c r="D5620">
        <v>5.3507749999999996</v>
      </c>
      <c r="E5620">
        <v>0.439801199999999</v>
      </c>
      <c r="F5620" t="s">
        <v>39</v>
      </c>
      <c r="G5620">
        <v>-263.52199999999999</v>
      </c>
      <c r="H5620" s="1">
        <v>-6.0322680000000002E-7</v>
      </c>
      <c r="I5620">
        <v>-60.710760000000001</v>
      </c>
      <c r="J5620">
        <v>-280.18220000000002</v>
      </c>
      <c r="K5620">
        <v>1.1052309999999901</v>
      </c>
      <c r="L5620">
        <v>-60.319209999999998</v>
      </c>
      <c r="M5620">
        <v>0.97335759999999905</v>
      </c>
      <c r="N5620">
        <v>0</v>
      </c>
      <c r="O5620">
        <v>-0.22904659999999999</v>
      </c>
      <c r="P5620">
        <v>0.98087669999999905</v>
      </c>
      <c r="Q5620">
        <v>1.226297E-2</v>
      </c>
      <c r="R5620">
        <v>-0.19424330000000001</v>
      </c>
      <c r="S5620">
        <v>3.0479129999999999</v>
      </c>
      <c r="T5620">
        <v>-0.2013944</v>
      </c>
      <c r="U5620">
        <v>-7.403564E-2</v>
      </c>
      <c r="V5620">
        <v>-3.5650910000000001E-2</v>
      </c>
      <c r="W5620">
        <v>2.2789239999999999E-2</v>
      </c>
      <c r="X5620">
        <v>0.9991044</v>
      </c>
      <c r="Y5620">
        <v>-0.2044174</v>
      </c>
      <c r="Z5620">
        <v>2.174945E-2</v>
      </c>
      <c r="AA5620">
        <v>0.97864219999999902</v>
      </c>
      <c r="AB5620">
        <v>13</v>
      </c>
      <c r="AC5620">
        <v>16.6602</v>
      </c>
      <c r="AD5620">
        <v>-1.1052316032267999</v>
      </c>
      <c r="AE5620">
        <v>-0.39155000000000201</v>
      </c>
      <c r="AF5620">
        <v>-3.4199945527382098</v>
      </c>
      <c r="AG5620">
        <v>-1.1052316032267999</v>
      </c>
      <c r="AH5620">
        <v>16.235521665422599</v>
      </c>
      <c r="AI5620">
        <v>93.811015708225995</v>
      </c>
      <c r="AJ5620">
        <v>101.89538258218001</v>
      </c>
      <c r="AK5620">
        <v>16.628591743919198</v>
      </c>
    </row>
    <row r="5621" spans="1:37" x14ac:dyDescent="0.2">
      <c r="A5621" t="str">
        <f>"20200111160014090"</f>
        <v>20200111160014090</v>
      </c>
      <c r="B5621" t="str">
        <f>"1578729614086456"</f>
        <v>1578729614086456</v>
      </c>
      <c r="C5621" t="s">
        <v>37</v>
      </c>
      <c r="D5621">
        <v>5.3364539999999998</v>
      </c>
      <c r="E5621">
        <v>0.4397161</v>
      </c>
      <c r="F5621" t="s">
        <v>87</v>
      </c>
      <c r="G5621">
        <v>-261.22579999999999</v>
      </c>
      <c r="H5621" s="1">
        <v>3.2844050000000001E-7</v>
      </c>
      <c r="I5621">
        <v>-60.911369999999998</v>
      </c>
      <c r="J5621">
        <v>-280.12169999999998</v>
      </c>
      <c r="K5621">
        <v>1.1052500000000001</v>
      </c>
      <c r="L5621">
        <v>-60.33258</v>
      </c>
      <c r="M5621">
        <v>0.97352479999999997</v>
      </c>
      <c r="N5621">
        <v>0</v>
      </c>
      <c r="O5621">
        <v>-0.228336499999999</v>
      </c>
      <c r="P5621">
        <v>0.981357699999999</v>
      </c>
      <c r="Q5621">
        <v>1.1122750000000001E-2</v>
      </c>
      <c r="R5621">
        <v>-0.19186919999999999</v>
      </c>
      <c r="S5621">
        <v>3.0418699999999999</v>
      </c>
      <c r="T5621">
        <v>-0.1773526</v>
      </c>
      <c r="U5621">
        <v>-9.5031740000000003E-2</v>
      </c>
      <c r="V5621">
        <v>-3.7342130000000001E-2</v>
      </c>
      <c r="W5621">
        <v>2.1610790000000001E-2</v>
      </c>
      <c r="X5621">
        <v>0.99906890000000004</v>
      </c>
      <c r="Y5621">
        <v>-0.19712150000000001</v>
      </c>
      <c r="Z5621">
        <v>1.8938380000000001E-2</v>
      </c>
      <c r="AA5621">
        <v>0.98019609999999902</v>
      </c>
      <c r="AB5621">
        <v>13</v>
      </c>
      <c r="AC5621">
        <v>18.895899999999902</v>
      </c>
      <c r="AD5621">
        <v>-1.1052496715594999</v>
      </c>
      <c r="AE5621">
        <v>-0.57878999999999003</v>
      </c>
      <c r="AF5621">
        <v>-3.7385884779612999</v>
      </c>
      <c r="AG5621">
        <v>-1.1052496715594999</v>
      </c>
      <c r="AH5621">
        <v>18.465706230193899</v>
      </c>
      <c r="AI5621">
        <v>93.3573472002507</v>
      </c>
      <c r="AJ5621">
        <v>101.44545905862999</v>
      </c>
      <c r="AK5621">
        <v>18.8727562169348</v>
      </c>
    </row>
    <row r="5622" spans="1:37" x14ac:dyDescent="0.2">
      <c r="A5622" t="str">
        <f>"20200111160014101"</f>
        <v>20200111160014101</v>
      </c>
      <c r="B5622" t="str">
        <f>"1578729614096216"</f>
        <v>1578729614096216</v>
      </c>
      <c r="C5622" t="s">
        <v>37</v>
      </c>
      <c r="D5622">
        <v>5.2774660000000004</v>
      </c>
      <c r="E5622">
        <v>0.43922240000000001</v>
      </c>
      <c r="F5622" t="s">
        <v>39</v>
      </c>
      <c r="G5622">
        <v>-261.2885</v>
      </c>
      <c r="H5622" s="1">
        <v>3.1147049999999998E-7</v>
      </c>
      <c r="I5622">
        <v>-60.874029999999998</v>
      </c>
      <c r="J5622">
        <v>-280.0566</v>
      </c>
      <c r="K5622">
        <v>1.1052599999999999</v>
      </c>
      <c r="L5622">
        <v>-60.34686</v>
      </c>
      <c r="M5622">
        <v>0.97371409999999903</v>
      </c>
      <c r="N5622">
        <v>0</v>
      </c>
      <c r="O5622">
        <v>-0.22753009999999901</v>
      </c>
      <c r="P5622">
        <v>0.98192099999999904</v>
      </c>
      <c r="Q5622">
        <v>1.028894E-2</v>
      </c>
      <c r="R5622">
        <v>-0.18901229999999999</v>
      </c>
      <c r="S5622">
        <v>3.0418699999999999</v>
      </c>
      <c r="T5622">
        <v>-0.17851589999999901</v>
      </c>
      <c r="U5622">
        <v>-8.7463379999999993E-2</v>
      </c>
      <c r="V5622">
        <v>-3.9423180000000002E-2</v>
      </c>
      <c r="W5622">
        <v>2.0734559999999999E-2</v>
      </c>
      <c r="X5622">
        <v>0.99900750000000005</v>
      </c>
      <c r="Y5622">
        <v>-0.19873489999999999</v>
      </c>
      <c r="Z5622">
        <v>1.906509E-2</v>
      </c>
      <c r="AA5622">
        <v>0.97986779999999996</v>
      </c>
      <c r="AB5622">
        <v>13</v>
      </c>
      <c r="AC5622">
        <v>18.7681</v>
      </c>
      <c r="AD5622">
        <v>-1.1052596885295001</v>
      </c>
      <c r="AE5622">
        <v>-0.52717000000000502</v>
      </c>
      <c r="AF5622">
        <v>-3.7442281458545601</v>
      </c>
      <c r="AG5622">
        <v>-1.1052596885295001</v>
      </c>
      <c r="AH5622">
        <v>18.332203489628402</v>
      </c>
      <c r="AI5622">
        <v>93.380596944682395</v>
      </c>
      <c r="AJ5622">
        <v>101.543508088634</v>
      </c>
      <c r="AK5622">
        <v>18.7432795468787</v>
      </c>
    </row>
    <row r="5623" spans="1:37" x14ac:dyDescent="0.2">
      <c r="A5623" t="str">
        <f>"20200111160014112"</f>
        <v>20200111160014112</v>
      </c>
      <c r="B5623" t="str">
        <f>"1578729614106953"</f>
        <v>1578729614106953</v>
      </c>
      <c r="C5623" t="s">
        <v>37</v>
      </c>
      <c r="D5623">
        <v>5.3931139999999997</v>
      </c>
      <c r="E5623">
        <v>0.43943500000000002</v>
      </c>
      <c r="F5623" t="s">
        <v>39</v>
      </c>
      <c r="G5623">
        <v>-261.62650000000002</v>
      </c>
      <c r="H5623" s="1">
        <v>1.859618E-7</v>
      </c>
      <c r="I5623">
        <v>-60.800789999999999</v>
      </c>
      <c r="J5623">
        <v>-279.99360000000001</v>
      </c>
      <c r="K5623">
        <v>1.105264</v>
      </c>
      <c r="L5623">
        <v>-60.360569999999903</v>
      </c>
      <c r="M5623">
        <v>0.97390669999999901</v>
      </c>
      <c r="N5623">
        <v>0</v>
      </c>
      <c r="O5623">
        <v>-0.2267062</v>
      </c>
      <c r="P5623">
        <v>0.98245509999999903</v>
      </c>
      <c r="Q5623">
        <v>9.5736889999999998E-3</v>
      </c>
      <c r="R5623">
        <v>-0.186254</v>
      </c>
      <c r="S5623">
        <v>3.042694</v>
      </c>
      <c r="T5623">
        <v>-0.1824721</v>
      </c>
      <c r="U5623">
        <v>-7.4951169999999998E-2</v>
      </c>
      <c r="V5623">
        <v>-4.138447E-2</v>
      </c>
      <c r="W5623">
        <v>1.9971780000000001E-2</v>
      </c>
      <c r="X5623">
        <v>0.99894369999999999</v>
      </c>
      <c r="Y5623">
        <v>-0.20190239999999901</v>
      </c>
      <c r="Z5623">
        <v>1.9530820000000001E-2</v>
      </c>
      <c r="AA5623">
        <v>0.9792109</v>
      </c>
      <c r="AB5623">
        <v>13</v>
      </c>
      <c r="AC5623">
        <v>18.367099999999901</v>
      </c>
      <c r="AD5623">
        <v>-1.1052638140381901</v>
      </c>
      <c r="AE5623">
        <v>-0.440220000000003</v>
      </c>
      <c r="AF5623">
        <v>-3.7219376764999099</v>
      </c>
      <c r="AG5623">
        <v>-1.1052638140381901</v>
      </c>
      <c r="AH5623">
        <v>17.9237640987417</v>
      </c>
      <c r="AI5623">
        <v>93.455137388608094</v>
      </c>
      <c r="AJ5623">
        <v>101.730968898857</v>
      </c>
      <c r="AK5623">
        <v>18.339458760653599</v>
      </c>
    </row>
    <row r="5624" spans="1:37" x14ac:dyDescent="0.2">
      <c r="A5624" t="str">
        <f>"20200111160014126"</f>
        <v>20200111160014126</v>
      </c>
      <c r="B5624" t="str">
        <f>"1578729614116712"</f>
        <v>1578729614116712</v>
      </c>
      <c r="C5624" t="s">
        <v>37</v>
      </c>
      <c r="D5624">
        <v>5.309374</v>
      </c>
      <c r="E5624">
        <v>0.43923299999999998</v>
      </c>
      <c r="F5624" t="s">
        <v>39</v>
      </c>
      <c r="G5624">
        <v>-261.54020000000003</v>
      </c>
      <c r="H5624" s="1">
        <v>2.2948829999999899E-7</v>
      </c>
      <c r="I5624">
        <v>-60.776429999999998</v>
      </c>
      <c r="J5624">
        <v>-279.91460000000001</v>
      </c>
      <c r="K5624">
        <v>1.1052679999999999</v>
      </c>
      <c r="L5624">
        <v>-60.377690000000001</v>
      </c>
      <c r="M5624">
        <v>0.97415509999999905</v>
      </c>
      <c r="N5624">
        <v>0</v>
      </c>
      <c r="O5624">
        <v>-0.2256387</v>
      </c>
      <c r="P5624">
        <v>0.98314849999999998</v>
      </c>
      <c r="Q5624">
        <v>9.1719550000000007E-3</v>
      </c>
      <c r="R5624">
        <v>-0.18258060000000001</v>
      </c>
      <c r="S5624">
        <v>3.0423580000000001</v>
      </c>
      <c r="T5624">
        <v>-0.18222149999999901</v>
      </c>
      <c r="U5624">
        <v>-6.8572999999999995E-2</v>
      </c>
      <c r="V5624">
        <v>-4.4024090000000002E-2</v>
      </c>
      <c r="W5624">
        <v>1.9505040000000001E-2</v>
      </c>
      <c r="X5624">
        <v>0.99883999999999995</v>
      </c>
      <c r="Y5624">
        <v>-0.2028799</v>
      </c>
      <c r="Z5624">
        <v>1.9474200000000001E-2</v>
      </c>
      <c r="AA5624">
        <v>0.97901000000000005</v>
      </c>
      <c r="AB5624">
        <v>13</v>
      </c>
      <c r="AC5624">
        <v>18.374399999999898</v>
      </c>
      <c r="AD5624">
        <v>-1.1052677705117</v>
      </c>
      <c r="AE5624">
        <v>-0.39874000000000298</v>
      </c>
      <c r="AF5624">
        <v>-3.7442045551916898</v>
      </c>
      <c r="AG5624">
        <v>-1.1052677705117</v>
      </c>
      <c r="AH5624">
        <v>17.925636900603099</v>
      </c>
      <c r="AI5624">
        <v>93.453950116401302</v>
      </c>
      <c r="AJ5624">
        <v>101.79799058149899</v>
      </c>
      <c r="AK5624">
        <v>18.345820856203499</v>
      </c>
    </row>
    <row r="5625" spans="1:37" x14ac:dyDescent="0.2">
      <c r="A5625" t="str">
        <f>"20200111160014139"</f>
        <v>20200111160014139</v>
      </c>
      <c r="B5625" t="str">
        <f>"1578729614136232"</f>
        <v>1578729614136232</v>
      </c>
      <c r="C5625" t="s">
        <v>37</v>
      </c>
      <c r="D5625">
        <v>5.3838780000000002</v>
      </c>
      <c r="E5625">
        <v>0.43962689999999999</v>
      </c>
      <c r="F5625" t="s">
        <v>87</v>
      </c>
      <c r="G5625">
        <v>-261.57819999999998</v>
      </c>
      <c r="H5625" s="1">
        <v>2.2955950000000001E-7</v>
      </c>
      <c r="I5625">
        <v>-60.714909999999897</v>
      </c>
      <c r="J5625">
        <v>-279.84449999999998</v>
      </c>
      <c r="K5625">
        <v>1.1052599999999999</v>
      </c>
      <c r="L5625">
        <v>-60.392699999999998</v>
      </c>
      <c r="M5625">
        <v>0.97438630000000004</v>
      </c>
      <c r="N5625">
        <v>0</v>
      </c>
      <c r="O5625">
        <v>-0.2246408</v>
      </c>
      <c r="P5625">
        <v>0.98377780000000004</v>
      </c>
      <c r="Q5625">
        <v>9.1375840000000007E-3</v>
      </c>
      <c r="R5625">
        <v>-0.1791596</v>
      </c>
      <c r="S5625">
        <v>3.0427249999999999</v>
      </c>
      <c r="T5625">
        <v>-0.18340719999999999</v>
      </c>
      <c r="U5625">
        <v>-5.5969240000000003E-2</v>
      </c>
      <c r="V5625">
        <v>-4.6475950000000002E-2</v>
      </c>
      <c r="W5625">
        <v>1.9397770000000002E-2</v>
      </c>
      <c r="X5625">
        <v>0.99873109999999998</v>
      </c>
      <c r="Y5625">
        <v>-0.20591860000000001</v>
      </c>
      <c r="Z5625">
        <v>1.9633399999999999E-2</v>
      </c>
      <c r="AA5625">
        <v>0.97837220000000003</v>
      </c>
      <c r="AB5625">
        <v>13</v>
      </c>
      <c r="AC5625">
        <v>18.266300000000001</v>
      </c>
      <c r="AD5625">
        <v>-1.1052597704404901</v>
      </c>
      <c r="AE5625">
        <v>-0.322209999999998</v>
      </c>
      <c r="AF5625">
        <v>-3.7757838636681198</v>
      </c>
      <c r="AG5625">
        <v>-1.1052597704404901</v>
      </c>
      <c r="AH5625">
        <v>17.806603865327698</v>
      </c>
      <c r="AI5625">
        <v>93.474742470826797</v>
      </c>
      <c r="AJ5625">
        <v>101.97190002365301</v>
      </c>
      <c r="AK5625">
        <v>18.236043544639699</v>
      </c>
    </row>
    <row r="5626" spans="1:37" x14ac:dyDescent="0.2">
      <c r="A5626" t="str">
        <f>"20200111160014151"</f>
        <v>20200111160014151</v>
      </c>
      <c r="B5626" t="str">
        <f>"1578729614146967"</f>
        <v>1578729614146967</v>
      </c>
      <c r="C5626" t="s">
        <v>37</v>
      </c>
      <c r="D5626">
        <v>5.411232</v>
      </c>
      <c r="E5626">
        <v>0.44020949999999998</v>
      </c>
      <c r="F5626" t="s">
        <v>39</v>
      </c>
      <c r="G5626">
        <v>-261.42669999999998</v>
      </c>
      <c r="H5626" s="1">
        <v>3.0142629999999999E-7</v>
      </c>
      <c r="I5626">
        <v>-60.688980000000001</v>
      </c>
      <c r="J5626">
        <v>-279.77530000000002</v>
      </c>
      <c r="K5626">
        <v>1.105251</v>
      </c>
      <c r="L5626">
        <v>-60.407409999999999</v>
      </c>
      <c r="M5626">
        <v>0.9746184</v>
      </c>
      <c r="N5626">
        <v>0</v>
      </c>
      <c r="O5626">
        <v>-0.22363520000000001</v>
      </c>
      <c r="P5626">
        <v>0.98439390000000004</v>
      </c>
      <c r="Q5626">
        <v>9.3307029999999992E-3</v>
      </c>
      <c r="R5626">
        <v>-0.17573229999999901</v>
      </c>
      <c r="S5626">
        <v>3.0422359999999999</v>
      </c>
      <c r="T5626">
        <v>-0.18256629999999999</v>
      </c>
      <c r="U5626">
        <v>-4.8950199999999902E-2</v>
      </c>
      <c r="V5626">
        <v>-4.8923069999999999E-2</v>
      </c>
      <c r="W5626">
        <v>1.9510759999999999E-2</v>
      </c>
      <c r="X5626">
        <v>0.99861200000000006</v>
      </c>
      <c r="Y5626">
        <v>-0.20716850000000001</v>
      </c>
      <c r="Z5626">
        <v>1.9526330000000001E-2</v>
      </c>
      <c r="AA5626">
        <v>0.97811039999999905</v>
      </c>
      <c r="AB5626">
        <v>13</v>
      </c>
      <c r="AC5626">
        <v>18.348600000000001</v>
      </c>
      <c r="AD5626">
        <v>-1.1052506985736901</v>
      </c>
      <c r="AE5626">
        <v>-0.28157000000000898</v>
      </c>
      <c r="AF5626">
        <v>-3.8153326874745499</v>
      </c>
      <c r="AG5626">
        <v>-1.1052506985736901</v>
      </c>
      <c r="AH5626">
        <v>17.881938147356301</v>
      </c>
      <c r="AI5626">
        <v>93.459185244011195</v>
      </c>
      <c r="AJ5626">
        <v>102.044166343425</v>
      </c>
      <c r="AK5626">
        <v>18.3178070338315</v>
      </c>
    </row>
    <row r="5627" spans="1:37" x14ac:dyDescent="0.2">
      <c r="A5627" t="str">
        <f>"20200111160014164"</f>
        <v>20200111160014164</v>
      </c>
      <c r="B5627" t="str">
        <f>"1578729614156728"</f>
        <v>1578729614156728</v>
      </c>
      <c r="C5627" t="s">
        <v>37</v>
      </c>
      <c r="D5627">
        <v>5.4616959999999999</v>
      </c>
      <c r="E5627">
        <v>0.44033630000000001</v>
      </c>
      <c r="F5627" t="s">
        <v>39</v>
      </c>
      <c r="G5627">
        <v>-261.1026</v>
      </c>
      <c r="H5627" s="1">
        <v>4.4456709999999998E-7</v>
      </c>
      <c r="I5627">
        <v>-60.673569999999998</v>
      </c>
      <c r="J5627">
        <v>-279.69869999999997</v>
      </c>
      <c r="K5627">
        <v>1.1052329999999999</v>
      </c>
      <c r="L5627">
        <v>-60.423609999999996</v>
      </c>
      <c r="M5627">
        <v>0.97487919999999995</v>
      </c>
      <c r="N5627">
        <v>0</v>
      </c>
      <c r="O5627">
        <v>-0.22250049999999999</v>
      </c>
      <c r="P5627">
        <v>0.98492619999999897</v>
      </c>
      <c r="Q5627">
        <v>9.6299630000000001E-3</v>
      </c>
      <c r="R5627">
        <v>-0.17270720000000001</v>
      </c>
      <c r="S5627">
        <v>3.041534</v>
      </c>
      <c r="T5627">
        <v>-0.1800311</v>
      </c>
      <c r="U5627">
        <v>-4.3365479999999998E-2</v>
      </c>
      <c r="V5627">
        <v>-5.0828430000000001E-2</v>
      </c>
      <c r="W5627">
        <v>1.9714809999999999E-2</v>
      </c>
      <c r="X5627">
        <v>0.99851279999999998</v>
      </c>
      <c r="Y5627">
        <v>-0.207842999999999</v>
      </c>
      <c r="Z5627">
        <v>1.9215220000000002E-2</v>
      </c>
      <c r="AA5627">
        <v>0.97797350000000005</v>
      </c>
      <c r="AB5627">
        <v>13</v>
      </c>
      <c r="AC5627">
        <v>18.5960999999999</v>
      </c>
      <c r="AD5627">
        <v>-1.1052325554328899</v>
      </c>
      <c r="AE5627">
        <v>-0.24996000000000099</v>
      </c>
      <c r="AF5627">
        <v>-3.8804587289541299</v>
      </c>
      <c r="AG5627">
        <v>-1.1052325554328899</v>
      </c>
      <c r="AH5627">
        <v>18.121513704757898</v>
      </c>
      <c r="AI5627">
        <v>93.412967918414097</v>
      </c>
      <c r="AJ5627">
        <v>102.086526009522</v>
      </c>
      <c r="AK5627">
        <v>18.565256742109199</v>
      </c>
    </row>
    <row r="5628" spans="1:37" x14ac:dyDescent="0.2">
      <c r="A5628" t="str">
        <f>"20200111160014178"</f>
        <v>20200111160014178</v>
      </c>
      <c r="B5628" t="str">
        <f>"1578729614166487"</f>
        <v>1578729614166487</v>
      </c>
      <c r="C5628" t="s">
        <v>37</v>
      </c>
      <c r="D5628">
        <v>5.3585390000000004</v>
      </c>
      <c r="E5628">
        <v>0.44057109999999899</v>
      </c>
      <c r="F5628" t="s">
        <v>39</v>
      </c>
      <c r="G5628">
        <v>-260.96570000000003</v>
      </c>
      <c r="H5628" s="1">
        <v>5.1213169999999899E-7</v>
      </c>
      <c r="I5628">
        <v>-60.640459999999997</v>
      </c>
      <c r="J5628">
        <v>-279.62270000000001</v>
      </c>
      <c r="K5628">
        <v>1.1052150000000001</v>
      </c>
      <c r="L5628">
        <v>-60.439509999999999</v>
      </c>
      <c r="M5628">
        <v>0.97514380000000001</v>
      </c>
      <c r="N5628">
        <v>0</v>
      </c>
      <c r="O5628">
        <v>-0.22134229999999899</v>
      </c>
      <c r="P5628">
        <v>0.98563849999999997</v>
      </c>
      <c r="Q5628">
        <v>1.0713510000000001E-2</v>
      </c>
      <c r="R5628">
        <v>-0.16852919999999999</v>
      </c>
      <c r="S5628">
        <v>3.0414430000000001</v>
      </c>
      <c r="T5628">
        <v>-0.1794422</v>
      </c>
      <c r="U5628">
        <v>-3.5217289999999998E-2</v>
      </c>
      <c r="V5628">
        <v>-5.3875779999999998E-2</v>
      </c>
      <c r="W5628">
        <v>2.0679260000000001E-2</v>
      </c>
      <c r="X5628">
        <v>0.99833349999999899</v>
      </c>
      <c r="Y5628">
        <v>-0.20930409999999999</v>
      </c>
      <c r="Z5628">
        <v>1.913049E-2</v>
      </c>
      <c r="AA5628">
        <v>0.97766350000000002</v>
      </c>
      <c r="AB5628">
        <v>13</v>
      </c>
      <c r="AC5628">
        <v>18.656999999999901</v>
      </c>
      <c r="AD5628">
        <v>-1.1052144878682999</v>
      </c>
      <c r="AE5628">
        <v>-0.20094999999999799</v>
      </c>
      <c r="AF5628">
        <v>-3.9200743076011202</v>
      </c>
      <c r="AG5628">
        <v>-1.1052144878682999</v>
      </c>
      <c r="AH5628">
        <v>18.174896074200198</v>
      </c>
      <c r="AI5628">
        <v>93.401830314226899</v>
      </c>
      <c r="AJ5628">
        <v>102.171454243616</v>
      </c>
      <c r="AK5628">
        <v>18.6256631814624</v>
      </c>
    </row>
    <row r="5629" spans="1:37" x14ac:dyDescent="0.2">
      <c r="A5629" t="str">
        <f>"20200111160014189"</f>
        <v>20200111160014189</v>
      </c>
      <c r="B5629" t="str">
        <f>"1578729614186983"</f>
        <v>1578729614186983</v>
      </c>
      <c r="C5629" t="s">
        <v>37</v>
      </c>
      <c r="D5629">
        <v>5.3709220000000002</v>
      </c>
      <c r="E5629">
        <v>0.44104359999999998</v>
      </c>
      <c r="F5629" t="s">
        <v>39</v>
      </c>
      <c r="G5629">
        <v>-260.63130000000001</v>
      </c>
      <c r="H5629" s="1">
        <v>6.6909529999999997E-7</v>
      </c>
      <c r="I5629">
        <v>-60.589599999999997</v>
      </c>
      <c r="J5629">
        <v>-279.55849999999998</v>
      </c>
      <c r="K5629">
        <v>1.105191</v>
      </c>
      <c r="L5629">
        <v>-60.452909999999903</v>
      </c>
      <c r="M5629">
        <v>0.97536780000000001</v>
      </c>
      <c r="N5629">
        <v>0</v>
      </c>
      <c r="O5629">
        <v>-0.220358</v>
      </c>
      <c r="P5629">
        <v>0.98600509999999997</v>
      </c>
      <c r="Q5629">
        <v>1.160662E-2</v>
      </c>
      <c r="R5629">
        <v>-0.16631170000000001</v>
      </c>
      <c r="S5629">
        <v>3.0415649999999999</v>
      </c>
      <c r="T5629">
        <v>-0.17700579999999999</v>
      </c>
      <c r="U5629">
        <v>-2.4047849999999999E-2</v>
      </c>
      <c r="V5629">
        <v>-5.5113019999999999E-2</v>
      </c>
      <c r="W5629">
        <v>2.1466820000000001E-2</v>
      </c>
      <c r="X5629">
        <v>0.99824939999999995</v>
      </c>
      <c r="Y5629">
        <v>-0.211923999999999</v>
      </c>
      <c r="Z5629">
        <v>1.889211E-2</v>
      </c>
      <c r="AA5629">
        <v>0.97710350000000001</v>
      </c>
      <c r="AB5629">
        <v>13</v>
      </c>
      <c r="AC5629">
        <v>18.9271999999999</v>
      </c>
      <c r="AD5629">
        <v>-1.1051903309047</v>
      </c>
      <c r="AE5629">
        <v>-0.13669000000000101</v>
      </c>
      <c r="AF5629">
        <v>-4.0239196362491203</v>
      </c>
      <c r="AG5629">
        <v>-1.1051903309047</v>
      </c>
      <c r="AH5629">
        <v>18.4291942331784</v>
      </c>
      <c r="AI5629">
        <v>93.353080538076895</v>
      </c>
      <c r="AJ5629">
        <v>102.316932049013</v>
      </c>
      <c r="AK5629">
        <v>18.895729014534801</v>
      </c>
    </row>
    <row r="5630" spans="1:37" x14ac:dyDescent="0.2">
      <c r="A5630" t="str">
        <f>"20200111160014201"</f>
        <v>20200111160014201</v>
      </c>
      <c r="B5630" t="str">
        <f>"1578729614196743"</f>
        <v>1578729614196743</v>
      </c>
      <c r="C5630" t="s">
        <v>37</v>
      </c>
      <c r="D5630">
        <v>5.4363250000000001</v>
      </c>
      <c r="E5630">
        <v>0.44147009999999998</v>
      </c>
      <c r="F5630" t="s">
        <v>39</v>
      </c>
      <c r="G5630">
        <v>-260.23050000000001</v>
      </c>
      <c r="H5630" s="1">
        <v>8.4207010000000001E-7</v>
      </c>
      <c r="I5630">
        <v>-60.585700000000003</v>
      </c>
      <c r="J5630">
        <v>-279.49549999999999</v>
      </c>
      <c r="K5630">
        <v>1.105167</v>
      </c>
      <c r="L5630">
        <v>-60.466000000000001</v>
      </c>
      <c r="M5630">
        <v>0.97558929999999999</v>
      </c>
      <c r="N5630">
        <v>0</v>
      </c>
      <c r="O5630">
        <v>-0.21938049999999901</v>
      </c>
      <c r="P5630">
        <v>0.98640939999999999</v>
      </c>
      <c r="Q5630">
        <v>1.249015E-2</v>
      </c>
      <c r="R5630">
        <v>-0.16383220000000001</v>
      </c>
      <c r="S5630">
        <v>3.0411380000000001</v>
      </c>
      <c r="T5630">
        <v>-0.1738951</v>
      </c>
      <c r="U5630">
        <v>-2.0904539999999999E-2</v>
      </c>
      <c r="V5630">
        <v>-5.6621400000000002E-2</v>
      </c>
      <c r="W5630">
        <v>2.2232439999999999E-2</v>
      </c>
      <c r="X5630">
        <v>0.99814809999999998</v>
      </c>
      <c r="Y5630">
        <v>-0.211979799999999</v>
      </c>
      <c r="Z5630">
        <v>1.8510490000000001E-2</v>
      </c>
      <c r="AA5630">
        <v>0.97709869999999899</v>
      </c>
      <c r="AB5630">
        <v>13</v>
      </c>
      <c r="AC5630">
        <v>19.264999999999901</v>
      </c>
      <c r="AD5630">
        <v>-1.1051661579298999</v>
      </c>
      <c r="AE5630">
        <v>-0.119700000000001</v>
      </c>
      <c r="AF5630">
        <v>-4.0963079946003997</v>
      </c>
      <c r="AG5630">
        <v>-1.1051661579298999</v>
      </c>
      <c r="AH5630">
        <v>18.760171501908001</v>
      </c>
      <c r="AI5630">
        <v>93.293978767225497</v>
      </c>
      <c r="AJ5630">
        <v>102.317285295076</v>
      </c>
      <c r="AK5630">
        <v>19.2339586722095</v>
      </c>
    </row>
    <row r="5631" spans="1:37" x14ac:dyDescent="0.2">
      <c r="A5631" t="str">
        <f>"20200111160014212"</f>
        <v>20200111160014212</v>
      </c>
      <c r="B5631" t="str">
        <f>"1578729614206503"</f>
        <v>1578729614206503</v>
      </c>
      <c r="C5631" t="s">
        <v>37</v>
      </c>
      <c r="D5631">
        <v>5.4457620000000002</v>
      </c>
      <c r="E5631">
        <v>0.44206179999999901</v>
      </c>
      <c r="F5631" t="s">
        <v>88</v>
      </c>
      <c r="G5631">
        <v>-259.37619999999998</v>
      </c>
      <c r="H5631" s="1">
        <v>-3.2016029999999998E-6</v>
      </c>
      <c r="I5631">
        <v>-60.577469999999998</v>
      </c>
      <c r="J5631">
        <v>-279.42500000000001</v>
      </c>
      <c r="K5631">
        <v>1.1051340000000001</v>
      </c>
      <c r="L5631">
        <v>-60.480499999999999</v>
      </c>
      <c r="M5631">
        <v>0.97583709999999901</v>
      </c>
      <c r="N5631">
        <v>0</v>
      </c>
      <c r="O5631">
        <v>-0.2182819</v>
      </c>
      <c r="P5631">
        <v>0.98676379999999997</v>
      </c>
      <c r="Q5631">
        <v>1.3673640000000001E-2</v>
      </c>
      <c r="R5631">
        <v>-0.1615875</v>
      </c>
      <c r="S5631">
        <v>3.0406490000000002</v>
      </c>
      <c r="T5631">
        <v>-0.1670256</v>
      </c>
      <c r="U5631">
        <v>-1.6845699999999901E-2</v>
      </c>
      <c r="V5631">
        <v>-5.7766099999999897E-2</v>
      </c>
      <c r="W5631">
        <v>2.3272149999999998E-2</v>
      </c>
      <c r="X5631">
        <v>0.99805889999999997</v>
      </c>
      <c r="Y5631">
        <v>-0.2122376</v>
      </c>
      <c r="Z5631">
        <v>1.773164E-2</v>
      </c>
      <c r="AA5631">
        <v>0.97705719999999996</v>
      </c>
      <c r="AB5631">
        <v>13</v>
      </c>
      <c r="AC5631">
        <v>20.0488</v>
      </c>
      <c r="AD5631">
        <v>-1.1051372016030001</v>
      </c>
      <c r="AE5631">
        <v>-9.6969999999998793E-2</v>
      </c>
      <c r="AF5631">
        <v>-4.2688959256730898</v>
      </c>
      <c r="AG5631">
        <v>-1.1051372016030001</v>
      </c>
      <c r="AH5631">
        <v>19.5271283977556</v>
      </c>
      <c r="AI5631">
        <v>93.164615735050205</v>
      </c>
      <c r="AJ5631">
        <v>102.331629059992</v>
      </c>
      <c r="AK5631">
        <v>20.018829739048901</v>
      </c>
    </row>
    <row r="5632" spans="1:37" x14ac:dyDescent="0.2">
      <c r="A5632" t="str">
        <f>"20200111160014224"</f>
        <v>20200111160014224</v>
      </c>
      <c r="B5632" t="str">
        <f>"1578729614216263"</f>
        <v>1578729614216263</v>
      </c>
      <c r="C5632" t="s">
        <v>37</v>
      </c>
      <c r="D5632">
        <v>5.3791900000000004</v>
      </c>
      <c r="E5632">
        <v>0.44220929999999897</v>
      </c>
      <c r="F5632" t="s">
        <v>88</v>
      </c>
      <c r="G5632">
        <v>-258.70319999999998</v>
      </c>
      <c r="H5632" s="1">
        <v>-2.9135160000000002E-6</v>
      </c>
      <c r="I5632">
        <v>-60.580350000000003</v>
      </c>
      <c r="J5632">
        <v>-279.35579999999999</v>
      </c>
      <c r="K5632">
        <v>1.1050979999999999</v>
      </c>
      <c r="L5632">
        <v>-60.494689999999999</v>
      </c>
      <c r="M5632">
        <v>0.97607999999999995</v>
      </c>
      <c r="N5632">
        <v>0</v>
      </c>
      <c r="O5632">
        <v>-0.21719959999999999</v>
      </c>
      <c r="P5632">
        <v>0.98703619999999903</v>
      </c>
      <c r="Q5632">
        <v>1.497013E-2</v>
      </c>
      <c r="R5632">
        <v>-0.15979869999999999</v>
      </c>
      <c r="S5632">
        <v>3.0400999999999998</v>
      </c>
      <c r="T5632">
        <v>-0.16213469999999999</v>
      </c>
      <c r="U5632">
        <v>-1.464844E-2</v>
      </c>
      <c r="V5632">
        <v>-5.8466450000000003E-2</v>
      </c>
      <c r="W5632">
        <v>2.4421000000000002E-2</v>
      </c>
      <c r="X5632">
        <v>0.99799059999999995</v>
      </c>
      <c r="Y5632">
        <v>-0.211897899999999</v>
      </c>
      <c r="Z5632">
        <v>1.7150869999999999E-2</v>
      </c>
      <c r="AA5632">
        <v>0.97714129999999999</v>
      </c>
      <c r="AB5632">
        <v>13</v>
      </c>
      <c r="AC5632">
        <v>20.6526</v>
      </c>
      <c r="AD5632">
        <v>-1.1051009135159999</v>
      </c>
      <c r="AE5632">
        <v>-8.56599999999971E-2</v>
      </c>
      <c r="AF5632">
        <v>-4.3897597037525902</v>
      </c>
      <c r="AG5632">
        <v>-1.1051009135159999</v>
      </c>
      <c r="AH5632">
        <v>20.120516596130098</v>
      </c>
      <c r="AI5632">
        <v>93.071647952922504</v>
      </c>
      <c r="AJ5632">
        <v>102.307550482474</v>
      </c>
      <c r="AK5632">
        <v>20.623443611116201</v>
      </c>
    </row>
    <row r="5633" spans="1:37" x14ac:dyDescent="0.2">
      <c r="A5633" t="str">
        <f>"20200111160014235"</f>
        <v>20200111160014235</v>
      </c>
      <c r="B5633" t="str">
        <f>"1578729614227000"</f>
        <v>1578729614227000</v>
      </c>
      <c r="C5633" t="s">
        <v>37</v>
      </c>
      <c r="D5633">
        <v>5.4710299999999998</v>
      </c>
      <c r="E5633">
        <v>0.44220929999999897</v>
      </c>
      <c r="F5633" t="s">
        <v>88</v>
      </c>
      <c r="G5633">
        <v>-258.3399</v>
      </c>
      <c r="H5633" s="1">
        <v>-2.7543709999999899E-6</v>
      </c>
      <c r="I5633">
        <v>-60.565359999999998</v>
      </c>
      <c r="J5633">
        <v>-279.29070000000002</v>
      </c>
      <c r="K5633">
        <v>1.1050629999999999</v>
      </c>
      <c r="L5633">
        <v>-60.507930000000002</v>
      </c>
      <c r="M5633">
        <v>0.97630779999999995</v>
      </c>
      <c r="N5633">
        <v>0</v>
      </c>
      <c r="O5633">
        <v>-0.21618089999999901</v>
      </c>
      <c r="P5633">
        <v>0.98732419999999999</v>
      </c>
      <c r="Q5633">
        <v>1.6063999999999998E-2</v>
      </c>
      <c r="R5633">
        <v>-0.15790270000000001</v>
      </c>
      <c r="S5633">
        <v>3.0401609999999999</v>
      </c>
      <c r="T5633">
        <v>-0.15986439999999999</v>
      </c>
      <c r="U5633">
        <v>-1.0223390000000001E-2</v>
      </c>
      <c r="V5633">
        <v>-5.9338759999999997E-2</v>
      </c>
      <c r="W5633">
        <v>2.5356259999999999E-2</v>
      </c>
      <c r="X5633">
        <v>0.99791580000000002</v>
      </c>
      <c r="Y5633">
        <v>-0.2123177</v>
      </c>
      <c r="Z5633">
        <v>1.6869680000000001E-2</v>
      </c>
      <c r="AA5633">
        <v>0.97705509999999995</v>
      </c>
      <c r="AB5633">
        <v>13</v>
      </c>
      <c r="AC5633">
        <v>20.950800000000001</v>
      </c>
      <c r="AD5633">
        <v>-1.1050657543709901</v>
      </c>
      <c r="AE5633">
        <v>-5.7429999999996498E-2</v>
      </c>
      <c r="AF5633">
        <v>-4.4608816899285699</v>
      </c>
      <c r="AG5633">
        <v>-1.1050657543709901</v>
      </c>
      <c r="AH5633">
        <v>20.410969288708898</v>
      </c>
      <c r="AI5633">
        <v>93.027684219376795</v>
      </c>
      <c r="AJ5633">
        <v>102.328323371452</v>
      </c>
      <c r="AK5633">
        <v>20.921957438959701</v>
      </c>
    </row>
    <row r="5634" spans="1:37" x14ac:dyDescent="0.2">
      <c r="A5634" t="str">
        <f>"20200111160014246"</f>
        <v>20200111160014246</v>
      </c>
      <c r="B5634" t="str">
        <f>"1578729614236761"</f>
        <v>1578729614236761</v>
      </c>
      <c r="C5634" t="s">
        <v>37</v>
      </c>
      <c r="D5634">
        <v>5.4215029999999897</v>
      </c>
      <c r="E5634">
        <v>0.44271739999999998</v>
      </c>
      <c r="F5634" t="s">
        <v>88</v>
      </c>
      <c r="G5634">
        <v>-257.82330000000002</v>
      </c>
      <c r="H5634" s="1">
        <v>-2.52687299999999E-6</v>
      </c>
      <c r="I5634">
        <v>-60.538959999999904</v>
      </c>
      <c r="J5634">
        <v>-279.22539999999998</v>
      </c>
      <c r="K5634">
        <v>1.1050229999999901</v>
      </c>
      <c r="L5634">
        <v>-60.521209999999897</v>
      </c>
      <c r="M5634">
        <v>0.97653519999999905</v>
      </c>
      <c r="N5634">
        <v>0</v>
      </c>
      <c r="O5634">
        <v>-0.21515819999999999</v>
      </c>
      <c r="P5634">
        <v>0.98754750000000002</v>
      </c>
      <c r="Q5634">
        <v>1.7039450000000001E-2</v>
      </c>
      <c r="R5634">
        <v>-0.15639620000000001</v>
      </c>
      <c r="S5634">
        <v>3.040375</v>
      </c>
      <c r="T5634">
        <v>-0.15650799999999901</v>
      </c>
      <c r="U5634">
        <v>-4.3945310000000001E-3</v>
      </c>
      <c r="V5634">
        <v>-5.9813329999999998E-2</v>
      </c>
      <c r="W5634">
        <v>2.6169950000000001E-2</v>
      </c>
      <c r="X5634">
        <v>0.99786649999999999</v>
      </c>
      <c r="Y5634">
        <v>-0.21319199999999999</v>
      </c>
      <c r="Z5634">
        <v>1.6486250000000001E-2</v>
      </c>
      <c r="AA5634">
        <v>0.9768713</v>
      </c>
      <c r="AB5634">
        <v>13</v>
      </c>
      <c r="AC5634">
        <v>21.402099999999901</v>
      </c>
      <c r="AD5634">
        <v>-1.10502552687299</v>
      </c>
      <c r="AE5634">
        <v>-1.7749999999999402E-2</v>
      </c>
      <c r="AF5634">
        <v>-4.57550348898907</v>
      </c>
      <c r="AG5634">
        <v>-1.10502552687299</v>
      </c>
      <c r="AH5634">
        <v>20.849041595117601</v>
      </c>
      <c r="AI5634">
        <v>92.9635147220866</v>
      </c>
      <c r="AJ5634">
        <v>102.377832554409</v>
      </c>
      <c r="AK5634">
        <v>21.3737888318317</v>
      </c>
    </row>
    <row r="5635" spans="1:37" x14ac:dyDescent="0.2">
      <c r="A5635" t="str">
        <f>"20200111160014257"</f>
        <v>20200111160014257</v>
      </c>
      <c r="B5635" t="str">
        <f>"1578729614246519"</f>
        <v>1578729614246519</v>
      </c>
      <c r="C5635" t="s">
        <v>37</v>
      </c>
      <c r="D5635">
        <v>5.4350250000000004</v>
      </c>
      <c r="E5635">
        <v>0.44271739999999998</v>
      </c>
      <c r="F5635" t="s">
        <v>88</v>
      </c>
      <c r="G5635">
        <v>-257.40530000000001</v>
      </c>
      <c r="H5635" s="1">
        <v>-2.3494919999999999E-6</v>
      </c>
      <c r="I5635">
        <v>-60.547709999999903</v>
      </c>
      <c r="J5635">
        <v>-279.16059999999999</v>
      </c>
      <c r="K5635">
        <v>1.1049799999999901</v>
      </c>
      <c r="L5635">
        <v>-60.534239999999997</v>
      </c>
      <c r="M5635">
        <v>0.976759499999999</v>
      </c>
      <c r="N5635">
        <v>0</v>
      </c>
      <c r="O5635">
        <v>-0.21414539999999899</v>
      </c>
      <c r="P5635">
        <v>0.987753199999999</v>
      </c>
      <c r="Q5635">
        <v>1.785465E-2</v>
      </c>
      <c r="R5635">
        <v>-0.15499979999999999</v>
      </c>
      <c r="S5635">
        <v>3.0398860000000001</v>
      </c>
      <c r="T5635">
        <v>-0.1539478</v>
      </c>
      <c r="U5635">
        <v>-3.692627E-3</v>
      </c>
      <c r="V5635">
        <v>-6.0186320000000001E-2</v>
      </c>
      <c r="W5635">
        <v>2.6805349999999999E-2</v>
      </c>
      <c r="X5635">
        <v>0.99782719999999903</v>
      </c>
      <c r="Y5635">
        <v>-0.21242420000000001</v>
      </c>
      <c r="Z5635">
        <v>1.6149810000000001E-2</v>
      </c>
      <c r="AA5635">
        <v>0.97704409999999897</v>
      </c>
      <c r="AB5635">
        <v>13</v>
      </c>
      <c r="AC5635">
        <v>21.755299999999899</v>
      </c>
      <c r="AD5635">
        <v>-1.1049823494919999</v>
      </c>
      <c r="AE5635">
        <v>-1.3469999999990901E-2</v>
      </c>
      <c r="AF5635">
        <v>-4.6338780868499203</v>
      </c>
      <c r="AG5635">
        <v>-1.1049823494919999</v>
      </c>
      <c r="AH5635">
        <v>21.198770686011802</v>
      </c>
      <c r="AI5635">
        <v>92.915122311847995</v>
      </c>
      <c r="AJ5635">
        <v>102.330438392315</v>
      </c>
      <c r="AK5635">
        <v>21.7274409610196</v>
      </c>
    </row>
    <row r="5636" spans="1:37" x14ac:dyDescent="0.2">
      <c r="A5636" t="str">
        <f>"20200111160014267"</f>
        <v>20200111160014267</v>
      </c>
      <c r="B5636" t="str">
        <f>"1578729614256280"</f>
        <v>1578729614256280</v>
      </c>
      <c r="C5636" t="s">
        <v>37</v>
      </c>
      <c r="D5636">
        <v>5.4709370000000002</v>
      </c>
      <c r="E5636">
        <v>0.4679257</v>
      </c>
      <c r="F5636" t="s">
        <v>88</v>
      </c>
      <c r="G5636">
        <v>-256.98540000000003</v>
      </c>
      <c r="H5636" s="1">
        <v>-2.1653779999999999E-6</v>
      </c>
      <c r="I5636">
        <v>-60.529789999999998</v>
      </c>
      <c r="J5636">
        <v>-279.0985</v>
      </c>
      <c r="K5636">
        <v>1.1049359999999999</v>
      </c>
      <c r="L5636">
        <v>-60.546689999999998</v>
      </c>
      <c r="M5636">
        <v>0.97697289999999903</v>
      </c>
      <c r="N5636">
        <v>0</v>
      </c>
      <c r="O5636">
        <v>-0.21317719999999901</v>
      </c>
      <c r="P5636">
        <v>0.98795829999999996</v>
      </c>
      <c r="Q5636">
        <v>1.8511070000000001E-2</v>
      </c>
      <c r="R5636">
        <v>-0.15361040000000001</v>
      </c>
      <c r="S5636">
        <v>3.0400700000000001</v>
      </c>
      <c r="T5636">
        <v>-0.15148599999999901</v>
      </c>
      <c r="U5636">
        <v>6.1035159999999996E-4</v>
      </c>
      <c r="V5636">
        <v>-6.0598529999999998E-2</v>
      </c>
      <c r="W5636">
        <v>2.72844E-2</v>
      </c>
      <c r="X5636">
        <v>0.99778929999999999</v>
      </c>
      <c r="Y5636">
        <v>-0.2128563</v>
      </c>
      <c r="Z5636">
        <v>1.5854710000000001E-2</v>
      </c>
      <c r="AA5636">
        <v>0.97695489999999996</v>
      </c>
      <c r="AB5636">
        <v>13</v>
      </c>
      <c r="AC5636">
        <v>22.1130999999999</v>
      </c>
      <c r="AD5636">
        <v>-1.1049381653779999</v>
      </c>
      <c r="AE5636">
        <v>1.6899999999999599E-2</v>
      </c>
      <c r="AF5636">
        <v>-4.7189254622111703</v>
      </c>
      <c r="AG5636">
        <v>-1.1049381653779999</v>
      </c>
      <c r="AH5636">
        <v>21.547356159006299</v>
      </c>
      <c r="AI5636">
        <v>92.867681876745706</v>
      </c>
      <c r="AJ5636">
        <v>102.35289458079301</v>
      </c>
      <c r="AK5636">
        <v>22.085690012093401</v>
      </c>
    </row>
    <row r="5637" spans="1:37" x14ac:dyDescent="0.2">
      <c r="A5637" t="str">
        <f>"20200111160014280"</f>
        <v>20200111160014280</v>
      </c>
      <c r="B5637" t="str">
        <f>"1578729614276777"</f>
        <v>1578729614276777</v>
      </c>
      <c r="C5637" t="s">
        <v>37</v>
      </c>
      <c r="D5637">
        <v>6.1862360000000001</v>
      </c>
      <c r="E5637">
        <v>0.47149950000000002</v>
      </c>
      <c r="F5637" t="s">
        <v>39</v>
      </c>
      <c r="G5637">
        <v>-267.47570000000002</v>
      </c>
      <c r="H5637" s="1">
        <v>-2.4460169999999998E-6</v>
      </c>
      <c r="I5637">
        <v>-61.262</v>
      </c>
      <c r="J5637">
        <v>-279.02640000000002</v>
      </c>
      <c r="K5637">
        <v>1.104886</v>
      </c>
      <c r="L5637">
        <v>-60.561100000000003</v>
      </c>
      <c r="M5637">
        <v>0.97721859999999905</v>
      </c>
      <c r="N5637">
        <v>0</v>
      </c>
      <c r="O5637">
        <v>-0.212057299999999</v>
      </c>
      <c r="P5637">
        <v>0.98815569999999897</v>
      </c>
      <c r="Q5637">
        <v>1.9613510000000001E-2</v>
      </c>
      <c r="R5637">
        <v>-0.15219659999999999</v>
      </c>
      <c r="S5637">
        <v>3.0130919999999999</v>
      </c>
      <c r="T5637">
        <v>-0.28644399999999998</v>
      </c>
      <c r="U5637">
        <v>-0.18545529999999999</v>
      </c>
      <c r="V5637">
        <v>-6.0878689999999999E-2</v>
      </c>
      <c r="W5637">
        <v>2.8166210000000001E-2</v>
      </c>
      <c r="X5637">
        <v>0.99774769999999902</v>
      </c>
      <c r="Y5637">
        <v>-0.1500184</v>
      </c>
      <c r="Z5637">
        <v>2.7055799999999901E-2</v>
      </c>
      <c r="AA5637">
        <v>0.988312999999999</v>
      </c>
      <c r="AB5637">
        <v>14</v>
      </c>
      <c r="AC5637">
        <v>11.550700000000001</v>
      </c>
      <c r="AD5637">
        <v>-1.1048884460170001</v>
      </c>
      <c r="AE5637">
        <v>-0.70089999999999697</v>
      </c>
      <c r="AF5637">
        <v>-1.7486033658246001</v>
      </c>
      <c r="AG5637">
        <v>-1.1048884460170001</v>
      </c>
      <c r="AH5637">
        <v>11.3333025515711</v>
      </c>
      <c r="AI5637">
        <v>95.503480206870705</v>
      </c>
      <c r="AJ5637">
        <v>98.770944439533494</v>
      </c>
      <c r="AK5637">
        <v>11.520509491101601</v>
      </c>
    </row>
    <row r="5638" spans="1:37" x14ac:dyDescent="0.2">
      <c r="A5638" t="str">
        <f>"20200111160014293"</f>
        <v>20200111160014293</v>
      </c>
      <c r="B5638" t="str">
        <f>"1578729614286536"</f>
        <v>1578729614286536</v>
      </c>
      <c r="C5638" t="s">
        <v>37</v>
      </c>
      <c r="D5638">
        <v>5.5193989999999999</v>
      </c>
      <c r="E5638">
        <v>0.47306110000000001</v>
      </c>
      <c r="F5638" t="s">
        <v>39</v>
      </c>
      <c r="G5638">
        <v>-268.60300000000001</v>
      </c>
      <c r="H5638" s="1">
        <v>-2.9340350000000001E-6</v>
      </c>
      <c r="I5638">
        <v>-61.27861</v>
      </c>
      <c r="J5638">
        <v>-278.94889999999998</v>
      </c>
      <c r="K5638">
        <v>1.1048359999999999</v>
      </c>
      <c r="L5638">
        <v>-60.576479999999997</v>
      </c>
      <c r="M5638">
        <v>0.97748040000000003</v>
      </c>
      <c r="N5638">
        <v>0</v>
      </c>
      <c r="O5638">
        <v>-0.21085779999999901</v>
      </c>
      <c r="P5638">
        <v>0.98841970000000001</v>
      </c>
      <c r="Q5638">
        <v>2.0439269999999999E-2</v>
      </c>
      <c r="R5638">
        <v>-0.150362</v>
      </c>
      <c r="S5638">
        <v>3.0103759999999999</v>
      </c>
      <c r="T5638">
        <v>-0.31910119999999997</v>
      </c>
      <c r="U5638">
        <v>-0.20724490000000001</v>
      </c>
      <c r="V5638">
        <v>-6.150282E-2</v>
      </c>
      <c r="W5638">
        <v>2.874343E-2</v>
      </c>
      <c r="X5638">
        <v>0.99769289999999999</v>
      </c>
      <c r="Y5638">
        <v>-0.14128759999999899</v>
      </c>
      <c r="Z5638">
        <v>2.9554859999999999E-2</v>
      </c>
      <c r="AA5638">
        <v>0.9895273</v>
      </c>
      <c r="AB5638">
        <v>14</v>
      </c>
      <c r="AC5638">
        <v>10.345899999999901</v>
      </c>
      <c r="AD5638">
        <v>-1.104838934035</v>
      </c>
      <c r="AE5638">
        <v>-0.70212999999999604</v>
      </c>
      <c r="AF5638">
        <v>-1.4784652431382399</v>
      </c>
      <c r="AG5638">
        <v>-1.104838934035</v>
      </c>
      <c r="AH5638">
        <v>10.146151280575101</v>
      </c>
      <c r="AI5638">
        <v>96.150144139564105</v>
      </c>
      <c r="AJ5638">
        <v>98.290610055580601</v>
      </c>
      <c r="AK5638">
        <v>10.312657967451599</v>
      </c>
    </row>
    <row r="5639" spans="1:37" x14ac:dyDescent="0.2">
      <c r="A5639" t="str">
        <f>"20200111160014306"</f>
        <v>20200111160014306</v>
      </c>
      <c r="B5639" t="str">
        <f>"1578729614296296"</f>
        <v>1578729614296296</v>
      </c>
      <c r="C5639" t="s">
        <v>37</v>
      </c>
      <c r="D5639">
        <v>5.4293659999999999</v>
      </c>
      <c r="E5639">
        <v>0.47456989999999999</v>
      </c>
      <c r="F5639" t="s">
        <v>39</v>
      </c>
      <c r="G5639">
        <v>-268.41669999999999</v>
      </c>
      <c r="H5639" s="1">
        <v>-2.866852E-6</v>
      </c>
      <c r="I5639">
        <v>-61.326469999999901</v>
      </c>
      <c r="J5639">
        <v>-278.86880000000002</v>
      </c>
      <c r="K5639">
        <v>1.104784</v>
      </c>
      <c r="L5639">
        <v>-60.592289999999998</v>
      </c>
      <c r="M5639">
        <v>0.97774819999999996</v>
      </c>
      <c r="N5639">
        <v>0</v>
      </c>
      <c r="O5639">
        <v>-0.209622899999999</v>
      </c>
      <c r="P5639">
        <v>0.98862249999999996</v>
      </c>
      <c r="Q5639">
        <v>2.1492830000000001E-2</v>
      </c>
      <c r="R5639">
        <v>-0.14887520000000001</v>
      </c>
      <c r="S5639">
        <v>3.009064</v>
      </c>
      <c r="T5639">
        <v>-0.3156545</v>
      </c>
      <c r="U5639">
        <v>-0.2142944</v>
      </c>
      <c r="V5639">
        <v>-6.1738790000000002E-2</v>
      </c>
      <c r="W5639">
        <v>2.9533210000000001E-2</v>
      </c>
      <c r="X5639">
        <v>0.99765530000000002</v>
      </c>
      <c r="Y5639">
        <v>-0.13776569999999999</v>
      </c>
      <c r="Z5639">
        <v>2.8935929999999999E-2</v>
      </c>
      <c r="AA5639">
        <v>0.99004210000000004</v>
      </c>
      <c r="AB5639">
        <v>14</v>
      </c>
      <c r="AC5639">
        <v>10.4521</v>
      </c>
      <c r="AD5639">
        <v>-1.104786866852</v>
      </c>
      <c r="AE5639">
        <v>-0.73417999999998695</v>
      </c>
      <c r="AF5639">
        <v>-1.4570069997110799</v>
      </c>
      <c r="AG5639">
        <v>-1.104786866852</v>
      </c>
      <c r="AH5639">
        <v>10.259705214351399</v>
      </c>
      <c r="AI5639">
        <v>96.0854558666272</v>
      </c>
      <c r="AJ5639">
        <v>98.082673530063602</v>
      </c>
      <c r="AK5639">
        <v>10.421371047216599</v>
      </c>
    </row>
    <row r="5640" spans="1:37" x14ac:dyDescent="0.2">
      <c r="A5640" t="str">
        <f>"20200111160014317"</f>
        <v>20200111160014317</v>
      </c>
      <c r="B5640" t="str">
        <f>"1578729614307031"</f>
        <v>1578729614307031</v>
      </c>
      <c r="C5640" t="s">
        <v>37</v>
      </c>
      <c r="D5640">
        <v>5.474831</v>
      </c>
      <c r="E5640">
        <v>0.47564689999999998</v>
      </c>
      <c r="F5640" t="s">
        <v>39</v>
      </c>
      <c r="G5640">
        <v>-268.49439999999998</v>
      </c>
      <c r="H5640" s="1">
        <v>-2.90799399999999E-6</v>
      </c>
      <c r="I5640">
        <v>-61.355690000000003</v>
      </c>
      <c r="J5640">
        <v>-278.7989</v>
      </c>
      <c r="K5640">
        <v>1.1047419999999999</v>
      </c>
      <c r="L5640">
        <v>-60.606019999999901</v>
      </c>
      <c r="M5640">
        <v>0.97797939999999906</v>
      </c>
      <c r="N5640">
        <v>0</v>
      </c>
      <c r="O5640">
        <v>-0.20854980000000001</v>
      </c>
      <c r="P5640">
        <v>0.98879409999999901</v>
      </c>
      <c r="Q5640">
        <v>2.2383420000000001E-2</v>
      </c>
      <c r="R5640">
        <v>-0.147597799999999</v>
      </c>
      <c r="S5640">
        <v>3.0081180000000001</v>
      </c>
      <c r="T5640">
        <v>-0.32034099999999999</v>
      </c>
      <c r="U5640">
        <v>-0.2213745</v>
      </c>
      <c r="V5640">
        <v>-6.1929310000000001E-2</v>
      </c>
      <c r="W5640">
        <v>3.018237E-2</v>
      </c>
      <c r="X5640">
        <v>0.99762410000000001</v>
      </c>
      <c r="Y5640">
        <v>-0.13430610000000001</v>
      </c>
      <c r="Z5640">
        <v>2.9073559999999998E-2</v>
      </c>
      <c r="AA5640">
        <v>0.99051329999999904</v>
      </c>
      <c r="AB5640">
        <v>14</v>
      </c>
      <c r="AC5640">
        <v>10.304500000000001</v>
      </c>
      <c r="AD5640">
        <v>-1.1047449079939999</v>
      </c>
      <c r="AE5640">
        <v>-0.74967000000000805</v>
      </c>
      <c r="AF5640">
        <v>-1.3998789356899199</v>
      </c>
      <c r="AG5640">
        <v>-1.1047449079939999</v>
      </c>
      <c r="AH5640">
        <v>10.118565847123</v>
      </c>
      <c r="AI5640">
        <v>96.172541780358301</v>
      </c>
      <c r="AJ5640">
        <v>97.876731799902601</v>
      </c>
      <c r="AK5640">
        <v>10.274507148710001</v>
      </c>
    </row>
    <row r="5641" spans="1:37" x14ac:dyDescent="0.2">
      <c r="A5641" t="str">
        <f>"20200111160014330"</f>
        <v>20200111160014330</v>
      </c>
      <c r="B5641" t="str">
        <f>"1578729614326554"</f>
        <v>1578729614326554</v>
      </c>
      <c r="C5641" t="s">
        <v>37</v>
      </c>
      <c r="D5641">
        <v>5.6750360000000004</v>
      </c>
      <c r="E5641">
        <v>0.4788789</v>
      </c>
      <c r="F5641" t="s">
        <v>87</v>
      </c>
      <c r="G5641">
        <v>-268.77870000000001</v>
      </c>
      <c r="H5641" s="1">
        <v>-3.0300589999999999E-6</v>
      </c>
      <c r="I5641">
        <v>-61.356209999999997</v>
      </c>
      <c r="J5641">
        <v>-278.72570000000002</v>
      </c>
      <c r="K5641">
        <v>1.1047009999999999</v>
      </c>
      <c r="L5641">
        <v>-60.620269999999998</v>
      </c>
      <c r="M5641">
        <v>0.97821939999999996</v>
      </c>
      <c r="N5641">
        <v>0</v>
      </c>
      <c r="O5641">
        <v>-0.2074308</v>
      </c>
      <c r="P5641">
        <v>0.9889732</v>
      </c>
      <c r="Q5641">
        <v>2.3125719999999999E-2</v>
      </c>
      <c r="R5641">
        <v>-0.14627699999999999</v>
      </c>
      <c r="S5641">
        <v>3.0079349999999998</v>
      </c>
      <c r="T5641">
        <v>-0.33163009999999998</v>
      </c>
      <c r="U5641">
        <v>-0.22521969999999999</v>
      </c>
      <c r="V5641">
        <v>-6.2117230000000002E-2</v>
      </c>
      <c r="W5641">
        <v>3.0668999999999998E-2</v>
      </c>
      <c r="X5641">
        <v>0.99759750000000003</v>
      </c>
      <c r="Y5641">
        <v>-0.1317934</v>
      </c>
      <c r="Z5641">
        <v>2.9833490000000001E-2</v>
      </c>
      <c r="AA5641">
        <v>0.99082819999999905</v>
      </c>
      <c r="AB5641">
        <v>14</v>
      </c>
      <c r="AC5641">
        <v>9.9469999999999992</v>
      </c>
      <c r="AD5641">
        <v>-1.1047040300589901</v>
      </c>
      <c r="AE5641">
        <v>-0.73593999999999904</v>
      </c>
      <c r="AF5641">
        <v>-1.32716294512493</v>
      </c>
      <c r="AG5641">
        <v>-1.1047040300589901</v>
      </c>
      <c r="AH5641">
        <v>9.7635290990845096</v>
      </c>
      <c r="AI5641">
        <v>96.396998943605297</v>
      </c>
      <c r="AJ5641">
        <v>97.740809715814095</v>
      </c>
      <c r="AK5641">
        <v>9.9150508291995791</v>
      </c>
    </row>
    <row r="5642" spans="1:37" x14ac:dyDescent="0.2">
      <c r="A5642" t="str">
        <f>"20200111160014342"</f>
        <v>20200111160014342</v>
      </c>
      <c r="B5642" t="str">
        <f>"1578729614336311"</f>
        <v>1578729614336311</v>
      </c>
      <c r="C5642" t="s">
        <v>37</v>
      </c>
      <c r="D5642">
        <v>5.4369680000000002</v>
      </c>
      <c r="E5642">
        <v>0.4791665</v>
      </c>
      <c r="F5642" t="s">
        <v>87</v>
      </c>
      <c r="G5642">
        <v>-268.75990000000002</v>
      </c>
      <c r="H5642" s="1">
        <v>-3.043692E-6</v>
      </c>
      <c r="I5642">
        <v>-61.437619999999903</v>
      </c>
      <c r="J5642">
        <v>-278.6508</v>
      </c>
      <c r="K5642">
        <v>1.1046590000000001</v>
      </c>
      <c r="L5642">
        <v>-60.634830000000001</v>
      </c>
      <c r="M5642">
        <v>0.97846319999999998</v>
      </c>
      <c r="N5642">
        <v>0</v>
      </c>
      <c r="O5642">
        <v>-0.20628750000000001</v>
      </c>
      <c r="P5642">
        <v>0.98914639999999998</v>
      </c>
      <c r="Q5642">
        <v>2.391192E-2</v>
      </c>
      <c r="R5642">
        <v>-0.14497499999999999</v>
      </c>
      <c r="S5642">
        <v>3.004791</v>
      </c>
      <c r="T5642">
        <v>-0.33307989999999998</v>
      </c>
      <c r="U5642">
        <v>-0.24645999999999901</v>
      </c>
      <c r="V5642">
        <v>-6.2261320000000002E-2</v>
      </c>
      <c r="W5642">
        <v>3.118802E-2</v>
      </c>
      <c r="X5642">
        <v>0.99757249999999997</v>
      </c>
      <c r="Y5642">
        <v>-0.12362819999999999</v>
      </c>
      <c r="Z5642">
        <v>2.9407849999999999E-2</v>
      </c>
      <c r="AA5642">
        <v>0.99189280000000002</v>
      </c>
      <c r="AB5642">
        <v>14</v>
      </c>
      <c r="AC5642">
        <v>9.8908999999999807</v>
      </c>
      <c r="AD5642">
        <v>-1.1046620436920001</v>
      </c>
      <c r="AE5642">
        <v>-0.80278999999998701</v>
      </c>
      <c r="AF5642">
        <v>-1.2395430055391501</v>
      </c>
      <c r="AG5642">
        <v>-1.1046620436920001</v>
      </c>
      <c r="AH5642">
        <v>9.7232699046429296</v>
      </c>
      <c r="AI5642">
        <v>96.429992806011597</v>
      </c>
      <c r="AJ5642">
        <v>97.265000063206202</v>
      </c>
      <c r="AK5642">
        <v>9.8640114928912102</v>
      </c>
    </row>
    <row r="5643" spans="1:37" x14ac:dyDescent="0.2">
      <c r="A5643" t="str">
        <f>"20200111160014356"</f>
        <v>20200111160014356</v>
      </c>
      <c r="B5643" t="str">
        <f>"1578729614347047"</f>
        <v>1578729614347047</v>
      </c>
      <c r="C5643" t="s">
        <v>37</v>
      </c>
      <c r="D5643">
        <v>5.4766409999999999</v>
      </c>
      <c r="E5643">
        <v>0.4796764</v>
      </c>
      <c r="F5643" t="s">
        <v>39</v>
      </c>
      <c r="G5643">
        <v>-268.72789999999998</v>
      </c>
      <c r="H5643" s="1">
        <v>-3.0310459999999999E-6</v>
      </c>
      <c r="I5643">
        <v>-61.441800000000001</v>
      </c>
      <c r="J5643">
        <v>-278.56060000000002</v>
      </c>
      <c r="K5643">
        <v>1.104614</v>
      </c>
      <c r="L5643">
        <v>-60.652250000000002</v>
      </c>
      <c r="M5643">
        <v>0.97875400000000001</v>
      </c>
      <c r="N5643">
        <v>0</v>
      </c>
      <c r="O5643">
        <v>-0.20491579999999901</v>
      </c>
      <c r="P5643">
        <v>0.98928989999999895</v>
      </c>
      <c r="Q5643">
        <v>2.5646849999999999E-2</v>
      </c>
      <c r="R5643">
        <v>-0.1436934</v>
      </c>
      <c r="S5643">
        <v>3.005188</v>
      </c>
      <c r="T5643">
        <v>-0.33455000000000001</v>
      </c>
      <c r="U5643">
        <v>-0.244415299999999</v>
      </c>
      <c r="V5643">
        <v>-6.214865E-2</v>
      </c>
      <c r="W5643">
        <v>3.2594930000000001E-2</v>
      </c>
      <c r="X5643">
        <v>0.99753449999999899</v>
      </c>
      <c r="Y5643">
        <v>-0.1229133</v>
      </c>
      <c r="Z5643">
        <v>2.9345679999999999E-2</v>
      </c>
      <c r="AA5643">
        <v>0.99198339999999996</v>
      </c>
      <c r="AB5643">
        <v>14</v>
      </c>
      <c r="AC5643">
        <v>9.83270000000004</v>
      </c>
      <c r="AD5643">
        <v>-1.104617031046</v>
      </c>
      <c r="AE5643">
        <v>-0.78954999999999798</v>
      </c>
      <c r="AF5643">
        <v>-1.2267484565568301</v>
      </c>
      <c r="AG5643">
        <v>-1.104617031046</v>
      </c>
      <c r="AH5643">
        <v>9.6646394401604105</v>
      </c>
      <c r="AI5643">
        <v>96.468851294524896</v>
      </c>
      <c r="AJ5643">
        <v>97.233961993999003</v>
      </c>
      <c r="AK5643">
        <v>9.8046084097859598</v>
      </c>
    </row>
    <row r="5644" spans="1:37" x14ac:dyDescent="0.2">
      <c r="A5644" t="str">
        <f>"20200111160014369"</f>
        <v>20200111160014369</v>
      </c>
      <c r="B5644" t="str">
        <f>"1578729614356523"</f>
        <v>1578729614356523</v>
      </c>
      <c r="C5644" t="s">
        <v>37</v>
      </c>
      <c r="D5644">
        <v>5.4702459999999897</v>
      </c>
      <c r="E5644">
        <v>0.48001959999999999</v>
      </c>
      <c r="F5644" t="s">
        <v>39</v>
      </c>
      <c r="G5644">
        <v>-268.75259999999997</v>
      </c>
      <c r="H5644" s="1">
        <v>-3.043004E-6</v>
      </c>
      <c r="I5644">
        <v>-61.446909999999903</v>
      </c>
      <c r="J5644">
        <v>-278.48840000000001</v>
      </c>
      <c r="K5644">
        <v>1.104579</v>
      </c>
      <c r="L5644">
        <v>-60.666109999999897</v>
      </c>
      <c r="M5644">
        <v>0.97898469999999904</v>
      </c>
      <c r="N5644">
        <v>0</v>
      </c>
      <c r="O5644">
        <v>-0.203819899999999</v>
      </c>
      <c r="P5644">
        <v>0.98941999999999997</v>
      </c>
      <c r="Q5644">
        <v>2.652564E-2</v>
      </c>
      <c r="R5644">
        <v>-0.14263439999999999</v>
      </c>
      <c r="S5644">
        <v>3.00589</v>
      </c>
      <c r="T5644">
        <v>-0.33853509999999998</v>
      </c>
      <c r="U5644">
        <v>-0.24356079999999899</v>
      </c>
      <c r="V5644">
        <v>-6.2095560000000001E-2</v>
      </c>
      <c r="W5644">
        <v>3.320733E-2</v>
      </c>
      <c r="X5644">
        <v>0.99751759999999901</v>
      </c>
      <c r="Y5644">
        <v>-0.1220662</v>
      </c>
      <c r="Z5644">
        <v>2.9518840000000001E-2</v>
      </c>
      <c r="AA5644">
        <v>0.99208289999999999</v>
      </c>
      <c r="AB5644">
        <v>14</v>
      </c>
      <c r="AC5644">
        <v>9.7358000000000402</v>
      </c>
      <c r="AD5644">
        <v>-1.1045820430040001</v>
      </c>
      <c r="AE5644">
        <v>-0.78079999999999905</v>
      </c>
      <c r="AF5644">
        <v>-1.20458033338812</v>
      </c>
      <c r="AG5644">
        <v>-1.1045820430040001</v>
      </c>
      <c r="AH5644">
        <v>9.5681901525117095</v>
      </c>
      <c r="AI5644">
        <v>96.534128478949498</v>
      </c>
      <c r="AJ5644">
        <v>97.175460516710203</v>
      </c>
      <c r="AK5644">
        <v>9.7067697028380309</v>
      </c>
    </row>
    <row r="5645" spans="1:37" x14ac:dyDescent="0.2">
      <c r="A5645" t="str">
        <f>"20200111160014379"</f>
        <v>20200111160014379</v>
      </c>
      <c r="B5645" t="str">
        <f>"1578729614377019"</f>
        <v>1578729614377019</v>
      </c>
      <c r="C5645" t="s">
        <v>37</v>
      </c>
      <c r="D5645">
        <v>5.3554750000000002</v>
      </c>
      <c r="E5645">
        <v>0.48109979999999902</v>
      </c>
      <c r="F5645" t="s">
        <v>39</v>
      </c>
      <c r="G5645">
        <v>-268.64260000000002</v>
      </c>
      <c r="H5645" s="1">
        <v>-2.9997319999999999E-6</v>
      </c>
      <c r="I5645">
        <v>-61.461669999999998</v>
      </c>
      <c r="J5645">
        <v>-278.41579999999999</v>
      </c>
      <c r="K5645">
        <v>1.1045450000000001</v>
      </c>
      <c r="L5645">
        <v>-60.679929999999999</v>
      </c>
      <c r="M5645">
        <v>0.979214899999999</v>
      </c>
      <c r="N5645">
        <v>0</v>
      </c>
      <c r="O5645">
        <v>-0.20272000000000001</v>
      </c>
      <c r="P5645">
        <v>0.98956330000000003</v>
      </c>
      <c r="Q5645">
        <v>2.7278480000000001E-2</v>
      </c>
      <c r="R5645">
        <v>-0.14149329999999999</v>
      </c>
      <c r="S5645">
        <v>3.0061040000000001</v>
      </c>
      <c r="T5645">
        <v>-0.33724779999999999</v>
      </c>
      <c r="U5645">
        <v>-0.24291989999999999</v>
      </c>
      <c r="V5645">
        <v>-6.2122139999999999E-2</v>
      </c>
      <c r="W5645">
        <v>3.368724E-2</v>
      </c>
      <c r="X5645">
        <v>0.99749989999999999</v>
      </c>
      <c r="Y5645">
        <v>-0.12119439999999999</v>
      </c>
      <c r="Z5645">
        <v>2.923655E-2</v>
      </c>
      <c r="AA5645">
        <v>0.99219820000000003</v>
      </c>
      <c r="AB5645">
        <v>14</v>
      </c>
      <c r="AC5645">
        <v>9.7731999999999708</v>
      </c>
      <c r="AD5645">
        <v>-1.104547999732</v>
      </c>
      <c r="AE5645">
        <v>-0.781739999999992</v>
      </c>
      <c r="AF5645">
        <v>-1.20052079361443</v>
      </c>
      <c r="AG5645">
        <v>-1.104547999732</v>
      </c>
      <c r="AH5645">
        <v>9.6068169738206493</v>
      </c>
      <c r="AI5645">
        <v>96.508623250796404</v>
      </c>
      <c r="AJ5645">
        <v>97.123070675850897</v>
      </c>
      <c r="AK5645">
        <v>9.7443424010089608</v>
      </c>
    </row>
    <row r="5646" spans="1:37" x14ac:dyDescent="0.2">
      <c r="A5646" t="str">
        <f>"20200111160014391"</f>
        <v>20200111160014391</v>
      </c>
      <c r="B5646" t="str">
        <f>"1578729614386780"</f>
        <v>1578729614386780</v>
      </c>
      <c r="C5646" t="s">
        <v>37</v>
      </c>
      <c r="D5646">
        <v>5.749701</v>
      </c>
      <c r="E5646">
        <v>0.48059750000000001</v>
      </c>
      <c r="F5646" t="s">
        <v>39</v>
      </c>
      <c r="G5646">
        <v>-269.04599999999999</v>
      </c>
      <c r="H5646" s="1">
        <v>-3.155749E-6</v>
      </c>
      <c r="I5646">
        <v>-61.448719999999902</v>
      </c>
      <c r="J5646">
        <v>-278.34449999999998</v>
      </c>
      <c r="K5646">
        <v>1.1045129999999901</v>
      </c>
      <c r="L5646">
        <v>-60.693449999999999</v>
      </c>
      <c r="M5646">
        <v>0.97943939999999996</v>
      </c>
      <c r="N5646">
        <v>0</v>
      </c>
      <c r="O5646">
        <v>-0.2016414</v>
      </c>
      <c r="P5646">
        <v>0.98969529999999994</v>
      </c>
      <c r="Q5646">
        <v>2.7661080000000001E-2</v>
      </c>
      <c r="R5646">
        <v>-0.14049429999999999</v>
      </c>
      <c r="S5646">
        <v>3.0061339999999999</v>
      </c>
      <c r="T5646">
        <v>-0.35437299999999999</v>
      </c>
      <c r="U5646">
        <v>-0.24667359999999999</v>
      </c>
      <c r="V5646">
        <v>-6.2028689999999997E-2</v>
      </c>
      <c r="W5646">
        <v>3.3799719999999998E-2</v>
      </c>
      <c r="X5646">
        <v>0.99750190000000005</v>
      </c>
      <c r="Y5646">
        <v>-0.11868819999999999</v>
      </c>
      <c r="Z5646">
        <v>3.0437659999999998E-2</v>
      </c>
      <c r="AA5646">
        <v>0.99246499999999904</v>
      </c>
      <c r="AB5646">
        <v>14</v>
      </c>
      <c r="AC5646">
        <v>9.29849999999999</v>
      </c>
      <c r="AD5646">
        <v>-1.10451615574899</v>
      </c>
      <c r="AE5646">
        <v>-0.755269999999995</v>
      </c>
      <c r="AF5646">
        <v>-1.11955060787741</v>
      </c>
      <c r="AG5646">
        <v>-1.10451615574899</v>
      </c>
      <c r="AH5646">
        <v>9.1317899969104808</v>
      </c>
      <c r="AI5646">
        <v>96.845822822085694</v>
      </c>
      <c r="AJ5646">
        <v>96.989539945217501</v>
      </c>
      <c r="AK5646">
        <v>9.2662256636444802</v>
      </c>
    </row>
    <row r="5647" spans="1:37" x14ac:dyDescent="0.2">
      <c r="A5647" t="str">
        <f>"20200111160014402"</f>
        <v>20200111160014402</v>
      </c>
      <c r="B5647" t="str">
        <f>"1578729614396539"</f>
        <v>1578729614396539</v>
      </c>
      <c r="C5647" t="s">
        <v>37</v>
      </c>
      <c r="D5647">
        <v>5.4920049999999998</v>
      </c>
      <c r="E5647">
        <v>0.48095290000000002</v>
      </c>
      <c r="F5647" t="s">
        <v>39</v>
      </c>
      <c r="G5647">
        <v>-268.7244</v>
      </c>
      <c r="H5647" s="1">
        <v>-3.03487099999999E-6</v>
      </c>
      <c r="I5647">
        <v>-61.46181</v>
      </c>
      <c r="J5647">
        <v>-278.27609999999999</v>
      </c>
      <c r="K5647">
        <v>1.1044799999999999</v>
      </c>
      <c r="L5647">
        <v>-60.706359999999997</v>
      </c>
      <c r="M5647">
        <v>0.97965349999999995</v>
      </c>
      <c r="N5647">
        <v>0</v>
      </c>
      <c r="O5647">
        <v>-0.20060629999999999</v>
      </c>
      <c r="P5647">
        <v>0.98983750000000004</v>
      </c>
      <c r="Q5647">
        <v>2.7824209999999999E-2</v>
      </c>
      <c r="R5647">
        <v>-0.13945669999999999</v>
      </c>
      <c r="S5647">
        <v>3.0067750000000002</v>
      </c>
      <c r="T5647">
        <v>-0.34521580000000002</v>
      </c>
      <c r="U5647">
        <v>-0.24017329999999901</v>
      </c>
      <c r="V5647">
        <v>-6.2019379999999999E-2</v>
      </c>
      <c r="W5647">
        <v>3.370107E-2</v>
      </c>
      <c r="X5647">
        <v>0.9975058</v>
      </c>
      <c r="Y5647">
        <v>-0.119897399999999</v>
      </c>
      <c r="Z5647">
        <v>2.960697E-2</v>
      </c>
      <c r="AA5647">
        <v>0.99234469999999997</v>
      </c>
      <c r="AB5647">
        <v>14</v>
      </c>
      <c r="AC5647">
        <v>9.5516999999999808</v>
      </c>
      <c r="AD5647">
        <v>-1.104483034871</v>
      </c>
      <c r="AE5647">
        <v>-0.75545000000000295</v>
      </c>
      <c r="AF5647">
        <v>-1.16065087049288</v>
      </c>
      <c r="AG5647">
        <v>-1.104483034871</v>
      </c>
      <c r="AH5647">
        <v>9.3843796979167404</v>
      </c>
      <c r="AI5647">
        <v>96.662177513608896</v>
      </c>
      <c r="AJ5647">
        <v>97.050482019777704</v>
      </c>
      <c r="AK5647">
        <v>9.5201667806906407</v>
      </c>
    </row>
    <row r="5648" spans="1:37" x14ac:dyDescent="0.2">
      <c r="A5648" t="str">
        <f>"20200111160014413"</f>
        <v>20200111160014413</v>
      </c>
      <c r="B5648" t="str">
        <f>"1578729614406299"</f>
        <v>1578729614406299</v>
      </c>
      <c r="C5648" t="s">
        <v>37</v>
      </c>
      <c r="D5648">
        <v>5.6424629999999896</v>
      </c>
      <c r="E5648">
        <v>0.48097289999999998</v>
      </c>
      <c r="F5648" t="s">
        <v>39</v>
      </c>
      <c r="G5648">
        <v>-268.721</v>
      </c>
      <c r="H5648" s="1">
        <v>-3.0349969999999999E-6</v>
      </c>
      <c r="I5648">
        <v>-61.467779999999998</v>
      </c>
      <c r="J5648">
        <v>-278.20519999999999</v>
      </c>
      <c r="K5648">
        <v>1.1044479999999901</v>
      </c>
      <c r="L5648">
        <v>-60.719639999999998</v>
      </c>
      <c r="M5648">
        <v>0.97987409999999997</v>
      </c>
      <c r="N5648">
        <v>0</v>
      </c>
      <c r="O5648">
        <v>-0.19953309999999999</v>
      </c>
      <c r="P5648">
        <v>0.98995299999999997</v>
      </c>
      <c r="Q5648">
        <v>2.758246E-2</v>
      </c>
      <c r="R5648">
        <v>-0.13867939999999901</v>
      </c>
      <c r="S5648">
        <v>3.0068049999999999</v>
      </c>
      <c r="T5648">
        <v>-0.34755809999999998</v>
      </c>
      <c r="U5648">
        <v>-0.239623999999999</v>
      </c>
      <c r="V5648">
        <v>-6.1710309999999997E-2</v>
      </c>
      <c r="W5648">
        <v>3.3186849999999997E-2</v>
      </c>
      <c r="X5648">
        <v>0.99754219999999905</v>
      </c>
      <c r="Y5648">
        <v>-0.1189757</v>
      </c>
      <c r="Z5648">
        <v>2.9632479999999999E-2</v>
      </c>
      <c r="AA5648">
        <v>0.99245490000000003</v>
      </c>
      <c r="AB5648">
        <v>14</v>
      </c>
      <c r="AC5648">
        <v>9.48419999999998</v>
      </c>
      <c r="AD5648">
        <v>-1.10445103499699</v>
      </c>
      <c r="AE5648">
        <v>-0.74813999999999903</v>
      </c>
      <c r="AF5648">
        <v>-1.1439312028152999</v>
      </c>
      <c r="AG5648">
        <v>-1.10445103499699</v>
      </c>
      <c r="AH5648">
        <v>9.3171888192046097</v>
      </c>
      <c r="AI5648">
        <v>96.710321085506905</v>
      </c>
      <c r="AJ5648">
        <v>96.999541185261904</v>
      </c>
      <c r="AK5648">
        <v>9.4518991836663098</v>
      </c>
    </row>
    <row r="5649" spans="1:37" x14ac:dyDescent="0.2">
      <c r="A5649" t="str">
        <f>"20200111160014424"</f>
        <v>20200111160014424</v>
      </c>
      <c r="B5649" t="str">
        <f>"1578729614417035"</f>
        <v>1578729614417035</v>
      </c>
      <c r="C5649" t="s">
        <v>37</v>
      </c>
      <c r="D5649">
        <v>5.4624480000000002</v>
      </c>
      <c r="E5649">
        <v>0.48123359999999898</v>
      </c>
      <c r="F5649" t="s">
        <v>87</v>
      </c>
      <c r="G5649">
        <v>-268.73770000000002</v>
      </c>
      <c r="H5649" s="1">
        <v>-3.041806E-6</v>
      </c>
      <c r="I5649">
        <v>-61.466430000000003</v>
      </c>
      <c r="J5649">
        <v>-278.12979999999999</v>
      </c>
      <c r="K5649">
        <v>1.104414</v>
      </c>
      <c r="L5649">
        <v>-60.733730000000001</v>
      </c>
      <c r="M5649">
        <v>0.98010769999999903</v>
      </c>
      <c r="N5649">
        <v>0</v>
      </c>
      <c r="O5649">
        <v>-0.19839189999999901</v>
      </c>
      <c r="P5649">
        <v>0.99007309999999904</v>
      </c>
      <c r="Q5649">
        <v>2.7150250000000001E-2</v>
      </c>
      <c r="R5649">
        <v>-0.13790659999999999</v>
      </c>
      <c r="S5649">
        <v>3.0069889999999999</v>
      </c>
      <c r="T5649">
        <v>-0.35078599999999999</v>
      </c>
      <c r="U5649">
        <v>-0.23721309999999901</v>
      </c>
      <c r="V5649">
        <v>-6.132837E-2</v>
      </c>
      <c r="W5649">
        <v>3.2464819999999998E-2</v>
      </c>
      <c r="X5649">
        <v>0.99758950000000002</v>
      </c>
      <c r="Y5649">
        <v>-0.1185861</v>
      </c>
      <c r="Z5649">
        <v>2.9752859999999999E-2</v>
      </c>
      <c r="AA5649">
        <v>0.99249789999999904</v>
      </c>
      <c r="AB5649">
        <v>15</v>
      </c>
      <c r="AC5649">
        <v>9.3920999999999708</v>
      </c>
      <c r="AD5649">
        <v>-1.104417041806</v>
      </c>
      <c r="AE5649">
        <v>-0.73270000000000102</v>
      </c>
      <c r="AF5649">
        <v>-1.1296824829257399</v>
      </c>
      <c r="AG5649">
        <v>-1.104417041806</v>
      </c>
      <c r="AH5649">
        <v>9.2239969917537792</v>
      </c>
      <c r="AI5649">
        <v>96.777529398127498</v>
      </c>
      <c r="AJ5649">
        <v>96.982363765943902</v>
      </c>
      <c r="AK5649">
        <v>9.3583139516872098</v>
      </c>
    </row>
    <row r="5650" spans="1:37" x14ac:dyDescent="0.2">
      <c r="A5650" t="str">
        <f>"20200111160014436"</f>
        <v>20200111160014436</v>
      </c>
      <c r="B5650" t="str">
        <f>"1578729614426795"</f>
        <v>1578729614426795</v>
      </c>
      <c r="C5650" t="s">
        <v>37</v>
      </c>
      <c r="D5650">
        <v>5.5203569999999997</v>
      </c>
      <c r="E5650">
        <v>0.48142839999999998</v>
      </c>
      <c r="F5650" t="s">
        <v>39</v>
      </c>
      <c r="G5650">
        <v>-268.68150000000003</v>
      </c>
      <c r="H5650" s="1">
        <v>-3.0208029999999998E-6</v>
      </c>
      <c r="I5650">
        <v>-61.47813</v>
      </c>
      <c r="J5650">
        <v>-278.0532</v>
      </c>
      <c r="K5650">
        <v>1.1043829999999999</v>
      </c>
      <c r="L5650">
        <v>-60.747859999999903</v>
      </c>
      <c r="M5650">
        <v>0.98034319999999897</v>
      </c>
      <c r="N5650">
        <v>0</v>
      </c>
      <c r="O5650">
        <v>-0.19723199999999999</v>
      </c>
      <c r="P5650">
        <v>0.99016959999999998</v>
      </c>
      <c r="Q5650">
        <v>2.6856680000000001E-2</v>
      </c>
      <c r="R5650">
        <v>-0.13726869999999999</v>
      </c>
      <c r="S5650">
        <v>3.0066830000000002</v>
      </c>
      <c r="T5650">
        <v>-0.35145340000000003</v>
      </c>
      <c r="U5650">
        <v>-0.23690799999999901</v>
      </c>
      <c r="V5650">
        <v>-6.0791520000000002E-2</v>
      </c>
      <c r="W5650">
        <v>3.1874810000000003E-2</v>
      </c>
      <c r="X5650">
        <v>0.99764140000000001</v>
      </c>
      <c r="Y5650">
        <v>-0.11750969999999999</v>
      </c>
      <c r="Z5650">
        <v>2.9617270000000001E-2</v>
      </c>
      <c r="AA5650">
        <v>0.99262999999999901</v>
      </c>
      <c r="AB5650">
        <v>15</v>
      </c>
      <c r="AC5650">
        <v>9.3716999999999704</v>
      </c>
      <c r="AD5650">
        <v>-1.1043860208030001</v>
      </c>
      <c r="AE5650">
        <v>-0.73027000000001097</v>
      </c>
      <c r="AF5650">
        <v>-1.1170799091702801</v>
      </c>
      <c r="AG5650">
        <v>-1.1043860208030001</v>
      </c>
      <c r="AH5650">
        <v>9.2045881213600609</v>
      </c>
      <c r="AI5650">
        <v>96.792396167175596</v>
      </c>
      <c r="AJ5650">
        <v>96.919645177507903</v>
      </c>
      <c r="AK5650">
        <v>9.3376645094102493</v>
      </c>
    </row>
    <row r="5651" spans="1:37" x14ac:dyDescent="0.2">
      <c r="A5651" t="str">
        <f>"20200111160014448"</f>
        <v>20200111160014448</v>
      </c>
      <c r="B5651" t="str">
        <f>"1578729614436557"</f>
        <v>1578729614436557</v>
      </c>
      <c r="C5651" t="s">
        <v>37</v>
      </c>
      <c r="D5651">
        <v>5.5525949999999904</v>
      </c>
      <c r="E5651">
        <v>0.48159609999999897</v>
      </c>
      <c r="F5651" t="s">
        <v>39</v>
      </c>
      <c r="G5651">
        <v>-268.67720000000003</v>
      </c>
      <c r="H5651" s="1">
        <v>-3.020763E-6</v>
      </c>
      <c r="I5651">
        <v>-61.484869999999901</v>
      </c>
      <c r="J5651">
        <v>-277.97770000000003</v>
      </c>
      <c r="K5651">
        <v>1.1043529999999999</v>
      </c>
      <c r="L5651">
        <v>-60.761809999999997</v>
      </c>
      <c r="M5651">
        <v>0.9805741</v>
      </c>
      <c r="N5651">
        <v>0</v>
      </c>
      <c r="O5651">
        <v>-0.19608780000000001</v>
      </c>
      <c r="P5651">
        <v>0.99028709999999898</v>
      </c>
      <c r="Q5651">
        <v>2.6514010000000001E-2</v>
      </c>
      <c r="R5651">
        <v>-0.13648650000000001</v>
      </c>
      <c r="S5651">
        <v>3.0066220000000001</v>
      </c>
      <c r="T5651">
        <v>-0.3541473</v>
      </c>
      <c r="U5651">
        <v>-0.2363586</v>
      </c>
      <c r="V5651">
        <v>-6.041643E-2</v>
      </c>
      <c r="W5651">
        <v>3.1240449999999999E-2</v>
      </c>
      <c r="X5651">
        <v>0.99768419999999902</v>
      </c>
      <c r="Y5651">
        <v>-0.1165112</v>
      </c>
      <c r="Z5651">
        <v>2.9653530000000001E-2</v>
      </c>
      <c r="AA5651">
        <v>0.99274660000000003</v>
      </c>
      <c r="AB5651">
        <v>15</v>
      </c>
      <c r="AC5651">
        <v>9.3004999999999995</v>
      </c>
      <c r="AD5651">
        <v>-1.1043560207630001</v>
      </c>
      <c r="AE5651">
        <v>-0.72305999999999604</v>
      </c>
      <c r="AF5651">
        <v>-1.0993074242041301</v>
      </c>
      <c r="AG5651">
        <v>-1.1043560207630001</v>
      </c>
      <c r="AH5651">
        <v>9.1337161500534201</v>
      </c>
      <c r="AI5651">
        <v>96.8452296214288</v>
      </c>
      <c r="AJ5651">
        <v>96.862941423335201</v>
      </c>
      <c r="AK5651">
        <v>9.2656812886723294</v>
      </c>
    </row>
    <row r="5652" spans="1:37" x14ac:dyDescent="0.2">
      <c r="A5652" t="str">
        <f>"20200111160014458"</f>
        <v>20200111160014458</v>
      </c>
      <c r="B5652" t="str">
        <f>"1578729614446316"</f>
        <v>1578729614446316</v>
      </c>
      <c r="C5652" t="s">
        <v>37</v>
      </c>
      <c r="D5652">
        <v>5.4599929999999999</v>
      </c>
      <c r="E5652">
        <v>0.481884599999999</v>
      </c>
      <c r="F5652" t="s">
        <v>39</v>
      </c>
      <c r="G5652">
        <v>-268.6669</v>
      </c>
      <c r="H5652" s="1">
        <v>-3.017801E-6</v>
      </c>
      <c r="I5652">
        <v>-61.490310000000001</v>
      </c>
      <c r="J5652">
        <v>-277.90570000000002</v>
      </c>
      <c r="K5652">
        <v>1.104322</v>
      </c>
      <c r="L5652">
        <v>-60.77496</v>
      </c>
      <c r="M5652">
        <v>0.98079309999999997</v>
      </c>
      <c r="N5652">
        <v>0</v>
      </c>
      <c r="O5652">
        <v>-0.19499729999999901</v>
      </c>
      <c r="P5652">
        <v>0.99037770000000003</v>
      </c>
      <c r="Q5652">
        <v>2.613673E-2</v>
      </c>
      <c r="R5652">
        <v>-0.13589970000000001</v>
      </c>
      <c r="S5652">
        <v>3.0065</v>
      </c>
      <c r="T5652">
        <v>-0.35660380000000003</v>
      </c>
      <c r="U5652">
        <v>-0.23526</v>
      </c>
      <c r="V5652">
        <v>-5.9899099999999997E-2</v>
      </c>
      <c r="W5652">
        <v>3.058607E-2</v>
      </c>
      <c r="X5652">
        <v>0.9977357</v>
      </c>
      <c r="Y5652">
        <v>-0.11574710000000001</v>
      </c>
      <c r="Z5652">
        <v>2.968821E-2</v>
      </c>
      <c r="AA5652">
        <v>0.99283489999999996</v>
      </c>
      <c r="AB5652">
        <v>15</v>
      </c>
      <c r="AC5652">
        <v>9.2388000000000208</v>
      </c>
      <c r="AD5652">
        <v>-1.104325017801</v>
      </c>
      <c r="AE5652">
        <v>-0.71535000000000004</v>
      </c>
      <c r="AF5652">
        <v>-1.0845389970255901</v>
      </c>
      <c r="AG5652">
        <v>-1.104325017801</v>
      </c>
      <c r="AH5652">
        <v>9.0720920106567906</v>
      </c>
      <c r="AI5652">
        <v>96.891744078513099</v>
      </c>
      <c r="AJ5652">
        <v>96.817170640921304</v>
      </c>
      <c r="AK5652">
        <v>9.2031848851814999</v>
      </c>
    </row>
    <row r="5653" spans="1:37" x14ac:dyDescent="0.2">
      <c r="A5653" t="str">
        <f>"20200111160014470"</f>
        <v>20200111160014470</v>
      </c>
      <c r="B5653" t="str">
        <f>"1578729614466736"</f>
        <v>1578729614466736</v>
      </c>
      <c r="C5653" t="s">
        <v>37</v>
      </c>
      <c r="D5653">
        <v>5.4816060000000002</v>
      </c>
      <c r="E5653">
        <v>0.48240680000000002</v>
      </c>
      <c r="F5653" t="s">
        <v>39</v>
      </c>
      <c r="G5653">
        <v>-268.65649999999999</v>
      </c>
      <c r="H5653" s="1">
        <v>-3.0159409999999999E-6</v>
      </c>
      <c r="I5653">
        <v>-61.500129999999999</v>
      </c>
      <c r="J5653">
        <v>-277.83109999999999</v>
      </c>
      <c r="K5653">
        <v>1.1042940000000001</v>
      </c>
      <c r="L5653">
        <v>-60.788539999999998</v>
      </c>
      <c r="M5653">
        <v>0.98101879999999997</v>
      </c>
      <c r="N5653">
        <v>0</v>
      </c>
      <c r="O5653">
        <v>-0.1938657</v>
      </c>
      <c r="P5653">
        <v>0.99047240000000003</v>
      </c>
      <c r="Q5653">
        <v>2.5563639999999999E-2</v>
      </c>
      <c r="R5653">
        <v>-0.1353201</v>
      </c>
      <c r="S5653">
        <v>3.006195</v>
      </c>
      <c r="T5653">
        <v>-0.35892979999999902</v>
      </c>
      <c r="U5653">
        <v>-0.23571779999999901</v>
      </c>
      <c r="V5653">
        <v>-5.9333999999999998E-2</v>
      </c>
      <c r="W5653">
        <v>2.9726240000000001E-2</v>
      </c>
      <c r="X5653">
        <v>0.99779549999999995</v>
      </c>
      <c r="Y5653">
        <v>-0.11443159999999999</v>
      </c>
      <c r="Z5653">
        <v>2.9673100000000001E-2</v>
      </c>
      <c r="AA5653">
        <v>0.99298790000000003</v>
      </c>
      <c r="AB5653">
        <v>15</v>
      </c>
      <c r="AC5653">
        <v>9.1745999999999892</v>
      </c>
      <c r="AD5653">
        <v>-1.1042970159409999</v>
      </c>
      <c r="AE5653">
        <v>-0.71159000000000106</v>
      </c>
      <c r="AF5653">
        <v>-1.06522658675348</v>
      </c>
      <c r="AG5653">
        <v>-1.1042970159409999</v>
      </c>
      <c r="AH5653">
        <v>9.0087560266538294</v>
      </c>
      <c r="AI5653">
        <v>96.9406013606351</v>
      </c>
      <c r="AJ5653">
        <v>96.743539891232004</v>
      </c>
      <c r="AK5653">
        <v>9.1384826272370994</v>
      </c>
    </row>
    <row r="5654" spans="1:37" x14ac:dyDescent="0.2">
      <c r="A5654" t="str">
        <f>"20200111160014482"</f>
        <v>20200111160014482</v>
      </c>
      <c r="B5654" t="str">
        <f>"1578729614476497"</f>
        <v>1578729614476497</v>
      </c>
      <c r="C5654" t="s">
        <v>37</v>
      </c>
      <c r="D5654">
        <v>5.4708699999999997</v>
      </c>
      <c r="E5654">
        <v>0.48258869999999998</v>
      </c>
      <c r="F5654" t="s">
        <v>39</v>
      </c>
      <c r="G5654">
        <v>-268.7405</v>
      </c>
      <c r="H5654" s="1">
        <v>-3.0541850000000001E-6</v>
      </c>
      <c r="I5654">
        <v>-61.508490000000002</v>
      </c>
      <c r="J5654">
        <v>-277.74509999999998</v>
      </c>
      <c r="K5654">
        <v>1.1042639999999999</v>
      </c>
      <c r="L5654">
        <v>-60.804079999999999</v>
      </c>
      <c r="M5654">
        <v>0.98127719999999896</v>
      </c>
      <c r="N5654">
        <v>0</v>
      </c>
      <c r="O5654">
        <v>-0.19256019999999999</v>
      </c>
      <c r="P5654">
        <v>0.99064920000000001</v>
      </c>
      <c r="Q5654">
        <v>2.513307E-2</v>
      </c>
      <c r="R5654">
        <v>-0.13409960000000001</v>
      </c>
      <c r="S5654">
        <v>3.0057680000000002</v>
      </c>
      <c r="T5654">
        <v>-0.36512990000000001</v>
      </c>
      <c r="U5654">
        <v>-0.23806759999999999</v>
      </c>
      <c r="V5654">
        <v>-5.9236820000000003E-2</v>
      </c>
      <c r="W5654">
        <v>2.8966019999999999E-2</v>
      </c>
      <c r="X5654">
        <v>0.99782359999999903</v>
      </c>
      <c r="Y5654">
        <v>-0.1122766</v>
      </c>
      <c r="Z5654">
        <v>2.9899749999999999E-2</v>
      </c>
      <c r="AA5654">
        <v>0.99322710000000003</v>
      </c>
      <c r="AB5654">
        <v>15</v>
      </c>
      <c r="AC5654">
        <v>9.0045999999999804</v>
      </c>
      <c r="AD5654">
        <v>-1.1042670541849999</v>
      </c>
      <c r="AE5654">
        <v>-0.70440999999999498</v>
      </c>
      <c r="AF5654">
        <v>-1.02735777801589</v>
      </c>
      <c r="AG5654">
        <v>-1.1042670541849999</v>
      </c>
      <c r="AH5654">
        <v>8.8395899624987599</v>
      </c>
      <c r="AI5654">
        <v>97.073539761166501</v>
      </c>
      <c r="AJ5654">
        <v>96.629307246516603</v>
      </c>
      <c r="AK5654">
        <v>8.9673418824151501</v>
      </c>
    </row>
    <row r="5655" spans="1:37" x14ac:dyDescent="0.2">
      <c r="A5655" t="str">
        <f>"20200111160014493"</f>
        <v>20200111160014493</v>
      </c>
      <c r="B5655" t="str">
        <f>"1578729614486256"</f>
        <v>1578729614486256</v>
      </c>
      <c r="C5655" t="s">
        <v>37</v>
      </c>
      <c r="D5655">
        <v>5.4789680000000001</v>
      </c>
      <c r="E5655">
        <v>0.48276449999999999</v>
      </c>
      <c r="F5655" t="s">
        <v>39</v>
      </c>
      <c r="G5655">
        <v>-268.71519999999998</v>
      </c>
      <c r="H5655" s="1">
        <v>-3.0443849999999998E-6</v>
      </c>
      <c r="I5655">
        <v>-61.512329999999999</v>
      </c>
      <c r="J5655">
        <v>-277.67559999999997</v>
      </c>
      <c r="K5655">
        <v>1.1042399999999899</v>
      </c>
      <c r="L5655">
        <v>-60.816559999999903</v>
      </c>
      <c r="M5655">
        <v>0.98148449999999998</v>
      </c>
      <c r="N5655">
        <v>0</v>
      </c>
      <c r="O5655">
        <v>-0.19150539999999999</v>
      </c>
      <c r="P5655">
        <v>0.99076960000000003</v>
      </c>
      <c r="Q5655">
        <v>2.4704440000000001E-2</v>
      </c>
      <c r="R5655">
        <v>-0.13328660000000001</v>
      </c>
      <c r="S5655">
        <v>3.0057680000000002</v>
      </c>
      <c r="T5655">
        <v>-0.3675774</v>
      </c>
      <c r="U5655">
        <v>-0.23577880000000001</v>
      </c>
      <c r="V5655">
        <v>-5.8984399999999999E-2</v>
      </c>
      <c r="W5655">
        <v>2.8273929999999999E-2</v>
      </c>
      <c r="X5655">
        <v>0.99785840000000003</v>
      </c>
      <c r="Y5655">
        <v>-0.1119406</v>
      </c>
      <c r="Z5655">
        <v>2.9953540000000001E-2</v>
      </c>
      <c r="AA5655">
        <v>0.99326340000000002</v>
      </c>
      <c r="AB5655">
        <v>15</v>
      </c>
      <c r="AC5655">
        <v>8.9603999999999893</v>
      </c>
      <c r="AD5655">
        <v>-1.104243044385</v>
      </c>
      <c r="AE5655">
        <v>-0.69577000000000999</v>
      </c>
      <c r="AF5655">
        <v>-1.01772108648768</v>
      </c>
      <c r="AG5655">
        <v>-1.104243044385</v>
      </c>
      <c r="AH5655">
        <v>8.7950289265465091</v>
      </c>
      <c r="AI5655">
        <v>97.109267996442895</v>
      </c>
      <c r="AJ5655">
        <v>96.600652619296298</v>
      </c>
      <c r="AK5655">
        <v>8.9223115127047805</v>
      </c>
    </row>
    <row r="5656" spans="1:37" x14ac:dyDescent="0.2">
      <c r="A5656" t="str">
        <f>"20200111160014503"</f>
        <v>20200111160014503</v>
      </c>
      <c r="B5656" t="str">
        <f>"1578729614496016"</f>
        <v>1578729614496016</v>
      </c>
      <c r="C5656" t="s">
        <v>37</v>
      </c>
      <c r="D5656">
        <v>5.4811110000000003</v>
      </c>
      <c r="E5656">
        <v>0.48289840000000001</v>
      </c>
      <c r="F5656" t="s">
        <v>39</v>
      </c>
      <c r="G5656">
        <v>-268.7038</v>
      </c>
      <c r="H5656" s="1">
        <v>-3.0406650000000001E-6</v>
      </c>
      <c r="I5656">
        <v>-61.516739999999999</v>
      </c>
      <c r="J5656">
        <v>-277.60050000000001</v>
      </c>
      <c r="K5656">
        <v>1.1042149999999999</v>
      </c>
      <c r="L5656">
        <v>-60.829990000000002</v>
      </c>
      <c r="M5656">
        <v>0.98170729999999995</v>
      </c>
      <c r="N5656">
        <v>0</v>
      </c>
      <c r="O5656">
        <v>-0.19036610000000001</v>
      </c>
      <c r="P5656">
        <v>0.99089780000000005</v>
      </c>
      <c r="Q5656">
        <v>2.4527940000000002E-2</v>
      </c>
      <c r="R5656">
        <v>-0.13236510000000001</v>
      </c>
      <c r="S5656">
        <v>3.0056150000000001</v>
      </c>
      <c r="T5656">
        <v>-0.36993140000000002</v>
      </c>
      <c r="U5656">
        <v>-0.23458860000000001</v>
      </c>
      <c r="V5656">
        <v>-5.8754380000000002E-2</v>
      </c>
      <c r="W5656">
        <v>2.781349E-2</v>
      </c>
      <c r="X5656">
        <v>0.99788489999999996</v>
      </c>
      <c r="Y5656">
        <v>-0.11115949999999999</v>
      </c>
      <c r="Z5656">
        <v>2.9961290000000002E-2</v>
      </c>
      <c r="AA5656">
        <v>0.99335090000000004</v>
      </c>
      <c r="AB5656">
        <v>15</v>
      </c>
      <c r="AC5656">
        <v>8.8967000000000098</v>
      </c>
      <c r="AD5656">
        <v>-1.104218040665</v>
      </c>
      <c r="AE5656">
        <v>-0.68675000000000297</v>
      </c>
      <c r="AF5656">
        <v>-1.0040726986114299</v>
      </c>
      <c r="AG5656">
        <v>-1.104218040665</v>
      </c>
      <c r="AH5656">
        <v>8.7310384308319797</v>
      </c>
      <c r="AI5656">
        <v>97.161249915774107</v>
      </c>
      <c r="AJ5656">
        <v>96.560217637951496</v>
      </c>
      <c r="AK5656">
        <v>8.8576798060266295</v>
      </c>
    </row>
    <row r="5657" spans="1:37" x14ac:dyDescent="0.2">
      <c r="A5657" t="str">
        <f>"20200111160014514"</f>
        <v>20200111160014514</v>
      </c>
      <c r="B5657" t="str">
        <f>"1578729614506752"</f>
        <v>1578729614506752</v>
      </c>
      <c r="C5657" t="s">
        <v>37</v>
      </c>
      <c r="D5657">
        <v>5.3631609999999998</v>
      </c>
      <c r="E5657">
        <v>0.483128</v>
      </c>
      <c r="F5657" t="s">
        <v>39</v>
      </c>
      <c r="G5657">
        <v>-268.66039999999998</v>
      </c>
      <c r="H5657" s="1">
        <v>-3.0233619999999999E-6</v>
      </c>
      <c r="I5657">
        <v>-61.521680000000003</v>
      </c>
      <c r="J5657">
        <v>-277.52440000000001</v>
      </c>
      <c r="K5657">
        <v>1.104193</v>
      </c>
      <c r="L5657">
        <v>-60.843440000000001</v>
      </c>
      <c r="M5657">
        <v>0.981931</v>
      </c>
      <c r="N5657">
        <v>0</v>
      </c>
      <c r="O5657">
        <v>-0.1892131</v>
      </c>
      <c r="P5657">
        <v>0.99101550000000005</v>
      </c>
      <c r="Q5657">
        <v>2.4211409999999999E-2</v>
      </c>
      <c r="R5657">
        <v>-0.13153909999999999</v>
      </c>
      <c r="S5657">
        <v>3.0057070000000001</v>
      </c>
      <c r="T5657">
        <v>-0.37124649999999998</v>
      </c>
      <c r="U5657">
        <v>-0.23257449999999999</v>
      </c>
      <c r="V5657">
        <v>-5.8415120000000001E-2</v>
      </c>
      <c r="W5657">
        <v>2.7214809999999999E-2</v>
      </c>
      <c r="X5657">
        <v>0.99792130000000001</v>
      </c>
      <c r="Y5657">
        <v>-0.1106528</v>
      </c>
      <c r="Z5657">
        <v>2.9896909999999999E-2</v>
      </c>
      <c r="AA5657">
        <v>0.99340930000000005</v>
      </c>
      <c r="AB5657">
        <v>15</v>
      </c>
      <c r="AC5657">
        <v>8.8640000000000292</v>
      </c>
      <c r="AD5657">
        <v>-1.1041960233620001</v>
      </c>
      <c r="AE5657">
        <v>-0.67824000000000195</v>
      </c>
      <c r="AF5657">
        <v>-0.995841630516757</v>
      </c>
      <c r="AG5657">
        <v>-1.1041960233620001</v>
      </c>
      <c r="AH5657">
        <v>8.6980226823886202</v>
      </c>
      <c r="AI5657">
        <v>97.188417475989894</v>
      </c>
      <c r="AJ5657">
        <v>96.531387886120299</v>
      </c>
      <c r="AK5657">
        <v>8.8242023999014005</v>
      </c>
    </row>
    <row r="5658" spans="1:37" x14ac:dyDescent="0.2">
      <c r="A5658" t="str">
        <f>"20200111160014526"</f>
        <v>20200111160014526</v>
      </c>
      <c r="B5658" t="str">
        <f>"1578729614516512"</f>
        <v>1578729614516512</v>
      </c>
      <c r="C5658" t="s">
        <v>37</v>
      </c>
      <c r="D5658">
        <v>5.6489779999999996</v>
      </c>
      <c r="E5658">
        <v>0.4830313</v>
      </c>
      <c r="F5658" t="s">
        <v>39</v>
      </c>
      <c r="G5658">
        <v>-268.69850000000002</v>
      </c>
      <c r="H5658" s="1">
        <v>-3.0399089999999999E-6</v>
      </c>
      <c r="I5658">
        <v>-61.522459999999903</v>
      </c>
      <c r="J5658">
        <v>-277.44740000000002</v>
      </c>
      <c r="K5658">
        <v>1.1041729999999901</v>
      </c>
      <c r="L5658">
        <v>-60.857030000000002</v>
      </c>
      <c r="M5658">
        <v>0.98215599999999903</v>
      </c>
      <c r="N5658">
        <v>0</v>
      </c>
      <c r="O5658">
        <v>-0.18804650000000001</v>
      </c>
      <c r="P5658">
        <v>0.99110229999999999</v>
      </c>
      <c r="Q5658">
        <v>2.4278009999999999E-2</v>
      </c>
      <c r="R5658">
        <v>-0.13087069999999901</v>
      </c>
      <c r="S5658">
        <v>3.005646</v>
      </c>
      <c r="T5658">
        <v>-0.3760347</v>
      </c>
      <c r="U5658">
        <v>-0.2312622</v>
      </c>
      <c r="V5658">
        <v>-5.7902960000000003E-2</v>
      </c>
      <c r="W5658">
        <v>2.6996969999999999E-2</v>
      </c>
      <c r="X5658">
        <v>0.99795710000000004</v>
      </c>
      <c r="Y5658">
        <v>-0.1098585</v>
      </c>
      <c r="Z5658">
        <v>3.0088810000000001E-2</v>
      </c>
      <c r="AA5658">
        <v>0.99349169999999998</v>
      </c>
      <c r="AB5658">
        <v>16</v>
      </c>
      <c r="AC5658">
        <v>8.7488999999999901</v>
      </c>
      <c r="AD5658">
        <v>-1.1041760399089999</v>
      </c>
      <c r="AE5658">
        <v>-0.66542999999999297</v>
      </c>
      <c r="AF5658">
        <v>-0.97618837606448405</v>
      </c>
      <c r="AG5658">
        <v>-1.1041760399089999</v>
      </c>
      <c r="AH5658">
        <v>8.5820405657867802</v>
      </c>
      <c r="AI5658">
        <v>97.285001354174895</v>
      </c>
      <c r="AJ5658">
        <v>96.4893779869235</v>
      </c>
      <c r="AK5658">
        <v>8.7076729810829807</v>
      </c>
    </row>
    <row r="5659" spans="1:37" x14ac:dyDescent="0.2">
      <c r="A5659" t="str">
        <f>"20200111160014536"</f>
        <v>20200111160014536</v>
      </c>
      <c r="B5659" t="str">
        <f>"1578729614526273"</f>
        <v>1578729614526273</v>
      </c>
      <c r="C5659" t="s">
        <v>37</v>
      </c>
      <c r="D5659">
        <v>5.4415620000000002</v>
      </c>
      <c r="E5659">
        <v>0.4830644</v>
      </c>
      <c r="F5659" t="s">
        <v>39</v>
      </c>
      <c r="G5659">
        <v>-268.58679999999998</v>
      </c>
      <c r="H5659" s="1">
        <v>-2.9937740000000002E-6</v>
      </c>
      <c r="I5659">
        <v>-61.52919</v>
      </c>
      <c r="J5659">
        <v>-277.37369999999999</v>
      </c>
      <c r="K5659">
        <v>1.1041559999999999</v>
      </c>
      <c r="L5659">
        <v>-60.869869999999999</v>
      </c>
      <c r="M5659">
        <v>0.98236919999999905</v>
      </c>
      <c r="N5659">
        <v>0</v>
      </c>
      <c r="O5659">
        <v>-0.1869333</v>
      </c>
      <c r="P5659">
        <v>0.99121759999999903</v>
      </c>
      <c r="Q5659">
        <v>2.4261120000000001E-2</v>
      </c>
      <c r="R5659">
        <v>-0.1299969</v>
      </c>
      <c r="S5659">
        <v>3.0059809999999998</v>
      </c>
      <c r="T5659">
        <v>-0.37459619999999999</v>
      </c>
      <c r="U5659">
        <v>-0.22805789999999901</v>
      </c>
      <c r="V5659">
        <v>-5.7651670000000002E-2</v>
      </c>
      <c r="W5659">
        <v>2.6714310000000002E-2</v>
      </c>
      <c r="X5659">
        <v>0.99797930000000001</v>
      </c>
      <c r="Y5659">
        <v>-0.1098198</v>
      </c>
      <c r="Z5659">
        <v>2.983502E-2</v>
      </c>
      <c r="AA5659">
        <v>0.99350360000000004</v>
      </c>
      <c r="AB5659">
        <v>16</v>
      </c>
      <c r="AC5659">
        <v>8.7868999999999993</v>
      </c>
      <c r="AD5659">
        <v>-1.104158993774</v>
      </c>
      <c r="AE5659">
        <v>-0.65932000000000102</v>
      </c>
      <c r="AF5659">
        <v>-0.97949195090291696</v>
      </c>
      <c r="AG5659">
        <v>-1.104158993774</v>
      </c>
      <c r="AH5659">
        <v>8.6199087313188407</v>
      </c>
      <c r="AI5659">
        <v>97.253322168717503</v>
      </c>
      <c r="AJ5659">
        <v>96.482790651738497</v>
      </c>
      <c r="AK5659">
        <v>8.7453643778680004</v>
      </c>
    </row>
    <row r="5660" spans="1:37" x14ac:dyDescent="0.2">
      <c r="A5660" t="str">
        <f>"20200111160014547"</f>
        <v>20200111160014547</v>
      </c>
      <c r="B5660" t="str">
        <f>"1578729614537009"</f>
        <v>1578729614537009</v>
      </c>
      <c r="C5660" t="s">
        <v>37</v>
      </c>
      <c r="D5660">
        <v>5.4272429999999998</v>
      </c>
      <c r="E5660">
        <v>0.48312250000000001</v>
      </c>
      <c r="F5660" t="s">
        <v>39</v>
      </c>
      <c r="G5660">
        <v>-268.52980000000002</v>
      </c>
      <c r="H5660" s="1">
        <v>-2.9702139999999999E-6</v>
      </c>
      <c r="I5660">
        <v>-61.532550000000001</v>
      </c>
      <c r="J5660">
        <v>-277.29680000000002</v>
      </c>
      <c r="K5660">
        <v>1.104141</v>
      </c>
      <c r="L5660">
        <v>-60.883269999999897</v>
      </c>
      <c r="M5660">
        <v>0.98259069999999904</v>
      </c>
      <c r="N5660">
        <v>0</v>
      </c>
      <c r="O5660">
        <v>-0.18576979999999901</v>
      </c>
      <c r="P5660">
        <v>0.99126270000000005</v>
      </c>
      <c r="Q5660">
        <v>2.438212E-2</v>
      </c>
      <c r="R5660">
        <v>-0.12963060000000001</v>
      </c>
      <c r="S5660">
        <v>3.0062259999999998</v>
      </c>
      <c r="T5660">
        <v>-0.37532409999999999</v>
      </c>
      <c r="U5660">
        <v>-0.2252808</v>
      </c>
      <c r="V5660">
        <v>-5.6838619999999999E-2</v>
      </c>
      <c r="W5660">
        <v>2.6561299999999999E-2</v>
      </c>
      <c r="X5660">
        <v>0.99802999999999997</v>
      </c>
      <c r="Y5660">
        <v>-0.10956349999999999</v>
      </c>
      <c r="Z5660">
        <v>2.973367E-2</v>
      </c>
      <c r="AA5660">
        <v>0.99353499999999995</v>
      </c>
      <c r="AB5660">
        <v>16</v>
      </c>
      <c r="AC5660">
        <v>8.7669999999999906</v>
      </c>
      <c r="AD5660">
        <v>-1.1041439702139999</v>
      </c>
      <c r="AE5660">
        <v>-0.64928000000000397</v>
      </c>
      <c r="AF5660">
        <v>-0.97528459757574604</v>
      </c>
      <c r="AG5660">
        <v>-1.1041439702139999</v>
      </c>
      <c r="AH5660">
        <v>8.59935530728408</v>
      </c>
      <c r="AI5660">
        <v>97.270550747634104</v>
      </c>
      <c r="AJ5660">
        <v>96.470477640874904</v>
      </c>
      <c r="AK5660">
        <v>8.7246332676017602</v>
      </c>
    </row>
    <row r="5661" spans="1:37" x14ac:dyDescent="0.2">
      <c r="A5661" t="str">
        <f>"20200111160014558"</f>
        <v>20200111160014558</v>
      </c>
      <c r="B5661" t="str">
        <f>"1578729614546769"</f>
        <v>1578729614546769</v>
      </c>
      <c r="C5661" t="s">
        <v>37</v>
      </c>
      <c r="D5661">
        <v>5.3402129999999897</v>
      </c>
      <c r="E5661">
        <v>0.48336610000000002</v>
      </c>
      <c r="F5661" t="s">
        <v>39</v>
      </c>
      <c r="G5661">
        <v>-268.43849999999998</v>
      </c>
      <c r="H5661" s="1">
        <v>-2.9340440000000001E-6</v>
      </c>
      <c r="I5661">
        <v>-61.543849999999999</v>
      </c>
      <c r="J5661">
        <v>-277.21319999999997</v>
      </c>
      <c r="K5661">
        <v>1.10412</v>
      </c>
      <c r="L5661">
        <v>-60.897669999999998</v>
      </c>
      <c r="M5661">
        <v>0.98282890000000001</v>
      </c>
      <c r="N5661">
        <v>0</v>
      </c>
      <c r="O5661">
        <v>-0.1845088</v>
      </c>
      <c r="P5661">
        <v>0.99134560000000005</v>
      </c>
      <c r="Q5661">
        <v>2.485967E-2</v>
      </c>
      <c r="R5661">
        <v>-0.12890360000000001</v>
      </c>
      <c r="S5661">
        <v>3.006348</v>
      </c>
      <c r="T5661">
        <v>-0.3747259</v>
      </c>
      <c r="U5661">
        <v>-0.22421260000000001</v>
      </c>
      <c r="V5661">
        <v>-5.6289140000000001E-2</v>
      </c>
      <c r="W5661">
        <v>2.6750059999999999E-2</v>
      </c>
      <c r="X5661">
        <v>0.9980561</v>
      </c>
      <c r="Y5661">
        <v>-0.10866580000000001</v>
      </c>
      <c r="Z5661">
        <v>2.9476619999999999E-2</v>
      </c>
      <c r="AA5661">
        <v>0.9936412</v>
      </c>
      <c r="AB5661">
        <v>16</v>
      </c>
      <c r="AC5661">
        <v>8.7746999999999904</v>
      </c>
      <c r="AD5661">
        <v>-1.104122934044</v>
      </c>
      <c r="AE5661">
        <v>-0.64618000000000098</v>
      </c>
      <c r="AF5661">
        <v>-0.96867237133998496</v>
      </c>
      <c r="AG5661">
        <v>-1.104122934044</v>
      </c>
      <c r="AH5661">
        <v>8.6077183801374808</v>
      </c>
      <c r="AI5661">
        <v>97.264129527417495</v>
      </c>
      <c r="AJ5661">
        <v>96.420785307510698</v>
      </c>
      <c r="AK5661">
        <v>8.7321377295732105</v>
      </c>
    </row>
    <row r="5662" spans="1:37" x14ac:dyDescent="0.2">
      <c r="A5662" t="str">
        <f>"20200111160014570"</f>
        <v>20200111160014570</v>
      </c>
      <c r="B5662" t="str">
        <f>"1578729614566411"</f>
        <v>1578729614566411</v>
      </c>
      <c r="C5662" t="s">
        <v>37</v>
      </c>
      <c r="D5662">
        <v>5.3846639999999999</v>
      </c>
      <c r="E5662">
        <v>0.48372340000000003</v>
      </c>
      <c r="F5662" t="s">
        <v>39</v>
      </c>
      <c r="G5662">
        <v>-268.3646</v>
      </c>
      <c r="H5662" s="1">
        <v>-2.90551499999999E-6</v>
      </c>
      <c r="I5662">
        <v>-61.555689999999998</v>
      </c>
      <c r="J5662">
        <v>-277.1379</v>
      </c>
      <c r="K5662">
        <v>1.1041069999999999</v>
      </c>
      <c r="L5662">
        <v>-60.910580000000003</v>
      </c>
      <c r="M5662">
        <v>0.98304159999999996</v>
      </c>
      <c r="N5662">
        <v>0</v>
      </c>
      <c r="O5662">
        <v>-0.18337439999999999</v>
      </c>
      <c r="P5662">
        <v>0.99138409999999999</v>
      </c>
      <c r="Q5662">
        <v>2.5230889999999999E-2</v>
      </c>
      <c r="R5662">
        <v>-0.12853390000000001</v>
      </c>
      <c r="S5662">
        <v>3.006561</v>
      </c>
      <c r="T5662">
        <v>-0.37515850000000001</v>
      </c>
      <c r="U5662">
        <v>-0.223602299999999</v>
      </c>
      <c r="V5662">
        <v>-5.55094E-2</v>
      </c>
      <c r="W5662">
        <v>2.686827E-2</v>
      </c>
      <c r="X5662">
        <v>0.9980966</v>
      </c>
      <c r="Y5662">
        <v>-0.107735199999999</v>
      </c>
      <c r="Z5662">
        <v>2.9312390000000001E-2</v>
      </c>
      <c r="AA5662">
        <v>0.99374739999999995</v>
      </c>
      <c r="AB5662">
        <v>16</v>
      </c>
      <c r="AC5662">
        <v>8.7733000000000008</v>
      </c>
      <c r="AD5662">
        <v>-1.1041099055149901</v>
      </c>
      <c r="AE5662">
        <v>-0.64511000000000196</v>
      </c>
      <c r="AF5662">
        <v>-0.95951512203593003</v>
      </c>
      <c r="AG5662">
        <v>-1.1041099055149901</v>
      </c>
      <c r="AH5662">
        <v>8.6072409722032006</v>
      </c>
      <c r="AI5662">
        <v>97.265284214876104</v>
      </c>
      <c r="AJ5662">
        <v>96.360936755440207</v>
      </c>
      <c r="AK5662">
        <v>8.7306543343809793</v>
      </c>
    </row>
    <row r="5663" spans="1:37" x14ac:dyDescent="0.2">
      <c r="A5663" t="str">
        <f>"20200111160014580"</f>
        <v>20200111160014580</v>
      </c>
      <c r="B5663" t="str">
        <f>"1578729614576172"</f>
        <v>1578729614576172</v>
      </c>
      <c r="C5663" t="s">
        <v>37</v>
      </c>
      <c r="D5663">
        <v>5.3365339999999897</v>
      </c>
      <c r="E5663">
        <v>0.4837359</v>
      </c>
      <c r="F5663" t="s">
        <v>87</v>
      </c>
      <c r="G5663">
        <v>-268.3347</v>
      </c>
      <c r="H5663" s="1">
        <v>-2.8962299999999999E-6</v>
      </c>
      <c r="I5663">
        <v>-61.569069999999897</v>
      </c>
      <c r="J5663">
        <v>-277.05919999999998</v>
      </c>
      <c r="K5663">
        <v>1.1040969999999899</v>
      </c>
      <c r="L5663">
        <v>-60.923949999999998</v>
      </c>
      <c r="M5663">
        <v>0.98326179999999996</v>
      </c>
      <c r="N5663">
        <v>0</v>
      </c>
      <c r="O5663">
        <v>-0.1821914</v>
      </c>
      <c r="P5663">
        <v>0.99144030000000005</v>
      </c>
      <c r="Q5663">
        <v>2.5557819999999998E-2</v>
      </c>
      <c r="R5663">
        <v>-0.12803349999999999</v>
      </c>
      <c r="S5663">
        <v>3.0065</v>
      </c>
      <c r="T5663">
        <v>-0.37707970000000002</v>
      </c>
      <c r="U5663">
        <v>-0.22491459999999999</v>
      </c>
      <c r="V5663">
        <v>-5.4811579999999999E-2</v>
      </c>
      <c r="W5663">
        <v>2.6938819999999999E-2</v>
      </c>
      <c r="X5663">
        <v>0.99813320000000005</v>
      </c>
      <c r="Y5663">
        <v>-0.10610509999999999</v>
      </c>
      <c r="Z5663">
        <v>2.921435E-2</v>
      </c>
      <c r="AA5663">
        <v>0.99392569999999902</v>
      </c>
      <c r="AB5663">
        <v>16</v>
      </c>
      <c r="AC5663">
        <v>8.7244999999999706</v>
      </c>
      <c r="AD5663">
        <v>-1.1040998962299999</v>
      </c>
      <c r="AE5663">
        <v>-0.64511999999999803</v>
      </c>
      <c r="AF5663">
        <v>-0.94023199113807698</v>
      </c>
      <c r="AG5663">
        <v>-1.1040998962299999</v>
      </c>
      <c r="AH5663">
        <v>8.5596734192165496</v>
      </c>
      <c r="AI5663">
        <v>97.306448555258001</v>
      </c>
      <c r="AJ5663">
        <v>96.268488380535501</v>
      </c>
      <c r="AK5663">
        <v>8.6816520214563404</v>
      </c>
    </row>
    <row r="5664" spans="1:37" x14ac:dyDescent="0.2">
      <c r="A5664" t="str">
        <f>"20200111160014590"</f>
        <v>20200111160014590</v>
      </c>
      <c r="B5664" t="str">
        <f>"1578729614586908"</f>
        <v>1578729614586908</v>
      </c>
      <c r="C5664" t="s">
        <v>37</v>
      </c>
      <c r="D5664">
        <v>5.3185890000000002</v>
      </c>
      <c r="E5664">
        <v>0.4837632</v>
      </c>
      <c r="F5664" t="s">
        <v>39</v>
      </c>
      <c r="G5664">
        <v>-268.22910000000002</v>
      </c>
      <c r="H5664" s="1">
        <v>-2.853775E-6</v>
      </c>
      <c r="I5664">
        <v>-61.579749999999997</v>
      </c>
      <c r="J5664">
        <v>-276.98239999999998</v>
      </c>
      <c r="K5664">
        <v>1.1040889999999901</v>
      </c>
      <c r="L5664">
        <v>-60.936950000000003</v>
      </c>
      <c r="M5664">
        <v>0.98347519999999999</v>
      </c>
      <c r="N5664">
        <v>0</v>
      </c>
      <c r="O5664">
        <v>-0.1810389</v>
      </c>
      <c r="P5664">
        <v>0.99145049999999901</v>
      </c>
      <c r="Q5664">
        <v>2.6260329999999998E-2</v>
      </c>
      <c r="R5664">
        <v>-0.12781419999999999</v>
      </c>
      <c r="S5664">
        <v>3.0067140000000001</v>
      </c>
      <c r="T5664">
        <v>-0.37595250000000002</v>
      </c>
      <c r="U5664">
        <v>-0.22332759999999999</v>
      </c>
      <c r="V5664">
        <v>-5.3861359999999997E-2</v>
      </c>
      <c r="W5664">
        <v>2.7401180000000001E-2</v>
      </c>
      <c r="X5664">
        <v>0.99817239999999996</v>
      </c>
      <c r="Y5664">
        <v>-0.105493499999999</v>
      </c>
      <c r="Z5664">
        <v>2.894739E-2</v>
      </c>
      <c r="AA5664">
        <v>0.99399859999999896</v>
      </c>
      <c r="AB5664">
        <v>16</v>
      </c>
      <c r="AC5664">
        <v>8.7532999999999603</v>
      </c>
      <c r="AD5664">
        <v>-1.104091853775</v>
      </c>
      <c r="AE5664">
        <v>-0.64279999999999404</v>
      </c>
      <c r="AF5664">
        <v>-0.93767240146053399</v>
      </c>
      <c r="AG5664">
        <v>-1.104091853775</v>
      </c>
      <c r="AH5664">
        <v>8.5891128435878699</v>
      </c>
      <c r="AI5664">
        <v>97.282148048748994</v>
      </c>
      <c r="AJ5664">
        <v>96.230300399833496</v>
      </c>
      <c r="AK5664">
        <v>8.7104022750915</v>
      </c>
    </row>
    <row r="5665" spans="1:37" x14ac:dyDescent="0.2">
      <c r="A5665" t="str">
        <f>"20200111160014602"</f>
        <v>20200111160014602</v>
      </c>
      <c r="B5665" t="str">
        <f>"1578729614596667"</f>
        <v>1578729614596667</v>
      </c>
      <c r="C5665" t="s">
        <v>37</v>
      </c>
      <c r="D5665">
        <v>5.2696930000000002</v>
      </c>
      <c r="E5665">
        <v>0.48387659999999899</v>
      </c>
      <c r="F5665" t="s">
        <v>39</v>
      </c>
      <c r="G5665">
        <v>-268.0917</v>
      </c>
      <c r="H5665" s="1">
        <v>-2.7989960000000001E-6</v>
      </c>
      <c r="I5665">
        <v>-61.595469999999999</v>
      </c>
      <c r="J5665">
        <v>-276.89550000000003</v>
      </c>
      <c r="K5665">
        <v>1.104079</v>
      </c>
      <c r="L5665">
        <v>-60.951540000000001</v>
      </c>
      <c r="M5665">
        <v>0.98371419999999998</v>
      </c>
      <c r="N5665">
        <v>0</v>
      </c>
      <c r="O5665">
        <v>-0.17973749999999999</v>
      </c>
      <c r="P5665">
        <v>0.99151889999999998</v>
      </c>
      <c r="Q5665">
        <v>2.6858750000000001E-2</v>
      </c>
      <c r="R5665">
        <v>-0.12715779999999999</v>
      </c>
      <c r="S5665">
        <v>3.00705</v>
      </c>
      <c r="T5665">
        <v>-0.37342799999999998</v>
      </c>
      <c r="U5665">
        <v>-0.2227478</v>
      </c>
      <c r="V5665">
        <v>-5.3200699999999997E-2</v>
      </c>
      <c r="W5665">
        <v>2.7735320000000001E-2</v>
      </c>
      <c r="X5665">
        <v>0.99819859999999905</v>
      </c>
      <c r="Y5665">
        <v>-0.104424399999999</v>
      </c>
      <c r="Z5665">
        <v>2.852735E-2</v>
      </c>
      <c r="AA5665">
        <v>0.994123599999999</v>
      </c>
      <c r="AB5665">
        <v>17</v>
      </c>
      <c r="AC5665">
        <v>8.8038000000000203</v>
      </c>
      <c r="AD5665">
        <v>-1.1040817989959999</v>
      </c>
      <c r="AE5665">
        <v>-0.643929999999997</v>
      </c>
      <c r="AF5665">
        <v>-0.93431398648246899</v>
      </c>
      <c r="AG5665">
        <v>-1.1040817989959999</v>
      </c>
      <c r="AH5665">
        <v>8.6409862628505003</v>
      </c>
      <c r="AI5665">
        <v>97.239634829490797</v>
      </c>
      <c r="AJ5665">
        <v>96.171179898213794</v>
      </c>
      <c r="AK5665">
        <v>8.7611975687677592</v>
      </c>
    </row>
    <row r="5666" spans="1:37" x14ac:dyDescent="0.2">
      <c r="A5666" t="str">
        <f>"20200111160014614"</f>
        <v>20200111160014614</v>
      </c>
      <c r="B5666" t="str">
        <f>"1578729614606427"</f>
        <v>1578729614606427</v>
      </c>
      <c r="C5666" t="s">
        <v>37</v>
      </c>
      <c r="D5666">
        <v>5.2950080000000002</v>
      </c>
      <c r="E5666">
        <v>0.48392629999999998</v>
      </c>
      <c r="F5666" t="s">
        <v>39</v>
      </c>
      <c r="G5666">
        <v>-267.93990000000002</v>
      </c>
      <c r="H5666" s="1">
        <v>-2.7380930000000001E-6</v>
      </c>
      <c r="I5666">
        <v>-61.611269999999998</v>
      </c>
      <c r="J5666">
        <v>-276.81</v>
      </c>
      <c r="K5666">
        <v>1.10407099999999</v>
      </c>
      <c r="L5666">
        <v>-60.965730000000001</v>
      </c>
      <c r="M5666">
        <v>0.9839466</v>
      </c>
      <c r="N5666">
        <v>0</v>
      </c>
      <c r="O5666">
        <v>-0.17846139999999999</v>
      </c>
      <c r="P5666">
        <v>0.99155190000000004</v>
      </c>
      <c r="Q5666">
        <v>2.7250389999999999E-2</v>
      </c>
      <c r="R5666">
        <v>-0.12681719999999999</v>
      </c>
      <c r="S5666">
        <v>3.007263</v>
      </c>
      <c r="T5666">
        <v>-0.37074689999999999</v>
      </c>
      <c r="U5666">
        <v>-0.22155759999999999</v>
      </c>
      <c r="V5666">
        <v>-5.2248500000000003E-2</v>
      </c>
      <c r="W5666">
        <v>2.7884030000000001E-2</v>
      </c>
      <c r="X5666">
        <v>0.99824480000000004</v>
      </c>
      <c r="Y5666">
        <v>-0.10357769999999999</v>
      </c>
      <c r="Z5666">
        <v>2.811669E-2</v>
      </c>
      <c r="AA5666">
        <v>0.99422389999999905</v>
      </c>
      <c r="AB5666">
        <v>17</v>
      </c>
      <c r="AC5666">
        <v>8.8700999999999794</v>
      </c>
      <c r="AD5666">
        <v>-1.1040737380929999</v>
      </c>
      <c r="AE5666">
        <v>-0.64553999999998901</v>
      </c>
      <c r="AF5666">
        <v>-0.93340863967029497</v>
      </c>
      <c r="AG5666">
        <v>-1.1040737380929999</v>
      </c>
      <c r="AH5666">
        <v>8.7086973343586802</v>
      </c>
      <c r="AI5666">
        <v>97.184599019130701</v>
      </c>
      <c r="AJ5666">
        <v>96.117675566372796</v>
      </c>
      <c r="AK5666">
        <v>8.8278898820286393</v>
      </c>
    </row>
    <row r="5667" spans="1:37" x14ac:dyDescent="0.2">
      <c r="A5667" t="str">
        <f>"20200111160014625"</f>
        <v>20200111160014625</v>
      </c>
      <c r="B5667" t="str">
        <f>"1578729614616188"</f>
        <v>1578729614616188</v>
      </c>
      <c r="C5667" t="s">
        <v>37</v>
      </c>
      <c r="D5667">
        <v>5.3640109999999996</v>
      </c>
      <c r="E5667">
        <v>0.4838633</v>
      </c>
      <c r="F5667" t="s">
        <v>39</v>
      </c>
      <c r="G5667">
        <v>-267.81369999999998</v>
      </c>
      <c r="H5667" s="1">
        <v>-2.687841E-6</v>
      </c>
      <c r="I5667">
        <v>-61.625950000000003</v>
      </c>
      <c r="J5667">
        <v>-276.7253</v>
      </c>
      <c r="K5667">
        <v>1.104061</v>
      </c>
      <c r="L5667">
        <v>-60.97974</v>
      </c>
      <c r="M5667">
        <v>0.98417479999999902</v>
      </c>
      <c r="N5667">
        <v>0</v>
      </c>
      <c r="O5667">
        <v>-0.17719949999999901</v>
      </c>
      <c r="P5667">
        <v>0.99163219999999996</v>
      </c>
      <c r="Q5667">
        <v>2.740596E-2</v>
      </c>
      <c r="R5667">
        <v>-0.12615380000000001</v>
      </c>
      <c r="S5667">
        <v>3.0074770000000002</v>
      </c>
      <c r="T5667">
        <v>-0.369093</v>
      </c>
      <c r="U5667">
        <v>-0.2207336</v>
      </c>
      <c r="V5667">
        <v>-5.1636460000000002E-2</v>
      </c>
      <c r="W5667">
        <v>2.7802999999999901E-2</v>
      </c>
      <c r="X5667">
        <v>0.99827889999999997</v>
      </c>
      <c r="Y5667">
        <v>-0.102613699999999</v>
      </c>
      <c r="Z5667">
        <v>2.7780079999999999E-2</v>
      </c>
      <c r="AA5667">
        <v>0.99433329999999998</v>
      </c>
      <c r="AB5667">
        <v>17</v>
      </c>
      <c r="AC5667">
        <v>8.9116000000000195</v>
      </c>
      <c r="AD5667">
        <v>-1.104063687841</v>
      </c>
      <c r="AE5667">
        <v>-0.64621000000000295</v>
      </c>
      <c r="AF5667">
        <v>-0.92896363263041604</v>
      </c>
      <c r="AG5667">
        <v>-1.104063687841</v>
      </c>
      <c r="AH5667">
        <v>8.7514590287044705</v>
      </c>
      <c r="AI5667">
        <v>97.150563049263894</v>
      </c>
      <c r="AJ5667">
        <v>96.059232533417699</v>
      </c>
      <c r="AK5667">
        <v>8.8696090775553298</v>
      </c>
    </row>
    <row r="5668" spans="1:37" x14ac:dyDescent="0.2">
      <c r="A5668" t="str">
        <f>"20200111160014638"</f>
        <v>20200111160014638</v>
      </c>
      <c r="B5668" t="str">
        <f>"1578729614626924"</f>
        <v>1578729614626924</v>
      </c>
      <c r="C5668" t="s">
        <v>37</v>
      </c>
      <c r="D5668">
        <v>5.2447019999999904</v>
      </c>
      <c r="E5668">
        <v>0.4840274</v>
      </c>
      <c r="F5668" t="s">
        <v>39</v>
      </c>
      <c r="G5668">
        <v>-267.69720000000001</v>
      </c>
      <c r="H5668" s="1">
        <v>-2.6400659999999998E-6</v>
      </c>
      <c r="I5668">
        <v>-61.634079999999997</v>
      </c>
      <c r="J5668">
        <v>-276.62529999999998</v>
      </c>
      <c r="K5668">
        <v>1.104055</v>
      </c>
      <c r="L5668">
        <v>-60.99606</v>
      </c>
      <c r="M5668">
        <v>0.9844408</v>
      </c>
      <c r="N5668">
        <v>0</v>
      </c>
      <c r="O5668">
        <v>-0.17571639999999999</v>
      </c>
      <c r="P5668">
        <v>0.99172660000000001</v>
      </c>
      <c r="Q5668">
        <v>2.757035E-2</v>
      </c>
      <c r="R5668">
        <v>-0.12537309999999999</v>
      </c>
      <c r="S5668">
        <v>3.0077210000000001</v>
      </c>
      <c r="T5668">
        <v>-0.36782009999999998</v>
      </c>
      <c r="U5668">
        <v>-0.21801760000000001</v>
      </c>
      <c r="V5668">
        <v>-5.0918749999999999E-2</v>
      </c>
      <c r="W5668">
        <v>2.771148E-2</v>
      </c>
      <c r="X5668">
        <v>0.99831829999999999</v>
      </c>
      <c r="Y5668">
        <v>-0.1020435</v>
      </c>
      <c r="Z5668">
        <v>2.7471679999999998E-2</v>
      </c>
      <c r="AA5668">
        <v>0.99440059999999997</v>
      </c>
      <c r="AB5668">
        <v>17</v>
      </c>
      <c r="AC5668">
        <v>8.9280999999999704</v>
      </c>
      <c r="AD5668">
        <v>-1.104057640066</v>
      </c>
      <c r="AE5668">
        <v>-0.63802000000000403</v>
      </c>
      <c r="AF5668">
        <v>-0.926622743326321</v>
      </c>
      <c r="AG5668">
        <v>-1.104057640066</v>
      </c>
      <c r="AH5668">
        <v>8.7678989268232108</v>
      </c>
      <c r="AI5668">
        <v>97.137600169602706</v>
      </c>
      <c r="AJ5668">
        <v>96.032828022472103</v>
      </c>
      <c r="AK5668">
        <v>8.8855852126928205</v>
      </c>
    </row>
    <row r="5669" spans="1:37" x14ac:dyDescent="0.2">
      <c r="A5669" t="str">
        <f>"20200111160014651"</f>
        <v>20200111160014651</v>
      </c>
      <c r="B5669" t="str">
        <f>"1578729614646443"</f>
        <v>1578729614646443</v>
      </c>
      <c r="C5669" t="s">
        <v>37</v>
      </c>
      <c r="D5669">
        <v>5.1955470000000004</v>
      </c>
      <c r="E5669">
        <v>0.48408509999999999</v>
      </c>
      <c r="F5669" t="s">
        <v>39</v>
      </c>
      <c r="G5669">
        <v>-267.5351</v>
      </c>
      <c r="H5669" s="1">
        <v>-2.5750529999999999E-6</v>
      </c>
      <c r="I5669">
        <v>-61.651209999999999</v>
      </c>
      <c r="J5669">
        <v>-276.5274</v>
      </c>
      <c r="K5669">
        <v>1.1040479999999999</v>
      </c>
      <c r="L5669">
        <v>-61.01193</v>
      </c>
      <c r="M5669">
        <v>0.98469839999999997</v>
      </c>
      <c r="N5669">
        <v>0</v>
      </c>
      <c r="O5669">
        <v>-0.1742677</v>
      </c>
      <c r="P5669">
        <v>0.99185970000000001</v>
      </c>
      <c r="Q5669">
        <v>2.7998329999999998E-2</v>
      </c>
      <c r="R5669">
        <v>-0.1242211</v>
      </c>
      <c r="S5669">
        <v>3.0077820000000002</v>
      </c>
      <c r="T5669">
        <v>-0.36530999999999902</v>
      </c>
      <c r="U5669">
        <v>-0.21679689999999999</v>
      </c>
      <c r="V5669">
        <v>-5.0608590000000002E-2</v>
      </c>
      <c r="W5669">
        <v>2.7899759999999999E-2</v>
      </c>
      <c r="X5669">
        <v>0.99832880000000002</v>
      </c>
      <c r="Y5669">
        <v>-0.1010282</v>
      </c>
      <c r="Z5669">
        <v>2.7051780000000001E-2</v>
      </c>
      <c r="AA5669">
        <v>0.994515699999999</v>
      </c>
      <c r="AB5669">
        <v>17</v>
      </c>
      <c r="AC5669">
        <v>8.9923000000000002</v>
      </c>
      <c r="AD5669">
        <v>-1.1040505750530001</v>
      </c>
      <c r="AE5669">
        <v>-0.63927999999999197</v>
      </c>
      <c r="AF5669">
        <v>-0.923715053888441</v>
      </c>
      <c r="AG5669">
        <v>-1.1040505750530001</v>
      </c>
      <c r="AH5669">
        <v>8.8336177695898908</v>
      </c>
      <c r="AI5669">
        <v>97.085809233420505</v>
      </c>
      <c r="AJ5669">
        <v>95.969618399006393</v>
      </c>
      <c r="AK5669">
        <v>8.95013855045101</v>
      </c>
    </row>
    <row r="5670" spans="1:37" x14ac:dyDescent="0.2">
      <c r="A5670" t="str">
        <f>"20200111160014663"</f>
        <v>20200111160014663</v>
      </c>
      <c r="B5670" t="str">
        <f>"1578729614656608"</f>
        <v>1578729614656608</v>
      </c>
      <c r="C5670" t="s">
        <v>37</v>
      </c>
      <c r="D5670">
        <v>5.1526909999999999</v>
      </c>
      <c r="E5670">
        <v>0.48418670000000003</v>
      </c>
      <c r="F5670" t="s">
        <v>39</v>
      </c>
      <c r="G5670">
        <v>-267.411</v>
      </c>
      <c r="H5670" s="1">
        <v>-2.5238159999999999E-6</v>
      </c>
      <c r="I5670">
        <v>-61.658700000000003</v>
      </c>
      <c r="J5670">
        <v>-276.43169999999998</v>
      </c>
      <c r="K5670">
        <v>1.104039</v>
      </c>
      <c r="L5670">
        <v>-61.02731</v>
      </c>
      <c r="M5670">
        <v>0.98494709999999996</v>
      </c>
      <c r="N5670">
        <v>0</v>
      </c>
      <c r="O5670">
        <v>-0.1728556</v>
      </c>
      <c r="P5670">
        <v>0.99201890000000004</v>
      </c>
      <c r="Q5670">
        <v>2.8084419999999999E-2</v>
      </c>
      <c r="R5670">
        <v>-0.122922699999999</v>
      </c>
      <c r="S5670">
        <v>3.0082089999999999</v>
      </c>
      <c r="T5670">
        <v>-0.36431149999999901</v>
      </c>
      <c r="U5670">
        <v>-0.21343989999999999</v>
      </c>
      <c r="V5670">
        <v>-5.0484519999999998E-2</v>
      </c>
      <c r="W5670">
        <v>2.776344E-2</v>
      </c>
      <c r="X5670">
        <v>0.99833890000000003</v>
      </c>
      <c r="Y5670">
        <v>-0.1007395</v>
      </c>
      <c r="Z5670">
        <v>2.6791079999999998E-2</v>
      </c>
      <c r="AA5670">
        <v>0.99455210000000005</v>
      </c>
      <c r="AB5670">
        <v>17</v>
      </c>
      <c r="AC5670">
        <v>9.0206999999999695</v>
      </c>
      <c r="AD5670">
        <v>-1.104041523816</v>
      </c>
      <c r="AE5670">
        <v>-0.631390000000003</v>
      </c>
      <c r="AF5670">
        <v>-0.92362506281433798</v>
      </c>
      <c r="AG5670">
        <v>-1.104041523816</v>
      </c>
      <c r="AH5670">
        <v>8.8619539404471102</v>
      </c>
      <c r="AI5670">
        <v>97.063572963159203</v>
      </c>
      <c r="AJ5670">
        <v>95.950092106664798</v>
      </c>
      <c r="AK5670">
        <v>8.9780966014837897</v>
      </c>
    </row>
    <row r="5671" spans="1:37" x14ac:dyDescent="0.2">
      <c r="A5671" t="str">
        <f>"20200111160014676"</f>
        <v>20200111160014676</v>
      </c>
      <c r="B5671" t="str">
        <f>"1578729614666368"</f>
        <v>1578729614666368</v>
      </c>
      <c r="C5671" t="s">
        <v>37</v>
      </c>
      <c r="D5671">
        <v>5.1455199999999897</v>
      </c>
      <c r="E5671">
        <v>0.48418260000000002</v>
      </c>
      <c r="F5671" t="s">
        <v>39</v>
      </c>
      <c r="G5671">
        <v>-267.29300000000001</v>
      </c>
      <c r="H5671" s="1">
        <v>-2.4751229999999998E-6</v>
      </c>
      <c r="I5671">
        <v>-61.665990000000001</v>
      </c>
      <c r="J5671">
        <v>-276.33789999999999</v>
      </c>
      <c r="K5671">
        <v>1.1040379999999901</v>
      </c>
      <c r="L5671">
        <v>-61.04224</v>
      </c>
      <c r="M5671">
        <v>0.98518830000000002</v>
      </c>
      <c r="N5671">
        <v>0</v>
      </c>
      <c r="O5671">
        <v>-0.1714764</v>
      </c>
      <c r="P5671">
        <v>0.99216819999999895</v>
      </c>
      <c r="Q5671">
        <v>2.8543929999999999E-2</v>
      </c>
      <c r="R5671">
        <v>-0.12160609999999999</v>
      </c>
      <c r="S5671">
        <v>3.0083310000000001</v>
      </c>
      <c r="T5671">
        <v>-0.36343330000000001</v>
      </c>
      <c r="U5671">
        <v>-0.21026610000000001</v>
      </c>
      <c r="V5671">
        <v>-5.0411329999999997E-2</v>
      </c>
      <c r="W5671">
        <v>2.8025120000000001E-2</v>
      </c>
      <c r="X5671">
        <v>0.99833519999999898</v>
      </c>
      <c r="Y5671">
        <v>-0.10041509999999999</v>
      </c>
      <c r="Z5671">
        <v>2.6544410000000001E-2</v>
      </c>
      <c r="AA5671">
        <v>0.99459149999999996</v>
      </c>
      <c r="AB5671">
        <v>17</v>
      </c>
      <c r="AC5671">
        <v>9.0448999999999806</v>
      </c>
      <c r="AD5671">
        <v>-1.10404047512299</v>
      </c>
      <c r="AE5671">
        <v>-0.62375000000000103</v>
      </c>
      <c r="AF5671">
        <v>-0.92279185282781395</v>
      </c>
      <c r="AG5671">
        <v>-1.10404047512299</v>
      </c>
      <c r="AH5671">
        <v>8.8861181718441902</v>
      </c>
      <c r="AI5671">
        <v>97.044822178149602</v>
      </c>
      <c r="AJ5671">
        <v>95.928712501958898</v>
      </c>
      <c r="AK5671">
        <v>9.0018634925405792</v>
      </c>
    </row>
    <row r="5672" spans="1:37" x14ac:dyDescent="0.2">
      <c r="A5672" t="str">
        <f>"20200111160014687"</f>
        <v>20200111160014687</v>
      </c>
      <c r="B5672" t="str">
        <f>"1578729614676128"</f>
        <v>1578729614676128</v>
      </c>
      <c r="C5672" t="s">
        <v>37</v>
      </c>
      <c r="D5672">
        <v>6.8412610000000003</v>
      </c>
      <c r="E5672">
        <v>0.48418260000000002</v>
      </c>
      <c r="F5672" t="s">
        <v>39</v>
      </c>
      <c r="G5672">
        <v>-267.1508</v>
      </c>
      <c r="H5672" s="1">
        <v>-2.415776E-6</v>
      </c>
      <c r="I5672">
        <v>-61.672179999999997</v>
      </c>
      <c r="J5672">
        <v>-276.24529999999999</v>
      </c>
      <c r="K5672">
        <v>1.1040369999999999</v>
      </c>
      <c r="L5672">
        <v>-61.056849999999997</v>
      </c>
      <c r="M5672">
        <v>0.98542399999999997</v>
      </c>
      <c r="N5672">
        <v>0</v>
      </c>
      <c r="O5672">
        <v>-0.17011609999999999</v>
      </c>
      <c r="P5672">
        <v>0.99232559999999903</v>
      </c>
      <c r="Q5672">
        <v>2.9278370000000001E-2</v>
      </c>
      <c r="R5672">
        <v>-0.1201386</v>
      </c>
      <c r="S5672">
        <v>3.008759</v>
      </c>
      <c r="T5672">
        <v>-0.36157089999999997</v>
      </c>
      <c r="U5672">
        <v>-0.20632929999999899</v>
      </c>
      <c r="V5672">
        <v>-5.050909E-2</v>
      </c>
      <c r="W5672">
        <v>2.857088E-2</v>
      </c>
      <c r="X5672">
        <v>0.99831489999999901</v>
      </c>
      <c r="Y5672">
        <v>-0.1003767</v>
      </c>
      <c r="Z5672">
        <v>2.6244710000000001E-2</v>
      </c>
      <c r="AA5672">
        <v>0.99460329999999997</v>
      </c>
      <c r="AB5672">
        <v>18</v>
      </c>
      <c r="AC5672">
        <v>9.0944999999999805</v>
      </c>
      <c r="AD5672">
        <v>-1.1040394157760001</v>
      </c>
      <c r="AE5672">
        <v>-0.61533000000000704</v>
      </c>
      <c r="AF5672">
        <v>-0.92715859846133997</v>
      </c>
      <c r="AG5672">
        <v>-1.1040394157760001</v>
      </c>
      <c r="AH5672">
        <v>8.9355327442474692</v>
      </c>
      <c r="AI5672">
        <v>97.006306042500199</v>
      </c>
      <c r="AJ5672">
        <v>95.923860896129398</v>
      </c>
      <c r="AK5672">
        <v>9.0510922833548904</v>
      </c>
    </row>
    <row r="5673" spans="1:37" x14ac:dyDescent="0.2">
      <c r="A5673" t="str">
        <f>"20200111160014704"</f>
        <v>20200111160014704</v>
      </c>
      <c r="B5673" t="str">
        <f>"1578729614696624"</f>
        <v>1578729614696624</v>
      </c>
      <c r="C5673" t="s">
        <v>37</v>
      </c>
      <c r="D5673">
        <v>5.1330260000000001</v>
      </c>
      <c r="E5673">
        <v>0.48473630000000001</v>
      </c>
      <c r="F5673" t="s">
        <v>39</v>
      </c>
      <c r="G5673">
        <v>-267.00009999999997</v>
      </c>
      <c r="H5673" s="1">
        <v>-2.3524850000000001E-6</v>
      </c>
      <c r="I5673">
        <v>-61.677239999999998</v>
      </c>
      <c r="J5673">
        <v>-276.11529999999999</v>
      </c>
      <c r="K5673">
        <v>1.1040490000000001</v>
      </c>
      <c r="L5673">
        <v>-61.077150000000003</v>
      </c>
      <c r="M5673">
        <v>0.98575049999999997</v>
      </c>
      <c r="N5673">
        <v>0</v>
      </c>
      <c r="O5673">
        <v>-0.16821269999999999</v>
      </c>
      <c r="P5673">
        <v>0.99249120000000002</v>
      </c>
      <c r="Q5673">
        <v>3.0442159999999999E-2</v>
      </c>
      <c r="R5673">
        <v>-0.11846719999999999</v>
      </c>
      <c r="S5673">
        <v>3.00943</v>
      </c>
      <c r="T5673">
        <v>-0.35937950000000002</v>
      </c>
      <c r="U5673">
        <v>-0.20196529999999999</v>
      </c>
      <c r="V5673">
        <v>-5.026067E-2</v>
      </c>
      <c r="W5673">
        <v>2.9494610000000001E-2</v>
      </c>
      <c r="X5673">
        <v>0.99830059999999998</v>
      </c>
      <c r="Y5673">
        <v>-9.9946220000000002E-2</v>
      </c>
      <c r="Z5673">
        <v>2.583419E-2</v>
      </c>
      <c r="AA5673">
        <v>0.99465740000000002</v>
      </c>
      <c r="AB5673">
        <v>18</v>
      </c>
      <c r="AC5673">
        <v>9.1152000000000104</v>
      </c>
      <c r="AD5673">
        <v>-1.104051352485</v>
      </c>
      <c r="AE5673">
        <v>-0.60009000000000101</v>
      </c>
      <c r="AF5673">
        <v>-0.92819522923078301</v>
      </c>
      <c r="AG5673">
        <v>-1.104051352485</v>
      </c>
      <c r="AH5673">
        <v>8.9554434714549398</v>
      </c>
      <c r="AI5673">
        <v>96.991039627115896</v>
      </c>
      <c r="AJ5673">
        <v>95.917345485668307</v>
      </c>
      <c r="AK5673">
        <v>9.0708568251800603</v>
      </c>
    </row>
    <row r="5674" spans="1:37" x14ac:dyDescent="0.2">
      <c r="A5674" t="str">
        <f>"20200111160014716"</f>
        <v>20200111160014716</v>
      </c>
      <c r="B5674" t="str">
        <f>"1578729614706384"</f>
        <v>1578729614706384</v>
      </c>
      <c r="C5674" t="s">
        <v>37</v>
      </c>
      <c r="D5674">
        <v>5.0799459999999996</v>
      </c>
      <c r="E5674">
        <v>0.4850121</v>
      </c>
      <c r="F5674" t="s">
        <v>39</v>
      </c>
      <c r="G5674">
        <v>-266.69889999999998</v>
      </c>
      <c r="H5674" s="1">
        <v>-2.2315079999999999E-6</v>
      </c>
      <c r="I5674">
        <v>-61.708159999999999</v>
      </c>
      <c r="J5674">
        <v>-276.02179999999998</v>
      </c>
      <c r="K5674">
        <v>1.1040509999999999</v>
      </c>
      <c r="L5674">
        <v>-61.091549999999998</v>
      </c>
      <c r="M5674">
        <v>0.98598240000000004</v>
      </c>
      <c r="N5674">
        <v>0</v>
      </c>
      <c r="O5674">
        <v>-0.16684689999999999</v>
      </c>
      <c r="P5674">
        <v>0.99262490000000003</v>
      </c>
      <c r="Q5674">
        <v>3.0775480000000001E-2</v>
      </c>
      <c r="R5674">
        <v>-0.1172559</v>
      </c>
      <c r="S5674">
        <v>3.0094599999999998</v>
      </c>
      <c r="T5674">
        <v>-0.35285290000000002</v>
      </c>
      <c r="U5674">
        <v>-0.2016907</v>
      </c>
      <c r="V5674">
        <v>-5.0096179999999997E-2</v>
      </c>
      <c r="W5674">
        <v>2.9674289999999999E-2</v>
      </c>
      <c r="X5674">
        <v>0.99830350000000001</v>
      </c>
      <c r="Y5674">
        <v>-9.8743880000000006E-2</v>
      </c>
      <c r="Z5674">
        <v>2.514069E-2</v>
      </c>
      <c r="AA5674">
        <v>0.99479530000000005</v>
      </c>
      <c r="AB5674">
        <v>18</v>
      </c>
      <c r="AC5674">
        <v>9.3229000000000006</v>
      </c>
      <c r="AD5674">
        <v>-1.1040532315080001</v>
      </c>
      <c r="AE5674">
        <v>-0.61661000000000099</v>
      </c>
      <c r="AF5674">
        <v>-0.93448245758827797</v>
      </c>
      <c r="AG5674">
        <v>-1.1040532315080001</v>
      </c>
      <c r="AH5674">
        <v>9.1670973484542593</v>
      </c>
      <c r="AI5674">
        <v>96.832357187426098</v>
      </c>
      <c r="AJ5674">
        <v>95.820554342596395</v>
      </c>
      <c r="AK5674">
        <v>9.2805099427553408</v>
      </c>
    </row>
    <row r="5675" spans="1:37" x14ac:dyDescent="0.2">
      <c r="A5675" t="str">
        <f>"20200111160014727"</f>
        <v>20200111160014727</v>
      </c>
      <c r="B5675" t="str">
        <f>"1578729614717121"</f>
        <v>1578729614717121</v>
      </c>
      <c r="C5675" t="s">
        <v>37</v>
      </c>
      <c r="D5675">
        <v>5.0752829999999998</v>
      </c>
      <c r="E5675">
        <v>0.48499179999999997</v>
      </c>
      <c r="F5675" t="s">
        <v>39</v>
      </c>
      <c r="G5675">
        <v>-266.52080000000001</v>
      </c>
      <c r="H5675" s="1">
        <v>-2.159214E-6</v>
      </c>
      <c r="I5675">
        <v>-61.723689999999998</v>
      </c>
      <c r="J5675">
        <v>-275.92500000000001</v>
      </c>
      <c r="K5675">
        <v>1.104058</v>
      </c>
      <c r="L5675">
        <v>-61.106409999999997</v>
      </c>
      <c r="M5675">
        <v>0.9862206</v>
      </c>
      <c r="N5675">
        <v>0</v>
      </c>
      <c r="O5675">
        <v>-0.16543279999999999</v>
      </c>
      <c r="P5675">
        <v>0.99276500000000001</v>
      </c>
      <c r="Q5675">
        <v>3.0683140000000001E-2</v>
      </c>
      <c r="R5675">
        <v>-0.116088</v>
      </c>
      <c r="S5675">
        <v>3.0095209999999999</v>
      </c>
      <c r="T5675">
        <v>-0.349716799999999</v>
      </c>
      <c r="U5675">
        <v>-0.2002563</v>
      </c>
      <c r="V5675">
        <v>-4.984044E-2</v>
      </c>
      <c r="W5675">
        <v>2.9429779999999999E-2</v>
      </c>
      <c r="X5675">
        <v>0.99832350000000003</v>
      </c>
      <c r="Y5675">
        <v>-9.7837359999999998E-2</v>
      </c>
      <c r="Z5675">
        <v>2.4704980000000001E-2</v>
      </c>
      <c r="AA5675">
        <v>0.9948958</v>
      </c>
      <c r="AB5675">
        <v>18</v>
      </c>
      <c r="AC5675">
        <v>9.4041999999999994</v>
      </c>
      <c r="AD5675">
        <v>-1.104060159214</v>
      </c>
      <c r="AE5675">
        <v>-0.61728000000000705</v>
      </c>
      <c r="AF5675">
        <v>-0.93416896397275195</v>
      </c>
      <c r="AG5675">
        <v>-1.104060159214</v>
      </c>
      <c r="AH5675">
        <v>9.2497959951846909</v>
      </c>
      <c r="AI5675">
        <v>96.7725207357757</v>
      </c>
      <c r="AJ5675">
        <v>95.766945447564197</v>
      </c>
      <c r="AK5675">
        <v>9.3621763730955401</v>
      </c>
    </row>
    <row r="5676" spans="1:37" x14ac:dyDescent="0.2">
      <c r="A5676" t="str">
        <f>"20200111160014739"</f>
        <v>20200111160014739</v>
      </c>
      <c r="B5676" t="str">
        <f>"1578729614736640"</f>
        <v>1578729614736640</v>
      </c>
      <c r="C5676" t="s">
        <v>37</v>
      </c>
      <c r="D5676">
        <v>5.0418389999999897</v>
      </c>
      <c r="E5676">
        <v>0.48510710000000001</v>
      </c>
      <c r="F5676" t="s">
        <v>39</v>
      </c>
      <c r="G5676">
        <v>-266.4074</v>
      </c>
      <c r="H5676" s="1">
        <v>-2.111544E-6</v>
      </c>
      <c r="I5676">
        <v>-61.727260000000001</v>
      </c>
      <c r="J5676">
        <v>-275.82780000000002</v>
      </c>
      <c r="K5676">
        <v>1.1040620000000001</v>
      </c>
      <c r="L5676">
        <v>-61.121119999999998</v>
      </c>
      <c r="M5676">
        <v>0.98645720000000003</v>
      </c>
      <c r="N5676">
        <v>0</v>
      </c>
      <c r="O5676">
        <v>-0.16401489999999999</v>
      </c>
      <c r="P5676">
        <v>0.99291779999999996</v>
      </c>
      <c r="Q5676">
        <v>3.0424369999999999E-2</v>
      </c>
      <c r="R5676">
        <v>-0.1148425</v>
      </c>
      <c r="S5676">
        <v>3.0097049999999999</v>
      </c>
      <c r="T5676">
        <v>-0.34913369999999999</v>
      </c>
      <c r="U5676">
        <v>-0.1963501</v>
      </c>
      <c r="V5676">
        <v>-4.9659170000000002E-2</v>
      </c>
      <c r="W5676">
        <v>2.9033699999999999E-2</v>
      </c>
      <c r="X5676">
        <v>0.99834409999999896</v>
      </c>
      <c r="Y5676">
        <v>-9.7712579999999993E-2</v>
      </c>
      <c r="Z5676">
        <v>2.4495309999999999E-2</v>
      </c>
      <c r="AA5676">
        <v>0.99491319999999905</v>
      </c>
      <c r="AB5676">
        <v>18</v>
      </c>
      <c r="AC5676">
        <v>9.4204000000000292</v>
      </c>
      <c r="AD5676">
        <v>-1.104064111544</v>
      </c>
      <c r="AE5676">
        <v>-0.60614000000000301</v>
      </c>
      <c r="AF5676">
        <v>-0.93437407499007696</v>
      </c>
      <c r="AG5676">
        <v>-1.104064111544</v>
      </c>
      <c r="AH5676">
        <v>9.2655003820703801</v>
      </c>
      <c r="AI5676">
        <v>96.761271851322803</v>
      </c>
      <c r="AJ5676">
        <v>95.758492182462703</v>
      </c>
      <c r="AK5676">
        <v>9.3777134635560007</v>
      </c>
    </row>
    <row r="5677" spans="1:37" x14ac:dyDescent="0.2">
      <c r="A5677" t="str">
        <f>"20200111160014751"</f>
        <v>20200111160014751</v>
      </c>
      <c r="B5677" t="str">
        <f>"1578729614746400"</f>
        <v>1578729614746400</v>
      </c>
      <c r="C5677" t="s">
        <v>37</v>
      </c>
      <c r="D5677">
        <v>5.0198559999999999</v>
      </c>
      <c r="E5677">
        <v>0.48511539999999997</v>
      </c>
      <c r="F5677" t="s">
        <v>39</v>
      </c>
      <c r="G5677">
        <v>-266.3467</v>
      </c>
      <c r="H5677" s="1">
        <v>-2.0861479999999999E-6</v>
      </c>
      <c r="I5677">
        <v>-61.729680000000002</v>
      </c>
      <c r="J5677">
        <v>-275.73009999999999</v>
      </c>
      <c r="K5677">
        <v>1.104069</v>
      </c>
      <c r="L5677">
        <v>-61.135739999999998</v>
      </c>
      <c r="M5677">
        <v>0.98669269999999998</v>
      </c>
      <c r="N5677">
        <v>0</v>
      </c>
      <c r="O5677">
        <v>-0.1625906</v>
      </c>
      <c r="P5677">
        <v>0.99308299999999905</v>
      </c>
      <c r="Q5677">
        <v>3.0055559999999999E-2</v>
      </c>
      <c r="R5677">
        <v>-0.1135031</v>
      </c>
      <c r="S5677">
        <v>3.009735</v>
      </c>
      <c r="T5677">
        <v>-0.35048400000000002</v>
      </c>
      <c r="U5677">
        <v>-0.19320680000000001</v>
      </c>
      <c r="V5677">
        <v>-4.9566079999999998E-2</v>
      </c>
      <c r="W5677">
        <v>2.8537989999999999E-2</v>
      </c>
      <c r="X5677">
        <v>0.99836309999999995</v>
      </c>
      <c r="Y5677">
        <v>-9.7309980000000004E-2</v>
      </c>
      <c r="Z5677">
        <v>2.440405E-2</v>
      </c>
      <c r="AA5677">
        <v>0.99495489999999998</v>
      </c>
      <c r="AB5677">
        <v>18</v>
      </c>
      <c r="AC5677">
        <v>9.3833999999999893</v>
      </c>
      <c r="AD5677">
        <v>-1.1040710861480001</v>
      </c>
      <c r="AE5677">
        <v>-0.59393999999999603</v>
      </c>
      <c r="AF5677">
        <v>-0.92683694365007896</v>
      </c>
      <c r="AG5677">
        <v>-1.1040710861480001</v>
      </c>
      <c r="AH5677">
        <v>9.2278655175038296</v>
      </c>
      <c r="AI5677">
        <v>96.7889043391813</v>
      </c>
      <c r="AJ5677">
        <v>95.735491922039301</v>
      </c>
      <c r="AK5677">
        <v>9.3397806019477194</v>
      </c>
    </row>
    <row r="5678" spans="1:37" x14ac:dyDescent="0.2">
      <c r="A5678" t="str">
        <f>"20200111160014763"</f>
        <v>20200111160014763</v>
      </c>
      <c r="B5678" t="str">
        <f>"1578729614756443"</f>
        <v>1578729614756443</v>
      </c>
      <c r="C5678" t="s">
        <v>37</v>
      </c>
      <c r="D5678">
        <v>5.012594</v>
      </c>
      <c r="E5678">
        <v>0.48513279999999998</v>
      </c>
      <c r="F5678" t="s">
        <v>39</v>
      </c>
      <c r="G5678">
        <v>-266.26459999999997</v>
      </c>
      <c r="H5678" s="1">
        <v>-2.0510369999999999E-6</v>
      </c>
      <c r="I5678">
        <v>-61.73021</v>
      </c>
      <c r="J5678">
        <v>-275.63240000000002</v>
      </c>
      <c r="K5678">
        <v>1.1040760000000001</v>
      </c>
      <c r="L5678">
        <v>-61.1502699999999</v>
      </c>
      <c r="M5678">
        <v>0.98692639999999998</v>
      </c>
      <c r="N5678">
        <v>0</v>
      </c>
      <c r="O5678">
        <v>-0.16116559999999999</v>
      </c>
      <c r="P5678">
        <v>0.99324219999999896</v>
      </c>
      <c r="Q5678">
        <v>2.9881870000000001E-2</v>
      </c>
      <c r="R5678">
        <v>-0.1121482</v>
      </c>
      <c r="S5678">
        <v>3.0099490000000002</v>
      </c>
      <c r="T5678">
        <v>-0.35108329999999999</v>
      </c>
      <c r="U5678">
        <v>-0.18905639999999899</v>
      </c>
      <c r="V5678">
        <v>-4.9487950000000003E-2</v>
      </c>
      <c r="W5678">
        <v>2.8245329999999999E-2</v>
      </c>
      <c r="X5678">
        <v>0.99837520000000002</v>
      </c>
      <c r="Y5678">
        <v>-9.7247849999999997E-2</v>
      </c>
      <c r="Z5678">
        <v>2.4278339999999999E-2</v>
      </c>
      <c r="AA5678">
        <v>0.99496399999999996</v>
      </c>
      <c r="AB5678">
        <v>19</v>
      </c>
      <c r="AC5678">
        <v>9.3678000000000399</v>
      </c>
      <c r="AD5678">
        <v>-1.1040780510370001</v>
      </c>
      <c r="AE5678">
        <v>-0.57994000000000701</v>
      </c>
      <c r="AF5678">
        <v>-0.92461539109799196</v>
      </c>
      <c r="AG5678">
        <v>-1.1040780510370001</v>
      </c>
      <c r="AH5678">
        <v>9.2113410018917001</v>
      </c>
      <c r="AI5678">
        <v>96.801052547382</v>
      </c>
      <c r="AJ5678">
        <v>95.732032034783202</v>
      </c>
      <c r="AK5678">
        <v>9.3232346863826301</v>
      </c>
    </row>
    <row r="5679" spans="1:37" x14ac:dyDescent="0.2">
      <c r="A5679" t="str">
        <f>"20200111160014774"</f>
        <v>20200111160014774</v>
      </c>
      <c r="B5679" t="str">
        <f>"1578729614767179"</f>
        <v>1578729614767179</v>
      </c>
      <c r="C5679" t="s">
        <v>37</v>
      </c>
      <c r="D5679">
        <v>4.9719800000000003</v>
      </c>
      <c r="E5679">
        <v>0.48515219999999998</v>
      </c>
      <c r="F5679" t="s">
        <v>39</v>
      </c>
      <c r="G5679">
        <v>-266.1687</v>
      </c>
      <c r="H5679" s="1">
        <v>-2.0103839999999998E-6</v>
      </c>
      <c r="I5679">
        <v>-61.732030000000002</v>
      </c>
      <c r="J5679">
        <v>-275.5385</v>
      </c>
      <c r="K5679">
        <v>1.1040859999999999</v>
      </c>
      <c r="L5679">
        <v>-61.164059999999999</v>
      </c>
      <c r="M5679">
        <v>0.98714939999999995</v>
      </c>
      <c r="N5679">
        <v>0</v>
      </c>
      <c r="O5679">
        <v>-0.15979279999999901</v>
      </c>
      <c r="P5679">
        <v>0.99339840000000001</v>
      </c>
      <c r="Q5679">
        <v>2.929725E-2</v>
      </c>
      <c r="R5679">
        <v>-0.110913</v>
      </c>
      <c r="S5679">
        <v>3.0100709999999999</v>
      </c>
      <c r="T5679">
        <v>-0.35116740000000002</v>
      </c>
      <c r="U5679">
        <v>-0.18505859999999999</v>
      </c>
      <c r="V5679">
        <v>-4.9342730000000001E-2</v>
      </c>
      <c r="W5679">
        <v>2.7561809999999999E-2</v>
      </c>
      <c r="X5679">
        <v>0.99840149999999905</v>
      </c>
      <c r="Y5679">
        <v>-9.7191310000000003E-2</v>
      </c>
      <c r="Z5679">
        <v>2.412386E-2</v>
      </c>
      <c r="AA5679">
        <v>0.99497329999999995</v>
      </c>
      <c r="AB5679">
        <v>19</v>
      </c>
      <c r="AC5679">
        <v>9.3697999999999908</v>
      </c>
      <c r="AD5679">
        <v>-1.1040880103839901</v>
      </c>
      <c r="AE5679">
        <v>-0.56797000000000197</v>
      </c>
      <c r="AF5679">
        <v>-0.92377671364170399</v>
      </c>
      <c r="AG5679">
        <v>-1.1040880103839901</v>
      </c>
      <c r="AH5679">
        <v>9.2127103844121301</v>
      </c>
      <c r="AI5679">
        <v>96.800182762195803</v>
      </c>
      <c r="AJ5679">
        <v>95.726021751338394</v>
      </c>
      <c r="AK5679">
        <v>9.3245056908339894</v>
      </c>
    </row>
    <row r="5680" spans="1:37" x14ac:dyDescent="0.2">
      <c r="A5680" t="str">
        <f>"20200111160014785"</f>
        <v>20200111160014785</v>
      </c>
      <c r="B5680" t="str">
        <f>"1578729614776939"</f>
        <v>1578729614776939</v>
      </c>
      <c r="C5680" t="s">
        <v>37</v>
      </c>
      <c r="D5680">
        <v>5.009957</v>
      </c>
      <c r="E5680">
        <v>0.48519430000000002</v>
      </c>
      <c r="F5680" t="s">
        <v>39</v>
      </c>
      <c r="G5680">
        <v>-266.11099999999999</v>
      </c>
      <c r="H5680" s="1">
        <v>-1.9856530000000001E-6</v>
      </c>
      <c r="I5680">
        <v>-61.732129999999998</v>
      </c>
      <c r="J5680">
        <v>-275.44690000000003</v>
      </c>
      <c r="K5680">
        <v>1.1040969999999899</v>
      </c>
      <c r="L5680">
        <v>-61.177459999999897</v>
      </c>
      <c r="M5680">
        <v>0.9873653</v>
      </c>
      <c r="N5680">
        <v>0</v>
      </c>
      <c r="O5680">
        <v>-0.15845279999999901</v>
      </c>
      <c r="P5680">
        <v>0.99354739999999997</v>
      </c>
      <c r="Q5680">
        <v>2.914129E-2</v>
      </c>
      <c r="R5680">
        <v>-0.1096114</v>
      </c>
      <c r="S5680">
        <v>3.0100709999999999</v>
      </c>
      <c r="T5680">
        <v>-0.35251749999999998</v>
      </c>
      <c r="U5680">
        <v>-0.18139649999999999</v>
      </c>
      <c r="V5680">
        <v>-4.929737E-2</v>
      </c>
      <c r="W5680">
        <v>2.7312050000000001E-2</v>
      </c>
      <c r="X5680">
        <v>0.99841059999999904</v>
      </c>
      <c r="Y5680">
        <v>-9.7043130000000005E-2</v>
      </c>
      <c r="Z5680">
        <v>2.4054300000000001E-2</v>
      </c>
      <c r="AA5680">
        <v>0.99498949999999997</v>
      </c>
      <c r="AB5680">
        <v>19</v>
      </c>
      <c r="AC5680">
        <v>9.3359000000000307</v>
      </c>
      <c r="AD5680">
        <v>-1.1040989856529999</v>
      </c>
      <c r="AE5680">
        <v>-0.55467000000000799</v>
      </c>
      <c r="AF5680">
        <v>-0.91883284471969995</v>
      </c>
      <c r="AG5680">
        <v>-1.1040989856529999</v>
      </c>
      <c r="AH5680">
        <v>9.1779302286292808</v>
      </c>
      <c r="AI5680">
        <v>96.825883310776504</v>
      </c>
      <c r="AJ5680">
        <v>95.717020171172294</v>
      </c>
      <c r="AK5680">
        <v>9.2896550876898907</v>
      </c>
    </row>
    <row r="5681" spans="1:37" x14ac:dyDescent="0.2">
      <c r="A5681" t="str">
        <f>"20200111160014796"</f>
        <v>20200111160014796</v>
      </c>
      <c r="B5681" t="str">
        <f>"1578729614786699"</f>
        <v>1578729614786699</v>
      </c>
      <c r="C5681" t="s">
        <v>37</v>
      </c>
      <c r="D5681">
        <v>4.9938989999999999</v>
      </c>
      <c r="E5681">
        <v>0.48522890000000002</v>
      </c>
      <c r="F5681" t="s">
        <v>39</v>
      </c>
      <c r="G5681">
        <v>-266.02120000000002</v>
      </c>
      <c r="H5681" s="1">
        <v>-1.9476370000000002E-6</v>
      </c>
      <c r="I5681">
        <v>-61.734019999999902</v>
      </c>
      <c r="J5681">
        <v>-275.35340000000002</v>
      </c>
      <c r="K5681">
        <v>1.104109</v>
      </c>
      <c r="L5681">
        <v>-61.190890000000003</v>
      </c>
      <c r="M5681">
        <v>0.98758480000000004</v>
      </c>
      <c r="N5681">
        <v>0</v>
      </c>
      <c r="O5681">
        <v>-0.15707689999999999</v>
      </c>
      <c r="P5681">
        <v>0.99367519999999998</v>
      </c>
      <c r="Q5681">
        <v>2.8858809999999999E-2</v>
      </c>
      <c r="R5681">
        <v>-0.108522699999999</v>
      </c>
      <c r="S5681">
        <v>3.0102229999999999</v>
      </c>
      <c r="T5681">
        <v>-0.35260839999999999</v>
      </c>
      <c r="U5681">
        <v>-0.177764899999999</v>
      </c>
      <c r="V5681">
        <v>-4.900173E-2</v>
      </c>
      <c r="W5681">
        <v>2.695026E-2</v>
      </c>
      <c r="X5681">
        <v>0.99843499999999996</v>
      </c>
      <c r="Y5681">
        <v>-9.6865190000000004E-2</v>
      </c>
      <c r="Z5681">
        <v>2.3891590000000001E-2</v>
      </c>
      <c r="AA5681">
        <v>0.99501070000000003</v>
      </c>
      <c r="AB5681">
        <v>19</v>
      </c>
      <c r="AC5681">
        <v>9.3322000000000003</v>
      </c>
      <c r="AD5681">
        <v>-1.1041109476369999</v>
      </c>
      <c r="AE5681">
        <v>-0.54312999999999001</v>
      </c>
      <c r="AF5681">
        <v>-0.91669917591663996</v>
      </c>
      <c r="AG5681">
        <v>-1.1041109476369999</v>
      </c>
      <c r="AH5681">
        <v>9.1736892463377995</v>
      </c>
      <c r="AI5681">
        <v>96.829207204581195</v>
      </c>
      <c r="AJ5681">
        <v>95.706451498294797</v>
      </c>
      <c r="AK5681">
        <v>9.28525566434182</v>
      </c>
    </row>
    <row r="5682" spans="1:37" x14ac:dyDescent="0.2">
      <c r="A5682" t="str">
        <f>"20200111160014807"</f>
        <v>20200111160014807</v>
      </c>
      <c r="B5682" t="str">
        <f>"1578729614796459"</f>
        <v>1578729614796459</v>
      </c>
      <c r="C5682" t="s">
        <v>37</v>
      </c>
      <c r="D5682">
        <v>4.9786359999999998</v>
      </c>
      <c r="E5682">
        <v>0.485278299999999</v>
      </c>
      <c r="F5682" t="s">
        <v>39</v>
      </c>
      <c r="G5682">
        <v>-265.93029999999999</v>
      </c>
      <c r="H5682" s="1">
        <v>-1.9095140000000001E-6</v>
      </c>
      <c r="I5682">
        <v>-61.737340000000003</v>
      </c>
      <c r="J5682">
        <v>-275.26310000000001</v>
      </c>
      <c r="K5682">
        <v>1.1041219999999901</v>
      </c>
      <c r="L5682">
        <v>-61.203859999999999</v>
      </c>
      <c r="M5682">
        <v>0.9877958</v>
      </c>
      <c r="N5682">
        <v>0</v>
      </c>
      <c r="O5682">
        <v>-0.1557443</v>
      </c>
      <c r="P5682">
        <v>0.99380729999999995</v>
      </c>
      <c r="Q5682">
        <v>2.861708E-2</v>
      </c>
      <c r="R5682">
        <v>-0.1073692</v>
      </c>
      <c r="S5682">
        <v>3.0103149999999999</v>
      </c>
      <c r="T5682">
        <v>-0.35271819999999998</v>
      </c>
      <c r="U5682">
        <v>-0.1745911</v>
      </c>
      <c r="V5682">
        <v>-4.8814570000000002E-2</v>
      </c>
      <c r="W5682">
        <v>2.6633759999999999E-2</v>
      </c>
      <c r="X5682">
        <v>0.99845269999999997</v>
      </c>
      <c r="Y5682">
        <v>-9.6579540000000005E-2</v>
      </c>
      <c r="Z5682">
        <v>2.372904E-2</v>
      </c>
      <c r="AA5682">
        <v>0.99504239999999999</v>
      </c>
      <c r="AB5682">
        <v>19</v>
      </c>
      <c r="AC5682">
        <v>9.3328000000000095</v>
      </c>
      <c r="AD5682">
        <v>-1.1041239095140001</v>
      </c>
      <c r="AE5682">
        <v>-0.53348000000000395</v>
      </c>
      <c r="AF5682">
        <v>-0.91381425004484995</v>
      </c>
      <c r="AG5682">
        <v>-1.1041239095140001</v>
      </c>
      <c r="AH5682">
        <v>9.1740181832481493</v>
      </c>
      <c r="AI5682">
        <v>96.829256601553496</v>
      </c>
      <c r="AJ5682">
        <v>95.688408178450302</v>
      </c>
      <c r="AK5682">
        <v>9.28529782601038</v>
      </c>
    </row>
    <row r="5683" spans="1:37" x14ac:dyDescent="0.2">
      <c r="A5683" t="str">
        <f>"20200111160014816"</f>
        <v>20200111160014816</v>
      </c>
      <c r="B5683" t="str">
        <f>"1578729614806219"</f>
        <v>1578729614806219</v>
      </c>
      <c r="C5683" t="s">
        <v>37</v>
      </c>
      <c r="D5683">
        <v>4.9757160000000002</v>
      </c>
      <c r="E5683">
        <v>0.48533169999999998</v>
      </c>
      <c r="F5683" t="s">
        <v>87</v>
      </c>
      <c r="G5683">
        <v>-265.8569</v>
      </c>
      <c r="H5683" s="1">
        <v>-1.8785779999999999E-6</v>
      </c>
      <c r="I5683">
        <v>-61.739400000000003</v>
      </c>
      <c r="J5683">
        <v>-275.17099999999999</v>
      </c>
      <c r="K5683">
        <v>1.1041350000000001</v>
      </c>
      <c r="L5683">
        <v>-61.216830000000002</v>
      </c>
      <c r="M5683">
        <v>0.98801030000000001</v>
      </c>
      <c r="N5683">
        <v>0</v>
      </c>
      <c r="O5683">
        <v>-0.1543765</v>
      </c>
      <c r="P5683">
        <v>0.99392009999999897</v>
      </c>
      <c r="Q5683">
        <v>2.836377E-2</v>
      </c>
      <c r="R5683">
        <v>-0.1063891</v>
      </c>
      <c r="S5683">
        <v>3.010345</v>
      </c>
      <c r="T5683">
        <v>-0.35336099999999998</v>
      </c>
      <c r="U5683">
        <v>-0.17141719999999999</v>
      </c>
      <c r="V5683">
        <v>-4.8418860000000001E-2</v>
      </c>
      <c r="W5683">
        <v>2.6316289999999999E-2</v>
      </c>
      <c r="X5683">
        <v>0.99848040000000005</v>
      </c>
      <c r="Y5683">
        <v>-9.625293E-2</v>
      </c>
      <c r="Z5683">
        <v>2.3595689999999999E-2</v>
      </c>
      <c r="AA5683">
        <v>0.995077199999999</v>
      </c>
      <c r="AB5683">
        <v>19</v>
      </c>
      <c r="AC5683">
        <v>9.3140999999999892</v>
      </c>
      <c r="AD5683">
        <v>-1.1041368785779999</v>
      </c>
      <c r="AE5683">
        <v>-0.52257000000000098</v>
      </c>
      <c r="AF5683">
        <v>-0.90884349554632005</v>
      </c>
      <c r="AG5683">
        <v>-1.1041368785779999</v>
      </c>
      <c r="AH5683">
        <v>9.1548675389809802</v>
      </c>
      <c r="AI5683">
        <v>96.843710025212403</v>
      </c>
      <c r="AJ5683">
        <v>95.669424976720705</v>
      </c>
      <c r="AK5683">
        <v>9.2658898332713004</v>
      </c>
    </row>
    <row r="5684" spans="1:37" x14ac:dyDescent="0.2">
      <c r="A5684" t="str">
        <f>"20200111160014828"</f>
        <v>20200111160014828</v>
      </c>
      <c r="B5684" t="str">
        <f>"1578729614826715"</f>
        <v>1578729614826715</v>
      </c>
      <c r="C5684" t="s">
        <v>37</v>
      </c>
      <c r="D5684">
        <v>4.9278690000000003</v>
      </c>
      <c r="E5684">
        <v>0.48541769999999901</v>
      </c>
      <c r="F5684" t="s">
        <v>39</v>
      </c>
      <c r="G5684">
        <v>-265.76170000000002</v>
      </c>
      <c r="H5684" s="1">
        <v>-1.8389609999999899E-6</v>
      </c>
      <c r="I5684">
        <v>-61.743949999999998</v>
      </c>
      <c r="J5684">
        <v>-275.07569999999998</v>
      </c>
      <c r="K5684">
        <v>1.1041449999999999</v>
      </c>
      <c r="L5684">
        <v>-61.230219999999903</v>
      </c>
      <c r="M5684">
        <v>0.98823139999999998</v>
      </c>
      <c r="N5684">
        <v>0</v>
      </c>
      <c r="O5684">
        <v>-0.1529549</v>
      </c>
      <c r="P5684">
        <v>0.99404709999999996</v>
      </c>
      <c r="Q5684">
        <v>2.823349E-2</v>
      </c>
      <c r="R5684">
        <v>-0.1052318</v>
      </c>
      <c r="S5684">
        <v>3.010437</v>
      </c>
      <c r="T5684">
        <v>-0.35326089999999999</v>
      </c>
      <c r="U5684">
        <v>-0.16867070000000001</v>
      </c>
      <c r="V5684">
        <v>-4.8146290000000001E-2</v>
      </c>
      <c r="W5684">
        <v>2.612372E-2</v>
      </c>
      <c r="X5684">
        <v>0.99849859999999901</v>
      </c>
      <c r="Y5684">
        <v>-9.5741770000000004E-2</v>
      </c>
      <c r="Z5684">
        <v>2.339513E-2</v>
      </c>
      <c r="AA5684">
        <v>0.99513130000000005</v>
      </c>
      <c r="AB5684">
        <v>19</v>
      </c>
      <c r="AC5684">
        <v>9.3139999999999592</v>
      </c>
      <c r="AD5684">
        <v>-1.1041468389610001</v>
      </c>
      <c r="AE5684">
        <v>-0.51373000000000202</v>
      </c>
      <c r="AF5684">
        <v>-0.90426990889655201</v>
      </c>
      <c r="AG5684">
        <v>-1.1041468389610001</v>
      </c>
      <c r="AH5684">
        <v>9.1547164045548701</v>
      </c>
      <c r="AI5684">
        <v>96.844214118264503</v>
      </c>
      <c r="AJ5684">
        <v>95.641171647746404</v>
      </c>
      <c r="AK5684">
        <v>9.2652942078462495</v>
      </c>
    </row>
    <row r="5685" spans="1:37" x14ac:dyDescent="0.2">
      <c r="A5685" t="str">
        <f>"20200111160014840"</f>
        <v>20200111160014840</v>
      </c>
      <c r="B5685" t="str">
        <f>"1578729614836475"</f>
        <v>1578729614836475</v>
      </c>
      <c r="C5685" t="s">
        <v>37</v>
      </c>
      <c r="D5685">
        <v>4.9810210000000001</v>
      </c>
      <c r="E5685">
        <v>0.48543959999999903</v>
      </c>
      <c r="F5685" t="s">
        <v>39</v>
      </c>
      <c r="G5685">
        <v>-265.63</v>
      </c>
      <c r="H5685" s="1">
        <v>-1.784091E-6</v>
      </c>
      <c r="I5685">
        <v>-61.750109999999999</v>
      </c>
      <c r="J5685">
        <v>-274.97269999999997</v>
      </c>
      <c r="K5685">
        <v>1.104163</v>
      </c>
      <c r="L5685">
        <v>-61.244450000000001</v>
      </c>
      <c r="M5685">
        <v>0.98846919999999905</v>
      </c>
      <c r="N5685">
        <v>0</v>
      </c>
      <c r="O5685">
        <v>-0.15140880000000001</v>
      </c>
      <c r="P5685">
        <v>0.9941818</v>
      </c>
      <c r="Q5685">
        <v>2.7772149999999999E-2</v>
      </c>
      <c r="R5685">
        <v>-0.104074499999999</v>
      </c>
      <c r="S5685">
        <v>3.0103759999999999</v>
      </c>
      <c r="T5685">
        <v>-0.35189599999999999</v>
      </c>
      <c r="U5685">
        <v>-0.16571040000000001</v>
      </c>
      <c r="V5685">
        <v>-4.7748400000000003E-2</v>
      </c>
      <c r="W5685">
        <v>2.5604620000000002E-2</v>
      </c>
      <c r="X5685">
        <v>0.99853119999999995</v>
      </c>
      <c r="Y5685">
        <v>-9.5186099999999996E-2</v>
      </c>
      <c r="Z5685">
        <v>2.3096430000000001E-2</v>
      </c>
      <c r="AA5685">
        <v>0.99519150000000001</v>
      </c>
      <c r="AB5685">
        <v>20</v>
      </c>
      <c r="AC5685">
        <v>9.3426999999999794</v>
      </c>
      <c r="AD5685">
        <v>-1.1041647840910001</v>
      </c>
      <c r="AE5685">
        <v>-0.505659999999998</v>
      </c>
      <c r="AF5685">
        <v>-0.90217504797957904</v>
      </c>
      <c r="AG5685">
        <v>-1.1041647840910001</v>
      </c>
      <c r="AH5685">
        <v>9.1836520003727102</v>
      </c>
      <c r="AI5685">
        <v>96.823318630990599</v>
      </c>
      <c r="AJ5685">
        <v>95.610567313363106</v>
      </c>
      <c r="AK5685">
        <v>9.2936840785327703</v>
      </c>
    </row>
    <row r="5686" spans="1:37" x14ac:dyDescent="0.2">
      <c r="A5686" t="str">
        <f>"20200111160014852"</f>
        <v>20200111160014852</v>
      </c>
      <c r="B5686" t="str">
        <f>"1578729614846236"</f>
        <v>1578729614846236</v>
      </c>
      <c r="C5686" t="s">
        <v>37</v>
      </c>
      <c r="D5686">
        <v>4.918615</v>
      </c>
      <c r="E5686">
        <v>0.485461799999999</v>
      </c>
      <c r="F5686" t="s">
        <v>39</v>
      </c>
      <c r="G5686">
        <v>-265.55250000000001</v>
      </c>
      <c r="H5686" s="1">
        <v>-1.7513159999999899E-6</v>
      </c>
      <c r="I5686">
        <v>-61.751849999999997</v>
      </c>
      <c r="J5686">
        <v>-274.87259999999998</v>
      </c>
      <c r="K5686">
        <v>1.104187</v>
      </c>
      <c r="L5686">
        <v>-61.258119999999998</v>
      </c>
      <c r="M5686">
        <v>0.98870069999999999</v>
      </c>
      <c r="N5686">
        <v>0</v>
      </c>
      <c r="O5686">
        <v>-0.1498901</v>
      </c>
      <c r="P5686">
        <v>0.99434020000000001</v>
      </c>
      <c r="Q5686">
        <v>2.709344E-2</v>
      </c>
      <c r="R5686">
        <v>-0.1027319</v>
      </c>
      <c r="S5686">
        <v>3.0104060000000001</v>
      </c>
      <c r="T5686">
        <v>-0.35285539999999999</v>
      </c>
      <c r="U5686">
        <v>-0.16217039999999999</v>
      </c>
      <c r="V5686">
        <v>-4.756502E-2</v>
      </c>
      <c r="W5686">
        <v>2.487576E-2</v>
      </c>
      <c r="X5686">
        <v>0.99855830000000001</v>
      </c>
      <c r="Y5686">
        <v>-9.4827910000000001E-2</v>
      </c>
      <c r="Z5686">
        <v>2.2963589999999999E-2</v>
      </c>
      <c r="AA5686">
        <v>0.99522880000000002</v>
      </c>
      <c r="AB5686">
        <v>20</v>
      </c>
      <c r="AC5686">
        <v>9.3200999999999592</v>
      </c>
      <c r="AD5686">
        <v>-1.104188751316</v>
      </c>
      <c r="AE5686">
        <v>-0.493729999999999</v>
      </c>
      <c r="AF5686">
        <v>-0.89629602257405006</v>
      </c>
      <c r="AG5686">
        <v>-1.104188751316</v>
      </c>
      <c r="AH5686">
        <v>9.1605937689591403</v>
      </c>
      <c r="AI5686">
        <v>96.840737789713998</v>
      </c>
      <c r="AJ5686">
        <v>95.588179329394407</v>
      </c>
      <c r="AK5686">
        <v>9.2703321169474702</v>
      </c>
    </row>
    <row r="5687" spans="1:37" x14ac:dyDescent="0.2">
      <c r="A5687" t="str">
        <f>"20200111160014864"</f>
        <v>20200111160014864</v>
      </c>
      <c r="B5687" t="str">
        <f>"1578729614856503"</f>
        <v>1578729614856503</v>
      </c>
      <c r="C5687" t="s">
        <v>37</v>
      </c>
      <c r="D5687">
        <v>4.9369779999999999</v>
      </c>
      <c r="E5687">
        <v>0.48550989999999999</v>
      </c>
      <c r="F5687" t="s">
        <v>39</v>
      </c>
      <c r="G5687">
        <v>-265.48270000000002</v>
      </c>
      <c r="H5687" s="1">
        <v>-1.7213759999999999E-6</v>
      </c>
      <c r="I5687">
        <v>-61.751890000000003</v>
      </c>
      <c r="J5687">
        <v>-274.76850000000002</v>
      </c>
      <c r="K5687">
        <v>1.1042130000000001</v>
      </c>
      <c r="L5687">
        <v>-61.27225</v>
      </c>
      <c r="M5687">
        <v>0.98893969999999898</v>
      </c>
      <c r="N5687">
        <v>0</v>
      </c>
      <c r="O5687">
        <v>-0.14830409999999999</v>
      </c>
      <c r="P5687">
        <v>0.99447319999999995</v>
      </c>
      <c r="Q5687">
        <v>2.663948E-2</v>
      </c>
      <c r="R5687">
        <v>-0.1015568</v>
      </c>
      <c r="S5687">
        <v>3.0104060000000001</v>
      </c>
      <c r="T5687">
        <v>-0.3540044</v>
      </c>
      <c r="U5687">
        <v>-0.1583252</v>
      </c>
      <c r="V5687">
        <v>-4.7145159999999998E-2</v>
      </c>
      <c r="W5687">
        <v>2.4375230000000001E-2</v>
      </c>
      <c r="X5687">
        <v>0.998590599999999</v>
      </c>
      <c r="Y5687">
        <v>-9.4500970000000004E-2</v>
      </c>
      <c r="Z5687">
        <v>2.2836099999999901E-2</v>
      </c>
      <c r="AA5687">
        <v>0.9952628</v>
      </c>
      <c r="AB5687">
        <v>20</v>
      </c>
      <c r="AC5687">
        <v>9.2857999999999894</v>
      </c>
      <c r="AD5687">
        <v>-1.1042147213760001</v>
      </c>
      <c r="AE5687">
        <v>-0.47964000000000301</v>
      </c>
      <c r="AF5687">
        <v>-0.89023408976551699</v>
      </c>
      <c r="AG5687">
        <v>-1.1042147213760001</v>
      </c>
      <c r="AH5687">
        <v>9.1255505491497697</v>
      </c>
      <c r="AI5687">
        <v>96.867106590627898</v>
      </c>
      <c r="AJ5687">
        <v>95.571802716791595</v>
      </c>
      <c r="AK5687">
        <v>9.2351220733984807</v>
      </c>
    </row>
    <row r="5688" spans="1:37" x14ac:dyDescent="0.2">
      <c r="A5688" t="str">
        <f>"20200111160014875"</f>
        <v>20200111160014875</v>
      </c>
      <c r="B5688" t="str">
        <f>"1578729614866263"</f>
        <v>1578729614866263</v>
      </c>
      <c r="C5688" t="s">
        <v>37</v>
      </c>
      <c r="D5688">
        <v>4.9428000000000001</v>
      </c>
      <c r="E5688">
        <v>0.48552010000000001</v>
      </c>
      <c r="F5688" t="s">
        <v>87</v>
      </c>
      <c r="G5688">
        <v>-265.40140000000002</v>
      </c>
      <c r="H5688" s="1">
        <v>-1.687409E-6</v>
      </c>
      <c r="I5688">
        <v>-61.755249999999997</v>
      </c>
      <c r="J5688">
        <v>-274.66969999999998</v>
      </c>
      <c r="K5688">
        <v>1.1042369999999999</v>
      </c>
      <c r="L5688">
        <v>-61.285369999999901</v>
      </c>
      <c r="M5688">
        <v>0.98916729999999997</v>
      </c>
      <c r="N5688">
        <v>0</v>
      </c>
      <c r="O5688">
        <v>-0.14677679999999901</v>
      </c>
      <c r="P5688">
        <v>0.99463440000000003</v>
      </c>
      <c r="Q5688">
        <v>2.591889E-2</v>
      </c>
      <c r="R5688">
        <v>-0.10015299999999901</v>
      </c>
      <c r="S5688">
        <v>3.010284</v>
      </c>
      <c r="T5688">
        <v>-0.35485990000000001</v>
      </c>
      <c r="U5688">
        <v>-0.15524289999999999</v>
      </c>
      <c r="V5688">
        <v>-4.7015059999999997E-2</v>
      </c>
      <c r="W5688">
        <v>2.3618710000000001E-2</v>
      </c>
      <c r="X5688">
        <v>0.99861489999999997</v>
      </c>
      <c r="Y5688">
        <v>-9.3983720000000007E-2</v>
      </c>
      <c r="Z5688">
        <v>2.2684929999999999E-2</v>
      </c>
      <c r="AA5688">
        <v>0.99531530000000001</v>
      </c>
      <c r="AB5688">
        <v>20</v>
      </c>
      <c r="AC5688">
        <v>9.2682999999999502</v>
      </c>
      <c r="AD5688">
        <v>-1.104238687409</v>
      </c>
      <c r="AE5688">
        <v>-0.46988000000000302</v>
      </c>
      <c r="AF5688">
        <v>-0.88308063913676005</v>
      </c>
      <c r="AG5688">
        <v>-1.104238687409</v>
      </c>
      <c r="AH5688">
        <v>9.1079352927089499</v>
      </c>
      <c r="AI5688">
        <v>96.880800455279299</v>
      </c>
      <c r="AJ5688">
        <v>95.537932761432899</v>
      </c>
      <c r="AK5688">
        <v>9.2170309639363897</v>
      </c>
    </row>
    <row r="5689" spans="1:37" x14ac:dyDescent="0.2">
      <c r="A5689" t="str">
        <f>"20200111160014885"</f>
        <v>20200111160014885</v>
      </c>
      <c r="B5689" t="str">
        <f>"1578729614876999"</f>
        <v>1578729614876999</v>
      </c>
      <c r="C5689" t="s">
        <v>37</v>
      </c>
      <c r="D5689">
        <v>5.0045029999999997</v>
      </c>
      <c r="E5689">
        <v>0.48549160000000002</v>
      </c>
      <c r="F5689" t="s">
        <v>39</v>
      </c>
      <c r="G5689">
        <v>-265.35640000000001</v>
      </c>
      <c r="H5689" s="1">
        <v>-1.667503E-6</v>
      </c>
      <c r="I5689">
        <v>-61.752949999999998</v>
      </c>
      <c r="J5689">
        <v>-274.57069999999999</v>
      </c>
      <c r="K5689">
        <v>1.1042639999999999</v>
      </c>
      <c r="L5689">
        <v>-61.298459999999999</v>
      </c>
      <c r="M5689">
        <v>0.989394</v>
      </c>
      <c r="N5689">
        <v>0</v>
      </c>
      <c r="O5689">
        <v>-0.14524110000000001</v>
      </c>
      <c r="P5689">
        <v>0.99474799999999997</v>
      </c>
      <c r="Q5689">
        <v>2.5347270000000002E-2</v>
      </c>
      <c r="R5689">
        <v>-9.9168329999999999E-2</v>
      </c>
      <c r="S5689">
        <v>3.0102540000000002</v>
      </c>
      <c r="T5689">
        <v>-0.35691459999999903</v>
      </c>
      <c r="U5689">
        <v>-0.1511536</v>
      </c>
      <c r="V5689">
        <v>-4.6454780000000001E-2</v>
      </c>
      <c r="W5689">
        <v>2.3013769999999999E-2</v>
      </c>
      <c r="X5689">
        <v>0.99865530000000002</v>
      </c>
      <c r="Y5689">
        <v>-9.3779210000000002E-2</v>
      </c>
      <c r="Z5689">
        <v>2.2625220000000001E-2</v>
      </c>
      <c r="AA5689">
        <v>0.99533590000000005</v>
      </c>
      <c r="AB5689">
        <v>20</v>
      </c>
      <c r="AC5689">
        <v>9.2142999999999802</v>
      </c>
      <c r="AD5689">
        <v>-1.10426566750299</v>
      </c>
      <c r="AE5689">
        <v>-0.45448999999999901</v>
      </c>
      <c r="AF5689">
        <v>-0.87607552673630096</v>
      </c>
      <c r="AG5689">
        <v>-1.10426566750299</v>
      </c>
      <c r="AH5689">
        <v>9.0529001404135698</v>
      </c>
      <c r="AI5689">
        <v>96.922514921174297</v>
      </c>
      <c r="AJ5689">
        <v>95.527467519130198</v>
      </c>
      <c r="AK5689">
        <v>9.1619818786806295</v>
      </c>
    </row>
    <row r="5690" spans="1:37" x14ac:dyDescent="0.2">
      <c r="A5690" t="str">
        <f>"20200111160014896"</f>
        <v>20200111160014896</v>
      </c>
      <c r="B5690" t="str">
        <f>"1578729614886758"</f>
        <v>1578729614886758</v>
      </c>
      <c r="C5690" t="s">
        <v>37</v>
      </c>
      <c r="D5690">
        <v>4.920051</v>
      </c>
      <c r="E5690">
        <v>0.48552889999999999</v>
      </c>
      <c r="F5690" t="s">
        <v>39</v>
      </c>
      <c r="G5690">
        <v>-265.2953</v>
      </c>
      <c r="H5690" s="1">
        <v>-1.6416220000000001E-6</v>
      </c>
      <c r="I5690">
        <v>-61.754269999999998</v>
      </c>
      <c r="J5690">
        <v>-274.4708</v>
      </c>
      <c r="K5690">
        <v>1.104293</v>
      </c>
      <c r="L5690">
        <v>-61.311430000000001</v>
      </c>
      <c r="M5690">
        <v>0.98962410000000001</v>
      </c>
      <c r="N5690">
        <v>0</v>
      </c>
      <c r="O5690">
        <v>-0.1436645</v>
      </c>
      <c r="P5690">
        <v>0.99483659999999996</v>
      </c>
      <c r="Q5690">
        <v>2.5073959999999999E-2</v>
      </c>
      <c r="R5690">
        <v>-9.834358E-2</v>
      </c>
      <c r="S5690">
        <v>3.0102229999999999</v>
      </c>
      <c r="T5690">
        <v>-0.35837479999999999</v>
      </c>
      <c r="U5690">
        <v>-0.1479492</v>
      </c>
      <c r="V5690">
        <v>-4.5693640000000001E-2</v>
      </c>
      <c r="W5690">
        <v>2.2715829999999999E-2</v>
      </c>
      <c r="X5690">
        <v>0.99869719999999995</v>
      </c>
      <c r="Y5690">
        <v>-9.3250399999999997E-2</v>
      </c>
      <c r="Z5690">
        <v>2.250183E-2</v>
      </c>
      <c r="AA5690">
        <v>0.99538839999999995</v>
      </c>
      <c r="AB5690">
        <v>20</v>
      </c>
      <c r="AC5690">
        <v>9.1754999999999995</v>
      </c>
      <c r="AD5690">
        <v>-1.1042946416220001</v>
      </c>
      <c r="AE5690">
        <v>-0.44283999999999601</v>
      </c>
      <c r="AF5690">
        <v>-0.86741544877545596</v>
      </c>
      <c r="AG5690">
        <v>-1.1042946416220001</v>
      </c>
      <c r="AH5690">
        <v>9.0136802618743204</v>
      </c>
      <c r="AI5690">
        <v>96.952877555275407</v>
      </c>
      <c r="AJ5690">
        <v>95.496830478508997</v>
      </c>
      <c r="AK5690">
        <v>9.1224069235916101</v>
      </c>
    </row>
    <row r="5691" spans="1:37" x14ac:dyDescent="0.2">
      <c r="A5691" t="str">
        <f>"20200111160014908"</f>
        <v>20200111160014908</v>
      </c>
      <c r="B5691" t="str">
        <f>"1578729614896520"</f>
        <v>1578729614896520</v>
      </c>
      <c r="C5691" t="s">
        <v>37</v>
      </c>
      <c r="D5691">
        <v>4.890358</v>
      </c>
      <c r="E5691">
        <v>0.48555989999999999</v>
      </c>
      <c r="F5691" t="s">
        <v>39</v>
      </c>
      <c r="G5691">
        <v>-265.19819999999999</v>
      </c>
      <c r="H5691" s="1">
        <v>-1.601506E-6</v>
      </c>
      <c r="I5691">
        <v>-61.760150000000003</v>
      </c>
      <c r="J5691">
        <v>-274.37270000000001</v>
      </c>
      <c r="K5691">
        <v>1.1043240000000001</v>
      </c>
      <c r="L5691">
        <v>-61.324069999999899</v>
      </c>
      <c r="M5691">
        <v>0.98984859999999897</v>
      </c>
      <c r="N5691">
        <v>0</v>
      </c>
      <c r="O5691">
        <v>-0.14210970000000001</v>
      </c>
      <c r="P5691">
        <v>0.99493259999999994</v>
      </c>
      <c r="Q5691">
        <v>2.46532E-2</v>
      </c>
      <c r="R5691">
        <v>-9.747683E-2</v>
      </c>
      <c r="S5691">
        <v>3.0101930000000001</v>
      </c>
      <c r="T5691">
        <v>-0.358487</v>
      </c>
      <c r="U5691">
        <v>-0.14569089999999901</v>
      </c>
      <c r="V5691">
        <v>-4.4996420000000002E-2</v>
      </c>
      <c r="W5691">
        <v>2.2272960000000001E-2</v>
      </c>
      <c r="X5691">
        <v>0.99873880000000004</v>
      </c>
      <c r="Y5691">
        <v>-9.2446249999999994E-2</v>
      </c>
      <c r="Z5691">
        <v>2.227935E-2</v>
      </c>
      <c r="AA5691">
        <v>0.99546840000000003</v>
      </c>
      <c r="AB5691">
        <v>20</v>
      </c>
      <c r="AC5691">
        <v>9.1745000000000196</v>
      </c>
      <c r="AD5691">
        <v>-1.1043256015059999</v>
      </c>
      <c r="AE5691">
        <v>-0.43608000000001101</v>
      </c>
      <c r="AF5691">
        <v>-0.85970631306842504</v>
      </c>
      <c r="AG5691">
        <v>-1.1043256015059999</v>
      </c>
      <c r="AH5691">
        <v>9.0130648859332894</v>
      </c>
      <c r="AI5691">
        <v>96.954095502214699</v>
      </c>
      <c r="AJ5691">
        <v>95.448642530417899</v>
      </c>
      <c r="AK5691">
        <v>9.1210727777446703</v>
      </c>
    </row>
    <row r="5692" spans="1:37" x14ac:dyDescent="0.2">
      <c r="A5692" t="str">
        <f>"20200111160014917"</f>
        <v>20200111160014917</v>
      </c>
      <c r="B5692" t="str">
        <f>"1578729614906279"</f>
        <v>1578729614906279</v>
      </c>
      <c r="C5692" t="s">
        <v>37</v>
      </c>
      <c r="D5692">
        <v>4.9231499999999997</v>
      </c>
      <c r="E5692">
        <v>0.48558449999999997</v>
      </c>
      <c r="F5692" t="s">
        <v>39</v>
      </c>
      <c r="G5692">
        <v>-265.11149999999998</v>
      </c>
      <c r="H5692" s="1">
        <v>-1.5655559999999999E-6</v>
      </c>
      <c r="I5692">
        <v>-61.764830000000003</v>
      </c>
      <c r="J5692">
        <v>-274.27699999999999</v>
      </c>
      <c r="K5692">
        <v>1.104355</v>
      </c>
      <c r="L5692">
        <v>-61.336179999999999</v>
      </c>
      <c r="M5692">
        <v>0.99006819999999895</v>
      </c>
      <c r="N5692">
        <v>0</v>
      </c>
      <c r="O5692">
        <v>-0.14057120000000001</v>
      </c>
      <c r="P5692">
        <v>0.99501039999999996</v>
      </c>
      <c r="Q5692">
        <v>2.4237390000000001E-2</v>
      </c>
      <c r="R5692">
        <v>-9.6785499999999997E-2</v>
      </c>
      <c r="S5692">
        <v>3.010132</v>
      </c>
      <c r="T5692">
        <v>-0.35893049999999999</v>
      </c>
      <c r="U5692">
        <v>-0.14327999999999999</v>
      </c>
      <c r="V5692">
        <v>-4.4140079999999998E-2</v>
      </c>
      <c r="W5692">
        <v>2.1841050000000001E-2</v>
      </c>
      <c r="X5692">
        <v>0.99878659999999997</v>
      </c>
      <c r="Y5692">
        <v>-9.1705159999999994E-2</v>
      </c>
      <c r="Z5692">
        <v>2.208282E-2</v>
      </c>
      <c r="AA5692">
        <v>0.99554129999999996</v>
      </c>
      <c r="AB5692">
        <v>21</v>
      </c>
      <c r="AC5692">
        <v>9.1654999999999998</v>
      </c>
      <c r="AD5692">
        <v>-1.1043565655559999</v>
      </c>
      <c r="AE5692">
        <v>-0.42864999999999698</v>
      </c>
      <c r="AF5692">
        <v>-0.85167698131758296</v>
      </c>
      <c r="AG5692">
        <v>-1.1043565655559999</v>
      </c>
      <c r="AH5692">
        <v>9.0043082819435298</v>
      </c>
      <c r="AI5692">
        <v>96.961503658774106</v>
      </c>
      <c r="AJ5692">
        <v>95.403274775139593</v>
      </c>
      <c r="AK5692">
        <v>9.1116697010300793</v>
      </c>
    </row>
    <row r="5693" spans="1:37" x14ac:dyDescent="0.2">
      <c r="A5693" t="str">
        <f>"20200111160014929"</f>
        <v>20200111160014929</v>
      </c>
      <c r="B5693" t="str">
        <f>"1578729614926776"</f>
        <v>1578729614926776</v>
      </c>
      <c r="C5693" t="s">
        <v>37</v>
      </c>
      <c r="D5693">
        <v>4.8929400000000003</v>
      </c>
      <c r="E5693">
        <v>0.4856608</v>
      </c>
      <c r="F5693" t="s">
        <v>39</v>
      </c>
      <c r="G5693">
        <v>-265.02719999999999</v>
      </c>
      <c r="H5693" s="1">
        <v>-1.5307429999999999E-6</v>
      </c>
      <c r="I5693">
        <v>-61.769840000000002</v>
      </c>
      <c r="J5693">
        <v>-274.17320000000001</v>
      </c>
      <c r="K5693">
        <v>1.1043940000000001</v>
      </c>
      <c r="L5693">
        <v>-61.349179999999997</v>
      </c>
      <c r="M5693">
        <v>0.9903052</v>
      </c>
      <c r="N5693">
        <v>0</v>
      </c>
      <c r="O5693">
        <v>-0.1388914</v>
      </c>
      <c r="P5693">
        <v>0.99507829999999997</v>
      </c>
      <c r="Q5693">
        <v>2.3952959999999999E-2</v>
      </c>
      <c r="R5693">
        <v>-9.6156740000000004E-2</v>
      </c>
      <c r="S5693">
        <v>3.0101009999999899</v>
      </c>
      <c r="T5693">
        <v>-0.35938350000000002</v>
      </c>
      <c r="U5693">
        <v>-0.14114379999999899</v>
      </c>
      <c r="V5693">
        <v>-4.3078749999999999E-2</v>
      </c>
      <c r="W5693">
        <v>2.1543570000000001E-2</v>
      </c>
      <c r="X5693">
        <v>0.99883940000000004</v>
      </c>
      <c r="Y5693">
        <v>-9.0734910000000002E-2</v>
      </c>
      <c r="Z5693">
        <v>2.1855699999999999E-2</v>
      </c>
      <c r="AA5693">
        <v>0.99563519999999905</v>
      </c>
      <c r="AB5693">
        <v>21</v>
      </c>
      <c r="AC5693">
        <v>9.1460000000000097</v>
      </c>
      <c r="AD5693">
        <v>-1.104395530743</v>
      </c>
      <c r="AE5693">
        <v>-0.42065999999999798</v>
      </c>
      <c r="AF5693">
        <v>-0.84147733520671397</v>
      </c>
      <c r="AG5693">
        <v>-1.104395530743</v>
      </c>
      <c r="AH5693">
        <v>8.9850449938215196</v>
      </c>
      <c r="AI5693">
        <v>96.9771263242381</v>
      </c>
      <c r="AJ5693">
        <v>95.350321516795006</v>
      </c>
      <c r="AK5693">
        <v>9.0916889044329299</v>
      </c>
    </row>
    <row r="5694" spans="1:37" x14ac:dyDescent="0.2">
      <c r="A5694" t="str">
        <f>"20200111160014941"</f>
        <v>20200111160014941</v>
      </c>
      <c r="B5694" t="str">
        <f>"1578729614936536"</f>
        <v>1578729614936536</v>
      </c>
      <c r="C5694" t="s">
        <v>37</v>
      </c>
      <c r="D5694">
        <v>4.8940580000000002</v>
      </c>
      <c r="E5694">
        <v>0.48567729999999998</v>
      </c>
      <c r="F5694" t="s">
        <v>39</v>
      </c>
      <c r="G5694">
        <v>-264.90899999999999</v>
      </c>
      <c r="H5694" s="1">
        <v>-1.4825669999999999E-6</v>
      </c>
      <c r="I5694">
        <v>-61.779309999999903</v>
      </c>
      <c r="J5694">
        <v>-274.0659</v>
      </c>
      <c r="K5694">
        <v>1.1044320000000001</v>
      </c>
      <c r="L5694">
        <v>-61.362400000000001</v>
      </c>
      <c r="M5694">
        <v>0.99054979999999904</v>
      </c>
      <c r="N5694">
        <v>0</v>
      </c>
      <c r="O5694">
        <v>-0.13713590000000001</v>
      </c>
      <c r="P5694">
        <v>0.99518259999999903</v>
      </c>
      <c r="Q5694">
        <v>2.3547479999999999E-2</v>
      </c>
      <c r="R5694">
        <v>-9.5169610000000002E-2</v>
      </c>
      <c r="S5694">
        <v>3.0099490000000002</v>
      </c>
      <c r="T5694">
        <v>-0.3588189</v>
      </c>
      <c r="U5694">
        <v>-0.13977049999999999</v>
      </c>
      <c r="V5694">
        <v>-4.2300860000000003E-2</v>
      </c>
      <c r="W5694">
        <v>2.1126430000000002E-2</v>
      </c>
      <c r="X5694">
        <v>0.99888149999999998</v>
      </c>
      <c r="Y5694">
        <v>-8.9446940000000003E-2</v>
      </c>
      <c r="Z5694">
        <v>2.154002E-2</v>
      </c>
      <c r="AA5694">
        <v>0.9957587</v>
      </c>
      <c r="AB5694">
        <v>21</v>
      </c>
      <c r="AC5694">
        <v>9.1569000000000091</v>
      </c>
      <c r="AD5694">
        <v>-1.1044334825669999</v>
      </c>
      <c r="AE5694">
        <v>-0.41690999999999401</v>
      </c>
      <c r="AF5694">
        <v>-0.83071203211195899</v>
      </c>
      <c r="AG5694">
        <v>-1.1044334825669999</v>
      </c>
      <c r="AH5694">
        <v>8.9969503497915699</v>
      </c>
      <c r="AI5694">
        <v>96.969061687995406</v>
      </c>
      <c r="AJ5694">
        <v>95.275312355408303</v>
      </c>
      <c r="AK5694">
        <v>9.1024706203494805</v>
      </c>
    </row>
    <row r="5695" spans="1:37" x14ac:dyDescent="0.2">
      <c r="A5695" t="str">
        <f>"20200111160014952"</f>
        <v>20200111160014952</v>
      </c>
      <c r="B5695" t="str">
        <f>"1578729614946295"</f>
        <v>1578729614946295</v>
      </c>
      <c r="C5695" t="s">
        <v>37</v>
      </c>
      <c r="D5695">
        <v>4.9012330000000004</v>
      </c>
      <c r="E5695">
        <v>0.48568699999999998</v>
      </c>
      <c r="F5695" t="s">
        <v>39</v>
      </c>
      <c r="G5695">
        <v>-264.8152</v>
      </c>
      <c r="H5695" s="1">
        <v>-1.44322999999999E-6</v>
      </c>
      <c r="I5695">
        <v>-61.782709999999902</v>
      </c>
      <c r="J5695">
        <v>-273.96499999999997</v>
      </c>
      <c r="K5695">
        <v>1.1044689999999999</v>
      </c>
      <c r="L5695">
        <v>-61.374600000000001</v>
      </c>
      <c r="M5695">
        <v>0.99077969999999904</v>
      </c>
      <c r="N5695">
        <v>0</v>
      </c>
      <c r="O5695">
        <v>-0.13546429999999901</v>
      </c>
      <c r="P5695">
        <v>0.9952548</v>
      </c>
      <c r="Q5695">
        <v>2.3123609999999999E-2</v>
      </c>
      <c r="R5695">
        <v>-9.4517290000000004E-2</v>
      </c>
      <c r="S5695">
        <v>3.0099490000000002</v>
      </c>
      <c r="T5695">
        <v>-0.35935470000000003</v>
      </c>
      <c r="U5695">
        <v>-0.13677979999999901</v>
      </c>
      <c r="V5695">
        <v>-4.1271919999999997E-2</v>
      </c>
      <c r="W5695">
        <v>2.069737E-2</v>
      </c>
      <c r="X5695">
        <v>0.99893359999999998</v>
      </c>
      <c r="Y5695">
        <v>-8.8765490000000002E-2</v>
      </c>
      <c r="Z5695">
        <v>2.1335159999999999E-2</v>
      </c>
      <c r="AA5695">
        <v>0.99582399999999904</v>
      </c>
      <c r="AB5695">
        <v>21</v>
      </c>
      <c r="AC5695">
        <v>9.1497999999999706</v>
      </c>
      <c r="AD5695">
        <v>-1.1044704432300001</v>
      </c>
      <c r="AE5695">
        <v>-0.40810999999999298</v>
      </c>
      <c r="AF5695">
        <v>-0.82315596960917203</v>
      </c>
      <c r="AG5695">
        <v>-1.1044704432300001</v>
      </c>
      <c r="AH5695">
        <v>8.9900112262983907</v>
      </c>
      <c r="AI5695">
        <v>96.9751034144914</v>
      </c>
      <c r="AJ5695">
        <v>95.231608416755904</v>
      </c>
      <c r="AK5695">
        <v>9.0949294972112291</v>
      </c>
    </row>
    <row r="5696" spans="1:37" x14ac:dyDescent="0.2">
      <c r="A5696" t="str">
        <f>"20200111160014962"</f>
        <v>20200111160014962</v>
      </c>
      <c r="B5696" t="str">
        <f>"1578729614957031"</f>
        <v>1578729614957031</v>
      </c>
      <c r="C5696" t="s">
        <v>37</v>
      </c>
      <c r="D5696">
        <v>4.9168349999999998</v>
      </c>
      <c r="E5696">
        <v>0.48569770000000001</v>
      </c>
      <c r="F5696" t="s">
        <v>39</v>
      </c>
      <c r="G5696">
        <v>-264.72719999999998</v>
      </c>
      <c r="H5696" s="1">
        <v>-1.4070009999999899E-6</v>
      </c>
      <c r="I5696">
        <v>-61.788440000000001</v>
      </c>
      <c r="J5696">
        <v>-273.8587</v>
      </c>
      <c r="K5696">
        <v>1.104509</v>
      </c>
      <c r="L5696">
        <v>-61.387329999999999</v>
      </c>
      <c r="M5696">
        <v>0.99102040000000002</v>
      </c>
      <c r="N5696">
        <v>0</v>
      </c>
      <c r="O5696">
        <v>-0.13369229999999999</v>
      </c>
      <c r="P5696">
        <v>0.99536380000000002</v>
      </c>
      <c r="Q5696">
        <v>2.3052799999999998E-2</v>
      </c>
      <c r="R5696">
        <v>-9.3378310000000006E-2</v>
      </c>
      <c r="S5696">
        <v>3.009827</v>
      </c>
      <c r="T5696">
        <v>-0.35985459999999903</v>
      </c>
      <c r="U5696">
        <v>-0.13485720000000001</v>
      </c>
      <c r="V5696">
        <v>-4.0630840000000001E-2</v>
      </c>
      <c r="W5696">
        <v>2.0621090000000002E-2</v>
      </c>
      <c r="X5696">
        <v>0.9989614</v>
      </c>
      <c r="Y5696">
        <v>-8.7633269999999999E-2</v>
      </c>
      <c r="Z5696">
        <v>2.108933E-2</v>
      </c>
      <c r="AA5696">
        <v>0.99592950000000002</v>
      </c>
      <c r="AB5696">
        <v>21</v>
      </c>
      <c r="AC5696">
        <v>9.1315000000000097</v>
      </c>
      <c r="AD5696">
        <v>-1.1045104070009999</v>
      </c>
      <c r="AE5696">
        <v>-0.40110999999999503</v>
      </c>
      <c r="AF5696">
        <v>-0.81145603532318999</v>
      </c>
      <c r="AG5696">
        <v>-1.1045104070009999</v>
      </c>
      <c r="AH5696">
        <v>8.9721376405939797</v>
      </c>
      <c r="AI5696">
        <v>96.989812322510005</v>
      </c>
      <c r="AJ5696">
        <v>95.167871913684394</v>
      </c>
      <c r="AK5696">
        <v>9.0762138570110409</v>
      </c>
    </row>
    <row r="5697" spans="1:37" x14ac:dyDescent="0.2">
      <c r="A5697" t="str">
        <f>"20200111160014975"</f>
        <v>20200111160014975</v>
      </c>
      <c r="B5697" t="str">
        <f>"1578729614966792"</f>
        <v>1578729614966792</v>
      </c>
      <c r="C5697" t="s">
        <v>37</v>
      </c>
      <c r="D5697">
        <v>4.8590629999999999</v>
      </c>
      <c r="E5697">
        <v>0.48569229999999902</v>
      </c>
      <c r="F5697" t="s">
        <v>39</v>
      </c>
      <c r="G5697">
        <v>-264.60820000000001</v>
      </c>
      <c r="H5697" s="1">
        <v>-1.3567629999999999E-6</v>
      </c>
      <c r="I5697">
        <v>-61.791490000000003</v>
      </c>
      <c r="J5697">
        <v>-273.7482</v>
      </c>
      <c r="K5697">
        <v>1.104555</v>
      </c>
      <c r="L5697">
        <v>-61.4002699999999</v>
      </c>
      <c r="M5697">
        <v>0.99127160000000003</v>
      </c>
      <c r="N5697">
        <v>0</v>
      </c>
      <c r="O5697">
        <v>-0.13181679999999901</v>
      </c>
      <c r="P5697">
        <v>0.9954712</v>
      </c>
      <c r="Q5697">
        <v>2.3060569999999999E-2</v>
      </c>
      <c r="R5697">
        <v>-9.2222150000000003E-2</v>
      </c>
      <c r="S5697">
        <v>3.009979</v>
      </c>
      <c r="T5697">
        <v>-0.35939019999999999</v>
      </c>
      <c r="U5697">
        <v>-0.1315308</v>
      </c>
      <c r="V5697">
        <v>-3.9903439999999998E-2</v>
      </c>
      <c r="W5697">
        <v>2.062872E-2</v>
      </c>
      <c r="X5697">
        <v>0.99899059999999995</v>
      </c>
      <c r="Y5697">
        <v>-8.6871799999999999E-2</v>
      </c>
      <c r="Z5697">
        <v>2.0795549999999999E-2</v>
      </c>
      <c r="AA5697">
        <v>0.99600239999999995</v>
      </c>
      <c r="AB5697">
        <v>21</v>
      </c>
      <c r="AC5697">
        <v>9.1399999999999793</v>
      </c>
      <c r="AD5697">
        <v>-1.1045563567629999</v>
      </c>
      <c r="AE5697">
        <v>-0.391220000000011</v>
      </c>
      <c r="AF5697">
        <v>-0.80526342440083598</v>
      </c>
      <c r="AG5697">
        <v>-1.1045563567629999</v>
      </c>
      <c r="AH5697">
        <v>8.9808937291390194</v>
      </c>
      <c r="AI5697">
        <v>96.9838328045373</v>
      </c>
      <c r="AJ5697">
        <v>95.123670888645293</v>
      </c>
      <c r="AK5697">
        <v>9.0843241962202104</v>
      </c>
    </row>
    <row r="5698" spans="1:37" x14ac:dyDescent="0.2">
      <c r="A5698" t="str">
        <f>"20200111160014986"</f>
        <v>20200111160014986</v>
      </c>
      <c r="B5698" t="str">
        <f>"1578729614976551"</f>
        <v>1578729614976551</v>
      </c>
      <c r="C5698" t="s">
        <v>37</v>
      </c>
      <c r="D5698">
        <v>4.9089710000000002</v>
      </c>
      <c r="E5698">
        <v>0.4856799</v>
      </c>
      <c r="F5698" t="s">
        <v>39</v>
      </c>
      <c r="G5698">
        <v>-264.47660000000002</v>
      </c>
      <c r="H5698" s="1">
        <v>-1.3011459999999999E-6</v>
      </c>
      <c r="I5698">
        <v>-61.794719999999998</v>
      </c>
      <c r="J5698">
        <v>-273.64510000000001</v>
      </c>
      <c r="K5698">
        <v>1.1046009999999999</v>
      </c>
      <c r="L5698">
        <v>-61.412199999999999</v>
      </c>
      <c r="M5698">
        <v>0.99150369999999999</v>
      </c>
      <c r="N5698">
        <v>0</v>
      </c>
      <c r="O5698">
        <v>-0.13005990000000001</v>
      </c>
      <c r="P5698">
        <v>0.99557739999999995</v>
      </c>
      <c r="Q5698">
        <v>2.3321580000000001E-2</v>
      </c>
      <c r="R5698">
        <v>-9.1004249999999995E-2</v>
      </c>
      <c r="S5698">
        <v>3.0100709999999999</v>
      </c>
      <c r="T5698">
        <v>-0.3585991</v>
      </c>
      <c r="U5698">
        <v>-0.12808230000000001</v>
      </c>
      <c r="V5698">
        <v>-3.9358270000000001E-2</v>
      </c>
      <c r="W5698">
        <v>2.0889499999999998E-2</v>
      </c>
      <c r="X5698">
        <v>0.99900679999999997</v>
      </c>
      <c r="Y5698">
        <v>-8.6270029999999998E-2</v>
      </c>
      <c r="Z5698">
        <v>2.0507750000000002E-2</v>
      </c>
      <c r="AA5698">
        <v>0.99606070000000002</v>
      </c>
      <c r="AB5698">
        <v>21</v>
      </c>
      <c r="AC5698">
        <v>9.1684999999999892</v>
      </c>
      <c r="AD5698">
        <v>-1.104602301146</v>
      </c>
      <c r="AE5698">
        <v>-0.38251999999999903</v>
      </c>
      <c r="AF5698">
        <v>-0.80157161509910602</v>
      </c>
      <c r="AG5698">
        <v>-1.104602301146</v>
      </c>
      <c r="AH5698">
        <v>9.0098244459410797</v>
      </c>
      <c r="AI5698">
        <v>96.9623408912217</v>
      </c>
      <c r="AJ5698">
        <v>95.084013882283998</v>
      </c>
      <c r="AK5698">
        <v>9.1126066437933808</v>
      </c>
    </row>
    <row r="5699" spans="1:37" x14ac:dyDescent="0.2">
      <c r="A5699" t="str">
        <f>"20200111160014997"</f>
        <v>20200111160014997</v>
      </c>
      <c r="B5699" t="str">
        <f>"1578729614986311"</f>
        <v>1578729614986311</v>
      </c>
      <c r="C5699" t="s">
        <v>37</v>
      </c>
      <c r="D5699">
        <v>4.8383159999999998</v>
      </c>
      <c r="E5699">
        <v>0.48567709999999997</v>
      </c>
      <c r="F5699" t="s">
        <v>38</v>
      </c>
      <c r="G5699">
        <v>-272.74799999999999</v>
      </c>
      <c r="H5699">
        <v>0.9982105</v>
      </c>
      <c r="I5699">
        <v>-61.449359999999999</v>
      </c>
      <c r="J5699">
        <v>-273.5378</v>
      </c>
      <c r="K5699">
        <v>1.104641</v>
      </c>
      <c r="L5699">
        <v>-61.424289999999999</v>
      </c>
      <c r="M5699">
        <v>0.99174599999999902</v>
      </c>
      <c r="N5699">
        <v>0</v>
      </c>
      <c r="O5699">
        <v>-0.12819949999999999</v>
      </c>
      <c r="P5699">
        <v>0.99568959999999995</v>
      </c>
      <c r="Q5699">
        <v>2.358818E-2</v>
      </c>
      <c r="R5699">
        <v>-8.9701859999999994E-2</v>
      </c>
      <c r="S5699">
        <v>3.010345</v>
      </c>
      <c r="T5699">
        <v>-0.35710439999999999</v>
      </c>
      <c r="U5699">
        <v>-0.1243286</v>
      </c>
      <c r="V5699">
        <v>-3.8794040000000002E-2</v>
      </c>
      <c r="W5699">
        <v>2.1159810000000001E-2</v>
      </c>
      <c r="X5699">
        <v>0.99902309999999905</v>
      </c>
      <c r="Y5699">
        <v>-8.567458E-2</v>
      </c>
      <c r="Z5699">
        <v>2.0168539999999999E-2</v>
      </c>
      <c r="AA5699">
        <v>0.99611899999999998</v>
      </c>
      <c r="AB5699">
        <v>21</v>
      </c>
      <c r="AC5699">
        <v>0.78980000000001305</v>
      </c>
      <c r="AD5699">
        <v>-0.106430499999999</v>
      </c>
      <c r="AE5699">
        <v>-2.5069999999999398E-2</v>
      </c>
      <c r="AF5699">
        <v>-7.5027993838158696E-2</v>
      </c>
      <c r="AG5699">
        <v>-0.106430499999999</v>
      </c>
      <c r="AH5699">
        <v>0.77248322638971301</v>
      </c>
      <c r="AI5699">
        <v>97.808371180573801</v>
      </c>
      <c r="AJ5699">
        <v>95.5474939003402</v>
      </c>
      <c r="AK5699">
        <v>0.78338176277156801</v>
      </c>
    </row>
    <row r="5700" spans="1:37" x14ac:dyDescent="0.2">
      <c r="A5700" t="str">
        <f>"20200111160015006"</f>
        <v>20200111160015006</v>
      </c>
      <c r="B5700" t="str">
        <f>"1578729614997048"</f>
        <v>1578729614997048</v>
      </c>
      <c r="C5700" t="s">
        <v>37</v>
      </c>
      <c r="D5700">
        <v>4.8961420000000002</v>
      </c>
      <c r="E5700">
        <v>0.48568820000000001</v>
      </c>
      <c r="F5700" t="s">
        <v>39</v>
      </c>
      <c r="G5700">
        <v>-264.18549999999999</v>
      </c>
      <c r="H5700" s="1">
        <v>-1.1772589999999899E-6</v>
      </c>
      <c r="I5700">
        <v>-61.798310000000001</v>
      </c>
      <c r="J5700">
        <v>-273.44009999999997</v>
      </c>
      <c r="K5700">
        <v>1.1046819999999999</v>
      </c>
      <c r="L5700">
        <v>-61.43524</v>
      </c>
      <c r="M5700">
        <v>0.99196430000000002</v>
      </c>
      <c r="N5700">
        <v>0</v>
      </c>
      <c r="O5700">
        <v>-0.12649820000000001</v>
      </c>
      <c r="P5700">
        <v>0.99578409999999995</v>
      </c>
      <c r="Q5700">
        <v>2.3913259999999999E-2</v>
      </c>
      <c r="R5700">
        <v>-8.8557289999999997E-2</v>
      </c>
      <c r="S5700">
        <v>3.010529</v>
      </c>
      <c r="T5700">
        <v>-0.3555893</v>
      </c>
      <c r="U5700">
        <v>-0.1204224</v>
      </c>
      <c r="V5700">
        <v>-3.8231639999999997E-2</v>
      </c>
      <c r="W5700">
        <v>2.1490180000000001E-2</v>
      </c>
      <c r="X5700">
        <v>0.99903779999999998</v>
      </c>
      <c r="Y5700">
        <v>-8.5285659999999999E-2</v>
      </c>
      <c r="Z5700">
        <v>1.986162E-2</v>
      </c>
      <c r="AA5700">
        <v>0.99615849999999995</v>
      </c>
      <c r="AB5700">
        <v>21</v>
      </c>
      <c r="AC5700">
        <v>9.2545999999999804</v>
      </c>
      <c r="AD5700">
        <v>-1.104683177259</v>
      </c>
      <c r="AE5700">
        <v>-0.36307</v>
      </c>
      <c r="AF5700">
        <v>-0.79917055492786704</v>
      </c>
      <c r="AG5700">
        <v>-1.104683177259</v>
      </c>
      <c r="AH5700">
        <v>9.0967702556379795</v>
      </c>
      <c r="AI5700">
        <v>96.8976073893689</v>
      </c>
      <c r="AJ5700">
        <v>95.020665700929598</v>
      </c>
      <c r="AK5700">
        <v>9.1983817914806405</v>
      </c>
    </row>
    <row r="5701" spans="1:37" x14ac:dyDescent="0.2">
      <c r="A5701" t="str">
        <f>"20200111160015017"</f>
        <v>20200111160015017</v>
      </c>
      <c r="B5701" t="str">
        <f>"1578729615006807"</f>
        <v>1578729615006807</v>
      </c>
      <c r="C5701" t="s">
        <v>37</v>
      </c>
      <c r="D5701">
        <v>4.8865600000000002</v>
      </c>
      <c r="E5701">
        <v>0.48570159999999901</v>
      </c>
      <c r="F5701" t="s">
        <v>38</v>
      </c>
      <c r="G5701">
        <v>-272.55380000000002</v>
      </c>
      <c r="H5701">
        <v>1.0005310000000001</v>
      </c>
      <c r="I5701">
        <v>-61.469869999999901</v>
      </c>
      <c r="J5701">
        <v>-273.33479999999997</v>
      </c>
      <c r="K5701">
        <v>1.10473</v>
      </c>
      <c r="L5701">
        <v>-61.446689999999997</v>
      </c>
      <c r="M5701">
        <v>0.99219950000000001</v>
      </c>
      <c r="N5701">
        <v>0</v>
      </c>
      <c r="O5701">
        <v>-0.12464210000000001</v>
      </c>
      <c r="P5701">
        <v>0.99589439999999996</v>
      </c>
      <c r="Q5701">
        <v>2.4203840000000001E-2</v>
      </c>
      <c r="R5701">
        <v>-8.7230180000000004E-2</v>
      </c>
      <c r="S5701">
        <v>3.0108029999999899</v>
      </c>
      <c r="T5701">
        <v>-0.35402149999999999</v>
      </c>
      <c r="U5701">
        <v>-0.117004399999999</v>
      </c>
      <c r="V5701">
        <v>-3.7697359999999999E-2</v>
      </c>
      <c r="W5701">
        <v>2.178861E-2</v>
      </c>
      <c r="X5701">
        <v>0.99905159999999904</v>
      </c>
      <c r="Y5701">
        <v>-8.4584839999999994E-2</v>
      </c>
      <c r="Z5701">
        <v>1.951667E-2</v>
      </c>
      <c r="AA5701">
        <v>0.99622509999999997</v>
      </c>
      <c r="AB5701">
        <v>22</v>
      </c>
      <c r="AC5701">
        <v>0.78099999999994896</v>
      </c>
      <c r="AD5701">
        <v>-0.104198999999999</v>
      </c>
      <c r="AE5701">
        <v>-2.3179999999989299E-2</v>
      </c>
      <c r="AF5701">
        <v>-7.3047349435302403E-2</v>
      </c>
      <c r="AG5701">
        <v>-0.104198999999999</v>
      </c>
      <c r="AH5701">
        <v>0.76420768107740999</v>
      </c>
      <c r="AI5701">
        <v>97.729544242794404</v>
      </c>
      <c r="AJ5701">
        <v>95.460070376360093</v>
      </c>
      <c r="AK5701">
        <v>0.77473009924633396</v>
      </c>
    </row>
    <row r="5702" spans="1:37" x14ac:dyDescent="0.2">
      <c r="A5702" t="str">
        <f>"20200111160015030"</f>
        <v>20200111160015030</v>
      </c>
      <c r="B5702" t="str">
        <f>"1578729615026327"</f>
        <v>1578729615026327</v>
      </c>
      <c r="C5702" t="s">
        <v>37</v>
      </c>
      <c r="D5702">
        <v>4.8719479999999997</v>
      </c>
      <c r="E5702">
        <v>0.48571340000000002</v>
      </c>
      <c r="F5702" t="s">
        <v>87</v>
      </c>
      <c r="G5702">
        <v>-263.89089999999999</v>
      </c>
      <c r="H5702" s="1">
        <v>-1.05182E-6</v>
      </c>
      <c r="I5702">
        <v>-61.801909999999999</v>
      </c>
      <c r="J5702">
        <v>-273.22910000000002</v>
      </c>
      <c r="K5702">
        <v>1.1047769999999999</v>
      </c>
      <c r="L5702">
        <v>-61.458100000000002</v>
      </c>
      <c r="M5702">
        <v>0.99243340000000002</v>
      </c>
      <c r="N5702">
        <v>0</v>
      </c>
      <c r="O5702">
        <v>-0.12276469999999901</v>
      </c>
      <c r="P5702">
        <v>0.99602400000000002</v>
      </c>
      <c r="Q5702">
        <v>2.4667729999999999E-2</v>
      </c>
      <c r="R5702">
        <v>-8.5601670000000005E-2</v>
      </c>
      <c r="S5702">
        <v>3.011047</v>
      </c>
      <c r="T5702">
        <v>-0.35222569999999997</v>
      </c>
      <c r="U5702">
        <v>-0.1132813</v>
      </c>
      <c r="V5702">
        <v>-3.7444020000000001E-2</v>
      </c>
      <c r="W5702">
        <v>2.2260559999999999E-2</v>
      </c>
      <c r="X5702">
        <v>0.99905069999999996</v>
      </c>
      <c r="Y5702">
        <v>-8.3964499999999997E-2</v>
      </c>
      <c r="Z5702">
        <v>1.91641E-2</v>
      </c>
      <c r="AA5702">
        <v>0.99628439999999996</v>
      </c>
      <c r="AB5702">
        <v>22</v>
      </c>
      <c r="AC5702">
        <v>9.33820000000002</v>
      </c>
      <c r="AD5702">
        <v>-1.1047780518200001</v>
      </c>
      <c r="AE5702">
        <v>-0.34380999999999701</v>
      </c>
      <c r="AF5702">
        <v>-0.79409510087277002</v>
      </c>
      <c r="AG5702">
        <v>-1.1047780518200001</v>
      </c>
      <c r="AH5702">
        <v>9.1814362570211507</v>
      </c>
      <c r="AI5702">
        <v>96.835985771446204</v>
      </c>
      <c r="AJ5702">
        <v>94.943165186759103</v>
      </c>
      <c r="AK5702">
        <v>9.2816966829753706</v>
      </c>
    </row>
    <row r="5703" spans="1:37" x14ac:dyDescent="0.2">
      <c r="A5703" t="str">
        <f>"20200111160015041"</f>
        <v>20200111160015041</v>
      </c>
      <c r="B5703" t="str">
        <f>"1578729615037063"</f>
        <v>1578729615037063</v>
      </c>
      <c r="C5703" t="s">
        <v>37</v>
      </c>
      <c r="D5703">
        <v>4.8608180000000001</v>
      </c>
      <c r="E5703">
        <v>0.4857322</v>
      </c>
      <c r="F5703" t="s">
        <v>38</v>
      </c>
      <c r="G5703">
        <v>-272.35419999999999</v>
      </c>
      <c r="H5703">
        <v>1.003198</v>
      </c>
      <c r="I5703">
        <v>-61.489649999999997</v>
      </c>
      <c r="J5703">
        <v>-273.10579999999999</v>
      </c>
      <c r="K5703">
        <v>1.104827</v>
      </c>
      <c r="L5703">
        <v>-61.471069999999997</v>
      </c>
      <c r="M5703">
        <v>0.99270400000000003</v>
      </c>
      <c r="N5703">
        <v>0</v>
      </c>
      <c r="O5703">
        <v>-0.120558</v>
      </c>
      <c r="P5703">
        <v>0.99619969999999902</v>
      </c>
      <c r="Q5703">
        <v>2.5376739999999998E-2</v>
      </c>
      <c r="R5703">
        <v>-8.3321930000000002E-2</v>
      </c>
      <c r="S5703">
        <v>3.0112919999999899</v>
      </c>
      <c r="T5703">
        <v>-0.34960759999999902</v>
      </c>
      <c r="U5703">
        <v>-0.1085815</v>
      </c>
      <c r="V5703">
        <v>-3.7514390000000002E-2</v>
      </c>
      <c r="W5703">
        <v>2.2979449999999998E-2</v>
      </c>
      <c r="X5703">
        <v>0.99903180000000003</v>
      </c>
      <c r="Y5703">
        <v>-8.3344769999999999E-2</v>
      </c>
      <c r="Z5703">
        <v>1.873257E-2</v>
      </c>
      <c r="AA5703">
        <v>0.99634469999999997</v>
      </c>
      <c r="AB5703">
        <v>22</v>
      </c>
      <c r="AC5703">
        <v>0.75159999999999605</v>
      </c>
      <c r="AD5703">
        <v>-0.101628999999999</v>
      </c>
      <c r="AE5703">
        <v>-1.8579999999999999E-2</v>
      </c>
      <c r="AF5703">
        <v>-7.0872110117939202E-2</v>
      </c>
      <c r="AG5703">
        <v>-0.101628999999999</v>
      </c>
      <c r="AH5703">
        <v>0.73492904793720404</v>
      </c>
      <c r="AI5703">
        <v>97.837261600837294</v>
      </c>
      <c r="AJ5703">
        <v>95.508225807038798</v>
      </c>
      <c r="AK5703">
        <v>0.74529994977556102</v>
      </c>
    </row>
    <row r="5704" spans="1:37" x14ac:dyDescent="0.2">
      <c r="A5704" t="str">
        <f>"20200111160015053"</f>
        <v>20200111160015053</v>
      </c>
      <c r="B5704" t="str">
        <f>"1578729615046824"</f>
        <v>1578729615046824</v>
      </c>
      <c r="C5704" t="s">
        <v>37</v>
      </c>
      <c r="D5704">
        <v>4.8484350000000003</v>
      </c>
      <c r="E5704">
        <v>0.48573999999999901</v>
      </c>
      <c r="F5704" t="s">
        <v>87</v>
      </c>
      <c r="G5704">
        <v>-263.50810000000001</v>
      </c>
      <c r="H5704" s="1">
        <v>-8.8598189999999995E-7</v>
      </c>
      <c r="I5704">
        <v>-61.795919999999903</v>
      </c>
      <c r="J5704">
        <v>-272.99770000000001</v>
      </c>
      <c r="K5704">
        <v>1.104868</v>
      </c>
      <c r="L5704">
        <v>-61.482149999999997</v>
      </c>
      <c r="M5704">
        <v>0.99293920000000002</v>
      </c>
      <c r="N5704">
        <v>0</v>
      </c>
      <c r="O5704">
        <v>-0.1186048</v>
      </c>
      <c r="P5704">
        <v>0.99634840000000002</v>
      </c>
      <c r="Q5704">
        <v>2.6514159999999998E-2</v>
      </c>
      <c r="R5704">
        <v>-8.1162100000000001E-2</v>
      </c>
      <c r="S5704">
        <v>3.011749</v>
      </c>
      <c r="T5704">
        <v>-0.346692</v>
      </c>
      <c r="U5704">
        <v>-0.1019592</v>
      </c>
      <c r="V5704">
        <v>-3.7720129999999998E-2</v>
      </c>
      <c r="W5704">
        <v>2.4126399999999999E-2</v>
      </c>
      <c r="X5704">
        <v>0.99899699999999902</v>
      </c>
      <c r="Y5704">
        <v>-8.3611829999999998E-2</v>
      </c>
      <c r="Z5704">
        <v>1.836846E-2</v>
      </c>
      <c r="AA5704">
        <v>0.99632909999999997</v>
      </c>
      <c r="AB5704">
        <v>22</v>
      </c>
      <c r="AC5704">
        <v>9.4895999999999905</v>
      </c>
      <c r="AD5704">
        <v>-1.1048688859819</v>
      </c>
      <c r="AE5704">
        <v>-0.31376999999999799</v>
      </c>
      <c r="AF5704">
        <v>-0.80308488601767603</v>
      </c>
      <c r="AG5704">
        <v>-1.1048688859819</v>
      </c>
      <c r="AH5704">
        <v>9.3334481025284308</v>
      </c>
      <c r="AI5704">
        <v>96.726479943886901</v>
      </c>
      <c r="AJ5704">
        <v>94.917831230936201</v>
      </c>
      <c r="AK5704">
        <v>9.4328645740280006</v>
      </c>
    </row>
    <row r="5705" spans="1:37" x14ac:dyDescent="0.2">
      <c r="A5705" t="str">
        <f>"20200111160015062"</f>
        <v>20200111160015062</v>
      </c>
      <c r="B5705" t="str">
        <f>"1578729615057092"</f>
        <v>1578729615057092</v>
      </c>
      <c r="C5705" t="s">
        <v>37</v>
      </c>
      <c r="D5705">
        <v>4.8568680000000004</v>
      </c>
      <c r="E5705">
        <v>0.48574109999999998</v>
      </c>
      <c r="F5705" t="s">
        <v>39</v>
      </c>
      <c r="G5705">
        <v>-263.28919999999999</v>
      </c>
      <c r="H5705" s="1">
        <v>-7.9058769999999996E-7</v>
      </c>
      <c r="I5705">
        <v>-61.790329999999997</v>
      </c>
      <c r="J5705">
        <v>-272.89229999999998</v>
      </c>
      <c r="K5705">
        <v>1.104914</v>
      </c>
      <c r="L5705">
        <v>-61.49286</v>
      </c>
      <c r="M5705">
        <v>0.99316539999999998</v>
      </c>
      <c r="N5705">
        <v>0</v>
      </c>
      <c r="O5705">
        <v>-0.116695699999999</v>
      </c>
      <c r="P5705">
        <v>0.99648499999999995</v>
      </c>
      <c r="Q5705">
        <v>2.7442950000000001E-2</v>
      </c>
      <c r="R5705">
        <v>-7.9148049999999998E-2</v>
      </c>
      <c r="S5705">
        <v>3.0123289999999998</v>
      </c>
      <c r="T5705">
        <v>-0.34281609999999901</v>
      </c>
      <c r="U5705">
        <v>-9.5642089999999999E-2</v>
      </c>
      <c r="V5705">
        <v>-3.7823570000000001E-2</v>
      </c>
      <c r="W5705">
        <v>2.5066439999999999E-2</v>
      </c>
      <c r="X5705">
        <v>0.99897000000000002</v>
      </c>
      <c r="Y5705">
        <v>-8.3830489999999994E-2</v>
      </c>
      <c r="Z5705">
        <v>1.7959220000000001E-2</v>
      </c>
      <c r="AA5705">
        <v>0.99631819999999904</v>
      </c>
      <c r="AB5705">
        <v>22</v>
      </c>
      <c r="AC5705">
        <v>9.60309999999998</v>
      </c>
      <c r="AD5705">
        <v>-1.1049147905876999</v>
      </c>
      <c r="AE5705">
        <v>-0.29747000000000401</v>
      </c>
      <c r="AF5705">
        <v>-0.81443401676798699</v>
      </c>
      <c r="AG5705">
        <v>-1.1049147905876999</v>
      </c>
      <c r="AH5705">
        <v>9.4472557268269792</v>
      </c>
      <c r="AI5705">
        <v>96.646358657300894</v>
      </c>
      <c r="AJ5705">
        <v>94.927202774839699</v>
      </c>
      <c r="AK5705">
        <v>9.5464538039102997</v>
      </c>
    </row>
    <row r="5706" spans="1:37" x14ac:dyDescent="0.2">
      <c r="A5706" t="str">
        <f>"20200111160015073"</f>
        <v>20200111160015073</v>
      </c>
      <c r="B5706" t="str">
        <f>"1578729615066853"</f>
        <v>1578729615066853</v>
      </c>
      <c r="C5706" t="s">
        <v>37</v>
      </c>
      <c r="D5706">
        <v>4.8784089999999898</v>
      </c>
      <c r="E5706">
        <v>0.48577169999999997</v>
      </c>
      <c r="F5706" t="s">
        <v>39</v>
      </c>
      <c r="G5706">
        <v>-263.0865</v>
      </c>
      <c r="H5706" s="1">
        <v>-7.0195709999999898E-7</v>
      </c>
      <c r="I5706">
        <v>-61.783909999999999</v>
      </c>
      <c r="J5706">
        <v>-272.7867</v>
      </c>
      <c r="K5706">
        <v>1.1049530000000001</v>
      </c>
      <c r="L5706">
        <v>-61.503230000000002</v>
      </c>
      <c r="M5706">
        <v>0.99339040000000001</v>
      </c>
      <c r="N5706">
        <v>0</v>
      </c>
      <c r="O5706">
        <v>-0.1147653</v>
      </c>
      <c r="P5706">
        <v>0.99665400000000004</v>
      </c>
      <c r="Q5706">
        <v>2.817008E-2</v>
      </c>
      <c r="R5706">
        <v>-7.6728969999999994E-2</v>
      </c>
      <c r="S5706">
        <v>3.0128169999999899</v>
      </c>
      <c r="T5706">
        <v>-0.33948449999999902</v>
      </c>
      <c r="U5706">
        <v>-8.9447020000000002E-2</v>
      </c>
      <c r="V5706">
        <v>-3.8311570000000003E-2</v>
      </c>
      <c r="W5706">
        <v>2.580435E-2</v>
      </c>
      <c r="X5706">
        <v>0.99893259999999995</v>
      </c>
      <c r="Y5706">
        <v>-8.3982180000000003E-2</v>
      </c>
      <c r="Z5706">
        <v>1.7576899999999999E-2</v>
      </c>
      <c r="AA5706">
        <v>0.99631219999999998</v>
      </c>
      <c r="AB5706">
        <v>22</v>
      </c>
      <c r="AC5706">
        <v>9.7001999999999899</v>
      </c>
      <c r="AD5706">
        <v>-1.1049537019571001</v>
      </c>
      <c r="AE5706">
        <v>-0.28067999999999599</v>
      </c>
      <c r="AF5706">
        <v>-0.82374378574580498</v>
      </c>
      <c r="AG5706">
        <v>-1.1049537019571001</v>
      </c>
      <c r="AH5706">
        <v>9.5445765291490403</v>
      </c>
      <c r="AI5706">
        <v>96.579362405307705</v>
      </c>
      <c r="AJ5706">
        <v>94.932684037250894</v>
      </c>
      <c r="AK5706">
        <v>9.6435687185194201</v>
      </c>
    </row>
    <row r="5707" spans="1:37" x14ac:dyDescent="0.2">
      <c r="A5707" t="str">
        <f>"20200111160015083"</f>
        <v>20200111160015083</v>
      </c>
      <c r="B5707" t="str">
        <f>"1578729615076612"</f>
        <v>1578729615076612</v>
      </c>
      <c r="C5707" t="s">
        <v>37</v>
      </c>
      <c r="D5707">
        <v>4.8685239999999999</v>
      </c>
      <c r="E5707">
        <v>0.48577169999999997</v>
      </c>
      <c r="F5707" t="s">
        <v>39</v>
      </c>
      <c r="G5707">
        <v>-262.88119999999998</v>
      </c>
      <c r="H5707" s="1">
        <v>-6.1118540000000005E-7</v>
      </c>
      <c r="I5707">
        <v>-61.773829999999997</v>
      </c>
      <c r="J5707">
        <v>-272.68419999999998</v>
      </c>
      <c r="K5707">
        <v>1.104992</v>
      </c>
      <c r="L5707">
        <v>-61.513210000000001</v>
      </c>
      <c r="M5707">
        <v>0.99360539999999997</v>
      </c>
      <c r="N5707">
        <v>0</v>
      </c>
      <c r="O5707">
        <v>-0.112889</v>
      </c>
      <c r="P5707">
        <v>0.9968186</v>
      </c>
      <c r="Q5707">
        <v>2.839355E-2</v>
      </c>
      <c r="R5707">
        <v>-7.4477169999999995E-2</v>
      </c>
      <c r="S5707">
        <v>3.013245</v>
      </c>
      <c r="T5707">
        <v>-0.33612619999999999</v>
      </c>
      <c r="U5707">
        <v>-8.2336430000000002E-2</v>
      </c>
      <c r="V5707">
        <v>-3.868477E-2</v>
      </c>
      <c r="W5707">
        <v>2.6038869999999999E-2</v>
      </c>
      <c r="X5707">
        <v>0.99891219999999903</v>
      </c>
      <c r="Y5707">
        <v>-8.4486980000000003E-2</v>
      </c>
      <c r="Z5707">
        <v>1.72233E-2</v>
      </c>
      <c r="AA5707">
        <v>0.99627569999999999</v>
      </c>
      <c r="AB5707">
        <v>22</v>
      </c>
      <c r="AC5707">
        <v>9.8029999999999902</v>
      </c>
      <c r="AD5707">
        <v>-1.1049926111853901</v>
      </c>
      <c r="AE5707">
        <v>-0.26062000000000202</v>
      </c>
      <c r="AF5707">
        <v>-0.83707116954604399</v>
      </c>
      <c r="AG5707">
        <v>-1.1049926111853901</v>
      </c>
      <c r="AH5707">
        <v>9.6472669667576394</v>
      </c>
      <c r="AI5707">
        <v>96.509903392240105</v>
      </c>
      <c r="AJ5707">
        <v>94.959003076384207</v>
      </c>
      <c r="AK5707">
        <v>9.7463560750442895</v>
      </c>
    </row>
    <row r="5708" spans="1:37" x14ac:dyDescent="0.2">
      <c r="A5708" t="str">
        <f>"20200111160015094"</f>
        <v>20200111160015094</v>
      </c>
      <c r="B5708" t="str">
        <f>"1578729615086373"</f>
        <v>1578729615086373</v>
      </c>
      <c r="C5708" t="s">
        <v>37</v>
      </c>
      <c r="D5708">
        <v>4.8270099999999996</v>
      </c>
      <c r="E5708">
        <v>0.48687439999999998</v>
      </c>
      <c r="F5708" t="s">
        <v>87</v>
      </c>
      <c r="G5708">
        <v>-262.75619999999998</v>
      </c>
      <c r="H5708" s="1">
        <v>-5.5431059999999899E-7</v>
      </c>
      <c r="I5708">
        <v>-61.761679999999998</v>
      </c>
      <c r="J5708">
        <v>-272.58269999999999</v>
      </c>
      <c r="K5708">
        <v>1.1050219999999999</v>
      </c>
      <c r="L5708">
        <v>-61.522799999999997</v>
      </c>
      <c r="M5708">
        <v>0.99381600000000003</v>
      </c>
      <c r="N5708">
        <v>0</v>
      </c>
      <c r="O5708">
        <v>-0.1110202</v>
      </c>
      <c r="P5708">
        <v>0.99697969999999903</v>
      </c>
      <c r="Q5708">
        <v>2.8597060000000001E-2</v>
      </c>
      <c r="R5708">
        <v>-7.2206999999999993E-2</v>
      </c>
      <c r="S5708">
        <v>3.0134889999999999</v>
      </c>
      <c r="T5708">
        <v>-0.33540219999999998</v>
      </c>
      <c r="U5708">
        <v>-7.5439450000000005E-2</v>
      </c>
      <c r="V5708">
        <v>-3.9083220000000002E-2</v>
      </c>
      <c r="W5708">
        <v>2.6255279999999999E-2</v>
      </c>
      <c r="X5708">
        <v>0.99889089999999903</v>
      </c>
      <c r="Y5708">
        <v>-8.4908189999999995E-2</v>
      </c>
      <c r="Z5708">
        <v>1.7003130000000002E-2</v>
      </c>
      <c r="AA5708">
        <v>0.99624369999999995</v>
      </c>
      <c r="AB5708">
        <v>22</v>
      </c>
      <c r="AC5708">
        <v>9.82650000000001</v>
      </c>
      <c r="AD5708">
        <v>-1.1050225543106</v>
      </c>
      <c r="AE5708">
        <v>-0.238880000000008</v>
      </c>
      <c r="AF5708">
        <v>-0.84288641795671904</v>
      </c>
      <c r="AG5708">
        <v>-1.1050225543106</v>
      </c>
      <c r="AH5708">
        <v>9.6700614035943904</v>
      </c>
      <c r="AI5708">
        <v>96.494643328865607</v>
      </c>
      <c r="AJ5708">
        <v>94.981569426780297</v>
      </c>
      <c r="AK5708">
        <v>9.7694227008762908</v>
      </c>
    </row>
    <row r="5709" spans="1:37" x14ac:dyDescent="0.2">
      <c r="A5709" t="str">
        <f>"20200111160015105"</f>
        <v>20200111160015105</v>
      </c>
      <c r="B5709" t="str">
        <f>"1578729615097109"</f>
        <v>1578729615097109</v>
      </c>
      <c r="C5709" t="s">
        <v>37</v>
      </c>
      <c r="D5709">
        <v>4.9423890000000004</v>
      </c>
      <c r="E5709">
        <v>0.48445959999999899</v>
      </c>
      <c r="F5709" t="s">
        <v>88</v>
      </c>
      <c r="G5709">
        <v>-254.92519999999999</v>
      </c>
      <c r="H5709" s="1">
        <v>-1.6189869999999999E-6</v>
      </c>
      <c r="I5709">
        <v>-62.0473199999999</v>
      </c>
      <c r="J5709">
        <v>-272.46530000000001</v>
      </c>
      <c r="K5709">
        <v>1.1050519999999999</v>
      </c>
      <c r="L5709">
        <v>-61.533749999999998</v>
      </c>
      <c r="M5709">
        <v>0.99405540000000003</v>
      </c>
      <c r="N5709">
        <v>0</v>
      </c>
      <c r="O5709">
        <v>-0.1088568</v>
      </c>
      <c r="P5709">
        <v>0.99718329999999999</v>
      </c>
      <c r="Q5709">
        <v>2.8626740000000001E-2</v>
      </c>
      <c r="R5709">
        <v>-6.9326970000000002E-2</v>
      </c>
      <c r="S5709">
        <v>3.008057</v>
      </c>
      <c r="T5709">
        <v>-0.18824679999999999</v>
      </c>
      <c r="U5709">
        <v>-8.9355470000000006E-2</v>
      </c>
      <c r="V5709">
        <v>-3.9797159999999998E-2</v>
      </c>
      <c r="W5709">
        <v>2.6298180000000001E-2</v>
      </c>
      <c r="X5709">
        <v>0.99886169999999996</v>
      </c>
      <c r="Y5709">
        <v>-7.8927109999999995E-2</v>
      </c>
      <c r="Z5709">
        <v>9.2580340000000001E-3</v>
      </c>
      <c r="AA5709">
        <v>0.99683739999999998</v>
      </c>
      <c r="AB5709">
        <v>23</v>
      </c>
      <c r="AC5709">
        <v>17.540099999999999</v>
      </c>
      <c r="AD5709">
        <v>-1.1050536189869999</v>
      </c>
      <c r="AE5709">
        <v>-0.51356999999999398</v>
      </c>
      <c r="AF5709">
        <v>-1.39331934396393</v>
      </c>
      <c r="AG5709">
        <v>-1.1050536189869999</v>
      </c>
      <c r="AH5709">
        <v>17.422677415798599</v>
      </c>
      <c r="AI5709">
        <v>93.617671126891693</v>
      </c>
      <c r="AJ5709">
        <v>94.572304256068094</v>
      </c>
      <c r="AK5709">
        <v>17.513199896937099</v>
      </c>
    </row>
    <row r="5710" spans="1:37" x14ac:dyDescent="0.2">
      <c r="A5710" t="str">
        <f>"20200111160015117"</f>
        <v>20200111160015117</v>
      </c>
      <c r="B5710" t="str">
        <f>"1578729615106869"</f>
        <v>1578729615106869</v>
      </c>
      <c r="C5710" t="s">
        <v>37</v>
      </c>
      <c r="D5710">
        <v>4.8679309999999996</v>
      </c>
      <c r="E5710">
        <v>0.48441030000000002</v>
      </c>
      <c r="F5710" t="s">
        <v>88</v>
      </c>
      <c r="G5710">
        <v>-253.18129999999999</v>
      </c>
      <c r="H5710" s="1">
        <v>-8.4600139999999897E-7</v>
      </c>
      <c r="I5710">
        <v>-61.935469999999903</v>
      </c>
      <c r="J5710">
        <v>-272.34859999999998</v>
      </c>
      <c r="K5710">
        <v>1.1050789999999999</v>
      </c>
      <c r="L5710">
        <v>-61.544249999999998</v>
      </c>
      <c r="M5710">
        <v>0.99428930000000004</v>
      </c>
      <c r="N5710">
        <v>0</v>
      </c>
      <c r="O5710">
        <v>-0.106698499999999</v>
      </c>
      <c r="P5710">
        <v>0.99736689999999995</v>
      </c>
      <c r="Q5710">
        <v>2.8366010000000001E-2</v>
      </c>
      <c r="R5710">
        <v>-6.6745090000000007E-2</v>
      </c>
      <c r="S5710">
        <v>3.0090330000000001</v>
      </c>
      <c r="T5710">
        <v>-0.17243020000000001</v>
      </c>
      <c r="U5710">
        <v>-6.268311E-2</v>
      </c>
      <c r="V5710">
        <v>-4.021607E-2</v>
      </c>
      <c r="W5710">
        <v>2.605412E-2</v>
      </c>
      <c r="X5710">
        <v>0.99885119999999905</v>
      </c>
      <c r="Y5710">
        <v>-8.5652629999999993E-2</v>
      </c>
      <c r="Z5710">
        <v>8.5500160000000006E-3</v>
      </c>
      <c r="AA5710">
        <v>0.99628839999999996</v>
      </c>
      <c r="AB5710">
        <v>23</v>
      </c>
      <c r="AC5710">
        <v>19.167299999999901</v>
      </c>
      <c r="AD5710">
        <v>-1.1050798460014</v>
      </c>
      <c r="AE5710">
        <v>-0.39121999999999701</v>
      </c>
      <c r="AF5710">
        <v>-1.6506552428930501</v>
      </c>
      <c r="AG5710">
        <v>-1.1050798460014</v>
      </c>
      <c r="AH5710">
        <v>19.036372970816299</v>
      </c>
      <c r="AI5710">
        <v>93.309954454933603</v>
      </c>
      <c r="AJ5710">
        <v>94.955755660315603</v>
      </c>
      <c r="AK5710">
        <v>19.139732497633101</v>
      </c>
    </row>
    <row r="5711" spans="1:37" x14ac:dyDescent="0.2">
      <c r="A5711" t="str">
        <f>"20200111160015130"</f>
        <v>20200111160015130</v>
      </c>
      <c r="B5711" t="str">
        <f>"1578729615126389"</f>
        <v>1578729615126389</v>
      </c>
      <c r="C5711" t="s">
        <v>37</v>
      </c>
      <c r="D5711">
        <v>4.7996569999999998</v>
      </c>
      <c r="E5711">
        <v>0.48488439999999999</v>
      </c>
      <c r="F5711" t="s">
        <v>88</v>
      </c>
      <c r="G5711">
        <v>-252.4367</v>
      </c>
      <c r="H5711" s="1">
        <v>-5.2057589999999997E-7</v>
      </c>
      <c r="I5711">
        <v>-61.908569999999997</v>
      </c>
      <c r="J5711">
        <v>-272.22489999999999</v>
      </c>
      <c r="K5711">
        <v>1.1051</v>
      </c>
      <c r="L5711">
        <v>-61.555209999999903</v>
      </c>
      <c r="M5711">
        <v>0.99453199999999997</v>
      </c>
      <c r="N5711">
        <v>0</v>
      </c>
      <c r="O5711">
        <v>-0.10441209999999999</v>
      </c>
      <c r="P5711">
        <v>0.99755559999999999</v>
      </c>
      <c r="Q5711">
        <v>2.8291549999999999E-2</v>
      </c>
      <c r="R5711">
        <v>-6.3894640000000003E-2</v>
      </c>
      <c r="S5711">
        <v>3.0090029999999999</v>
      </c>
      <c r="T5711">
        <v>-0.16699510000000001</v>
      </c>
      <c r="U5711">
        <v>-5.5053709999999999E-2</v>
      </c>
      <c r="V5711">
        <v>-4.0775760000000001E-2</v>
      </c>
      <c r="W5711">
        <v>2.599692E-2</v>
      </c>
      <c r="X5711">
        <v>0.99883009999999905</v>
      </c>
      <c r="Y5711">
        <v>-8.5909369999999999E-2</v>
      </c>
      <c r="Z5711">
        <v>8.1623559999999904E-3</v>
      </c>
      <c r="AA5711">
        <v>0.99626949999999903</v>
      </c>
      <c r="AB5711">
        <v>23</v>
      </c>
      <c r="AC5711">
        <v>19.7881999999999</v>
      </c>
      <c r="AD5711">
        <v>-1.1051005205758999</v>
      </c>
      <c r="AE5711">
        <v>-0.35336000000000201</v>
      </c>
      <c r="AF5711">
        <v>-1.7093737649852001</v>
      </c>
      <c r="AG5711">
        <v>-1.1051005205758999</v>
      </c>
      <c r="AH5711">
        <v>19.655651735913501</v>
      </c>
      <c r="AI5711">
        <v>93.205880191072396</v>
      </c>
      <c r="AJ5711">
        <v>94.970280746773398</v>
      </c>
      <c r="AK5711">
        <v>19.7607654455113</v>
      </c>
    </row>
    <row r="5712" spans="1:37" x14ac:dyDescent="0.2">
      <c r="A5712" t="str">
        <f>"20200111160015142"</f>
        <v>20200111160015142</v>
      </c>
      <c r="B5712" t="str">
        <f>"1578729615137126"</f>
        <v>1578729615137126</v>
      </c>
      <c r="C5712" t="s">
        <v>37</v>
      </c>
      <c r="D5712">
        <v>4.8360019999999997</v>
      </c>
      <c r="E5712">
        <v>0.48503209999999902</v>
      </c>
      <c r="F5712" t="s">
        <v>88</v>
      </c>
      <c r="G5712">
        <v>-251.28039999999999</v>
      </c>
      <c r="H5712" s="1">
        <v>-2.4855579999999999E-8</v>
      </c>
      <c r="I5712">
        <v>-61.909990000000001</v>
      </c>
      <c r="J5712">
        <v>-272.0985</v>
      </c>
      <c r="K5712">
        <v>1.1051249999999999</v>
      </c>
      <c r="L5712">
        <v>-61.566099999999999</v>
      </c>
      <c r="M5712">
        <v>0.99477510000000002</v>
      </c>
      <c r="N5712">
        <v>0</v>
      </c>
      <c r="O5712">
        <v>-0.1020715</v>
      </c>
      <c r="P5712">
        <v>0.99774249999999998</v>
      </c>
      <c r="Q5712">
        <v>2.8133249999999999E-2</v>
      </c>
      <c r="R5712">
        <v>-6.0979569999999997E-2</v>
      </c>
      <c r="S5712">
        <v>3.0086360000000001</v>
      </c>
      <c r="T5712">
        <v>-0.1587451</v>
      </c>
      <c r="U5712">
        <v>-5.096436E-2</v>
      </c>
      <c r="V5712">
        <v>-4.1345069999999998E-2</v>
      </c>
      <c r="W5712">
        <v>2.5857729999999999E-2</v>
      </c>
      <c r="X5712">
        <v>0.99881030000000004</v>
      </c>
      <c r="Y5712">
        <v>-8.494902E-2</v>
      </c>
      <c r="Z5712">
        <v>7.6126550000000003E-3</v>
      </c>
      <c r="AA5712">
        <v>0.99635620000000003</v>
      </c>
      <c r="AB5712">
        <v>23</v>
      </c>
      <c r="AC5712">
        <v>20.818100000000001</v>
      </c>
      <c r="AD5712">
        <v>-1.10512502485558</v>
      </c>
      <c r="AE5712">
        <v>-0.34389000000000097</v>
      </c>
      <c r="AF5712">
        <v>-1.77783639753776</v>
      </c>
      <c r="AG5712">
        <v>-1.10512502485558</v>
      </c>
      <c r="AH5712">
        <v>20.686191685868</v>
      </c>
      <c r="AI5712">
        <v>93.046813442170205</v>
      </c>
      <c r="AJ5712">
        <v>94.912109307325593</v>
      </c>
      <c r="AK5712">
        <v>20.791838063082501</v>
      </c>
    </row>
    <row r="5713" spans="1:37" x14ac:dyDescent="0.2">
      <c r="A5713" t="str">
        <f>"20200111160015152"</f>
        <v>20200111160015152</v>
      </c>
      <c r="B5713" t="str">
        <f>"1578729615146884"</f>
        <v>1578729615146884</v>
      </c>
      <c r="C5713" t="s">
        <v>37</v>
      </c>
      <c r="D5713">
        <v>4.8174839999999897</v>
      </c>
      <c r="E5713">
        <v>0.48475439999999997</v>
      </c>
      <c r="F5713" t="s">
        <v>88</v>
      </c>
      <c r="G5713">
        <v>-250.91849999999999</v>
      </c>
      <c r="H5713" s="1">
        <v>1.3864179999999999E-7</v>
      </c>
      <c r="I5713">
        <v>-61.872900000000001</v>
      </c>
      <c r="J5713">
        <v>-271.99149999999997</v>
      </c>
      <c r="K5713">
        <v>1.1051469999999901</v>
      </c>
      <c r="L5713">
        <v>-61.575040000000001</v>
      </c>
      <c r="M5713">
        <v>0.99497619999999898</v>
      </c>
      <c r="N5713">
        <v>0</v>
      </c>
      <c r="O5713">
        <v>-0.1000926</v>
      </c>
      <c r="P5713">
        <v>0.99788209999999999</v>
      </c>
      <c r="Q5713">
        <v>2.8155050000000001E-2</v>
      </c>
      <c r="R5713">
        <v>-5.8637679999999998E-2</v>
      </c>
      <c r="S5713">
        <v>3.0085449999999998</v>
      </c>
      <c r="T5713">
        <v>-0.15697910000000001</v>
      </c>
      <c r="U5713">
        <v>-4.3579100000000003E-2</v>
      </c>
      <c r="V5713">
        <v>-4.1704129999999999E-2</v>
      </c>
      <c r="W5713">
        <v>2.589634E-2</v>
      </c>
      <c r="X5713">
        <v>0.99879430000000002</v>
      </c>
      <c r="Y5713">
        <v>-8.5419529999999994E-2</v>
      </c>
      <c r="Z5713">
        <v>7.4381450000000002E-3</v>
      </c>
      <c r="AA5713">
        <v>0.99631729999999996</v>
      </c>
      <c r="AB5713">
        <v>23</v>
      </c>
      <c r="AC5713">
        <v>21.072999999999901</v>
      </c>
      <c r="AD5713">
        <v>-1.1051468613581901</v>
      </c>
      <c r="AE5713">
        <v>-0.29786000000000001</v>
      </c>
      <c r="AF5713">
        <v>-1.8079198122473701</v>
      </c>
      <c r="AG5713">
        <v>-1.1051468613581901</v>
      </c>
      <c r="AH5713">
        <v>20.939408180152402</v>
      </c>
      <c r="AI5713">
        <v>93.009994317318402</v>
      </c>
      <c r="AJ5713">
        <v>94.934710587812603</v>
      </c>
      <c r="AK5713">
        <v>21.046347392545801</v>
      </c>
    </row>
    <row r="5714" spans="1:37" x14ac:dyDescent="0.2">
      <c r="A5714" t="str">
        <f>"20200111160015163"</f>
        <v>20200111160015163</v>
      </c>
      <c r="B5714" t="str">
        <f>"1578729615157155"</f>
        <v>1578729615157155</v>
      </c>
      <c r="C5714" t="s">
        <v>37</v>
      </c>
      <c r="D5714">
        <v>4.8262159999999996</v>
      </c>
      <c r="E5714">
        <v>0.48483159999999997</v>
      </c>
      <c r="F5714" t="s">
        <v>88</v>
      </c>
      <c r="G5714">
        <v>-251.0557</v>
      </c>
      <c r="H5714" s="1">
        <v>9.3292839999999896E-8</v>
      </c>
      <c r="I5714">
        <v>-61.81223</v>
      </c>
      <c r="J5714">
        <v>-271.8691</v>
      </c>
      <c r="K5714">
        <v>1.105165</v>
      </c>
      <c r="L5714">
        <v>-61.58511</v>
      </c>
      <c r="M5714">
        <v>0.99520149999999996</v>
      </c>
      <c r="N5714">
        <v>0</v>
      </c>
      <c r="O5714">
        <v>-9.7827849999999994E-2</v>
      </c>
      <c r="P5714">
        <v>0.99802709999999994</v>
      </c>
      <c r="Q5714">
        <v>2.8045980000000002E-2</v>
      </c>
      <c r="R5714">
        <v>-5.617225E-2</v>
      </c>
      <c r="S5714">
        <v>3.0088200000000001</v>
      </c>
      <c r="T5714">
        <v>-0.15882739999999901</v>
      </c>
      <c r="U5714">
        <v>-3.4088130000000001E-2</v>
      </c>
      <c r="V5714">
        <v>-4.1899970000000002E-2</v>
      </c>
      <c r="W5714">
        <v>2.580911E-2</v>
      </c>
      <c r="X5714">
        <v>0.99878840000000002</v>
      </c>
      <c r="Y5714">
        <v>-8.6291499999999993E-2</v>
      </c>
      <c r="Z5714">
        <v>7.4292869999999997E-3</v>
      </c>
      <c r="AA5714">
        <v>0.99624219999999897</v>
      </c>
      <c r="AB5714">
        <v>23</v>
      </c>
      <c r="AC5714">
        <v>20.813400000000001</v>
      </c>
      <c r="AD5714">
        <v>-1.1051649067071501</v>
      </c>
      <c r="AE5714">
        <v>-0.22712000000000601</v>
      </c>
      <c r="AF5714">
        <v>-1.80501475823809</v>
      </c>
      <c r="AG5714">
        <v>-1.1051649067071501</v>
      </c>
      <c r="AH5714">
        <v>20.677491069784701</v>
      </c>
      <c r="AI5714">
        <v>93.047849602435207</v>
      </c>
      <c r="AJ5714">
        <v>94.988914232553697</v>
      </c>
      <c r="AK5714">
        <v>20.785526326978101</v>
      </c>
    </row>
    <row r="5715" spans="1:37" x14ac:dyDescent="0.2">
      <c r="A5715" t="str">
        <f>"20200111160015175"</f>
        <v>20200111160015175</v>
      </c>
      <c r="B5715" t="str">
        <f>"1578729615166914"</f>
        <v>1578729615166914</v>
      </c>
      <c r="C5715" t="s">
        <v>37</v>
      </c>
      <c r="D5715">
        <v>4.7895129999999897</v>
      </c>
      <c r="E5715">
        <v>0.48498559999999902</v>
      </c>
      <c r="F5715" t="s">
        <v>88</v>
      </c>
      <c r="G5715">
        <v>-250.8382</v>
      </c>
      <c r="H5715" s="1">
        <v>1.94839799999999E-7</v>
      </c>
      <c r="I5715">
        <v>-61.775169999999903</v>
      </c>
      <c r="J5715">
        <v>-271.75200000000001</v>
      </c>
      <c r="K5715">
        <v>1.105181</v>
      </c>
      <c r="L5715">
        <v>-61.594329999999999</v>
      </c>
      <c r="M5715">
        <v>0.9954115</v>
      </c>
      <c r="N5715">
        <v>0</v>
      </c>
      <c r="O5715">
        <v>-9.56679E-2</v>
      </c>
      <c r="P5715">
        <v>0.99813859999999999</v>
      </c>
      <c r="Q5715">
        <v>2.794218E-2</v>
      </c>
      <c r="R5715">
        <v>-5.4211910000000002E-2</v>
      </c>
      <c r="S5715">
        <v>3.0088200000000001</v>
      </c>
      <c r="T5715">
        <v>-0.158112</v>
      </c>
      <c r="U5715">
        <v>-2.7191159999999999E-2</v>
      </c>
      <c r="V5715">
        <v>-4.1695259999999998E-2</v>
      </c>
      <c r="W5715">
        <v>2.5729499999999999E-2</v>
      </c>
      <c r="X5715">
        <v>0.99879899999999999</v>
      </c>
      <c r="Y5715">
        <v>-8.6417969999999997E-2</v>
      </c>
      <c r="Z5715">
        <v>7.2864239999999997E-3</v>
      </c>
      <c r="AA5715">
        <v>0.99623229999999996</v>
      </c>
      <c r="AB5715">
        <v>23</v>
      </c>
      <c r="AC5715">
        <v>20.913799999999998</v>
      </c>
      <c r="AD5715">
        <v>-1.1051808051601999</v>
      </c>
      <c r="AE5715">
        <v>-0.18083999999998901</v>
      </c>
      <c r="AF5715">
        <v>-1.81570232924375</v>
      </c>
      <c r="AG5715">
        <v>-1.1051808051601999</v>
      </c>
      <c r="AH5715">
        <v>20.777158210623298</v>
      </c>
      <c r="AI5715">
        <v>93.033275018594196</v>
      </c>
      <c r="AJ5715">
        <v>94.994352870056105</v>
      </c>
      <c r="AK5715">
        <v>20.885605159290701</v>
      </c>
    </row>
    <row r="5716" spans="1:37" x14ac:dyDescent="0.2">
      <c r="A5716" t="str">
        <f>"20200111160015186"</f>
        <v>20200111160015186</v>
      </c>
      <c r="B5716" t="str">
        <f>"1578729615176674"</f>
        <v>1578729615176674</v>
      </c>
      <c r="C5716" t="s">
        <v>37</v>
      </c>
      <c r="D5716">
        <v>4.8072879999999998</v>
      </c>
      <c r="E5716">
        <v>0.48536949999999901</v>
      </c>
      <c r="F5716" t="s">
        <v>88</v>
      </c>
      <c r="G5716">
        <v>-250.63040000000001</v>
      </c>
      <c r="H5716" s="1">
        <v>2.8928229999999999E-7</v>
      </c>
      <c r="I5716">
        <v>-61.751359999999998</v>
      </c>
      <c r="J5716">
        <v>-271.6379</v>
      </c>
      <c r="K5716">
        <v>1.105197</v>
      </c>
      <c r="L5716">
        <v>-61.60324</v>
      </c>
      <c r="M5716">
        <v>0.99561169999999999</v>
      </c>
      <c r="N5716">
        <v>0</v>
      </c>
      <c r="O5716">
        <v>-9.356122E-2</v>
      </c>
      <c r="P5716">
        <v>0.99825929999999996</v>
      </c>
      <c r="Q5716">
        <v>2.7511319999999999E-2</v>
      </c>
      <c r="R5716">
        <v>-5.2170479999999998E-2</v>
      </c>
      <c r="S5716">
        <v>3.008759</v>
      </c>
      <c r="T5716">
        <v>-0.15743189999999899</v>
      </c>
      <c r="U5716">
        <v>-2.2369380000000001E-2</v>
      </c>
      <c r="V5716">
        <v>-4.1624260000000003E-2</v>
      </c>
      <c r="W5716">
        <v>2.5321940000000001E-2</v>
      </c>
      <c r="X5716">
        <v>0.99881239999999905</v>
      </c>
      <c r="Y5716">
        <v>-8.5911710000000002E-2</v>
      </c>
      <c r="Z5716">
        <v>7.1324159999999999E-3</v>
      </c>
      <c r="AA5716">
        <v>0.99627719999999897</v>
      </c>
      <c r="AB5716">
        <v>24</v>
      </c>
      <c r="AC5716">
        <v>21.0075</v>
      </c>
      <c r="AD5716">
        <v>-1.1051967107177001</v>
      </c>
      <c r="AE5716">
        <v>-0.148119999999998</v>
      </c>
      <c r="AF5716">
        <v>-1.8130029032885</v>
      </c>
      <c r="AG5716">
        <v>-1.1051967107177001</v>
      </c>
      <c r="AH5716">
        <v>20.871444633461302</v>
      </c>
      <c r="AI5716">
        <v>93.019777641865801</v>
      </c>
      <c r="AJ5716">
        <v>94.964549486609798</v>
      </c>
      <c r="AK5716">
        <v>20.979171584797101</v>
      </c>
    </row>
    <row r="5717" spans="1:37" x14ac:dyDescent="0.2">
      <c r="A5717" t="str">
        <f>"20200111160015196"</f>
        <v>20200111160015196</v>
      </c>
      <c r="B5717" t="str">
        <f>"1578729615186434"</f>
        <v>1578729615186434</v>
      </c>
      <c r="C5717" t="s">
        <v>37</v>
      </c>
      <c r="D5717">
        <v>4.7994029999999999</v>
      </c>
      <c r="E5717">
        <v>0.48551059999999902</v>
      </c>
      <c r="F5717" t="s">
        <v>88</v>
      </c>
      <c r="G5717">
        <v>-250.4983</v>
      </c>
      <c r="H5717" s="1">
        <v>3.4875809999999899E-7</v>
      </c>
      <c r="I5717">
        <v>-61.738759999999999</v>
      </c>
      <c r="J5717">
        <v>-271.52109999999999</v>
      </c>
      <c r="K5717">
        <v>1.1052120000000001</v>
      </c>
      <c r="L5717">
        <v>-61.6119699999999</v>
      </c>
      <c r="M5717">
        <v>0.99581119999999901</v>
      </c>
      <c r="N5717">
        <v>0</v>
      </c>
      <c r="O5717">
        <v>-9.1415540000000003E-2</v>
      </c>
      <c r="P5717">
        <v>0.99836320000000001</v>
      </c>
      <c r="Q5717">
        <v>2.723809E-2</v>
      </c>
      <c r="R5717">
        <v>-5.0295949999999999E-2</v>
      </c>
      <c r="S5717">
        <v>3.0086059999999999</v>
      </c>
      <c r="T5717">
        <v>-0.1572924</v>
      </c>
      <c r="U5717">
        <v>-1.928711E-2</v>
      </c>
      <c r="V5717">
        <v>-4.134732E-2</v>
      </c>
      <c r="W5717">
        <v>2.5074059999999999E-2</v>
      </c>
      <c r="X5717">
        <v>0.99883009999999905</v>
      </c>
      <c r="Y5717">
        <v>-8.4789809999999993E-2</v>
      </c>
      <c r="Z5717">
        <v>6.9855200000000003E-3</v>
      </c>
      <c r="AA5717">
        <v>0.99637439999999999</v>
      </c>
      <c r="AB5717">
        <v>24</v>
      </c>
      <c r="AC5717">
        <v>21.022799999999901</v>
      </c>
      <c r="AD5717">
        <v>-1.1052116512418999</v>
      </c>
      <c r="AE5717">
        <v>-0.12679000000000601</v>
      </c>
      <c r="AF5717">
        <v>-1.79060589992453</v>
      </c>
      <c r="AG5717">
        <v>-1.1052116512418999</v>
      </c>
      <c r="AH5717">
        <v>20.888634011515101</v>
      </c>
      <c r="AI5717">
        <v>93.017633014020305</v>
      </c>
      <c r="AJ5717">
        <v>94.899505127321902</v>
      </c>
      <c r="AK5717">
        <v>20.994351458187801</v>
      </c>
    </row>
    <row r="5718" spans="1:37" x14ac:dyDescent="0.2">
      <c r="A5718" t="str">
        <f>"20200111160015207"</f>
        <v>20200111160015207</v>
      </c>
      <c r="B5718" t="str">
        <f>"1578729615196194"</f>
        <v>1578729615196194</v>
      </c>
      <c r="C5718" t="s">
        <v>37</v>
      </c>
      <c r="D5718">
        <v>4.8257449999999897</v>
      </c>
      <c r="E5718">
        <v>0.48587720000000001</v>
      </c>
      <c r="F5718" t="s">
        <v>88</v>
      </c>
      <c r="G5718">
        <v>-250.7276</v>
      </c>
      <c r="H5718" s="1">
        <v>2.563147E-7</v>
      </c>
      <c r="I5718">
        <v>-61.711939999999998</v>
      </c>
      <c r="J5718">
        <v>-271.41129999999998</v>
      </c>
      <c r="K5718">
        <v>1.105224</v>
      </c>
      <c r="L5718">
        <v>-61.620089999999998</v>
      </c>
      <c r="M5718">
        <v>0.99599419999999905</v>
      </c>
      <c r="N5718">
        <v>0</v>
      </c>
      <c r="O5718">
        <v>-8.9398229999999995E-2</v>
      </c>
      <c r="P5718">
        <v>0.99845709999999999</v>
      </c>
      <c r="Q5718">
        <v>2.6875630000000001E-2</v>
      </c>
      <c r="R5718">
        <v>-4.8591950000000002E-2</v>
      </c>
      <c r="S5718">
        <v>3.0085449999999998</v>
      </c>
      <c r="T5718">
        <v>-0.15990979999999999</v>
      </c>
      <c r="U5718">
        <v>-1.446533E-2</v>
      </c>
      <c r="V5718">
        <v>-4.1028549999999997E-2</v>
      </c>
      <c r="W5718">
        <v>2.4737039999999998E-2</v>
      </c>
      <c r="X5718">
        <v>0.99885170000000001</v>
      </c>
      <c r="Y5718">
        <v>-8.4363599999999997E-2</v>
      </c>
      <c r="Z5718">
        <v>6.9837390000000001E-3</v>
      </c>
      <c r="AA5718">
        <v>0.99641049999999998</v>
      </c>
      <c r="AB5718">
        <v>24</v>
      </c>
      <c r="AC5718">
        <v>20.683699999999899</v>
      </c>
      <c r="AD5718">
        <v>-1.1052237436853001</v>
      </c>
      <c r="AE5718">
        <v>-9.1850000000000806E-2</v>
      </c>
      <c r="AF5718">
        <v>-1.75260316786365</v>
      </c>
      <c r="AG5718">
        <v>-1.1052237436853001</v>
      </c>
      <c r="AH5718">
        <v>20.550417234962701</v>
      </c>
      <c r="AI5718">
        <v>93.067350292439002</v>
      </c>
      <c r="AJ5718">
        <v>94.874566284276995</v>
      </c>
      <c r="AK5718">
        <v>20.654606893346202</v>
      </c>
    </row>
    <row r="5719" spans="1:37" x14ac:dyDescent="0.2">
      <c r="A5719" t="str">
        <f>"20200111160015217"</f>
        <v>20200111160015217</v>
      </c>
      <c r="B5719" t="str">
        <f>"1578729615206932"</f>
        <v>1578729615206932</v>
      </c>
      <c r="C5719" t="s">
        <v>37</v>
      </c>
      <c r="D5719">
        <v>4.8168680000000004</v>
      </c>
      <c r="E5719">
        <v>0.48613299999999998</v>
      </c>
      <c r="F5719" t="s">
        <v>88</v>
      </c>
      <c r="G5719">
        <v>-250.63210000000001</v>
      </c>
      <c r="H5719" s="1">
        <v>2.987858E-7</v>
      </c>
      <c r="I5719">
        <v>-61.705249999999999</v>
      </c>
      <c r="J5719">
        <v>-271.29559999999998</v>
      </c>
      <c r="K5719">
        <v>1.105234</v>
      </c>
      <c r="L5719">
        <v>-61.628300000000003</v>
      </c>
      <c r="M5719">
        <v>0.99618209999999996</v>
      </c>
      <c r="N5719">
        <v>0</v>
      </c>
      <c r="O5719">
        <v>-8.7280999999999997E-2</v>
      </c>
      <c r="P5719">
        <v>0.99855380000000005</v>
      </c>
      <c r="Q5719">
        <v>2.666164E-2</v>
      </c>
      <c r="R5719">
        <v>-4.6686560000000002E-2</v>
      </c>
      <c r="S5719">
        <v>3.008362</v>
      </c>
      <c r="T5719">
        <v>-0.16001179999999901</v>
      </c>
      <c r="U5719">
        <v>-1.23290999999999E-2</v>
      </c>
      <c r="V5719">
        <v>-4.0811550000000002E-2</v>
      </c>
      <c r="W5719">
        <v>2.4549709999999999E-2</v>
      </c>
      <c r="X5719">
        <v>0.99886520000000001</v>
      </c>
      <c r="Y5719">
        <v>-8.2957450000000002E-2</v>
      </c>
      <c r="Z5719">
        <v>6.8390990000000004E-3</v>
      </c>
      <c r="AA5719">
        <v>0.99652960000000002</v>
      </c>
      <c r="AB5719">
        <v>24</v>
      </c>
      <c r="AC5719">
        <v>20.6634999999999</v>
      </c>
      <c r="AD5719">
        <v>-1.1052337012141999</v>
      </c>
      <c r="AE5719">
        <v>-7.6949999999996493E-2</v>
      </c>
      <c r="AF5719">
        <v>-1.72195130056249</v>
      </c>
      <c r="AG5719">
        <v>-1.1052337012141999</v>
      </c>
      <c r="AH5719">
        <v>20.532617911026399</v>
      </c>
      <c r="AI5719">
        <v>93.070396956143995</v>
      </c>
      <c r="AJ5719">
        <v>94.793846251466107</v>
      </c>
      <c r="AK5719">
        <v>20.634317437124299</v>
      </c>
    </row>
    <row r="5720" spans="1:37" x14ac:dyDescent="0.2">
      <c r="A5720" t="str">
        <f>"20200111160015229"</f>
        <v>20200111160015229</v>
      </c>
      <c r="B5720" t="str">
        <f>"1578729615226452"</f>
        <v>1578729615226452</v>
      </c>
      <c r="C5720" t="s">
        <v>37</v>
      </c>
      <c r="D5720">
        <v>4.8243599999999898</v>
      </c>
      <c r="E5720">
        <v>0.4866856</v>
      </c>
      <c r="F5720" t="s">
        <v>88</v>
      </c>
      <c r="G5720">
        <v>-250.7363</v>
      </c>
      <c r="H5720" s="1">
        <v>2.5822029999999902E-7</v>
      </c>
      <c r="I5720">
        <v>-61.686700000000002</v>
      </c>
      <c r="J5720">
        <v>-271.18270000000001</v>
      </c>
      <c r="K5720">
        <v>1.1052489999999999</v>
      </c>
      <c r="L5720">
        <v>-61.636139999999997</v>
      </c>
      <c r="M5720">
        <v>0.99636039999999904</v>
      </c>
      <c r="N5720">
        <v>0</v>
      </c>
      <c r="O5720">
        <v>-8.5221710000000006E-2</v>
      </c>
      <c r="P5720">
        <v>0.99862469999999903</v>
      </c>
      <c r="Q5720">
        <v>2.6253459999999999E-2</v>
      </c>
      <c r="R5720">
        <v>-4.5384050000000002E-2</v>
      </c>
      <c r="S5720">
        <v>3.00827</v>
      </c>
      <c r="T5720">
        <v>-0.16171959999999999</v>
      </c>
      <c r="U5720">
        <v>-8.5449219999999999E-3</v>
      </c>
      <c r="V5720">
        <v>-4.0049359999999999E-2</v>
      </c>
      <c r="W5720">
        <v>2.4172160000000002E-2</v>
      </c>
      <c r="X5720">
        <v>0.9989053</v>
      </c>
      <c r="Y5720">
        <v>-8.2149929999999996E-2</v>
      </c>
      <c r="Z5720">
        <v>6.7802819999999899E-3</v>
      </c>
      <c r="AA5720">
        <v>0.99659690000000001</v>
      </c>
      <c r="AB5720">
        <v>24</v>
      </c>
      <c r="AC5720">
        <v>20.446400000000001</v>
      </c>
      <c r="AD5720">
        <v>-1.1052487417796999</v>
      </c>
      <c r="AE5720">
        <v>-5.0559999999997197E-2</v>
      </c>
      <c r="AF5720">
        <v>-1.6871739464351601</v>
      </c>
      <c r="AG5720">
        <v>-1.1052487417796999</v>
      </c>
      <c r="AH5720">
        <v>20.316958203128799</v>
      </c>
      <c r="AI5720">
        <v>93.103178146905506</v>
      </c>
      <c r="AJ5720">
        <v>94.747100939060303</v>
      </c>
      <c r="AK5720">
        <v>20.416829365364698</v>
      </c>
    </row>
    <row r="5721" spans="1:37" x14ac:dyDescent="0.2">
      <c r="A5721" t="str">
        <f>"20200111160015240"</f>
        <v>20200111160015240</v>
      </c>
      <c r="B5721" t="str">
        <f>"1578729615237187"</f>
        <v>1578729615237187</v>
      </c>
      <c r="C5721" t="s">
        <v>37</v>
      </c>
      <c r="D5721">
        <v>4.8424909999999999</v>
      </c>
      <c r="E5721">
        <v>0.48698859999999899</v>
      </c>
      <c r="F5721" t="s">
        <v>88</v>
      </c>
      <c r="G5721">
        <v>-250.6251</v>
      </c>
      <c r="H5721" s="1">
        <v>3.0310050000000002E-7</v>
      </c>
      <c r="I5721">
        <v>-61.699330000000003</v>
      </c>
      <c r="J5721">
        <v>-271.06169999999997</v>
      </c>
      <c r="K5721">
        <v>1.105264</v>
      </c>
      <c r="L5721">
        <v>-61.644259999999903</v>
      </c>
      <c r="M5721">
        <v>0.99654609999999899</v>
      </c>
      <c r="N5721">
        <v>0</v>
      </c>
      <c r="O5721">
        <v>-8.302184E-2</v>
      </c>
      <c r="P5721">
        <v>0.99869920000000001</v>
      </c>
      <c r="Q5721">
        <v>2.5821090000000001E-2</v>
      </c>
      <c r="R5721">
        <v>-4.396415E-2</v>
      </c>
      <c r="S5721">
        <v>3.007965</v>
      </c>
      <c r="T5721">
        <v>-0.16171859999999999</v>
      </c>
      <c r="U5721">
        <v>-9.2468259999999997E-3</v>
      </c>
      <c r="V5721">
        <v>-3.9263810000000003E-2</v>
      </c>
      <c r="W5721">
        <v>2.3774590000000002E-2</v>
      </c>
      <c r="X5721">
        <v>0.998945999999999</v>
      </c>
      <c r="Y5721">
        <v>-7.9723279999999994E-2</v>
      </c>
      <c r="Z5721">
        <v>6.5978640000000002E-3</v>
      </c>
      <c r="AA5721">
        <v>0.99679519999999899</v>
      </c>
      <c r="AB5721">
        <v>24</v>
      </c>
      <c r="AC5721">
        <v>20.436599999999899</v>
      </c>
      <c r="AD5721">
        <v>-1.1052636968995</v>
      </c>
      <c r="AE5721">
        <v>-5.5070000000007703E-2</v>
      </c>
      <c r="AF5721">
        <v>-1.6370188848218601</v>
      </c>
      <c r="AG5721">
        <v>-1.1052636968995</v>
      </c>
      <c r="AH5721">
        <v>20.311210780151299</v>
      </c>
      <c r="AI5721">
        <v>93.104712354453596</v>
      </c>
      <c r="AJ5721">
        <v>94.607897132520804</v>
      </c>
      <c r="AK5721">
        <v>20.407026290586298</v>
      </c>
    </row>
    <row r="5722" spans="1:37" x14ac:dyDescent="0.2">
      <c r="A5722" t="str">
        <f>"20200111160015251"</f>
        <v>20200111160015251</v>
      </c>
      <c r="B5722" t="str">
        <f>"1578729615246946"</f>
        <v>1578729615246946</v>
      </c>
      <c r="C5722" t="s">
        <v>37</v>
      </c>
      <c r="D5722">
        <v>4.87561</v>
      </c>
      <c r="E5722">
        <v>0.48726000000000003</v>
      </c>
      <c r="F5722" t="s">
        <v>88</v>
      </c>
      <c r="G5722">
        <v>-250.83670000000001</v>
      </c>
      <c r="H5722" s="1">
        <v>2.1353329999999999E-7</v>
      </c>
      <c r="I5722">
        <v>-61.693919999999999</v>
      </c>
      <c r="J5722">
        <v>-270.94369999999998</v>
      </c>
      <c r="K5722">
        <v>1.1052770000000001</v>
      </c>
      <c r="L5722">
        <v>-61.651919999999997</v>
      </c>
      <c r="M5722">
        <v>0.99672150000000004</v>
      </c>
      <c r="N5722">
        <v>0</v>
      </c>
      <c r="O5722">
        <v>-8.0890840000000006E-2</v>
      </c>
      <c r="P5722">
        <v>0.99875179999999997</v>
      </c>
      <c r="Q5722">
        <v>2.537816E-2</v>
      </c>
      <c r="R5722">
        <v>-4.3025550000000003E-2</v>
      </c>
      <c r="S5722">
        <v>3.0078130000000001</v>
      </c>
      <c r="T5722">
        <v>-0.1643724</v>
      </c>
      <c r="U5722">
        <v>-7.385254E-3</v>
      </c>
      <c r="V5722">
        <v>-3.80652E-2</v>
      </c>
      <c r="W5722">
        <v>2.3369399999999999E-2</v>
      </c>
      <c r="X5722">
        <v>0.99900199999999995</v>
      </c>
      <c r="Y5722">
        <v>-7.8206220000000007E-2</v>
      </c>
      <c r="Z5722">
        <v>6.5488580000000003E-3</v>
      </c>
      <c r="AA5722">
        <v>0.99691569999999996</v>
      </c>
      <c r="AB5722">
        <v>24</v>
      </c>
      <c r="AC5722">
        <v>20.1069999999999</v>
      </c>
      <c r="AD5722">
        <v>-1.1052767864666999</v>
      </c>
      <c r="AE5722">
        <v>-4.2000000000001501E-2</v>
      </c>
      <c r="AF5722">
        <v>-1.57983839808297</v>
      </c>
      <c r="AG5722">
        <v>-1.1052767864666999</v>
      </c>
      <c r="AH5722">
        <v>19.984120689998001</v>
      </c>
      <c r="AI5722">
        <v>93.155849389289799</v>
      </c>
      <c r="AJ5722">
        <v>94.520099198472195</v>
      </c>
      <c r="AK5722">
        <v>20.076917240731099</v>
      </c>
    </row>
    <row r="5723" spans="1:37" x14ac:dyDescent="0.2">
      <c r="A5723" t="str">
        <f>"20200111160015264"</f>
        <v>20200111160015264</v>
      </c>
      <c r="B5723" t="str">
        <f>"1578729615256238"</f>
        <v>1578729615256238</v>
      </c>
      <c r="C5723" t="s">
        <v>37</v>
      </c>
      <c r="D5723">
        <v>4.7906680000000001</v>
      </c>
      <c r="E5723">
        <v>0.48736419999999903</v>
      </c>
      <c r="F5723" t="s">
        <v>88</v>
      </c>
      <c r="G5723">
        <v>-250.6508</v>
      </c>
      <c r="H5723" s="1">
        <v>2.9211240000000001E-7</v>
      </c>
      <c r="I5723">
        <v>-61.699269999999999</v>
      </c>
      <c r="J5723">
        <v>-270.80070000000001</v>
      </c>
      <c r="K5723">
        <v>1.1052930000000001</v>
      </c>
      <c r="L5723">
        <v>-61.660980000000002</v>
      </c>
      <c r="M5723">
        <v>0.99692709999999995</v>
      </c>
      <c r="N5723">
        <v>0</v>
      </c>
      <c r="O5723">
        <v>-7.8316960000000005E-2</v>
      </c>
      <c r="P5723">
        <v>0.99883069999999896</v>
      </c>
      <c r="Q5723">
        <v>2.4569339999999999E-2</v>
      </c>
      <c r="R5723">
        <v>-4.1638420000000002E-2</v>
      </c>
      <c r="S5723">
        <v>3.0075989999999999</v>
      </c>
      <c r="T5723">
        <v>-0.16381189999999901</v>
      </c>
      <c r="U5723">
        <v>-7.019043E-3</v>
      </c>
      <c r="V5723">
        <v>-3.6870159999999999E-2</v>
      </c>
      <c r="W5723">
        <v>2.2606660000000001E-2</v>
      </c>
      <c r="X5723">
        <v>0.99906430000000002</v>
      </c>
      <c r="Y5723">
        <v>-7.5762090000000004E-2</v>
      </c>
      <c r="Z5723">
        <v>6.3207749999999998E-3</v>
      </c>
      <c r="AA5723">
        <v>0.99710589999999999</v>
      </c>
      <c r="AB5723">
        <v>24</v>
      </c>
      <c r="AC5723">
        <v>20.149899999999999</v>
      </c>
      <c r="AD5723">
        <v>-1.1052927078876</v>
      </c>
      <c r="AE5723">
        <v>-3.8289999999996299E-2</v>
      </c>
      <c r="AF5723">
        <v>-1.5352892116802199</v>
      </c>
      <c r="AG5723">
        <v>-1.1052927078876</v>
      </c>
      <c r="AH5723">
        <v>20.030737949669899</v>
      </c>
      <c r="AI5723">
        <v>93.149150448467097</v>
      </c>
      <c r="AJ5723">
        <v>94.382960805020403</v>
      </c>
      <c r="AK5723">
        <v>20.119871961370801</v>
      </c>
    </row>
    <row r="5724" spans="1:37" x14ac:dyDescent="0.2">
      <c r="A5724" t="str">
        <f>"20200111160015275"</f>
        <v>20200111160015275</v>
      </c>
      <c r="B5724" t="str">
        <f>"1578729615266974"</f>
        <v>1578729615266974</v>
      </c>
      <c r="C5724" t="s">
        <v>37</v>
      </c>
      <c r="D5724">
        <v>4.8439930000000002</v>
      </c>
      <c r="E5724">
        <v>0.48747579999999902</v>
      </c>
      <c r="F5724" t="s">
        <v>88</v>
      </c>
      <c r="G5724">
        <v>-250.8801</v>
      </c>
      <c r="H5724" s="1">
        <v>1.9677159999999999E-7</v>
      </c>
      <c r="I5724">
        <v>-61.685639999999999</v>
      </c>
      <c r="J5724">
        <v>-270.6687</v>
      </c>
      <c r="K5724">
        <v>1.1052999999999999</v>
      </c>
      <c r="L5724">
        <v>-61.668909999999997</v>
      </c>
      <c r="M5724">
        <v>0.99710880000000002</v>
      </c>
      <c r="N5724">
        <v>0</v>
      </c>
      <c r="O5724">
        <v>-7.5968910000000001E-2</v>
      </c>
      <c r="P5724">
        <v>0.99889240000000001</v>
      </c>
      <c r="Q5724">
        <v>2.3667859999999999E-2</v>
      </c>
      <c r="R5724">
        <v>-4.0668179999999998E-2</v>
      </c>
      <c r="S5724">
        <v>3.0074459999999998</v>
      </c>
      <c r="T5724">
        <v>-0.1668675</v>
      </c>
      <c r="U5724">
        <v>-3.7231450000000002E-3</v>
      </c>
      <c r="V5724">
        <v>-3.548403E-2</v>
      </c>
      <c r="W5724">
        <v>2.1752850000000001E-2</v>
      </c>
      <c r="X5724">
        <v>0.99913349999999901</v>
      </c>
      <c r="Y5724">
        <v>-7.4503299999999995E-2</v>
      </c>
      <c r="Z5724">
        <v>6.2740959999999998E-3</v>
      </c>
      <c r="AA5724">
        <v>0.997201</v>
      </c>
      <c r="AB5724">
        <v>24</v>
      </c>
      <c r="AC5724">
        <v>19.788599999999999</v>
      </c>
      <c r="AD5724">
        <v>-1.1052998032283901</v>
      </c>
      <c r="AE5724">
        <v>-1.67300000000025E-2</v>
      </c>
      <c r="AF5724">
        <v>-1.4820151752990101</v>
      </c>
      <c r="AG5724">
        <v>-1.1052998032283901</v>
      </c>
      <c r="AH5724">
        <v>19.6713144585114</v>
      </c>
      <c r="AI5724">
        <v>93.206907742927299</v>
      </c>
      <c r="AJ5724">
        <v>94.308461716168097</v>
      </c>
      <c r="AK5724">
        <v>19.758002661212299</v>
      </c>
    </row>
    <row r="5725" spans="1:37" x14ac:dyDescent="0.2">
      <c r="A5725" t="str">
        <f>"20200111160015286"</f>
        <v>20200111160015286</v>
      </c>
      <c r="B5725" t="str">
        <f>"1578729615276734"</f>
        <v>1578729615276734</v>
      </c>
      <c r="C5725" t="s">
        <v>37</v>
      </c>
      <c r="D5725">
        <v>4.8498559999999999</v>
      </c>
      <c r="E5725">
        <v>0.487676199999999</v>
      </c>
      <c r="F5725" t="s">
        <v>88</v>
      </c>
      <c r="G5725">
        <v>-251.07079999999999</v>
      </c>
      <c r="H5725" s="1">
        <v>1.161686E-7</v>
      </c>
      <c r="I5725">
        <v>-61.680250000000001</v>
      </c>
      <c r="J5725">
        <v>-270.5523</v>
      </c>
      <c r="K5725">
        <v>1.105307</v>
      </c>
      <c r="L5725">
        <v>-61.675780000000003</v>
      </c>
      <c r="M5725">
        <v>0.99726380000000003</v>
      </c>
      <c r="N5725">
        <v>0</v>
      </c>
      <c r="O5725">
        <v>-7.3906490000000005E-2</v>
      </c>
      <c r="P5725">
        <v>0.99895109999999998</v>
      </c>
      <c r="Q5725">
        <v>2.2493719999999998E-2</v>
      </c>
      <c r="R5725">
        <v>-3.9884410000000002E-2</v>
      </c>
      <c r="S5725">
        <v>3.007263</v>
      </c>
      <c r="T5725">
        <v>-0.16960600000000001</v>
      </c>
      <c r="U5725">
        <v>-1.739502E-3</v>
      </c>
      <c r="V5725">
        <v>-3.4196089999999998E-2</v>
      </c>
      <c r="W5725">
        <v>2.0621569999999999E-2</v>
      </c>
      <c r="X5725">
        <v>0.99920239999999905</v>
      </c>
      <c r="Y5725">
        <v>-7.309628E-2</v>
      </c>
      <c r="Z5725">
        <v>6.2216900000000002E-3</v>
      </c>
      <c r="AA5725">
        <v>0.99730549999999996</v>
      </c>
      <c r="AB5725">
        <v>25</v>
      </c>
      <c r="AC5725">
        <v>19.4815</v>
      </c>
      <c r="AD5725">
        <v>-1.10530688383139</v>
      </c>
      <c r="AE5725">
        <v>-4.4699999999977501E-3</v>
      </c>
      <c r="AF5725">
        <v>-1.4307479078779799</v>
      </c>
      <c r="AG5725">
        <v>-1.10530688383139</v>
      </c>
      <c r="AH5725">
        <v>19.366211906152198</v>
      </c>
      <c r="AI5725">
        <v>93.257695633953006</v>
      </c>
      <c r="AJ5725">
        <v>94.225253813130493</v>
      </c>
      <c r="AK5725">
        <v>19.450421755770101</v>
      </c>
    </row>
    <row r="5726" spans="1:37" x14ac:dyDescent="0.2">
      <c r="A5726" t="str">
        <f>"20200111160015296"</f>
        <v>20200111160015296</v>
      </c>
      <c r="B5726" t="str">
        <f>"1578729615286494"</f>
        <v>1578729615286494</v>
      </c>
      <c r="C5726" t="s">
        <v>37</v>
      </c>
      <c r="D5726">
        <v>4.8452219999999997</v>
      </c>
      <c r="E5726">
        <v>0.48784169999999999</v>
      </c>
      <c r="F5726" t="s">
        <v>88</v>
      </c>
      <c r="G5726">
        <v>-251.42349999999999</v>
      </c>
      <c r="H5726" s="1">
        <v>-3.544289E-8</v>
      </c>
      <c r="I5726">
        <v>-61.681600000000003</v>
      </c>
      <c r="J5726">
        <v>-270.43830000000003</v>
      </c>
      <c r="K5726">
        <v>1.1053029999999999</v>
      </c>
      <c r="L5726">
        <v>-61.682189999999999</v>
      </c>
      <c r="M5726">
        <v>0.99740960000000001</v>
      </c>
      <c r="N5726">
        <v>0</v>
      </c>
      <c r="O5726">
        <v>-7.1913729999999995E-2</v>
      </c>
      <c r="P5726">
        <v>0.99898529999999996</v>
      </c>
      <c r="Q5726">
        <v>2.171739E-2</v>
      </c>
      <c r="R5726">
        <v>-3.9456140000000001E-2</v>
      </c>
      <c r="S5726">
        <v>3.0070189999999899</v>
      </c>
      <c r="T5726">
        <v>-0.17375199999999999</v>
      </c>
      <c r="U5726">
        <v>-9.1552729999999996E-4</v>
      </c>
      <c r="V5726">
        <v>-3.2624220000000002E-2</v>
      </c>
      <c r="W5726">
        <v>1.9892159999999999E-2</v>
      </c>
      <c r="X5726">
        <v>0.99926970000000004</v>
      </c>
      <c r="Y5726">
        <v>-7.1371290000000004E-2</v>
      </c>
      <c r="Z5726">
        <v>6.2094409999999996E-3</v>
      </c>
      <c r="AA5726">
        <v>0.9974305</v>
      </c>
      <c r="AB5726">
        <v>25</v>
      </c>
      <c r="AC5726">
        <v>19.014800000000001</v>
      </c>
      <c r="AD5726">
        <v>-1.1053030354428901</v>
      </c>
      <c r="AE5726">
        <v>5.9000000000253197E-4</v>
      </c>
      <c r="AF5726">
        <v>-1.3634085164809799</v>
      </c>
      <c r="AG5726">
        <v>-1.1053030354428901</v>
      </c>
      <c r="AH5726">
        <v>18.901658009558599</v>
      </c>
      <c r="AI5726">
        <v>93.337993396253694</v>
      </c>
      <c r="AJ5726">
        <v>94.125695942375998</v>
      </c>
      <c r="AK5726">
        <v>18.982972714864299</v>
      </c>
    </row>
    <row r="5727" spans="1:37" x14ac:dyDescent="0.2">
      <c r="A5727" t="str">
        <f>"20200111160015306"</f>
        <v>20200111160015306</v>
      </c>
      <c r="B5727" t="str">
        <f>"1578729615296254"</f>
        <v>1578729615296254</v>
      </c>
      <c r="C5727" t="s">
        <v>37</v>
      </c>
      <c r="D5727">
        <v>4.8375129999999897</v>
      </c>
      <c r="E5727">
        <v>0.48806890000000003</v>
      </c>
      <c r="F5727" t="s">
        <v>88</v>
      </c>
      <c r="G5727">
        <v>-251.54390000000001</v>
      </c>
      <c r="H5727" s="1">
        <v>-8.8472349999999999E-8</v>
      </c>
      <c r="I5727">
        <v>-61.687750000000001</v>
      </c>
      <c r="J5727">
        <v>-270.32220000000001</v>
      </c>
      <c r="K5727">
        <v>1.1053029999999999</v>
      </c>
      <c r="L5727">
        <v>-61.688600000000001</v>
      </c>
      <c r="M5727">
        <v>0.99755329999999998</v>
      </c>
      <c r="N5727">
        <v>0</v>
      </c>
      <c r="O5727">
        <v>-6.9892720000000005E-2</v>
      </c>
      <c r="P5727">
        <v>0.99902990000000003</v>
      </c>
      <c r="Q5727">
        <v>2.1109969999999999E-2</v>
      </c>
      <c r="R5727">
        <v>-3.8645319999999997E-2</v>
      </c>
      <c r="S5727">
        <v>3.0068049999999999</v>
      </c>
      <c r="T5727">
        <v>-0.175895</v>
      </c>
      <c r="U5727">
        <v>-8.8500979999999905E-4</v>
      </c>
      <c r="V5727">
        <v>-3.1408070000000003E-2</v>
      </c>
      <c r="W5727">
        <v>1.9330079999999999E-2</v>
      </c>
      <c r="X5727">
        <v>0.99931970000000003</v>
      </c>
      <c r="Y5727">
        <v>-6.9361259999999994E-2</v>
      </c>
      <c r="Z5727">
        <v>6.1097E-3</v>
      </c>
      <c r="AA5727">
        <v>0.99757289999999998</v>
      </c>
      <c r="AB5727">
        <v>25</v>
      </c>
      <c r="AC5727">
        <v>18.778300000000002</v>
      </c>
      <c r="AD5727">
        <v>-1.10530308847235</v>
      </c>
      <c r="AE5727">
        <v>8.4999999999979504E-4</v>
      </c>
      <c r="AF5727">
        <v>-1.3087815996296099</v>
      </c>
      <c r="AG5727">
        <v>-1.10530308847235</v>
      </c>
      <c r="AH5727">
        <v>18.667642916718801</v>
      </c>
      <c r="AI5727">
        <v>93.380224306220796</v>
      </c>
      <c r="AJ5727">
        <v>94.010423789439301</v>
      </c>
      <c r="AK5727">
        <v>18.746079490363702</v>
      </c>
    </row>
    <row r="5728" spans="1:37" x14ac:dyDescent="0.2">
      <c r="A5728" t="str">
        <f>"20200111160015317"</f>
        <v>20200111160015317</v>
      </c>
      <c r="B5728" t="str">
        <f>"1578729615306991"</f>
        <v>1578729615306991</v>
      </c>
      <c r="C5728" t="s">
        <v>37</v>
      </c>
      <c r="D5728">
        <v>4.8177300000000001</v>
      </c>
      <c r="E5728">
        <v>0.48824830000000002</v>
      </c>
      <c r="F5728" t="s">
        <v>88</v>
      </c>
      <c r="G5728">
        <v>-251.5488</v>
      </c>
      <c r="H5728" s="1">
        <v>-9.1088739999999999E-8</v>
      </c>
      <c r="I5728">
        <v>-61.690119999999901</v>
      </c>
      <c r="J5728">
        <v>-270.20260000000002</v>
      </c>
      <c r="K5728">
        <v>1.105302</v>
      </c>
      <c r="L5728">
        <v>-61.694890000000001</v>
      </c>
      <c r="M5728">
        <v>0.99769519999999901</v>
      </c>
      <c r="N5728">
        <v>0</v>
      </c>
      <c r="O5728">
        <v>-6.7839350000000007E-2</v>
      </c>
      <c r="P5728">
        <v>0.99907400000000002</v>
      </c>
      <c r="Q5728">
        <v>2.090945E-2</v>
      </c>
      <c r="R5728">
        <v>-3.7608450000000002E-2</v>
      </c>
      <c r="S5728">
        <v>3.006653</v>
      </c>
      <c r="T5728">
        <v>-0.17701910000000001</v>
      </c>
      <c r="U5728">
        <v>-2.4414059999999999E-4</v>
      </c>
      <c r="V5728">
        <v>-3.0386969999999999E-2</v>
      </c>
      <c r="W5728">
        <v>1.9177039999999999E-2</v>
      </c>
      <c r="X5728">
        <v>0.99935419999999997</v>
      </c>
      <c r="Y5728">
        <v>-6.7524139999999996E-2</v>
      </c>
      <c r="Z5728">
        <v>5.9743900000000004E-3</v>
      </c>
      <c r="AA5728">
        <v>0.99769969999999997</v>
      </c>
      <c r="AB5728">
        <v>25</v>
      </c>
      <c r="AC5728">
        <v>18.6538</v>
      </c>
      <c r="AD5728">
        <v>-1.1053020910887399</v>
      </c>
      <c r="AE5728">
        <v>4.7700000000077099E-3</v>
      </c>
      <c r="AF5728">
        <v>-1.2657779031954299</v>
      </c>
      <c r="AG5728">
        <v>-1.1053020910887399</v>
      </c>
      <c r="AH5728">
        <v>18.545390426664198</v>
      </c>
      <c r="AI5728">
        <v>93.402885693308406</v>
      </c>
      <c r="AJ5728">
        <v>93.904551332558398</v>
      </c>
      <c r="AK5728">
        <v>18.621369243162299</v>
      </c>
    </row>
    <row r="5729" spans="1:37" x14ac:dyDescent="0.2">
      <c r="A5729" t="str">
        <f>"20200111160015328"</f>
        <v>20200111160015328</v>
      </c>
      <c r="B5729" t="str">
        <f>"1578729615316750"</f>
        <v>1578729615316750</v>
      </c>
      <c r="C5729" t="s">
        <v>37</v>
      </c>
      <c r="D5729">
        <v>4.8138199999999998</v>
      </c>
      <c r="E5729">
        <v>0.48836479999999999</v>
      </c>
      <c r="F5729" t="s">
        <v>88</v>
      </c>
      <c r="G5729">
        <v>-251.43700000000001</v>
      </c>
      <c r="H5729" s="1">
        <v>-4.2291160000000003E-8</v>
      </c>
      <c r="I5729">
        <v>-61.686309999999999</v>
      </c>
      <c r="J5729">
        <v>-270.08370000000002</v>
      </c>
      <c r="K5729">
        <v>1.105299</v>
      </c>
      <c r="L5729">
        <v>-61.700989999999997</v>
      </c>
      <c r="M5729">
        <v>0.99783120000000003</v>
      </c>
      <c r="N5729">
        <v>0</v>
      </c>
      <c r="O5729">
        <v>-6.5810880000000002E-2</v>
      </c>
      <c r="P5729">
        <v>0.9991196</v>
      </c>
      <c r="Q5729">
        <v>2.1164329999999999E-2</v>
      </c>
      <c r="R5729">
        <v>-3.6226679999999997E-2</v>
      </c>
      <c r="S5729">
        <v>3.0065</v>
      </c>
      <c r="T5729">
        <v>-0.1770842</v>
      </c>
      <c r="U5729">
        <v>1.373291E-3</v>
      </c>
      <c r="V5729">
        <v>-2.9739189999999999E-2</v>
      </c>
      <c r="W5729">
        <v>1.9477870000000001E-2</v>
      </c>
      <c r="X5729">
        <v>0.99936789999999998</v>
      </c>
      <c r="Y5729">
        <v>-6.6038330000000006E-2</v>
      </c>
      <c r="Z5729">
        <v>5.8140079999999998E-3</v>
      </c>
      <c r="AA5729">
        <v>0.99780020000000003</v>
      </c>
      <c r="AB5729">
        <v>25</v>
      </c>
      <c r="AC5729">
        <v>18.646699999999999</v>
      </c>
      <c r="AD5729">
        <v>-1.1052990422911599</v>
      </c>
      <c r="AE5729">
        <v>1.4680000000005499E-2</v>
      </c>
      <c r="AF5729">
        <v>-1.23745707134911</v>
      </c>
      <c r="AG5729">
        <v>-1.1052990422911599</v>
      </c>
      <c r="AH5729">
        <v>18.540166720256</v>
      </c>
      <c r="AI5729">
        <v>93.404177013490397</v>
      </c>
      <c r="AJ5729">
        <v>93.818523564866595</v>
      </c>
      <c r="AK5729">
        <v>18.614262488511599</v>
      </c>
    </row>
    <row r="5730" spans="1:37" x14ac:dyDescent="0.2">
      <c r="A5730" t="str">
        <f>"20200111160015339"</f>
        <v>20200111160015339</v>
      </c>
      <c r="B5730" t="str">
        <f>"1578729615336270"</f>
        <v>1578729615336270</v>
      </c>
      <c r="C5730" t="s">
        <v>37</v>
      </c>
      <c r="D5730">
        <v>4.8779659999999998</v>
      </c>
      <c r="E5730">
        <v>0.488726099999999</v>
      </c>
      <c r="F5730" t="s">
        <v>88</v>
      </c>
      <c r="G5730">
        <v>-251.18010000000001</v>
      </c>
      <c r="H5730" s="1">
        <v>7.087868E-8</v>
      </c>
      <c r="I5730">
        <v>-61.6729699999999</v>
      </c>
      <c r="J5730">
        <v>-269.96190000000001</v>
      </c>
      <c r="K5730">
        <v>1.1052959999999901</v>
      </c>
      <c r="L5730">
        <v>-61.706910000000001</v>
      </c>
      <c r="M5730">
        <v>0.99796409999999902</v>
      </c>
      <c r="N5730">
        <v>0</v>
      </c>
      <c r="O5730">
        <v>-6.3761990000000004E-2</v>
      </c>
      <c r="P5730">
        <v>0.99915900000000002</v>
      </c>
      <c r="Q5730">
        <v>2.2036690000000001E-2</v>
      </c>
      <c r="R5730">
        <v>-3.4578869999999998E-2</v>
      </c>
      <c r="S5730">
        <v>3.0064700000000002</v>
      </c>
      <c r="T5730">
        <v>-0.17578920000000001</v>
      </c>
      <c r="U5730">
        <v>4.4555659999999898E-3</v>
      </c>
      <c r="V5730">
        <v>-2.9339790000000001E-2</v>
      </c>
      <c r="W5730">
        <v>2.039846E-2</v>
      </c>
      <c r="X5730">
        <v>0.99936130000000001</v>
      </c>
      <c r="Y5730">
        <v>-6.5021129999999996E-2</v>
      </c>
      <c r="Z5730">
        <v>5.6224309999999998E-3</v>
      </c>
      <c r="AA5730">
        <v>0.99786810000000004</v>
      </c>
      <c r="AB5730">
        <v>25</v>
      </c>
      <c r="AC5730">
        <v>18.7818</v>
      </c>
      <c r="AD5730">
        <v>-1.10529592912131</v>
      </c>
      <c r="AE5730">
        <v>3.3940000000008297E-2</v>
      </c>
      <c r="AF5730">
        <v>-1.22718708523724</v>
      </c>
      <c r="AG5730">
        <v>-1.10529592912131</v>
      </c>
      <c r="AH5730">
        <v>18.676735564524201</v>
      </c>
      <c r="AI5730">
        <v>93.379563990905496</v>
      </c>
      <c r="AJ5730">
        <v>93.759313991922198</v>
      </c>
      <c r="AK5730">
        <v>18.749616491551699</v>
      </c>
    </row>
    <row r="5731" spans="1:37" x14ac:dyDescent="0.2">
      <c r="A5731" t="str">
        <f>"20200111160015350"</f>
        <v>20200111160015350</v>
      </c>
      <c r="B5731" t="str">
        <f>"1578729615347008"</f>
        <v>1578729615347008</v>
      </c>
      <c r="C5731" t="s">
        <v>37</v>
      </c>
      <c r="D5731">
        <v>4.8821890000000003</v>
      </c>
      <c r="E5731">
        <v>0.4888904</v>
      </c>
      <c r="F5731" t="s">
        <v>88</v>
      </c>
      <c r="G5731">
        <v>-250.61009999999999</v>
      </c>
      <c r="H5731" s="1">
        <v>3.1690669999999999E-7</v>
      </c>
      <c r="I5731">
        <v>-61.666249999999998</v>
      </c>
      <c r="J5731">
        <v>-269.83179999999999</v>
      </c>
      <c r="K5731">
        <v>1.1052930000000001</v>
      </c>
      <c r="L5731">
        <v>-61.713069999999902</v>
      </c>
      <c r="M5731">
        <v>0.99809999999999999</v>
      </c>
      <c r="N5731">
        <v>0</v>
      </c>
      <c r="O5731">
        <v>-6.1600019999999998E-2</v>
      </c>
      <c r="P5731">
        <v>0.99920560000000003</v>
      </c>
      <c r="Q5731">
        <v>2.3059409999999999E-2</v>
      </c>
      <c r="R5731">
        <v>-3.2505779999999998E-2</v>
      </c>
      <c r="S5731">
        <v>3.0065309999999998</v>
      </c>
      <c r="T5731">
        <v>-0.17172079999999901</v>
      </c>
      <c r="U5731">
        <v>6.3171390000000003E-3</v>
      </c>
      <c r="V5731">
        <v>-2.92543E-2</v>
      </c>
      <c r="W5731">
        <v>2.1473010000000001E-2</v>
      </c>
      <c r="X5731">
        <v>0.99934129999999999</v>
      </c>
      <c r="Y5731">
        <v>-6.3493300000000003E-2</v>
      </c>
      <c r="Z5731">
        <v>5.3256229999999998E-3</v>
      </c>
      <c r="AA5731">
        <v>0.99796810000000002</v>
      </c>
      <c r="AB5731">
        <v>25</v>
      </c>
      <c r="AC5731">
        <v>19.221699999999998</v>
      </c>
      <c r="AD5731">
        <v>-1.1052926830933001</v>
      </c>
      <c r="AE5731">
        <v>4.6819999999996698E-2</v>
      </c>
      <c r="AF5731">
        <v>-1.2267330791278701</v>
      </c>
      <c r="AG5731">
        <v>-1.1052926830933001</v>
      </c>
      <c r="AH5731">
        <v>19.119094912943702</v>
      </c>
      <c r="AI5731">
        <v>93.301865115899801</v>
      </c>
      <c r="AJ5731">
        <v>93.671220454027207</v>
      </c>
      <c r="AK5731">
        <v>19.190266706142399</v>
      </c>
    </row>
    <row r="5732" spans="1:37" x14ac:dyDescent="0.2">
      <c r="A5732" t="str">
        <f>"20200111160015361"</f>
        <v>20200111160015361</v>
      </c>
      <c r="B5732" t="str">
        <f>"1578729615356765"</f>
        <v>1578729615356765</v>
      </c>
      <c r="C5732" t="s">
        <v>37</v>
      </c>
      <c r="D5732">
        <v>4.8619149999999998</v>
      </c>
      <c r="E5732">
        <v>0.48905599999999999</v>
      </c>
      <c r="F5732" t="s">
        <v>88</v>
      </c>
      <c r="G5732">
        <v>-250.15770000000001</v>
      </c>
      <c r="H5732" s="1">
        <v>5.1672900000000002E-7</v>
      </c>
      <c r="I5732">
        <v>-61.64038</v>
      </c>
      <c r="J5732">
        <v>-269.70170000000002</v>
      </c>
      <c r="K5732">
        <v>1.105294</v>
      </c>
      <c r="L5732">
        <v>-61.718989999999998</v>
      </c>
      <c r="M5732">
        <v>0.99822939999999905</v>
      </c>
      <c r="N5732">
        <v>0</v>
      </c>
      <c r="O5732">
        <v>-5.9465079999999997E-2</v>
      </c>
      <c r="P5732">
        <v>0.99924899999999905</v>
      </c>
      <c r="Q5732">
        <v>2.4212299999999999E-2</v>
      </c>
      <c r="R5732">
        <v>-3.0251610000000002E-2</v>
      </c>
      <c r="S5732">
        <v>3.006653</v>
      </c>
      <c r="T5732">
        <v>-0.16891410000000001</v>
      </c>
      <c r="U5732">
        <v>1.1108399999999999E-2</v>
      </c>
      <c r="V5732">
        <v>-2.9376940000000001E-2</v>
      </c>
      <c r="W5732">
        <v>2.2679120000000001E-2</v>
      </c>
      <c r="X5732">
        <v>0.99931109999999901</v>
      </c>
      <c r="Y5732">
        <v>-6.2959799999999996E-2</v>
      </c>
      <c r="Z5732">
        <v>5.1038740000000004E-3</v>
      </c>
      <c r="AA5732">
        <v>0.99800299999999997</v>
      </c>
      <c r="AB5732">
        <v>25</v>
      </c>
      <c r="AC5732">
        <v>19.544</v>
      </c>
      <c r="AD5732">
        <v>-1.105293483271</v>
      </c>
      <c r="AE5732">
        <v>7.8609999999997598E-2</v>
      </c>
      <c r="AF5732">
        <v>-1.2367021945929999</v>
      </c>
      <c r="AG5732">
        <v>-1.105293483271</v>
      </c>
      <c r="AH5732">
        <v>19.442556620743598</v>
      </c>
      <c r="AI5732">
        <v>93.247167920071007</v>
      </c>
      <c r="AJ5732">
        <v>93.6395668485806</v>
      </c>
      <c r="AK5732">
        <v>19.513177956270798</v>
      </c>
    </row>
    <row r="5733" spans="1:37" x14ac:dyDescent="0.2">
      <c r="A5733" t="str">
        <f>"20200111160015373"</f>
        <v>20200111160015373</v>
      </c>
      <c r="B5733" t="str">
        <f>"1578729615366526"</f>
        <v>1578729615366526</v>
      </c>
      <c r="C5733" t="s">
        <v>37</v>
      </c>
      <c r="D5733">
        <v>4.8153499999999996</v>
      </c>
      <c r="E5733">
        <v>0.48914780000000002</v>
      </c>
      <c r="F5733" t="s">
        <v>89</v>
      </c>
      <c r="G5733">
        <v>-249.7353</v>
      </c>
      <c r="H5733" s="1">
        <v>-3.4045510000000001E-6</v>
      </c>
      <c r="I5733">
        <v>-61.609909999999999</v>
      </c>
      <c r="J5733">
        <v>-269.56790000000001</v>
      </c>
      <c r="K5733">
        <v>1.1052850000000001</v>
      </c>
      <c r="L5733">
        <v>-61.724730000000001</v>
      </c>
      <c r="M5733">
        <v>0.9983552</v>
      </c>
      <c r="N5733">
        <v>0</v>
      </c>
      <c r="O5733">
        <v>-5.7319340000000003E-2</v>
      </c>
      <c r="P5733">
        <v>0.99929679999999999</v>
      </c>
      <c r="Q5733">
        <v>2.494996E-2</v>
      </c>
      <c r="R5733">
        <v>-2.7988579999999999E-2</v>
      </c>
      <c r="S5733">
        <v>3.0067750000000002</v>
      </c>
      <c r="T5733">
        <v>-0.16644900000000001</v>
      </c>
      <c r="U5733">
        <v>1.6418459999999999E-2</v>
      </c>
      <c r="V5733">
        <v>-2.9495049999999998E-2</v>
      </c>
      <c r="W5733">
        <v>2.3476179999999999E-2</v>
      </c>
      <c r="X5733">
        <v>0.99928919999999999</v>
      </c>
      <c r="Y5733">
        <v>-6.2586429999999998E-2</v>
      </c>
      <c r="Z5733">
        <v>4.900443E-3</v>
      </c>
      <c r="AA5733">
        <v>0.99802749999999996</v>
      </c>
      <c r="AB5733">
        <v>25</v>
      </c>
      <c r="AC5733">
        <v>19.832599999999999</v>
      </c>
      <c r="AD5733">
        <v>-1.1052884045510001</v>
      </c>
      <c r="AE5733">
        <v>0.114820000000008</v>
      </c>
      <c r="AF5733">
        <v>-1.24754888303045</v>
      </c>
      <c r="AG5733">
        <v>-1.1052884045510001</v>
      </c>
      <c r="AH5733">
        <v>19.732127080645601</v>
      </c>
      <c r="AI5733">
        <v>93.199677951193294</v>
      </c>
      <c r="AJ5733">
        <v>93.617667355616703</v>
      </c>
      <c r="AK5733">
        <v>19.802395809586599</v>
      </c>
    </row>
    <row r="5734" spans="1:37" x14ac:dyDescent="0.2">
      <c r="A5734" t="str">
        <f>"20200111160015384"</f>
        <v>20200111160015384</v>
      </c>
      <c r="B5734" t="str">
        <f>"1578729615376287"</f>
        <v>1578729615376287</v>
      </c>
      <c r="C5734" t="s">
        <v>37</v>
      </c>
      <c r="D5734">
        <v>4.8532000000000002</v>
      </c>
      <c r="E5734">
        <v>0.48924399999999901</v>
      </c>
      <c r="F5734" t="s">
        <v>89</v>
      </c>
      <c r="G5734">
        <v>-249.39609999999999</v>
      </c>
      <c r="H5734" s="1">
        <v>-3.282686E-6</v>
      </c>
      <c r="I5734">
        <v>-61.57358</v>
      </c>
      <c r="J5734">
        <v>-269.43900000000002</v>
      </c>
      <c r="K5734">
        <v>1.1052729999999999</v>
      </c>
      <c r="L5734">
        <v>-61.73019</v>
      </c>
      <c r="M5734">
        <v>0.998470999999999</v>
      </c>
      <c r="N5734">
        <v>0</v>
      </c>
      <c r="O5734">
        <v>-5.526611E-2</v>
      </c>
      <c r="P5734">
        <v>0.99934120000000004</v>
      </c>
      <c r="Q5734">
        <v>2.55207E-2</v>
      </c>
      <c r="R5734">
        <v>-2.580443E-2</v>
      </c>
      <c r="S5734">
        <v>3.0068359999999998</v>
      </c>
      <c r="T5734">
        <v>-0.1647557</v>
      </c>
      <c r="U5734">
        <v>2.2521969999999999E-2</v>
      </c>
      <c r="V5734">
        <v>-2.9626590000000001E-2</v>
      </c>
      <c r="W5734">
        <v>2.41059E-2</v>
      </c>
      <c r="X5734">
        <v>0.99927029999999994</v>
      </c>
      <c r="Y5734">
        <v>-6.2566499999999997E-2</v>
      </c>
      <c r="Z5734">
        <v>4.7377410000000002E-3</v>
      </c>
      <c r="AA5734">
        <v>0.99802950000000001</v>
      </c>
      <c r="AB5734">
        <v>26</v>
      </c>
      <c r="AC5734">
        <v>20.042899999999999</v>
      </c>
      <c r="AD5734">
        <v>-1.1052762826860001</v>
      </c>
      <c r="AE5734">
        <v>0.156609999999993</v>
      </c>
      <c r="AF5734">
        <v>-1.2602323239779101</v>
      </c>
      <c r="AG5734">
        <v>-1.1052762826860001</v>
      </c>
      <c r="AH5734">
        <v>19.942968928037999</v>
      </c>
      <c r="AI5734">
        <v>93.165891169899496</v>
      </c>
      <c r="AJ5734">
        <v>93.615816287902106</v>
      </c>
      <c r="AK5734">
        <v>20.0132913544013</v>
      </c>
    </row>
    <row r="5735" spans="1:37" x14ac:dyDescent="0.2">
      <c r="A5735" t="str">
        <f>"20200111160015395"</f>
        <v>20200111160015395</v>
      </c>
      <c r="B5735" t="str">
        <f>"1578729615387022"</f>
        <v>1578729615387022</v>
      </c>
      <c r="C5735" t="s">
        <v>37</v>
      </c>
      <c r="D5735">
        <v>4.8589169999999999</v>
      </c>
      <c r="E5735">
        <v>0.48936099999999999</v>
      </c>
      <c r="F5735" t="s">
        <v>89</v>
      </c>
      <c r="G5735">
        <v>-249.0984</v>
      </c>
      <c r="H5735" s="1">
        <v>-3.1751619999999999E-6</v>
      </c>
      <c r="I5735">
        <v>-61.538559999999997</v>
      </c>
      <c r="J5735">
        <v>-269.31060000000002</v>
      </c>
      <c r="K5735">
        <v>1.105253</v>
      </c>
      <c r="L5735">
        <v>-61.735230000000001</v>
      </c>
      <c r="M5735">
        <v>0.99857819999999997</v>
      </c>
      <c r="N5735">
        <v>0</v>
      </c>
      <c r="O5735">
        <v>-5.3293359999999998E-2</v>
      </c>
      <c r="P5735">
        <v>0.99938709999999997</v>
      </c>
      <c r="Q5735">
        <v>2.5859099999999999E-2</v>
      </c>
      <c r="R5735">
        <v>-2.358447E-2</v>
      </c>
      <c r="S5735">
        <v>3.0069270000000001</v>
      </c>
      <c r="T5735">
        <v>-0.16339219999999999</v>
      </c>
      <c r="U5735">
        <v>2.8320310000000001E-2</v>
      </c>
      <c r="V5735">
        <v>-2.987217E-2</v>
      </c>
      <c r="W5735">
        <v>2.4507279999999999E-2</v>
      </c>
      <c r="X5735">
        <v>0.99925330000000001</v>
      </c>
      <c r="Y5735">
        <v>-6.2524780000000002E-2</v>
      </c>
      <c r="Z5735">
        <v>4.5903050000000003E-3</v>
      </c>
      <c r="AA5735">
        <v>0.9980329</v>
      </c>
      <c r="AB5735">
        <v>26</v>
      </c>
      <c r="AC5735">
        <v>20.212199999999999</v>
      </c>
      <c r="AD5735">
        <v>-1.105256175162</v>
      </c>
      <c r="AE5735">
        <v>0.19667000000000401</v>
      </c>
      <c r="AF5735">
        <v>-1.26977081865737</v>
      </c>
      <c r="AG5735">
        <v>-1.105256175162</v>
      </c>
      <c r="AH5735">
        <v>20.112859602327099</v>
      </c>
      <c r="AI5735">
        <v>93.139157753343</v>
      </c>
      <c r="AJ5735">
        <v>93.612419346313999</v>
      </c>
      <c r="AK5735">
        <v>20.183186827841801</v>
      </c>
    </row>
    <row r="5736" spans="1:37" x14ac:dyDescent="0.2">
      <c r="A5736" t="str">
        <f>"20200111160015406"</f>
        <v>20200111160015406</v>
      </c>
      <c r="B5736" t="str">
        <f>"1578729615396782"</f>
        <v>1578729615396782</v>
      </c>
      <c r="C5736" t="s">
        <v>37</v>
      </c>
      <c r="D5736">
        <v>4.9049129999999996</v>
      </c>
      <c r="E5736">
        <v>0.48945759999999999</v>
      </c>
      <c r="F5736" t="s">
        <v>89</v>
      </c>
      <c r="G5736">
        <v>-248.94280000000001</v>
      </c>
      <c r="H5736" s="1">
        <v>-3.1161909999999999E-6</v>
      </c>
      <c r="I5736">
        <v>-61.50468</v>
      </c>
      <c r="J5736">
        <v>-269.18619999999999</v>
      </c>
      <c r="K5736">
        <v>1.105232</v>
      </c>
      <c r="L5736">
        <v>-61.740049999999997</v>
      </c>
      <c r="M5736">
        <v>0.99867779999999995</v>
      </c>
      <c r="N5736">
        <v>0</v>
      </c>
      <c r="O5736">
        <v>-5.1395950000000003E-2</v>
      </c>
      <c r="P5736">
        <v>0.99942260000000005</v>
      </c>
      <c r="Q5736">
        <v>2.620103E-2</v>
      </c>
      <c r="R5736">
        <v>-2.1637719999999999E-2</v>
      </c>
      <c r="S5736">
        <v>3.006866</v>
      </c>
      <c r="T5736">
        <v>-0.16316739999999999</v>
      </c>
      <c r="U5736">
        <v>3.4027099999999998E-2</v>
      </c>
      <c r="V5736">
        <v>-2.9920950000000002E-2</v>
      </c>
      <c r="W5736">
        <v>2.4912940000000001E-2</v>
      </c>
      <c r="X5736">
        <v>0.99924179999999996</v>
      </c>
      <c r="Y5736">
        <v>-6.2525919999999999E-2</v>
      </c>
      <c r="Z5736">
        <v>4.4813209999999999E-3</v>
      </c>
      <c r="AA5736">
        <v>0.99803330000000001</v>
      </c>
      <c r="AB5736">
        <v>26</v>
      </c>
      <c r="AC5736">
        <v>20.243399999999902</v>
      </c>
      <c r="AD5736">
        <v>-1.1052351161909999</v>
      </c>
      <c r="AE5736">
        <v>0.23536999999998801</v>
      </c>
      <c r="AF5736">
        <v>-1.2716980258367201</v>
      </c>
      <c r="AG5736">
        <v>-1.1052351161909999</v>
      </c>
      <c r="AH5736">
        <v>20.144508345108999</v>
      </c>
      <c r="AI5736">
        <v>93.134176801759097</v>
      </c>
      <c r="AJ5736">
        <v>93.612218631063101</v>
      </c>
      <c r="AK5736">
        <v>20.2148454606298</v>
      </c>
    </row>
    <row r="5737" spans="1:37" x14ac:dyDescent="0.2">
      <c r="A5737" t="str">
        <f>"20200111160015417"</f>
        <v>20200111160015417</v>
      </c>
      <c r="B5737" t="str">
        <f>"1578729615406543"</f>
        <v>1578729615406543</v>
      </c>
      <c r="C5737" t="s">
        <v>37</v>
      </c>
      <c r="D5737">
        <v>4.8737680000000001</v>
      </c>
      <c r="E5737">
        <v>0.48959780000000003</v>
      </c>
      <c r="F5737" t="s">
        <v>89</v>
      </c>
      <c r="G5737">
        <v>-248.83009999999999</v>
      </c>
      <c r="H5737" s="1">
        <v>-3.0658060000000001E-6</v>
      </c>
      <c r="I5737">
        <v>-61.475749999999998</v>
      </c>
      <c r="J5737">
        <v>-269.05810000000002</v>
      </c>
      <c r="K5737">
        <v>1.1052</v>
      </c>
      <c r="L5737">
        <v>-61.744689999999999</v>
      </c>
      <c r="M5737">
        <v>0.99877320000000003</v>
      </c>
      <c r="N5737">
        <v>0</v>
      </c>
      <c r="O5737">
        <v>-4.9510369999999998E-2</v>
      </c>
      <c r="P5737">
        <v>0.99945550000000005</v>
      </c>
      <c r="Q5737">
        <v>2.6785920000000001E-2</v>
      </c>
      <c r="R5737">
        <v>-1.9266789999999999E-2</v>
      </c>
      <c r="S5737">
        <v>3.006866</v>
      </c>
      <c r="T5737">
        <v>-0.16325770000000001</v>
      </c>
      <c r="U5737">
        <v>3.9031980000000001E-2</v>
      </c>
      <c r="V5737">
        <v>-3.040549E-2</v>
      </c>
      <c r="W5737">
        <v>2.5565520000000001E-2</v>
      </c>
      <c r="X5737">
        <v>0.99921070000000001</v>
      </c>
      <c r="Y5737">
        <v>-6.2305520000000003E-2</v>
      </c>
      <c r="Z5737">
        <v>4.3755879999999997E-3</v>
      </c>
      <c r="AA5737">
        <v>0.99804749999999998</v>
      </c>
      <c r="AB5737">
        <v>26</v>
      </c>
      <c r="AC5737">
        <v>20.228000000000002</v>
      </c>
      <c r="AD5737">
        <v>-1.1052030658059999</v>
      </c>
      <c r="AE5737">
        <v>0.26894000000000701</v>
      </c>
      <c r="AF5737">
        <v>-1.2663267358077399</v>
      </c>
      <c r="AG5737">
        <v>-1.1052030658059999</v>
      </c>
      <c r="AH5737">
        <v>20.129795715402999</v>
      </c>
      <c r="AI5737">
        <v>93.136415551591099</v>
      </c>
      <c r="AJ5737">
        <v>93.599623886194095</v>
      </c>
      <c r="AK5737">
        <v>20.199844869759399</v>
      </c>
    </row>
    <row r="5738" spans="1:37" x14ac:dyDescent="0.2">
      <c r="A5738" t="str">
        <f>"20200111160015429"</f>
        <v>20200111160015429</v>
      </c>
      <c r="B5738" t="str">
        <f>"1578729615427038"</f>
        <v>1578729615427038</v>
      </c>
      <c r="C5738" t="s">
        <v>37</v>
      </c>
      <c r="D5738">
        <v>4.8845519999999896</v>
      </c>
      <c r="E5738">
        <v>0.48992019999999997</v>
      </c>
      <c r="F5738" t="s">
        <v>89</v>
      </c>
      <c r="G5738">
        <v>-248.49340000000001</v>
      </c>
      <c r="H5738" s="1">
        <v>-2.911164E-6</v>
      </c>
      <c r="I5738">
        <v>-61.437390000000001</v>
      </c>
      <c r="J5738">
        <v>-268.93270000000001</v>
      </c>
      <c r="K5738">
        <v>1.1051709999999999</v>
      </c>
      <c r="L5738">
        <v>-61.749109999999902</v>
      </c>
      <c r="M5738">
        <v>0.99886169999999996</v>
      </c>
      <c r="N5738">
        <v>0</v>
      </c>
      <c r="O5738">
        <v>-4.7690719999999999E-2</v>
      </c>
      <c r="P5738">
        <v>0.99948429999999999</v>
      </c>
      <c r="Q5738">
        <v>2.7185170000000002E-2</v>
      </c>
      <c r="R5738">
        <v>-1.7099710000000001E-2</v>
      </c>
      <c r="S5738">
        <v>3.0068359999999998</v>
      </c>
      <c r="T5738">
        <v>-0.16159560000000001</v>
      </c>
      <c r="U5738">
        <v>4.4921879999999997E-2</v>
      </c>
      <c r="V5738">
        <v>-3.0751509999999999E-2</v>
      </c>
      <c r="W5738">
        <v>2.6034100000000001E-2</v>
      </c>
      <c r="X5738">
        <v>0.99918790000000002</v>
      </c>
      <c r="Y5738">
        <v>-6.2447780000000001E-2</v>
      </c>
      <c r="Z5738">
        <v>4.2372929999999996E-3</v>
      </c>
      <c r="AA5738">
        <v>0.99803920000000002</v>
      </c>
      <c r="AB5738">
        <v>26</v>
      </c>
      <c r="AC5738">
        <v>20.439299999999999</v>
      </c>
      <c r="AD5738">
        <v>-1.105173911164</v>
      </c>
      <c r="AE5738">
        <v>0.311719999999993</v>
      </c>
      <c r="AF5738">
        <v>-1.2823822826671301</v>
      </c>
      <c r="AG5738">
        <v>-1.105173911164</v>
      </c>
      <c r="AH5738">
        <v>20.3417182095098</v>
      </c>
      <c r="AI5738">
        <v>93.103696481068795</v>
      </c>
      <c r="AJ5738">
        <v>93.607265918331194</v>
      </c>
      <c r="AK5738">
        <v>20.412040892765202</v>
      </c>
    </row>
    <row r="5739" spans="1:37" x14ac:dyDescent="0.2">
      <c r="A5739" t="str">
        <f>"20200111160015440"</f>
        <v>20200111160015440</v>
      </c>
      <c r="B5739" t="str">
        <f>"1578729615436798"</f>
        <v>1578729615436798</v>
      </c>
      <c r="C5739" t="s">
        <v>37</v>
      </c>
      <c r="D5739">
        <v>4.9171680000000002</v>
      </c>
      <c r="E5739">
        <v>0.48982399999999998</v>
      </c>
      <c r="F5739" t="s">
        <v>89</v>
      </c>
      <c r="G5739">
        <v>-248.35130000000001</v>
      </c>
      <c r="H5739" s="1">
        <v>-2.844452E-6</v>
      </c>
      <c r="I5739">
        <v>-61.415869999999998</v>
      </c>
      <c r="J5739">
        <v>-268.78789999999998</v>
      </c>
      <c r="K5739">
        <v>1.1051359999999999</v>
      </c>
      <c r="L5739">
        <v>-61.753969999999903</v>
      </c>
      <c r="M5739">
        <v>0.99895719999999999</v>
      </c>
      <c r="N5739">
        <v>0</v>
      </c>
      <c r="O5739">
        <v>-4.5650629999999998E-2</v>
      </c>
      <c r="P5739">
        <v>0.99950890000000003</v>
      </c>
      <c r="Q5739">
        <v>2.7757960000000002E-2</v>
      </c>
      <c r="R5739">
        <v>-1.454856E-2</v>
      </c>
      <c r="S5739">
        <v>3.0068049999999999</v>
      </c>
      <c r="T5739">
        <v>-0.161458399999999</v>
      </c>
      <c r="U5739">
        <v>4.8675540000000003E-2</v>
      </c>
      <c r="V5739">
        <v>-3.126172E-2</v>
      </c>
      <c r="W5739">
        <v>2.669096E-2</v>
      </c>
      <c r="X5739">
        <v>0.99915480000000001</v>
      </c>
      <c r="Y5739">
        <v>-6.1659579999999999E-2</v>
      </c>
      <c r="Z5739">
        <v>4.1031820000000004E-3</v>
      </c>
      <c r="AA5739">
        <v>0.9980888</v>
      </c>
      <c r="AB5739">
        <v>26</v>
      </c>
      <c r="AC5739">
        <v>20.436599999999899</v>
      </c>
      <c r="AD5739">
        <v>-1.1051388444520001</v>
      </c>
      <c r="AE5739">
        <v>0.33809999999999701</v>
      </c>
      <c r="AF5739">
        <v>-1.26698744226842</v>
      </c>
      <c r="AG5739">
        <v>-1.1051388444520001</v>
      </c>
      <c r="AH5739">
        <v>20.3403952816386</v>
      </c>
      <c r="AI5739">
        <v>93.103945214702506</v>
      </c>
      <c r="AJ5739">
        <v>93.564304644786404</v>
      </c>
      <c r="AK5739">
        <v>20.4097591670673</v>
      </c>
    </row>
    <row r="5740" spans="1:37" x14ac:dyDescent="0.2">
      <c r="A5740" t="str">
        <f>"20200111160015451"</f>
        <v>20200111160015451</v>
      </c>
      <c r="B5740" t="str">
        <f>"1578729615446558"</f>
        <v>1578729615446558</v>
      </c>
      <c r="C5740" t="s">
        <v>37</v>
      </c>
      <c r="D5740">
        <v>4.8672449999999996</v>
      </c>
      <c r="E5740">
        <v>0.48982399999999998</v>
      </c>
      <c r="F5740" t="s">
        <v>89</v>
      </c>
      <c r="G5740">
        <v>-248.07390000000001</v>
      </c>
      <c r="H5740" s="1">
        <v>-2.7109379999999999E-6</v>
      </c>
      <c r="I5740">
        <v>-61.361179999999997</v>
      </c>
      <c r="J5740">
        <v>-268.6635</v>
      </c>
      <c r="K5740">
        <v>1.1051029999999999</v>
      </c>
      <c r="L5740">
        <v>-61.757930000000002</v>
      </c>
      <c r="M5740">
        <v>0.99903349999999902</v>
      </c>
      <c r="N5740">
        <v>0</v>
      </c>
      <c r="O5740">
        <v>-4.3948960000000002E-2</v>
      </c>
      <c r="P5740">
        <v>0.99951889999999999</v>
      </c>
      <c r="Q5740">
        <v>2.832732E-2</v>
      </c>
      <c r="R5740">
        <v>-1.263298E-2</v>
      </c>
      <c r="S5740">
        <v>3.0067439999999999</v>
      </c>
      <c r="T5740">
        <v>-0.16041720000000001</v>
      </c>
      <c r="U5740">
        <v>5.7006840000000003E-2</v>
      </c>
      <c r="V5740">
        <v>-3.1475089999999997E-2</v>
      </c>
      <c r="W5740">
        <v>2.7336360000000001E-2</v>
      </c>
      <c r="X5740">
        <v>0.99913069999999904</v>
      </c>
      <c r="Y5740">
        <v>-6.2727350000000001E-2</v>
      </c>
      <c r="Z5740">
        <v>4.01457799999999E-3</v>
      </c>
      <c r="AA5740">
        <v>0.99802259999999998</v>
      </c>
      <c r="AB5740">
        <v>26</v>
      </c>
      <c r="AC5740">
        <v>20.589599999999901</v>
      </c>
      <c r="AD5740">
        <v>-1.105105710938</v>
      </c>
      <c r="AE5740">
        <v>0.39674999999999699</v>
      </c>
      <c r="AF5740">
        <v>-1.2975219062279599</v>
      </c>
      <c r="AG5740">
        <v>-1.105105710938</v>
      </c>
      <c r="AH5740">
        <v>20.4932542230917</v>
      </c>
      <c r="AI5740">
        <v>93.080548285097805</v>
      </c>
      <c r="AJ5740">
        <v>93.622822740672603</v>
      </c>
      <c r="AK5740">
        <v>20.564004726262699</v>
      </c>
    </row>
    <row r="5741" spans="1:37" x14ac:dyDescent="0.2">
      <c r="A5741" t="str">
        <f>"20200111160015462"</f>
        <v>20200111160015462</v>
      </c>
      <c r="B5741" t="str">
        <f>"1578729615456318"</f>
        <v>1578729615456318</v>
      </c>
      <c r="C5741" t="s">
        <v>37</v>
      </c>
      <c r="D5741">
        <v>5.0148390000000003</v>
      </c>
      <c r="E5741">
        <v>0.47224919999999998</v>
      </c>
      <c r="F5741" t="s">
        <v>89</v>
      </c>
      <c r="G5741">
        <v>-247.73439999999999</v>
      </c>
      <c r="H5741" s="1">
        <v>-2.5548009999999999E-6</v>
      </c>
      <c r="I5741">
        <v>-61.321769999999901</v>
      </c>
      <c r="J5741">
        <v>-268.5283</v>
      </c>
      <c r="K5741">
        <v>1.1050679999999999</v>
      </c>
      <c r="L5741">
        <v>-61.762119999999904</v>
      </c>
      <c r="M5741">
        <v>0.99911179999999999</v>
      </c>
      <c r="N5741">
        <v>0</v>
      </c>
      <c r="O5741">
        <v>-4.213708E-2</v>
      </c>
      <c r="P5741">
        <v>0.99951690000000004</v>
      </c>
      <c r="Q5741">
        <v>2.9159040000000001E-2</v>
      </c>
      <c r="R5741">
        <v>-1.077911E-2</v>
      </c>
      <c r="S5741">
        <v>3.0067439999999999</v>
      </c>
      <c r="T5741">
        <v>-0.15876379999999901</v>
      </c>
      <c r="U5741">
        <v>6.2652589999999994E-2</v>
      </c>
      <c r="V5741">
        <v>-3.1517160000000002E-2</v>
      </c>
      <c r="W5741">
        <v>2.8253440000000001E-2</v>
      </c>
      <c r="X5741">
        <v>0.99910379999999999</v>
      </c>
      <c r="Y5741">
        <v>-6.279614E-2</v>
      </c>
      <c r="Z5741">
        <v>3.8794699999999999E-3</v>
      </c>
      <c r="AA5741">
        <v>0.99801890000000004</v>
      </c>
      <c r="AB5741">
        <v>26</v>
      </c>
      <c r="AC5741">
        <v>20.793900000000001</v>
      </c>
      <c r="AD5741">
        <v>-1.105070554801</v>
      </c>
      <c r="AE5741">
        <v>0.44035000000000202</v>
      </c>
      <c r="AF5741">
        <v>-1.3124480975785999</v>
      </c>
      <c r="AG5741">
        <v>-1.105070554801</v>
      </c>
      <c r="AH5741">
        <v>20.69844455294</v>
      </c>
      <c r="AI5741">
        <v>93.049952965826805</v>
      </c>
      <c r="AJ5741">
        <v>93.628156671816996</v>
      </c>
      <c r="AK5741">
        <v>20.769432054128501</v>
      </c>
    </row>
    <row r="5742" spans="1:37" x14ac:dyDescent="0.2">
      <c r="A5742" t="str">
        <f>"20200111160015476"</f>
        <v>20200111160015476</v>
      </c>
      <c r="B5742" t="str">
        <f>"1578729615467054"</f>
        <v>1578729615467054</v>
      </c>
      <c r="C5742" t="s">
        <v>37</v>
      </c>
      <c r="D5742">
        <v>4.8737349999999999</v>
      </c>
      <c r="E5742">
        <v>0.47337760000000001</v>
      </c>
      <c r="F5742" t="s">
        <v>89</v>
      </c>
      <c r="G5742">
        <v>-247.98339999999999</v>
      </c>
      <c r="H5742" s="1">
        <v>-2.4208260000000001E-6</v>
      </c>
      <c r="I5742">
        <v>-60.333840000000002</v>
      </c>
      <c r="J5742">
        <v>-268.35610000000003</v>
      </c>
      <c r="K5742">
        <v>1.1050180000000001</v>
      </c>
      <c r="L5742">
        <v>-61.767090000000003</v>
      </c>
      <c r="M5742">
        <v>0.99920200000000003</v>
      </c>
      <c r="N5742">
        <v>0</v>
      </c>
      <c r="O5742">
        <v>-3.9937309999999997E-2</v>
      </c>
      <c r="P5742">
        <v>0.99951819999999902</v>
      </c>
      <c r="Q5742">
        <v>2.9864080000000001E-2</v>
      </c>
      <c r="R5742">
        <v>-8.4645759999999997E-3</v>
      </c>
      <c r="S5742">
        <v>3.0084529999999998</v>
      </c>
      <c r="T5742">
        <v>-0.16181899999999999</v>
      </c>
      <c r="U5742">
        <v>0.20913699999999999</v>
      </c>
      <c r="V5742">
        <v>-3.1629810000000001E-2</v>
      </c>
      <c r="W5742">
        <v>2.907183E-2</v>
      </c>
      <c r="X5742">
        <v>0.99907679999999999</v>
      </c>
      <c r="Y5742">
        <v>-0.10892060000000001</v>
      </c>
      <c r="Z5742">
        <v>5.0680170000000002E-3</v>
      </c>
      <c r="AA5742">
        <v>0.99403750000000002</v>
      </c>
      <c r="AB5742">
        <v>26</v>
      </c>
      <c r="AC5742">
        <v>20.372699999999998</v>
      </c>
      <c r="AD5742">
        <v>-1.1050204208259999</v>
      </c>
      <c r="AE5742">
        <v>1.4332499999999999</v>
      </c>
      <c r="AF5742">
        <v>-2.23918228070213</v>
      </c>
      <c r="AG5742">
        <v>-1.1050204208259999</v>
      </c>
      <c r="AH5742">
        <v>20.2399534511494</v>
      </c>
      <c r="AI5742">
        <v>93.106104524890796</v>
      </c>
      <c r="AJ5742">
        <v>96.313062162038406</v>
      </c>
      <c r="AK5742">
        <v>20.393399008535798</v>
      </c>
    </row>
    <row r="5743" spans="1:37" x14ac:dyDescent="0.2">
      <c r="A5743" t="str">
        <f>"20200111160015487"</f>
        <v>20200111160015487</v>
      </c>
      <c r="B5743" t="str">
        <f>"1578729615476814"</f>
        <v>1578729615476814</v>
      </c>
      <c r="C5743" t="s">
        <v>37</v>
      </c>
      <c r="D5743">
        <v>5.0205729999999997</v>
      </c>
      <c r="E5743">
        <v>0.47268250000000001</v>
      </c>
      <c r="F5743" t="s">
        <v>89</v>
      </c>
      <c r="G5743">
        <v>-249.077</v>
      </c>
      <c r="H5743" s="1">
        <v>-2.8945639999999899E-6</v>
      </c>
      <c r="I5743">
        <v>-60.434019999999997</v>
      </c>
      <c r="J5743">
        <v>-268.2278</v>
      </c>
      <c r="K5743">
        <v>1.104976</v>
      </c>
      <c r="L5743">
        <v>-61.770659999999999</v>
      </c>
      <c r="M5743">
        <v>0.99926469999999901</v>
      </c>
      <c r="N5743">
        <v>0</v>
      </c>
      <c r="O5743">
        <v>-3.8338949999999997E-2</v>
      </c>
      <c r="P5743">
        <v>0.99950030000000001</v>
      </c>
      <c r="Q5743">
        <v>3.084491E-2</v>
      </c>
      <c r="R5743">
        <v>-6.9210369999999997E-3</v>
      </c>
      <c r="S5743">
        <v>3.00839199999999</v>
      </c>
      <c r="T5743">
        <v>-0.1724321</v>
      </c>
      <c r="U5743">
        <v>0.20800779999999999</v>
      </c>
      <c r="V5743">
        <v>-3.1575449999999998E-2</v>
      </c>
      <c r="W5743">
        <v>3.014091E-2</v>
      </c>
      <c r="X5743">
        <v>0.99904680000000001</v>
      </c>
      <c r="Y5743">
        <v>-0.1069373</v>
      </c>
      <c r="Z5743">
        <v>5.2518929999999997E-3</v>
      </c>
      <c r="AA5743">
        <v>0.99425189999999997</v>
      </c>
      <c r="AB5743">
        <v>27</v>
      </c>
      <c r="AC5743">
        <v>19.1508</v>
      </c>
      <c r="AD5743">
        <v>-1.104978894564</v>
      </c>
      <c r="AE5743">
        <v>1.3366400000000001</v>
      </c>
      <c r="AF5743">
        <v>-2.0630440235342999</v>
      </c>
      <c r="AG5743">
        <v>-1.104978894564</v>
      </c>
      <c r="AH5743">
        <v>19.0224530950101</v>
      </c>
      <c r="AI5743">
        <v>93.3051319327882</v>
      </c>
      <c r="AJ5743">
        <v>96.189712649971995</v>
      </c>
      <c r="AK5743">
        <v>19.165877249746</v>
      </c>
    </row>
    <row r="5744" spans="1:37" x14ac:dyDescent="0.2">
      <c r="A5744" t="str">
        <f>"20200111160015498"</f>
        <v>20200111160015498</v>
      </c>
      <c r="B5744" t="str">
        <f>"1578729615486574"</f>
        <v>1578729615486574</v>
      </c>
      <c r="C5744" t="s">
        <v>37</v>
      </c>
      <c r="D5744">
        <v>5.1353650000000002</v>
      </c>
      <c r="E5744">
        <v>0.47268250000000001</v>
      </c>
      <c r="F5744" t="s">
        <v>89</v>
      </c>
      <c r="G5744">
        <v>-248.19730000000001</v>
      </c>
      <c r="H5744" s="1">
        <v>-2.51513299999999E-6</v>
      </c>
      <c r="I5744">
        <v>-60.319459999999999</v>
      </c>
      <c r="J5744">
        <v>-268.09690000000001</v>
      </c>
      <c r="K5744">
        <v>1.1049370000000001</v>
      </c>
      <c r="L5744">
        <v>-61.774140000000003</v>
      </c>
      <c r="M5744">
        <v>0.99932310000000002</v>
      </c>
      <c r="N5744">
        <v>0</v>
      </c>
      <c r="O5744">
        <v>-3.6786449999999998E-2</v>
      </c>
      <c r="P5744">
        <v>0.99945859999999997</v>
      </c>
      <c r="Q5744">
        <v>3.2515059999999998E-2</v>
      </c>
      <c r="R5744">
        <v>-5.0433300000000004E-3</v>
      </c>
      <c r="S5744">
        <v>3.0081180000000001</v>
      </c>
      <c r="T5744">
        <v>-0.16594229999999999</v>
      </c>
      <c r="U5744">
        <v>0.21792600000000001</v>
      </c>
      <c r="V5744">
        <v>-3.1903830000000001E-2</v>
      </c>
      <c r="W5744">
        <v>3.1902930000000003E-2</v>
      </c>
      <c r="X5744">
        <v>0.99898169999999897</v>
      </c>
      <c r="Y5744">
        <v>-0.10867789999999999</v>
      </c>
      <c r="Z5744">
        <v>5.016871E-3</v>
      </c>
      <c r="AA5744">
        <v>0.99406430000000001</v>
      </c>
      <c r="AB5744">
        <v>27</v>
      </c>
      <c r="AC5744">
        <v>19.8995999999999</v>
      </c>
      <c r="AD5744">
        <v>-1.1049395151329999</v>
      </c>
      <c r="AE5744">
        <v>1.45468</v>
      </c>
      <c r="AF5744">
        <v>-2.1790485498723302</v>
      </c>
      <c r="AG5744">
        <v>-1.1049395151329999</v>
      </c>
      <c r="AH5744">
        <v>19.771983346332402</v>
      </c>
      <c r="AI5744">
        <v>93.179385841361594</v>
      </c>
      <c r="AJ5744">
        <v>96.289124256134798</v>
      </c>
      <c r="AK5744">
        <v>19.922361038854</v>
      </c>
    </row>
    <row r="5745" spans="1:37" x14ac:dyDescent="0.2">
      <c r="A5745" t="str">
        <f>"20200111160015509"</f>
        <v>20200111160015509</v>
      </c>
      <c r="B5745" t="str">
        <f>"1578729615507070"</f>
        <v>1578729615507070</v>
      </c>
      <c r="C5745" t="s">
        <v>37</v>
      </c>
      <c r="D5745">
        <v>4.8766339999999904</v>
      </c>
      <c r="E5745">
        <v>0.49330370000000001</v>
      </c>
      <c r="F5745" t="s">
        <v>89</v>
      </c>
      <c r="G5745">
        <v>-247.46639999999999</v>
      </c>
      <c r="H5745" s="1">
        <v>-2.2153159999999998E-6</v>
      </c>
      <c r="I5745">
        <v>-60.242159999999998</v>
      </c>
      <c r="J5745">
        <v>-267.96129999999999</v>
      </c>
      <c r="K5745">
        <v>1.1048899999999999</v>
      </c>
      <c r="L5745">
        <v>-61.777560000000001</v>
      </c>
      <c r="M5745">
        <v>0.99937929999999997</v>
      </c>
      <c r="N5745">
        <v>0</v>
      </c>
      <c r="O5745">
        <v>-3.5224999999999999E-2</v>
      </c>
      <c r="P5745">
        <v>0.99940810000000002</v>
      </c>
      <c r="Q5745">
        <v>3.4230299999999998E-2</v>
      </c>
      <c r="R5745">
        <v>-3.4693369999999999E-3</v>
      </c>
      <c r="S5745">
        <v>3.0079959999999999</v>
      </c>
      <c r="T5745">
        <v>-0.16110429999999901</v>
      </c>
      <c r="U5745">
        <v>0.22335820000000001</v>
      </c>
      <c r="V5745">
        <v>-3.1919080000000002E-2</v>
      </c>
      <c r="W5745">
        <v>3.371917E-2</v>
      </c>
      <c r="X5745">
        <v>0.99892150000000002</v>
      </c>
      <c r="Y5745">
        <v>-0.1089277</v>
      </c>
      <c r="Z5745">
        <v>4.7939139999999998E-3</v>
      </c>
      <c r="AA5745">
        <v>0.99403809999999904</v>
      </c>
      <c r="AB5745">
        <v>27</v>
      </c>
      <c r="AC5745">
        <v>20.494900000000001</v>
      </c>
      <c r="AD5745">
        <v>-1.1048922153159999</v>
      </c>
      <c r="AE5745">
        <v>1.5354000000000001</v>
      </c>
      <c r="AF5745">
        <v>-2.2498776293512601</v>
      </c>
      <c r="AG5745">
        <v>-1.1048922153159999</v>
      </c>
      <c r="AH5745">
        <v>20.369226796061</v>
      </c>
      <c r="AI5745">
        <v>93.086132017603006</v>
      </c>
      <c r="AJ5745">
        <v>96.303040349072802</v>
      </c>
      <c r="AK5745">
        <v>20.5228686207336</v>
      </c>
    </row>
    <row r="5746" spans="1:37" x14ac:dyDescent="0.2">
      <c r="A5746" t="str">
        <f>"20200111160015520"</f>
        <v>20200111160015520</v>
      </c>
      <c r="B5746" t="str">
        <f>"1578729615516830"</f>
        <v>1578729615516830</v>
      </c>
      <c r="C5746" t="s">
        <v>37</v>
      </c>
      <c r="D5746">
        <v>4.8828529999999999</v>
      </c>
      <c r="E5746">
        <v>0.4796996</v>
      </c>
      <c r="F5746" t="s">
        <v>90</v>
      </c>
      <c r="G5746">
        <v>-237.0557</v>
      </c>
      <c r="H5746" s="1">
        <v>-2.2226410000000002E-6</v>
      </c>
      <c r="I5746">
        <v>-61.167789999999997</v>
      </c>
      <c r="J5746">
        <v>-267.82749999999999</v>
      </c>
      <c r="K5746">
        <v>1.104846</v>
      </c>
      <c r="L5746">
        <v>-61.780790000000003</v>
      </c>
      <c r="M5746">
        <v>0.99943059999999995</v>
      </c>
      <c r="N5746">
        <v>0</v>
      </c>
      <c r="O5746">
        <v>-3.3742500000000002E-2</v>
      </c>
      <c r="P5746">
        <v>0.99936639999999999</v>
      </c>
      <c r="Q5746">
        <v>3.5528879999999999E-2</v>
      </c>
      <c r="R5746">
        <v>-2.12722E-3</v>
      </c>
      <c r="S5746">
        <v>3.0056759999999998</v>
      </c>
      <c r="T5746">
        <v>-0.10745449999999999</v>
      </c>
      <c r="U5746">
        <v>5.9295649999999998E-2</v>
      </c>
      <c r="V5746">
        <v>-3.1778929999999997E-2</v>
      </c>
      <c r="W5746">
        <v>3.5123580000000001E-2</v>
      </c>
      <c r="X5746">
        <v>0.99887760000000003</v>
      </c>
      <c r="Y5746">
        <v>-5.3393110000000001E-2</v>
      </c>
      <c r="Z5746">
        <v>2.1597579999999999E-3</v>
      </c>
      <c r="AA5746">
        <v>0.99857119999999999</v>
      </c>
      <c r="AB5746">
        <v>27</v>
      </c>
      <c r="AC5746">
        <v>30.771799999999899</v>
      </c>
      <c r="AD5746">
        <v>-1.1048482226409999</v>
      </c>
      <c r="AE5746">
        <v>0.61299999999999899</v>
      </c>
      <c r="AF5746">
        <v>-1.6488436089123799</v>
      </c>
      <c r="AG5746">
        <v>-1.1048482226409999</v>
      </c>
      <c r="AH5746">
        <v>30.694039987394799</v>
      </c>
      <c r="AI5746">
        <v>92.058536424796301</v>
      </c>
      <c r="AJ5746">
        <v>93.074898729228906</v>
      </c>
      <c r="AK5746">
        <v>30.758144703306002</v>
      </c>
    </row>
    <row r="5747" spans="1:37" x14ac:dyDescent="0.2">
      <c r="A5747" t="str">
        <f>"20200111160015531"</f>
        <v>20200111160015531</v>
      </c>
      <c r="B5747" t="str">
        <f>"1578729615526590"</f>
        <v>1578729615526590</v>
      </c>
      <c r="C5747" t="s">
        <v>37</v>
      </c>
      <c r="D5747">
        <v>4.8608969999999996</v>
      </c>
      <c r="E5747">
        <v>0.48071350000000002</v>
      </c>
      <c r="F5747" t="s">
        <v>89</v>
      </c>
      <c r="G5747">
        <v>-245.11510000000001</v>
      </c>
      <c r="H5747" s="1">
        <v>-1.2010790000000001E-6</v>
      </c>
      <c r="I5747">
        <v>-60.457180000000001</v>
      </c>
      <c r="J5747">
        <v>-267.70319999999998</v>
      </c>
      <c r="K5747">
        <v>1.104805</v>
      </c>
      <c r="L5747">
        <v>-61.78369</v>
      </c>
      <c r="M5747">
        <v>0.99947430000000004</v>
      </c>
      <c r="N5747">
        <v>0</v>
      </c>
      <c r="O5747">
        <v>-3.2424069999999999E-2</v>
      </c>
      <c r="P5747">
        <v>0.99933139999999998</v>
      </c>
      <c r="Q5747">
        <v>3.6553040000000002E-2</v>
      </c>
      <c r="R5747">
        <v>-1.0118589999999999E-3</v>
      </c>
      <c r="S5747">
        <v>3.0075379999999998</v>
      </c>
      <c r="T5747">
        <v>-0.14630199999999999</v>
      </c>
      <c r="U5747">
        <v>0.17526249999999999</v>
      </c>
      <c r="V5747">
        <v>-3.157571E-2</v>
      </c>
      <c r="W5747">
        <v>3.6254389999999997E-2</v>
      </c>
      <c r="X5747">
        <v>0.99884359999999905</v>
      </c>
      <c r="Y5747">
        <v>-9.036951E-2</v>
      </c>
      <c r="Z5747">
        <v>3.7700309999999901E-3</v>
      </c>
      <c r="AA5747">
        <v>0.99590119999999904</v>
      </c>
      <c r="AB5747">
        <v>27</v>
      </c>
      <c r="AC5747">
        <v>22.588099999999901</v>
      </c>
      <c r="AD5747">
        <v>-1.1048062010789901</v>
      </c>
      <c r="AE5747">
        <v>1.3265099999999901</v>
      </c>
      <c r="AF5747">
        <v>-2.05331535505651</v>
      </c>
      <c r="AG5747">
        <v>-1.1048062010789901</v>
      </c>
      <c r="AH5747">
        <v>22.479619552546701</v>
      </c>
      <c r="AI5747">
        <v>92.802006717805</v>
      </c>
      <c r="AJ5747">
        <v>95.218982864143598</v>
      </c>
      <c r="AK5747">
        <v>22.600221147513</v>
      </c>
    </row>
    <row r="5748" spans="1:37" x14ac:dyDescent="0.2">
      <c r="A5748" t="str">
        <f>"20200111160015541"</f>
        <v>20200111160015541</v>
      </c>
      <c r="B5748" t="str">
        <f>"1578729615536350"</f>
        <v>1578729615536350</v>
      </c>
      <c r="C5748" t="s">
        <v>37</v>
      </c>
      <c r="D5748">
        <v>4.9709409999999998</v>
      </c>
      <c r="E5748">
        <v>0.48155569999999998</v>
      </c>
      <c r="F5748" t="s">
        <v>89</v>
      </c>
      <c r="G5748">
        <v>-244.69380000000001</v>
      </c>
      <c r="H5748" s="1">
        <v>-1.0262879999999999E-6</v>
      </c>
      <c r="I5748">
        <v>-60.479619999999997</v>
      </c>
      <c r="J5748">
        <v>-267.5745</v>
      </c>
      <c r="K5748">
        <v>1.1047629999999999</v>
      </c>
      <c r="L5748">
        <v>-61.786559999999902</v>
      </c>
      <c r="M5748">
        <v>0.99951630000000002</v>
      </c>
      <c r="N5748">
        <v>0</v>
      </c>
      <c r="O5748">
        <v>-3.1099209999999999E-2</v>
      </c>
      <c r="P5748">
        <v>0.99931789999999998</v>
      </c>
      <c r="Q5748">
        <v>3.6925029999999998E-2</v>
      </c>
      <c r="R5748">
        <v>-2.01216899999999E-4</v>
      </c>
      <c r="S5748">
        <v>3.0074459999999998</v>
      </c>
      <c r="T5748">
        <v>-0.144403799999999</v>
      </c>
      <c r="U5748">
        <v>0.1704407</v>
      </c>
      <c r="V5748">
        <v>-3.1057899999999999E-2</v>
      </c>
      <c r="W5748">
        <v>3.6743310000000001E-2</v>
      </c>
      <c r="X5748">
        <v>0.99884200000000001</v>
      </c>
      <c r="Y5748">
        <v>-8.7467900000000001E-2</v>
      </c>
      <c r="Z5748">
        <v>3.5883509999999901E-3</v>
      </c>
      <c r="AA5748">
        <v>0.99616090000000002</v>
      </c>
      <c r="AB5748">
        <v>27</v>
      </c>
      <c r="AC5748">
        <v>22.880699999999901</v>
      </c>
      <c r="AD5748">
        <v>-1.1047640262880001</v>
      </c>
      <c r="AE5748">
        <v>1.30693999999999</v>
      </c>
      <c r="AF5748">
        <v>-2.0132013948378802</v>
      </c>
      <c r="AG5748">
        <v>-1.1047640262880001</v>
      </c>
      <c r="AH5748">
        <v>22.7760624289883</v>
      </c>
      <c r="AI5748">
        <v>92.766214912819507</v>
      </c>
      <c r="AJ5748">
        <v>95.051309460614604</v>
      </c>
      <c r="AK5748">
        <v>22.891537807214402</v>
      </c>
    </row>
    <row r="5749" spans="1:37" x14ac:dyDescent="0.2">
      <c r="A5749" t="str">
        <f>"20200111160015552"</f>
        <v>20200111160015552</v>
      </c>
      <c r="B5749" t="str">
        <f>"1578729615547086"</f>
        <v>1578729615547086</v>
      </c>
      <c r="C5749" t="s">
        <v>37</v>
      </c>
      <c r="D5749">
        <v>4.9330939999999996</v>
      </c>
      <c r="E5749">
        <v>0.48239529999999903</v>
      </c>
      <c r="F5749" t="s">
        <v>89</v>
      </c>
      <c r="G5749">
        <v>-246.3092</v>
      </c>
      <c r="H5749" s="1">
        <v>-1.752907E-6</v>
      </c>
      <c r="I5749">
        <v>-60.605869999999904</v>
      </c>
      <c r="J5749">
        <v>-267.44749999999999</v>
      </c>
      <c r="K5749">
        <v>1.104719</v>
      </c>
      <c r="L5749">
        <v>-61.789279999999998</v>
      </c>
      <c r="M5749">
        <v>0.99955400000000005</v>
      </c>
      <c r="N5749">
        <v>0</v>
      </c>
      <c r="O5749">
        <v>-2.9863029999999999E-2</v>
      </c>
      <c r="P5749">
        <v>0.99933179999999999</v>
      </c>
      <c r="Q5749">
        <v>3.6550220000000001E-2</v>
      </c>
      <c r="R5749">
        <v>4.4754469999999999E-4</v>
      </c>
      <c r="S5749">
        <v>3.0078429999999998</v>
      </c>
      <c r="T5749">
        <v>-0.15626189999999901</v>
      </c>
      <c r="U5749">
        <v>0.16699220000000001</v>
      </c>
      <c r="V5749">
        <v>-3.046519E-2</v>
      </c>
      <c r="W5749">
        <v>3.6499330000000003E-2</v>
      </c>
      <c r="X5749">
        <v>0.99886919999999901</v>
      </c>
      <c r="Y5749">
        <v>-8.5071359999999999E-2</v>
      </c>
      <c r="Z5749">
        <v>3.7559479999999998E-3</v>
      </c>
      <c r="AA5749">
        <v>0.99636780000000003</v>
      </c>
      <c r="AB5749">
        <v>27</v>
      </c>
      <c r="AC5749">
        <v>21.138299999999902</v>
      </c>
      <c r="AD5749">
        <v>-1.104720752907</v>
      </c>
      <c r="AE5749">
        <v>1.1834100000000001</v>
      </c>
      <c r="AF5749">
        <v>-1.80920988205921</v>
      </c>
      <c r="AG5749">
        <v>-1.104720752907</v>
      </c>
      <c r="AH5749">
        <v>21.036255900805099</v>
      </c>
      <c r="AI5749">
        <v>92.995094917167293</v>
      </c>
      <c r="AJ5749">
        <v>94.915591285799806</v>
      </c>
      <c r="AK5749">
        <v>21.142793350534401</v>
      </c>
    </row>
    <row r="5750" spans="1:37" x14ac:dyDescent="0.2">
      <c r="A5750" t="str">
        <f>"20200111160015564"</f>
        <v>20200111160015564</v>
      </c>
      <c r="B5750" t="str">
        <f>"1578729615556846"</f>
        <v>1578729615556846</v>
      </c>
      <c r="C5750" t="s">
        <v>37</v>
      </c>
      <c r="D5750">
        <v>4.9399620000000004</v>
      </c>
      <c r="E5750">
        <v>0.482263099999999</v>
      </c>
      <c r="F5750" t="s">
        <v>89</v>
      </c>
      <c r="G5750">
        <v>-246.42609999999999</v>
      </c>
      <c r="H5750" s="1">
        <v>-1.8161799999999999E-6</v>
      </c>
      <c r="I5750">
        <v>-60.655140000000003</v>
      </c>
      <c r="J5750">
        <v>-267.29849999999999</v>
      </c>
      <c r="K5750">
        <v>1.1046639999999901</v>
      </c>
      <c r="L5750">
        <v>-61.79233</v>
      </c>
      <c r="M5750">
        <v>0.99959519999999902</v>
      </c>
      <c r="N5750">
        <v>0</v>
      </c>
      <c r="O5750">
        <v>-2.8449260000000001E-2</v>
      </c>
      <c r="P5750">
        <v>0.99934990000000001</v>
      </c>
      <c r="Q5750">
        <v>3.6030920000000001E-2</v>
      </c>
      <c r="R5750">
        <v>1.285968E-3</v>
      </c>
      <c r="S5750">
        <v>3.0077210000000001</v>
      </c>
      <c r="T5750">
        <v>-0.1580626</v>
      </c>
      <c r="U5750">
        <v>0.16226199999999999</v>
      </c>
      <c r="V5750">
        <v>-2.988211E-2</v>
      </c>
      <c r="W5750">
        <v>3.6140020000000002E-2</v>
      </c>
      <c r="X5750">
        <v>0.99889989999999995</v>
      </c>
      <c r="Y5750">
        <v>-8.2104120000000003E-2</v>
      </c>
      <c r="Z5750">
        <v>3.6474239999999998E-3</v>
      </c>
      <c r="AA5750">
        <v>0.99661710000000003</v>
      </c>
      <c r="AB5750">
        <v>27</v>
      </c>
      <c r="AC5750">
        <v>20.872399999999999</v>
      </c>
      <c r="AD5750">
        <v>-1.10466581617999</v>
      </c>
      <c r="AE5750">
        <v>1.1371899999999999</v>
      </c>
      <c r="AF5750">
        <v>-1.7257146010251201</v>
      </c>
      <c r="AG5750">
        <v>-1.10466581617999</v>
      </c>
      <c r="AH5750">
        <v>20.7735843011368</v>
      </c>
      <c r="AI5750">
        <v>93.033490623480304</v>
      </c>
      <c r="AJ5750">
        <v>94.748802579779095</v>
      </c>
      <c r="AK5750">
        <v>20.874390581908401</v>
      </c>
    </row>
    <row r="5751" spans="1:37" x14ac:dyDescent="0.2">
      <c r="A5751" t="str">
        <f>"20200111160015575"</f>
        <v>20200111160015575</v>
      </c>
      <c r="B5751" t="str">
        <f>"1578729615566606"</f>
        <v>1578729615566606</v>
      </c>
      <c r="C5751" t="s">
        <v>37</v>
      </c>
      <c r="D5751">
        <v>4.9261819999999998</v>
      </c>
      <c r="E5751">
        <v>0.48247089999999998</v>
      </c>
      <c r="F5751" t="s">
        <v>89</v>
      </c>
      <c r="G5751">
        <v>-247.41409999999999</v>
      </c>
      <c r="H5751" s="1">
        <v>-2.249669E-6</v>
      </c>
      <c r="I5751">
        <v>-60.691490000000002</v>
      </c>
      <c r="J5751">
        <v>-267.16320000000002</v>
      </c>
      <c r="K5751">
        <v>1.104617</v>
      </c>
      <c r="L5751">
        <v>-61.79495</v>
      </c>
      <c r="M5751">
        <v>0.99962809999999902</v>
      </c>
      <c r="N5751">
        <v>0</v>
      </c>
      <c r="O5751">
        <v>-2.7270139999999998E-2</v>
      </c>
      <c r="P5751">
        <v>0.99938289999999996</v>
      </c>
      <c r="Q5751">
        <v>3.5074309999999997E-2</v>
      </c>
      <c r="R5751">
        <v>1.9294850000000001E-3</v>
      </c>
      <c r="S5751">
        <v>3.0077509999999998</v>
      </c>
      <c r="T5751">
        <v>-0.16709350000000001</v>
      </c>
      <c r="U5751">
        <v>0.16650390000000001</v>
      </c>
      <c r="V5751">
        <v>-2.93385E-2</v>
      </c>
      <c r="W5751">
        <v>3.5358510000000003E-2</v>
      </c>
      <c r="X5751">
        <v>0.99894400000000005</v>
      </c>
      <c r="Y5751">
        <v>-8.2313029999999995E-2</v>
      </c>
      <c r="Z5751">
        <v>3.7957099999999999E-3</v>
      </c>
      <c r="AA5751">
        <v>0.99659929999999997</v>
      </c>
      <c r="AB5751">
        <v>27</v>
      </c>
      <c r="AC5751">
        <v>19.749099999999999</v>
      </c>
      <c r="AD5751">
        <v>-1.1046192496689999</v>
      </c>
      <c r="AE5751">
        <v>1.1034599999999899</v>
      </c>
      <c r="AF5751">
        <v>-1.6365065345055001</v>
      </c>
      <c r="AG5751">
        <v>-1.1046192496689999</v>
      </c>
      <c r="AH5751">
        <v>19.650379709558301</v>
      </c>
      <c r="AI5751">
        <v>93.2063411354425</v>
      </c>
      <c r="AJ5751">
        <v>94.760673323315004</v>
      </c>
      <c r="AK5751">
        <v>19.749323027740399</v>
      </c>
    </row>
    <row r="5752" spans="1:37" x14ac:dyDescent="0.2">
      <c r="A5752" t="str">
        <f>"20200111160015586"</f>
        <v>20200111160015586</v>
      </c>
      <c r="B5752" t="str">
        <f>"1578729615576367"</f>
        <v>1578729615576367</v>
      </c>
      <c r="C5752" t="s">
        <v>37</v>
      </c>
      <c r="D5752">
        <v>4.9691099999999997</v>
      </c>
      <c r="E5752">
        <v>0.48296939999999999</v>
      </c>
      <c r="F5752" t="s">
        <v>89</v>
      </c>
      <c r="G5752">
        <v>-248.02510000000001</v>
      </c>
      <c r="H5752" s="1">
        <v>-2.5223099999999998E-6</v>
      </c>
      <c r="I5752">
        <v>-60.730930000000001</v>
      </c>
      <c r="J5752">
        <v>-267.03059999999999</v>
      </c>
      <c r="K5752">
        <v>1.1045670000000001</v>
      </c>
      <c r="L5752">
        <v>-61.797490000000003</v>
      </c>
      <c r="M5752">
        <v>0.99965849999999901</v>
      </c>
      <c r="N5752">
        <v>0</v>
      </c>
      <c r="O5752">
        <v>-2.6132450000000002E-2</v>
      </c>
      <c r="P5752">
        <v>0.99940949999999995</v>
      </c>
      <c r="Q5752">
        <v>3.4251030000000002E-2</v>
      </c>
      <c r="R5752">
        <v>2.8488049999999998E-3</v>
      </c>
      <c r="S5752">
        <v>3.0076290000000001</v>
      </c>
      <c r="T5752">
        <v>-0.17359579999999999</v>
      </c>
      <c r="U5752">
        <v>0.16720579999999999</v>
      </c>
      <c r="V5752">
        <v>-2.911242E-2</v>
      </c>
      <c r="W5752">
        <v>3.4710900000000003E-2</v>
      </c>
      <c r="X5752">
        <v>0.99897329999999995</v>
      </c>
      <c r="Y5752">
        <v>-8.1402920000000004E-2</v>
      </c>
      <c r="Z5752">
        <v>3.8515229999999999E-3</v>
      </c>
      <c r="AA5752">
        <v>0.99667380000000005</v>
      </c>
      <c r="AB5752">
        <v>27</v>
      </c>
      <c r="AC5752">
        <v>19.005499999999898</v>
      </c>
      <c r="AD5752">
        <v>-1.1045695223100001</v>
      </c>
      <c r="AE5752">
        <v>1.06655999999999</v>
      </c>
      <c r="AF5752">
        <v>-1.55761132667585</v>
      </c>
      <c r="AG5752">
        <v>-1.1045695223100001</v>
      </c>
      <c r="AH5752">
        <v>18.907473368490699</v>
      </c>
      <c r="AI5752">
        <v>93.332141749835401</v>
      </c>
      <c r="AJ5752">
        <v>94.709433300698393</v>
      </c>
      <c r="AK5752">
        <v>19.0036516505326</v>
      </c>
    </row>
    <row r="5753" spans="1:37" x14ac:dyDescent="0.2">
      <c r="A5753" t="str">
        <f>"20200111160015597"</f>
        <v>20200111160015597</v>
      </c>
      <c r="B5753" t="str">
        <f>"1578729615587102"</f>
        <v>1578729615587102</v>
      </c>
      <c r="C5753" t="s">
        <v>37</v>
      </c>
      <c r="D5753">
        <v>4.9126580000000004</v>
      </c>
      <c r="E5753">
        <v>0.48308620000000002</v>
      </c>
      <c r="F5753" t="s">
        <v>89</v>
      </c>
      <c r="G5753">
        <v>-248.06020000000001</v>
      </c>
      <c r="H5753" s="1">
        <v>-2.54243799999999E-6</v>
      </c>
      <c r="I5753">
        <v>-60.75</v>
      </c>
      <c r="J5753">
        <v>-266.8802</v>
      </c>
      <c r="K5753">
        <v>1.1045199999999999</v>
      </c>
      <c r="L5753">
        <v>-61.800169999999902</v>
      </c>
      <c r="M5753">
        <v>0.99968840000000003</v>
      </c>
      <c r="N5753">
        <v>0</v>
      </c>
      <c r="O5753">
        <v>-2.4947230000000001E-2</v>
      </c>
      <c r="P5753">
        <v>0.99943609999999905</v>
      </c>
      <c r="Q5753">
        <v>3.3338260000000002E-2</v>
      </c>
      <c r="R5753">
        <v>4.0008889999999997E-3</v>
      </c>
      <c r="S5753">
        <v>3.0073240000000001</v>
      </c>
      <c r="T5753">
        <v>-0.17510439999999999</v>
      </c>
      <c r="U5753">
        <v>0.1660461</v>
      </c>
      <c r="V5753">
        <v>-2.9070229999999999E-2</v>
      </c>
      <c r="W5753">
        <v>3.4032750000000001E-2</v>
      </c>
      <c r="X5753">
        <v>0.998997899999999</v>
      </c>
      <c r="Y5753">
        <v>-7.9845089999999994E-2</v>
      </c>
      <c r="Z5753">
        <v>3.7711820000000001E-3</v>
      </c>
      <c r="AA5753">
        <v>0.99680009999999997</v>
      </c>
      <c r="AB5753">
        <v>28</v>
      </c>
      <c r="AC5753">
        <v>18.82</v>
      </c>
      <c r="AD5753">
        <v>-1.1045225424380001</v>
      </c>
      <c r="AE5753">
        <v>1.0501699999999901</v>
      </c>
      <c r="AF5753">
        <v>-1.5141510871653701</v>
      </c>
      <c r="AG5753">
        <v>-1.1045225424380001</v>
      </c>
      <c r="AH5753">
        <v>18.723652771040602</v>
      </c>
      <c r="AI5753">
        <v>93.3650493505219</v>
      </c>
      <c r="AJ5753">
        <v>94.623354784754895</v>
      </c>
      <c r="AK5753">
        <v>18.817220747284001</v>
      </c>
    </row>
    <row r="5754" spans="1:37" x14ac:dyDescent="0.2">
      <c r="A5754" t="str">
        <f>"20200111160015609"</f>
        <v>20200111160015609</v>
      </c>
      <c r="B5754" t="str">
        <f>"1578729615606622"</f>
        <v>1578729615606622</v>
      </c>
      <c r="C5754" t="s">
        <v>37</v>
      </c>
      <c r="D5754">
        <v>4.9668939999999999</v>
      </c>
      <c r="E5754">
        <v>0.4832321</v>
      </c>
      <c r="F5754" t="s">
        <v>89</v>
      </c>
      <c r="G5754">
        <v>-248.84360000000001</v>
      </c>
      <c r="H5754" s="1">
        <v>-2.8881069999999999E-6</v>
      </c>
      <c r="I5754">
        <v>-60.786069999999903</v>
      </c>
      <c r="J5754">
        <v>-266.75529999999998</v>
      </c>
      <c r="K5754">
        <v>1.1044830000000001</v>
      </c>
      <c r="L5754">
        <v>-61.802340000000001</v>
      </c>
      <c r="M5754">
        <v>0.99971180000000004</v>
      </c>
      <c r="N5754">
        <v>0</v>
      </c>
      <c r="O5754">
        <v>-2.3993830000000001E-2</v>
      </c>
      <c r="P5754">
        <v>0.99945349999999999</v>
      </c>
      <c r="Q5754">
        <v>3.2659170000000001E-2</v>
      </c>
      <c r="R5754">
        <v>5.1356129999999998E-3</v>
      </c>
      <c r="S5754">
        <v>3.0071720000000002</v>
      </c>
      <c r="T5754">
        <v>-0.18415319999999999</v>
      </c>
      <c r="U5754">
        <v>0.16906740000000001</v>
      </c>
      <c r="V5754">
        <v>-2.9245050000000002E-2</v>
      </c>
      <c r="W5754">
        <v>3.3558099999999903E-2</v>
      </c>
      <c r="X5754">
        <v>0.99900879999999903</v>
      </c>
      <c r="Y5754">
        <v>-7.9878569999999996E-2</v>
      </c>
      <c r="Z5754">
        <v>3.9085370000000001E-3</v>
      </c>
      <c r="AA5754">
        <v>0.99679699999999904</v>
      </c>
      <c r="AB5754">
        <v>28</v>
      </c>
      <c r="AC5754">
        <v>17.9116999999999</v>
      </c>
      <c r="AD5754">
        <v>-1.1044858881070001</v>
      </c>
      <c r="AE5754">
        <v>1.01627</v>
      </c>
      <c r="AF5754">
        <v>-1.4402889966719901</v>
      </c>
      <c r="AG5754">
        <v>-1.1044858881070001</v>
      </c>
      <c r="AH5754">
        <v>17.814639816835601</v>
      </c>
      <c r="AI5754">
        <v>93.536218290001898</v>
      </c>
      <c r="AJ5754">
        <v>94.622230975496805</v>
      </c>
      <c r="AK5754">
        <v>17.9068621839379</v>
      </c>
    </row>
    <row r="5755" spans="1:37" x14ac:dyDescent="0.2">
      <c r="A5755" t="str">
        <f>"20200111160015621"</f>
        <v>20200111160015621</v>
      </c>
      <c r="B5755" t="str">
        <f>"1578729615616382"</f>
        <v>1578729615616382</v>
      </c>
      <c r="C5755" t="s">
        <v>37</v>
      </c>
      <c r="D5755">
        <v>4.9826040000000003</v>
      </c>
      <c r="E5755">
        <v>0.48361599999999999</v>
      </c>
      <c r="F5755" t="s">
        <v>89</v>
      </c>
      <c r="G5755">
        <v>-249.25729999999999</v>
      </c>
      <c r="H5755" s="1">
        <v>-3.0701099999999902E-6</v>
      </c>
      <c r="I5755">
        <v>-60.803169999999902</v>
      </c>
      <c r="J5755">
        <v>-266.59199999999998</v>
      </c>
      <c r="K5755">
        <v>1.104444</v>
      </c>
      <c r="L5755">
        <v>-61.805079999999997</v>
      </c>
      <c r="M5755">
        <v>0.99973880000000004</v>
      </c>
      <c r="N5755">
        <v>0</v>
      </c>
      <c r="O5755">
        <v>-2.2820980000000001E-2</v>
      </c>
      <c r="P5755">
        <v>0.99945969999999995</v>
      </c>
      <c r="Q5755">
        <v>3.2233680000000001E-2</v>
      </c>
      <c r="R5755">
        <v>6.4287719999999897E-3</v>
      </c>
      <c r="S5755">
        <v>3.006958</v>
      </c>
      <c r="T5755">
        <v>-0.189801</v>
      </c>
      <c r="U5755">
        <v>0.17169189999999901</v>
      </c>
      <c r="V5755">
        <v>-2.9358550000000001E-2</v>
      </c>
      <c r="W5755">
        <v>3.3425129999999997E-2</v>
      </c>
      <c r="X5755">
        <v>0.99900990000000001</v>
      </c>
      <c r="Y5755">
        <v>-7.9571230000000007E-2</v>
      </c>
      <c r="Z5755">
        <v>3.9447759999999997E-3</v>
      </c>
      <c r="AA5755">
        <v>0.99682139999999997</v>
      </c>
      <c r="AB5755">
        <v>28</v>
      </c>
      <c r="AC5755">
        <v>17.334699999999899</v>
      </c>
      <c r="AD5755">
        <v>-1.10444707011</v>
      </c>
      <c r="AE5755">
        <v>1.0019100000000001</v>
      </c>
      <c r="AF5755">
        <v>-1.39161396697291</v>
      </c>
      <c r="AG5755">
        <v>-1.10444707011</v>
      </c>
      <c r="AH5755">
        <v>17.237580386125501</v>
      </c>
      <c r="AI5755">
        <v>93.654190248096896</v>
      </c>
      <c r="AJ5755">
        <v>94.615558371461205</v>
      </c>
      <c r="AK5755">
        <v>17.3288940885414</v>
      </c>
    </row>
    <row r="5756" spans="1:37" x14ac:dyDescent="0.2">
      <c r="A5756" t="str">
        <f>"20200111160015631"</f>
        <v>20200111160015631</v>
      </c>
      <c r="B5756" t="str">
        <f>"1578729615627118"</f>
        <v>1578729615627118</v>
      </c>
      <c r="C5756" t="s">
        <v>37</v>
      </c>
      <c r="D5756">
        <v>4.965897</v>
      </c>
      <c r="E5756">
        <v>0.48393919999999901</v>
      </c>
      <c r="F5756" t="s">
        <v>89</v>
      </c>
      <c r="G5756">
        <v>-249.40549999999999</v>
      </c>
      <c r="H5756" s="1">
        <v>-3.137638E-6</v>
      </c>
      <c r="I5756">
        <v>-60.818059999999903</v>
      </c>
      <c r="J5756">
        <v>-266.46539999999999</v>
      </c>
      <c r="K5756">
        <v>1.1044179999999999</v>
      </c>
      <c r="L5756">
        <v>-61.807099999999998</v>
      </c>
      <c r="M5756">
        <v>0.99975759999999902</v>
      </c>
      <c r="N5756">
        <v>0</v>
      </c>
      <c r="O5756">
        <v>-2.1968789999999998E-2</v>
      </c>
      <c r="P5756">
        <v>0.9994653</v>
      </c>
      <c r="Q5756">
        <v>3.1813229999999998E-2</v>
      </c>
      <c r="R5756">
        <v>7.5742609999999997E-3</v>
      </c>
      <c r="S5756">
        <v>3.0067750000000002</v>
      </c>
      <c r="T5756">
        <v>-0.19322249999999999</v>
      </c>
      <c r="U5756">
        <v>0.1726685</v>
      </c>
      <c r="V5756">
        <v>-2.9646459999999999E-2</v>
      </c>
      <c r="W5756">
        <v>3.3244990000000002E-2</v>
      </c>
      <c r="X5756">
        <v>0.99900750000000005</v>
      </c>
      <c r="Y5756">
        <v>-7.9043139999999998E-2</v>
      </c>
      <c r="Z5756">
        <v>3.9443450000000001E-3</v>
      </c>
      <c r="AA5756">
        <v>0.99686339999999996</v>
      </c>
      <c r="AB5756">
        <v>28</v>
      </c>
      <c r="AC5756">
        <v>17.059899999999999</v>
      </c>
      <c r="AD5756">
        <v>-1.104421137638</v>
      </c>
      <c r="AE5756">
        <v>0.98904000000000203</v>
      </c>
      <c r="AF5756">
        <v>-1.3579151153910001</v>
      </c>
      <c r="AG5756">
        <v>-1.104421137638</v>
      </c>
      <c r="AH5756">
        <v>16.963200238879601</v>
      </c>
      <c r="AI5756">
        <v>93.713247210861894</v>
      </c>
      <c r="AJ5756">
        <v>94.576804523211905</v>
      </c>
      <c r="AK5756">
        <v>17.053264844427702</v>
      </c>
    </row>
    <row r="5757" spans="1:37" x14ac:dyDescent="0.2">
      <c r="A5757" t="str">
        <f>"20200111160015643"</f>
        <v>20200111160015643</v>
      </c>
      <c r="B5757" t="str">
        <f>"1578729615636878"</f>
        <v>1578729615636878</v>
      </c>
      <c r="C5757" t="s">
        <v>37</v>
      </c>
      <c r="D5757">
        <v>4.9778089999999997</v>
      </c>
      <c r="E5757">
        <v>0.48425959999999901</v>
      </c>
      <c r="F5757" t="s">
        <v>89</v>
      </c>
      <c r="G5757">
        <v>-249.56280000000001</v>
      </c>
      <c r="H5757" s="1">
        <v>-3.2076180000000001E-6</v>
      </c>
      <c r="I5757">
        <v>-60.830640000000002</v>
      </c>
      <c r="J5757">
        <v>-266.32170000000002</v>
      </c>
      <c r="K5757">
        <v>1.104392</v>
      </c>
      <c r="L5757">
        <v>-61.809330000000003</v>
      </c>
      <c r="M5757">
        <v>0.99977719999999903</v>
      </c>
      <c r="N5757">
        <v>0</v>
      </c>
      <c r="O5757">
        <v>-2.103259E-2</v>
      </c>
      <c r="P5757">
        <v>0.99946449999999998</v>
      </c>
      <c r="Q5757">
        <v>3.1556090000000002E-2</v>
      </c>
      <c r="R5757">
        <v>8.6662670000000001E-3</v>
      </c>
      <c r="S5757">
        <v>3.0065309999999998</v>
      </c>
      <c r="T5757">
        <v>-0.1964477</v>
      </c>
      <c r="U5757">
        <v>0.17367550000000001</v>
      </c>
      <c r="V5757">
        <v>-2.9796960000000001E-2</v>
      </c>
      <c r="W5757">
        <v>3.3270719999999997E-2</v>
      </c>
      <c r="X5757">
        <v>0.9990021</v>
      </c>
      <c r="Y5757">
        <v>-7.844334E-2</v>
      </c>
      <c r="Z5757">
        <v>3.9297100000000003E-3</v>
      </c>
      <c r="AA5757">
        <v>0.99691079999999999</v>
      </c>
      <c r="AB5757">
        <v>28</v>
      </c>
      <c r="AC5757">
        <v>16.758900000000001</v>
      </c>
      <c r="AD5757">
        <v>-1.1043952076179999</v>
      </c>
      <c r="AE5757">
        <v>0.97868999999999995</v>
      </c>
      <c r="AF5757">
        <v>-1.3252216808522099</v>
      </c>
      <c r="AG5757">
        <v>-1.1043952076179999</v>
      </c>
      <c r="AH5757">
        <v>16.662494367159098</v>
      </c>
      <c r="AI5757">
        <v>93.7801332675444</v>
      </c>
      <c r="AJ5757">
        <v>94.547345317731697</v>
      </c>
      <c r="AK5757">
        <v>16.751555743083099</v>
      </c>
    </row>
    <row r="5758" spans="1:37" x14ac:dyDescent="0.2">
      <c r="A5758" t="str">
        <f>"20200111160015654"</f>
        <v>20200111160015654</v>
      </c>
      <c r="B5758" t="str">
        <f>"1578729615646638"</f>
        <v>1578729615646638</v>
      </c>
      <c r="C5758" t="s">
        <v>37</v>
      </c>
      <c r="D5758">
        <v>4.9765079999999999</v>
      </c>
      <c r="E5758">
        <v>0.48460059999999899</v>
      </c>
      <c r="F5758" t="s">
        <v>89</v>
      </c>
      <c r="G5758">
        <v>-249.66</v>
      </c>
      <c r="H5758" s="1">
        <v>-3.242635E-6</v>
      </c>
      <c r="I5758">
        <v>-60.841650000000001</v>
      </c>
      <c r="J5758">
        <v>-266.18099999999998</v>
      </c>
      <c r="K5758">
        <v>1.1043689999999999</v>
      </c>
      <c r="L5758">
        <v>-61.811399999999999</v>
      </c>
      <c r="M5758">
        <v>0.99979390000000001</v>
      </c>
      <c r="N5758">
        <v>0</v>
      </c>
      <c r="O5758">
        <v>-2.0196639999999998E-2</v>
      </c>
      <c r="P5758">
        <v>0.99946679999999999</v>
      </c>
      <c r="Q5758">
        <v>3.1102310000000001E-2</v>
      </c>
      <c r="R5758">
        <v>9.9402550000000003E-3</v>
      </c>
      <c r="S5758">
        <v>3.00637799999999</v>
      </c>
      <c r="T5758">
        <v>-0.19927239999999999</v>
      </c>
      <c r="U5758">
        <v>0.1745911</v>
      </c>
      <c r="V5758">
        <v>-3.0229180000000001E-2</v>
      </c>
      <c r="W5758">
        <v>3.3104870000000002E-2</v>
      </c>
      <c r="X5758">
        <v>0.99899459999999995</v>
      </c>
      <c r="Y5758">
        <v>-7.7912140000000005E-2</v>
      </c>
      <c r="Z5758">
        <v>3.9133779999999899E-3</v>
      </c>
      <c r="AA5758">
        <v>0.99695249999999902</v>
      </c>
      <c r="AB5758">
        <v>28</v>
      </c>
      <c r="AC5758">
        <v>16.520999999999901</v>
      </c>
      <c r="AD5758">
        <v>-1.104372242635</v>
      </c>
      <c r="AE5758">
        <v>0.969749999999997</v>
      </c>
      <c r="AF5758">
        <v>-1.29744392019734</v>
      </c>
      <c r="AG5758">
        <v>-1.104372242635</v>
      </c>
      <c r="AH5758">
        <v>16.424902332042901</v>
      </c>
      <c r="AI5758">
        <v>93.834735588351606</v>
      </c>
      <c r="AJ5758">
        <v>94.516557666404793</v>
      </c>
      <c r="AK5758">
        <v>16.513037739722801</v>
      </c>
    </row>
    <row r="5759" spans="1:37" x14ac:dyDescent="0.2">
      <c r="A5759" t="str">
        <f>"20200111160015666"</f>
        <v>20200111160015666</v>
      </c>
      <c r="B5759" t="str">
        <f>"1578729615656398"</f>
        <v>1578729615656398</v>
      </c>
      <c r="C5759" t="s">
        <v>37</v>
      </c>
      <c r="D5759">
        <v>4.995412</v>
      </c>
      <c r="E5759">
        <v>0.48480640000000003</v>
      </c>
      <c r="F5759" t="s">
        <v>89</v>
      </c>
      <c r="G5759">
        <v>-249.62569999999999</v>
      </c>
      <c r="H5759" s="1">
        <v>-3.2313650000000002E-6</v>
      </c>
      <c r="I5759">
        <v>-60.843940000000003</v>
      </c>
      <c r="J5759">
        <v>-266.0351</v>
      </c>
      <c r="K5759">
        <v>1.1043459999999901</v>
      </c>
      <c r="L5759">
        <v>-61.813540000000003</v>
      </c>
      <c r="M5759">
        <v>0.99980999999999998</v>
      </c>
      <c r="N5759">
        <v>0</v>
      </c>
      <c r="O5759">
        <v>-1.935576E-2</v>
      </c>
      <c r="P5759">
        <v>0.99946000000000002</v>
      </c>
      <c r="Q5759">
        <v>3.0847079999999999E-2</v>
      </c>
      <c r="R5759">
        <v>1.1340390000000001E-2</v>
      </c>
      <c r="S5759">
        <v>3.0061040000000001</v>
      </c>
      <c r="T5759">
        <v>-0.20053109999999999</v>
      </c>
      <c r="U5759">
        <v>0.17565919999999999</v>
      </c>
      <c r="V5759">
        <v>-3.0783609999999999E-2</v>
      </c>
      <c r="W5759">
        <v>3.3150140000000002E-2</v>
      </c>
      <c r="X5759">
        <v>0.99897619999999898</v>
      </c>
      <c r="Y5759">
        <v>-7.743216E-2</v>
      </c>
      <c r="Z5759">
        <v>3.8663930000000001E-3</v>
      </c>
      <c r="AA5759">
        <v>0.99699009999999999</v>
      </c>
      <c r="AB5759">
        <v>28</v>
      </c>
      <c r="AC5759">
        <v>16.409400000000002</v>
      </c>
      <c r="AD5759">
        <v>-1.1043492313650001</v>
      </c>
      <c r="AE5759">
        <v>0.96959999999999902</v>
      </c>
      <c r="AF5759">
        <v>-1.2812526679474101</v>
      </c>
      <c r="AG5759">
        <v>-1.1043492313650001</v>
      </c>
      <c r="AH5759">
        <v>16.313925483558901</v>
      </c>
      <c r="AI5759">
        <v>93.860800004195497</v>
      </c>
      <c r="AJ5759">
        <v>94.490641568018304</v>
      </c>
      <c r="AK5759">
        <v>16.401382877887201</v>
      </c>
    </row>
    <row r="5760" spans="1:37" x14ac:dyDescent="0.2">
      <c r="A5760" t="str">
        <f>"20200111160015678"</f>
        <v>20200111160015678</v>
      </c>
      <c r="B5760" t="str">
        <f>"1578729615667134"</f>
        <v>1578729615667134</v>
      </c>
      <c r="C5760" t="s">
        <v>37</v>
      </c>
      <c r="D5760">
        <v>4.9783239999999997</v>
      </c>
      <c r="E5760">
        <v>0.4848867</v>
      </c>
      <c r="F5760" t="s">
        <v>89</v>
      </c>
      <c r="G5760">
        <v>-249.5718</v>
      </c>
      <c r="H5760" s="1">
        <v>-3.2119599999999899E-6</v>
      </c>
      <c r="I5760">
        <v>-60.83784</v>
      </c>
      <c r="J5760">
        <v>-265.88240000000002</v>
      </c>
      <c r="K5760">
        <v>1.1043209999999899</v>
      </c>
      <c r="L5760">
        <v>-61.81561</v>
      </c>
      <c r="M5760">
        <v>0.99982399999999905</v>
      </c>
      <c r="N5760">
        <v>0</v>
      </c>
      <c r="O5760">
        <v>-1.8564230000000001E-2</v>
      </c>
      <c r="P5760">
        <v>0.99944719999999998</v>
      </c>
      <c r="Q5760">
        <v>3.069334E-2</v>
      </c>
      <c r="R5760">
        <v>1.277728E-2</v>
      </c>
      <c r="S5760">
        <v>3.0058590000000001</v>
      </c>
      <c r="T5760">
        <v>-0.20163139999999999</v>
      </c>
      <c r="U5760">
        <v>0.17813109999999999</v>
      </c>
      <c r="V5760">
        <v>-3.1423649999999997E-2</v>
      </c>
      <c r="W5760">
        <v>3.331361E-2</v>
      </c>
      <c r="X5760">
        <v>0.99895080000000003</v>
      </c>
      <c r="Y5760">
        <v>-7.7463989999999996E-2</v>
      </c>
      <c r="Z5760">
        <v>3.8358540000000001E-3</v>
      </c>
      <c r="AA5760">
        <v>0.99698779999999998</v>
      </c>
      <c r="AB5760">
        <v>28</v>
      </c>
      <c r="AC5760">
        <v>16.310600000000001</v>
      </c>
      <c r="AD5760">
        <v>-1.1043242119600001</v>
      </c>
      <c r="AE5760">
        <v>0.97776999999999903</v>
      </c>
      <c r="AF5760">
        <v>-1.2745744953223399</v>
      </c>
      <c r="AG5760">
        <v>-1.1043242119600001</v>
      </c>
      <c r="AH5760">
        <v>16.215570065412798</v>
      </c>
      <c r="AI5760">
        <v>93.884038953144</v>
      </c>
      <c r="AJ5760">
        <v>94.494316221679895</v>
      </c>
      <c r="AK5760">
        <v>16.3030299225499</v>
      </c>
    </row>
    <row r="5761" spans="1:37" x14ac:dyDescent="0.2">
      <c r="A5761" t="str">
        <f>"20200111160015704"</f>
        <v>20200111160015704</v>
      </c>
      <c r="B5761" t="str">
        <f>"1578729615696414"</f>
        <v>1578729615696414</v>
      </c>
      <c r="C5761" t="s">
        <v>37</v>
      </c>
      <c r="D5761">
        <v>4.9367559999999999</v>
      </c>
      <c r="E5761">
        <v>0.4453298</v>
      </c>
      <c r="F5761" t="s">
        <v>89</v>
      </c>
      <c r="G5761">
        <v>-249.58699999999999</v>
      </c>
      <c r="H5761" s="1">
        <v>-3.2158030000000001E-6</v>
      </c>
      <c r="I5761">
        <v>-60.830410000000001</v>
      </c>
      <c r="J5761">
        <v>-265.56610000000001</v>
      </c>
      <c r="K5761">
        <v>1.1042719999999999</v>
      </c>
      <c r="L5761">
        <v>-61.819819999999901</v>
      </c>
      <c r="M5761">
        <v>0.99984899999999999</v>
      </c>
      <c r="N5761">
        <v>0</v>
      </c>
      <c r="O5761">
        <v>-1.705568E-2</v>
      </c>
      <c r="P5761">
        <v>0.99939889999999998</v>
      </c>
      <c r="Q5761">
        <v>3.093746E-2</v>
      </c>
      <c r="R5761">
        <v>1.5655869999999999E-2</v>
      </c>
      <c r="S5761">
        <v>3.005585</v>
      </c>
      <c r="T5761">
        <v>-0.2036848</v>
      </c>
      <c r="U5761">
        <v>0.18170169999999999</v>
      </c>
      <c r="V5761">
        <v>-3.2784479999999998E-2</v>
      </c>
      <c r="W5761">
        <v>3.4207170000000002E-2</v>
      </c>
      <c r="X5761">
        <v>0.99887689999999996</v>
      </c>
      <c r="Y5761">
        <v>-7.7145080000000005E-2</v>
      </c>
      <c r="Z5761">
        <v>3.7622290000000002E-3</v>
      </c>
      <c r="AA5761">
        <v>0.99701280000000003</v>
      </c>
      <c r="AB5761">
        <v>28</v>
      </c>
      <c r="AC5761">
        <v>15.979099999999899</v>
      </c>
      <c r="AD5761">
        <v>-1.10427521580299</v>
      </c>
      <c r="AE5761">
        <v>0.98940999999999202</v>
      </c>
      <c r="AF5761">
        <v>-1.2558272796446599</v>
      </c>
      <c r="AG5761">
        <v>-1.10427521580299</v>
      </c>
      <c r="AH5761">
        <v>15.884329200327301</v>
      </c>
      <c r="AI5761">
        <v>93.964460922245607</v>
      </c>
      <c r="AJ5761">
        <v>94.520445522720095</v>
      </c>
      <c r="AK5761">
        <v>15.9721144515342</v>
      </c>
    </row>
    <row r="5762" spans="1:37" x14ac:dyDescent="0.2">
      <c r="A5762" t="str">
        <f>"20200111160015714"</f>
        <v>20200111160015714</v>
      </c>
      <c r="B5762" t="str">
        <f>"1578729615707151"</f>
        <v>1578729615707151</v>
      </c>
      <c r="C5762" t="s">
        <v>37</v>
      </c>
      <c r="D5762">
        <v>4.8427689999999997</v>
      </c>
      <c r="E5762">
        <v>0.43286400000000003</v>
      </c>
      <c r="F5762" t="s">
        <v>89</v>
      </c>
      <c r="G5762">
        <v>-249.32210000000001</v>
      </c>
      <c r="H5762" s="1">
        <v>-3.2176509999999998E-6</v>
      </c>
      <c r="I5762">
        <v>-59.07938</v>
      </c>
      <c r="J5762">
        <v>-265.42910000000001</v>
      </c>
      <c r="K5762">
        <v>1.104252</v>
      </c>
      <c r="L5762">
        <v>-61.8215</v>
      </c>
      <c r="M5762">
        <v>0.99985769999999996</v>
      </c>
      <c r="N5762">
        <v>0</v>
      </c>
      <c r="O5762">
        <v>-1.648606E-2</v>
      </c>
      <c r="P5762">
        <v>0.99935090000000004</v>
      </c>
      <c r="Q5762">
        <v>3.1786090000000003E-2</v>
      </c>
      <c r="R5762">
        <v>1.6963470000000001E-2</v>
      </c>
      <c r="S5762">
        <v>3.0001829999999998</v>
      </c>
      <c r="T5762">
        <v>-0.20395389999999999</v>
      </c>
      <c r="U5762">
        <v>0.50613399999999997</v>
      </c>
      <c r="V5762">
        <v>-3.3520010000000003E-2</v>
      </c>
      <c r="W5762">
        <v>3.5327070000000002E-2</v>
      </c>
      <c r="X5762">
        <v>0.99881350000000002</v>
      </c>
      <c r="Y5762">
        <v>-0.182138299999999</v>
      </c>
      <c r="Z5762">
        <v>7.2525159999999997E-3</v>
      </c>
      <c r="AA5762">
        <v>0.98324619999999996</v>
      </c>
      <c r="AB5762">
        <v>28</v>
      </c>
      <c r="AC5762">
        <v>16.106999999999999</v>
      </c>
      <c r="AD5762">
        <v>-1.1042552176510001</v>
      </c>
      <c r="AE5762">
        <v>2.7421199999999901</v>
      </c>
      <c r="AF5762">
        <v>-2.9936159359009098</v>
      </c>
      <c r="AG5762">
        <v>-1.1042552176510001</v>
      </c>
      <c r="AH5762">
        <v>15.9865813665998</v>
      </c>
      <c r="AI5762">
        <v>93.884065848673799</v>
      </c>
      <c r="AJ5762">
        <v>100.60626237973599</v>
      </c>
      <c r="AK5762">
        <v>16.301898654706001</v>
      </c>
    </row>
    <row r="5763" spans="1:37" x14ac:dyDescent="0.2">
      <c r="A5763" t="str">
        <f>"20200111160015725"</f>
        <v>20200111160015725</v>
      </c>
      <c r="B5763" t="str">
        <f>"1578729615716912"</f>
        <v>1578729615716912</v>
      </c>
      <c r="C5763" t="s">
        <v>37</v>
      </c>
      <c r="D5763">
        <v>4.9998670000000001</v>
      </c>
      <c r="E5763">
        <v>0.42676750000000002</v>
      </c>
      <c r="F5763" t="s">
        <v>89</v>
      </c>
      <c r="G5763">
        <v>-248.32390000000001</v>
      </c>
      <c r="H5763" s="1">
        <v>-2.9192369999999999E-6</v>
      </c>
      <c r="I5763">
        <v>-58.347499999999997</v>
      </c>
      <c r="J5763">
        <v>-265.2867</v>
      </c>
      <c r="K5763">
        <v>1.1042299999999901</v>
      </c>
      <c r="L5763">
        <v>-61.823269999999901</v>
      </c>
      <c r="M5763">
        <v>0.99986589999999997</v>
      </c>
      <c r="N5763">
        <v>0</v>
      </c>
      <c r="O5763">
        <v>-1.590855E-2</v>
      </c>
      <c r="P5763">
        <v>0.999309</v>
      </c>
      <c r="Q5763">
        <v>3.257554E-2</v>
      </c>
      <c r="R5763">
        <v>1.7912000000000001E-2</v>
      </c>
      <c r="S5763">
        <v>2.9977719999999999</v>
      </c>
      <c r="T5763">
        <v>-0.193526</v>
      </c>
      <c r="U5763">
        <v>0.60882569999999903</v>
      </c>
      <c r="V5763">
        <v>-3.3888759999999997E-2</v>
      </c>
      <c r="W5763">
        <v>3.6396869999999998E-2</v>
      </c>
      <c r="X5763">
        <v>0.9987627</v>
      </c>
      <c r="Y5763">
        <v>-0.21413449999999901</v>
      </c>
      <c r="Z5763">
        <v>7.8511380000000006E-3</v>
      </c>
      <c r="AA5763">
        <v>0.97677269999999905</v>
      </c>
      <c r="AB5763">
        <v>28</v>
      </c>
      <c r="AC5763">
        <v>16.962799999999898</v>
      </c>
      <c r="AD5763">
        <v>-1.10423291923699</v>
      </c>
      <c r="AE5763">
        <v>3.47576999999999</v>
      </c>
      <c r="AF5763">
        <v>-3.7300160964493898</v>
      </c>
      <c r="AG5763">
        <v>-1.10423291923699</v>
      </c>
      <c r="AH5763">
        <v>16.836884409638099</v>
      </c>
      <c r="AI5763">
        <v>93.663742573191897</v>
      </c>
      <c r="AJ5763">
        <v>102.491464858413</v>
      </c>
      <c r="AK5763">
        <v>17.2804232310211</v>
      </c>
    </row>
    <row r="5764" spans="1:37" x14ac:dyDescent="0.2">
      <c r="A5764" t="str">
        <f>"20200111160015737"</f>
        <v>20200111160015737</v>
      </c>
      <c r="B5764" t="str">
        <f>"1578729615726670"</f>
        <v>1578729615726670</v>
      </c>
      <c r="C5764" t="s">
        <v>37</v>
      </c>
      <c r="D5764">
        <v>5.0462040000000004</v>
      </c>
      <c r="E5764">
        <v>0.4239483</v>
      </c>
      <c r="F5764" t="s">
        <v>89</v>
      </c>
      <c r="G5764">
        <v>-247.77090000000001</v>
      </c>
      <c r="H5764" s="1">
        <v>-2.750034E-6</v>
      </c>
      <c r="I5764">
        <v>-57.964009999999902</v>
      </c>
      <c r="J5764">
        <v>-265.14440000000002</v>
      </c>
      <c r="K5764">
        <v>1.104201</v>
      </c>
      <c r="L5764">
        <v>-61.824979999999996</v>
      </c>
      <c r="M5764">
        <v>0.99987269999999995</v>
      </c>
      <c r="N5764">
        <v>0</v>
      </c>
      <c r="O5764">
        <v>-1.5401099999999999E-2</v>
      </c>
      <c r="P5764">
        <v>0.99926369999999898</v>
      </c>
      <c r="Q5764">
        <v>3.3427659999999998E-2</v>
      </c>
      <c r="R5764">
        <v>1.8831589999999999E-2</v>
      </c>
      <c r="S5764">
        <v>2.9963989999999998</v>
      </c>
      <c r="T5764">
        <v>-0.18889909999999999</v>
      </c>
      <c r="U5764">
        <v>0.66018679999999996</v>
      </c>
      <c r="V5764">
        <v>-3.4297389999999997E-2</v>
      </c>
      <c r="W5764">
        <v>3.7517149999999999E-2</v>
      </c>
      <c r="X5764">
        <v>0.99870720000000002</v>
      </c>
      <c r="Y5764">
        <v>-0.22971659999999999</v>
      </c>
      <c r="Z5764">
        <v>8.1071240000000003E-3</v>
      </c>
      <c r="AA5764">
        <v>0.97322379999999997</v>
      </c>
      <c r="AB5764">
        <v>28</v>
      </c>
      <c r="AC5764">
        <v>17.3735</v>
      </c>
      <c r="AD5764">
        <v>-1.1042037500340001</v>
      </c>
      <c r="AE5764">
        <v>3.86097</v>
      </c>
      <c r="AF5764">
        <v>-4.1122558742995201</v>
      </c>
      <c r="AG5764">
        <v>-1.1042037500340001</v>
      </c>
      <c r="AH5764">
        <v>17.245591309395699</v>
      </c>
      <c r="AI5764">
        <v>93.563891687654205</v>
      </c>
      <c r="AJ5764">
        <v>103.411872393607</v>
      </c>
      <c r="AK5764">
        <v>17.7634550104422</v>
      </c>
    </row>
    <row r="5765" spans="1:37" x14ac:dyDescent="0.2">
      <c r="A5765" t="str">
        <f>"20200111160015747"</f>
        <v>20200111160015747</v>
      </c>
      <c r="B5765" t="str">
        <f>"1578729615736431"</f>
        <v>1578729615736431</v>
      </c>
      <c r="C5765" t="s">
        <v>37</v>
      </c>
      <c r="D5765">
        <v>4.8076980000000002</v>
      </c>
      <c r="E5765">
        <v>0.42071049999999899</v>
      </c>
      <c r="F5765" t="s">
        <v>89</v>
      </c>
      <c r="G5765">
        <v>-247.69149999999999</v>
      </c>
      <c r="H5765" s="1">
        <v>-2.73964299999999E-6</v>
      </c>
      <c r="I5765">
        <v>-57.8305199999999</v>
      </c>
      <c r="J5765">
        <v>-265.01249999999999</v>
      </c>
      <c r="K5765">
        <v>1.104177</v>
      </c>
      <c r="L5765">
        <v>-61.826540000000001</v>
      </c>
      <c r="M5765">
        <v>0.99987870000000001</v>
      </c>
      <c r="N5765">
        <v>0</v>
      </c>
      <c r="O5765">
        <v>-1.494637E-2</v>
      </c>
      <c r="P5765">
        <v>0.99921530000000003</v>
      </c>
      <c r="Q5765">
        <v>3.4490439999999997E-2</v>
      </c>
      <c r="R5765">
        <v>1.9479380000000001E-2</v>
      </c>
      <c r="S5765">
        <v>2.9956669999999899</v>
      </c>
      <c r="T5765">
        <v>-0.1895281</v>
      </c>
      <c r="U5765">
        <v>0.68560790000000005</v>
      </c>
      <c r="V5765">
        <v>-3.4487570000000002E-2</v>
      </c>
      <c r="W5765">
        <v>3.8826069999999997E-2</v>
      </c>
      <c r="X5765">
        <v>0.9986507</v>
      </c>
      <c r="Y5765">
        <v>-0.23716370000000001</v>
      </c>
      <c r="Z5765">
        <v>8.3325239999999991E-3</v>
      </c>
      <c r="AA5765">
        <v>0.97143400000000002</v>
      </c>
      <c r="AB5765">
        <v>28</v>
      </c>
      <c r="AC5765">
        <v>17.320999999999898</v>
      </c>
      <c r="AD5765">
        <v>-1.104179739643</v>
      </c>
      <c r="AE5765">
        <v>3.9960200000000001</v>
      </c>
      <c r="AF5765">
        <v>-4.2381096514273899</v>
      </c>
      <c r="AG5765">
        <v>-1.104179739643</v>
      </c>
      <c r="AH5765">
        <v>17.193000267108001</v>
      </c>
      <c r="AI5765">
        <v>93.568120909149101</v>
      </c>
      <c r="AJ5765">
        <v>103.847459778974</v>
      </c>
      <c r="AK5765">
        <v>17.7420417229736</v>
      </c>
    </row>
    <row r="5766" spans="1:37" x14ac:dyDescent="0.2">
      <c r="A5766" t="str">
        <f>"20200111160015758"</f>
        <v>20200111160015758</v>
      </c>
      <c r="B5766" t="str">
        <f>"1578729615747167"</f>
        <v>1578729615747167</v>
      </c>
      <c r="C5766" t="s">
        <v>37</v>
      </c>
      <c r="D5766">
        <v>4.8732610000000003</v>
      </c>
      <c r="E5766">
        <v>0.41911929999999997</v>
      </c>
      <c r="F5766" t="s">
        <v>89</v>
      </c>
      <c r="G5766">
        <v>-246.9331</v>
      </c>
      <c r="H5766" s="1">
        <v>-2.4691959999999999E-6</v>
      </c>
      <c r="I5766">
        <v>-57.521090000000001</v>
      </c>
      <c r="J5766">
        <v>-264.87009999999998</v>
      </c>
      <c r="K5766">
        <v>1.104149</v>
      </c>
      <c r="L5766">
        <v>-61.828189999999999</v>
      </c>
      <c r="M5766">
        <v>0.99988390000000005</v>
      </c>
      <c r="N5766">
        <v>0</v>
      </c>
      <c r="O5766">
        <v>-1.450413E-2</v>
      </c>
      <c r="P5766">
        <v>0.99917259999999997</v>
      </c>
      <c r="Q5766">
        <v>3.524861E-2</v>
      </c>
      <c r="R5766">
        <v>2.028481E-2</v>
      </c>
      <c r="S5766">
        <v>2.9947509999999999</v>
      </c>
      <c r="T5766">
        <v>-0.18290149999999999</v>
      </c>
      <c r="U5766">
        <v>0.7131653</v>
      </c>
      <c r="V5766">
        <v>-3.4846660000000002E-2</v>
      </c>
      <c r="W5766">
        <v>3.9838079999999998E-2</v>
      </c>
      <c r="X5766">
        <v>0.99859830000000005</v>
      </c>
      <c r="Y5766">
        <v>-0.24528710000000001</v>
      </c>
      <c r="Z5766">
        <v>8.2536420000000003E-3</v>
      </c>
      <c r="AA5766">
        <v>0.96941540000000004</v>
      </c>
      <c r="AB5766">
        <v>28</v>
      </c>
      <c r="AC5766">
        <v>17.936999999999902</v>
      </c>
      <c r="AD5766">
        <v>-1.1041514691959999</v>
      </c>
      <c r="AE5766">
        <v>4.3070999999999904</v>
      </c>
      <c r="AF5766">
        <v>-4.5505071873257998</v>
      </c>
      <c r="AG5766">
        <v>-1.1041514691959999</v>
      </c>
      <c r="AH5766">
        <v>17.808837808563801</v>
      </c>
      <c r="AI5766">
        <v>93.437638226149801</v>
      </c>
      <c r="AJ5766">
        <v>104.33350181912</v>
      </c>
      <c r="AK5766">
        <v>18.4141513575989</v>
      </c>
    </row>
    <row r="5767" spans="1:37" x14ac:dyDescent="0.2">
      <c r="A5767" t="str">
        <f>"20200111160015769"</f>
        <v>20200111160015769</v>
      </c>
      <c r="B5767" t="str">
        <f>"1578729615766687"</f>
        <v>1578729615766687</v>
      </c>
      <c r="C5767" t="s">
        <v>37</v>
      </c>
      <c r="D5767">
        <v>4.7328019999999897</v>
      </c>
      <c r="E5767">
        <v>0.41636679999999998</v>
      </c>
      <c r="F5767" t="s">
        <v>89</v>
      </c>
      <c r="G5767">
        <v>-246.8229</v>
      </c>
      <c r="H5767" s="1">
        <v>-2.4366250000000002E-6</v>
      </c>
      <c r="I5767">
        <v>-57.438189999999999</v>
      </c>
      <c r="J5767">
        <v>-264.74540000000002</v>
      </c>
      <c r="K5767">
        <v>1.1041239999999899</v>
      </c>
      <c r="L5767">
        <v>-61.829590000000003</v>
      </c>
      <c r="M5767">
        <v>0.9998882</v>
      </c>
      <c r="N5767">
        <v>0</v>
      </c>
      <c r="O5767">
        <v>-1.4138649999999999E-2</v>
      </c>
      <c r="P5767">
        <v>0.99914709999999995</v>
      </c>
      <c r="Q5767">
        <v>3.5699109999999999E-2</v>
      </c>
      <c r="R5767">
        <v>2.0755530000000001E-2</v>
      </c>
      <c r="S5767">
        <v>2.994202</v>
      </c>
      <c r="T5767">
        <v>-0.18318950000000001</v>
      </c>
      <c r="U5767">
        <v>0.72833249999999905</v>
      </c>
      <c r="V5767">
        <v>-3.4949050000000002E-2</v>
      </c>
      <c r="W5767">
        <v>4.0505590000000001E-2</v>
      </c>
      <c r="X5767">
        <v>0.99856789999999995</v>
      </c>
      <c r="Y5767">
        <v>-0.2496042</v>
      </c>
      <c r="Z5767">
        <v>8.3712919999999903E-3</v>
      </c>
      <c r="AA5767">
        <v>0.96831179999999994</v>
      </c>
      <c r="AB5767">
        <v>28</v>
      </c>
      <c r="AC5767">
        <v>17.922499999999999</v>
      </c>
      <c r="AD5767">
        <v>-1.1041264366249901</v>
      </c>
      <c r="AE5767">
        <v>4.3913999999999902</v>
      </c>
      <c r="AF5767">
        <v>-4.62779508325933</v>
      </c>
      <c r="AG5767">
        <v>-1.1041264366249901</v>
      </c>
      <c r="AH5767">
        <v>17.794908105080602</v>
      </c>
      <c r="AI5767">
        <v>93.436477865783303</v>
      </c>
      <c r="AJ5767">
        <v>104.577590876614</v>
      </c>
      <c r="AK5767">
        <v>18.419944000700902</v>
      </c>
    </row>
    <row r="5768" spans="1:37" x14ac:dyDescent="0.2">
      <c r="A5768" t="str">
        <f>"20200111160015780"</f>
        <v>20200111160015780</v>
      </c>
      <c r="B5768" t="str">
        <f>"1578729615776446"</f>
        <v>1578729615776446</v>
      </c>
      <c r="C5768" t="s">
        <v>37</v>
      </c>
      <c r="D5768">
        <v>4.8397420000000002</v>
      </c>
      <c r="E5768">
        <v>0.41540119999999903</v>
      </c>
      <c r="F5768" t="s">
        <v>89</v>
      </c>
      <c r="G5768">
        <v>-246.57509999999999</v>
      </c>
      <c r="H5768" s="1">
        <v>-2.3606919999999999E-6</v>
      </c>
      <c r="I5768">
        <v>-57.266939999999998</v>
      </c>
      <c r="J5768">
        <v>-264.59559999999999</v>
      </c>
      <c r="K5768">
        <v>1.10409</v>
      </c>
      <c r="L5768">
        <v>-61.831299999999999</v>
      </c>
      <c r="M5768">
        <v>0.99989249999999996</v>
      </c>
      <c r="N5768">
        <v>0</v>
      </c>
      <c r="O5768">
        <v>-1.374006E-2</v>
      </c>
      <c r="P5768">
        <v>0.99912939999999995</v>
      </c>
      <c r="Q5768">
        <v>3.5909660000000003E-2</v>
      </c>
      <c r="R5768">
        <v>2.1250419999999999E-2</v>
      </c>
      <c r="S5768">
        <v>2.9934080000000001</v>
      </c>
      <c r="T5768">
        <v>-0.18189559999999999</v>
      </c>
      <c r="U5768">
        <v>0.75164790000000004</v>
      </c>
      <c r="V5768">
        <v>-3.5040290000000002E-2</v>
      </c>
      <c r="W5768">
        <v>4.096727E-2</v>
      </c>
      <c r="X5768">
        <v>0.99854589999999999</v>
      </c>
      <c r="Y5768">
        <v>-0.25637510000000002</v>
      </c>
      <c r="Z5768">
        <v>8.4853319999999999E-3</v>
      </c>
      <c r="AA5768">
        <v>0.96654019999999996</v>
      </c>
      <c r="AB5768">
        <v>28</v>
      </c>
      <c r="AC5768">
        <v>18.020499999999998</v>
      </c>
      <c r="AD5768">
        <v>-1.1040923606919999</v>
      </c>
      <c r="AE5768">
        <v>4.56435999999999</v>
      </c>
      <c r="AF5768">
        <v>-4.7946218696963001</v>
      </c>
      <c r="AG5768">
        <v>-1.1040923606919999</v>
      </c>
      <c r="AH5768">
        <v>17.892965202461699</v>
      </c>
      <c r="AI5768">
        <v>93.410944885689901</v>
      </c>
      <c r="AJ5768">
        <v>105.000646204568</v>
      </c>
      <c r="AK5768">
        <v>18.557090896765398</v>
      </c>
    </row>
    <row r="5769" spans="1:37" x14ac:dyDescent="0.2">
      <c r="A5769" t="str">
        <f>"20200111160015793"</f>
        <v>20200111160015793</v>
      </c>
      <c r="B5769" t="str">
        <f>"1578729615787182"</f>
        <v>1578729615787182</v>
      </c>
      <c r="C5769" t="s">
        <v>37</v>
      </c>
      <c r="D5769">
        <v>4.7210869999999998</v>
      </c>
      <c r="E5769">
        <v>0.41382849999999999</v>
      </c>
      <c r="F5769" t="s">
        <v>89</v>
      </c>
      <c r="G5769">
        <v>-246.3948</v>
      </c>
      <c r="H5769" s="1">
        <v>-2.29434E-6</v>
      </c>
      <c r="I5769">
        <v>-57.204990000000002</v>
      </c>
      <c r="J5769">
        <v>-264.45179999999999</v>
      </c>
      <c r="K5769">
        <v>1.1040570000000001</v>
      </c>
      <c r="L5769">
        <v>-61.832889999999999</v>
      </c>
      <c r="M5769">
        <v>0.99989599999999901</v>
      </c>
      <c r="N5769">
        <v>0</v>
      </c>
      <c r="O5769">
        <v>-1.3395489999999999E-2</v>
      </c>
      <c r="P5769">
        <v>0.99911899999999998</v>
      </c>
      <c r="Q5769">
        <v>3.5936460000000003E-2</v>
      </c>
      <c r="R5769">
        <v>2.168109E-2</v>
      </c>
      <c r="S5769">
        <v>2.99295</v>
      </c>
      <c r="T5769">
        <v>-0.18155779999999999</v>
      </c>
      <c r="U5769">
        <v>0.76074219999999904</v>
      </c>
      <c r="V5769">
        <v>-3.5121810000000003E-2</v>
      </c>
      <c r="W5769">
        <v>4.1225970000000001E-2</v>
      </c>
      <c r="X5769">
        <v>0.99853239999999999</v>
      </c>
      <c r="Y5769">
        <v>-0.25883509999999998</v>
      </c>
      <c r="Z5769">
        <v>8.5205760000000002E-3</v>
      </c>
      <c r="AA5769">
        <v>0.96588399999999996</v>
      </c>
      <c r="AB5769">
        <v>28</v>
      </c>
      <c r="AC5769">
        <v>18.056999999999899</v>
      </c>
      <c r="AD5769">
        <v>-1.1040592943400001</v>
      </c>
      <c r="AE5769">
        <v>4.6278999999999897</v>
      </c>
      <c r="AF5769">
        <v>-4.85234835722874</v>
      </c>
      <c r="AG5769">
        <v>-1.1040592943400001</v>
      </c>
      <c r="AH5769">
        <v>17.930485145947099</v>
      </c>
      <c r="AI5769">
        <v>93.401456394976293</v>
      </c>
      <c r="AJ5769">
        <v>105.142681031145</v>
      </c>
      <c r="AK5769">
        <v>18.608238204471402</v>
      </c>
    </row>
    <row r="5770" spans="1:37" x14ac:dyDescent="0.2">
      <c r="A5770" t="str">
        <f>"20200111160015802"</f>
        <v>20200111160015802</v>
      </c>
      <c r="B5770" t="str">
        <f>"1578729615796942"</f>
        <v>1578729615796942</v>
      </c>
      <c r="C5770" t="s">
        <v>37</v>
      </c>
      <c r="D5770">
        <v>4.729495</v>
      </c>
      <c r="E5770">
        <v>0.41268159999999998</v>
      </c>
      <c r="F5770" t="s">
        <v>89</v>
      </c>
      <c r="G5770">
        <v>-245.73859999999999</v>
      </c>
      <c r="H5770" s="1">
        <v>-2.05074E-6</v>
      </c>
      <c r="I5770">
        <v>-56.991340000000001</v>
      </c>
      <c r="J5770">
        <v>-264.3109</v>
      </c>
      <c r="K5770">
        <v>1.104028</v>
      </c>
      <c r="L5770">
        <v>-61.834409999999998</v>
      </c>
      <c r="M5770">
        <v>0.99989899999999998</v>
      </c>
      <c r="N5770">
        <v>0</v>
      </c>
      <c r="O5770">
        <v>-1.308016E-2</v>
      </c>
      <c r="P5770">
        <v>0.99910969999999999</v>
      </c>
      <c r="Q5770">
        <v>3.6067450000000001E-2</v>
      </c>
      <c r="R5770">
        <v>2.1884560000000001E-2</v>
      </c>
      <c r="S5770">
        <v>2.9921880000000001</v>
      </c>
      <c r="T5770">
        <v>-0.176536</v>
      </c>
      <c r="U5770">
        <v>0.77413940000000003</v>
      </c>
      <c r="V5770">
        <v>-3.5005599999999998E-2</v>
      </c>
      <c r="W5770">
        <v>4.157901E-2</v>
      </c>
      <c r="X5770">
        <v>0.99852180000000001</v>
      </c>
      <c r="Y5770">
        <v>-0.26266529999999999</v>
      </c>
      <c r="Z5770">
        <v>8.3755849999999996E-3</v>
      </c>
      <c r="AA5770">
        <v>0.96485069999999995</v>
      </c>
      <c r="AB5770">
        <v>28</v>
      </c>
      <c r="AC5770">
        <v>18.572299999999998</v>
      </c>
      <c r="AD5770">
        <v>-1.10403005074</v>
      </c>
      <c r="AE5770">
        <v>4.8430699999999902</v>
      </c>
      <c r="AF5770">
        <v>-5.0688168170383099</v>
      </c>
      <c r="AG5770">
        <v>-1.10403005074</v>
      </c>
      <c r="AH5770">
        <v>18.446328396841501</v>
      </c>
      <c r="AI5770">
        <v>93.3029750290479</v>
      </c>
      <c r="AJ5770">
        <v>105.364920771603</v>
      </c>
      <c r="AK5770">
        <v>19.161910593720801</v>
      </c>
    </row>
    <row r="5771" spans="1:37" x14ac:dyDescent="0.2">
      <c r="A5771" t="str">
        <f>"20200111160015813"</f>
        <v>20200111160015813</v>
      </c>
      <c r="B5771" t="str">
        <f>"1578729615806703"</f>
        <v>1578729615806703</v>
      </c>
      <c r="C5771" t="s">
        <v>37</v>
      </c>
      <c r="D5771">
        <v>4.7393169999999998</v>
      </c>
      <c r="E5771">
        <v>0.411688099999999</v>
      </c>
      <c r="F5771" t="s">
        <v>89</v>
      </c>
      <c r="G5771">
        <v>-245.1782</v>
      </c>
      <c r="H5771" s="1">
        <v>-1.84025999999999E-6</v>
      </c>
      <c r="I5771">
        <v>-56.82264</v>
      </c>
      <c r="J5771">
        <v>-264.17899999999997</v>
      </c>
      <c r="K5771">
        <v>1.1039950000000001</v>
      </c>
      <c r="L5771">
        <v>-61.835880000000003</v>
      </c>
      <c r="M5771">
        <v>0.99990119999999905</v>
      </c>
      <c r="N5771">
        <v>0</v>
      </c>
      <c r="O5771">
        <v>-1.2829419999999999E-2</v>
      </c>
      <c r="P5771">
        <v>0.99910549999999998</v>
      </c>
      <c r="Q5771">
        <v>3.6067210000000002E-2</v>
      </c>
      <c r="R5771">
        <v>2.2081920000000001E-2</v>
      </c>
      <c r="S5771">
        <v>2.9916990000000001</v>
      </c>
      <c r="T5771">
        <v>-0.1726326</v>
      </c>
      <c r="U5771">
        <v>0.78366089999999999</v>
      </c>
      <c r="V5771">
        <v>-3.4948170000000001E-2</v>
      </c>
      <c r="W5771">
        <v>4.1776720000000003E-2</v>
      </c>
      <c r="X5771">
        <v>0.9985155</v>
      </c>
      <c r="Y5771">
        <v>-0.26535249999999999</v>
      </c>
      <c r="Z5771">
        <v>8.2507180000000006E-3</v>
      </c>
      <c r="AA5771">
        <v>0.96411619999999998</v>
      </c>
      <c r="AB5771">
        <v>28</v>
      </c>
      <c r="AC5771">
        <v>19.000800000000002</v>
      </c>
      <c r="AD5771">
        <v>-1.10399684026</v>
      </c>
      <c r="AE5771">
        <v>5.0132399999999997</v>
      </c>
      <c r="AF5771">
        <v>-5.2400619570473301</v>
      </c>
      <c r="AG5771">
        <v>-1.10399684026</v>
      </c>
      <c r="AH5771">
        <v>18.8753437222122</v>
      </c>
      <c r="AI5771">
        <v>93.225629968125702</v>
      </c>
      <c r="AJ5771">
        <v>105.51540548327</v>
      </c>
      <c r="AK5771">
        <v>19.620286923708701</v>
      </c>
    </row>
    <row r="5772" spans="1:37" x14ac:dyDescent="0.2">
      <c r="A5772" t="str">
        <f>"20200111160015825"</f>
        <v>20200111160015825</v>
      </c>
      <c r="B5772" t="str">
        <f>"1578729615816463"</f>
        <v>1578729615816463</v>
      </c>
      <c r="C5772" t="s">
        <v>37</v>
      </c>
      <c r="D5772">
        <v>4.7379360000000004</v>
      </c>
      <c r="E5772">
        <v>0.41072179999999903</v>
      </c>
      <c r="F5772" t="s">
        <v>89</v>
      </c>
      <c r="G5772">
        <v>-244.98849999999999</v>
      </c>
      <c r="H5772" s="1">
        <v>-1.7709209999999901E-6</v>
      </c>
      <c r="I5772">
        <v>-56.75459</v>
      </c>
      <c r="J5772">
        <v>-264.03109999999998</v>
      </c>
      <c r="K5772">
        <v>1.103961</v>
      </c>
      <c r="L5772">
        <v>-61.837490000000003</v>
      </c>
      <c r="M5772">
        <v>0.99990330000000005</v>
      </c>
      <c r="N5772">
        <v>0</v>
      </c>
      <c r="O5772">
        <v>-1.255949E-2</v>
      </c>
      <c r="P5772">
        <v>0.99909199999999998</v>
      </c>
      <c r="Q5772">
        <v>3.6333219999999999E-2</v>
      </c>
      <c r="R5772">
        <v>2.2253309999999998E-2</v>
      </c>
      <c r="S5772">
        <v>2.9913939999999899</v>
      </c>
      <c r="T5772">
        <v>-0.1720894</v>
      </c>
      <c r="U5772">
        <v>0.79205319999999901</v>
      </c>
      <c r="V5772">
        <v>-3.4845099999999997E-2</v>
      </c>
      <c r="W5772">
        <v>4.2261239999999999E-2</v>
      </c>
      <c r="X5772">
        <v>0.99849880000000002</v>
      </c>
      <c r="Y5772">
        <v>-0.26764490000000002</v>
      </c>
      <c r="Z5772">
        <v>8.2722379999999995E-3</v>
      </c>
      <c r="AA5772">
        <v>0.96348210000000001</v>
      </c>
      <c r="AB5772">
        <v>28</v>
      </c>
      <c r="AC5772">
        <v>19.0426</v>
      </c>
      <c r="AD5772">
        <v>-1.103962770921</v>
      </c>
      <c r="AE5772">
        <v>5.0829000000000004</v>
      </c>
      <c r="AF5772">
        <v>-5.3050248330258496</v>
      </c>
      <c r="AG5772">
        <v>-1.103962770921</v>
      </c>
      <c r="AH5772">
        <v>18.9179056496953</v>
      </c>
      <c r="AI5772">
        <v>93.215954317479699</v>
      </c>
      <c r="AJ5772">
        <v>105.66474333615299</v>
      </c>
      <c r="AK5772">
        <v>19.6786477291854</v>
      </c>
    </row>
    <row r="5773" spans="1:37" x14ac:dyDescent="0.2">
      <c r="A5773" t="str">
        <f>"20200111160015835"</f>
        <v>20200111160015835</v>
      </c>
      <c r="B5773" t="str">
        <f>"1578729615827198"</f>
        <v>1578729615827198</v>
      </c>
      <c r="C5773" t="s">
        <v>37</v>
      </c>
      <c r="D5773">
        <v>4.7536059999999898</v>
      </c>
      <c r="E5773">
        <v>0.41015180000000001</v>
      </c>
      <c r="F5773" t="s">
        <v>89</v>
      </c>
      <c r="G5773">
        <v>-244.59700000000001</v>
      </c>
      <c r="H5773" s="1">
        <v>-1.623578E-6</v>
      </c>
      <c r="I5773">
        <v>-56.638509999999997</v>
      </c>
      <c r="J5773">
        <v>-263.88720000000001</v>
      </c>
      <c r="K5773">
        <v>1.1039319999999999</v>
      </c>
      <c r="L5773">
        <v>-61.839019999999998</v>
      </c>
      <c r="M5773">
        <v>0.99990469999999898</v>
      </c>
      <c r="N5773">
        <v>0</v>
      </c>
      <c r="O5773">
        <v>-1.235238E-2</v>
      </c>
      <c r="P5773">
        <v>0.99908220000000003</v>
      </c>
      <c r="Q5773">
        <v>3.6489229999999998E-2</v>
      </c>
      <c r="R5773">
        <v>2.2438039999999999E-2</v>
      </c>
      <c r="S5773">
        <v>2.9911189999999999</v>
      </c>
      <c r="T5773">
        <v>-0.16991199999999901</v>
      </c>
      <c r="U5773">
        <v>0.80017090000000002</v>
      </c>
      <c r="V5773">
        <v>-3.4818380000000003E-2</v>
      </c>
      <c r="W5773">
        <v>4.2617589999999997E-2</v>
      </c>
      <c r="X5773">
        <v>0.99848459999999895</v>
      </c>
      <c r="Y5773">
        <v>-0.2699164</v>
      </c>
      <c r="Z5773">
        <v>8.2174569999999992E-3</v>
      </c>
      <c r="AA5773">
        <v>0.962848699999999</v>
      </c>
      <c r="AB5773">
        <v>28</v>
      </c>
      <c r="AC5773">
        <v>19.290199999999999</v>
      </c>
      <c r="AD5773">
        <v>-1.103933623578</v>
      </c>
      <c r="AE5773">
        <v>5.2005100000000004</v>
      </c>
      <c r="AF5773">
        <v>-5.4218441577938696</v>
      </c>
      <c r="AG5773">
        <v>-1.103933623578</v>
      </c>
      <c r="AH5773">
        <v>19.165972562249198</v>
      </c>
      <c r="AI5773">
        <v>93.172294411819607</v>
      </c>
      <c r="AJ5773">
        <v>105.79562837261901</v>
      </c>
      <c r="AK5773">
        <v>19.948673333672001</v>
      </c>
    </row>
    <row r="5774" spans="1:37" x14ac:dyDescent="0.2">
      <c r="A5774" t="str">
        <f>"20200111160015846"</f>
        <v>20200111160015846</v>
      </c>
      <c r="B5774" t="str">
        <f>"1578729615836959"</f>
        <v>1578729615836959</v>
      </c>
      <c r="C5774" t="s">
        <v>37</v>
      </c>
      <c r="D5774">
        <v>4.8612500000000001</v>
      </c>
      <c r="E5774">
        <v>0.41003999999999902</v>
      </c>
      <c r="F5774" t="s">
        <v>89</v>
      </c>
      <c r="G5774">
        <v>-244.26679999999999</v>
      </c>
      <c r="H5774" s="1">
        <v>-1.496324E-6</v>
      </c>
      <c r="I5774">
        <v>-56.557209999999998</v>
      </c>
      <c r="J5774">
        <v>-263.75850000000003</v>
      </c>
      <c r="K5774">
        <v>1.103904</v>
      </c>
      <c r="L5774">
        <v>-61.840419999999902</v>
      </c>
      <c r="M5774">
        <v>0.99990590000000001</v>
      </c>
      <c r="N5774">
        <v>0</v>
      </c>
      <c r="O5774">
        <v>-1.217406E-2</v>
      </c>
      <c r="P5774">
        <v>0.99906379999999995</v>
      </c>
      <c r="Q5774">
        <v>3.6908730000000001E-2</v>
      </c>
      <c r="R5774">
        <v>2.257485E-2</v>
      </c>
      <c r="S5774">
        <v>2.9908139999999999</v>
      </c>
      <c r="T5774">
        <v>-0.16827609999999901</v>
      </c>
      <c r="U5774">
        <v>0.80511469999999996</v>
      </c>
      <c r="V5774">
        <v>-3.4772730000000002E-2</v>
      </c>
      <c r="W5774">
        <v>4.321357E-2</v>
      </c>
      <c r="X5774">
        <v>0.99846049999999997</v>
      </c>
      <c r="Y5774">
        <v>-0.27126020000000001</v>
      </c>
      <c r="Z5774">
        <v>8.16481199999999E-3</v>
      </c>
      <c r="AA5774">
        <v>0.96247139999999998</v>
      </c>
      <c r="AB5774">
        <v>28</v>
      </c>
      <c r="AC5774">
        <v>19.491700000000002</v>
      </c>
      <c r="AD5774">
        <v>-1.103905496324</v>
      </c>
      <c r="AE5774">
        <v>5.2832099999999897</v>
      </c>
      <c r="AF5774">
        <v>-5.5036715595691703</v>
      </c>
      <c r="AG5774">
        <v>-1.103905496324</v>
      </c>
      <c r="AH5774">
        <v>19.368064993112501</v>
      </c>
      <c r="AI5774">
        <v>93.138133896609204</v>
      </c>
      <c r="AJ5774">
        <v>105.86314472834501</v>
      </c>
      <c r="AK5774">
        <v>20.165092351830499</v>
      </c>
    </row>
    <row r="5775" spans="1:37" x14ac:dyDescent="0.2">
      <c r="A5775" t="str">
        <f>"20200111160015857"</f>
        <v>20200111160015857</v>
      </c>
      <c r="B5775" t="str">
        <f>"1578729615846719"</f>
        <v>1578729615846719</v>
      </c>
      <c r="C5775" t="s">
        <v>37</v>
      </c>
      <c r="D5775">
        <v>4.9223030000000003</v>
      </c>
      <c r="E5775">
        <v>0.40998449999999997</v>
      </c>
      <c r="F5775" t="s">
        <v>89</v>
      </c>
      <c r="G5775">
        <v>-243.9341</v>
      </c>
      <c r="H5775" s="1">
        <v>-1.3645419999999999E-6</v>
      </c>
      <c r="I5775">
        <v>-56.495730000000002</v>
      </c>
      <c r="J5775">
        <v>-263.6189</v>
      </c>
      <c r="K5775">
        <v>1.1038779999999999</v>
      </c>
      <c r="L5775">
        <v>-61.841949999999997</v>
      </c>
      <c r="M5775">
        <v>0.99990650000000003</v>
      </c>
      <c r="N5775">
        <v>0</v>
      </c>
      <c r="O5775">
        <v>-1.20188E-2</v>
      </c>
      <c r="P5775">
        <v>0.99904380000000004</v>
      </c>
      <c r="Q5775">
        <v>3.7387740000000003E-2</v>
      </c>
      <c r="R5775">
        <v>2.266578E-2</v>
      </c>
      <c r="S5775">
        <v>2.99075299999999</v>
      </c>
      <c r="T5775">
        <v>-0.16653789999999999</v>
      </c>
      <c r="U5775">
        <v>0.80630489999999999</v>
      </c>
      <c r="V5775">
        <v>-3.470413E-2</v>
      </c>
      <c r="W5775">
        <v>4.3873830000000003E-2</v>
      </c>
      <c r="X5775">
        <v>0.99843409999999999</v>
      </c>
      <c r="Y5775">
        <v>-0.27148129999999998</v>
      </c>
      <c r="Z5775">
        <v>8.0778989999999995E-3</v>
      </c>
      <c r="AA5775">
        <v>0.96240979999999998</v>
      </c>
      <c r="AB5775">
        <v>28</v>
      </c>
      <c r="AC5775">
        <v>19.684799999999999</v>
      </c>
      <c r="AD5775">
        <v>-1.103879364542</v>
      </c>
      <c r="AE5775">
        <v>5.34621999999999</v>
      </c>
      <c r="AF5775">
        <v>-5.5661250919226504</v>
      </c>
      <c r="AG5775">
        <v>-1.103879364542</v>
      </c>
      <c r="AH5775">
        <v>19.561831102709</v>
      </c>
      <c r="AI5775">
        <v>93.106729212995802</v>
      </c>
      <c r="AJ5775">
        <v>105.883177391776</v>
      </c>
      <c r="AK5775">
        <v>20.368248188818399</v>
      </c>
    </row>
    <row r="5776" spans="1:37" x14ac:dyDescent="0.2">
      <c r="A5776" t="str">
        <f>"20200111160015868"</f>
        <v>20200111160015868</v>
      </c>
      <c r="B5776" t="str">
        <f>"1578729615856478"</f>
        <v>1578729615856478</v>
      </c>
      <c r="C5776" t="s">
        <v>37</v>
      </c>
      <c r="D5776">
        <v>4.86029</v>
      </c>
      <c r="E5776">
        <v>0.40974890000000003</v>
      </c>
      <c r="F5776" t="s">
        <v>89</v>
      </c>
      <c r="G5776">
        <v>-243.57589999999999</v>
      </c>
      <c r="H5776" s="1">
        <v>-1.2550569999999999E-6</v>
      </c>
      <c r="I5776">
        <v>-56.433590000000002</v>
      </c>
      <c r="J5776">
        <v>-263.47890000000001</v>
      </c>
      <c r="K5776">
        <v>1.103855</v>
      </c>
      <c r="L5776">
        <v>-61.843440000000001</v>
      </c>
      <c r="M5776">
        <v>0.99990709999999905</v>
      </c>
      <c r="N5776">
        <v>0</v>
      </c>
      <c r="O5776">
        <v>-1.187643E-2</v>
      </c>
      <c r="P5776">
        <v>0.99902780000000002</v>
      </c>
      <c r="Q5776">
        <v>3.7679070000000002E-2</v>
      </c>
      <c r="R5776">
        <v>2.2887049999999999E-2</v>
      </c>
      <c r="S5776">
        <v>2.99075299999999</v>
      </c>
      <c r="T5776">
        <v>-0.16471710000000001</v>
      </c>
      <c r="U5776">
        <v>0.80700680000000002</v>
      </c>
      <c r="V5776">
        <v>-3.47791E-2</v>
      </c>
      <c r="W5776">
        <v>4.4342579999999999E-2</v>
      </c>
      <c r="X5776">
        <v>0.99841080000000004</v>
      </c>
      <c r="Y5776">
        <v>-0.27156390000000002</v>
      </c>
      <c r="Z5776">
        <v>7.9839939999999995E-3</v>
      </c>
      <c r="AA5776">
        <v>0.96238729999999995</v>
      </c>
      <c r="AB5776">
        <v>28</v>
      </c>
      <c r="AC5776">
        <v>19.902999999999999</v>
      </c>
      <c r="AD5776">
        <v>-1.1038562550569999</v>
      </c>
      <c r="AE5776">
        <v>5.4098499999999898</v>
      </c>
      <c r="AF5776">
        <v>-5.6297246029058901</v>
      </c>
      <c r="AG5776">
        <v>-1.1038562550569999</v>
      </c>
      <c r="AH5776">
        <v>19.780685543321098</v>
      </c>
      <c r="AI5776">
        <v>93.072304098609493</v>
      </c>
      <c r="AJ5776">
        <v>105.886732223591</v>
      </c>
      <c r="AK5776">
        <v>20.595820408523299</v>
      </c>
    </row>
    <row r="5777" spans="1:37" x14ac:dyDescent="0.2">
      <c r="A5777" t="str">
        <f>"20200111160015879"</f>
        <v>20200111160015879</v>
      </c>
      <c r="B5777" t="str">
        <f>"1578729615876974"</f>
        <v>1578729615876974</v>
      </c>
      <c r="C5777" t="s">
        <v>37</v>
      </c>
      <c r="D5777">
        <v>4.9493749999999999</v>
      </c>
      <c r="E5777">
        <v>0.40893379999999901</v>
      </c>
      <c r="F5777" t="s">
        <v>89</v>
      </c>
      <c r="G5777">
        <v>-243.49870000000001</v>
      </c>
      <c r="H5777" s="1">
        <v>-1.2285110000000001E-6</v>
      </c>
      <c r="I5777">
        <v>-56.434640000000002</v>
      </c>
      <c r="J5777">
        <v>-263.33359999999999</v>
      </c>
      <c r="K5777">
        <v>1.1038319999999999</v>
      </c>
      <c r="L5777">
        <v>-61.845030000000001</v>
      </c>
      <c r="M5777">
        <v>0.99990730000000005</v>
      </c>
      <c r="N5777">
        <v>0</v>
      </c>
      <c r="O5777">
        <v>-1.1757689999999999E-2</v>
      </c>
      <c r="P5777">
        <v>0.99902519999999995</v>
      </c>
      <c r="Q5777">
        <v>3.7809160000000001E-2</v>
      </c>
      <c r="R5777">
        <v>2.2781010000000001E-2</v>
      </c>
      <c r="S5777">
        <v>2.9906009999999998</v>
      </c>
      <c r="T5777">
        <v>-0.16522300000000001</v>
      </c>
      <c r="U5777">
        <v>0.80957029999999996</v>
      </c>
      <c r="V5777">
        <v>-3.4550589999999999E-2</v>
      </c>
      <c r="W5777">
        <v>4.4648409999999999E-2</v>
      </c>
      <c r="X5777">
        <v>0.99840509999999905</v>
      </c>
      <c r="Y5777">
        <v>-0.27222759999999901</v>
      </c>
      <c r="Z5777">
        <v>8.0195519999999992E-3</v>
      </c>
      <c r="AA5777">
        <v>0.96219940000000004</v>
      </c>
      <c r="AB5777">
        <v>29</v>
      </c>
      <c r="AC5777">
        <v>19.834899999999902</v>
      </c>
      <c r="AD5777">
        <v>-1.103833228511</v>
      </c>
      <c r="AE5777">
        <v>5.4103899999999996</v>
      </c>
      <c r="AF5777">
        <v>-5.62701386033351</v>
      </c>
      <c r="AG5777">
        <v>-1.103833228511</v>
      </c>
      <c r="AH5777">
        <v>19.713089402750299</v>
      </c>
      <c r="AI5777">
        <v>93.082074612415397</v>
      </c>
      <c r="AJ5777">
        <v>105.931160111952</v>
      </c>
      <c r="AK5777">
        <v>20.530163822570401</v>
      </c>
    </row>
    <row r="5778" spans="1:37" x14ac:dyDescent="0.2">
      <c r="A5778" t="str">
        <f>"20200111160015890"</f>
        <v>20200111160015890</v>
      </c>
      <c r="B5778" t="str">
        <f>"1578729615886735"</f>
        <v>1578729615886735</v>
      </c>
      <c r="C5778" t="s">
        <v>37</v>
      </c>
      <c r="D5778">
        <v>4.9851369999999999</v>
      </c>
      <c r="E5778">
        <v>0.40898559999999901</v>
      </c>
      <c r="F5778" t="s">
        <v>89</v>
      </c>
      <c r="G5778">
        <v>-242.7132</v>
      </c>
      <c r="H5778" s="1">
        <v>-1.0176330000000001E-6</v>
      </c>
      <c r="I5778">
        <v>-56.222529999999999</v>
      </c>
      <c r="J5778">
        <v>-263.20030000000003</v>
      </c>
      <c r="K5778">
        <v>1.1038139999999901</v>
      </c>
      <c r="L5778">
        <v>-61.846499999999999</v>
      </c>
      <c r="M5778">
        <v>0.99990730000000005</v>
      </c>
      <c r="N5778">
        <v>0</v>
      </c>
      <c r="O5778">
        <v>-1.16676E-2</v>
      </c>
      <c r="P5778">
        <v>0.99902729999999995</v>
      </c>
      <c r="Q5778">
        <v>3.7570699999999999E-2</v>
      </c>
      <c r="R5778">
        <v>2.308613E-2</v>
      </c>
      <c r="S5778">
        <v>2.9903869999999899</v>
      </c>
      <c r="T5778">
        <v>-0.1600782</v>
      </c>
      <c r="U5778">
        <v>0.81536869999999995</v>
      </c>
      <c r="V5778">
        <v>-3.476162E-2</v>
      </c>
      <c r="W5778">
        <v>4.4566469999999997E-2</v>
      </c>
      <c r="X5778">
        <v>0.99840149999999905</v>
      </c>
      <c r="Y5778">
        <v>-0.27391799999999999</v>
      </c>
      <c r="Z5778">
        <v>7.8084460000000001E-3</v>
      </c>
      <c r="AA5778">
        <v>0.96172139999999995</v>
      </c>
      <c r="AB5778">
        <v>29</v>
      </c>
      <c r="AC5778">
        <v>20.487100000000002</v>
      </c>
      <c r="AD5778">
        <v>-1.1038150176329999</v>
      </c>
      <c r="AE5778">
        <v>5.6239699999999901</v>
      </c>
      <c r="AF5778">
        <v>-5.8468449446203499</v>
      </c>
      <c r="AG5778">
        <v>-1.1038150176329999</v>
      </c>
      <c r="AH5778">
        <v>20.365110501908799</v>
      </c>
      <c r="AI5778">
        <v>92.982225003294204</v>
      </c>
      <c r="AJ5778">
        <v>106.018828916204</v>
      </c>
      <c r="AK5778">
        <v>21.216543760814101</v>
      </c>
    </row>
    <row r="5779" spans="1:37" x14ac:dyDescent="0.2">
      <c r="A5779" t="str">
        <f>"20200111160015900"</f>
        <v>20200111160015900</v>
      </c>
      <c r="B5779" t="str">
        <f>"1578729615896495"</f>
        <v>1578729615896495</v>
      </c>
      <c r="C5779" t="s">
        <v>37</v>
      </c>
      <c r="D5779">
        <v>4.8437449999999904</v>
      </c>
      <c r="E5779">
        <v>0.40877959999999902</v>
      </c>
      <c r="F5779" t="s">
        <v>89</v>
      </c>
      <c r="G5779">
        <v>-242.89709999999999</v>
      </c>
      <c r="H5779" s="1">
        <v>-1.057697E-6</v>
      </c>
      <c r="I5779">
        <v>-56.307189999999999</v>
      </c>
      <c r="J5779">
        <v>-263.06299999999999</v>
      </c>
      <c r="K5779">
        <v>1.103793</v>
      </c>
      <c r="L5779">
        <v>-61.847990000000003</v>
      </c>
      <c r="M5779">
        <v>0.9999072</v>
      </c>
      <c r="N5779">
        <v>0</v>
      </c>
      <c r="O5779">
        <v>-1.159291E-2</v>
      </c>
      <c r="P5779">
        <v>0.99903259999999905</v>
      </c>
      <c r="Q5779">
        <v>3.7326779999999997E-2</v>
      </c>
      <c r="R5779">
        <v>2.3261440000000001E-2</v>
      </c>
      <c r="S5779">
        <v>2.990173</v>
      </c>
      <c r="T5779">
        <v>-0.16256489999999901</v>
      </c>
      <c r="U5779">
        <v>0.81579590000000002</v>
      </c>
      <c r="V5779">
        <v>-3.4859349999999997E-2</v>
      </c>
      <c r="W5779">
        <v>4.4479779999999997E-2</v>
      </c>
      <c r="X5779">
        <v>0.99840189999999995</v>
      </c>
      <c r="Y5779">
        <v>-0.27397959999999999</v>
      </c>
      <c r="Z5779">
        <v>7.9276360000000001E-3</v>
      </c>
      <c r="AA5779">
        <v>0.96170279999999997</v>
      </c>
      <c r="AB5779">
        <v>29</v>
      </c>
      <c r="AC5779">
        <v>20.165899999999901</v>
      </c>
      <c r="AD5779">
        <v>-1.103794057697</v>
      </c>
      <c r="AE5779">
        <v>5.5407999999999902</v>
      </c>
      <c r="AF5779">
        <v>-5.7581745869096501</v>
      </c>
      <c r="AG5779">
        <v>-1.103794057697</v>
      </c>
      <c r="AH5779">
        <v>20.044471419416698</v>
      </c>
      <c r="AI5779">
        <v>93.029648704636898</v>
      </c>
      <c r="AJ5779">
        <v>106.027768725347</v>
      </c>
      <c r="AK5779">
        <v>20.884342708808202</v>
      </c>
    </row>
    <row r="5780" spans="1:37" x14ac:dyDescent="0.2">
      <c r="A5780" t="str">
        <f>"20200111160015912"</f>
        <v>20200111160015912</v>
      </c>
      <c r="B5780" t="str">
        <f>"1578729615906253"</f>
        <v>1578729615906253</v>
      </c>
      <c r="C5780" t="s">
        <v>37</v>
      </c>
      <c r="D5780">
        <v>5.0111290000000004</v>
      </c>
      <c r="E5780">
        <v>0.40884100000000001</v>
      </c>
      <c r="F5780" t="s">
        <v>89</v>
      </c>
      <c r="G5780">
        <v>-243.06599999999901</v>
      </c>
      <c r="H5780" s="1">
        <v>-1.0968550000000001E-6</v>
      </c>
      <c r="I5780">
        <v>-56.376049999999999</v>
      </c>
      <c r="J5780">
        <v>-262.9325</v>
      </c>
      <c r="K5780">
        <v>1.1037779999999999</v>
      </c>
      <c r="L5780">
        <v>-61.849460000000001</v>
      </c>
      <c r="M5780">
        <v>0.99990679999999998</v>
      </c>
      <c r="N5780">
        <v>0</v>
      </c>
      <c r="O5780">
        <v>-1.154035E-2</v>
      </c>
      <c r="P5780">
        <v>0.99903660000000005</v>
      </c>
      <c r="Q5780">
        <v>3.7089339999999998E-2</v>
      </c>
      <c r="R5780">
        <v>2.3464840000000001E-2</v>
      </c>
      <c r="S5780">
        <v>2.990021</v>
      </c>
      <c r="T5780">
        <v>-0.16504349999999901</v>
      </c>
      <c r="U5780">
        <v>0.81817629999999997</v>
      </c>
      <c r="V5780">
        <v>-3.5007070000000001E-2</v>
      </c>
      <c r="W5780">
        <v>4.4388320000000002E-2</v>
      </c>
      <c r="X5780">
        <v>0.99840079999999998</v>
      </c>
      <c r="Y5780">
        <v>-0.27464109999999903</v>
      </c>
      <c r="Z5780">
        <v>8.0629680000000002E-3</v>
      </c>
      <c r="AA5780">
        <v>0.96151299999999995</v>
      </c>
      <c r="AB5780">
        <v>29</v>
      </c>
      <c r="AC5780">
        <v>19.866499999999998</v>
      </c>
      <c r="AD5780">
        <v>-1.1037790968550001</v>
      </c>
      <c r="AE5780">
        <v>5.4734100000000003</v>
      </c>
      <c r="AF5780">
        <v>-5.6860041763201501</v>
      </c>
      <c r="AG5780">
        <v>-1.1037790968550001</v>
      </c>
      <c r="AH5780">
        <v>19.745358588370799</v>
      </c>
      <c r="AI5780">
        <v>93.074846328656804</v>
      </c>
      <c r="AJ5780">
        <v>106.064634477515</v>
      </c>
      <c r="AK5780">
        <v>20.577370035335701</v>
      </c>
    </row>
    <row r="5781" spans="1:37" x14ac:dyDescent="0.2">
      <c r="A5781" t="str">
        <f>"20200111160015921"</f>
        <v>20200111160015921</v>
      </c>
      <c r="B5781" t="str">
        <f>"1578729615916990"</f>
        <v>1578729615916990</v>
      </c>
      <c r="C5781" t="s">
        <v>37</v>
      </c>
      <c r="D5781">
        <v>5.1502410000000003</v>
      </c>
      <c r="E5781">
        <v>0.4091513</v>
      </c>
      <c r="F5781" t="s">
        <v>89</v>
      </c>
      <c r="G5781">
        <v>-243.07740000000001</v>
      </c>
      <c r="H5781" s="1">
        <v>-1.0901359999999899E-6</v>
      </c>
      <c r="I5781">
        <v>-56.415849999999999</v>
      </c>
      <c r="J5781">
        <v>-262.78980000000001</v>
      </c>
      <c r="K5781">
        <v>1.1037629999999901</v>
      </c>
      <c r="L5781">
        <v>-61.851039999999998</v>
      </c>
      <c r="M5781">
        <v>0.99990619999999997</v>
      </c>
      <c r="N5781">
        <v>0</v>
      </c>
      <c r="O5781">
        <v>-1.149537E-2</v>
      </c>
      <c r="P5781">
        <v>0.99903889999999995</v>
      </c>
      <c r="Q5781">
        <v>3.6827400000000003E-2</v>
      </c>
      <c r="R5781">
        <v>2.377657E-2</v>
      </c>
      <c r="S5781">
        <v>2.989868</v>
      </c>
      <c r="T5781">
        <v>-0.1662121</v>
      </c>
      <c r="U5781">
        <v>0.81820680000000001</v>
      </c>
      <c r="V5781">
        <v>-3.5270509999999998E-2</v>
      </c>
      <c r="W5781">
        <v>4.4283040000000003E-2</v>
      </c>
      <c r="X5781">
        <v>0.99839619999999996</v>
      </c>
      <c r="Y5781">
        <v>-0.27461370000000002</v>
      </c>
      <c r="Z5781">
        <v>8.11716E-3</v>
      </c>
      <c r="AA5781">
        <v>0.96152039999999905</v>
      </c>
      <c r="AB5781">
        <v>29</v>
      </c>
      <c r="AC5781">
        <v>19.712399999999999</v>
      </c>
      <c r="AD5781">
        <v>-1.10376409013599</v>
      </c>
      <c r="AE5781">
        <v>5.4351900000000004</v>
      </c>
      <c r="AF5781">
        <v>-5.6449904058708196</v>
      </c>
      <c r="AG5781">
        <v>-1.10376409013599</v>
      </c>
      <c r="AH5781">
        <v>19.5915314680311</v>
      </c>
      <c r="AI5781">
        <v>93.098762358920197</v>
      </c>
      <c r="AJ5781">
        <v>106.073500889185</v>
      </c>
      <c r="AK5781">
        <v>20.418430819039401</v>
      </c>
    </row>
    <row r="5782" spans="1:37" x14ac:dyDescent="0.2">
      <c r="A5782" t="str">
        <f>"20200111160015933"</f>
        <v>20200111160015933</v>
      </c>
      <c r="B5782" t="str">
        <f>"1578729615926750"</f>
        <v>1578729615926750</v>
      </c>
      <c r="C5782" t="s">
        <v>37</v>
      </c>
      <c r="D5782">
        <v>5.1261289999999997</v>
      </c>
      <c r="E5782">
        <v>0.40938930000000001</v>
      </c>
      <c r="F5782" t="s">
        <v>89</v>
      </c>
      <c r="G5782">
        <v>-242.8716</v>
      </c>
      <c r="H5782" s="1">
        <v>-1.0213540000000001E-6</v>
      </c>
      <c r="I5782">
        <v>-56.411230000000003</v>
      </c>
      <c r="J5782">
        <v>-262.65719999999999</v>
      </c>
      <c r="K5782">
        <v>1.103758</v>
      </c>
      <c r="L5782">
        <v>-61.852509999999903</v>
      </c>
      <c r="M5782">
        <v>0.9999053</v>
      </c>
      <c r="N5782">
        <v>0</v>
      </c>
      <c r="O5782">
        <v>-1.146962E-2</v>
      </c>
      <c r="P5782">
        <v>0.99904509999999902</v>
      </c>
      <c r="Q5782">
        <v>3.6585060000000003E-2</v>
      </c>
      <c r="R5782">
        <v>2.3891200000000001E-2</v>
      </c>
      <c r="S5782">
        <v>2.989563</v>
      </c>
      <c r="T5782">
        <v>-0.1656668</v>
      </c>
      <c r="U5782">
        <v>0.81646730000000001</v>
      </c>
      <c r="V5782">
        <v>-3.5357310000000003E-2</v>
      </c>
      <c r="W5782">
        <v>4.4182520000000003E-2</v>
      </c>
      <c r="X5782">
        <v>0.9983976</v>
      </c>
      <c r="Y5782">
        <v>-0.27409679999999997</v>
      </c>
      <c r="Z5782">
        <v>8.0765179999999995E-3</v>
      </c>
      <c r="AA5782">
        <v>0.96166819999999897</v>
      </c>
      <c r="AB5782">
        <v>29</v>
      </c>
      <c r="AC5782">
        <v>19.785599999999899</v>
      </c>
      <c r="AD5782">
        <v>-1.1037590213540001</v>
      </c>
      <c r="AE5782">
        <v>5.4412799999999901</v>
      </c>
      <c r="AF5782">
        <v>-5.6515106843283798</v>
      </c>
      <c r="AG5782">
        <v>-1.1037590213540001</v>
      </c>
      <c r="AH5782">
        <v>19.664991436478498</v>
      </c>
      <c r="AI5782">
        <v>93.087804919103206</v>
      </c>
      <c r="AJ5782">
        <v>106.03409161730799</v>
      </c>
      <c r="AK5782">
        <v>20.490723393503501</v>
      </c>
    </row>
    <row r="5783" spans="1:37" x14ac:dyDescent="0.2">
      <c r="A5783" t="str">
        <f>"20200111160015943"</f>
        <v>20200111160015943</v>
      </c>
      <c r="B5783" t="str">
        <f>"1578729615936510"</f>
        <v>1578729615936510</v>
      </c>
      <c r="C5783" t="s">
        <v>37</v>
      </c>
      <c r="D5783">
        <v>4.9010669999999896</v>
      </c>
      <c r="E5783">
        <v>0.40919429999999901</v>
      </c>
      <c r="F5783" t="s">
        <v>89</v>
      </c>
      <c r="G5783">
        <v>-242.73079999999999</v>
      </c>
      <c r="H5783" s="1">
        <v>-9.7067980000000008E-7</v>
      </c>
      <c r="I5783">
        <v>-56.421550000000003</v>
      </c>
      <c r="J5783">
        <v>-262.52330000000001</v>
      </c>
      <c r="K5783">
        <v>1.10375</v>
      </c>
      <c r="L5783">
        <v>-61.853999999999999</v>
      </c>
      <c r="M5783">
        <v>0.99990460000000003</v>
      </c>
      <c r="N5783">
        <v>0</v>
      </c>
      <c r="O5783">
        <v>-1.1449239999999999E-2</v>
      </c>
      <c r="P5783">
        <v>0.99904459999999995</v>
      </c>
      <c r="Q5783">
        <v>3.6439779999999998E-2</v>
      </c>
      <c r="R5783">
        <v>2.4139520000000001E-2</v>
      </c>
      <c r="S5783">
        <v>2.9894099999999999</v>
      </c>
      <c r="T5783">
        <v>-0.16558909999999999</v>
      </c>
      <c r="U5783">
        <v>0.81475830000000005</v>
      </c>
      <c r="V5783">
        <v>-3.5582969999999998E-2</v>
      </c>
      <c r="W5783">
        <v>4.4179669999999997E-2</v>
      </c>
      <c r="X5783">
        <v>0.99838969999999905</v>
      </c>
      <c r="Y5783">
        <v>-0.27357900000000002</v>
      </c>
      <c r="Z5783">
        <v>8.0585440000000008E-3</v>
      </c>
      <c r="AA5783">
        <v>0.9618158</v>
      </c>
      <c r="AB5783">
        <v>29</v>
      </c>
      <c r="AC5783">
        <v>19.7925</v>
      </c>
      <c r="AD5783">
        <v>-1.1037509706798001</v>
      </c>
      <c r="AE5783">
        <v>5.4324499999999896</v>
      </c>
      <c r="AF5783">
        <v>-5.64239198767525</v>
      </c>
      <c r="AG5783">
        <v>-1.1037509706798001</v>
      </c>
      <c r="AH5783">
        <v>19.672111695235301</v>
      </c>
      <c r="AI5783">
        <v>93.087130789128693</v>
      </c>
      <c r="AJ5783">
        <v>106.004049533274</v>
      </c>
      <c r="AK5783">
        <v>20.4950440862583</v>
      </c>
    </row>
    <row r="5784" spans="1:37" x14ac:dyDescent="0.2">
      <c r="A5784" t="str">
        <f>"20200111160015955"</f>
        <v>20200111160015955</v>
      </c>
      <c r="B5784" t="str">
        <f>"1578729615946271"</f>
        <v>1578729615946271</v>
      </c>
      <c r="C5784" t="s">
        <v>37</v>
      </c>
      <c r="D5784">
        <v>4.8751379999999997</v>
      </c>
      <c r="E5784">
        <v>0.4090491</v>
      </c>
      <c r="F5784" t="s">
        <v>89</v>
      </c>
      <c r="G5784">
        <v>-242.5624</v>
      </c>
      <c r="H5784" s="1">
        <v>-9.1944999999999899E-7</v>
      </c>
      <c r="I5784">
        <v>-56.398719999999997</v>
      </c>
      <c r="J5784">
        <v>-262.37270000000001</v>
      </c>
      <c r="K5784">
        <v>1.103748</v>
      </c>
      <c r="L5784">
        <v>-61.855709999999902</v>
      </c>
      <c r="M5784">
        <v>0.9999034</v>
      </c>
      <c r="N5784">
        <v>0</v>
      </c>
      <c r="O5784">
        <v>-1.1439650000000001E-2</v>
      </c>
      <c r="P5784">
        <v>0.99903929999999996</v>
      </c>
      <c r="Q5784">
        <v>3.6306409999999997E-2</v>
      </c>
      <c r="R5784">
        <v>2.4550869999999999E-2</v>
      </c>
      <c r="S5784">
        <v>2.989166</v>
      </c>
      <c r="T5784">
        <v>-0.16528799999999999</v>
      </c>
      <c r="U5784">
        <v>0.81692500000000001</v>
      </c>
      <c r="V5784">
        <v>-3.5982819999999999E-2</v>
      </c>
      <c r="W5784">
        <v>4.420586E-2</v>
      </c>
      <c r="X5784">
        <v>0.99837419999999999</v>
      </c>
      <c r="Y5784">
        <v>-0.27423900000000001</v>
      </c>
      <c r="Z5784">
        <v>8.0611810000000006E-3</v>
      </c>
      <c r="AA5784">
        <v>0.96162780000000003</v>
      </c>
      <c r="AB5784">
        <v>29</v>
      </c>
      <c r="AC5784">
        <v>19.810300000000002</v>
      </c>
      <c r="AD5784">
        <v>-1.1037489194499901</v>
      </c>
      <c r="AE5784">
        <v>5.4569899999999896</v>
      </c>
      <c r="AF5784">
        <v>-5.6669119733409703</v>
      </c>
      <c r="AG5784">
        <v>-1.1037489194499901</v>
      </c>
      <c r="AH5784">
        <v>19.689764247064002</v>
      </c>
      <c r="AI5784">
        <v>93.083555436368897</v>
      </c>
      <c r="AJ5784">
        <v>106.056350103233</v>
      </c>
      <c r="AK5784">
        <v>20.5187467720556</v>
      </c>
    </row>
    <row r="5785" spans="1:37" x14ac:dyDescent="0.2">
      <c r="A5785" t="str">
        <f>"20200111160015967"</f>
        <v>20200111160015967</v>
      </c>
      <c r="B5785" t="str">
        <f>"1578729615957006"</f>
        <v>1578729615957006</v>
      </c>
      <c r="C5785" t="s">
        <v>37</v>
      </c>
      <c r="D5785">
        <v>5.0191879999999998</v>
      </c>
      <c r="E5785">
        <v>0.40895700000000001</v>
      </c>
      <c r="F5785" t="s">
        <v>89</v>
      </c>
      <c r="G5785">
        <v>-242.41970000000001</v>
      </c>
      <c r="H5785" s="1">
        <v>-8.7433520000000004E-7</v>
      </c>
      <c r="I5785">
        <v>-56.385769999999901</v>
      </c>
      <c r="J5785">
        <v>-262.21949999999998</v>
      </c>
      <c r="K5785">
        <v>1.10375</v>
      </c>
      <c r="L5785">
        <v>-61.857419999999998</v>
      </c>
      <c r="M5785">
        <v>0.99990199999999996</v>
      </c>
      <c r="N5785">
        <v>0</v>
      </c>
      <c r="O5785">
        <v>-1.1433530000000001E-2</v>
      </c>
      <c r="P5785">
        <v>0.99903920000000002</v>
      </c>
      <c r="Q5785">
        <v>3.6123660000000002E-2</v>
      </c>
      <c r="R5785">
        <v>2.4817519999999999E-2</v>
      </c>
      <c r="S5785">
        <v>2.9887700000000001</v>
      </c>
      <c r="T5785">
        <v>-0.1653308</v>
      </c>
      <c r="U5785">
        <v>0.81933590000000001</v>
      </c>
      <c r="V5785">
        <v>-3.624136E-2</v>
      </c>
      <c r="W5785">
        <v>4.418681E-2</v>
      </c>
      <c r="X5785">
        <v>0.99836569999999902</v>
      </c>
      <c r="Y5785">
        <v>-0.274985799999999</v>
      </c>
      <c r="Z5785">
        <v>8.0833940000000007E-3</v>
      </c>
      <c r="AA5785">
        <v>0.96141430000000005</v>
      </c>
      <c r="AB5785">
        <v>29</v>
      </c>
      <c r="AC5785">
        <v>19.799799999999902</v>
      </c>
      <c r="AD5785">
        <v>-1.10375087433519</v>
      </c>
      <c r="AE5785">
        <v>5.4716500000000003</v>
      </c>
      <c r="AF5785">
        <v>-5.68127898562647</v>
      </c>
      <c r="AG5785">
        <v>-1.10375087433519</v>
      </c>
      <c r="AH5785">
        <v>19.679128082892401</v>
      </c>
      <c r="AI5785">
        <v>93.084498578180998</v>
      </c>
      <c r="AJ5785">
        <v>106.103199612569</v>
      </c>
      <c r="AK5785">
        <v>20.512515179957902</v>
      </c>
    </row>
    <row r="5786" spans="1:37" x14ac:dyDescent="0.2">
      <c r="A5786" t="str">
        <f>"20200111160015979"</f>
        <v>20200111160015979</v>
      </c>
      <c r="B5786" t="str">
        <f>"1578729615966766"</f>
        <v>1578729615966766</v>
      </c>
      <c r="C5786" t="s">
        <v>37</v>
      </c>
      <c r="D5786">
        <v>5.0953059999999999</v>
      </c>
      <c r="E5786">
        <v>0.40895979999999998</v>
      </c>
      <c r="F5786" t="s">
        <v>89</v>
      </c>
      <c r="G5786">
        <v>-242.46780000000001</v>
      </c>
      <c r="H5786" s="1">
        <v>-8.7847650000000002E-7</v>
      </c>
      <c r="I5786">
        <v>-56.431739999999998</v>
      </c>
      <c r="J5786">
        <v>-262.06200000000001</v>
      </c>
      <c r="K5786">
        <v>1.1037569999999901</v>
      </c>
      <c r="L5786">
        <v>-61.859219999999901</v>
      </c>
      <c r="M5786">
        <v>0.99990069999999998</v>
      </c>
      <c r="N5786">
        <v>0</v>
      </c>
      <c r="O5786">
        <v>-1.1436119999999999E-2</v>
      </c>
      <c r="P5786">
        <v>0.99903929999999996</v>
      </c>
      <c r="Q5786">
        <v>3.6005019999999999E-2</v>
      </c>
      <c r="R5786">
        <v>2.4990169999999999E-2</v>
      </c>
      <c r="S5786">
        <v>2.9885250000000001</v>
      </c>
      <c r="T5786">
        <v>-0.16700279999999901</v>
      </c>
      <c r="U5786">
        <v>0.82092289999999901</v>
      </c>
      <c r="V5786">
        <v>-3.6415509999999998E-2</v>
      </c>
      <c r="W5786">
        <v>4.4240639999999998E-2</v>
      </c>
      <c r="X5786">
        <v>0.99835699999999905</v>
      </c>
      <c r="Y5786">
        <v>-0.2754742</v>
      </c>
      <c r="Z5786">
        <v>8.1786299999999992E-3</v>
      </c>
      <c r="AA5786">
        <v>0.96127369999999901</v>
      </c>
      <c r="AB5786">
        <v>29</v>
      </c>
      <c r="AC5786">
        <v>19.594200000000001</v>
      </c>
      <c r="AD5786">
        <v>-1.1037578784765001</v>
      </c>
      <c r="AE5786">
        <v>5.4274799999999797</v>
      </c>
      <c r="AF5786">
        <v>-5.6346087966184699</v>
      </c>
      <c r="AG5786">
        <v>-1.1037578784765001</v>
      </c>
      <c r="AH5786">
        <v>19.473457896074802</v>
      </c>
      <c r="AI5786">
        <v>93.116490172842504</v>
      </c>
      <c r="AJ5786">
        <v>106.137701484494</v>
      </c>
      <c r="AK5786">
        <v>20.302282142050601</v>
      </c>
    </row>
    <row r="5787" spans="1:37" x14ac:dyDescent="0.2">
      <c r="A5787" t="str">
        <f>"20200111160015992"</f>
        <v>20200111160015992</v>
      </c>
      <c r="B5787" t="str">
        <f>"1578729615986287"</f>
        <v>1578729615986287</v>
      </c>
      <c r="C5787" t="s">
        <v>37</v>
      </c>
      <c r="D5787">
        <v>4.7491019999999997</v>
      </c>
      <c r="E5787">
        <v>0.40835749999999998</v>
      </c>
      <c r="F5787" t="s">
        <v>89</v>
      </c>
      <c r="G5787">
        <v>-242.51050000000001</v>
      </c>
      <c r="H5787" s="1">
        <v>-8.7900009999999896E-7</v>
      </c>
      <c r="I5787">
        <v>-56.484319999999997</v>
      </c>
      <c r="J5787">
        <v>-261.90350000000001</v>
      </c>
      <c r="K5787">
        <v>1.103769</v>
      </c>
      <c r="L5787">
        <v>-61.861019999999897</v>
      </c>
      <c r="M5787">
        <v>0.99989910000000004</v>
      </c>
      <c r="N5787">
        <v>0</v>
      </c>
      <c r="O5787">
        <v>-1.144157E-2</v>
      </c>
      <c r="P5787">
        <v>0.99904389999999998</v>
      </c>
      <c r="Q5787">
        <v>3.5820539999999998E-2</v>
      </c>
      <c r="R5787">
        <v>2.5063950000000002E-2</v>
      </c>
      <c r="S5787">
        <v>2.9884029999999999</v>
      </c>
      <c r="T5787">
        <v>-0.16870729999999901</v>
      </c>
      <c r="U5787">
        <v>0.82153319999999996</v>
      </c>
      <c r="V5787">
        <v>-3.6493600000000001E-2</v>
      </c>
      <c r="W5787">
        <v>4.4231590000000001E-2</v>
      </c>
      <c r="X5787">
        <v>0.99835459999999998</v>
      </c>
      <c r="Y5787">
        <v>-0.27566309999999999</v>
      </c>
      <c r="Z5787">
        <v>8.2676179999999991E-3</v>
      </c>
      <c r="AA5787">
        <v>0.96121880000000004</v>
      </c>
      <c r="AB5787">
        <v>29</v>
      </c>
      <c r="AC5787">
        <v>19.393000000000001</v>
      </c>
      <c r="AD5787">
        <v>-1.1037698790001</v>
      </c>
      <c r="AE5787">
        <v>5.3766999999999996</v>
      </c>
      <c r="AF5787">
        <v>-5.5814522096131398</v>
      </c>
      <c r="AG5787">
        <v>-1.1037698790001</v>
      </c>
      <c r="AH5787">
        <v>19.272235936512701</v>
      </c>
      <c r="AI5787">
        <v>93.148777887388107</v>
      </c>
      <c r="AJ5787">
        <v>106.151599720943</v>
      </c>
      <c r="AK5787">
        <v>20.094526486249801</v>
      </c>
    </row>
    <row r="5788" spans="1:37" x14ac:dyDescent="0.2">
      <c r="A5788" t="str">
        <f>"20200111160016004"</f>
        <v>20200111160016004</v>
      </c>
      <c r="B5788" t="str">
        <f>"1578729615997022"</f>
        <v>1578729615997022</v>
      </c>
      <c r="C5788" t="s">
        <v>37</v>
      </c>
      <c r="D5788">
        <v>4.3368330000000004</v>
      </c>
      <c r="E5788">
        <v>0.40727449999999998</v>
      </c>
      <c r="F5788" t="s">
        <v>89</v>
      </c>
      <c r="G5788">
        <v>-242.36070000000001</v>
      </c>
      <c r="H5788" s="1">
        <v>-8.3580400000000001E-7</v>
      </c>
      <c r="I5788">
        <v>-56.45514</v>
      </c>
      <c r="J5788">
        <v>-261.74369999999999</v>
      </c>
      <c r="K5788">
        <v>1.1037920000000001</v>
      </c>
      <c r="L5788">
        <v>-61.862850000000002</v>
      </c>
      <c r="M5788">
        <v>0.99989749999999999</v>
      </c>
      <c r="N5788">
        <v>0</v>
      </c>
      <c r="O5788">
        <v>-1.145001E-2</v>
      </c>
      <c r="P5788">
        <v>0.9990561</v>
      </c>
      <c r="Q5788">
        <v>3.5460730000000003E-2</v>
      </c>
      <c r="R5788">
        <v>2.5094700000000001E-2</v>
      </c>
      <c r="S5788">
        <v>2.988159</v>
      </c>
      <c r="T5788">
        <v>-0.16877039999999999</v>
      </c>
      <c r="U5788">
        <v>0.82656859999999999</v>
      </c>
      <c r="V5788">
        <v>-3.6532439999999999E-2</v>
      </c>
      <c r="W5788">
        <v>4.4050560000000002E-2</v>
      </c>
      <c r="X5788">
        <v>0.998361099999999</v>
      </c>
      <c r="Y5788">
        <v>-0.27719389999999999</v>
      </c>
      <c r="Z5788">
        <v>8.3124129999999994E-3</v>
      </c>
      <c r="AA5788">
        <v>0.96077809999999897</v>
      </c>
      <c r="AB5788">
        <v>29</v>
      </c>
      <c r="AC5788">
        <v>19.3829999999999</v>
      </c>
      <c r="AD5788">
        <v>-1.1037928358039999</v>
      </c>
      <c r="AE5788">
        <v>5.4077099999999998</v>
      </c>
      <c r="AF5788">
        <v>-5.6124131060683897</v>
      </c>
      <c r="AG5788">
        <v>-1.1037928358039999</v>
      </c>
      <c r="AH5788">
        <v>19.261855347564602</v>
      </c>
      <c r="AI5788">
        <v>93.149051823127195</v>
      </c>
      <c r="AJ5788">
        <v>106.244774989088</v>
      </c>
      <c r="AK5788">
        <v>20.093198125934201</v>
      </c>
    </row>
    <row r="5789" spans="1:37" x14ac:dyDescent="0.2">
      <c r="A5789" t="str">
        <f>"20200111160016015"</f>
        <v>20200111160016015</v>
      </c>
      <c r="B5789" t="str">
        <f>"1578729616006782"</f>
        <v>1578729616006782</v>
      </c>
      <c r="C5789" t="s">
        <v>37</v>
      </c>
      <c r="D5789">
        <v>4.3645199999999997</v>
      </c>
      <c r="E5789">
        <v>0.40638869999999999</v>
      </c>
      <c r="F5789" t="s">
        <v>89</v>
      </c>
      <c r="G5789">
        <v>-241.81110000000001</v>
      </c>
      <c r="H5789" s="1">
        <v>-6.9216049999999999E-7</v>
      </c>
      <c r="I5789">
        <v>-56.291989999999998</v>
      </c>
      <c r="J5789">
        <v>-261.59809999999999</v>
      </c>
      <c r="K5789">
        <v>1.103815</v>
      </c>
      <c r="L5789">
        <v>-61.864530000000002</v>
      </c>
      <c r="M5789">
        <v>0.99989589999999995</v>
      </c>
      <c r="N5789">
        <v>0</v>
      </c>
      <c r="O5789">
        <v>-1.146021E-2</v>
      </c>
      <c r="P5789">
        <v>0.99907539999999995</v>
      </c>
      <c r="Q5789">
        <v>3.5087500000000001E-2</v>
      </c>
      <c r="R5789">
        <v>2.4850999999999901E-2</v>
      </c>
      <c r="S5789">
        <v>2.987762</v>
      </c>
      <c r="T5789">
        <v>-0.1654505</v>
      </c>
      <c r="U5789">
        <v>0.83502199999999904</v>
      </c>
      <c r="V5789">
        <v>-3.6299020000000001E-2</v>
      </c>
      <c r="W5789">
        <v>4.3850010000000002E-2</v>
      </c>
      <c r="X5789">
        <v>0.99837849999999995</v>
      </c>
      <c r="Y5789">
        <v>-0.27977190000000002</v>
      </c>
      <c r="Z5789">
        <v>8.2177020000000003E-3</v>
      </c>
      <c r="AA5789">
        <v>0.96003130000000003</v>
      </c>
      <c r="AB5789">
        <v>29</v>
      </c>
      <c r="AC5789">
        <v>19.7869999999999</v>
      </c>
      <c r="AD5789">
        <v>-1.1038156921605</v>
      </c>
      <c r="AE5789">
        <v>5.5725399999999903</v>
      </c>
      <c r="AF5789">
        <v>-5.7822740401218002</v>
      </c>
      <c r="AG5789">
        <v>-1.1038156921605</v>
      </c>
      <c r="AH5789">
        <v>19.665135607392699</v>
      </c>
      <c r="AI5789">
        <v>93.082453745619603</v>
      </c>
      <c r="AJ5789">
        <v>106.38527817709701</v>
      </c>
      <c r="AK5789">
        <v>20.527314987948898</v>
      </c>
    </row>
    <row r="5790" spans="1:37" x14ac:dyDescent="0.2">
      <c r="A5790" t="str">
        <f>"20200111160016025"</f>
        <v>20200111160016025</v>
      </c>
      <c r="B5790" t="str">
        <f>"1578729616016544"</f>
        <v>1578729616016544</v>
      </c>
      <c r="C5790" t="s">
        <v>37</v>
      </c>
      <c r="D5790">
        <v>4.3256800000000002</v>
      </c>
      <c r="E5790">
        <v>0.40548289999999998</v>
      </c>
      <c r="F5790" t="s">
        <v>89</v>
      </c>
      <c r="G5790">
        <v>-241.2013</v>
      </c>
      <c r="H5790" s="1">
        <v>-5.2985590000000001E-7</v>
      </c>
      <c r="I5790">
        <v>-56.122069999999901</v>
      </c>
      <c r="J5790">
        <v>-261.46280000000002</v>
      </c>
      <c r="K5790">
        <v>1.1038349999999999</v>
      </c>
      <c r="L5790">
        <v>-61.86609</v>
      </c>
      <c r="M5790">
        <v>0.99989430000000001</v>
      </c>
      <c r="N5790">
        <v>0</v>
      </c>
      <c r="O5790">
        <v>-1.1470009999999999E-2</v>
      </c>
      <c r="P5790">
        <v>0.99910529999999997</v>
      </c>
      <c r="Q5790">
        <v>3.445107E-2</v>
      </c>
      <c r="R5790">
        <v>2.4537389999999999E-2</v>
      </c>
      <c r="S5790">
        <v>2.987549</v>
      </c>
      <c r="T5790">
        <v>-0.16167679999999901</v>
      </c>
      <c r="U5790">
        <v>0.84109500000000004</v>
      </c>
      <c r="V5790">
        <v>-3.5995079999999999E-2</v>
      </c>
      <c r="W5790">
        <v>4.3376489999999997E-2</v>
      </c>
      <c r="X5790">
        <v>0.99841019999999903</v>
      </c>
      <c r="Y5790">
        <v>-0.28162409999999999</v>
      </c>
      <c r="Z5790">
        <v>8.0785760000000005E-3</v>
      </c>
      <c r="AA5790">
        <v>0.95949079999999998</v>
      </c>
      <c r="AB5790">
        <v>29</v>
      </c>
      <c r="AC5790">
        <v>20.261500000000002</v>
      </c>
      <c r="AD5790">
        <v>-1.1038355298558999</v>
      </c>
      <c r="AE5790">
        <v>5.7440199999999999</v>
      </c>
      <c r="AF5790">
        <v>-5.9596784493464003</v>
      </c>
      <c r="AG5790">
        <v>-1.1038355298558999</v>
      </c>
      <c r="AH5790">
        <v>20.138954303862398</v>
      </c>
      <c r="AI5790">
        <v>93.008578868492293</v>
      </c>
      <c r="AJ5790">
        <v>106.484955376512</v>
      </c>
      <c r="AK5790">
        <v>21.031255325102101</v>
      </c>
    </row>
    <row r="5791" spans="1:37" x14ac:dyDescent="0.2">
      <c r="A5791" t="str">
        <f>"20200111160016037"</f>
        <v>20200111160016037</v>
      </c>
      <c r="B5791" t="str">
        <f>"1578729616026302"</f>
        <v>1578729616026302</v>
      </c>
      <c r="C5791" t="s">
        <v>37</v>
      </c>
      <c r="D5791">
        <v>4.3294379999999997</v>
      </c>
      <c r="E5791">
        <v>0.40465719999999999</v>
      </c>
      <c r="F5791" t="s">
        <v>89</v>
      </c>
      <c r="G5791">
        <v>-240.82339999999999</v>
      </c>
      <c r="H5791" s="1">
        <v>-4.3036460000000001E-7</v>
      </c>
      <c r="I5791">
        <v>-56.012729999999998</v>
      </c>
      <c r="J5791">
        <v>-261.3143</v>
      </c>
      <c r="K5791">
        <v>1.1038569999999901</v>
      </c>
      <c r="L5791">
        <v>-61.867800000000003</v>
      </c>
      <c r="M5791">
        <v>0.99989249999999996</v>
      </c>
      <c r="N5791">
        <v>0</v>
      </c>
      <c r="O5791">
        <v>-1.1480209999999999E-2</v>
      </c>
      <c r="P5791">
        <v>0.99913920000000001</v>
      </c>
      <c r="Q5791">
        <v>3.388066E-2</v>
      </c>
      <c r="R5791">
        <v>2.3945810000000001E-2</v>
      </c>
      <c r="S5791">
        <v>2.9874269999999998</v>
      </c>
      <c r="T5791">
        <v>-0.15977330000000001</v>
      </c>
      <c r="U5791">
        <v>0.84722900000000001</v>
      </c>
      <c r="V5791">
        <v>-3.5413880000000002E-2</v>
      </c>
      <c r="W5791">
        <v>4.3003949999999999E-2</v>
      </c>
      <c r="X5791">
        <v>0.99844709999999903</v>
      </c>
      <c r="Y5791">
        <v>-0.28347509999999998</v>
      </c>
      <c r="Z5791">
        <v>8.0307690000000001E-3</v>
      </c>
      <c r="AA5791">
        <v>0.95894599999999997</v>
      </c>
      <c r="AB5791">
        <v>29</v>
      </c>
      <c r="AC5791">
        <v>20.4909</v>
      </c>
      <c r="AD5791">
        <v>-1.1038574303645901</v>
      </c>
      <c r="AE5791">
        <v>5.8550699999999898</v>
      </c>
      <c r="AF5791">
        <v>-6.0736382618600802</v>
      </c>
      <c r="AG5791">
        <v>-1.1038574303645901</v>
      </c>
      <c r="AH5791">
        <v>20.367683128397601</v>
      </c>
      <c r="AI5791">
        <v>92.973071472932801</v>
      </c>
      <c r="AJ5791">
        <v>106.604568017291</v>
      </c>
      <c r="AK5791">
        <v>21.282624344317</v>
      </c>
    </row>
    <row r="5792" spans="1:37" x14ac:dyDescent="0.2">
      <c r="A5792" t="str">
        <f>"20200111160016047"</f>
        <v>20200111160016047</v>
      </c>
      <c r="B5792" t="str">
        <f>"1578729616037038"</f>
        <v>1578729616037038</v>
      </c>
      <c r="C5792" t="s">
        <v>37</v>
      </c>
      <c r="D5792">
        <v>4.3170129999999904</v>
      </c>
      <c r="E5792">
        <v>0.40383570000000002</v>
      </c>
      <c r="F5792" t="s">
        <v>89</v>
      </c>
      <c r="G5792">
        <v>-240.41900000000001</v>
      </c>
      <c r="H5792" s="1">
        <v>-3.2012459999999999E-7</v>
      </c>
      <c r="I5792">
        <v>-55.90981</v>
      </c>
      <c r="J5792">
        <v>-261.18619999999999</v>
      </c>
      <c r="K5792">
        <v>1.1038829999999999</v>
      </c>
      <c r="L5792">
        <v>-61.869230000000002</v>
      </c>
      <c r="M5792">
        <v>0.99989059999999896</v>
      </c>
      <c r="N5792">
        <v>0</v>
      </c>
      <c r="O5792">
        <v>-1.14883E-2</v>
      </c>
      <c r="P5792">
        <v>0.99916579999999999</v>
      </c>
      <c r="Q5792">
        <v>3.3381290000000001E-2</v>
      </c>
      <c r="R5792">
        <v>2.35293E-2</v>
      </c>
      <c r="S5792">
        <v>2.9875180000000001</v>
      </c>
      <c r="T5792">
        <v>-0.15782479999999999</v>
      </c>
      <c r="U5792">
        <v>0.85183719999999996</v>
      </c>
      <c r="V5792">
        <v>-3.5005880000000003E-2</v>
      </c>
      <c r="W5792">
        <v>4.2679519999999999E-2</v>
      </c>
      <c r="X5792">
        <v>0.99847540000000001</v>
      </c>
      <c r="Y5792">
        <v>-0.28485129999999997</v>
      </c>
      <c r="Z5792">
        <v>7.9671240000000008E-3</v>
      </c>
      <c r="AA5792">
        <v>0.95853860000000002</v>
      </c>
      <c r="AB5792">
        <v>29</v>
      </c>
      <c r="AC5792">
        <v>20.7671999999999</v>
      </c>
      <c r="AD5792">
        <v>-1.1038833201246001</v>
      </c>
      <c r="AE5792">
        <v>5.9594199999999997</v>
      </c>
      <c r="AF5792">
        <v>-6.1814801168783502</v>
      </c>
      <c r="AG5792">
        <v>-1.1038833201246001</v>
      </c>
      <c r="AH5792">
        <v>20.643473046017998</v>
      </c>
      <c r="AI5792">
        <v>92.932494663765794</v>
      </c>
      <c r="AJ5792">
        <v>106.669799636664</v>
      </c>
      <c r="AK5792">
        <v>21.577354662272299</v>
      </c>
    </row>
    <row r="5793" spans="1:37" x14ac:dyDescent="0.2">
      <c r="A5793" t="str">
        <f>"20200111160016058"</f>
        <v>20200111160016058</v>
      </c>
      <c r="B5793" t="str">
        <f>"1578729616046798"</f>
        <v>1578729616046798</v>
      </c>
      <c r="C5793" t="s">
        <v>37</v>
      </c>
      <c r="D5793">
        <v>5.0508389999999999</v>
      </c>
      <c r="E5793">
        <v>0.40404440000000003</v>
      </c>
      <c r="F5793" t="s">
        <v>90</v>
      </c>
      <c r="G5793">
        <v>-239.99260000000001</v>
      </c>
      <c r="H5793" s="1">
        <v>-4.0887109999999996E-6</v>
      </c>
      <c r="I5793">
        <v>-55.790300000000002</v>
      </c>
      <c r="J5793">
        <v>-261.0453</v>
      </c>
      <c r="K5793">
        <v>1.1039159999999999</v>
      </c>
      <c r="L5793">
        <v>-61.870849999999997</v>
      </c>
      <c r="M5793">
        <v>0.99988869999999896</v>
      </c>
      <c r="N5793">
        <v>0</v>
      </c>
      <c r="O5793">
        <v>-1.149525E-2</v>
      </c>
      <c r="P5793">
        <v>0.99919979999999997</v>
      </c>
      <c r="Q5793">
        <v>3.2738669999999997E-2</v>
      </c>
      <c r="R5793">
        <v>2.297447E-2</v>
      </c>
      <c r="S5793">
        <v>2.987549</v>
      </c>
      <c r="T5793">
        <v>-0.15560850000000001</v>
      </c>
      <c r="U5793">
        <v>0.85690309999999903</v>
      </c>
      <c r="V5793">
        <v>-3.4458019999999999E-2</v>
      </c>
      <c r="W5793">
        <v>4.2247420000000001E-2</v>
      </c>
      <c r="X5793">
        <v>0.99851279999999998</v>
      </c>
      <c r="Y5793">
        <v>-0.28636650000000002</v>
      </c>
      <c r="Z5793">
        <v>7.8925369999999998E-3</v>
      </c>
      <c r="AA5793">
        <v>0.95808760000000004</v>
      </c>
      <c r="AB5793">
        <v>29</v>
      </c>
      <c r="AC5793">
        <v>21.052699999999898</v>
      </c>
      <c r="AD5793">
        <v>-1.1039200887109999</v>
      </c>
      <c r="AE5793">
        <v>6.0805499999999899</v>
      </c>
      <c r="AF5793">
        <v>-6.3061612247057797</v>
      </c>
      <c r="AG5793">
        <v>-1.1039200887109999</v>
      </c>
      <c r="AH5793">
        <v>20.9282957711984</v>
      </c>
      <c r="AI5793">
        <v>92.891252138561399</v>
      </c>
      <c r="AJ5793">
        <v>106.768723037043</v>
      </c>
      <c r="AK5793">
        <v>21.885608806725099</v>
      </c>
    </row>
    <row r="5794" spans="1:37" x14ac:dyDescent="0.2">
      <c r="A5794" t="str">
        <f>"20200111160016071"</f>
        <v>20200111160016071</v>
      </c>
      <c r="B5794" t="str">
        <f>"1578729616066319"</f>
        <v>1578729616066319</v>
      </c>
      <c r="C5794" t="s">
        <v>37</v>
      </c>
      <c r="D5794">
        <v>4.4868730000000001</v>
      </c>
      <c r="E5794">
        <v>0.40331420000000001</v>
      </c>
      <c r="F5794" t="s">
        <v>89</v>
      </c>
      <c r="G5794">
        <v>-240.15960000000001</v>
      </c>
      <c r="H5794" s="1">
        <v>-2.334932E-7</v>
      </c>
      <c r="I5794">
        <v>-55.903669999999998</v>
      </c>
      <c r="J5794">
        <v>-260.8897</v>
      </c>
      <c r="K5794">
        <v>1.103958</v>
      </c>
      <c r="L5794">
        <v>-61.87265</v>
      </c>
      <c r="M5794">
        <v>0.99988630000000001</v>
      </c>
      <c r="N5794">
        <v>0</v>
      </c>
      <c r="O5794">
        <v>-1.1502170000000001E-2</v>
      </c>
      <c r="P5794">
        <v>0.99922849999999996</v>
      </c>
      <c r="Q5794">
        <v>3.2185650000000003E-2</v>
      </c>
      <c r="R5794">
        <v>2.2514380000000001E-2</v>
      </c>
      <c r="S5794">
        <v>2.987946</v>
      </c>
      <c r="T5794">
        <v>-0.1579286</v>
      </c>
      <c r="U5794">
        <v>0.85366819999999899</v>
      </c>
      <c r="V5794">
        <v>-3.4005189999999998E-2</v>
      </c>
      <c r="W5794">
        <v>4.1940129999999999E-2</v>
      </c>
      <c r="X5794">
        <v>0.99854129999999997</v>
      </c>
      <c r="Y5794">
        <v>-0.28537059999999997</v>
      </c>
      <c r="Z5794">
        <v>7.9847730000000006E-3</v>
      </c>
      <c r="AA5794">
        <v>0.95838400000000001</v>
      </c>
      <c r="AB5794">
        <v>29</v>
      </c>
      <c r="AC5794">
        <v>20.7301</v>
      </c>
      <c r="AD5794">
        <v>-1.1039582334932001</v>
      </c>
      <c r="AE5794">
        <v>5.9689800000000002</v>
      </c>
      <c r="AF5794">
        <v>-6.19082472325774</v>
      </c>
      <c r="AG5794">
        <v>-1.1039582334932001</v>
      </c>
      <c r="AH5794">
        <v>20.606104716279098</v>
      </c>
      <c r="AI5794">
        <v>92.937198194028696</v>
      </c>
      <c r="AJ5794">
        <v>106.72218286679799</v>
      </c>
      <c r="AK5794">
        <v>21.544293585858298</v>
      </c>
    </row>
    <row r="5795" spans="1:37" x14ac:dyDescent="0.2">
      <c r="A5795" t="str">
        <f>"20200111160016082"</f>
        <v>20200111160016082</v>
      </c>
      <c r="B5795" t="str">
        <f>"1578729616077055"</f>
        <v>1578729616077055</v>
      </c>
      <c r="C5795" t="s">
        <v>37</v>
      </c>
      <c r="D5795">
        <v>4.6650400000000003</v>
      </c>
      <c r="E5795">
        <v>0.40311900000000001</v>
      </c>
      <c r="F5795" t="s">
        <v>90</v>
      </c>
      <c r="G5795">
        <v>-239.79859999999999</v>
      </c>
      <c r="H5795" s="1">
        <v>-4.000698E-6</v>
      </c>
      <c r="I5795">
        <v>-55.817279999999997</v>
      </c>
      <c r="J5795">
        <v>-260.726</v>
      </c>
      <c r="K5795">
        <v>1.1040019999999999</v>
      </c>
      <c r="L5795">
        <v>-61.874540000000003</v>
      </c>
      <c r="M5795">
        <v>0.99988349999999904</v>
      </c>
      <c r="N5795">
        <v>0</v>
      </c>
      <c r="O5795">
        <v>-1.150759E-2</v>
      </c>
      <c r="P5795">
        <v>0.99924899999999905</v>
      </c>
      <c r="Q5795">
        <v>3.18786E-2</v>
      </c>
      <c r="R5795">
        <v>2.2036739999999999E-2</v>
      </c>
      <c r="S5795">
        <v>2.9880680000000002</v>
      </c>
      <c r="T5795">
        <v>-0.15640270000000001</v>
      </c>
      <c r="U5795">
        <v>0.85787959999999996</v>
      </c>
      <c r="V5795">
        <v>-3.3533380000000002E-2</v>
      </c>
      <c r="W5795">
        <v>4.1908210000000001E-2</v>
      </c>
      <c r="X5795">
        <v>0.99855859999999996</v>
      </c>
      <c r="Y5795">
        <v>-0.28661959999999997</v>
      </c>
      <c r="Z5795">
        <v>7.9382169999999991E-3</v>
      </c>
      <c r="AA5795">
        <v>0.95801159999999996</v>
      </c>
      <c r="AB5795">
        <v>29</v>
      </c>
      <c r="AC5795">
        <v>20.927399999999999</v>
      </c>
      <c r="AD5795">
        <v>-1.1040060006979999</v>
      </c>
      <c r="AE5795">
        <v>6.0572599999999897</v>
      </c>
      <c r="AF5795">
        <v>-6.2815647039662998</v>
      </c>
      <c r="AG5795">
        <v>-1.1040060006979999</v>
      </c>
      <c r="AH5795">
        <v>20.802887135437199</v>
      </c>
      <c r="AI5795">
        <v>92.9083688800917</v>
      </c>
      <c r="AJ5795">
        <v>106.802026301407</v>
      </c>
      <c r="AK5795">
        <v>21.758607435896099</v>
      </c>
    </row>
    <row r="5796" spans="1:37" x14ac:dyDescent="0.2">
      <c r="A5796" t="str">
        <f>"20200111160016094"</f>
        <v>20200111160016094</v>
      </c>
      <c r="B5796" t="str">
        <f>"1578729616086815"</f>
        <v>1578729616086815</v>
      </c>
      <c r="C5796" t="s">
        <v>37</v>
      </c>
      <c r="D5796">
        <v>4.687487</v>
      </c>
      <c r="E5796">
        <v>0.40293319999999999</v>
      </c>
      <c r="F5796" t="s">
        <v>90</v>
      </c>
      <c r="G5796">
        <v>-239.95599999999999</v>
      </c>
      <c r="H5796" s="1">
        <v>-4.0515710000000001E-6</v>
      </c>
      <c r="I5796">
        <v>-55.911269999999902</v>
      </c>
      <c r="J5796">
        <v>-260.5779</v>
      </c>
      <c r="K5796">
        <v>1.1040449999999999</v>
      </c>
      <c r="L5796">
        <v>-61.876249999999999</v>
      </c>
      <c r="M5796">
        <v>0.99988069999999896</v>
      </c>
      <c r="N5796">
        <v>0</v>
      </c>
      <c r="O5796">
        <v>-1.151132E-2</v>
      </c>
      <c r="P5796">
        <v>0.99926499999999996</v>
      </c>
      <c r="Q5796">
        <v>3.1514279999999999E-2</v>
      </c>
      <c r="R5796">
        <v>2.182071E-2</v>
      </c>
      <c r="S5796">
        <v>2.9884339999999998</v>
      </c>
      <c r="T5796">
        <v>-0.15884699999999999</v>
      </c>
      <c r="U5796">
        <v>0.85800169999999998</v>
      </c>
      <c r="V5796">
        <v>-3.3320669999999997E-2</v>
      </c>
      <c r="W5796">
        <v>4.1808640000000001E-2</v>
      </c>
      <c r="X5796">
        <v>0.99856979999999995</v>
      </c>
      <c r="Y5796">
        <v>-0.2866165</v>
      </c>
      <c r="Z5796">
        <v>8.0612359999999994E-3</v>
      </c>
      <c r="AA5796">
        <v>0.95801150000000002</v>
      </c>
      <c r="AB5796">
        <v>29</v>
      </c>
      <c r="AC5796">
        <v>20.6219</v>
      </c>
      <c r="AD5796">
        <v>-1.104049051571</v>
      </c>
      <c r="AE5796">
        <v>5.9649799999999997</v>
      </c>
      <c r="AF5796">
        <v>-6.1856217448462703</v>
      </c>
      <c r="AG5796">
        <v>-1.104049051571</v>
      </c>
      <c r="AH5796">
        <v>20.497649112313699</v>
      </c>
      <c r="AI5796">
        <v>92.951867447335005</v>
      </c>
      <c r="AJ5796">
        <v>106.792357075089</v>
      </c>
      <c r="AK5796">
        <v>21.43908719629</v>
      </c>
    </row>
    <row r="5797" spans="1:37" x14ac:dyDescent="0.2">
      <c r="A5797" t="str">
        <f>"20200111160016106"</f>
        <v>20200111160016106</v>
      </c>
      <c r="B5797" t="str">
        <f>"1578729616096577"</f>
        <v>1578729616096577</v>
      </c>
      <c r="C5797" t="s">
        <v>37</v>
      </c>
      <c r="D5797">
        <v>4.6618690000000003</v>
      </c>
      <c r="E5797">
        <v>0.40274409999999999</v>
      </c>
      <c r="F5797" t="s">
        <v>89</v>
      </c>
      <c r="G5797">
        <v>-240.02529999999999</v>
      </c>
      <c r="H5797" s="1">
        <v>-1.6997969999999999E-7</v>
      </c>
      <c r="I5797">
        <v>-55.970529999999997</v>
      </c>
      <c r="J5797">
        <v>-260.43599999999998</v>
      </c>
      <c r="K5797">
        <v>1.104087</v>
      </c>
      <c r="L5797">
        <v>-61.877869999999902</v>
      </c>
      <c r="M5797">
        <v>0.99987789999999999</v>
      </c>
      <c r="N5797">
        <v>0</v>
      </c>
      <c r="O5797">
        <v>-1.1514679999999999E-2</v>
      </c>
      <c r="P5797">
        <v>0.99927149999999998</v>
      </c>
      <c r="Q5797">
        <v>3.137152E-2</v>
      </c>
      <c r="R5797">
        <v>2.1730969999999999E-2</v>
      </c>
      <c r="S5797">
        <v>2.9885250000000001</v>
      </c>
      <c r="T5797">
        <v>-0.16053779999999901</v>
      </c>
      <c r="U5797">
        <v>0.85873409999999994</v>
      </c>
      <c r="V5797">
        <v>-3.3234800000000002E-2</v>
      </c>
      <c r="W5797">
        <v>4.1922510000000003E-2</v>
      </c>
      <c r="X5797">
        <v>0.99856789999999995</v>
      </c>
      <c r="Y5797">
        <v>-0.28682020000000003</v>
      </c>
      <c r="Z5797">
        <v>8.1519550000000007E-3</v>
      </c>
      <c r="AA5797">
        <v>0.95794979999999996</v>
      </c>
      <c r="AB5797">
        <v>29</v>
      </c>
      <c r="AC5797">
        <v>20.410699999999899</v>
      </c>
      <c r="AD5797">
        <v>-1.1040871699796999</v>
      </c>
      <c r="AE5797">
        <v>5.9073399999999898</v>
      </c>
      <c r="AF5797">
        <v>-6.1254457325419303</v>
      </c>
      <c r="AG5797">
        <v>-1.1040871699796999</v>
      </c>
      <c r="AH5797">
        <v>20.286549148096199</v>
      </c>
      <c r="AI5797">
        <v>92.982488681153498</v>
      </c>
      <c r="AJ5797">
        <v>106.801489437904</v>
      </c>
      <c r="AK5797">
        <v>21.219900335283199</v>
      </c>
    </row>
    <row r="5798" spans="1:37" x14ac:dyDescent="0.2">
      <c r="A5798" t="str">
        <f>"20200111160016117"</f>
        <v>20200111160016117</v>
      </c>
      <c r="B5798" t="str">
        <f>"1578729616106334"</f>
        <v>1578729616106334</v>
      </c>
      <c r="C5798" t="s">
        <v>37</v>
      </c>
      <c r="D5798">
        <v>4.7148440000000003</v>
      </c>
      <c r="E5798">
        <v>0.4026053</v>
      </c>
      <c r="F5798" t="s">
        <v>89</v>
      </c>
      <c r="G5798">
        <v>-240.0299</v>
      </c>
      <c r="H5798" s="1">
        <v>-1.618397E-7</v>
      </c>
      <c r="I5798">
        <v>-56.007080000000002</v>
      </c>
      <c r="J5798">
        <v>-260.29020000000003</v>
      </c>
      <c r="K5798">
        <v>1.104125</v>
      </c>
      <c r="L5798">
        <v>-61.879550000000002</v>
      </c>
      <c r="M5798">
        <v>0.99987499999999996</v>
      </c>
      <c r="N5798">
        <v>0</v>
      </c>
      <c r="O5798">
        <v>-1.1517289999999999E-2</v>
      </c>
      <c r="P5798">
        <v>0.99928229999999996</v>
      </c>
      <c r="Q5798">
        <v>3.1062679999999999E-2</v>
      </c>
      <c r="R5798">
        <v>2.1675199999999999E-2</v>
      </c>
      <c r="S5798">
        <v>2.9885860000000002</v>
      </c>
      <c r="T5798">
        <v>-0.16170009999999899</v>
      </c>
      <c r="U5798">
        <v>0.85980219999999896</v>
      </c>
      <c r="V5798">
        <v>-3.3181540000000002E-2</v>
      </c>
      <c r="W5798">
        <v>4.1878199999999997E-2</v>
      </c>
      <c r="X5798">
        <v>0.9985716</v>
      </c>
      <c r="Y5798">
        <v>-0.28712759999999998</v>
      </c>
      <c r="Z5798">
        <v>8.2186250000000002E-3</v>
      </c>
      <c r="AA5798">
        <v>0.95785710000000002</v>
      </c>
      <c r="AB5798">
        <v>29</v>
      </c>
      <c r="AC5798">
        <v>20.260300000000001</v>
      </c>
      <c r="AD5798">
        <v>-1.1041251618397001</v>
      </c>
      <c r="AE5798">
        <v>5.8724699999999999</v>
      </c>
      <c r="AF5798">
        <v>-6.0887562588445698</v>
      </c>
      <c r="AG5798">
        <v>-1.1041251618397001</v>
      </c>
      <c r="AH5798">
        <v>20.136149234481898</v>
      </c>
      <c r="AI5798">
        <v>93.004468126093897</v>
      </c>
      <c r="AJ5798">
        <v>106.82423397630301</v>
      </c>
      <c r="AK5798">
        <v>21.065529927964199</v>
      </c>
    </row>
    <row r="5799" spans="1:37" x14ac:dyDescent="0.2">
      <c r="A5799" t="str">
        <f>"20200111160016129"</f>
        <v>20200111160016129</v>
      </c>
      <c r="B5799" t="str">
        <f>"1578729616126831"</f>
        <v>1578729616126831</v>
      </c>
      <c r="C5799" t="s">
        <v>37</v>
      </c>
      <c r="D5799">
        <v>4.7571329999999996</v>
      </c>
      <c r="E5799">
        <v>0.40270159999999899</v>
      </c>
      <c r="F5799" t="s">
        <v>89</v>
      </c>
      <c r="G5799">
        <v>-240.0864</v>
      </c>
      <c r="H5799" s="1">
        <v>-1.6674789999999901E-7</v>
      </c>
      <c r="I5799">
        <v>-56.060830000000003</v>
      </c>
      <c r="J5799">
        <v>-260.1474</v>
      </c>
      <c r="K5799">
        <v>1.1041609999999999</v>
      </c>
      <c r="L5799">
        <v>-61.8812</v>
      </c>
      <c r="M5799">
        <v>0.99987230000000005</v>
      </c>
      <c r="N5799">
        <v>0</v>
      </c>
      <c r="O5799">
        <v>-1.151988E-2</v>
      </c>
      <c r="P5799">
        <v>0.99929069999999998</v>
      </c>
      <c r="Q5799">
        <v>3.0602689999999998E-2</v>
      </c>
      <c r="R5799">
        <v>2.195329E-2</v>
      </c>
      <c r="S5799">
        <v>2.9885250000000001</v>
      </c>
      <c r="T5799">
        <v>-0.16332070000000001</v>
      </c>
      <c r="U5799">
        <v>0.86068729999999904</v>
      </c>
      <c r="V5799">
        <v>-3.3462270000000002E-2</v>
      </c>
      <c r="W5799">
        <v>4.167477E-2</v>
      </c>
      <c r="X5799">
        <v>0.99857070000000003</v>
      </c>
      <c r="Y5799">
        <v>-0.2873888</v>
      </c>
      <c r="Z5799">
        <v>8.3078370000000002E-3</v>
      </c>
      <c r="AA5799">
        <v>0.95777800000000002</v>
      </c>
      <c r="AB5799">
        <v>29</v>
      </c>
      <c r="AC5799">
        <v>20.061</v>
      </c>
      <c r="AD5799">
        <v>-1.1041611667478901</v>
      </c>
      <c r="AE5799">
        <v>5.8203699999999898</v>
      </c>
      <c r="AF5799">
        <v>-6.03423728554385</v>
      </c>
      <c r="AG5799">
        <v>-1.1041611667478901</v>
      </c>
      <c r="AH5799">
        <v>19.936906642871101</v>
      </c>
      <c r="AI5799">
        <v>93.034295506166998</v>
      </c>
      <c r="AJ5799">
        <v>106.839314860299</v>
      </c>
      <c r="AK5799">
        <v>20.859324964795899</v>
      </c>
    </row>
    <row r="5800" spans="1:37" x14ac:dyDescent="0.2">
      <c r="A5800" t="str">
        <f>"20200111160016144"</f>
        <v>20200111160016144</v>
      </c>
      <c r="B5800" t="str">
        <f>"1578729616136590"</f>
        <v>1578729616136590</v>
      </c>
      <c r="C5800" t="s">
        <v>37</v>
      </c>
      <c r="D5800">
        <v>4.8253149999999998</v>
      </c>
      <c r="E5800">
        <v>0.40278000000000003</v>
      </c>
      <c r="F5800" t="s">
        <v>89</v>
      </c>
      <c r="G5800">
        <v>-240.48259999999999</v>
      </c>
      <c r="H5800" s="1">
        <v>-2.6002849999999999E-7</v>
      </c>
      <c r="I5800">
        <v>-56.21705</v>
      </c>
      <c r="J5800">
        <v>-259.94240000000002</v>
      </c>
      <c r="K5800">
        <v>1.104201</v>
      </c>
      <c r="L5800">
        <v>-61.883540000000004</v>
      </c>
      <c r="M5800">
        <v>0.99986819999999899</v>
      </c>
      <c r="N5800">
        <v>0</v>
      </c>
      <c r="O5800">
        <v>-1.1523429999999999E-2</v>
      </c>
      <c r="P5800">
        <v>0.99931139999999996</v>
      </c>
      <c r="Q5800">
        <v>2.9486289999999998E-2</v>
      </c>
      <c r="R5800">
        <v>2.252448E-2</v>
      </c>
      <c r="S5800">
        <v>2.9883730000000002</v>
      </c>
      <c r="T5800">
        <v>-0.1677951</v>
      </c>
      <c r="U5800">
        <v>0.86074830000000002</v>
      </c>
      <c r="V5800">
        <v>-3.403759E-2</v>
      </c>
      <c r="W5800">
        <v>4.0916769999999998E-2</v>
      </c>
      <c r="X5800">
        <v>0.99858259999999899</v>
      </c>
      <c r="Y5800">
        <v>-0.2874004</v>
      </c>
      <c r="Z5800">
        <v>8.5360230000000002E-3</v>
      </c>
      <c r="AA5800">
        <v>0.95777250000000003</v>
      </c>
      <c r="AB5800">
        <v>28</v>
      </c>
      <c r="AC5800">
        <v>19.459800000000001</v>
      </c>
      <c r="AD5800">
        <v>-1.1042012600285001</v>
      </c>
      <c r="AE5800">
        <v>5.6664899999999996</v>
      </c>
      <c r="AF5800">
        <v>-5.8729407481474096</v>
      </c>
      <c r="AG5800">
        <v>-1.1042012600285001</v>
      </c>
      <c r="AH5800">
        <v>19.335816114503999</v>
      </c>
      <c r="AI5800">
        <v>93.127626116346207</v>
      </c>
      <c r="AJ5800">
        <v>106.895308512955</v>
      </c>
      <c r="AK5800">
        <v>20.238193552484098</v>
      </c>
    </row>
    <row r="5801" spans="1:37" x14ac:dyDescent="0.2">
      <c r="A5801" t="str">
        <f>"20200111160016280"</f>
        <v>20200111160016280</v>
      </c>
      <c r="B5801" t="str">
        <f>"1578729616277134"</f>
        <v>1578729616277134</v>
      </c>
      <c r="C5801" t="s">
        <v>37</v>
      </c>
      <c r="D5801">
        <v>4.9904279999999996</v>
      </c>
      <c r="E5801">
        <v>0.40307229999999999</v>
      </c>
      <c r="F5801" t="s">
        <v>89</v>
      </c>
      <c r="G5801">
        <v>-240.84129999999999</v>
      </c>
      <c r="H5801" s="1">
        <v>-3.4049699999999998E-7</v>
      </c>
      <c r="I5801">
        <v>-56.373339999999999</v>
      </c>
      <c r="J5801">
        <v>-258.2355</v>
      </c>
      <c r="K5801">
        <v>1.1043989999999999</v>
      </c>
      <c r="L5801">
        <v>-61.903230000000001</v>
      </c>
      <c r="M5801">
        <v>0.99984119999999999</v>
      </c>
      <c r="N5801">
        <v>0</v>
      </c>
      <c r="O5801">
        <v>-1.1546560000000001E-2</v>
      </c>
      <c r="P5801">
        <v>0.999171699999999</v>
      </c>
      <c r="Q5801">
        <v>2.6459659999999999E-2</v>
      </c>
      <c r="R5801">
        <v>3.0917900000000002E-2</v>
      </c>
      <c r="S5801">
        <v>2.9877319999999998</v>
      </c>
      <c r="T5801">
        <v>-0.17271539999999999</v>
      </c>
      <c r="U5801">
        <v>0.86187739999999902</v>
      </c>
      <c r="V5801">
        <v>-4.2452070000000001E-2</v>
      </c>
      <c r="W5801">
        <v>4.0020090000000001E-2</v>
      </c>
      <c r="X5801">
        <v>0.99829669999999904</v>
      </c>
      <c r="Y5801">
        <v>-0.28778500000000001</v>
      </c>
      <c r="Z5801">
        <v>8.7995090000000005E-3</v>
      </c>
      <c r="AA5801">
        <v>0.95765460000000002</v>
      </c>
      <c r="AB5801">
        <v>28</v>
      </c>
      <c r="AC5801">
        <v>17.394200000000001</v>
      </c>
      <c r="AD5801">
        <v>-1.1043993404969901</v>
      </c>
      <c r="AE5801">
        <v>5.52989</v>
      </c>
      <c r="AF5801">
        <v>-5.7094791915211802</v>
      </c>
      <c r="AG5801">
        <v>-1.1043993404969901</v>
      </c>
      <c r="AH5801">
        <v>17.265968270812401</v>
      </c>
      <c r="AI5801">
        <v>93.475288484576197</v>
      </c>
      <c r="AJ5801">
        <v>108.29792444662201</v>
      </c>
      <c r="AK5801">
        <v>18.218987646694401</v>
      </c>
    </row>
    <row r="5802" spans="1:37" x14ac:dyDescent="0.2">
      <c r="A5802" t="str">
        <f>"20200111160016291"</f>
        <v>20200111160016291</v>
      </c>
      <c r="B5802" t="str">
        <f>"1578729616286895"</f>
        <v>1578729616286895</v>
      </c>
      <c r="C5802" t="s">
        <v>37</v>
      </c>
      <c r="D5802">
        <v>5.0173009999999998</v>
      </c>
      <c r="E5802">
        <v>0.42897420000000003</v>
      </c>
      <c r="F5802" t="s">
        <v>89</v>
      </c>
      <c r="G5802">
        <v>-240.15029999999999</v>
      </c>
      <c r="H5802" s="1">
        <v>-6.0914429999999997E-8</v>
      </c>
      <c r="I5802">
        <v>-56.540399999999998</v>
      </c>
      <c r="J5802">
        <v>-258.09339999999997</v>
      </c>
      <c r="K5802">
        <v>1.1044049999999901</v>
      </c>
      <c r="L5802">
        <v>-61.904879999999999</v>
      </c>
      <c r="M5802">
        <v>0.999839699999999</v>
      </c>
      <c r="N5802">
        <v>0</v>
      </c>
      <c r="O5802">
        <v>-1.1547089999999999E-2</v>
      </c>
      <c r="P5802">
        <v>0.99917099999999903</v>
      </c>
      <c r="Q5802">
        <v>2.582767E-2</v>
      </c>
      <c r="R5802">
        <v>3.1473420000000002E-2</v>
      </c>
      <c r="S5802">
        <v>2.9799349999999998</v>
      </c>
      <c r="T5802">
        <v>-0.18197439999999901</v>
      </c>
      <c r="U5802">
        <v>0.88363649999999905</v>
      </c>
      <c r="V5802">
        <v>-4.300847E-2</v>
      </c>
      <c r="W5802">
        <v>3.9502179999999998E-2</v>
      </c>
      <c r="X5802">
        <v>0.99829349999999994</v>
      </c>
      <c r="Y5802">
        <v>-0.2948209</v>
      </c>
      <c r="Z5802">
        <v>9.4945489999999997E-3</v>
      </c>
      <c r="AA5802">
        <v>0.95550539999999995</v>
      </c>
      <c r="AB5802">
        <v>28</v>
      </c>
      <c r="AC5802">
        <v>17.943099999999902</v>
      </c>
      <c r="AD5802">
        <v>-1.10440506091442</v>
      </c>
      <c r="AE5802">
        <v>5.3644800000000004</v>
      </c>
      <c r="AF5802">
        <v>-5.5520245023094699</v>
      </c>
      <c r="AG5802">
        <v>-1.10440506091442</v>
      </c>
      <c r="AH5802">
        <v>17.8179895726458</v>
      </c>
      <c r="AI5802">
        <v>93.386604931345303</v>
      </c>
      <c r="AJ5802">
        <v>107.30685521024</v>
      </c>
      <c r="AK5802">
        <v>18.695599456121599</v>
      </c>
    </row>
    <row r="5803" spans="1:37" x14ac:dyDescent="0.2">
      <c r="A5803" t="str">
        <f>"20200111160016302"</f>
        <v>20200111160016302</v>
      </c>
      <c r="B5803" t="str">
        <f>"1578729616296654"</f>
        <v>1578729616296654</v>
      </c>
      <c r="C5803" t="s">
        <v>37</v>
      </c>
      <c r="D5803">
        <v>5.0172619999999997</v>
      </c>
      <c r="E5803">
        <v>0.43052770000000001</v>
      </c>
      <c r="F5803" t="s">
        <v>90</v>
      </c>
      <c r="G5803">
        <v>-233.11359999999999</v>
      </c>
      <c r="H5803" s="1">
        <v>-1.1453230000000001E-6</v>
      </c>
      <c r="I5803">
        <v>-56.254750000000001</v>
      </c>
      <c r="J5803">
        <v>-257.95190000000002</v>
      </c>
      <c r="K5803">
        <v>1.1044129999999901</v>
      </c>
      <c r="L5803">
        <v>-61.906489999999998</v>
      </c>
      <c r="M5803">
        <v>0.99983820000000001</v>
      </c>
      <c r="N5803">
        <v>0</v>
      </c>
      <c r="O5803">
        <v>-1.1547699999999999E-2</v>
      </c>
      <c r="P5803">
        <v>0.99918850000000003</v>
      </c>
      <c r="Q5803">
        <v>2.4982290000000001E-2</v>
      </c>
      <c r="R5803">
        <v>3.1600999999999997E-2</v>
      </c>
      <c r="S5803">
        <v>2.9846339999999998</v>
      </c>
      <c r="T5803">
        <v>-0.1319562</v>
      </c>
      <c r="U5803">
        <v>0.67507930000000005</v>
      </c>
      <c r="V5803">
        <v>-4.3136809999999998E-2</v>
      </c>
      <c r="W5803">
        <v>3.8764130000000001E-2</v>
      </c>
      <c r="X5803">
        <v>0.99831689999999995</v>
      </c>
      <c r="Y5803">
        <v>-0.23163549999999999</v>
      </c>
      <c r="Z5803">
        <v>5.5584140000000002E-3</v>
      </c>
      <c r="AA5803">
        <v>0.97278679999999995</v>
      </c>
      <c r="AB5803">
        <v>28</v>
      </c>
      <c r="AC5803">
        <v>24.8383</v>
      </c>
      <c r="AD5803">
        <v>-1.1044141453229901</v>
      </c>
      <c r="AE5803">
        <v>5.6517400000000002</v>
      </c>
      <c r="AF5803">
        <v>-5.9270742625389001</v>
      </c>
      <c r="AG5803">
        <v>-1.1044141453229901</v>
      </c>
      <c r="AH5803">
        <v>24.7248964106656</v>
      </c>
      <c r="AI5803">
        <v>92.487218635388899</v>
      </c>
      <c r="AJ5803">
        <v>103.480611656888</v>
      </c>
      <c r="AK5803">
        <v>25.449370177593501</v>
      </c>
    </row>
    <row r="5804" spans="1:37" x14ac:dyDescent="0.2">
      <c r="A5804" t="str">
        <f>"20200111160016313"</f>
        <v>20200111160016313</v>
      </c>
      <c r="B5804" t="str">
        <f>"1578729616306414"</f>
        <v>1578729616306414</v>
      </c>
      <c r="C5804" t="s">
        <v>37</v>
      </c>
      <c r="D5804">
        <v>5.1193879999999998</v>
      </c>
      <c r="E5804">
        <v>0.43269750000000001</v>
      </c>
      <c r="F5804" t="s">
        <v>90</v>
      </c>
      <c r="G5804">
        <v>-233.91329999999999</v>
      </c>
      <c r="H5804" s="1">
        <v>-1.3431069999999899E-6</v>
      </c>
      <c r="I5804">
        <v>-56.566069999999897</v>
      </c>
      <c r="J5804">
        <v>-257.815</v>
      </c>
      <c r="K5804">
        <v>1.1044209999999901</v>
      </c>
      <c r="L5804">
        <v>-61.908079999999998</v>
      </c>
      <c r="M5804">
        <v>0.99983699999999998</v>
      </c>
      <c r="N5804">
        <v>0</v>
      </c>
      <c r="O5804">
        <v>-1.1540659999999999E-2</v>
      </c>
      <c r="P5804">
        <v>0.99920699999999996</v>
      </c>
      <c r="Q5804">
        <v>2.405434E-2</v>
      </c>
      <c r="R5804">
        <v>3.1732490000000002E-2</v>
      </c>
      <c r="S5804">
        <v>2.9848939999999899</v>
      </c>
      <c r="T5804">
        <v>-0.13713599999999901</v>
      </c>
      <c r="U5804">
        <v>0.6631165</v>
      </c>
      <c r="V5804">
        <v>-4.326149E-2</v>
      </c>
      <c r="W5804">
        <v>3.7930749999999999E-2</v>
      </c>
      <c r="X5804">
        <v>0.99834349999999905</v>
      </c>
      <c r="Y5804">
        <v>-0.227882</v>
      </c>
      <c r="Z5804">
        <v>5.69293199999999E-3</v>
      </c>
      <c r="AA5804">
        <v>0.97367209999999904</v>
      </c>
      <c r="AB5804">
        <v>28</v>
      </c>
      <c r="AC5804">
        <v>23.901700000000002</v>
      </c>
      <c r="AD5804">
        <v>-1.1044223431069999</v>
      </c>
      <c r="AE5804">
        <v>5.3420100000000001</v>
      </c>
      <c r="AF5804">
        <v>-5.6061221343307404</v>
      </c>
      <c r="AG5804">
        <v>-1.1044223431069999</v>
      </c>
      <c r="AH5804">
        <v>23.7900746501711</v>
      </c>
      <c r="AI5804">
        <v>92.587207442041105</v>
      </c>
      <c r="AJ5804">
        <v>103.259818832825</v>
      </c>
      <c r="AK5804">
        <v>24.466630457782699</v>
      </c>
    </row>
    <row r="5805" spans="1:37" x14ac:dyDescent="0.2">
      <c r="A5805" t="str">
        <f>"20200111160016323"</f>
        <v>20200111160016323</v>
      </c>
      <c r="B5805" t="str">
        <f>"1578729616317150"</f>
        <v>1578729616317150</v>
      </c>
      <c r="C5805" t="s">
        <v>37</v>
      </c>
      <c r="D5805">
        <v>5.0429219999999999</v>
      </c>
      <c r="E5805">
        <v>0.43268059999999903</v>
      </c>
      <c r="F5805" t="s">
        <v>90</v>
      </c>
      <c r="G5805">
        <v>-232.98859999999999</v>
      </c>
      <c r="H5805" s="1">
        <v>-1.0276379999999999E-6</v>
      </c>
      <c r="I5805">
        <v>-56.537149999999997</v>
      </c>
      <c r="J5805">
        <v>-257.68150000000003</v>
      </c>
      <c r="K5805">
        <v>1.1044290000000001</v>
      </c>
      <c r="L5805">
        <v>-61.909610000000001</v>
      </c>
      <c r="M5805">
        <v>0.99983569999999999</v>
      </c>
      <c r="N5805">
        <v>0</v>
      </c>
      <c r="O5805">
        <v>-1.1531309999999999E-2</v>
      </c>
      <c r="P5805">
        <v>0.99922350000000004</v>
      </c>
      <c r="Q5805">
        <v>2.3122179999999999E-2</v>
      </c>
      <c r="R5805">
        <v>3.190668E-2</v>
      </c>
      <c r="S5805">
        <v>2.985077</v>
      </c>
      <c r="T5805">
        <v>-0.13279349999999901</v>
      </c>
      <c r="U5805">
        <v>0.64578250000000004</v>
      </c>
      <c r="V5805">
        <v>-4.3427090000000002E-2</v>
      </c>
      <c r="W5805">
        <v>3.7087340000000003E-2</v>
      </c>
      <c r="X5805">
        <v>0.99836800000000003</v>
      </c>
      <c r="Y5805">
        <v>-0.22248200000000001</v>
      </c>
      <c r="Z5805">
        <v>5.3967900000000003E-3</v>
      </c>
      <c r="AA5805">
        <v>0.97492190000000001</v>
      </c>
      <c r="AB5805">
        <v>28</v>
      </c>
      <c r="AC5805">
        <v>24.692900000000002</v>
      </c>
      <c r="AD5805">
        <v>-1.1044300276379999</v>
      </c>
      <c r="AE5805">
        <v>5.3724600000000002</v>
      </c>
      <c r="AF5805">
        <v>-5.6460877301139298</v>
      </c>
      <c r="AG5805">
        <v>-1.1044300276379999</v>
      </c>
      <c r="AH5805">
        <v>24.582346725476999</v>
      </c>
      <c r="AI5805">
        <v>92.507245634106397</v>
      </c>
      <c r="AJ5805">
        <v>102.935381555631</v>
      </c>
      <c r="AK5805">
        <v>25.246580815501702</v>
      </c>
    </row>
    <row r="5806" spans="1:37" x14ac:dyDescent="0.2">
      <c r="A5806" t="str">
        <f>"20200111160016334"</f>
        <v>20200111160016334</v>
      </c>
      <c r="B5806" t="str">
        <f>"1578729616326910"</f>
        <v>1578729616326910</v>
      </c>
      <c r="C5806" t="s">
        <v>37</v>
      </c>
      <c r="D5806">
        <v>4.9686649999999997</v>
      </c>
      <c r="E5806">
        <v>0.43176439999999999</v>
      </c>
      <c r="F5806" t="s">
        <v>90</v>
      </c>
      <c r="G5806">
        <v>-234.2739</v>
      </c>
      <c r="H5806" s="1">
        <v>-1.449667E-6</v>
      </c>
      <c r="I5806">
        <v>-56.837490000000003</v>
      </c>
      <c r="J5806">
        <v>-257.55020000000002</v>
      </c>
      <c r="K5806">
        <v>1.1044419999999999</v>
      </c>
      <c r="L5806">
        <v>-61.911069999999903</v>
      </c>
      <c r="M5806">
        <v>0.99983500000000003</v>
      </c>
      <c r="N5806">
        <v>0</v>
      </c>
      <c r="O5806">
        <v>-1.150196E-2</v>
      </c>
      <c r="P5806">
        <v>0.99923189999999995</v>
      </c>
      <c r="Q5806">
        <v>2.2491480000000001E-2</v>
      </c>
      <c r="R5806">
        <v>3.2093539999999997E-2</v>
      </c>
      <c r="S5806">
        <v>2.9849399999999999</v>
      </c>
      <c r="T5806">
        <v>-0.140837299999999</v>
      </c>
      <c r="U5806">
        <v>0.64678959999999996</v>
      </c>
      <c r="V5806">
        <v>-4.3586050000000001E-2</v>
      </c>
      <c r="W5806">
        <v>3.653315E-2</v>
      </c>
      <c r="X5806">
        <v>0.99838150000000003</v>
      </c>
      <c r="Y5806">
        <v>-0.2227489</v>
      </c>
      <c r="Z5806">
        <v>5.7282629999999999E-3</v>
      </c>
      <c r="AA5806">
        <v>0.97485900000000003</v>
      </c>
      <c r="AB5806">
        <v>28</v>
      </c>
      <c r="AC5806">
        <v>23.276299999999999</v>
      </c>
      <c r="AD5806">
        <v>-1.1044434496669999</v>
      </c>
      <c r="AE5806">
        <v>5.07357999999999</v>
      </c>
      <c r="AF5806">
        <v>-5.3295389939207798</v>
      </c>
      <c r="AG5806">
        <v>-1.1044434496669999</v>
      </c>
      <c r="AH5806">
        <v>23.166605747225699</v>
      </c>
      <c r="AI5806">
        <v>92.660069343036298</v>
      </c>
      <c r="AJ5806">
        <v>102.955629424664</v>
      </c>
      <c r="AK5806">
        <v>23.7973822734482</v>
      </c>
    </row>
    <row r="5807" spans="1:37" x14ac:dyDescent="0.2">
      <c r="A5807" t="str">
        <f>"20200111160016347"</f>
        <v>20200111160016347</v>
      </c>
      <c r="B5807" t="str">
        <f>"1578729616336670"</f>
        <v>1578729616336670</v>
      </c>
      <c r="C5807" t="s">
        <v>37</v>
      </c>
      <c r="D5807">
        <v>5.021808</v>
      </c>
      <c r="E5807">
        <v>0.43181000000000003</v>
      </c>
      <c r="F5807" t="s">
        <v>90</v>
      </c>
      <c r="G5807">
        <v>-235.4383</v>
      </c>
      <c r="H5807" s="1">
        <v>-1.9101179999999998E-6</v>
      </c>
      <c r="I5807">
        <v>-57.057740000000003</v>
      </c>
      <c r="J5807">
        <v>-257.39729999999997</v>
      </c>
      <c r="K5807">
        <v>1.104463</v>
      </c>
      <c r="L5807">
        <v>-61.91281</v>
      </c>
      <c r="M5807">
        <v>0.99983429999999995</v>
      </c>
      <c r="N5807">
        <v>0</v>
      </c>
      <c r="O5807">
        <v>-1.145912E-2</v>
      </c>
      <c r="P5807">
        <v>0.99922409999999995</v>
      </c>
      <c r="Q5807">
        <v>2.2424159999999999E-2</v>
      </c>
      <c r="R5807">
        <v>3.238564E-2</v>
      </c>
      <c r="S5807">
        <v>2.9846499999999998</v>
      </c>
      <c r="T5807">
        <v>-0.14907699999999999</v>
      </c>
      <c r="U5807">
        <v>0.65509030000000001</v>
      </c>
      <c r="V5807">
        <v>-4.3836899999999998E-2</v>
      </c>
      <c r="W5807">
        <v>3.6551739999999999E-2</v>
      </c>
      <c r="X5807">
        <v>0.99836979999999997</v>
      </c>
      <c r="Y5807">
        <v>-0.22528139999999999</v>
      </c>
      <c r="Z5807">
        <v>6.1221569999999996E-3</v>
      </c>
      <c r="AA5807">
        <v>0.97427450000000004</v>
      </c>
      <c r="AB5807">
        <v>28</v>
      </c>
      <c r="AC5807">
        <v>21.9589999999999</v>
      </c>
      <c r="AD5807">
        <v>-1.104464910118</v>
      </c>
      <c r="AE5807">
        <v>4.8550699999999898</v>
      </c>
      <c r="AF5807">
        <v>-5.09412086920777</v>
      </c>
      <c r="AG5807">
        <v>-1.104464910118</v>
      </c>
      <c r="AH5807">
        <v>21.849220369499001</v>
      </c>
      <c r="AI5807">
        <v>92.8183440603527</v>
      </c>
      <c r="AJ5807">
        <v>103.12399821405801</v>
      </c>
      <c r="AK5807">
        <v>22.462376119251299</v>
      </c>
    </row>
    <row r="5808" spans="1:37" x14ac:dyDescent="0.2">
      <c r="A5808" t="str">
        <f>"20200111160016358"</f>
        <v>20200111160016358</v>
      </c>
      <c r="B5808" t="str">
        <f>"1578729616346430"</f>
        <v>1578729616346430</v>
      </c>
      <c r="C5808" t="s">
        <v>37</v>
      </c>
      <c r="D5808">
        <v>5.0606720000000003</v>
      </c>
      <c r="E5808">
        <v>0.43172739999999998</v>
      </c>
      <c r="F5808" t="s">
        <v>90</v>
      </c>
      <c r="G5808">
        <v>-234.94880000000001</v>
      </c>
      <c r="H5808" s="1">
        <v>-1.713523E-6</v>
      </c>
      <c r="I5808">
        <v>-56.98216</v>
      </c>
      <c r="J5808">
        <v>-257.25060000000002</v>
      </c>
      <c r="K5808">
        <v>1.1044959999999999</v>
      </c>
      <c r="L5808">
        <v>-61.914459999999998</v>
      </c>
      <c r="M5808">
        <v>0.99983409999999995</v>
      </c>
      <c r="N5808">
        <v>0</v>
      </c>
      <c r="O5808">
        <v>-1.1384190000000001E-2</v>
      </c>
      <c r="P5808">
        <v>0.99921450000000001</v>
      </c>
      <c r="Q5808">
        <v>2.269643E-2</v>
      </c>
      <c r="R5808">
        <v>3.2480799999999997E-2</v>
      </c>
      <c r="S5808">
        <v>2.984375</v>
      </c>
      <c r="T5808">
        <v>-0.14683089999999999</v>
      </c>
      <c r="U5808">
        <v>0.65548709999999999</v>
      </c>
      <c r="V5808">
        <v>-4.3859189999999999E-2</v>
      </c>
      <c r="W5808">
        <v>3.689626E-2</v>
      </c>
      <c r="X5808">
        <v>0.99835620000000003</v>
      </c>
      <c r="Y5808">
        <v>-0.22535909999999901</v>
      </c>
      <c r="Z5808">
        <v>6.0287279999999997E-3</v>
      </c>
      <c r="AA5808">
        <v>0.97425709999999999</v>
      </c>
      <c r="AB5808">
        <v>28</v>
      </c>
      <c r="AC5808">
        <v>22.3018</v>
      </c>
      <c r="AD5808">
        <v>-1.1044977135230001</v>
      </c>
      <c r="AE5808">
        <v>4.9322999999999899</v>
      </c>
      <c r="AF5808">
        <v>-5.1737957346069603</v>
      </c>
      <c r="AG5808">
        <v>-1.1044977135230001</v>
      </c>
      <c r="AH5808">
        <v>22.192305085582198</v>
      </c>
      <c r="AI5808">
        <v>92.774933128739903</v>
      </c>
      <c r="AJ5808">
        <v>103.12322701030099</v>
      </c>
      <c r="AK5808">
        <v>22.814172843085299</v>
      </c>
    </row>
    <row r="5809" spans="1:37" x14ac:dyDescent="0.2">
      <c r="A5809" t="str">
        <f>"20200111160016369"</f>
        <v>20200111160016369</v>
      </c>
      <c r="B5809" t="str">
        <f>"1578729616366926"</f>
        <v>1578729616366926</v>
      </c>
      <c r="C5809" t="s">
        <v>37</v>
      </c>
      <c r="D5809">
        <v>5.2251810000000001</v>
      </c>
      <c r="E5809">
        <v>0.43212460000000003</v>
      </c>
      <c r="F5809" t="s">
        <v>90</v>
      </c>
      <c r="G5809">
        <v>-234.4375</v>
      </c>
      <c r="H5809" s="1">
        <v>-1.5093229999999899E-6</v>
      </c>
      <c r="I5809">
        <v>-56.896839999999997</v>
      </c>
      <c r="J5809">
        <v>-257.11849999999998</v>
      </c>
      <c r="K5809">
        <v>1.1045259999999999</v>
      </c>
      <c r="L5809">
        <v>-61.915859999999903</v>
      </c>
      <c r="M5809">
        <v>0.99983409999999995</v>
      </c>
      <c r="N5809">
        <v>0</v>
      </c>
      <c r="O5809">
        <v>-1.1300340000000001E-2</v>
      </c>
      <c r="P5809">
        <v>0.99920209999999998</v>
      </c>
      <c r="Q5809">
        <v>2.2972059999999999E-2</v>
      </c>
      <c r="R5809">
        <v>3.2673479999999998E-2</v>
      </c>
      <c r="S5809">
        <v>2.984299</v>
      </c>
      <c r="T5809">
        <v>-0.1444849</v>
      </c>
      <c r="U5809">
        <v>0.65637209999999901</v>
      </c>
      <c r="V5809">
        <v>-4.3970990000000001E-2</v>
      </c>
      <c r="W5809">
        <v>3.7233160000000001E-2</v>
      </c>
      <c r="X5809">
        <v>0.99833879999999997</v>
      </c>
      <c r="Y5809">
        <v>-0.22556679999999901</v>
      </c>
      <c r="Z5809">
        <v>5.9334280000000001E-3</v>
      </c>
      <c r="AA5809">
        <v>0.97420969999999996</v>
      </c>
      <c r="AB5809">
        <v>28</v>
      </c>
      <c r="AC5809">
        <v>22.680999999999901</v>
      </c>
      <c r="AD5809">
        <v>-1.104527509323</v>
      </c>
      <c r="AE5809">
        <v>5.0190199999999896</v>
      </c>
      <c r="AF5809">
        <v>-5.2631296340875897</v>
      </c>
      <c r="AG5809">
        <v>-1.104527509323</v>
      </c>
      <c r="AH5809">
        <v>22.571798262101801</v>
      </c>
      <c r="AI5809">
        <v>92.728400583597804</v>
      </c>
      <c r="AJ5809">
        <v>103.125299590324</v>
      </c>
      <c r="AK5809">
        <v>23.203590053030201</v>
      </c>
    </row>
    <row r="5810" spans="1:37" x14ac:dyDescent="0.2">
      <c r="A5810" t="str">
        <f>"20200111160016380"</f>
        <v>20200111160016380</v>
      </c>
      <c r="B5810" t="str">
        <f>"1578729616376686"</f>
        <v>1578729616376686</v>
      </c>
      <c r="C5810" t="s">
        <v>37</v>
      </c>
      <c r="D5810">
        <v>5.0218800000000003</v>
      </c>
      <c r="E5810">
        <v>0.43218309999999999</v>
      </c>
      <c r="F5810" t="s">
        <v>90</v>
      </c>
      <c r="G5810">
        <v>-232.91489999999999</v>
      </c>
      <c r="H5810" s="1">
        <v>-9.8145759999999998E-7</v>
      </c>
      <c r="I5810">
        <v>-56.6164699999999</v>
      </c>
      <c r="J5810">
        <v>-256.97899999999998</v>
      </c>
      <c r="K5810">
        <v>1.1045700000000001</v>
      </c>
      <c r="L5810">
        <v>-61.917359999999903</v>
      </c>
      <c r="M5810">
        <v>0.99983449999999996</v>
      </c>
      <c r="N5810">
        <v>0</v>
      </c>
      <c r="O5810">
        <v>-1.1186659999999999E-2</v>
      </c>
      <c r="P5810">
        <v>0.99919169999999902</v>
      </c>
      <c r="Q5810">
        <v>2.2952960000000001E-2</v>
      </c>
      <c r="R5810">
        <v>3.3005300000000001E-2</v>
      </c>
      <c r="S5810">
        <v>2.98419199999999</v>
      </c>
      <c r="T5810">
        <v>-0.13618279999999999</v>
      </c>
      <c r="U5810">
        <v>0.65338130000000005</v>
      </c>
      <c r="V5810">
        <v>-4.4192769999999999E-2</v>
      </c>
      <c r="W5810">
        <v>3.7272710000000001E-2</v>
      </c>
      <c r="X5810">
        <v>0.99832749999999904</v>
      </c>
      <c r="Y5810">
        <v>-0.22456219999999999</v>
      </c>
      <c r="Z5810">
        <v>5.5658640000000002E-3</v>
      </c>
      <c r="AA5810">
        <v>0.97444390000000003</v>
      </c>
      <c r="AB5810">
        <v>28</v>
      </c>
      <c r="AC5810">
        <v>24.0641</v>
      </c>
      <c r="AD5810">
        <v>-1.1045709814575999</v>
      </c>
      <c r="AE5810">
        <v>5.3008899999999999</v>
      </c>
      <c r="AF5810">
        <v>-5.5586132960220596</v>
      </c>
      <c r="AG5810">
        <v>-1.1045709814575999</v>
      </c>
      <c r="AH5810">
        <v>23.955152743974001</v>
      </c>
      <c r="AI5810">
        <v>92.571801258250602</v>
      </c>
      <c r="AJ5810">
        <v>103.063861228863</v>
      </c>
      <c r="AK5810">
        <v>24.616409198234301</v>
      </c>
    </row>
    <row r="5811" spans="1:37" x14ac:dyDescent="0.2">
      <c r="A5811" t="str">
        <f>"20200111160016392"</f>
        <v>20200111160016392</v>
      </c>
      <c r="B5811" t="str">
        <f>"1578729616386446"</f>
        <v>1578729616386446</v>
      </c>
      <c r="C5811" t="s">
        <v>37</v>
      </c>
      <c r="D5811">
        <v>5.0419919999999996</v>
      </c>
      <c r="E5811">
        <v>0.4322782</v>
      </c>
      <c r="F5811" t="s">
        <v>90</v>
      </c>
      <c r="G5811">
        <v>-232.60499999999999</v>
      </c>
      <c r="H5811" s="1">
        <v>-8.8670519999999898E-7</v>
      </c>
      <c r="I5811">
        <v>-56.576209999999897</v>
      </c>
      <c r="J5811">
        <v>-256.8381</v>
      </c>
      <c r="K5811">
        <v>1.1046240000000001</v>
      </c>
      <c r="L5811">
        <v>-61.918790000000001</v>
      </c>
      <c r="M5811">
        <v>0.99983539999999904</v>
      </c>
      <c r="N5811">
        <v>0</v>
      </c>
      <c r="O5811">
        <v>-1.103575E-2</v>
      </c>
      <c r="P5811">
        <v>0.99917409999999995</v>
      </c>
      <c r="Q5811">
        <v>2.3175689999999999E-2</v>
      </c>
      <c r="R5811">
        <v>3.3382700000000001E-2</v>
      </c>
      <c r="S5811">
        <v>2.9839319999999998</v>
      </c>
      <c r="T5811">
        <v>-0.1352245</v>
      </c>
      <c r="U5811">
        <v>0.65386959999999905</v>
      </c>
      <c r="V5811">
        <v>-4.4423190000000001E-2</v>
      </c>
      <c r="W5811">
        <v>3.7548600000000001E-2</v>
      </c>
      <c r="X5811">
        <v>0.9983069</v>
      </c>
      <c r="Y5811">
        <v>-0.2245885</v>
      </c>
      <c r="Z5811">
        <v>5.5209409999999997E-3</v>
      </c>
      <c r="AA5811">
        <v>0.97443809999999997</v>
      </c>
      <c r="AB5811">
        <v>28</v>
      </c>
      <c r="AC5811">
        <v>24.2331</v>
      </c>
      <c r="AD5811">
        <v>-1.1046248867052</v>
      </c>
      <c r="AE5811">
        <v>5.3425799999999999</v>
      </c>
      <c r="AF5811">
        <v>-5.5986189550872796</v>
      </c>
      <c r="AG5811">
        <v>-1.1046248867052</v>
      </c>
      <c r="AH5811">
        <v>24.124854499320101</v>
      </c>
      <c r="AI5811">
        <v>92.553844291307598</v>
      </c>
      <c r="AJ5811">
        <v>103.06527568879299</v>
      </c>
      <c r="AK5811">
        <v>24.790589645225399</v>
      </c>
    </row>
    <row r="5812" spans="1:37" x14ac:dyDescent="0.2">
      <c r="A5812" t="str">
        <f>"20200111160016402"</f>
        <v>20200111160016402</v>
      </c>
      <c r="B5812" t="str">
        <f>"1578729616397182"</f>
        <v>1578729616397182</v>
      </c>
      <c r="C5812" t="s">
        <v>37</v>
      </c>
      <c r="D5812">
        <v>5.0290549999999996</v>
      </c>
      <c r="E5812">
        <v>0.43234799999999901</v>
      </c>
      <c r="F5812" t="s">
        <v>90</v>
      </c>
      <c r="G5812">
        <v>-232.42230000000001</v>
      </c>
      <c r="H5812" s="1">
        <v>-8.2761290000000002E-7</v>
      </c>
      <c r="I5812">
        <v>-56.5646699999999</v>
      </c>
      <c r="J5812">
        <v>-256.70409999999998</v>
      </c>
      <c r="K5812">
        <v>1.1046750000000001</v>
      </c>
      <c r="L5812">
        <v>-61.920099999999998</v>
      </c>
      <c r="M5812">
        <v>0.99983630000000001</v>
      </c>
      <c r="N5812">
        <v>0</v>
      </c>
      <c r="O5812">
        <v>-1.087022E-2</v>
      </c>
      <c r="P5812">
        <v>0.99915520000000002</v>
      </c>
      <c r="Q5812">
        <v>2.339041E-2</v>
      </c>
      <c r="R5812">
        <v>3.3791130000000003E-2</v>
      </c>
      <c r="S5812">
        <v>2.983749</v>
      </c>
      <c r="T5812">
        <v>-0.13499159999999999</v>
      </c>
      <c r="U5812">
        <v>0.65429689999999996</v>
      </c>
      <c r="V5812">
        <v>-4.4670269999999998E-2</v>
      </c>
      <c r="W5812">
        <v>3.7810669999999998E-2</v>
      </c>
      <c r="X5812">
        <v>0.99828600000000001</v>
      </c>
      <c r="Y5812">
        <v>-0.22457369999999999</v>
      </c>
      <c r="Z5812">
        <v>5.5039540000000001E-3</v>
      </c>
      <c r="AA5812">
        <v>0.97444159999999902</v>
      </c>
      <c r="AB5812">
        <v>28</v>
      </c>
      <c r="AC5812">
        <v>24.281799999999901</v>
      </c>
      <c r="AD5812">
        <v>-1.1046758276128901</v>
      </c>
      <c r="AE5812">
        <v>5.3554300000000001</v>
      </c>
      <c r="AF5812">
        <v>-5.6080211223261101</v>
      </c>
      <c r="AG5812">
        <v>-1.1046758276128901</v>
      </c>
      <c r="AH5812">
        <v>24.1744313279697</v>
      </c>
      <c r="AI5812">
        <v>92.5487799214457</v>
      </c>
      <c r="AJ5812">
        <v>103.060545877789</v>
      </c>
      <c r="AK5812">
        <v>24.8409609239113</v>
      </c>
    </row>
    <row r="5813" spans="1:37" x14ac:dyDescent="0.2">
      <c r="A5813" t="str">
        <f>"20200111160016413"</f>
        <v>20200111160016413</v>
      </c>
      <c r="B5813" t="str">
        <f>"1578729616406942"</f>
        <v>1578729616406942</v>
      </c>
      <c r="C5813" t="s">
        <v>37</v>
      </c>
      <c r="D5813">
        <v>5.1010349999999898</v>
      </c>
      <c r="E5813">
        <v>0.4324344</v>
      </c>
      <c r="F5813" t="s">
        <v>90</v>
      </c>
      <c r="G5813">
        <v>-231.8305</v>
      </c>
      <c r="H5813" s="1">
        <v>-6.5405050000000002E-7</v>
      </c>
      <c r="I5813">
        <v>-56.460079999999998</v>
      </c>
      <c r="J5813">
        <v>-256.56939999999997</v>
      </c>
      <c r="K5813">
        <v>1.1047370000000001</v>
      </c>
      <c r="L5813">
        <v>-61.921390000000002</v>
      </c>
      <c r="M5813">
        <v>0.99983799999999901</v>
      </c>
      <c r="N5813">
        <v>0</v>
      </c>
      <c r="O5813">
        <v>-1.064491E-2</v>
      </c>
      <c r="P5813">
        <v>0.999138999999999</v>
      </c>
      <c r="Q5813">
        <v>2.3229340000000001E-2</v>
      </c>
      <c r="R5813">
        <v>3.4375269999999999E-2</v>
      </c>
      <c r="S5813">
        <v>2.9835210000000001</v>
      </c>
      <c r="T5813">
        <v>-0.132502799999999</v>
      </c>
      <c r="U5813">
        <v>0.65490719999999902</v>
      </c>
      <c r="V5813">
        <v>-4.5034159999999997E-2</v>
      </c>
      <c r="W5813">
        <v>3.7690120000000001E-2</v>
      </c>
      <c r="X5813">
        <v>0.9982742</v>
      </c>
      <c r="Y5813">
        <v>-0.22456860000000001</v>
      </c>
      <c r="Z5813">
        <v>5.3928619999999896E-3</v>
      </c>
      <c r="AA5813">
        <v>0.97444339999999996</v>
      </c>
      <c r="AB5813">
        <v>28</v>
      </c>
      <c r="AC5813">
        <v>24.738899999999902</v>
      </c>
      <c r="AD5813">
        <v>-1.1047376540504901</v>
      </c>
      <c r="AE5813">
        <v>5.4613099999999903</v>
      </c>
      <c r="AF5813">
        <v>-5.7135074805013799</v>
      </c>
      <c r="AG5813">
        <v>-1.1047376540504901</v>
      </c>
      <c r="AH5813">
        <v>24.632518470147499</v>
      </c>
      <c r="AI5813">
        <v>92.501598699801605</v>
      </c>
      <c r="AJ5813">
        <v>103.058821152688</v>
      </c>
      <c r="AK5813">
        <v>25.310582355927298</v>
      </c>
    </row>
    <row r="5814" spans="1:37" x14ac:dyDescent="0.2">
      <c r="A5814" t="str">
        <f>"20200111160016424"</f>
        <v>20200111160016424</v>
      </c>
      <c r="B5814" t="str">
        <f>"1578729616416702"</f>
        <v>1578729616416702</v>
      </c>
      <c r="C5814" t="s">
        <v>37</v>
      </c>
      <c r="D5814">
        <v>4.3152999999999997</v>
      </c>
      <c r="E5814">
        <v>0.42985309999999999</v>
      </c>
      <c r="F5814" t="s">
        <v>90</v>
      </c>
      <c r="G5814">
        <v>-231.4427</v>
      </c>
      <c r="H5814" s="1">
        <v>-5.3873699999999999E-7</v>
      </c>
      <c r="I5814">
        <v>-56.397550000000003</v>
      </c>
      <c r="J5814">
        <v>-256.42939999999999</v>
      </c>
      <c r="K5814">
        <v>1.1048009999999999</v>
      </c>
      <c r="L5814">
        <v>-61.922640000000001</v>
      </c>
      <c r="M5814">
        <v>0.99984010000000001</v>
      </c>
      <c r="N5814">
        <v>0</v>
      </c>
      <c r="O5814">
        <v>-1.039473E-2</v>
      </c>
      <c r="P5814">
        <v>0.99911340000000004</v>
      </c>
      <c r="Q5814">
        <v>2.321602E-2</v>
      </c>
      <c r="R5814">
        <v>3.5121430000000002E-2</v>
      </c>
      <c r="S5814">
        <v>2.9830779999999999</v>
      </c>
      <c r="T5814">
        <v>-0.131156299999999</v>
      </c>
      <c r="U5814">
        <v>0.65579219999999905</v>
      </c>
      <c r="V5814">
        <v>-4.553629E-2</v>
      </c>
      <c r="W5814">
        <v>3.7717760000000003E-2</v>
      </c>
      <c r="X5814">
        <v>0.99825039999999998</v>
      </c>
      <c r="Y5814">
        <v>-0.22463539999999901</v>
      </c>
      <c r="Z5814">
        <v>5.3292959999999999E-3</v>
      </c>
      <c r="AA5814">
        <v>0.97442830000000002</v>
      </c>
      <c r="AB5814">
        <v>28</v>
      </c>
      <c r="AC5814">
        <v>24.9866999999999</v>
      </c>
      <c r="AD5814">
        <v>-1.1048015387369901</v>
      </c>
      <c r="AE5814">
        <v>5.5250899999999898</v>
      </c>
      <c r="AF5814">
        <v>-5.7737872647556099</v>
      </c>
      <c r="AG5814">
        <v>-1.1048015387369901</v>
      </c>
      <c r="AH5814">
        <v>24.8815355698156</v>
      </c>
      <c r="AI5814">
        <v>92.476681636591593</v>
      </c>
      <c r="AJ5814">
        <v>103.064328380329</v>
      </c>
      <c r="AK5814">
        <v>25.566540988773699</v>
      </c>
    </row>
    <row r="5815" spans="1:37" x14ac:dyDescent="0.2">
      <c r="A5815" t="str">
        <f>"20200111160016435"</f>
        <v>20200111160016435</v>
      </c>
      <c r="B5815" t="str">
        <f>"1578729616426462"</f>
        <v>1578729616426462</v>
      </c>
      <c r="C5815" t="s">
        <v>37</v>
      </c>
      <c r="D5815">
        <v>5.1376400000000002</v>
      </c>
      <c r="E5815">
        <v>0.43013439999999997</v>
      </c>
      <c r="F5815" t="s">
        <v>91</v>
      </c>
      <c r="G5815">
        <v>-229.7064</v>
      </c>
      <c r="H5815" s="1">
        <v>-4.2857310000000001E-6</v>
      </c>
      <c r="I5815">
        <v>-55.844099999999997</v>
      </c>
      <c r="J5815">
        <v>-256.30110000000002</v>
      </c>
      <c r="K5815">
        <v>1.10487</v>
      </c>
      <c r="L5815">
        <v>-61.923650000000002</v>
      </c>
      <c r="M5815">
        <v>0.99984269999999997</v>
      </c>
      <c r="N5815">
        <v>0</v>
      </c>
      <c r="O5815">
        <v>-1.0080520000000001E-2</v>
      </c>
      <c r="P5815">
        <v>0.99908999999999903</v>
      </c>
      <c r="Q5815">
        <v>2.299149E-2</v>
      </c>
      <c r="R5815">
        <v>3.593242E-2</v>
      </c>
      <c r="S5815">
        <v>2.9816590000000001</v>
      </c>
      <c r="T5815">
        <v>-0.12327059999999999</v>
      </c>
      <c r="U5815">
        <v>0.67822269999999996</v>
      </c>
      <c r="V5815">
        <v>-4.6038330000000002E-2</v>
      </c>
      <c r="W5815">
        <v>3.7524299999999997E-2</v>
      </c>
      <c r="X5815">
        <v>0.99823459999999997</v>
      </c>
      <c r="Y5815">
        <v>-0.23142219999999999</v>
      </c>
      <c r="Z5815">
        <v>5.1330569999999999E-3</v>
      </c>
      <c r="AA5815">
        <v>0.97283989999999998</v>
      </c>
      <c r="AB5815">
        <v>28</v>
      </c>
      <c r="AC5815">
        <v>26.5947</v>
      </c>
      <c r="AD5815">
        <v>-1.1048742857310001</v>
      </c>
      <c r="AE5815">
        <v>6.0795500000000002</v>
      </c>
      <c r="AF5815">
        <v>-6.3369637067010602</v>
      </c>
      <c r="AG5815">
        <v>-1.1048742857310001</v>
      </c>
      <c r="AH5815">
        <v>26.488608623787101</v>
      </c>
      <c r="AI5815">
        <v>92.323020265701899</v>
      </c>
      <c r="AJ5815">
        <v>103.454203073367</v>
      </c>
      <c r="AK5815">
        <v>27.258471032533802</v>
      </c>
    </row>
    <row r="5816" spans="1:37" x14ac:dyDescent="0.2">
      <c r="A5816" t="str">
        <f>"20200111160016445"</f>
        <v>20200111160016445</v>
      </c>
      <c r="B5816" t="str">
        <f>"1578729616437199"</f>
        <v>1578729616437199</v>
      </c>
      <c r="C5816" t="s">
        <v>37</v>
      </c>
      <c r="D5816">
        <v>4.4863249999999999</v>
      </c>
      <c r="E5816">
        <v>0.42831920000000001</v>
      </c>
      <c r="F5816" t="s">
        <v>91</v>
      </c>
      <c r="G5816">
        <v>-229.27459999999999</v>
      </c>
      <c r="H5816" s="1">
        <v>-4.1157499999999902E-6</v>
      </c>
      <c r="I5816">
        <v>-55.774999999999999</v>
      </c>
      <c r="J5816">
        <v>-256.16770000000002</v>
      </c>
      <c r="K5816">
        <v>1.104946</v>
      </c>
      <c r="L5816">
        <v>-61.92465</v>
      </c>
      <c r="M5816">
        <v>0.99984549999999905</v>
      </c>
      <c r="N5816">
        <v>0</v>
      </c>
      <c r="O5816">
        <v>-9.7426459999999902E-3</v>
      </c>
      <c r="P5816">
        <v>0.99905849999999996</v>
      </c>
      <c r="Q5816">
        <v>2.2942339999999999E-2</v>
      </c>
      <c r="R5816">
        <v>3.6824049999999997E-2</v>
      </c>
      <c r="S5816">
        <v>2.9811399999999999</v>
      </c>
      <c r="T5816">
        <v>-0.12187239999999901</v>
      </c>
      <c r="U5816">
        <v>0.67822269999999996</v>
      </c>
      <c r="V5816">
        <v>-4.6598609999999999E-2</v>
      </c>
      <c r="W5816">
        <v>3.7505709999999998E-2</v>
      </c>
      <c r="X5816">
        <v>0.99820940000000002</v>
      </c>
      <c r="Y5816">
        <v>-0.23113499999999901</v>
      </c>
      <c r="Z5816">
        <v>5.0563090000000002E-3</v>
      </c>
      <c r="AA5816">
        <v>0.97290859999999901</v>
      </c>
      <c r="AB5816">
        <v>28</v>
      </c>
      <c r="AC5816">
        <v>26.8931</v>
      </c>
      <c r="AD5816">
        <v>-1.1049501157499999</v>
      </c>
      <c r="AE5816">
        <v>6.1496500000000003</v>
      </c>
      <c r="AF5816">
        <v>-6.4011271550111299</v>
      </c>
      <c r="AG5816">
        <v>-1.1049501157499999</v>
      </c>
      <c r="AH5816">
        <v>26.788927334305502</v>
      </c>
      <c r="AI5816">
        <v>92.297312297527398</v>
      </c>
      <c r="AJ5816">
        <v>103.43865960702099</v>
      </c>
      <c r="AK5816">
        <v>27.5652312041023</v>
      </c>
    </row>
    <row r="5817" spans="1:37" x14ac:dyDescent="0.2">
      <c r="A5817" t="str">
        <f>"20200111160016456"</f>
        <v>20200111160016456</v>
      </c>
      <c r="B5817" t="str">
        <f>"1578729616446958"</f>
        <v>1578729616446958</v>
      </c>
      <c r="C5817" t="s">
        <v>37</v>
      </c>
      <c r="D5817">
        <v>4.4202050000000002</v>
      </c>
      <c r="E5817">
        <v>0.42587970000000003</v>
      </c>
      <c r="F5817" t="s">
        <v>91</v>
      </c>
      <c r="G5817">
        <v>-226.739</v>
      </c>
      <c r="H5817" s="1">
        <v>-3.1853409999999999E-6</v>
      </c>
      <c r="I5817">
        <v>-55.06344</v>
      </c>
      <c r="J5817">
        <v>-256.02980000000002</v>
      </c>
      <c r="K5817">
        <v>1.105032</v>
      </c>
      <c r="L5817">
        <v>-61.925569999999901</v>
      </c>
      <c r="M5817">
        <v>0.99984910000000005</v>
      </c>
      <c r="N5817">
        <v>0</v>
      </c>
      <c r="O5817">
        <v>-9.3002680000000004E-3</v>
      </c>
      <c r="P5817">
        <v>0.99900409999999995</v>
      </c>
      <c r="Q5817">
        <v>2.3398950000000002E-2</v>
      </c>
      <c r="R5817">
        <v>3.7994340000000001E-2</v>
      </c>
      <c r="S5817">
        <v>2.979797</v>
      </c>
      <c r="T5817">
        <v>-0.1118817</v>
      </c>
      <c r="U5817">
        <v>0.69473269999999998</v>
      </c>
      <c r="V5817">
        <v>-4.7335019999999998E-2</v>
      </c>
      <c r="W5817">
        <v>3.7987930000000003E-2</v>
      </c>
      <c r="X5817">
        <v>0.99815640000000005</v>
      </c>
      <c r="Y5817">
        <v>-0.2359426</v>
      </c>
      <c r="Z5817">
        <v>4.7139299999999999E-3</v>
      </c>
      <c r="AA5817">
        <v>0.97175560000000005</v>
      </c>
      <c r="AB5817">
        <v>28</v>
      </c>
      <c r="AC5817">
        <v>29.290800000000001</v>
      </c>
      <c r="AD5817">
        <v>-1.1050351853410001</v>
      </c>
      <c r="AE5817">
        <v>6.8621299999999898</v>
      </c>
      <c r="AF5817">
        <v>-7.1246620015921804</v>
      </c>
      <c r="AG5817">
        <v>-1.1050351853410001</v>
      </c>
      <c r="AH5817">
        <v>29.1863274902916</v>
      </c>
      <c r="AI5817">
        <v>92.106467363572705</v>
      </c>
      <c r="AJ5817">
        <v>103.718162122772</v>
      </c>
      <c r="AK5817">
        <v>30.063659520562801</v>
      </c>
    </row>
    <row r="5818" spans="1:37" x14ac:dyDescent="0.2">
      <c r="A5818" t="str">
        <f>"20200111160016469"</f>
        <v>20200111160016469</v>
      </c>
      <c r="B5818" t="str">
        <f>"1578729616456719"</f>
        <v>1578729616456719</v>
      </c>
      <c r="C5818" t="s">
        <v>37</v>
      </c>
      <c r="D5818">
        <v>5.095021</v>
      </c>
      <c r="E5818">
        <v>0.42625360000000001</v>
      </c>
      <c r="F5818" t="s">
        <v>91</v>
      </c>
      <c r="G5818">
        <v>-224.6557</v>
      </c>
      <c r="H5818" s="1">
        <v>-2.569765E-6</v>
      </c>
      <c r="I5818">
        <v>-54.367909999999902</v>
      </c>
      <c r="J5818">
        <v>-255.89109999999999</v>
      </c>
      <c r="K5818">
        <v>1.1051249999999999</v>
      </c>
      <c r="L5818">
        <v>-61.926389999999998</v>
      </c>
      <c r="M5818">
        <v>0.99985299999999999</v>
      </c>
      <c r="N5818">
        <v>0</v>
      </c>
      <c r="O5818">
        <v>-8.8228219999999993E-3</v>
      </c>
      <c r="P5818">
        <v>0.99894430000000001</v>
      </c>
      <c r="Q5818">
        <v>2.3780539999999999E-2</v>
      </c>
      <c r="R5818">
        <v>3.9308059999999999E-2</v>
      </c>
      <c r="S5818">
        <v>2.9781650000000002</v>
      </c>
      <c r="T5818">
        <v>-0.104894899999999</v>
      </c>
      <c r="U5818">
        <v>0.71740719999999902</v>
      </c>
      <c r="V5818">
        <v>-4.8179560000000003E-2</v>
      </c>
      <c r="W5818">
        <v>3.8393419999999998E-2</v>
      </c>
      <c r="X5818">
        <v>0.99810049999999995</v>
      </c>
      <c r="Y5818">
        <v>-0.24261199999999999</v>
      </c>
      <c r="Z5818">
        <v>4.5174480000000003E-3</v>
      </c>
      <c r="AA5818">
        <v>0.97011289999999994</v>
      </c>
      <c r="AB5818">
        <v>28</v>
      </c>
      <c r="AC5818">
        <v>31.235399999999998</v>
      </c>
      <c r="AD5818">
        <v>-1.10512756976499</v>
      </c>
      <c r="AE5818">
        <v>7.5584800000000003</v>
      </c>
      <c r="AF5818">
        <v>-7.8245470500843002</v>
      </c>
      <c r="AG5818">
        <v>-1.10512756976499</v>
      </c>
      <c r="AH5818">
        <v>31.130676326738499</v>
      </c>
      <c r="AI5818">
        <v>91.971844764668106</v>
      </c>
      <c r="AJ5818">
        <v>104.108762678408</v>
      </c>
      <c r="AK5818">
        <v>32.117967744622298</v>
      </c>
    </row>
    <row r="5819" spans="1:37" x14ac:dyDescent="0.2">
      <c r="A5819" t="str">
        <f>"20200111160016482"</f>
        <v>20200111160016482</v>
      </c>
      <c r="B5819" t="str">
        <f>"1578729616476238"</f>
        <v>1578729616476238</v>
      </c>
      <c r="C5819" t="s">
        <v>37</v>
      </c>
      <c r="D5819">
        <v>4.5150589999999999</v>
      </c>
      <c r="E5819">
        <v>0.4253113</v>
      </c>
      <c r="F5819" t="s">
        <v>91</v>
      </c>
      <c r="G5819">
        <v>-224.8262</v>
      </c>
      <c r="H5819" s="1">
        <v>-2.6079500000000002E-6</v>
      </c>
      <c r="I5819">
        <v>-54.431840000000001</v>
      </c>
      <c r="J5819">
        <v>-255.7319</v>
      </c>
      <c r="K5819">
        <v>1.105232</v>
      </c>
      <c r="L5819">
        <v>-61.927149999999997</v>
      </c>
      <c r="M5819">
        <v>0.99985780000000002</v>
      </c>
      <c r="N5819">
        <v>0</v>
      </c>
      <c r="O5819">
        <v>-8.1948419999999904E-3</v>
      </c>
      <c r="P5819">
        <v>0.99888069999999896</v>
      </c>
      <c r="Q5819">
        <v>2.4022580000000002E-2</v>
      </c>
      <c r="R5819">
        <v>4.0745770000000001E-2</v>
      </c>
      <c r="S5819">
        <v>2.9774479999999999</v>
      </c>
      <c r="T5819">
        <v>-0.105922</v>
      </c>
      <c r="U5819">
        <v>0.71832280000000004</v>
      </c>
      <c r="V5819">
        <v>-4.8998599999999899E-2</v>
      </c>
      <c r="W5819">
        <v>3.8658820000000003E-2</v>
      </c>
      <c r="X5819">
        <v>0.9980504</v>
      </c>
      <c r="Y5819">
        <v>-0.24233539999999901</v>
      </c>
      <c r="Z5819">
        <v>4.53568299999999E-3</v>
      </c>
      <c r="AA5819">
        <v>0.97018189999999904</v>
      </c>
      <c r="AB5819">
        <v>28</v>
      </c>
      <c r="AC5819">
        <v>30.9057</v>
      </c>
      <c r="AD5819">
        <v>-1.1052346079499999</v>
      </c>
      <c r="AE5819">
        <v>7.4953099999999901</v>
      </c>
      <c r="AF5819">
        <v>-7.7390055933677999</v>
      </c>
      <c r="AG5819">
        <v>-1.1052346079499999</v>
      </c>
      <c r="AH5819">
        <v>30.806023583382899</v>
      </c>
      <c r="AI5819">
        <v>91.992861665378797</v>
      </c>
      <c r="AJ5819">
        <v>104.10186724936401</v>
      </c>
      <c r="AK5819">
        <v>31.782461203197201</v>
      </c>
    </row>
    <row r="5820" spans="1:37" x14ac:dyDescent="0.2">
      <c r="A5820" t="str">
        <f>"20200111160016492"</f>
        <v>20200111160016492</v>
      </c>
      <c r="B5820" t="str">
        <f>"1578729616486975"</f>
        <v>1578729616486975</v>
      </c>
      <c r="C5820" t="s">
        <v>37</v>
      </c>
      <c r="D5820">
        <v>4.4159980000000001</v>
      </c>
      <c r="E5820">
        <v>0.42396809999999902</v>
      </c>
      <c r="F5820" t="s">
        <v>91</v>
      </c>
      <c r="G5820">
        <v>-224.18790000000001</v>
      </c>
      <c r="H5820" s="1">
        <v>-2.4655820000000001E-6</v>
      </c>
      <c r="I5820">
        <v>-54.190259999999903</v>
      </c>
      <c r="J5820">
        <v>-255.59289999999999</v>
      </c>
      <c r="K5820">
        <v>1.105326</v>
      </c>
      <c r="L5820">
        <v>-61.927639999999997</v>
      </c>
      <c r="M5820">
        <v>0.99986229999999998</v>
      </c>
      <c r="N5820">
        <v>0</v>
      </c>
      <c r="O5820">
        <v>-7.5712979999999997E-3</v>
      </c>
      <c r="P5820">
        <v>0.99879619999999902</v>
      </c>
      <c r="Q5820">
        <v>2.4668519999999999E-2</v>
      </c>
      <c r="R5820">
        <v>4.2399529999999998E-2</v>
      </c>
      <c r="S5820">
        <v>2.9760740000000001</v>
      </c>
      <c r="T5820">
        <v>-0.1042752</v>
      </c>
      <c r="U5820">
        <v>0.72994999999999999</v>
      </c>
      <c r="V5820">
        <v>-5.0038560000000003E-2</v>
      </c>
      <c r="W5820">
        <v>3.9321120000000001E-2</v>
      </c>
      <c r="X5820">
        <v>0.997973</v>
      </c>
      <c r="Y5820">
        <v>-0.24541289999999999</v>
      </c>
      <c r="Z5820">
        <v>4.4967569999999997E-3</v>
      </c>
      <c r="AA5820">
        <v>0.96940820000000005</v>
      </c>
      <c r="AB5820">
        <v>28</v>
      </c>
      <c r="AC5820">
        <v>31.404999999999902</v>
      </c>
      <c r="AD5820">
        <v>-1.1053284655819999</v>
      </c>
      <c r="AE5820">
        <v>7.7373799999999999</v>
      </c>
      <c r="AF5820">
        <v>-7.9656579107725101</v>
      </c>
      <c r="AG5820">
        <v>-1.1053284655819999</v>
      </c>
      <c r="AH5820">
        <v>31.308946646964799</v>
      </c>
      <c r="AI5820">
        <v>91.959550166022296</v>
      </c>
      <c r="AJ5820">
        <v>104.274406281137</v>
      </c>
      <c r="AK5820">
        <v>32.325277989690399</v>
      </c>
    </row>
    <row r="5821" spans="1:37" x14ac:dyDescent="0.2">
      <c r="A5821" t="str">
        <f>"20200111160016504"</f>
        <v>20200111160016504</v>
      </c>
      <c r="B5821" t="str">
        <f>"1578729616496733"</f>
        <v>1578729616496733</v>
      </c>
      <c r="C5821" t="s">
        <v>37</v>
      </c>
      <c r="D5821">
        <v>5.0860599999999998</v>
      </c>
      <c r="E5821">
        <v>0.42436089999999999</v>
      </c>
      <c r="F5821" t="s">
        <v>91</v>
      </c>
      <c r="G5821">
        <v>-222.45230000000001</v>
      </c>
      <c r="H5821" s="1">
        <v>-2.050625E-6</v>
      </c>
      <c r="I5821">
        <v>-53.623190000000001</v>
      </c>
      <c r="J5821">
        <v>-255.45</v>
      </c>
      <c r="K5821">
        <v>1.1054280000000001</v>
      </c>
      <c r="L5821">
        <v>-61.928100000000001</v>
      </c>
      <c r="M5821">
        <v>0.9998667</v>
      </c>
      <c r="N5821">
        <v>0</v>
      </c>
      <c r="O5821">
        <v>-6.8958659999999996E-3</v>
      </c>
      <c r="P5821">
        <v>0.99871549999999998</v>
      </c>
      <c r="Q5821">
        <v>2.515156E-2</v>
      </c>
      <c r="R5821">
        <v>4.3988340000000001E-2</v>
      </c>
      <c r="S5821">
        <v>2.974396</v>
      </c>
      <c r="T5821">
        <v>-9.9204059999999997E-2</v>
      </c>
      <c r="U5821">
        <v>0.74533079999999996</v>
      </c>
      <c r="V5821">
        <v>-5.0962630000000002E-2</v>
      </c>
      <c r="W5821">
        <v>3.9819029999999998E-2</v>
      </c>
      <c r="X5821">
        <v>0.99790639999999997</v>
      </c>
      <c r="Y5821">
        <v>-0.249616899999999</v>
      </c>
      <c r="Z5821">
        <v>4.3247420000000003E-3</v>
      </c>
      <c r="AA5821">
        <v>0.96833499999999995</v>
      </c>
      <c r="AB5821">
        <v>28</v>
      </c>
      <c r="AC5821">
        <v>32.997699999999902</v>
      </c>
      <c r="AD5821">
        <v>-1.1054300506250001</v>
      </c>
      <c r="AE5821">
        <v>8.3049099999999996</v>
      </c>
      <c r="AF5821">
        <v>-8.5232895613279496</v>
      </c>
      <c r="AG5821">
        <v>-1.1054300506250001</v>
      </c>
      <c r="AH5821">
        <v>32.904911227352699</v>
      </c>
      <c r="AI5821">
        <v>91.862681080630196</v>
      </c>
      <c r="AJ5821">
        <v>104.522032551801</v>
      </c>
      <c r="AK5821">
        <v>34.008846252453601</v>
      </c>
    </row>
    <row r="5822" spans="1:37" x14ac:dyDescent="0.2">
      <c r="A5822" t="str">
        <f>"20200111160016518"</f>
        <v>20200111160016518</v>
      </c>
      <c r="B5822" t="str">
        <f>"1578729616506493"</f>
        <v>1578729616506493</v>
      </c>
      <c r="C5822" t="s">
        <v>37</v>
      </c>
      <c r="D5822">
        <v>5.1168930000000001</v>
      </c>
      <c r="E5822">
        <v>0.42477229999999999</v>
      </c>
      <c r="F5822" t="s">
        <v>91</v>
      </c>
      <c r="G5822">
        <v>-222.6799</v>
      </c>
      <c r="H5822" s="1">
        <v>-2.1055910000000002E-6</v>
      </c>
      <c r="I5822">
        <v>-53.695819999999998</v>
      </c>
      <c r="J5822">
        <v>-255.2851</v>
      </c>
      <c r="K5822">
        <v>1.1055429999999999</v>
      </c>
      <c r="L5822">
        <v>-61.928249999999998</v>
      </c>
      <c r="M5822">
        <v>0.99987209999999904</v>
      </c>
      <c r="N5822">
        <v>0</v>
      </c>
      <c r="O5822">
        <v>-5.9815509999999999E-3</v>
      </c>
      <c r="P5822">
        <v>0.99860789999999999</v>
      </c>
      <c r="Q5822">
        <v>2.5847519999999999E-2</v>
      </c>
      <c r="R5822">
        <v>4.5978909999999998E-2</v>
      </c>
      <c r="S5822">
        <v>2.9734799999999999</v>
      </c>
      <c r="T5822">
        <v>-0.1003042</v>
      </c>
      <c r="U5822">
        <v>0.74697880000000005</v>
      </c>
      <c r="V5822">
        <v>-5.2051739999999999E-2</v>
      </c>
      <c r="W5822">
        <v>4.0527979999999998E-2</v>
      </c>
      <c r="X5822">
        <v>0.99782169999999903</v>
      </c>
      <c r="Y5822">
        <v>-0.24930429999999901</v>
      </c>
      <c r="Z5822">
        <v>4.3381259999999899E-3</v>
      </c>
      <c r="AA5822">
        <v>0.96841549999999998</v>
      </c>
      <c r="AB5822">
        <v>28</v>
      </c>
      <c r="AC5822">
        <v>32.605200000000004</v>
      </c>
      <c r="AD5822">
        <v>-1.1055451055909999</v>
      </c>
      <c r="AE5822">
        <v>8.2324300000000008</v>
      </c>
      <c r="AF5822">
        <v>-8.4182355098215105</v>
      </c>
      <c r="AG5822">
        <v>-1.1055451055909999</v>
      </c>
      <c r="AH5822">
        <v>32.520221076850397</v>
      </c>
      <c r="AI5822">
        <v>91.884971463338005</v>
      </c>
      <c r="AJ5822">
        <v>104.51310224666</v>
      </c>
      <c r="AK5822">
        <v>33.610321301150002</v>
      </c>
    </row>
    <row r="5823" spans="1:37" x14ac:dyDescent="0.2">
      <c r="A5823" t="str">
        <f>"20200111160016528"</f>
        <v>20200111160016528</v>
      </c>
      <c r="B5823" t="str">
        <f>"1578729616526991"</f>
        <v>1578729616526991</v>
      </c>
      <c r="C5823" t="s">
        <v>37</v>
      </c>
      <c r="D5823">
        <v>5.1610040000000001</v>
      </c>
      <c r="E5823">
        <v>0.42563309999999999</v>
      </c>
      <c r="F5823" t="s">
        <v>91</v>
      </c>
      <c r="G5823">
        <v>-223.08150000000001</v>
      </c>
      <c r="H5823" s="1">
        <v>-2.2085199999999998E-6</v>
      </c>
      <c r="I5823">
        <v>-53.804650000000002</v>
      </c>
      <c r="J5823">
        <v>-255.14769999999999</v>
      </c>
      <c r="K5823">
        <v>1.105642</v>
      </c>
      <c r="L5823">
        <v>-61.928249999999998</v>
      </c>
      <c r="M5823">
        <v>0.9998764</v>
      </c>
      <c r="N5823">
        <v>0</v>
      </c>
      <c r="O5823">
        <v>-5.1711830000000002E-3</v>
      </c>
      <c r="P5823">
        <v>0.99849120000000002</v>
      </c>
      <c r="Q5823">
        <v>2.6541410000000001E-2</v>
      </c>
      <c r="R5823">
        <v>4.8078129999999997E-2</v>
      </c>
      <c r="S5823">
        <v>2.972305</v>
      </c>
      <c r="T5823">
        <v>-0.102038899999999</v>
      </c>
      <c r="U5823">
        <v>0.74978639999999996</v>
      </c>
      <c r="V5823">
        <v>-5.3352419999999998E-2</v>
      </c>
      <c r="W5823">
        <v>4.1229309999999998E-2</v>
      </c>
      <c r="X5823">
        <v>0.99772419999999995</v>
      </c>
      <c r="Y5823">
        <v>-0.24946559999999901</v>
      </c>
      <c r="Z5823">
        <v>4.3896259999999998E-3</v>
      </c>
      <c r="AA5823">
        <v>0.968373699999999</v>
      </c>
      <c r="AB5823">
        <v>27</v>
      </c>
      <c r="AC5823">
        <v>32.066199999999903</v>
      </c>
      <c r="AD5823">
        <v>-1.10564420852</v>
      </c>
      <c r="AE5823">
        <v>8.1235999999999908</v>
      </c>
      <c r="AF5823">
        <v>-8.2800795424286395</v>
      </c>
      <c r="AG5823">
        <v>-1.10564420852</v>
      </c>
      <c r="AH5823">
        <v>31.9880217410788</v>
      </c>
      <c r="AI5823">
        <v>91.916486721284201</v>
      </c>
      <c r="AJ5823">
        <v>104.512447541756</v>
      </c>
      <c r="AK5823">
        <v>33.060787970835001</v>
      </c>
    </row>
    <row r="5824" spans="1:37" x14ac:dyDescent="0.2">
      <c r="A5824" t="str">
        <f>"20200111160016540"</f>
        <v>20200111160016540</v>
      </c>
      <c r="B5824" t="str">
        <f>"1578729616536750"</f>
        <v>1578729616536750</v>
      </c>
      <c r="C5824" t="s">
        <v>37</v>
      </c>
      <c r="D5824">
        <v>5.1199820000000003</v>
      </c>
      <c r="E5824">
        <v>0.42594549999999998</v>
      </c>
      <c r="F5824" t="s">
        <v>91</v>
      </c>
      <c r="G5824">
        <v>-223.08029999999999</v>
      </c>
      <c r="H5824" s="1">
        <v>-2.1967099999999999E-6</v>
      </c>
      <c r="I5824">
        <v>-53.841529999999999</v>
      </c>
      <c r="J5824">
        <v>-255.00909999999999</v>
      </c>
      <c r="K5824">
        <v>1.1057410000000001</v>
      </c>
      <c r="L5824">
        <v>-61.928069999999998</v>
      </c>
      <c r="M5824">
        <v>0.99988029999999894</v>
      </c>
      <c r="N5824">
        <v>0</v>
      </c>
      <c r="O5824">
        <v>-4.2773459999999996E-3</v>
      </c>
      <c r="P5824">
        <v>0.998374599999999</v>
      </c>
      <c r="Q5824">
        <v>2.7140270000000001E-2</v>
      </c>
      <c r="R5824">
        <v>5.0120419999999999E-2</v>
      </c>
      <c r="S5824">
        <v>2.9711759999999998</v>
      </c>
      <c r="T5824">
        <v>-0.10244249999999901</v>
      </c>
      <c r="U5824">
        <v>0.74926759999999903</v>
      </c>
      <c r="V5824">
        <v>-5.4512329999999998E-2</v>
      </c>
      <c r="W5824">
        <v>4.1833420000000003E-2</v>
      </c>
      <c r="X5824">
        <v>0.99763639999999998</v>
      </c>
      <c r="Y5824">
        <v>-0.248528</v>
      </c>
      <c r="Z5824">
        <v>4.3624390000000001E-3</v>
      </c>
      <c r="AA5824">
        <v>0.96861489999999995</v>
      </c>
      <c r="AB5824">
        <v>27</v>
      </c>
      <c r="AC5824">
        <v>31.928799999999899</v>
      </c>
      <c r="AD5824">
        <v>-1.10574319671</v>
      </c>
      <c r="AE5824">
        <v>8.0865399999999905</v>
      </c>
      <c r="AF5824">
        <v>-8.2137942869513694</v>
      </c>
      <c r="AG5824">
        <v>-1.10574319671</v>
      </c>
      <c r="AH5824">
        <v>31.858009570670099</v>
      </c>
      <c r="AI5824">
        <v>91.924951244062001</v>
      </c>
      <c r="AJ5824">
        <v>104.457431965976</v>
      </c>
      <c r="AK5824">
        <v>32.9184121489833</v>
      </c>
    </row>
    <row r="5825" spans="1:37" x14ac:dyDescent="0.2">
      <c r="A5825" t="str">
        <f>"20200111160016551"</f>
        <v>20200111160016551</v>
      </c>
      <c r="B5825" t="str">
        <f>"1578729616546510"</f>
        <v>1578729616546510</v>
      </c>
      <c r="C5825" t="s">
        <v>37</v>
      </c>
      <c r="D5825">
        <v>5.0650769999999996</v>
      </c>
      <c r="E5825">
        <v>0.42615550000000002</v>
      </c>
      <c r="F5825" t="s">
        <v>91</v>
      </c>
      <c r="G5825">
        <v>-223.1696</v>
      </c>
      <c r="H5825" s="1">
        <v>-2.2226959999999998E-6</v>
      </c>
      <c r="I5825">
        <v>-53.855719999999998</v>
      </c>
      <c r="J5825">
        <v>-254.87960000000001</v>
      </c>
      <c r="K5825">
        <v>1.105834</v>
      </c>
      <c r="L5825">
        <v>-61.9276699999999</v>
      </c>
      <c r="M5825">
        <v>0.99988330000000003</v>
      </c>
      <c r="N5825">
        <v>0</v>
      </c>
      <c r="O5825">
        <v>-3.3814740000000002E-3</v>
      </c>
      <c r="P5825">
        <v>0.99824299999999999</v>
      </c>
      <c r="Q5825">
        <v>2.7824149999999999E-2</v>
      </c>
      <c r="R5825">
        <v>5.231471E-2</v>
      </c>
      <c r="S5825">
        <v>2.9698790000000002</v>
      </c>
      <c r="T5825">
        <v>-0.10313989999999899</v>
      </c>
      <c r="U5825">
        <v>0.75296019999999997</v>
      </c>
      <c r="V5825">
        <v>-5.5822660000000003E-2</v>
      </c>
      <c r="W5825">
        <v>4.2519920000000003E-2</v>
      </c>
      <c r="X5825">
        <v>0.9975349</v>
      </c>
      <c r="Y5825">
        <v>-0.24889059999999999</v>
      </c>
      <c r="Z5825">
        <v>4.3688870000000001E-3</v>
      </c>
      <c r="AA5825">
        <v>0.96852169999999904</v>
      </c>
      <c r="AB5825">
        <v>27</v>
      </c>
      <c r="AC5825">
        <v>31.71</v>
      </c>
      <c r="AD5825">
        <v>-1.1058362226959999</v>
      </c>
      <c r="AE5825">
        <v>8.0719499999999904</v>
      </c>
      <c r="AF5825">
        <v>-8.1698111632601194</v>
      </c>
      <c r="AG5825">
        <v>-1.1058362226959999</v>
      </c>
      <c r="AH5825">
        <v>31.6463757575284</v>
      </c>
      <c r="AI5825">
        <v>91.937820779336505</v>
      </c>
      <c r="AJ5825">
        <v>104.475394012751</v>
      </c>
      <c r="AK5825">
        <v>32.7026266037062</v>
      </c>
    </row>
    <row r="5826" spans="1:37" x14ac:dyDescent="0.2">
      <c r="A5826" t="str">
        <f>"20200111160016561"</f>
        <v>20200111160016561</v>
      </c>
      <c r="B5826" t="str">
        <f>"1578729616556270"</f>
        <v>1578729616556270</v>
      </c>
      <c r="C5826" t="s">
        <v>37</v>
      </c>
      <c r="D5826">
        <v>5.281822</v>
      </c>
      <c r="E5826">
        <v>0.42660519999999902</v>
      </c>
      <c r="F5826" t="s">
        <v>91</v>
      </c>
      <c r="G5826">
        <v>-223.00899999999999</v>
      </c>
      <c r="H5826" s="1">
        <v>-2.187844E-6</v>
      </c>
      <c r="I5826">
        <v>-53.791780000000003</v>
      </c>
      <c r="J5826">
        <v>-254.74700000000001</v>
      </c>
      <c r="K5826">
        <v>1.1059299999999901</v>
      </c>
      <c r="L5826">
        <v>-61.927190000000003</v>
      </c>
      <c r="M5826">
        <v>0.99988569999999999</v>
      </c>
      <c r="N5826">
        <v>0</v>
      </c>
      <c r="O5826">
        <v>-2.4201579999999999E-3</v>
      </c>
      <c r="P5826">
        <v>0.99810059999999901</v>
      </c>
      <c r="Q5826">
        <v>2.797815E-2</v>
      </c>
      <c r="R5826">
        <v>5.4883399999999999E-2</v>
      </c>
      <c r="S5826">
        <v>2.968445</v>
      </c>
      <c r="T5826">
        <v>-0.1029983</v>
      </c>
      <c r="U5826">
        <v>0.75778199999999996</v>
      </c>
      <c r="V5826">
        <v>-5.7441359999999997E-2</v>
      </c>
      <c r="W5826">
        <v>4.2674280000000002E-2</v>
      </c>
      <c r="X5826">
        <v>0.9974364</v>
      </c>
      <c r="Y5826">
        <v>-0.24954899999999899</v>
      </c>
      <c r="Z5826">
        <v>4.3424819999999999E-3</v>
      </c>
      <c r="AA5826">
        <v>0.968352399999999</v>
      </c>
      <c r="AB5826">
        <v>27</v>
      </c>
      <c r="AC5826">
        <v>31.738</v>
      </c>
      <c r="AD5826">
        <v>-1.1059321878439901</v>
      </c>
      <c r="AE5826">
        <v>8.1354100000000003</v>
      </c>
      <c r="AF5826">
        <v>-8.2028596929701898</v>
      </c>
      <c r="AG5826">
        <v>-1.1059321878439901</v>
      </c>
      <c r="AH5826">
        <v>31.682118536795699</v>
      </c>
      <c r="AI5826">
        <v>91.935451681702901</v>
      </c>
      <c r="AJ5826">
        <v>104.515774578612</v>
      </c>
      <c r="AK5826">
        <v>32.7454825605951</v>
      </c>
    </row>
    <row r="5827" spans="1:37" x14ac:dyDescent="0.2">
      <c r="A5827" t="str">
        <f>"20200111160016572"</f>
        <v>20200111160016572</v>
      </c>
      <c r="B5827" t="str">
        <f>"1578729616566864"</f>
        <v>1578729616566864</v>
      </c>
      <c r="C5827" t="s">
        <v>37</v>
      </c>
      <c r="D5827">
        <v>5.0749649999999997</v>
      </c>
      <c r="E5827">
        <v>0.42696049999999902</v>
      </c>
      <c r="F5827" t="s">
        <v>91</v>
      </c>
      <c r="G5827">
        <v>-222.9453</v>
      </c>
      <c r="H5827" s="1">
        <v>-2.1751959999999998E-6</v>
      </c>
      <c r="I5827">
        <v>-53.762650000000001</v>
      </c>
      <c r="J5827">
        <v>-254.61590000000001</v>
      </c>
      <c r="K5827">
        <v>1.1060190000000001</v>
      </c>
      <c r="L5827">
        <v>-61.926389999999998</v>
      </c>
      <c r="M5827">
        <v>0.99988750000000004</v>
      </c>
      <c r="N5827">
        <v>0</v>
      </c>
      <c r="O5827">
        <v>-1.397639E-3</v>
      </c>
      <c r="P5827">
        <v>0.9979614</v>
      </c>
      <c r="Q5827">
        <v>2.827168E-2</v>
      </c>
      <c r="R5827">
        <v>5.7217589999999999E-2</v>
      </c>
      <c r="S5827">
        <v>2.966736</v>
      </c>
      <c r="T5827">
        <v>-0.103170899999999</v>
      </c>
      <c r="U5827">
        <v>0.76165769999999899</v>
      </c>
      <c r="V5827">
        <v>-5.8764209999999997E-2</v>
      </c>
      <c r="W5827">
        <v>4.2967739999999997E-2</v>
      </c>
      <c r="X5827">
        <v>0.99734679999999998</v>
      </c>
      <c r="Y5827">
        <v>-0.249879399999999</v>
      </c>
      <c r="Z5827">
        <v>4.3221529999999996E-3</v>
      </c>
      <c r="AA5827">
        <v>0.96826730000000005</v>
      </c>
      <c r="AB5827">
        <v>27</v>
      </c>
      <c r="AC5827">
        <v>31.6706</v>
      </c>
      <c r="AD5827">
        <v>-1.1060211751960001</v>
      </c>
      <c r="AE5827">
        <v>8.1637400000000007</v>
      </c>
      <c r="AF5827">
        <v>-8.1986250479404408</v>
      </c>
      <c r="AG5827">
        <v>-1.1060211751960001</v>
      </c>
      <c r="AH5827">
        <v>31.622993647877799</v>
      </c>
      <c r="AI5827">
        <v>91.939058767612806</v>
      </c>
      <c r="AJ5827">
        <v>104.53457585539201</v>
      </c>
      <c r="AK5827">
        <v>32.687221704672503</v>
      </c>
    </row>
    <row r="5828" spans="1:37" x14ac:dyDescent="0.2">
      <c r="A5828" t="str">
        <f>"20200111160016584"</f>
        <v>20200111160016584</v>
      </c>
      <c r="B5828" t="str">
        <f>"1578729616576624"</f>
        <v>1578729616576624</v>
      </c>
      <c r="C5828" t="s">
        <v>37</v>
      </c>
      <c r="D5828">
        <v>5.316719</v>
      </c>
      <c r="E5828">
        <v>0.42747239999999997</v>
      </c>
      <c r="F5828" t="s">
        <v>91</v>
      </c>
      <c r="G5828">
        <v>-223.07679999999999</v>
      </c>
      <c r="H5828" s="1">
        <v>-2.214004E-6</v>
      </c>
      <c r="I5828">
        <v>-53.781859999999902</v>
      </c>
      <c r="J5828">
        <v>-254.47550000000001</v>
      </c>
      <c r="K5828">
        <v>1.1061129999999999</v>
      </c>
      <c r="L5828">
        <v>-61.92548</v>
      </c>
      <c r="M5828">
        <v>0.9998882</v>
      </c>
      <c r="N5828">
        <v>0</v>
      </c>
      <c r="O5828">
        <v>-2.72799E-4</v>
      </c>
      <c r="P5828">
        <v>0.99780419999999903</v>
      </c>
      <c r="Q5828">
        <v>2.8419759999999999E-2</v>
      </c>
      <c r="R5828">
        <v>5.9827039999999998E-2</v>
      </c>
      <c r="S5828">
        <v>2.965179</v>
      </c>
      <c r="T5828">
        <v>-0.1039838</v>
      </c>
      <c r="U5828">
        <v>0.76571659999999997</v>
      </c>
      <c r="V5828">
        <v>-6.0261339999999997E-2</v>
      </c>
      <c r="W5828">
        <v>4.3114E-2</v>
      </c>
      <c r="X5828">
        <v>0.99725109999999995</v>
      </c>
      <c r="Y5828">
        <v>-0.25015369999999998</v>
      </c>
      <c r="Z5828">
        <v>4.3235929999999997E-3</v>
      </c>
      <c r="AA5828">
        <v>0.96819650000000002</v>
      </c>
      <c r="AB5828">
        <v>27</v>
      </c>
      <c r="AC5828">
        <v>31.398700000000002</v>
      </c>
      <c r="AD5828">
        <v>-1.10611521400399</v>
      </c>
      <c r="AE5828">
        <v>8.1436200000000092</v>
      </c>
      <c r="AF5828">
        <v>-8.1427178645756708</v>
      </c>
      <c r="AG5828">
        <v>-1.10611521400399</v>
      </c>
      <c r="AH5828">
        <v>31.360011700319099</v>
      </c>
      <c r="AI5828">
        <v>91.955287175057094</v>
      </c>
      <c r="AJ5828">
        <v>104.555586317712</v>
      </c>
      <c r="AK5828">
        <v>32.418785895416903</v>
      </c>
    </row>
    <row r="5829" spans="1:37" x14ac:dyDescent="0.2">
      <c r="A5829" t="str">
        <f>"20200111160016595"</f>
        <v>20200111160016595</v>
      </c>
      <c r="B5829" t="str">
        <f>"1578729616586384"</f>
        <v>1578729616586384</v>
      </c>
      <c r="C5829" t="s">
        <v>37</v>
      </c>
      <c r="D5829">
        <v>5.1777110000000004</v>
      </c>
      <c r="E5829">
        <v>0.42777409999999999</v>
      </c>
      <c r="F5829" t="s">
        <v>91</v>
      </c>
      <c r="G5829">
        <v>-222.94390000000001</v>
      </c>
      <c r="H5829" s="1">
        <v>-2.181294E-6</v>
      </c>
      <c r="I5829">
        <v>-53.7414699999999</v>
      </c>
      <c r="J5829">
        <v>-254.34559999999999</v>
      </c>
      <c r="K5829">
        <v>1.1061939999999999</v>
      </c>
      <c r="L5829">
        <v>-61.924289999999999</v>
      </c>
      <c r="M5829">
        <v>0.99988759999999999</v>
      </c>
      <c r="N5829">
        <v>0</v>
      </c>
      <c r="O5829">
        <v>8.5538919999999998E-4</v>
      </c>
      <c r="P5829">
        <v>0.99764609999999998</v>
      </c>
      <c r="Q5829">
        <v>2.83031999999999E-2</v>
      </c>
      <c r="R5829">
        <v>6.24621E-2</v>
      </c>
      <c r="S5829">
        <v>2.96345499999999</v>
      </c>
      <c r="T5829">
        <v>-0.1039571</v>
      </c>
      <c r="U5829">
        <v>0.76916499999999999</v>
      </c>
      <c r="V5829">
        <v>-6.1778039999999999E-2</v>
      </c>
      <c r="W5829">
        <v>4.2993459999999997E-2</v>
      </c>
      <c r="X5829">
        <v>0.99716349999999998</v>
      </c>
      <c r="Y5829">
        <v>-0.25025409999999998</v>
      </c>
      <c r="Z5829">
        <v>4.2871059999999997E-3</v>
      </c>
      <c r="AA5829">
        <v>0.96817070000000005</v>
      </c>
      <c r="AB5829">
        <v>27</v>
      </c>
      <c r="AC5829">
        <v>31.401699999999899</v>
      </c>
      <c r="AD5829">
        <v>-1.106196181294</v>
      </c>
      <c r="AE5829">
        <v>8.1828199999999995</v>
      </c>
      <c r="AF5829">
        <v>-8.1464866811766203</v>
      </c>
      <c r="AG5829">
        <v>-1.106196181294</v>
      </c>
      <c r="AH5829">
        <v>31.372232628817802</v>
      </c>
      <c r="AI5829">
        <v>91.9546600308514</v>
      </c>
      <c r="AJ5829">
        <v>104.55660539515701</v>
      </c>
      <c r="AK5829">
        <v>32.431557091122798</v>
      </c>
    </row>
    <row r="5830" spans="1:37" x14ac:dyDescent="0.2">
      <c r="A5830" t="str">
        <f>"20200111160016605"</f>
        <v>20200111160016605</v>
      </c>
      <c r="B5830" t="str">
        <f>"1578729616597120"</f>
        <v>1578729616597120</v>
      </c>
      <c r="C5830" t="s">
        <v>37</v>
      </c>
      <c r="D5830">
        <v>5.0954449999999998</v>
      </c>
      <c r="E5830">
        <v>0.42787159999999902</v>
      </c>
      <c r="F5830" t="s">
        <v>91</v>
      </c>
      <c r="G5830">
        <v>-223.7586</v>
      </c>
      <c r="H5830" s="1">
        <v>-2.4017659999999999E-6</v>
      </c>
      <c r="I5830">
        <v>-53.924639999999997</v>
      </c>
      <c r="J5830">
        <v>-254.2133</v>
      </c>
      <c r="K5830">
        <v>1.1062700000000001</v>
      </c>
      <c r="L5830">
        <v>-61.923000000000002</v>
      </c>
      <c r="M5830">
        <v>0.99988559999999904</v>
      </c>
      <c r="N5830">
        <v>0</v>
      </c>
      <c r="O5830">
        <v>2.0186750000000002E-3</v>
      </c>
      <c r="P5830">
        <v>0.99748959999999998</v>
      </c>
      <c r="Q5830">
        <v>2.8216979999999999E-2</v>
      </c>
      <c r="R5830">
        <v>6.4947610000000003E-2</v>
      </c>
      <c r="S5830">
        <v>2.9615939999999998</v>
      </c>
      <c r="T5830">
        <v>-0.1071077</v>
      </c>
      <c r="U5830">
        <v>0.77456669999999905</v>
      </c>
      <c r="V5830">
        <v>-6.3111020000000004E-2</v>
      </c>
      <c r="W5830">
        <v>4.2903910000000003E-2</v>
      </c>
      <c r="X5830">
        <v>0.99708390000000002</v>
      </c>
      <c r="Y5830">
        <v>-0.25092059999999999</v>
      </c>
      <c r="Z5830">
        <v>4.3891299999999998E-3</v>
      </c>
      <c r="AA5830">
        <v>0.96799769999999896</v>
      </c>
      <c r="AB5830">
        <v>27</v>
      </c>
      <c r="AC5830">
        <v>30.454699999999999</v>
      </c>
      <c r="AD5830">
        <v>-1.1062724017659999</v>
      </c>
      <c r="AE5830">
        <v>7.9983599999999901</v>
      </c>
      <c r="AF5830">
        <v>-7.9270736511360296</v>
      </c>
      <c r="AG5830">
        <v>-1.1062724017659999</v>
      </c>
      <c r="AH5830">
        <v>30.433219767926101</v>
      </c>
      <c r="AI5830">
        <v>92.014667004578001</v>
      </c>
      <c r="AJ5830">
        <v>104.59967149849901</v>
      </c>
      <c r="AK5830">
        <v>31.4681299212446</v>
      </c>
    </row>
    <row r="5831" spans="1:37" x14ac:dyDescent="0.2">
      <c r="A5831" t="str">
        <f>"20200111160016615"</f>
        <v>20200111160016615</v>
      </c>
      <c r="B5831" t="str">
        <f>"1578729616606880"</f>
        <v>1578729616606880</v>
      </c>
      <c r="C5831" t="s">
        <v>37</v>
      </c>
      <c r="D5831">
        <v>5.2998979999999998</v>
      </c>
      <c r="E5831">
        <v>0.42848619999999998</v>
      </c>
      <c r="F5831" t="s">
        <v>91</v>
      </c>
      <c r="G5831">
        <v>-224.65610000000001</v>
      </c>
      <c r="H5831" s="1">
        <v>-2.6461750000000001E-6</v>
      </c>
      <c r="I5831">
        <v>-54.121650000000002</v>
      </c>
      <c r="J5831">
        <v>-254.08580000000001</v>
      </c>
      <c r="K5831">
        <v>1.1063399999999901</v>
      </c>
      <c r="L5831">
        <v>-61.92145</v>
      </c>
      <c r="M5831">
        <v>0.99988250000000001</v>
      </c>
      <c r="N5831">
        <v>0</v>
      </c>
      <c r="O5831">
        <v>3.2171840000000001E-3</v>
      </c>
      <c r="P5831">
        <v>0.99732019999999899</v>
      </c>
      <c r="Q5831">
        <v>2.797699E-2</v>
      </c>
      <c r="R5831">
        <v>6.7602800000000005E-2</v>
      </c>
      <c r="S5831">
        <v>2.9598239999999998</v>
      </c>
      <c r="T5831">
        <v>-0.11078099999999901</v>
      </c>
      <c r="U5831">
        <v>0.78121949999999996</v>
      </c>
      <c r="V5831">
        <v>-6.4576949999999994E-2</v>
      </c>
      <c r="W5831">
        <v>4.2658559999999998E-2</v>
      </c>
      <c r="X5831">
        <v>0.99700049999999996</v>
      </c>
      <c r="Y5831">
        <v>-0.2519265</v>
      </c>
      <c r="Z5831">
        <v>4.5153229999999999E-3</v>
      </c>
      <c r="AA5831">
        <v>0.96773580000000003</v>
      </c>
      <c r="AB5831">
        <v>27</v>
      </c>
      <c r="AC5831">
        <v>29.4297</v>
      </c>
      <c r="AD5831">
        <v>-1.1063426461750001</v>
      </c>
      <c r="AE5831">
        <v>7.7997999999999896</v>
      </c>
      <c r="AF5831">
        <v>-7.6949074005156497</v>
      </c>
      <c r="AG5831">
        <v>-1.1063426461750001</v>
      </c>
      <c r="AH5831">
        <v>29.415801439269099</v>
      </c>
      <c r="AI5831">
        <v>92.083852846864502</v>
      </c>
      <c r="AJ5831">
        <v>104.659565827734</v>
      </c>
      <c r="AK5831">
        <v>30.425728722049801</v>
      </c>
    </row>
    <row r="5832" spans="1:37" x14ac:dyDescent="0.2">
      <c r="A5832" t="str">
        <f>"20200111160016627"</f>
        <v>20200111160016627</v>
      </c>
      <c r="B5832" t="str">
        <f>"1578729616616641"</f>
        <v>1578729616616641</v>
      </c>
      <c r="C5832" t="s">
        <v>37</v>
      </c>
      <c r="D5832">
        <v>5.0191499999999998</v>
      </c>
      <c r="E5832">
        <v>0.42849579999999998</v>
      </c>
      <c r="F5832" t="s">
        <v>91</v>
      </c>
      <c r="G5832">
        <v>-224.8022</v>
      </c>
      <c r="H5832" s="1">
        <v>-2.6839440000000002E-6</v>
      </c>
      <c r="I5832">
        <v>-54.160229999999999</v>
      </c>
      <c r="J5832">
        <v>-253.95689999999999</v>
      </c>
      <c r="K5832">
        <v>1.1064080000000001</v>
      </c>
      <c r="L5832">
        <v>-61.919800000000002</v>
      </c>
      <c r="M5832">
        <v>0.99987760000000003</v>
      </c>
      <c r="N5832">
        <v>0</v>
      </c>
      <c r="O5832">
        <v>4.44356099999999E-3</v>
      </c>
      <c r="P5832">
        <v>0.9971468</v>
      </c>
      <c r="Q5832">
        <v>2.7905409999999999E-2</v>
      </c>
      <c r="R5832">
        <v>7.0142430000000006E-2</v>
      </c>
      <c r="S5832">
        <v>2.9580690000000001</v>
      </c>
      <c r="T5832">
        <v>-0.1117568</v>
      </c>
      <c r="U5832">
        <v>0.78399659999999904</v>
      </c>
      <c r="V5832">
        <v>-6.5900180000000003E-2</v>
      </c>
      <c r="W5832">
        <v>4.2581859999999999E-2</v>
      </c>
      <c r="X5832">
        <v>0.99691719999999895</v>
      </c>
      <c r="Y5832">
        <v>-0.25172830000000002</v>
      </c>
      <c r="Z5832">
        <v>4.5079389999999999E-3</v>
      </c>
      <c r="AA5832">
        <v>0.96778739999999996</v>
      </c>
      <c r="AB5832">
        <v>27</v>
      </c>
      <c r="AC5832">
        <v>29.154699999999899</v>
      </c>
      <c r="AD5832">
        <v>-1.106410683944</v>
      </c>
      <c r="AE5832">
        <v>7.7595699999999903</v>
      </c>
      <c r="AF5832">
        <v>-7.6196803444714201</v>
      </c>
      <c r="AG5832">
        <v>-1.106410683944</v>
      </c>
      <c r="AH5832">
        <v>29.149692471117898</v>
      </c>
      <c r="AI5832">
        <v>92.103087714037699</v>
      </c>
      <c r="AJ5832">
        <v>104.649234868885</v>
      </c>
      <c r="AK5832">
        <v>30.1494319069899</v>
      </c>
    </row>
    <row r="5833" spans="1:37" x14ac:dyDescent="0.2">
      <c r="A5833" t="str">
        <f>"20200111160016639"</f>
        <v>20200111160016639</v>
      </c>
      <c r="B5833" t="str">
        <f>"1578729616637136"</f>
        <v>1578729616637136</v>
      </c>
      <c r="C5833" t="s">
        <v>37</v>
      </c>
      <c r="D5833">
        <v>5.1331689999999996</v>
      </c>
      <c r="E5833">
        <v>0.42917650000000002</v>
      </c>
      <c r="F5833" t="s">
        <v>91</v>
      </c>
      <c r="G5833">
        <v>-223.5121</v>
      </c>
      <c r="H5833" s="1">
        <v>-2.3649150000000002E-6</v>
      </c>
      <c r="I5833">
        <v>-53.772799999999997</v>
      </c>
      <c r="J5833">
        <v>-253.80719999999999</v>
      </c>
      <c r="K5833">
        <v>1.106479</v>
      </c>
      <c r="L5833">
        <v>-61.917540000000002</v>
      </c>
      <c r="M5833">
        <v>0.99986960000000003</v>
      </c>
      <c r="N5833">
        <v>0</v>
      </c>
      <c r="O5833">
        <v>5.9340360000000002E-3</v>
      </c>
      <c r="P5833">
        <v>0.99695800000000001</v>
      </c>
      <c r="Q5833">
        <v>2.7637459999999999E-2</v>
      </c>
      <c r="R5833">
        <v>7.2877540000000005E-2</v>
      </c>
      <c r="S5833">
        <v>2.955978</v>
      </c>
      <c r="T5833">
        <v>-0.1074246</v>
      </c>
      <c r="U5833">
        <v>0.79101560000000004</v>
      </c>
      <c r="V5833">
        <v>-6.7155400000000004E-2</v>
      </c>
      <c r="W5833">
        <v>4.2308869999999998E-2</v>
      </c>
      <c r="X5833">
        <v>0.99684509999999904</v>
      </c>
      <c r="Y5833">
        <v>-0.25261359999999999</v>
      </c>
      <c r="Z5833">
        <v>4.2975670000000004E-3</v>
      </c>
      <c r="AA5833">
        <v>0.96755769999999997</v>
      </c>
      <c r="AB5833">
        <v>27</v>
      </c>
      <c r="AC5833">
        <v>30.295099999999898</v>
      </c>
      <c r="AD5833">
        <v>-1.106481364915</v>
      </c>
      <c r="AE5833">
        <v>8.1447400000000005</v>
      </c>
      <c r="AF5833">
        <v>-7.9549078172947603</v>
      </c>
      <c r="AG5833">
        <v>-1.106481364915</v>
      </c>
      <c r="AH5833">
        <v>30.3052021105336</v>
      </c>
      <c r="AI5833">
        <v>92.022553554011495</v>
      </c>
      <c r="AJ5833">
        <v>104.707936465266</v>
      </c>
      <c r="AK5833">
        <v>31.351397645923999</v>
      </c>
    </row>
    <row r="5834" spans="1:37" x14ac:dyDescent="0.2">
      <c r="A5834" t="str">
        <f>"20200111160016652"</f>
        <v>20200111160016652</v>
      </c>
      <c r="B5834" t="str">
        <f>"1578729616646897"</f>
        <v>1578729616646897</v>
      </c>
      <c r="C5834" t="s">
        <v>37</v>
      </c>
      <c r="D5834">
        <v>5.1727359999999996</v>
      </c>
      <c r="E5834">
        <v>0.429475</v>
      </c>
      <c r="F5834" t="s">
        <v>91</v>
      </c>
      <c r="G5834">
        <v>-224.37129999999999</v>
      </c>
      <c r="H5834" s="1">
        <v>-2.584134E-6</v>
      </c>
      <c r="I5834">
        <v>-54.009050000000002</v>
      </c>
      <c r="J5834">
        <v>-253.65219999999999</v>
      </c>
      <c r="K5834">
        <v>1.1065449999999999</v>
      </c>
      <c r="L5834">
        <v>-61.914919999999903</v>
      </c>
      <c r="M5834">
        <v>0.99985869999999999</v>
      </c>
      <c r="N5834">
        <v>0</v>
      </c>
      <c r="O5834">
        <v>7.5192740000000003E-3</v>
      </c>
      <c r="P5834">
        <v>0.99673719999999999</v>
      </c>
      <c r="Q5834">
        <v>2.7566489999999999E-2</v>
      </c>
      <c r="R5834">
        <v>7.5863150000000004E-2</v>
      </c>
      <c r="S5834">
        <v>2.9542079999999999</v>
      </c>
      <c r="T5834">
        <v>-0.1110473</v>
      </c>
      <c r="U5834">
        <v>0.7937012</v>
      </c>
      <c r="V5834">
        <v>-6.8567290000000003E-2</v>
      </c>
      <c r="W5834">
        <v>4.2231690000000002E-2</v>
      </c>
      <c r="X5834">
        <v>0.99675219999999898</v>
      </c>
      <c r="Y5834">
        <v>-0.25203579999999998</v>
      </c>
      <c r="Z5834">
        <v>4.3752749999999997E-3</v>
      </c>
      <c r="AA5834">
        <v>0.96770809999999996</v>
      </c>
      <c r="AB5834">
        <v>27</v>
      </c>
      <c r="AC5834">
        <v>29.280899999999999</v>
      </c>
      <c r="AD5834">
        <v>-1.106547584134</v>
      </c>
      <c r="AE5834">
        <v>7.9058699999999904</v>
      </c>
      <c r="AF5834">
        <v>-7.6752339188618102</v>
      </c>
      <c r="AG5834">
        <v>-1.106547584134</v>
      </c>
      <c r="AH5834">
        <v>29.3005231247189</v>
      </c>
      <c r="AI5834">
        <v>92.0922481370649</v>
      </c>
      <c r="AJ5834">
        <v>104.678748938743</v>
      </c>
      <c r="AK5834">
        <v>30.309310758369001</v>
      </c>
    </row>
    <row r="5835" spans="1:37" x14ac:dyDescent="0.2">
      <c r="A5835" t="str">
        <f>"20200111160016665"</f>
        <v>20200111160016665</v>
      </c>
      <c r="B5835" t="str">
        <f>"1578729616656657"</f>
        <v>1578729616656657</v>
      </c>
      <c r="C5835" t="s">
        <v>37</v>
      </c>
      <c r="D5835">
        <v>5.3212400000000004</v>
      </c>
      <c r="E5835">
        <v>0.429475</v>
      </c>
      <c r="F5835" t="s">
        <v>91</v>
      </c>
      <c r="G5835">
        <v>-224.8672</v>
      </c>
      <c r="H5835" s="1">
        <v>-2.7207449999999998E-6</v>
      </c>
      <c r="I5835">
        <v>-54.112839999999998</v>
      </c>
      <c r="J5835">
        <v>-253.49799999999999</v>
      </c>
      <c r="K5835">
        <v>1.106606</v>
      </c>
      <c r="L5835">
        <v>-61.912140000000001</v>
      </c>
      <c r="M5835">
        <v>0.99984509999999904</v>
      </c>
      <c r="N5835">
        <v>0</v>
      </c>
      <c r="O5835">
        <v>9.1277999999999897E-3</v>
      </c>
      <c r="P5835">
        <v>0.99650879999999997</v>
      </c>
      <c r="Q5835">
        <v>2.7378469999999999E-2</v>
      </c>
      <c r="R5835">
        <v>7.8871869999999997E-2</v>
      </c>
      <c r="S5835">
        <v>2.9520419999999898</v>
      </c>
      <c r="T5835">
        <v>-0.11348179999999999</v>
      </c>
      <c r="U5835">
        <v>0.80014039999999997</v>
      </c>
      <c r="V5835">
        <v>-6.9978460000000006E-2</v>
      </c>
      <c r="W5835">
        <v>4.2036850000000001E-2</v>
      </c>
      <c r="X5835">
        <v>0.99666239999999995</v>
      </c>
      <c r="Y5835">
        <v>-0.25261790000000001</v>
      </c>
      <c r="Z5835">
        <v>4.4233440000000001E-3</v>
      </c>
      <c r="AA5835">
        <v>0.96755599999999997</v>
      </c>
      <c r="AB5835">
        <v>27</v>
      </c>
      <c r="AC5835">
        <v>28.630799999999901</v>
      </c>
      <c r="AD5835">
        <v>-1.1066087207449999</v>
      </c>
      <c r="AE5835">
        <v>7.7992999999999899</v>
      </c>
      <c r="AF5835">
        <v>-7.5271412103637401</v>
      </c>
      <c r="AG5835">
        <v>-1.1066087207449999</v>
      </c>
      <c r="AH5835">
        <v>28.660946743442501</v>
      </c>
      <c r="AI5835">
        <v>92.1386566159495</v>
      </c>
      <c r="AJ5835">
        <v>104.715116315762</v>
      </c>
      <c r="AK5835">
        <v>29.6535378309576</v>
      </c>
    </row>
    <row r="5836" spans="1:37" x14ac:dyDescent="0.2">
      <c r="A5836" t="str">
        <f>"20200111160016677"</f>
        <v>20200111160016677</v>
      </c>
      <c r="B5836" t="str">
        <f>"1578729616666416"</f>
        <v>1578729616666416</v>
      </c>
      <c r="C5836" t="s">
        <v>37</v>
      </c>
      <c r="D5836">
        <v>5.3682359999999996</v>
      </c>
      <c r="E5836">
        <v>0.430021599999999</v>
      </c>
      <c r="F5836" t="s">
        <v>91</v>
      </c>
      <c r="G5836">
        <v>-225.0145</v>
      </c>
      <c r="H5836" s="1">
        <v>-2.7744529999999899E-6</v>
      </c>
      <c r="I5836">
        <v>-54.101219999999998</v>
      </c>
      <c r="J5836">
        <v>-253.3485</v>
      </c>
      <c r="K5836">
        <v>1.1066530000000001</v>
      </c>
      <c r="L5836">
        <v>-61.908969999999997</v>
      </c>
      <c r="M5836">
        <v>0.99982909999999903</v>
      </c>
      <c r="N5836">
        <v>0</v>
      </c>
      <c r="O5836">
        <v>1.074464E-2</v>
      </c>
      <c r="P5836">
        <v>0.99625520000000001</v>
      </c>
      <c r="Q5836">
        <v>2.7468739999999998E-2</v>
      </c>
      <c r="R5836">
        <v>8.1985100000000005E-2</v>
      </c>
      <c r="S5836">
        <v>2.949646</v>
      </c>
      <c r="T5836">
        <v>-0.114596</v>
      </c>
      <c r="U5836">
        <v>0.80886840000000004</v>
      </c>
      <c r="V5836">
        <v>-7.1486549999999996E-2</v>
      </c>
      <c r="W5836">
        <v>4.2119740000000003E-2</v>
      </c>
      <c r="X5836">
        <v>0.99655190000000005</v>
      </c>
      <c r="Y5836">
        <v>-0.2539131</v>
      </c>
      <c r="Z5836">
        <v>4.4316149999999999E-3</v>
      </c>
      <c r="AA5836">
        <v>0.96721689999999905</v>
      </c>
      <c r="AB5836">
        <v>27</v>
      </c>
      <c r="AC5836">
        <v>28.334</v>
      </c>
      <c r="AD5836">
        <v>-1.1066557744529999</v>
      </c>
      <c r="AE5836">
        <v>7.8077499999999898</v>
      </c>
      <c r="AF5836">
        <v>-7.49220344682782</v>
      </c>
      <c r="AG5836">
        <v>-1.1066557744529999</v>
      </c>
      <c r="AH5836">
        <v>28.376032649507898</v>
      </c>
      <c r="AI5836">
        <v>92.159454720724298</v>
      </c>
      <c r="AJ5836">
        <v>104.790434632155</v>
      </c>
      <c r="AK5836">
        <v>29.369321211388701</v>
      </c>
    </row>
    <row r="5837" spans="1:37" x14ac:dyDescent="0.2">
      <c r="A5837" t="str">
        <f>"20200111160016693"</f>
        <v>20200111160016693</v>
      </c>
      <c r="B5837" t="str">
        <f>"1578729616686913"</f>
        <v>1578729616686913</v>
      </c>
      <c r="C5837" t="s">
        <v>37</v>
      </c>
      <c r="D5837">
        <v>5.1691880000000001</v>
      </c>
      <c r="E5837">
        <v>0.43059560000000002</v>
      </c>
      <c r="F5837" t="s">
        <v>91</v>
      </c>
      <c r="G5837">
        <v>-225.11500000000001</v>
      </c>
      <c r="H5837" s="1">
        <v>-2.8042659999999999E-6</v>
      </c>
      <c r="I5837">
        <v>-54.115389999999998</v>
      </c>
      <c r="J5837">
        <v>-253.16319999999999</v>
      </c>
      <c r="K5837">
        <v>1.1067069999999899</v>
      </c>
      <c r="L5837">
        <v>-61.904789999999998</v>
      </c>
      <c r="M5837">
        <v>0.9998049</v>
      </c>
      <c r="N5837">
        <v>0</v>
      </c>
      <c r="O5837">
        <v>1.2774539999999999E-2</v>
      </c>
      <c r="P5837">
        <v>0.99582479999999995</v>
      </c>
      <c r="Q5837">
        <v>2.754299E-2</v>
      </c>
      <c r="R5837">
        <v>8.7030380000000004E-2</v>
      </c>
      <c r="S5837">
        <v>2.9475099999999999</v>
      </c>
      <c r="T5837">
        <v>-0.115532</v>
      </c>
      <c r="U5837">
        <v>0.81362919999999905</v>
      </c>
      <c r="V5837">
        <v>-7.4517760000000002E-2</v>
      </c>
      <c r="W5837">
        <v>4.2177390000000002E-2</v>
      </c>
      <c r="X5837">
        <v>0.99632730000000003</v>
      </c>
      <c r="Y5837">
        <v>-0.2535792</v>
      </c>
      <c r="Z5837">
        <v>4.3855300000000003E-3</v>
      </c>
      <c r="AA5837">
        <v>0.96730469999999902</v>
      </c>
      <c r="AB5837">
        <v>27</v>
      </c>
      <c r="AC5837">
        <v>28.048199999999898</v>
      </c>
      <c r="AD5837">
        <v>-1.106709804266</v>
      </c>
      <c r="AE5837">
        <v>7.7893999999999997</v>
      </c>
      <c r="AF5837">
        <v>-7.4196962287144403</v>
      </c>
      <c r="AG5837">
        <v>-1.106709804266</v>
      </c>
      <c r="AH5837">
        <v>28.1048051251</v>
      </c>
      <c r="AI5837">
        <v>92.180398134447003</v>
      </c>
      <c r="AJ5837">
        <v>104.788730359008</v>
      </c>
      <c r="AK5837">
        <v>29.088773948674898</v>
      </c>
    </row>
    <row r="5838" spans="1:37" x14ac:dyDescent="0.2">
      <c r="A5838" t="str">
        <f>"20200111160016706"</f>
        <v>20200111160016706</v>
      </c>
      <c r="B5838" t="str">
        <f>"1578729616696672"</f>
        <v>1578729616696672</v>
      </c>
      <c r="C5838" t="s">
        <v>37</v>
      </c>
      <c r="D5838">
        <v>5.1698639999999996</v>
      </c>
      <c r="E5838">
        <v>0.4309152</v>
      </c>
      <c r="F5838" t="s">
        <v>91</v>
      </c>
      <c r="G5838">
        <v>-226.14169999999999</v>
      </c>
      <c r="H5838" s="1">
        <v>-3.0884299999999999E-6</v>
      </c>
      <c r="I5838">
        <v>-54.342779999999998</v>
      </c>
      <c r="J5838">
        <v>-253.00040000000001</v>
      </c>
      <c r="K5838">
        <v>1.106744</v>
      </c>
      <c r="L5838">
        <v>-61.900819999999896</v>
      </c>
      <c r="M5838">
        <v>0.99978009999999995</v>
      </c>
      <c r="N5838">
        <v>0</v>
      </c>
      <c r="O5838">
        <v>1.4584069999999999E-2</v>
      </c>
      <c r="P5838">
        <v>0.99550890000000003</v>
      </c>
      <c r="Q5838">
        <v>2.776926E-2</v>
      </c>
      <c r="R5838">
        <v>9.0505150000000006E-2</v>
      </c>
      <c r="S5838">
        <v>2.9438930000000001</v>
      </c>
      <c r="T5838">
        <v>-0.120572</v>
      </c>
      <c r="U5838">
        <v>0.82385249999999999</v>
      </c>
      <c r="V5838">
        <v>-7.6196849999999997E-2</v>
      </c>
      <c r="W5838">
        <v>4.2394630000000003E-2</v>
      </c>
      <c r="X5838">
        <v>0.9961911</v>
      </c>
      <c r="Y5838">
        <v>-0.25523560000000001</v>
      </c>
      <c r="Z5838">
        <v>4.540667E-3</v>
      </c>
      <c r="AA5838">
        <v>0.96686819999999896</v>
      </c>
      <c r="AB5838">
        <v>27</v>
      </c>
      <c r="AC5838">
        <v>26.858699999999999</v>
      </c>
      <c r="AD5838">
        <v>-1.1067470884299999</v>
      </c>
      <c r="AE5838">
        <v>7.5580399999999903</v>
      </c>
      <c r="AF5838">
        <v>-7.1542261218860599</v>
      </c>
      <c r="AG5838">
        <v>-1.1067470884299999</v>
      </c>
      <c r="AH5838">
        <v>26.9237214031515</v>
      </c>
      <c r="AI5838">
        <v>92.275057198306797</v>
      </c>
      <c r="AJ5838">
        <v>104.880875313202</v>
      </c>
      <c r="AK5838">
        <v>27.8800038507053</v>
      </c>
    </row>
    <row r="5839" spans="1:37" x14ac:dyDescent="0.2">
      <c r="A5839" t="str">
        <f>"20200111160016717"</f>
        <v>20200111160016717</v>
      </c>
      <c r="B5839" t="str">
        <f>"1578729616706432"</f>
        <v>1578729616706432</v>
      </c>
      <c r="C5839" t="s">
        <v>37</v>
      </c>
      <c r="D5839">
        <v>5.2548629999999896</v>
      </c>
      <c r="E5839">
        <v>0.43131029999999998</v>
      </c>
      <c r="F5839" t="s">
        <v>91</v>
      </c>
      <c r="G5839">
        <v>-226.2287</v>
      </c>
      <c r="H5839" s="1">
        <v>-3.1277600000000001E-6</v>
      </c>
      <c r="I5839">
        <v>-54.333599999999997</v>
      </c>
      <c r="J5839">
        <v>-252.8708</v>
      </c>
      <c r="K5839">
        <v>1.10676</v>
      </c>
      <c r="L5839">
        <v>-61.89734</v>
      </c>
      <c r="M5839">
        <v>0.99975769999999997</v>
      </c>
      <c r="N5839">
        <v>0</v>
      </c>
      <c r="O5839">
        <v>1.6044320000000001E-2</v>
      </c>
      <c r="P5839">
        <v>0.99523009999999901</v>
      </c>
      <c r="Q5839">
        <v>2.7923050000000001E-2</v>
      </c>
      <c r="R5839">
        <v>9.3476210000000004E-2</v>
      </c>
      <c r="S5839">
        <v>2.9413450000000001</v>
      </c>
      <c r="T5839">
        <v>-0.1215955</v>
      </c>
      <c r="U5839">
        <v>0.83139039999999997</v>
      </c>
      <c r="V5839">
        <v>-7.7719189999999994E-2</v>
      </c>
      <c r="W5839">
        <v>4.2540399999999999E-2</v>
      </c>
      <c r="X5839">
        <v>0.99606729999999999</v>
      </c>
      <c r="Y5839">
        <v>-0.25633359999999999</v>
      </c>
      <c r="Z5839">
        <v>4.5445720000000002E-3</v>
      </c>
      <c r="AA5839">
        <v>0.96657769999999998</v>
      </c>
      <c r="AB5839">
        <v>27</v>
      </c>
      <c r="AC5839">
        <v>26.642099999999999</v>
      </c>
      <c r="AD5839">
        <v>-1.1067631277600001</v>
      </c>
      <c r="AE5839">
        <v>7.5637400000000001</v>
      </c>
      <c r="AF5839">
        <v>-7.1238863467296403</v>
      </c>
      <c r="AG5839">
        <v>-1.1067631277600001</v>
      </c>
      <c r="AH5839">
        <v>26.717370855877501</v>
      </c>
      <c r="AI5839">
        <v>92.292121225680603</v>
      </c>
      <c r="AJ5839">
        <v>104.929923808746</v>
      </c>
      <c r="AK5839">
        <v>27.6729576798827</v>
      </c>
    </row>
    <row r="5840" spans="1:37" x14ac:dyDescent="0.2">
      <c r="A5840" t="str">
        <f>"20200111160016728"</f>
        <v>20200111160016728</v>
      </c>
      <c r="B5840" t="str">
        <f>"1578729616717168"</f>
        <v>1578729616717168</v>
      </c>
      <c r="C5840" t="s">
        <v>37</v>
      </c>
      <c r="D5840">
        <v>5.3166250000000002</v>
      </c>
      <c r="E5840">
        <v>0.431755</v>
      </c>
      <c r="F5840" t="s">
        <v>91</v>
      </c>
      <c r="G5840">
        <v>-226.2739</v>
      </c>
      <c r="H5840" s="1">
        <v>-3.1491489999999999E-6</v>
      </c>
      <c r="I5840">
        <v>-54.324649999999998</v>
      </c>
      <c r="J5840">
        <v>-252.7388</v>
      </c>
      <c r="K5840">
        <v>1.1067769999999999</v>
      </c>
      <c r="L5840">
        <v>-61.893680000000003</v>
      </c>
      <c r="M5840">
        <v>0.99973239999999997</v>
      </c>
      <c r="N5840">
        <v>0</v>
      </c>
      <c r="O5840">
        <v>1.7536980000000001E-2</v>
      </c>
      <c r="P5840">
        <v>0.99492309999999995</v>
      </c>
      <c r="Q5840">
        <v>2.7728590000000001E-2</v>
      </c>
      <c r="R5840">
        <v>9.6742850000000005E-2</v>
      </c>
      <c r="S5840">
        <v>2.939209</v>
      </c>
      <c r="T5840">
        <v>-0.12230770000000001</v>
      </c>
      <c r="U5840">
        <v>0.83685299999999996</v>
      </c>
      <c r="V5840">
        <v>-7.9502779999999995E-2</v>
      </c>
      <c r="W5840">
        <v>4.2336510000000001E-2</v>
      </c>
      <c r="X5840">
        <v>0.99593519999999902</v>
      </c>
      <c r="Y5840">
        <v>-0.25673550000000001</v>
      </c>
      <c r="Z5840">
        <v>4.5206159999999999E-3</v>
      </c>
      <c r="AA5840">
        <v>0.96647109999999903</v>
      </c>
      <c r="AB5840">
        <v>27</v>
      </c>
      <c r="AC5840">
        <v>26.4649</v>
      </c>
      <c r="AD5840">
        <v>-1.1067801491489999</v>
      </c>
      <c r="AE5840">
        <v>7.5690299999999997</v>
      </c>
      <c r="AF5840">
        <v>-7.0922322995218599</v>
      </c>
      <c r="AG5840">
        <v>-1.1067801491489999</v>
      </c>
      <c r="AH5840">
        <v>26.550657092899399</v>
      </c>
      <c r="AI5840">
        <v>92.306256903173093</v>
      </c>
      <c r="AJ5840">
        <v>104.95570595605101</v>
      </c>
      <c r="AK5840">
        <v>27.5038563360424</v>
      </c>
    </row>
    <row r="5841" spans="1:37" x14ac:dyDescent="0.2">
      <c r="A5841" t="str">
        <f>"20200111160016738"</f>
        <v>20200111160016738</v>
      </c>
      <c r="B5841" t="str">
        <f>"1578729616736689"</f>
        <v>1578729616736689</v>
      </c>
      <c r="C5841" t="s">
        <v>37</v>
      </c>
      <c r="D5841">
        <v>5.2810940000000004</v>
      </c>
      <c r="E5841">
        <v>0.43249149999999997</v>
      </c>
      <c r="F5841" t="s">
        <v>91</v>
      </c>
      <c r="G5841">
        <v>-226.5677</v>
      </c>
      <c r="H5841" s="1">
        <v>-3.2619979999999998E-6</v>
      </c>
      <c r="I5841">
        <v>-54.384340000000002</v>
      </c>
      <c r="J5841">
        <v>-252.60839999999999</v>
      </c>
      <c r="K5841">
        <v>1.1067899999999999</v>
      </c>
      <c r="L5841">
        <v>-61.889769999999999</v>
      </c>
      <c r="M5841">
        <v>0.99970539999999997</v>
      </c>
      <c r="N5841">
        <v>0</v>
      </c>
      <c r="O5841">
        <v>1.9019660000000001E-2</v>
      </c>
      <c r="P5841">
        <v>0.99461390000000005</v>
      </c>
      <c r="Q5841">
        <v>2.7464539999999999E-2</v>
      </c>
      <c r="R5841">
        <v>9.9944000000000005E-2</v>
      </c>
      <c r="S5841">
        <v>2.9368590000000001</v>
      </c>
      <c r="T5841">
        <v>-0.12420059999999999</v>
      </c>
      <c r="U5841">
        <v>0.84268189999999998</v>
      </c>
      <c r="V5841">
        <v>-8.1230789999999997E-2</v>
      </c>
      <c r="W5841">
        <v>4.206352E-2</v>
      </c>
      <c r="X5841">
        <v>0.99580729999999995</v>
      </c>
      <c r="Y5841">
        <v>-0.25727359999999999</v>
      </c>
      <c r="Z5841">
        <v>4.5426199999999998E-3</v>
      </c>
      <c r="AA5841">
        <v>0.96632790000000002</v>
      </c>
      <c r="AB5841">
        <v>27</v>
      </c>
      <c r="AC5841">
        <v>26.040699999999902</v>
      </c>
      <c r="AD5841">
        <v>-1.1067932619980001</v>
      </c>
      <c r="AE5841">
        <v>7.5054299999999898</v>
      </c>
      <c r="AF5841">
        <v>-6.9970600335885402</v>
      </c>
      <c r="AG5841">
        <v>-1.1067932619980001</v>
      </c>
      <c r="AH5841">
        <v>26.135164436303</v>
      </c>
      <c r="AI5841">
        <v>92.342555193613293</v>
      </c>
      <c r="AJ5841">
        <v>104.98806184502099</v>
      </c>
      <c r="AK5841">
        <v>27.078232227216098</v>
      </c>
    </row>
    <row r="5842" spans="1:37" x14ac:dyDescent="0.2">
      <c r="A5842" t="str">
        <f>"20200111160016750"</f>
        <v>20200111160016750</v>
      </c>
      <c r="B5842" t="str">
        <f>"1578729616746448"</f>
        <v>1578729616746448</v>
      </c>
      <c r="C5842" t="s">
        <v>37</v>
      </c>
      <c r="D5842">
        <v>5.2677670000000001</v>
      </c>
      <c r="E5842">
        <v>0.43297780000000002</v>
      </c>
      <c r="F5842" t="s">
        <v>91</v>
      </c>
      <c r="G5842">
        <v>-227.24369999999999</v>
      </c>
      <c r="H5842" s="1">
        <v>-3.50923499999999E-6</v>
      </c>
      <c r="I5842">
        <v>-54.577680000000001</v>
      </c>
      <c r="J5842">
        <v>-252.48150000000001</v>
      </c>
      <c r="K5842">
        <v>1.1067959999999999</v>
      </c>
      <c r="L5842">
        <v>-61.885829999999999</v>
      </c>
      <c r="M5842">
        <v>0.99967669999999997</v>
      </c>
      <c r="N5842">
        <v>0</v>
      </c>
      <c r="O5842">
        <v>2.0465589999999999E-2</v>
      </c>
      <c r="P5842">
        <v>0.99428359999999905</v>
      </c>
      <c r="Q5842">
        <v>2.7208340000000001E-2</v>
      </c>
      <c r="R5842">
        <v>0.1032468</v>
      </c>
      <c r="S5842">
        <v>2.9347989999999999</v>
      </c>
      <c r="T5842">
        <v>-0.12806049999999999</v>
      </c>
      <c r="U5842">
        <v>0.84603879999999998</v>
      </c>
      <c r="V5842">
        <v>-8.3098169999999999E-2</v>
      </c>
      <c r="W5842">
        <v>4.1797210000000001E-2</v>
      </c>
      <c r="X5842">
        <v>0.9956644</v>
      </c>
      <c r="Y5842">
        <v>-0.2570654</v>
      </c>
      <c r="Z5842">
        <v>4.6199379999999996E-3</v>
      </c>
      <c r="AA5842">
        <v>0.96638299999999999</v>
      </c>
      <c r="AB5842">
        <v>27</v>
      </c>
      <c r="AC5842">
        <v>25.2378</v>
      </c>
      <c r="AD5842">
        <v>-1.10679950923499</v>
      </c>
      <c r="AE5842">
        <v>7.3081499999999897</v>
      </c>
      <c r="AF5842">
        <v>-6.7780264421337497</v>
      </c>
      <c r="AG5842">
        <v>-1.10679950923499</v>
      </c>
      <c r="AH5842">
        <v>25.337135952215601</v>
      </c>
      <c r="AI5842">
        <v>92.416392746350198</v>
      </c>
      <c r="AJ5842">
        <v>104.97670745804599</v>
      </c>
      <c r="AK5842">
        <v>26.251421025631501</v>
      </c>
    </row>
    <row r="5843" spans="1:37" x14ac:dyDescent="0.2">
      <c r="A5843" t="str">
        <f>"20200111160016762"</f>
        <v>20200111160016762</v>
      </c>
      <c r="B5843" t="str">
        <f>"1578729616757184"</f>
        <v>1578729616757184</v>
      </c>
      <c r="C5843" t="s">
        <v>37</v>
      </c>
      <c r="D5843">
        <v>5.6918600000000001</v>
      </c>
      <c r="E5843">
        <v>0.43297780000000002</v>
      </c>
      <c r="F5843" t="s">
        <v>91</v>
      </c>
      <c r="G5843">
        <v>-227.60820000000001</v>
      </c>
      <c r="H5843" s="1">
        <v>-3.647294E-6</v>
      </c>
      <c r="I5843">
        <v>-54.660559999999997</v>
      </c>
      <c r="J5843">
        <v>-252.33320000000001</v>
      </c>
      <c r="K5843">
        <v>1.1067940000000001</v>
      </c>
      <c r="L5843">
        <v>-61.881009999999897</v>
      </c>
      <c r="M5843">
        <v>0.99964050000000004</v>
      </c>
      <c r="N5843">
        <v>0</v>
      </c>
      <c r="O5843">
        <v>2.215818E-2</v>
      </c>
      <c r="P5843">
        <v>0.99397190000000002</v>
      </c>
      <c r="Q5843">
        <v>2.7121059999999999E-2</v>
      </c>
      <c r="R5843">
        <v>0.1062293</v>
      </c>
      <c r="S5843">
        <v>2.9323730000000001</v>
      </c>
      <c r="T5843">
        <v>-0.13048360000000001</v>
      </c>
      <c r="U5843">
        <v>0.85180659999999897</v>
      </c>
      <c r="V5843">
        <v>-8.4399769999999999E-2</v>
      </c>
      <c r="W5843">
        <v>4.1704789999999999E-2</v>
      </c>
      <c r="X5843">
        <v>0.99555890000000002</v>
      </c>
      <c r="Y5843">
        <v>-0.25738899999999998</v>
      </c>
      <c r="Z5843">
        <v>4.643164E-3</v>
      </c>
      <c r="AA5843">
        <v>0.96629669999999901</v>
      </c>
      <c r="AB5843">
        <v>27</v>
      </c>
      <c r="AC5843">
        <v>24.724999999999898</v>
      </c>
      <c r="AD5843">
        <v>-1.106797647294</v>
      </c>
      <c r="AE5843">
        <v>7.2204499999999996</v>
      </c>
      <c r="AF5843">
        <v>-6.6584593220170802</v>
      </c>
      <c r="AG5843">
        <v>-1.106797647294</v>
      </c>
      <c r="AH5843">
        <v>24.8330869886484</v>
      </c>
      <c r="AI5843">
        <v>92.464996950033495</v>
      </c>
      <c r="AJ5843">
        <v>105.00958699943899</v>
      </c>
      <c r="AK5843">
        <v>25.734068682600299</v>
      </c>
    </row>
    <row r="5844" spans="1:37" x14ac:dyDescent="0.2">
      <c r="A5844" t="str">
        <f>"20200111160016773"</f>
        <v>20200111160016773</v>
      </c>
      <c r="B5844" t="str">
        <f>"1578729616766944"</f>
        <v>1578729616766944</v>
      </c>
      <c r="C5844" t="s">
        <v>37</v>
      </c>
      <c r="D5844">
        <v>5.3018869999999998</v>
      </c>
      <c r="E5844">
        <v>0.46198040000000001</v>
      </c>
      <c r="F5844" t="s">
        <v>91</v>
      </c>
      <c r="G5844">
        <v>-227.5779</v>
      </c>
      <c r="H5844" s="1">
        <v>-3.645459E-6</v>
      </c>
      <c r="I5844">
        <v>-54.61</v>
      </c>
      <c r="J5844">
        <v>-252.20320000000001</v>
      </c>
      <c r="K5844">
        <v>1.1067929999999999</v>
      </c>
      <c r="L5844">
        <v>-61.8765</v>
      </c>
      <c r="M5844">
        <v>0.99960640000000001</v>
      </c>
      <c r="N5844">
        <v>0</v>
      </c>
      <c r="O5844">
        <v>2.3642710000000001E-2</v>
      </c>
      <c r="P5844">
        <v>0.993591</v>
      </c>
      <c r="Q5844">
        <v>2.6977279999999999E-2</v>
      </c>
      <c r="R5844">
        <v>0.10976849999999901</v>
      </c>
      <c r="S5844">
        <v>2.9298250000000001</v>
      </c>
      <c r="T5844">
        <v>-0.130991</v>
      </c>
      <c r="U5844">
        <v>0.86053469999999999</v>
      </c>
      <c r="V5844">
        <v>-8.6466609999999999E-2</v>
      </c>
      <c r="W5844">
        <v>4.1549950000000002E-2</v>
      </c>
      <c r="X5844">
        <v>0.99538789999999999</v>
      </c>
      <c r="Y5844">
        <v>-0.25882929999999998</v>
      </c>
      <c r="Z5844">
        <v>4.6298550000000004E-3</v>
      </c>
      <c r="AA5844">
        <v>0.96591199999999999</v>
      </c>
      <c r="AB5844">
        <v>27</v>
      </c>
      <c r="AC5844">
        <v>24.625299999999999</v>
      </c>
      <c r="AD5844">
        <v>-1.1067966454589999</v>
      </c>
      <c r="AE5844">
        <v>7.2664999999999997</v>
      </c>
      <c r="AF5844">
        <v>-6.6697986947213099</v>
      </c>
      <c r="AG5844">
        <v>-1.1067966454589999</v>
      </c>
      <c r="AH5844">
        <v>24.744252310627399</v>
      </c>
      <c r="AI5844">
        <v>92.472953332264396</v>
      </c>
      <c r="AJ5844">
        <v>105.08550984303299</v>
      </c>
      <c r="AK5844">
        <v>25.651300860862701</v>
      </c>
    </row>
    <row r="5845" spans="1:37" x14ac:dyDescent="0.2">
      <c r="A5845" t="str">
        <f>"20200111160016784"</f>
        <v>20200111160016784</v>
      </c>
      <c r="B5845" t="str">
        <f>"1578729616776704"</f>
        <v>1578729616776704</v>
      </c>
      <c r="C5845" t="s">
        <v>37</v>
      </c>
      <c r="D5845">
        <v>5.2765690000000003</v>
      </c>
      <c r="E5845">
        <v>0.46903889999999998</v>
      </c>
      <c r="F5845" t="s">
        <v>90</v>
      </c>
      <c r="G5845">
        <v>-233.4864</v>
      </c>
      <c r="H5845" s="1">
        <v>-9.4037230000000003E-7</v>
      </c>
      <c r="I5845">
        <v>-57.804130000000001</v>
      </c>
      <c r="J5845">
        <v>-252.06219999999999</v>
      </c>
      <c r="K5845">
        <v>1.106797</v>
      </c>
      <c r="L5845">
        <v>-61.871490000000001</v>
      </c>
      <c r="M5845">
        <v>0.99956719999999899</v>
      </c>
      <c r="N5845">
        <v>0</v>
      </c>
      <c r="O5845">
        <v>2.5253580000000001E-2</v>
      </c>
      <c r="P5845">
        <v>0.99323069999999902</v>
      </c>
      <c r="Q5845">
        <v>2.6689230000000001E-2</v>
      </c>
      <c r="R5845">
        <v>0.11305129999999999</v>
      </c>
      <c r="S5845">
        <v>2.9530939999999899</v>
      </c>
      <c r="T5845">
        <v>-0.17462710000000001</v>
      </c>
      <c r="U5845">
        <v>0.64251709999999995</v>
      </c>
      <c r="V5845">
        <v>-8.8151099999999996E-2</v>
      </c>
      <c r="W5845">
        <v>4.1253610000000003E-2</v>
      </c>
      <c r="X5845">
        <v>0.99525249999999998</v>
      </c>
      <c r="Y5845">
        <v>-0.187583</v>
      </c>
      <c r="Z5845">
        <v>4.0036029999999997E-3</v>
      </c>
      <c r="AA5845">
        <v>0.98224059999999902</v>
      </c>
      <c r="AB5845">
        <v>27</v>
      </c>
      <c r="AC5845">
        <v>18.575799999999902</v>
      </c>
      <c r="AD5845">
        <v>-1.1067979403723001</v>
      </c>
      <c r="AE5845">
        <v>4.0673599999999901</v>
      </c>
      <c r="AF5845">
        <v>-3.58475961438507</v>
      </c>
      <c r="AG5845">
        <v>-1.1067979403723001</v>
      </c>
      <c r="AH5845">
        <v>18.609558080129201</v>
      </c>
      <c r="AI5845">
        <v>93.342337135857704</v>
      </c>
      <c r="AJ5845">
        <v>100.90333558034899</v>
      </c>
      <c r="AK5845">
        <v>18.983971004809302</v>
      </c>
    </row>
    <row r="5846" spans="1:37" x14ac:dyDescent="0.2">
      <c r="A5846" t="str">
        <f>"20200111160016795"</f>
        <v>20200111160016795</v>
      </c>
      <c r="B5846" t="str">
        <f>"1578729616786464"</f>
        <v>1578729616786464</v>
      </c>
      <c r="C5846" t="s">
        <v>37</v>
      </c>
      <c r="D5846">
        <v>5.3532739999999999</v>
      </c>
      <c r="E5846">
        <v>0.47902829999999902</v>
      </c>
      <c r="F5846" t="s">
        <v>90</v>
      </c>
      <c r="G5846">
        <v>-236.3244</v>
      </c>
      <c r="H5846" s="1">
        <v>-2.0002649999999998E-6</v>
      </c>
      <c r="I5846">
        <v>-58.6926699999999</v>
      </c>
      <c r="J5846">
        <v>-251.9383</v>
      </c>
      <c r="K5846">
        <v>1.106797</v>
      </c>
      <c r="L5846">
        <v>-61.866819999999997</v>
      </c>
      <c r="M5846">
        <v>0.99953040000000004</v>
      </c>
      <c r="N5846">
        <v>0</v>
      </c>
      <c r="O5846">
        <v>2.666584E-2</v>
      </c>
      <c r="P5846">
        <v>0.99291620000000003</v>
      </c>
      <c r="Q5846">
        <v>2.6840389999999999E-2</v>
      </c>
      <c r="R5846">
        <v>0.1157469</v>
      </c>
      <c r="S5846">
        <v>2.9580380000000002</v>
      </c>
      <c r="T5846">
        <v>-0.20803170000000001</v>
      </c>
      <c r="U5846">
        <v>0.59747309999999998</v>
      </c>
      <c r="V5846">
        <v>-8.9447009999999993E-2</v>
      </c>
      <c r="W5846">
        <v>4.1398440000000002E-2</v>
      </c>
      <c r="X5846">
        <v>0.99513079999999998</v>
      </c>
      <c r="Y5846">
        <v>-0.1714302</v>
      </c>
      <c r="Z5846">
        <v>4.1075440000000003E-3</v>
      </c>
      <c r="AA5846">
        <v>0.9851877</v>
      </c>
      <c r="AB5846">
        <v>27</v>
      </c>
      <c r="AC5846">
        <v>15.613899999999999</v>
      </c>
      <c r="AD5846">
        <v>-1.1067990002650001</v>
      </c>
      <c r="AE5846">
        <v>3.17415</v>
      </c>
      <c r="AF5846">
        <v>-2.7433780869980802</v>
      </c>
      <c r="AG5846">
        <v>-1.1067990002650001</v>
      </c>
      <c r="AH5846">
        <v>15.6176371393286</v>
      </c>
      <c r="AI5846">
        <v>93.992760247972001</v>
      </c>
      <c r="AJ5846">
        <v>99.962875796551401</v>
      </c>
      <c r="AK5846">
        <v>15.8953363339989</v>
      </c>
    </row>
    <row r="5847" spans="1:37" x14ac:dyDescent="0.2">
      <c r="A5847" t="str">
        <f>"20200111160016806"</f>
        <v>20200111160016806</v>
      </c>
      <c r="B5847" t="str">
        <f>"1578729616796224"</f>
        <v>1578729616796224</v>
      </c>
      <c r="C5847" t="s">
        <v>37</v>
      </c>
      <c r="D5847">
        <v>5.3466360000000002</v>
      </c>
      <c r="E5847">
        <v>0.48678450000000001</v>
      </c>
      <c r="F5847" t="s">
        <v>90</v>
      </c>
      <c r="G5847">
        <v>-236.85640000000001</v>
      </c>
      <c r="H5847" s="1">
        <v>-2.1405070000000001E-6</v>
      </c>
      <c r="I5847">
        <v>-59.188719999999897</v>
      </c>
      <c r="J5847">
        <v>-251.8075</v>
      </c>
      <c r="K5847">
        <v>1.1067959999999999</v>
      </c>
      <c r="L5847">
        <v>-61.861789999999999</v>
      </c>
      <c r="M5847">
        <v>0.99948959999999998</v>
      </c>
      <c r="N5847">
        <v>0</v>
      </c>
      <c r="O5847">
        <v>2.8156230000000001E-2</v>
      </c>
      <c r="P5847">
        <v>0.9926353</v>
      </c>
      <c r="Q5847">
        <v>2.6870539999999998E-2</v>
      </c>
      <c r="R5847">
        <v>0.118124299999999</v>
      </c>
      <c r="S5847">
        <v>2.965881</v>
      </c>
      <c r="T5847">
        <v>-0.21765409999999999</v>
      </c>
      <c r="U5847">
        <v>0.52664180000000005</v>
      </c>
      <c r="V5847">
        <v>-9.0346079999999995E-2</v>
      </c>
      <c r="W5847">
        <v>4.1424160000000002E-2</v>
      </c>
      <c r="X5847">
        <v>0.99504859999999995</v>
      </c>
      <c r="Y5847">
        <v>-0.1467281</v>
      </c>
      <c r="Z5847">
        <v>3.288792E-3</v>
      </c>
      <c r="AA5847">
        <v>0.98917140000000003</v>
      </c>
      <c r="AB5847">
        <v>27</v>
      </c>
      <c r="AC5847">
        <v>14.951099999999901</v>
      </c>
      <c r="AD5847">
        <v>-1.106798140507</v>
      </c>
      <c r="AE5847">
        <v>2.6730700000000001</v>
      </c>
      <c r="AF5847">
        <v>-2.2391049218799002</v>
      </c>
      <c r="AG5847">
        <v>-1.106798140507</v>
      </c>
      <c r="AH5847">
        <v>14.941100285673899</v>
      </c>
      <c r="AI5847">
        <v>94.189965559426099</v>
      </c>
      <c r="AJ5847">
        <v>98.523039191231504</v>
      </c>
      <c r="AK5847">
        <v>15.1484345964057</v>
      </c>
    </row>
    <row r="5848" spans="1:37" x14ac:dyDescent="0.2">
      <c r="A5848" t="str">
        <f>"20200111160016818"</f>
        <v>20200111160016818</v>
      </c>
      <c r="B5848" t="str">
        <f>"1578729616806961"</f>
        <v>1578729616806961</v>
      </c>
      <c r="C5848" t="s">
        <v>37</v>
      </c>
      <c r="D5848">
        <v>5.410088</v>
      </c>
      <c r="E5848">
        <v>0.49235689999999999</v>
      </c>
      <c r="F5848" t="s">
        <v>90</v>
      </c>
      <c r="G5848">
        <v>-237.5753</v>
      </c>
      <c r="H5848" s="1">
        <v>-2.37636599999999E-6</v>
      </c>
      <c r="I5848">
        <v>-59.597559999999902</v>
      </c>
      <c r="J5848">
        <v>-251.6653</v>
      </c>
      <c r="K5848">
        <v>1.1067910000000001</v>
      </c>
      <c r="L5848">
        <v>-61.855989999999998</v>
      </c>
      <c r="M5848">
        <v>0.99944259999999996</v>
      </c>
      <c r="N5848">
        <v>0</v>
      </c>
      <c r="O5848">
        <v>2.9772659999999999E-2</v>
      </c>
      <c r="P5848">
        <v>0.99233289999999996</v>
      </c>
      <c r="Q5848">
        <v>2.6835990000000001E-2</v>
      </c>
      <c r="R5848">
        <v>0.120645899999999</v>
      </c>
      <c r="S5848">
        <v>2.9722140000000001</v>
      </c>
      <c r="T5848">
        <v>-0.23114000000000001</v>
      </c>
      <c r="U5848">
        <v>0.47283940000000002</v>
      </c>
      <c r="V5848">
        <v>-9.1264789999999998E-2</v>
      </c>
      <c r="W5848">
        <v>4.1386050000000001E-2</v>
      </c>
      <c r="X5848">
        <v>0.99496629999999997</v>
      </c>
      <c r="Y5848">
        <v>-0.12734799999999999</v>
      </c>
      <c r="Z5848">
        <v>2.6173960000000001E-3</v>
      </c>
      <c r="AA5848">
        <v>0.99185469999999898</v>
      </c>
      <c r="AB5848">
        <v>27</v>
      </c>
      <c r="AC5848">
        <v>14.09</v>
      </c>
      <c r="AD5848">
        <v>-1.1067933763660001</v>
      </c>
      <c r="AE5848">
        <v>2.2584300000000099</v>
      </c>
      <c r="AF5848">
        <v>-1.82689372346646</v>
      </c>
      <c r="AG5848">
        <v>-1.1067933763660001</v>
      </c>
      <c r="AH5848">
        <v>14.066378858339601</v>
      </c>
      <c r="AI5848">
        <v>94.461650281059903</v>
      </c>
      <c r="AJ5848">
        <v>97.399960275547102</v>
      </c>
      <c r="AK5848">
        <v>14.227633198854701</v>
      </c>
    </row>
    <row r="5849" spans="1:37" x14ac:dyDescent="0.2">
      <c r="A5849" t="str">
        <f>"20200111160016830"</f>
        <v>20200111160016830</v>
      </c>
      <c r="B5849" t="str">
        <f>"1578729616826480"</f>
        <v>1578729616826480</v>
      </c>
      <c r="C5849" t="s">
        <v>37</v>
      </c>
      <c r="D5849">
        <v>5.3664849999999999</v>
      </c>
      <c r="E5849">
        <v>0.49925829999999999</v>
      </c>
      <c r="F5849" t="s">
        <v>90</v>
      </c>
      <c r="G5849">
        <v>-237.8672</v>
      </c>
      <c r="H5849" s="1">
        <v>-2.4599759999999999E-6</v>
      </c>
      <c r="I5849">
        <v>-59.832259999999998</v>
      </c>
      <c r="J5849">
        <v>-251.52879999999999</v>
      </c>
      <c r="K5849">
        <v>1.106792</v>
      </c>
      <c r="L5849">
        <v>-61.850250000000003</v>
      </c>
      <c r="M5849">
        <v>0.99939529999999999</v>
      </c>
      <c r="N5849">
        <v>0</v>
      </c>
      <c r="O5849">
        <v>3.1320960000000002E-2</v>
      </c>
      <c r="P5849">
        <v>0.99208560000000001</v>
      </c>
      <c r="Q5849">
        <v>2.6453959999999999E-2</v>
      </c>
      <c r="R5849">
        <v>0.1227452</v>
      </c>
      <c r="S5849">
        <v>2.9765779999999999</v>
      </c>
      <c r="T5849">
        <v>-0.2387621</v>
      </c>
      <c r="U5849">
        <v>0.436554</v>
      </c>
      <c r="V5849">
        <v>-9.1825589999999999E-2</v>
      </c>
      <c r="W5849">
        <v>4.1002520000000001E-2</v>
      </c>
      <c r="X5849">
        <v>0.9949306</v>
      </c>
      <c r="Y5849">
        <v>-0.1137875</v>
      </c>
      <c r="Z5849">
        <v>2.0385939999999999E-3</v>
      </c>
      <c r="AA5849">
        <v>0.99350300000000002</v>
      </c>
      <c r="AB5849">
        <v>27</v>
      </c>
      <c r="AC5849">
        <v>13.6615999999999</v>
      </c>
      <c r="AD5849">
        <v>-1.106794459976</v>
      </c>
      <c r="AE5849">
        <v>2.0179900000000002</v>
      </c>
      <c r="AF5849">
        <v>-1.57891467146467</v>
      </c>
      <c r="AG5849">
        <v>-1.106794459976</v>
      </c>
      <c r="AH5849">
        <v>13.630555512878599</v>
      </c>
      <c r="AI5849">
        <v>94.611503325034704</v>
      </c>
      <c r="AJ5849">
        <v>96.607489383223395</v>
      </c>
      <c r="AK5849">
        <v>13.7662634402392</v>
      </c>
    </row>
    <row r="5850" spans="1:37" x14ac:dyDescent="0.2">
      <c r="A5850" t="str">
        <f>"20200111160016842"</f>
        <v>20200111160016842</v>
      </c>
      <c r="B5850" t="str">
        <f>"1578729616837217"</f>
        <v>1578729616837217</v>
      </c>
      <c r="C5850" t="s">
        <v>37</v>
      </c>
      <c r="D5850">
        <v>5.3514299999999997</v>
      </c>
      <c r="E5850">
        <v>0.50177340000000004</v>
      </c>
      <c r="F5850" t="s">
        <v>90</v>
      </c>
      <c r="G5850">
        <v>-238.30359999999999</v>
      </c>
      <c r="H5850" s="1">
        <v>-2.594973E-6</v>
      </c>
      <c r="I5850">
        <v>-60.126419999999897</v>
      </c>
      <c r="J5850">
        <v>-251.38839999999999</v>
      </c>
      <c r="K5850">
        <v>1.106787</v>
      </c>
      <c r="L5850">
        <v>-61.844180000000001</v>
      </c>
      <c r="M5850">
        <v>0.99934419999999902</v>
      </c>
      <c r="N5850">
        <v>0</v>
      </c>
      <c r="O5850">
        <v>3.291057E-2</v>
      </c>
      <c r="P5850">
        <v>0.99188109999999996</v>
      </c>
      <c r="Q5850">
        <v>2.618786E-2</v>
      </c>
      <c r="R5850">
        <v>0.1244425</v>
      </c>
      <c r="S5850">
        <v>2.9824830000000002</v>
      </c>
      <c r="T5850">
        <v>-0.24959780000000001</v>
      </c>
      <c r="U5850">
        <v>0.38873289999999999</v>
      </c>
      <c r="V5850">
        <v>-9.1943289999999997E-2</v>
      </c>
      <c r="W5850">
        <v>4.0737139999999998E-2</v>
      </c>
      <c r="X5850">
        <v>0.9949306</v>
      </c>
      <c r="Y5850">
        <v>-9.6319459999999996E-2</v>
      </c>
      <c r="Z5850">
        <v>1.270123E-3</v>
      </c>
      <c r="AA5850">
        <v>0.99534959999999995</v>
      </c>
      <c r="AB5850">
        <v>27</v>
      </c>
      <c r="AC5850">
        <v>13.0848</v>
      </c>
      <c r="AD5850">
        <v>-1.106789594973</v>
      </c>
      <c r="AE5850">
        <v>1.71776</v>
      </c>
      <c r="AF5850">
        <v>-1.2771688974787601</v>
      </c>
      <c r="AG5850">
        <v>-1.106789594973</v>
      </c>
      <c r="AH5850">
        <v>13.042513995643899</v>
      </c>
      <c r="AI5850">
        <v>94.827526567793299</v>
      </c>
      <c r="AJ5850">
        <v>95.592773571957594</v>
      </c>
      <c r="AK5850">
        <v>13.1515518067944</v>
      </c>
    </row>
    <row r="5851" spans="1:37" x14ac:dyDescent="0.2">
      <c r="A5851" t="str">
        <f>"20200111160016853"</f>
        <v>20200111160016853</v>
      </c>
      <c r="B5851" t="str">
        <f>"1578729616846976"</f>
        <v>1578729616846976</v>
      </c>
      <c r="C5851" t="s">
        <v>37</v>
      </c>
      <c r="D5851">
        <v>5.3572800000000003</v>
      </c>
      <c r="E5851">
        <v>0.50386220000000004</v>
      </c>
      <c r="F5851" t="s">
        <v>90</v>
      </c>
      <c r="G5851">
        <v>-238.38669999999999</v>
      </c>
      <c r="H5851" s="1">
        <v>-2.615002E-6</v>
      </c>
      <c r="I5851">
        <v>-60.21463</v>
      </c>
      <c r="J5851">
        <v>-251.2561</v>
      </c>
      <c r="K5851">
        <v>1.1067849999999999</v>
      </c>
      <c r="L5851">
        <v>-61.838169999999998</v>
      </c>
      <c r="M5851">
        <v>0.99929389999999996</v>
      </c>
      <c r="N5851">
        <v>0</v>
      </c>
      <c r="O5851">
        <v>3.4405369999999998E-2</v>
      </c>
      <c r="P5851">
        <v>0.99164030000000003</v>
      </c>
      <c r="Q5851">
        <v>2.571857E-2</v>
      </c>
      <c r="R5851">
        <v>0.1264438</v>
      </c>
      <c r="S5851">
        <v>2.9843439999999899</v>
      </c>
      <c r="T5851">
        <v>-0.25404660000000001</v>
      </c>
      <c r="U5851">
        <v>0.37402340000000001</v>
      </c>
      <c r="V5851">
        <v>-9.2459319999999998E-2</v>
      </c>
      <c r="W5851">
        <v>4.0266419999999997E-2</v>
      </c>
      <c r="X5851">
        <v>0.99490199999999995</v>
      </c>
      <c r="Y5851">
        <v>-8.9942279999999999E-2</v>
      </c>
      <c r="Z5851">
        <v>8.9598279999999998E-4</v>
      </c>
      <c r="AA5851">
        <v>0.99594660000000002</v>
      </c>
      <c r="AB5851">
        <v>27</v>
      </c>
      <c r="AC5851">
        <v>12.869400000000001</v>
      </c>
      <c r="AD5851">
        <v>-1.106787615002</v>
      </c>
      <c r="AE5851">
        <v>1.62353999999999</v>
      </c>
      <c r="AF5851">
        <v>-1.17122466174131</v>
      </c>
      <c r="AG5851">
        <v>-1.106787615002</v>
      </c>
      <c r="AH5851">
        <v>12.824278195185</v>
      </c>
      <c r="AI5851">
        <v>94.912294045091002</v>
      </c>
      <c r="AJ5851">
        <v>95.218272795451597</v>
      </c>
      <c r="AK5851">
        <v>12.925125038485801</v>
      </c>
    </row>
    <row r="5852" spans="1:37" x14ac:dyDescent="0.2">
      <c r="A5852" t="str">
        <f>"20200111160016865"</f>
        <v>20200111160016865</v>
      </c>
      <c r="B5852" t="str">
        <f>"1578729616856736"</f>
        <v>1578729616856736</v>
      </c>
      <c r="C5852" t="s">
        <v>37</v>
      </c>
      <c r="D5852">
        <v>5.3644939999999997</v>
      </c>
      <c r="E5852">
        <v>0.50555839999999996</v>
      </c>
      <c r="F5852" t="s">
        <v>90</v>
      </c>
      <c r="G5852">
        <v>-238.43049999999999</v>
      </c>
      <c r="H5852" s="1">
        <v>-2.6228039999999998E-6</v>
      </c>
      <c r="I5852">
        <v>-60.276479999999999</v>
      </c>
      <c r="J5852">
        <v>-251.1062</v>
      </c>
      <c r="K5852">
        <v>1.106781</v>
      </c>
      <c r="L5852">
        <v>-61.831240000000001</v>
      </c>
      <c r="M5852">
        <v>0.99923419999999896</v>
      </c>
      <c r="N5852">
        <v>0</v>
      </c>
      <c r="O5852">
        <v>3.6095700000000001E-2</v>
      </c>
      <c r="P5852">
        <v>0.99140819999999996</v>
      </c>
      <c r="Q5852">
        <v>2.5316410000000001E-2</v>
      </c>
      <c r="R5852">
        <v>0.12833069999999999</v>
      </c>
      <c r="S5852">
        <v>2.9856259999999999</v>
      </c>
      <c r="T5852">
        <v>-0.25764539999999903</v>
      </c>
      <c r="U5852">
        <v>0.3635254</v>
      </c>
      <c r="V5852">
        <v>-9.2666709999999999E-2</v>
      </c>
      <c r="W5852">
        <v>3.9863820000000001E-2</v>
      </c>
      <c r="X5852">
        <v>0.99489889999999903</v>
      </c>
      <c r="Y5852">
        <v>-8.4773829999999994E-2</v>
      </c>
      <c r="Z5852">
        <v>5.4175619999999997E-4</v>
      </c>
      <c r="AA5852">
        <v>0.99640010000000001</v>
      </c>
      <c r="AB5852">
        <v>27</v>
      </c>
      <c r="AC5852">
        <v>12.675700000000001</v>
      </c>
      <c r="AD5852">
        <v>-1.106783622804</v>
      </c>
      <c r="AE5852">
        <v>1.5547599999999899</v>
      </c>
      <c r="AF5852">
        <v>-1.08798430744555</v>
      </c>
      <c r="AG5852">
        <v>-1.106783622804</v>
      </c>
      <c r="AH5852">
        <v>12.628710449876101</v>
      </c>
      <c r="AI5852">
        <v>94.990229525614595</v>
      </c>
      <c r="AJ5852">
        <v>94.923968180957402</v>
      </c>
      <c r="AK5852">
        <v>12.723718303537099</v>
      </c>
    </row>
    <row r="5853" spans="1:37" x14ac:dyDescent="0.2">
      <c r="A5853" t="str">
        <f>"20200111160016877"</f>
        <v>20200111160016877</v>
      </c>
      <c r="B5853" t="str">
        <f>"1578729616866496"</f>
        <v>1578729616866496</v>
      </c>
      <c r="C5853" t="s">
        <v>37</v>
      </c>
      <c r="D5853">
        <v>5.3307089999999997</v>
      </c>
      <c r="E5853">
        <v>0.50729139999999995</v>
      </c>
      <c r="F5853" t="s">
        <v>90</v>
      </c>
      <c r="G5853">
        <v>-238.29679999999999</v>
      </c>
      <c r="H5853" s="1">
        <v>-2.560129E-6</v>
      </c>
      <c r="I5853">
        <v>-60.306579999999997</v>
      </c>
      <c r="J5853">
        <v>-250.96799999999999</v>
      </c>
      <c r="K5853">
        <v>1.1067750000000001</v>
      </c>
      <c r="L5853">
        <v>-61.8245199999999</v>
      </c>
      <c r="M5853">
        <v>0.99917690000000003</v>
      </c>
      <c r="N5853">
        <v>0</v>
      </c>
      <c r="O5853">
        <v>3.764841E-2</v>
      </c>
      <c r="P5853">
        <v>0.99119519999999905</v>
      </c>
      <c r="Q5853">
        <v>2.5007299999999899E-2</v>
      </c>
      <c r="R5853">
        <v>0.13002649999999999</v>
      </c>
      <c r="S5853">
        <v>2.9865719999999998</v>
      </c>
      <c r="T5853">
        <v>-0.25805229999999901</v>
      </c>
      <c r="U5853">
        <v>0.35546879999999997</v>
      </c>
      <c r="V5853">
        <v>-9.2820139999999995E-2</v>
      </c>
      <c r="W5853">
        <v>3.9554590000000001E-2</v>
      </c>
      <c r="X5853">
        <v>0.99489689999999997</v>
      </c>
      <c r="Y5853">
        <v>-8.0558019999999994E-2</v>
      </c>
      <c r="Z5853">
        <v>2.2808529999999999E-4</v>
      </c>
      <c r="AA5853">
        <v>0.99674989999999997</v>
      </c>
      <c r="AB5853">
        <v>27</v>
      </c>
      <c r="AC5853">
        <v>12.671200000000001</v>
      </c>
      <c r="AD5853">
        <v>-1.106777560129</v>
      </c>
      <c r="AE5853">
        <v>1.5179399999999801</v>
      </c>
      <c r="AF5853">
        <v>-1.03199662201316</v>
      </c>
      <c r="AG5853">
        <v>-1.106777560129</v>
      </c>
      <c r="AH5853">
        <v>12.624416286559001</v>
      </c>
      <c r="AI5853">
        <v>94.993715509520797</v>
      </c>
      <c r="AJ5853">
        <v>94.673314528739297</v>
      </c>
      <c r="AK5853">
        <v>12.7147890337114</v>
      </c>
    </row>
    <row r="5854" spans="1:37" x14ac:dyDescent="0.2">
      <c r="A5854" t="str">
        <f>"20200111160016892"</f>
        <v>20200111160016892</v>
      </c>
      <c r="B5854" t="str">
        <f>"1578729616886995"</f>
        <v>1578729616886995</v>
      </c>
      <c r="C5854" t="s">
        <v>37</v>
      </c>
      <c r="D5854">
        <v>5.3206230000000003</v>
      </c>
      <c r="E5854">
        <v>0.51008069999999905</v>
      </c>
      <c r="F5854" t="s">
        <v>90</v>
      </c>
      <c r="G5854">
        <v>-238.0814</v>
      </c>
      <c r="H5854" s="1">
        <v>-2.4635729999999999E-6</v>
      </c>
      <c r="I5854">
        <v>-60.329929999999997</v>
      </c>
      <c r="J5854">
        <v>-250.79040000000001</v>
      </c>
      <c r="K5854">
        <v>1.1067639999999901</v>
      </c>
      <c r="L5854">
        <v>-61.815640000000002</v>
      </c>
      <c r="M5854">
        <v>0.99909989999999904</v>
      </c>
      <c r="N5854">
        <v>0</v>
      </c>
      <c r="O5854">
        <v>3.9641500000000003E-2</v>
      </c>
      <c r="P5854">
        <v>0.99093140000000002</v>
      </c>
      <c r="Q5854">
        <v>2.479574E-2</v>
      </c>
      <c r="R5854">
        <v>0.13206029999999999</v>
      </c>
      <c r="S5854">
        <v>2.9876860000000001</v>
      </c>
      <c r="T5854">
        <v>-0.25659939999999998</v>
      </c>
      <c r="U5854">
        <v>0.34649659999999999</v>
      </c>
      <c r="V5854">
        <v>-9.2874970000000001E-2</v>
      </c>
      <c r="W5854">
        <v>3.9343990000000002E-2</v>
      </c>
      <c r="X5854">
        <v>0.99490020000000001</v>
      </c>
      <c r="Y5854">
        <v>-7.5599589999999994E-2</v>
      </c>
      <c r="Z5854">
        <v>-1.5514479999999999E-4</v>
      </c>
      <c r="AA5854">
        <v>0.99713830000000003</v>
      </c>
      <c r="AB5854">
        <v>27</v>
      </c>
      <c r="AC5854">
        <v>12.709</v>
      </c>
      <c r="AD5854">
        <v>-1.1067664635729999</v>
      </c>
      <c r="AE5854">
        <v>1.4857099999999901</v>
      </c>
      <c r="AF5854">
        <v>-0.97339809221645002</v>
      </c>
      <c r="AG5854">
        <v>-1.1067664635729999</v>
      </c>
      <c r="AH5854">
        <v>12.663169783792201</v>
      </c>
      <c r="AI5854">
        <v>94.980364870704804</v>
      </c>
      <c r="AJ5854">
        <v>94.395593226092799</v>
      </c>
      <c r="AK5854">
        <v>12.7486589421777</v>
      </c>
    </row>
    <row r="5855" spans="1:37" x14ac:dyDescent="0.2">
      <c r="A5855" t="str">
        <f>"20200111160016903"</f>
        <v>20200111160016903</v>
      </c>
      <c r="B5855" t="str">
        <f>"1578729616896752"</f>
        <v>1578729616896752</v>
      </c>
      <c r="C5855" t="s">
        <v>37</v>
      </c>
      <c r="D5855">
        <v>5.3772250000000001</v>
      </c>
      <c r="E5855">
        <v>0.5111464</v>
      </c>
      <c r="F5855" t="s">
        <v>90</v>
      </c>
      <c r="G5855">
        <v>-237.75190000000001</v>
      </c>
      <c r="H5855" s="1">
        <v>-2.3138370000000002E-6</v>
      </c>
      <c r="I5855">
        <v>-60.377069999999897</v>
      </c>
      <c r="J5855">
        <v>-250.6566</v>
      </c>
      <c r="K5855">
        <v>1.106757</v>
      </c>
      <c r="L5855">
        <v>-61.808779999999999</v>
      </c>
      <c r="M5855">
        <v>0.99903940000000002</v>
      </c>
      <c r="N5855">
        <v>0</v>
      </c>
      <c r="O5855">
        <v>4.1138719999999997E-2</v>
      </c>
      <c r="P5855">
        <v>0.99074439999999997</v>
      </c>
      <c r="Q5855">
        <v>2.44930999999999E-2</v>
      </c>
      <c r="R5855">
        <v>0.13351389999999999</v>
      </c>
      <c r="S5855">
        <v>2.9898530000000001</v>
      </c>
      <c r="T5855">
        <v>-0.25379200000000002</v>
      </c>
      <c r="U5855">
        <v>0.3298645</v>
      </c>
      <c r="V5855">
        <v>-9.2840980000000004E-2</v>
      </c>
      <c r="W5855">
        <v>3.9042390000000003E-2</v>
      </c>
      <c r="X5855">
        <v>0.9949152</v>
      </c>
      <c r="Y5855">
        <v>-6.8577050000000001E-2</v>
      </c>
      <c r="Z5855">
        <v>-5.763834E-4</v>
      </c>
      <c r="AA5855">
        <v>0.99764569999999997</v>
      </c>
      <c r="AB5855">
        <v>27</v>
      </c>
      <c r="AC5855">
        <v>12.904699999999901</v>
      </c>
      <c r="AD5855">
        <v>-1.106759313837</v>
      </c>
      <c r="AE5855">
        <v>1.43171</v>
      </c>
      <c r="AF5855">
        <v>-0.89306531696738001</v>
      </c>
      <c r="AG5855">
        <v>-1.106759313837</v>
      </c>
      <c r="AH5855">
        <v>12.859242672165699</v>
      </c>
      <c r="AI5855">
        <v>94.907403677006997</v>
      </c>
      <c r="AJ5855">
        <v>93.972772430744996</v>
      </c>
      <c r="AK5855">
        <v>12.9376429051347</v>
      </c>
    </row>
    <row r="5856" spans="1:37" x14ac:dyDescent="0.2">
      <c r="A5856" t="str">
        <f>"20200111160016916"</f>
        <v>20200111160016916</v>
      </c>
      <c r="B5856" t="str">
        <f>"1578729616906512"</f>
        <v>1578729616906512</v>
      </c>
      <c r="C5856" t="s">
        <v>37</v>
      </c>
      <c r="D5856">
        <v>5.3916139999999997</v>
      </c>
      <c r="E5856">
        <v>0.51223399999999997</v>
      </c>
      <c r="F5856" t="s">
        <v>90</v>
      </c>
      <c r="G5856">
        <v>-237.6661</v>
      </c>
      <c r="H5856" s="1">
        <v>-2.2786140000000001E-6</v>
      </c>
      <c r="I5856">
        <v>-60.393940000000001</v>
      </c>
      <c r="J5856">
        <v>-250.51660000000001</v>
      </c>
      <c r="K5856">
        <v>1.1067480000000001</v>
      </c>
      <c r="L5856">
        <v>-61.80124</v>
      </c>
      <c r="M5856">
        <v>0.99897380000000002</v>
      </c>
      <c r="N5856">
        <v>0</v>
      </c>
      <c r="O5856">
        <v>4.2700399999999999E-2</v>
      </c>
      <c r="P5856">
        <v>0.99054609999999998</v>
      </c>
      <c r="Q5856">
        <v>2.438711E-2</v>
      </c>
      <c r="R5856">
        <v>0.1349948</v>
      </c>
      <c r="S5856">
        <v>2.9904329999999999</v>
      </c>
      <c r="T5856">
        <v>-0.25477749999999999</v>
      </c>
      <c r="U5856">
        <v>0.32568359999999902</v>
      </c>
      <c r="V5856">
        <v>-9.2771619999999999E-2</v>
      </c>
      <c r="W5856">
        <v>3.8937560000000003E-2</v>
      </c>
      <c r="X5856">
        <v>0.99492579999999997</v>
      </c>
      <c r="Y5856">
        <v>-6.5633259999999999E-2</v>
      </c>
      <c r="Z5856">
        <v>-8.3557869999999895E-4</v>
      </c>
      <c r="AA5856">
        <v>0.99784340000000005</v>
      </c>
      <c r="AB5856">
        <v>27</v>
      </c>
      <c r="AC5856">
        <v>12.8505</v>
      </c>
      <c r="AD5856">
        <v>-1.106750278614</v>
      </c>
      <c r="AE5856">
        <v>1.40729999999999</v>
      </c>
      <c r="AF5856">
        <v>-0.85099460841851904</v>
      </c>
      <c r="AG5856">
        <v>-1.106750278614</v>
      </c>
      <c r="AH5856">
        <v>12.8050198207223</v>
      </c>
      <c r="AI5856">
        <v>94.929034257390597</v>
      </c>
      <c r="AJ5856">
        <v>93.802165620199901</v>
      </c>
      <c r="AK5856">
        <v>12.880901389726599</v>
      </c>
    </row>
    <row r="5857" spans="1:37" x14ac:dyDescent="0.2">
      <c r="A5857" t="str">
        <f>"20200111160016927"</f>
        <v>20200111160016927</v>
      </c>
      <c r="B5857" t="str">
        <f>"1578729616917248"</f>
        <v>1578729616917248</v>
      </c>
      <c r="C5857" t="s">
        <v>37</v>
      </c>
      <c r="D5857">
        <v>5.3825589999999996</v>
      </c>
      <c r="E5857">
        <v>0.51312709999999995</v>
      </c>
      <c r="F5857" t="s">
        <v>90</v>
      </c>
      <c r="G5857">
        <v>-237.49199999999999</v>
      </c>
      <c r="H5857" s="1">
        <v>-2.2060149999999999E-6</v>
      </c>
      <c r="I5857">
        <v>-60.40175</v>
      </c>
      <c r="J5857">
        <v>-250.38329999999999</v>
      </c>
      <c r="K5857">
        <v>1.1067370000000001</v>
      </c>
      <c r="L5857">
        <v>-61.793979999999998</v>
      </c>
      <c r="M5857">
        <v>0.99890939999999995</v>
      </c>
      <c r="N5857">
        <v>0</v>
      </c>
      <c r="O5857">
        <v>4.4184309999999997E-2</v>
      </c>
      <c r="P5857">
        <v>0.99035659999999903</v>
      </c>
      <c r="Q5857">
        <v>2.3731019999999999E-2</v>
      </c>
      <c r="R5857">
        <v>0.13649529999999899</v>
      </c>
      <c r="S5857">
        <v>2.991104</v>
      </c>
      <c r="T5857">
        <v>-0.25416669999999902</v>
      </c>
      <c r="U5857">
        <v>0.32138059999999902</v>
      </c>
      <c r="V5857">
        <v>-9.2795799999999998E-2</v>
      </c>
      <c r="W5857">
        <v>3.8281929999999999E-2</v>
      </c>
      <c r="X5857">
        <v>0.99494899999999997</v>
      </c>
      <c r="Y5857">
        <v>-6.2723749999999995E-2</v>
      </c>
      <c r="Z5857">
        <v>-1.0818169999999899E-3</v>
      </c>
      <c r="AA5857">
        <v>0.99803039999999998</v>
      </c>
      <c r="AB5857">
        <v>26</v>
      </c>
      <c r="AC5857">
        <v>12.8912999999999</v>
      </c>
      <c r="AD5857">
        <v>-1.1067392060150001</v>
      </c>
      <c r="AE5857">
        <v>1.3922300000000001</v>
      </c>
      <c r="AF5857">
        <v>-0.81527227264750701</v>
      </c>
      <c r="AG5857">
        <v>-1.1067392060150001</v>
      </c>
      <c r="AH5857">
        <v>12.8466346428182</v>
      </c>
      <c r="AI5857">
        <v>94.914044312584195</v>
      </c>
      <c r="AJ5857">
        <v>93.631231342759904</v>
      </c>
      <c r="AK5857">
        <v>12.919967577155001</v>
      </c>
    </row>
    <row r="5858" spans="1:37" x14ac:dyDescent="0.2">
      <c r="A5858" t="str">
        <f>"20200111160016937"</f>
        <v>20200111160016937</v>
      </c>
      <c r="B5858" t="str">
        <f>"1578729616927008"</f>
        <v>1578729616927008</v>
      </c>
      <c r="C5858" t="s">
        <v>37</v>
      </c>
      <c r="D5858">
        <v>5.3750910000000003</v>
      </c>
      <c r="E5858">
        <v>0.51408169999999997</v>
      </c>
      <c r="F5858" t="s">
        <v>90</v>
      </c>
      <c r="G5858">
        <v>-237.44659999999999</v>
      </c>
      <c r="H5858" s="1">
        <v>-2.1902260000000001E-6</v>
      </c>
      <c r="I5858">
        <v>-60.415680000000002</v>
      </c>
      <c r="J5858">
        <v>-250.25799999999899</v>
      </c>
      <c r="K5858">
        <v>1.106725</v>
      </c>
      <c r="L5858">
        <v>-61.786929999999998</v>
      </c>
      <c r="M5858">
        <v>0.99884699999999904</v>
      </c>
      <c r="N5858">
        <v>0</v>
      </c>
      <c r="O5858">
        <v>4.5573019999999999E-2</v>
      </c>
      <c r="P5858">
        <v>0.9901162</v>
      </c>
      <c r="Q5858">
        <v>2.3599530000000001E-2</v>
      </c>
      <c r="R5858">
        <v>0.13824909999999899</v>
      </c>
      <c r="S5858">
        <v>2.991409</v>
      </c>
      <c r="T5858">
        <v>-0.25591639999999999</v>
      </c>
      <c r="U5858">
        <v>0.31869509999999901</v>
      </c>
      <c r="V5858">
        <v>-9.3172950000000004E-2</v>
      </c>
      <c r="W5858">
        <v>3.8148990000000001E-2</v>
      </c>
      <c r="X5858">
        <v>0.99491879999999999</v>
      </c>
      <c r="Y5858">
        <v>-6.0451690000000002E-2</v>
      </c>
      <c r="Z5858">
        <v>-1.3039760000000001E-3</v>
      </c>
      <c r="AA5858">
        <v>0.99817029999999995</v>
      </c>
      <c r="AB5858">
        <v>26</v>
      </c>
      <c r="AC5858">
        <v>12.8113999999999</v>
      </c>
      <c r="AD5858">
        <v>-1.1067271902259901</v>
      </c>
      <c r="AE5858">
        <v>1.3712500000000001</v>
      </c>
      <c r="AF5858">
        <v>-0.78014830427026605</v>
      </c>
      <c r="AG5858">
        <v>-1.1067271902259901</v>
      </c>
      <c r="AH5858">
        <v>12.7663942285274</v>
      </c>
      <c r="AI5858">
        <v>94.945442578214397</v>
      </c>
      <c r="AJ5858">
        <v>93.496969275964602</v>
      </c>
      <c r="AK5858">
        <v>12.8380021050169</v>
      </c>
    </row>
    <row r="5859" spans="1:37" x14ac:dyDescent="0.2">
      <c r="A5859" t="str">
        <f>"20200111160016948"</f>
        <v>20200111160016948</v>
      </c>
      <c r="B5859" t="str">
        <f>"1578729616936769"</f>
        <v>1578729616936769</v>
      </c>
      <c r="C5859" t="s">
        <v>37</v>
      </c>
      <c r="D5859">
        <v>5.448391</v>
      </c>
      <c r="E5859">
        <v>0.51461009999999996</v>
      </c>
      <c r="F5859" t="s">
        <v>90</v>
      </c>
      <c r="G5859">
        <v>-237.28700000000001</v>
      </c>
      <c r="H5859" s="1">
        <v>-2.1217890000000001E-6</v>
      </c>
      <c r="I5859">
        <v>-60.415779999999998</v>
      </c>
      <c r="J5859">
        <v>-250.13570000000001</v>
      </c>
      <c r="K5859">
        <v>1.106714</v>
      </c>
      <c r="L5859">
        <v>-61.779910000000001</v>
      </c>
      <c r="M5859">
        <v>0.99878449999999996</v>
      </c>
      <c r="N5859">
        <v>0</v>
      </c>
      <c r="O5859">
        <v>4.6925019999999998E-2</v>
      </c>
      <c r="P5859">
        <v>0.98991749999999901</v>
      </c>
      <c r="Q5859">
        <v>2.3294809999999999E-2</v>
      </c>
      <c r="R5859">
        <v>0.13971729999999999</v>
      </c>
      <c r="S5859">
        <v>2.9918669999999898</v>
      </c>
      <c r="T5859">
        <v>-0.25527630000000001</v>
      </c>
      <c r="U5859">
        <v>0.31625370000000003</v>
      </c>
      <c r="V5859">
        <v>-9.3298809999999996E-2</v>
      </c>
      <c r="W5859">
        <v>3.7844499999999899E-2</v>
      </c>
      <c r="X5859">
        <v>0.99491859999999999</v>
      </c>
      <c r="Y5859">
        <v>-5.8291780000000001E-2</v>
      </c>
      <c r="Z5859">
        <v>-1.506938E-3</v>
      </c>
      <c r="AA5859">
        <v>0.99829849999999998</v>
      </c>
      <c r="AB5859">
        <v>26</v>
      </c>
      <c r="AC5859">
        <v>12.848699999999999</v>
      </c>
      <c r="AD5859">
        <v>-1.106716121789</v>
      </c>
      <c r="AE5859">
        <v>1.3641299999999901</v>
      </c>
      <c r="AF5859">
        <v>-0.75410041039283504</v>
      </c>
      <c r="AG5859">
        <v>-1.106716121789</v>
      </c>
      <c r="AH5859">
        <v>12.804621430923801</v>
      </c>
      <c r="AI5859">
        <v>94.9313524420878</v>
      </c>
      <c r="AJ5859">
        <v>93.370417663647899</v>
      </c>
      <c r="AK5859">
        <v>12.8744637943665</v>
      </c>
    </row>
    <row r="5860" spans="1:37" x14ac:dyDescent="0.2">
      <c r="A5860" t="str">
        <f>"20200111160016960"</f>
        <v>20200111160016960</v>
      </c>
      <c r="B5860" t="str">
        <f>"1578729616957264"</f>
        <v>1578729616957264</v>
      </c>
      <c r="C5860" t="s">
        <v>37</v>
      </c>
      <c r="D5860">
        <v>5.4264239999999999</v>
      </c>
      <c r="E5860">
        <v>0.51493650000000002</v>
      </c>
      <c r="F5860" t="s">
        <v>90</v>
      </c>
      <c r="G5860">
        <v>-237.26390000000001</v>
      </c>
      <c r="H5860" s="1">
        <v>-2.112512E-6</v>
      </c>
      <c r="I5860">
        <v>-60.418209999999902</v>
      </c>
      <c r="J5860">
        <v>-250.00200000000001</v>
      </c>
      <c r="K5860">
        <v>1.106697</v>
      </c>
      <c r="L5860">
        <v>-61.772030000000001</v>
      </c>
      <c r="M5860">
        <v>0.99871409999999905</v>
      </c>
      <c r="N5860">
        <v>0</v>
      </c>
      <c r="O5860">
        <v>4.839852E-2</v>
      </c>
      <c r="P5860">
        <v>0.98968210000000001</v>
      </c>
      <c r="Q5860">
        <v>2.238704E-2</v>
      </c>
      <c r="R5860">
        <v>0.1415207</v>
      </c>
      <c r="S5860">
        <v>2.9919279999999899</v>
      </c>
      <c r="T5860">
        <v>-0.25724409999999998</v>
      </c>
      <c r="U5860">
        <v>0.3164978</v>
      </c>
      <c r="V5860">
        <v>-9.3636919999999998E-2</v>
      </c>
      <c r="W5860">
        <v>3.6936289999999997E-2</v>
      </c>
      <c r="X5860">
        <v>0.99492099999999895</v>
      </c>
      <c r="Y5860">
        <v>-5.690709E-2</v>
      </c>
      <c r="Z5860">
        <v>-1.703581E-3</v>
      </c>
      <c r="AA5860">
        <v>0.99837799999999999</v>
      </c>
      <c r="AB5860">
        <v>26</v>
      </c>
      <c r="AC5860">
        <v>12.738099999999999</v>
      </c>
      <c r="AD5860">
        <v>-1.106699112512</v>
      </c>
      <c r="AE5860">
        <v>1.35382000000001</v>
      </c>
      <c r="AF5860">
        <v>-0.73020743688691003</v>
      </c>
      <c r="AG5860">
        <v>-1.106699112512</v>
      </c>
      <c r="AH5860">
        <v>12.693951566723999</v>
      </c>
      <c r="AI5860">
        <v>94.974447691646603</v>
      </c>
      <c r="AJ5860">
        <v>93.292256802070895</v>
      </c>
      <c r="AK5860">
        <v>12.7630087442129</v>
      </c>
    </row>
    <row r="5861" spans="1:37" x14ac:dyDescent="0.2">
      <c r="A5861" t="str">
        <f>"20200111160016972"</f>
        <v>20200111160016972</v>
      </c>
      <c r="B5861" t="str">
        <f>"1578729616967025"</f>
        <v>1578729616967025</v>
      </c>
      <c r="C5861" t="s">
        <v>37</v>
      </c>
      <c r="D5861">
        <v>5.5412839999999903</v>
      </c>
      <c r="E5861">
        <v>0.51493650000000002</v>
      </c>
      <c r="F5861" t="s">
        <v>90</v>
      </c>
      <c r="G5861">
        <v>-237.42240000000001</v>
      </c>
      <c r="H5861" s="1">
        <v>-2.1833840000000001E-6</v>
      </c>
      <c r="I5861">
        <v>-60.428909999999902</v>
      </c>
      <c r="J5861">
        <v>-249.85730000000001</v>
      </c>
      <c r="K5861">
        <v>1.1066799999999899</v>
      </c>
      <c r="L5861">
        <v>-61.763240000000003</v>
      </c>
      <c r="M5861">
        <v>0.99863619999999897</v>
      </c>
      <c r="N5861">
        <v>0</v>
      </c>
      <c r="O5861">
        <v>4.9983270000000003E-2</v>
      </c>
      <c r="P5861">
        <v>0.98941170000000001</v>
      </c>
      <c r="Q5861">
        <v>2.1757740000000001E-2</v>
      </c>
      <c r="R5861">
        <v>0.14349719999999999</v>
      </c>
      <c r="S5861">
        <v>2.9915620000000001</v>
      </c>
      <c r="T5861">
        <v>-0.26318639999999999</v>
      </c>
      <c r="U5861">
        <v>0.31939699999999999</v>
      </c>
      <c r="V5861">
        <v>-9.4040449999999998E-2</v>
      </c>
      <c r="W5861">
        <v>3.6305860000000002E-2</v>
      </c>
      <c r="X5861">
        <v>0.99490619999999996</v>
      </c>
      <c r="Y5861">
        <v>-5.629924E-2</v>
      </c>
      <c r="Z5861">
        <v>-1.907962E-3</v>
      </c>
      <c r="AA5861">
        <v>0.99841209999999903</v>
      </c>
      <c r="AB5861">
        <v>26</v>
      </c>
      <c r="AC5861">
        <v>12.434900000000001</v>
      </c>
      <c r="AD5861">
        <v>-1.1066821833839999</v>
      </c>
      <c r="AE5861">
        <v>1.33433</v>
      </c>
      <c r="AF5861">
        <v>-0.70552948813238903</v>
      </c>
      <c r="AG5861">
        <v>-1.1066821833839999</v>
      </c>
      <c r="AH5861">
        <v>12.389042957392901</v>
      </c>
      <c r="AI5861">
        <v>95.096326651745102</v>
      </c>
      <c r="AJ5861">
        <v>93.259351668917901</v>
      </c>
      <c r="AK5861">
        <v>12.4583667755356</v>
      </c>
    </row>
    <row r="5862" spans="1:37" x14ac:dyDescent="0.2">
      <c r="A5862" t="str">
        <f>"20200111160016983"</f>
        <v>20200111160016983</v>
      </c>
      <c r="B5862" t="str">
        <f>"1578729616976784"</f>
        <v>1578729616976784</v>
      </c>
      <c r="C5862" t="s">
        <v>37</v>
      </c>
      <c r="D5862">
        <v>5.3943000000000003</v>
      </c>
      <c r="E5862">
        <v>0.51145299999999905</v>
      </c>
      <c r="F5862" t="s">
        <v>90</v>
      </c>
      <c r="G5862">
        <v>-237.3715</v>
      </c>
      <c r="H5862" s="1">
        <v>-2.1551879999999998E-6</v>
      </c>
      <c r="I5862">
        <v>-60.40504</v>
      </c>
      <c r="J5862">
        <v>-249.72739999999999</v>
      </c>
      <c r="K5862">
        <v>1.106663</v>
      </c>
      <c r="L5862">
        <v>-61.755249999999997</v>
      </c>
      <c r="M5862">
        <v>0.99856420000000001</v>
      </c>
      <c r="N5862">
        <v>0</v>
      </c>
      <c r="O5862">
        <v>5.1401559999999999E-2</v>
      </c>
      <c r="P5862">
        <v>0.98918069999999902</v>
      </c>
      <c r="Q5862">
        <v>2.092693E-2</v>
      </c>
      <c r="R5862">
        <v>0.14520350000000001</v>
      </c>
      <c r="S5862">
        <v>2.99075299999999</v>
      </c>
      <c r="T5862">
        <v>-0.26508559999999998</v>
      </c>
      <c r="U5862">
        <v>0.32531739999999998</v>
      </c>
      <c r="V5862">
        <v>-9.4337389999999993E-2</v>
      </c>
      <c r="W5862">
        <v>3.5474310000000002E-2</v>
      </c>
      <c r="X5862">
        <v>0.99490800000000001</v>
      </c>
      <c r="Y5862">
        <v>-5.6866369999999999E-2</v>
      </c>
      <c r="Z5862">
        <v>-2.0217439999999998E-3</v>
      </c>
      <c r="AA5862">
        <v>0.99837980000000004</v>
      </c>
      <c r="AB5862">
        <v>26</v>
      </c>
      <c r="AC5862">
        <v>12.355899999999901</v>
      </c>
      <c r="AD5862">
        <v>-1.106665155188</v>
      </c>
      <c r="AE5862">
        <v>1.3502099999999899</v>
      </c>
      <c r="AF5862">
        <v>-0.70763030249936099</v>
      </c>
      <c r="AG5862">
        <v>-1.106665155188</v>
      </c>
      <c r="AH5862">
        <v>12.311376727454199</v>
      </c>
      <c r="AI5862">
        <v>95.128073266813203</v>
      </c>
      <c r="AJ5862">
        <v>93.289613373520496</v>
      </c>
      <c r="AK5862">
        <v>12.381253786916099</v>
      </c>
    </row>
    <row r="5863" spans="1:37" x14ac:dyDescent="0.2">
      <c r="A5863" t="str">
        <f>"20200111160016994"</f>
        <v>20200111160016994</v>
      </c>
      <c r="B5863" t="str">
        <f>"1578729616986545"</f>
        <v>1578729616986545</v>
      </c>
      <c r="C5863" t="s">
        <v>37</v>
      </c>
      <c r="D5863">
        <v>5.2735320000000003</v>
      </c>
      <c r="E5863">
        <v>0.51145299999999905</v>
      </c>
      <c r="F5863" t="s">
        <v>90</v>
      </c>
      <c r="G5863">
        <v>-237.09190000000001</v>
      </c>
      <c r="H5863" s="1">
        <v>-2.054716E-6</v>
      </c>
      <c r="I5863">
        <v>-60.24174</v>
      </c>
      <c r="J5863">
        <v>-249.60210000000001</v>
      </c>
      <c r="K5863">
        <v>1.106646</v>
      </c>
      <c r="L5863">
        <v>-61.747309999999999</v>
      </c>
      <c r="M5863">
        <v>0.99849359999999998</v>
      </c>
      <c r="N5863">
        <v>0</v>
      </c>
      <c r="O5863">
        <v>5.2754250000000003E-2</v>
      </c>
      <c r="P5863">
        <v>0.98895239999999995</v>
      </c>
      <c r="Q5863">
        <v>2.043702E-2</v>
      </c>
      <c r="R5863">
        <v>0.14681849999999999</v>
      </c>
      <c r="S5863">
        <v>2.98584</v>
      </c>
      <c r="T5863">
        <v>-0.2615111</v>
      </c>
      <c r="U5863">
        <v>0.3576355</v>
      </c>
      <c r="V5863">
        <v>-9.460992E-2</v>
      </c>
      <c r="W5863">
        <v>3.498395E-2</v>
      </c>
      <c r="X5863">
        <v>0.99489950000000005</v>
      </c>
      <c r="Y5863">
        <v>-6.632441E-2</v>
      </c>
      <c r="Z5863">
        <v>-1.7019159999999999E-3</v>
      </c>
      <c r="AA5863">
        <v>0.99779669999999898</v>
      </c>
      <c r="AB5863">
        <v>26</v>
      </c>
      <c r="AC5863">
        <v>12.5101999999999</v>
      </c>
      <c r="AD5863">
        <v>-1.106648054716</v>
      </c>
      <c r="AE5863">
        <v>1.5055699999999901</v>
      </c>
      <c r="AF5863">
        <v>-0.83697582029644002</v>
      </c>
      <c r="AG5863">
        <v>-1.106648054716</v>
      </c>
      <c r="AH5863">
        <v>12.475978002742799</v>
      </c>
      <c r="AI5863">
        <v>95.057691698951999</v>
      </c>
      <c r="AJ5863">
        <v>93.838050396378705</v>
      </c>
      <c r="AK5863">
        <v>12.552897098506399</v>
      </c>
    </row>
    <row r="5864" spans="1:37" x14ac:dyDescent="0.2">
      <c r="A5864" t="str">
        <f>"20200111160017006"</f>
        <v>20200111160017006</v>
      </c>
      <c r="B5864" t="str">
        <f>"1578729616997281"</f>
        <v>1578729616997281</v>
      </c>
      <c r="C5864" t="s">
        <v>37</v>
      </c>
      <c r="D5864">
        <v>5.4153960000000003</v>
      </c>
      <c r="E5864">
        <v>0.44456839999999997</v>
      </c>
      <c r="F5864" t="s">
        <v>90</v>
      </c>
      <c r="G5864">
        <v>-237.03829999999999</v>
      </c>
      <c r="H5864" s="1">
        <v>-2.0352189999999999E-6</v>
      </c>
      <c r="I5864">
        <v>-60.222149999999999</v>
      </c>
      <c r="J5864">
        <v>-249.4659</v>
      </c>
      <c r="K5864">
        <v>1.1066279999999999</v>
      </c>
      <c r="L5864">
        <v>-61.738590000000002</v>
      </c>
      <c r="M5864">
        <v>0.99841519999999995</v>
      </c>
      <c r="N5864">
        <v>0</v>
      </c>
      <c r="O5864">
        <v>5.4220110000000002E-2</v>
      </c>
      <c r="P5864">
        <v>0.98870139999999995</v>
      </c>
      <c r="Q5864">
        <v>2.024099E-2</v>
      </c>
      <c r="R5864">
        <v>0.1485273</v>
      </c>
      <c r="S5864">
        <v>2.9851679999999998</v>
      </c>
      <c r="T5864">
        <v>-0.26294050000000002</v>
      </c>
      <c r="U5864">
        <v>0.36236570000000001</v>
      </c>
      <c r="V5864">
        <v>-9.48658E-2</v>
      </c>
      <c r="W5864">
        <v>3.4788090000000001E-2</v>
      </c>
      <c r="X5864">
        <v>0.99488199999999904</v>
      </c>
      <c r="Y5864">
        <v>-6.6448989999999999E-2</v>
      </c>
      <c r="Z5864">
        <v>-1.833966E-3</v>
      </c>
      <c r="AA5864">
        <v>0.99778809999999996</v>
      </c>
      <c r="AB5864">
        <v>26</v>
      </c>
      <c r="AC5864">
        <v>12.4276</v>
      </c>
      <c r="AD5864">
        <v>-1.1066300352189999</v>
      </c>
      <c r="AE5864">
        <v>1.51644</v>
      </c>
      <c r="AF5864">
        <v>-0.83379207443885395</v>
      </c>
      <c r="AG5864">
        <v>-1.1066300352189999</v>
      </c>
      <c r="AH5864">
        <v>12.3947073510761</v>
      </c>
      <c r="AI5864">
        <v>95.090536269046197</v>
      </c>
      <c r="AJ5864">
        <v>93.848489458428503</v>
      </c>
      <c r="AK5864">
        <v>12.4719128275123</v>
      </c>
    </row>
    <row r="5865" spans="1:37" x14ac:dyDescent="0.2">
      <c r="A5865" t="str">
        <f>"20200111160017015"</f>
        <v>20200111160017015</v>
      </c>
      <c r="B5865" t="str">
        <f>"1578729617007040"</f>
        <v>1578729617007040</v>
      </c>
      <c r="C5865" t="s">
        <v>37</v>
      </c>
      <c r="D5865">
        <v>5.3027350000000002</v>
      </c>
      <c r="E5865">
        <v>0.44406469999999998</v>
      </c>
      <c r="F5865" t="s">
        <v>90</v>
      </c>
      <c r="G5865">
        <v>-231.8372</v>
      </c>
      <c r="H5865" s="1">
        <v>-6.9287970000000002E-7</v>
      </c>
      <c r="I5865">
        <v>-56.322699999999998</v>
      </c>
      <c r="J5865">
        <v>-249.33850000000001</v>
      </c>
      <c r="K5865">
        <v>1.1066049999999901</v>
      </c>
      <c r="L5865">
        <v>-61.730130000000003</v>
      </c>
      <c r="M5865">
        <v>0.99834109999999998</v>
      </c>
      <c r="N5865">
        <v>0</v>
      </c>
      <c r="O5865">
        <v>5.5567610000000003E-2</v>
      </c>
      <c r="P5865">
        <v>0.98846209999999901</v>
      </c>
      <c r="Q5865">
        <v>2.008006E-2</v>
      </c>
      <c r="R5865">
        <v>0.150132399999999</v>
      </c>
      <c r="S5865">
        <v>2.9039759999999899</v>
      </c>
      <c r="T5865">
        <v>-0.1822954</v>
      </c>
      <c r="U5865">
        <v>0.89215089999999997</v>
      </c>
      <c r="V5865">
        <v>-9.5135310000000001E-2</v>
      </c>
      <c r="W5865">
        <v>3.4627970000000001E-2</v>
      </c>
      <c r="X5865">
        <v>0.99486189999999997</v>
      </c>
      <c r="Y5865">
        <v>-0.23976349999999999</v>
      </c>
      <c r="Z5865">
        <v>3.95064099999999E-3</v>
      </c>
      <c r="AA5865">
        <v>0.97082329999999994</v>
      </c>
      <c r="AB5865">
        <v>26</v>
      </c>
      <c r="AC5865">
        <v>17.501300000000001</v>
      </c>
      <c r="AD5865">
        <v>-1.1066056928796999</v>
      </c>
      <c r="AE5865">
        <v>5.4074299999999997</v>
      </c>
      <c r="AF5865">
        <v>-4.4103611562197997</v>
      </c>
      <c r="AG5865">
        <v>-1.1066056928796999</v>
      </c>
      <c r="AH5865">
        <v>17.710130033147198</v>
      </c>
      <c r="AI5865">
        <v>93.469739486592005</v>
      </c>
      <c r="AJ5865">
        <v>103.983946633024</v>
      </c>
      <c r="AK5865">
        <v>18.284544497437999</v>
      </c>
    </row>
    <row r="5866" spans="1:37" x14ac:dyDescent="0.2">
      <c r="A5866" t="str">
        <f>"20200111160017027"</f>
        <v>20200111160017027</v>
      </c>
      <c r="B5866" t="str">
        <f>"1578729617016801"</f>
        <v>1578729617016801</v>
      </c>
      <c r="C5866" t="s">
        <v>37</v>
      </c>
      <c r="D5866">
        <v>5.4515919999999998</v>
      </c>
      <c r="E5866">
        <v>0.44544440000000002</v>
      </c>
      <c r="F5866" t="s">
        <v>90</v>
      </c>
      <c r="G5866">
        <v>-231.5497</v>
      </c>
      <c r="H5866" s="1">
        <v>-6.2547019999999999E-7</v>
      </c>
      <c r="I5866">
        <v>-56.208350000000003</v>
      </c>
      <c r="J5866">
        <v>-249.21360000000001</v>
      </c>
      <c r="K5866">
        <v>1.106589</v>
      </c>
      <c r="L5866">
        <v>-61.721800000000002</v>
      </c>
      <c r="M5866">
        <v>0.99826700000000002</v>
      </c>
      <c r="N5866">
        <v>0</v>
      </c>
      <c r="O5866">
        <v>5.6883400000000001E-2</v>
      </c>
      <c r="P5866">
        <v>0.98825280000000004</v>
      </c>
      <c r="Q5866">
        <v>2.0238610000000001E-2</v>
      </c>
      <c r="R5866">
        <v>0.15148249999999999</v>
      </c>
      <c r="S5866">
        <v>2.9018860000000002</v>
      </c>
      <c r="T5866">
        <v>-0.18052029999999999</v>
      </c>
      <c r="U5866">
        <v>0.90075680000000002</v>
      </c>
      <c r="V5866">
        <v>-9.518269E-2</v>
      </c>
      <c r="W5866">
        <v>3.478904E-2</v>
      </c>
      <c r="X5866">
        <v>0.99485170000000001</v>
      </c>
      <c r="Y5866">
        <v>-0.24131420000000001</v>
      </c>
      <c r="Z5866">
        <v>3.8809399999999998E-3</v>
      </c>
      <c r="AA5866">
        <v>0.9704393</v>
      </c>
      <c r="AB5866">
        <v>26</v>
      </c>
      <c r="AC5866">
        <v>17.663900000000002</v>
      </c>
      <c r="AD5866">
        <v>-1.1065896254701999</v>
      </c>
      <c r="AE5866">
        <v>5.51344999999999</v>
      </c>
      <c r="AF5866">
        <v>-4.4835895324338102</v>
      </c>
      <c r="AG5866">
        <v>-1.1065896254701999</v>
      </c>
      <c r="AH5866">
        <v>17.884991281848301</v>
      </c>
      <c r="AI5866">
        <v>93.434510231729206</v>
      </c>
      <c r="AJ5866">
        <v>104.07344919511</v>
      </c>
      <c r="AK5866">
        <v>18.471600603259599</v>
      </c>
    </row>
    <row r="5867" spans="1:37" x14ac:dyDescent="0.2">
      <c r="A5867" t="str">
        <f>"20200111160017038"</f>
        <v>20200111160017038</v>
      </c>
      <c r="B5867" t="str">
        <f>"1578729617026560"</f>
        <v>1578729617026560</v>
      </c>
      <c r="C5867" t="s">
        <v>37</v>
      </c>
      <c r="D5867">
        <v>5.3165899999999997</v>
      </c>
      <c r="E5867">
        <v>0.44417519999999999</v>
      </c>
      <c r="F5867" t="s">
        <v>91</v>
      </c>
      <c r="G5867">
        <v>-229.81950000000001</v>
      </c>
      <c r="H5867" s="1">
        <v>-4.3545039999999997E-6</v>
      </c>
      <c r="I5867">
        <v>-55.752380000000002</v>
      </c>
      <c r="J5867">
        <v>-249.084</v>
      </c>
      <c r="K5867">
        <v>1.1065659999999999</v>
      </c>
      <c r="L5867">
        <v>-61.712919999999997</v>
      </c>
      <c r="M5867">
        <v>0.9981894</v>
      </c>
      <c r="N5867">
        <v>0</v>
      </c>
      <c r="O5867">
        <v>5.822865E-2</v>
      </c>
      <c r="P5867">
        <v>0.98806609999999995</v>
      </c>
      <c r="Q5867">
        <v>1.992679E-2</v>
      </c>
      <c r="R5867">
        <v>0.15273589999999901</v>
      </c>
      <c r="S5867">
        <v>2.9020999999999999</v>
      </c>
      <c r="T5867">
        <v>-0.16558800000000001</v>
      </c>
      <c r="U5867">
        <v>0.89324950000000003</v>
      </c>
      <c r="V5867">
        <v>-9.5099260000000005E-2</v>
      </c>
      <c r="W5867">
        <v>3.4480709999999998E-2</v>
      </c>
      <c r="X5867">
        <v>0.99487039999999904</v>
      </c>
      <c r="Y5867">
        <v>-0.23775149999999901</v>
      </c>
      <c r="Z5867">
        <v>3.3876240000000001E-3</v>
      </c>
      <c r="AA5867">
        <v>0.97132009999999902</v>
      </c>
      <c r="AB5867">
        <v>26</v>
      </c>
      <c r="AC5867">
        <v>19.264500000000002</v>
      </c>
      <c r="AD5867">
        <v>-1.106570354504</v>
      </c>
      <c r="AE5867">
        <v>5.9605399999999902</v>
      </c>
      <c r="AF5867">
        <v>-4.81405488503166</v>
      </c>
      <c r="AG5867">
        <v>-1.106570354504</v>
      </c>
      <c r="AH5867">
        <v>19.520140736036101</v>
      </c>
      <c r="AI5867">
        <v>93.150355905995298</v>
      </c>
      <c r="AJ5867">
        <v>103.853824874876</v>
      </c>
      <c r="AK5867">
        <v>20.135429390510101</v>
      </c>
    </row>
    <row r="5868" spans="1:37" x14ac:dyDescent="0.2">
      <c r="A5868" t="str">
        <f>"20200111160017049"</f>
        <v>20200111160017049</v>
      </c>
      <c r="B5868" t="str">
        <f>"1578729617047056"</f>
        <v>1578729617047056</v>
      </c>
      <c r="C5868" t="s">
        <v>37</v>
      </c>
      <c r="D5868">
        <v>5.2840860000000003</v>
      </c>
      <c r="E5868">
        <v>0.44249480000000002</v>
      </c>
      <c r="F5868" t="s">
        <v>90</v>
      </c>
      <c r="G5868">
        <v>-230.22790000000001</v>
      </c>
      <c r="H5868" s="1">
        <v>-2.8079389999999997E-7</v>
      </c>
      <c r="I5868">
        <v>-55.813209999999998</v>
      </c>
      <c r="J5868">
        <v>-248.9528</v>
      </c>
      <c r="K5868">
        <v>1.1065389999999999</v>
      </c>
      <c r="L5868">
        <v>-61.703800000000001</v>
      </c>
      <c r="M5868">
        <v>0.99810989999999999</v>
      </c>
      <c r="N5868">
        <v>0</v>
      </c>
      <c r="O5868">
        <v>5.9577629999999999E-2</v>
      </c>
      <c r="P5868">
        <v>0.98792209999999903</v>
      </c>
      <c r="Q5868">
        <v>1.9726520000000001E-2</v>
      </c>
      <c r="R5868">
        <v>0.15369160000000001</v>
      </c>
      <c r="S5868">
        <v>2.899429</v>
      </c>
      <c r="T5868">
        <v>-0.17015229999999901</v>
      </c>
      <c r="U5868">
        <v>0.90716549999999996</v>
      </c>
      <c r="V5868">
        <v>-9.4713729999999996E-2</v>
      </c>
      <c r="W5868">
        <v>3.428581E-2</v>
      </c>
      <c r="X5868">
        <v>0.99491390000000002</v>
      </c>
      <c r="Y5868">
        <v>-0.24092350000000001</v>
      </c>
      <c r="Z5868">
        <v>3.4956240000000001E-3</v>
      </c>
      <c r="AA5868">
        <v>0.97053780000000001</v>
      </c>
      <c r="AB5868">
        <v>26</v>
      </c>
      <c r="AC5868">
        <v>18.724899999999899</v>
      </c>
      <c r="AD5868">
        <v>-1.1065392807938901</v>
      </c>
      <c r="AE5868">
        <v>5.8905900000000004</v>
      </c>
      <c r="AF5868">
        <v>-4.7493202897277804</v>
      </c>
      <c r="AG5868">
        <v>-1.1065392807938901</v>
      </c>
      <c r="AH5868">
        <v>18.982298392994</v>
      </c>
      <c r="AI5868">
        <v>93.2366350001397</v>
      </c>
      <c r="AJ5868">
        <v>104.046883837976</v>
      </c>
      <c r="AK5868">
        <v>19.598676605195099</v>
      </c>
    </row>
    <row r="5869" spans="1:37" x14ac:dyDescent="0.2">
      <c r="A5869" t="str">
        <f>"20200111160017061"</f>
        <v>20200111160017061</v>
      </c>
      <c r="B5869" t="str">
        <f>"1578729617056817"</f>
        <v>1578729617056817</v>
      </c>
      <c r="C5869" t="s">
        <v>37</v>
      </c>
      <c r="D5869">
        <v>5.331518</v>
      </c>
      <c r="E5869">
        <v>0.44264719999999902</v>
      </c>
      <c r="F5869" t="s">
        <v>90</v>
      </c>
      <c r="G5869">
        <v>-231.17789999999999</v>
      </c>
      <c r="H5869" s="1">
        <v>-5.4487369999999996E-7</v>
      </c>
      <c r="I5869">
        <v>-56.035739999999997</v>
      </c>
      <c r="J5869">
        <v>-248.81790000000001</v>
      </c>
      <c r="K5869">
        <v>1.106511</v>
      </c>
      <c r="L5869">
        <v>-61.694240000000001</v>
      </c>
      <c r="M5869">
        <v>0.99802739999999901</v>
      </c>
      <c r="N5869">
        <v>0</v>
      </c>
      <c r="O5869">
        <v>6.094654E-2</v>
      </c>
      <c r="P5869">
        <v>0.9877146</v>
      </c>
      <c r="Q5869">
        <v>1.9319840000000001E-2</v>
      </c>
      <c r="R5869">
        <v>0.15507119999999999</v>
      </c>
      <c r="S5869">
        <v>2.8965610000000002</v>
      </c>
      <c r="T5869">
        <v>-0.1803197</v>
      </c>
      <c r="U5869">
        <v>0.92364500000000005</v>
      </c>
      <c r="V5869">
        <v>-9.4734020000000002E-2</v>
      </c>
      <c r="W5869">
        <v>3.3882160000000001E-2</v>
      </c>
      <c r="X5869">
        <v>0.99492590000000003</v>
      </c>
      <c r="Y5869">
        <v>-0.24484549999999999</v>
      </c>
      <c r="Z5869">
        <v>3.7411129999999999E-3</v>
      </c>
      <c r="AA5869">
        <v>0.9695549</v>
      </c>
      <c r="AB5869">
        <v>26</v>
      </c>
      <c r="AC5869">
        <v>17.64</v>
      </c>
      <c r="AD5869">
        <v>-1.1065115448737</v>
      </c>
      <c r="AE5869">
        <v>5.6584999999999903</v>
      </c>
      <c r="AF5869">
        <v>-4.5565038128405897</v>
      </c>
      <c r="AG5869">
        <v>-1.1065115448737</v>
      </c>
      <c r="AH5869">
        <v>17.8882867224048</v>
      </c>
      <c r="AI5869">
        <v>93.430359905098996</v>
      </c>
      <c r="AJ5869">
        <v>104.290485763707</v>
      </c>
      <c r="AK5869">
        <v>18.4926173555377</v>
      </c>
    </row>
    <row r="5870" spans="1:37" x14ac:dyDescent="0.2">
      <c r="A5870" t="str">
        <f>"20200111160017073"</f>
        <v>20200111160017073</v>
      </c>
      <c r="B5870" t="str">
        <f>"1578729617067270"</f>
        <v>1578729617067270</v>
      </c>
      <c r="C5870" t="s">
        <v>37</v>
      </c>
      <c r="D5870">
        <v>5.2852050000000004</v>
      </c>
      <c r="E5870">
        <v>0.44228059999999902</v>
      </c>
      <c r="F5870" t="s">
        <v>90</v>
      </c>
      <c r="G5870">
        <v>-231.06989999999999</v>
      </c>
      <c r="H5870" s="1">
        <v>-5.1341459999999995E-7</v>
      </c>
      <c r="I5870">
        <v>-56.015900000000002</v>
      </c>
      <c r="J5870">
        <v>-248.6857</v>
      </c>
      <c r="K5870">
        <v>1.1064780000000001</v>
      </c>
      <c r="L5870">
        <v>-61.684690000000003</v>
      </c>
      <c r="M5870">
        <v>0.99794629999999995</v>
      </c>
      <c r="N5870">
        <v>0</v>
      </c>
      <c r="O5870">
        <v>6.2261370000000003E-2</v>
      </c>
      <c r="P5870">
        <v>0.98753670000000005</v>
      </c>
      <c r="Q5870">
        <v>1.8230550000000002E-2</v>
      </c>
      <c r="R5870">
        <v>0.15632969999999999</v>
      </c>
      <c r="S5870">
        <v>2.895416</v>
      </c>
      <c r="T5870">
        <v>-0.1805176</v>
      </c>
      <c r="U5870">
        <v>0.92636109999999905</v>
      </c>
      <c r="V5870">
        <v>-9.4681929999999997E-2</v>
      </c>
      <c r="W5870">
        <v>3.2797470000000002E-2</v>
      </c>
      <c r="X5870">
        <v>0.99496719999999905</v>
      </c>
      <c r="Y5870">
        <v>-0.24450649999999999</v>
      </c>
      <c r="Z5870">
        <v>3.6564039999999998E-3</v>
      </c>
      <c r="AA5870">
        <v>0.96964079999999997</v>
      </c>
      <c r="AB5870">
        <v>26</v>
      </c>
      <c r="AC5870">
        <v>17.6158</v>
      </c>
      <c r="AD5870">
        <v>-1.1064785134146</v>
      </c>
      <c r="AE5870">
        <v>5.6687900000000004</v>
      </c>
      <c r="AF5870">
        <v>-4.5446337117215201</v>
      </c>
      <c r="AG5870">
        <v>-1.1064785134146</v>
      </c>
      <c r="AH5870">
        <v>17.870712725036899</v>
      </c>
      <c r="AI5870">
        <v>93.433961751744306</v>
      </c>
      <c r="AJ5870">
        <v>104.268222891417</v>
      </c>
      <c r="AK5870">
        <v>18.472692374831599</v>
      </c>
    </row>
    <row r="5871" spans="1:37" x14ac:dyDescent="0.2">
      <c r="A5871" t="str">
        <f>"20200111160017084"</f>
        <v>20200111160017084</v>
      </c>
      <c r="B5871" t="str">
        <f>"1578729617077029"</f>
        <v>1578729617077029</v>
      </c>
      <c r="C5871" t="s">
        <v>37</v>
      </c>
      <c r="D5871">
        <v>5.4149560000000001</v>
      </c>
      <c r="E5871">
        <v>0.44262679999999999</v>
      </c>
      <c r="F5871" t="s">
        <v>90</v>
      </c>
      <c r="G5871">
        <v>-231.5522</v>
      </c>
      <c r="H5871" s="1">
        <v>-6.3907080000000001E-7</v>
      </c>
      <c r="I5871">
        <v>-56.160509999999903</v>
      </c>
      <c r="J5871">
        <v>-248.5461</v>
      </c>
      <c r="K5871">
        <v>1.106441</v>
      </c>
      <c r="L5871">
        <v>-61.67456</v>
      </c>
      <c r="M5871">
        <v>0.99785919999999895</v>
      </c>
      <c r="N5871">
        <v>0</v>
      </c>
      <c r="O5871">
        <v>6.3638799999999995E-2</v>
      </c>
      <c r="P5871">
        <v>0.98727860000000001</v>
      </c>
      <c r="Q5871">
        <v>1.7183529999999999E-2</v>
      </c>
      <c r="R5871">
        <v>0.1580686</v>
      </c>
      <c r="S5871">
        <v>2.8936160000000002</v>
      </c>
      <c r="T5871">
        <v>-0.18686989999999901</v>
      </c>
      <c r="U5871">
        <v>0.93295289999999997</v>
      </c>
      <c r="V5871">
        <v>-9.5052349999999994E-2</v>
      </c>
      <c r="W5871">
        <v>3.1752320000000001E-2</v>
      </c>
      <c r="X5871">
        <v>0.99496569999999995</v>
      </c>
      <c r="Y5871">
        <v>-0.2453235</v>
      </c>
      <c r="Z5871">
        <v>3.7254319999999999E-3</v>
      </c>
      <c r="AA5871">
        <v>0.96943409999999997</v>
      </c>
      <c r="AB5871">
        <v>26</v>
      </c>
      <c r="AC5871">
        <v>16.993899999999901</v>
      </c>
      <c r="AD5871">
        <v>-1.1064416390708001</v>
      </c>
      <c r="AE5871">
        <v>5.5140500000000001</v>
      </c>
      <c r="AF5871">
        <v>-4.4043841566327604</v>
      </c>
      <c r="AG5871">
        <v>-1.1064416390708001</v>
      </c>
      <c r="AH5871">
        <v>17.2442562189885</v>
      </c>
      <c r="AI5871">
        <v>93.557340135978905</v>
      </c>
      <c r="AJ5871">
        <v>104.327696136089</v>
      </c>
      <c r="AK5871">
        <v>17.8321951942544</v>
      </c>
    </row>
    <row r="5872" spans="1:37" x14ac:dyDescent="0.2">
      <c r="A5872" t="str">
        <f>"20200111160017095"</f>
        <v>20200111160017095</v>
      </c>
      <c r="B5872" t="str">
        <f>"1578729617086790"</f>
        <v>1578729617086790</v>
      </c>
      <c r="C5872" t="s">
        <v>37</v>
      </c>
      <c r="D5872">
        <v>5.2801650000000002</v>
      </c>
      <c r="E5872">
        <v>0.4427334</v>
      </c>
      <c r="F5872" t="s">
        <v>90</v>
      </c>
      <c r="G5872">
        <v>-230.75450000000001</v>
      </c>
      <c r="H5872" s="1">
        <v>-4.3046359999999999E-7</v>
      </c>
      <c r="I5872">
        <v>-55.924199999999999</v>
      </c>
      <c r="J5872">
        <v>-248.4134</v>
      </c>
      <c r="K5872">
        <v>1.1064049999999901</v>
      </c>
      <c r="L5872">
        <v>-61.664639999999999</v>
      </c>
      <c r="M5872">
        <v>0.99777819999999995</v>
      </c>
      <c r="N5872">
        <v>0</v>
      </c>
      <c r="O5872">
        <v>6.4902470000000004E-2</v>
      </c>
      <c r="P5872">
        <v>0.987016</v>
      </c>
      <c r="Q5872">
        <v>1.5757179999999999E-2</v>
      </c>
      <c r="R5872">
        <v>0.15984860000000001</v>
      </c>
      <c r="S5872">
        <v>2.8921509999999899</v>
      </c>
      <c r="T5872">
        <v>-0.1798604</v>
      </c>
      <c r="U5872">
        <v>0.93475339999999996</v>
      </c>
      <c r="V5872">
        <v>-9.5576090000000002E-2</v>
      </c>
      <c r="W5872">
        <v>3.0328219999999999E-2</v>
      </c>
      <c r="X5872">
        <v>0.99495999999999996</v>
      </c>
      <c r="Y5872">
        <v>-0.2448139</v>
      </c>
      <c r="Z5872">
        <v>3.4958479999999902E-3</v>
      </c>
      <c r="AA5872">
        <v>0.96956379999999998</v>
      </c>
      <c r="AB5872">
        <v>26</v>
      </c>
      <c r="AC5872">
        <v>17.6588999999999</v>
      </c>
      <c r="AD5872">
        <v>-1.1064054304636</v>
      </c>
      <c r="AE5872">
        <v>5.7404400000000004</v>
      </c>
      <c r="AF5872">
        <v>-4.5658876017512897</v>
      </c>
      <c r="AG5872">
        <v>-1.1064054304636</v>
      </c>
      <c r="AH5872">
        <v>17.930610196448502</v>
      </c>
      <c r="AI5872">
        <v>93.422018328833303</v>
      </c>
      <c r="AJ5872">
        <v>104.28629414000901</v>
      </c>
      <c r="AK5872">
        <v>18.535863739933198</v>
      </c>
    </row>
    <row r="5873" spans="1:37" x14ac:dyDescent="0.2">
      <c r="A5873" t="str">
        <f>"20200111160017106"</f>
        <v>20200111160017106</v>
      </c>
      <c r="B5873" t="str">
        <f>"1578729617096549"</f>
        <v>1578729617096549</v>
      </c>
      <c r="C5873" t="s">
        <v>37</v>
      </c>
      <c r="D5873">
        <v>5.2395610000000001</v>
      </c>
      <c r="E5873">
        <v>0.44265919999999997</v>
      </c>
      <c r="F5873" t="s">
        <v>90</v>
      </c>
      <c r="G5873">
        <v>-231.2979</v>
      </c>
      <c r="H5873" s="1">
        <v>-5.6766680000000004E-7</v>
      </c>
      <c r="I5873">
        <v>-56.10351</v>
      </c>
      <c r="J5873">
        <v>-248.29519999999999</v>
      </c>
      <c r="K5873">
        <v>1.1063670000000001</v>
      </c>
      <c r="L5873">
        <v>-61.655729999999998</v>
      </c>
      <c r="M5873">
        <v>0.99770460000000005</v>
      </c>
      <c r="N5873">
        <v>0</v>
      </c>
      <c r="O5873">
        <v>6.6022429999999993E-2</v>
      </c>
      <c r="P5873">
        <v>0.98674169999999894</v>
      </c>
      <c r="Q5873">
        <v>1.4910700000000001E-2</v>
      </c>
      <c r="R5873">
        <v>0.16161249999999999</v>
      </c>
      <c r="S5873">
        <v>2.89036599999999</v>
      </c>
      <c r="T5873">
        <v>-0.1868427</v>
      </c>
      <c r="U5873">
        <v>0.93911739999999999</v>
      </c>
      <c r="V5873">
        <v>-9.6230839999999998E-2</v>
      </c>
      <c r="W5873">
        <v>2.9482209999999998E-2</v>
      </c>
      <c r="X5873">
        <v>0.99492230000000004</v>
      </c>
      <c r="Y5873">
        <v>-0.245202</v>
      </c>
      <c r="Z5873">
        <v>3.5748339999999998E-3</v>
      </c>
      <c r="AA5873">
        <v>0.96946540000000003</v>
      </c>
      <c r="AB5873">
        <v>26</v>
      </c>
      <c r="AC5873">
        <v>16.9972999999999</v>
      </c>
      <c r="AD5873">
        <v>-1.1063675676667999</v>
      </c>
      <c r="AE5873">
        <v>5.5522200000000002</v>
      </c>
      <c r="AF5873">
        <v>-4.4009247328542402</v>
      </c>
      <c r="AG5873">
        <v>-1.1063675676667999</v>
      </c>
      <c r="AH5873">
        <v>17.260738804088799</v>
      </c>
      <c r="AI5873">
        <v>93.554091922039305</v>
      </c>
      <c r="AJ5873">
        <v>104.30379503276799</v>
      </c>
      <c r="AK5873">
        <v>17.847276872453399</v>
      </c>
    </row>
    <row r="5874" spans="1:37" x14ac:dyDescent="0.2">
      <c r="A5874" t="str">
        <f>"20200111160017118"</f>
        <v>20200111160017118</v>
      </c>
      <c r="B5874" t="str">
        <f>"1578729617106310"</f>
        <v>1578729617106310</v>
      </c>
      <c r="C5874" t="s">
        <v>37</v>
      </c>
      <c r="D5874">
        <v>5.3130860000000002</v>
      </c>
      <c r="E5874">
        <v>0.44268089999999999</v>
      </c>
      <c r="F5874" t="s">
        <v>90</v>
      </c>
      <c r="G5874">
        <v>-231.85570000000001</v>
      </c>
      <c r="H5874" s="1">
        <v>-7.1096999999999997E-7</v>
      </c>
      <c r="I5874">
        <v>-56.278319999999901</v>
      </c>
      <c r="J5874">
        <v>-248.1677</v>
      </c>
      <c r="K5874">
        <v>1.1063259999999999</v>
      </c>
      <c r="L5874">
        <v>-61.645969999999998</v>
      </c>
      <c r="M5874">
        <v>0.99762640000000002</v>
      </c>
      <c r="N5874">
        <v>0</v>
      </c>
      <c r="O5874">
        <v>6.7195679999999994E-2</v>
      </c>
      <c r="P5874">
        <v>0.98642209999999997</v>
      </c>
      <c r="Q5874">
        <v>1.398138E-2</v>
      </c>
      <c r="R5874">
        <v>0.1636341</v>
      </c>
      <c r="S5874">
        <v>2.8885040000000002</v>
      </c>
      <c r="T5874">
        <v>-0.19439379999999901</v>
      </c>
      <c r="U5874">
        <v>0.9448242</v>
      </c>
      <c r="V5874">
        <v>-9.7092109999999995E-2</v>
      </c>
      <c r="W5874">
        <v>2.8553249999999999E-2</v>
      </c>
      <c r="X5874">
        <v>0.99486569999999996</v>
      </c>
      <c r="Y5874">
        <v>-0.2459498</v>
      </c>
      <c r="Z5874">
        <v>3.6684019999999999E-3</v>
      </c>
      <c r="AA5874">
        <v>0.96927569999999996</v>
      </c>
      <c r="AB5874">
        <v>26</v>
      </c>
      <c r="AC5874">
        <v>16.311999999999902</v>
      </c>
      <c r="AD5874">
        <v>-1.1063267109699999</v>
      </c>
      <c r="AE5874">
        <v>5.3676500000000003</v>
      </c>
      <c r="AF5874">
        <v>-4.24169018235325</v>
      </c>
      <c r="AG5874">
        <v>-1.1063267109699999</v>
      </c>
      <c r="AH5874">
        <v>16.567085248225101</v>
      </c>
      <c r="AI5874">
        <v>93.701415646174496</v>
      </c>
      <c r="AJ5874">
        <v>104.36101247756299</v>
      </c>
      <c r="AK5874">
        <v>17.137217044095401</v>
      </c>
    </row>
    <row r="5875" spans="1:37" x14ac:dyDescent="0.2">
      <c r="A5875" t="str">
        <f>"20200111160017130"</f>
        <v>20200111160017130</v>
      </c>
      <c r="B5875" t="str">
        <f>"1578729617126806"</f>
        <v>1578729617126806</v>
      </c>
      <c r="C5875" t="s">
        <v>37</v>
      </c>
      <c r="D5875">
        <v>5.2719569999999996</v>
      </c>
      <c r="E5875">
        <v>0.44272099999999998</v>
      </c>
      <c r="F5875" t="s">
        <v>90</v>
      </c>
      <c r="G5875">
        <v>-232.04509999999999</v>
      </c>
      <c r="H5875" s="1">
        <v>-7.59742E-7</v>
      </c>
      <c r="I5875">
        <v>-56.337299999999999</v>
      </c>
      <c r="J5875">
        <v>-248.0256</v>
      </c>
      <c r="K5875">
        <v>1.106279</v>
      </c>
      <c r="L5875">
        <v>-61.634979999999999</v>
      </c>
      <c r="M5875">
        <v>0.99753899999999995</v>
      </c>
      <c r="N5875">
        <v>0</v>
      </c>
      <c r="O5875">
        <v>6.8481739999999999E-2</v>
      </c>
      <c r="P5875">
        <v>0.9860409</v>
      </c>
      <c r="Q5875">
        <v>1.3408389999999999E-2</v>
      </c>
      <c r="R5875">
        <v>0.165963</v>
      </c>
      <c r="S5875">
        <v>2.8864589999999999</v>
      </c>
      <c r="T5875">
        <v>-0.19806779999999999</v>
      </c>
      <c r="U5875">
        <v>0.9504089</v>
      </c>
      <c r="V5875">
        <v>-9.8153450000000003E-2</v>
      </c>
      <c r="W5875">
        <v>2.7979839999999999E-2</v>
      </c>
      <c r="X5875">
        <v>0.99477789999999999</v>
      </c>
      <c r="Y5875">
        <v>-0.24658339999999901</v>
      </c>
      <c r="Z5875">
        <v>3.674947E-3</v>
      </c>
      <c r="AA5875">
        <v>0.96911460000000005</v>
      </c>
      <c r="AB5875">
        <v>26</v>
      </c>
      <c r="AC5875">
        <v>15.980499999999999</v>
      </c>
      <c r="AD5875">
        <v>-1.106279759742</v>
      </c>
      <c r="AE5875">
        <v>5.2976799999999997</v>
      </c>
      <c r="AF5875">
        <v>-4.1727268064332996</v>
      </c>
      <c r="AG5875">
        <v>-1.106279759742</v>
      </c>
      <c r="AH5875">
        <v>16.2357074761082</v>
      </c>
      <c r="AI5875">
        <v>93.775700495811805</v>
      </c>
      <c r="AJ5875">
        <v>104.41359190640399</v>
      </c>
      <c r="AK5875">
        <v>16.799812533409401</v>
      </c>
    </row>
    <row r="5876" spans="1:37" x14ac:dyDescent="0.2">
      <c r="A5876" t="str">
        <f>"20200111160017142"</f>
        <v>20200111160017142</v>
      </c>
      <c r="B5876" t="str">
        <f>"1578729617136566"</f>
        <v>1578729617136566</v>
      </c>
      <c r="C5876" t="s">
        <v>37</v>
      </c>
      <c r="D5876">
        <v>5.3046290000000003</v>
      </c>
      <c r="E5876">
        <v>0.4428396</v>
      </c>
      <c r="F5876" t="s">
        <v>90</v>
      </c>
      <c r="G5876">
        <v>-232.4539</v>
      </c>
      <c r="H5876" s="1">
        <v>-8.6393080000000002E-7</v>
      </c>
      <c r="I5876">
        <v>-56.468619999999902</v>
      </c>
      <c r="J5876">
        <v>-247.87889999999999</v>
      </c>
      <c r="K5876">
        <v>1.1062319999999899</v>
      </c>
      <c r="L5876">
        <v>-61.623469999999998</v>
      </c>
      <c r="M5876">
        <v>0.99744900000000003</v>
      </c>
      <c r="N5876">
        <v>0</v>
      </c>
      <c r="O5876">
        <v>6.9780159999999994E-2</v>
      </c>
      <c r="P5876">
        <v>0.98563729999999905</v>
      </c>
      <c r="Q5876">
        <v>1.283655E-2</v>
      </c>
      <c r="R5876">
        <v>0.1683877</v>
      </c>
      <c r="S5876">
        <v>2.8842159999999999</v>
      </c>
      <c r="T5876">
        <v>-0.2049069</v>
      </c>
      <c r="U5876">
        <v>0.95690919999999902</v>
      </c>
      <c r="V5876">
        <v>-9.9299540000000006E-2</v>
      </c>
      <c r="W5876">
        <v>2.7407850000000001E-2</v>
      </c>
      <c r="X5876">
        <v>0.99467999999999901</v>
      </c>
      <c r="Y5876">
        <v>-0.24748899999999999</v>
      </c>
      <c r="Z5876">
        <v>3.7453459999999901E-3</v>
      </c>
      <c r="AA5876">
        <v>0.96888349999999901</v>
      </c>
      <c r="AB5876">
        <v>26</v>
      </c>
      <c r="AC5876">
        <v>15.424999999999899</v>
      </c>
      <c r="AD5876">
        <v>-1.1062328639307999</v>
      </c>
      <c r="AE5876">
        <v>5.1548499999999997</v>
      </c>
      <c r="AF5876">
        <v>-4.0470767000523402</v>
      </c>
      <c r="AG5876">
        <v>-1.1062328639307999</v>
      </c>
      <c r="AH5876">
        <v>15.674618102748701</v>
      </c>
      <c r="AI5876">
        <v>93.909163723904697</v>
      </c>
      <c r="AJ5876">
        <v>104.477195915734</v>
      </c>
      <c r="AK5876">
        <v>16.226405443978098</v>
      </c>
    </row>
    <row r="5877" spans="1:37" x14ac:dyDescent="0.2">
      <c r="A5877" t="str">
        <f>"20200111160017154"</f>
        <v>20200111160017154</v>
      </c>
      <c r="B5877" t="str">
        <f>"1578729617146326"</f>
        <v>1578729617146326</v>
      </c>
      <c r="C5877" t="s">
        <v>37</v>
      </c>
      <c r="D5877">
        <v>5.3439399999999999</v>
      </c>
      <c r="E5877">
        <v>0.44312429999999903</v>
      </c>
      <c r="F5877" t="s">
        <v>90</v>
      </c>
      <c r="G5877">
        <v>-232.42670000000001</v>
      </c>
      <c r="H5877" s="1">
        <v>-8.5690489999999999E-7</v>
      </c>
      <c r="I5877">
        <v>-56.4602199999999</v>
      </c>
      <c r="J5877">
        <v>-247.75550000000001</v>
      </c>
      <c r="K5877">
        <v>1.1061909999999999</v>
      </c>
      <c r="L5877">
        <v>-61.61365</v>
      </c>
      <c r="M5877">
        <v>0.99737489999999995</v>
      </c>
      <c r="N5877">
        <v>0</v>
      </c>
      <c r="O5877">
        <v>7.0833880000000002E-2</v>
      </c>
      <c r="P5877">
        <v>0.98523749999999999</v>
      </c>
      <c r="Q5877">
        <v>1.2556950000000001E-2</v>
      </c>
      <c r="R5877">
        <v>0.17073250000000001</v>
      </c>
      <c r="S5877">
        <v>2.8818820000000001</v>
      </c>
      <c r="T5877">
        <v>-0.2063159</v>
      </c>
      <c r="U5877">
        <v>0.96295169999999997</v>
      </c>
      <c r="V5877">
        <v>-0.1006121</v>
      </c>
      <c r="W5877">
        <v>2.7127100000000001E-2</v>
      </c>
      <c r="X5877">
        <v>0.99455579999999999</v>
      </c>
      <c r="Y5877">
        <v>-0.24852270000000001</v>
      </c>
      <c r="Z5877">
        <v>3.735983E-3</v>
      </c>
      <c r="AA5877">
        <v>0.96861889999999995</v>
      </c>
      <c r="AB5877">
        <v>26</v>
      </c>
      <c r="AC5877">
        <v>15.328799999999999</v>
      </c>
      <c r="AD5877">
        <v>-1.1061918569048901</v>
      </c>
      <c r="AE5877">
        <v>5.1534300000000002</v>
      </c>
      <c r="AF5877">
        <v>-4.03567892745746</v>
      </c>
      <c r="AG5877">
        <v>-1.1061918569048901</v>
      </c>
      <c r="AH5877">
        <v>15.582457906476</v>
      </c>
      <c r="AI5877">
        <v>93.931310479271204</v>
      </c>
      <c r="AJ5877">
        <v>104.51992308954701</v>
      </c>
      <c r="AK5877">
        <v>16.134539325214799</v>
      </c>
    </row>
    <row r="5878" spans="1:37" x14ac:dyDescent="0.2">
      <c r="A5878" t="str">
        <f>"20200111160017165"</f>
        <v>20200111160017165</v>
      </c>
      <c r="B5878" t="str">
        <f>"1578729617157061"</f>
        <v>1578729617157061</v>
      </c>
      <c r="C5878" t="s">
        <v>37</v>
      </c>
      <c r="D5878">
        <v>5.2968260000000003</v>
      </c>
      <c r="E5878">
        <v>0.44313459999999899</v>
      </c>
      <c r="F5878" t="s">
        <v>90</v>
      </c>
      <c r="G5878">
        <v>-232.33150000000001</v>
      </c>
      <c r="H5878" s="1">
        <v>-8.3215369999999897E-7</v>
      </c>
      <c r="I5878">
        <v>-56.431449999999998</v>
      </c>
      <c r="J5878">
        <v>-247.6225</v>
      </c>
      <c r="K5878">
        <v>1.106149</v>
      </c>
      <c r="L5878">
        <v>-61.603000000000002</v>
      </c>
      <c r="M5878">
        <v>0.99729439999999903</v>
      </c>
      <c r="N5878">
        <v>0</v>
      </c>
      <c r="O5878">
        <v>7.1958099999999997E-2</v>
      </c>
      <c r="P5878">
        <v>0.98488989999999998</v>
      </c>
      <c r="Q5878">
        <v>1.2458759999999999E-2</v>
      </c>
      <c r="R5878">
        <v>0.17273259999999999</v>
      </c>
      <c r="S5878">
        <v>2.8799130000000002</v>
      </c>
      <c r="T5878">
        <v>-0.20654429999999999</v>
      </c>
      <c r="U5878">
        <v>0.96759030000000001</v>
      </c>
      <c r="V5878">
        <v>-0.10150729999999999</v>
      </c>
      <c r="W5878">
        <v>2.7029859999999999E-2</v>
      </c>
      <c r="X5878">
        <v>0.99446759999999901</v>
      </c>
      <c r="Y5878">
        <v>-0.249032899999999</v>
      </c>
      <c r="Z5878">
        <v>3.6816709999999901E-3</v>
      </c>
      <c r="AA5878">
        <v>0.96848799999999902</v>
      </c>
      <c r="AB5878">
        <v>26</v>
      </c>
      <c r="AC5878">
        <v>15.290999999999899</v>
      </c>
      <c r="AD5878">
        <v>-1.1061498321537</v>
      </c>
      <c r="AE5878">
        <v>5.1715499999999999</v>
      </c>
      <c r="AF5878">
        <v>-4.0387393119839698</v>
      </c>
      <c r="AG5878">
        <v>-1.1061498321537</v>
      </c>
      <c r="AH5878">
        <v>15.550504503161299</v>
      </c>
      <c r="AI5878">
        <v>93.938518437477398</v>
      </c>
      <c r="AJ5878">
        <v>104.559057991553</v>
      </c>
      <c r="AK5878">
        <v>16.1044457521573</v>
      </c>
    </row>
    <row r="5879" spans="1:37" x14ac:dyDescent="0.2">
      <c r="A5879" t="str">
        <f>"20200111160017176"</f>
        <v>20200111160017176</v>
      </c>
      <c r="B5879" t="str">
        <f>"1578729617166352"</f>
        <v>1578729617166352</v>
      </c>
      <c r="C5879" t="s">
        <v>37</v>
      </c>
      <c r="D5879">
        <v>5.3284669999999998</v>
      </c>
      <c r="E5879">
        <v>0.44330239999999999</v>
      </c>
      <c r="F5879" t="s">
        <v>90</v>
      </c>
      <c r="G5879">
        <v>-232.2424</v>
      </c>
      <c r="H5879" s="1">
        <v>-8.0978899999999997E-7</v>
      </c>
      <c r="I5879">
        <v>-56.401519999999998</v>
      </c>
      <c r="J5879">
        <v>-247.49199999999999</v>
      </c>
      <c r="K5879">
        <v>1.1061049999999999</v>
      </c>
      <c r="L5879">
        <v>-61.592350000000003</v>
      </c>
      <c r="M5879">
        <v>0.9972183</v>
      </c>
      <c r="N5879">
        <v>0</v>
      </c>
      <c r="O5879">
        <v>7.3007429999999998E-2</v>
      </c>
      <c r="P5879">
        <v>0.98449920000000002</v>
      </c>
      <c r="Q5879">
        <v>1.237245E-2</v>
      </c>
      <c r="R5879">
        <v>0.1749522</v>
      </c>
      <c r="S5879">
        <v>2.877945</v>
      </c>
      <c r="T5879">
        <v>-0.20698440000000001</v>
      </c>
      <c r="U5879">
        <v>0.97329709999999903</v>
      </c>
      <c r="V5879">
        <v>-0.1026996</v>
      </c>
      <c r="W5879">
        <v>2.6943580000000002E-2</v>
      </c>
      <c r="X5879">
        <v>0.99434750000000005</v>
      </c>
      <c r="Y5879">
        <v>-0.24993660000000001</v>
      </c>
      <c r="Z5879">
        <v>3.6496520000000002E-3</v>
      </c>
      <c r="AA5879">
        <v>0.96825530000000004</v>
      </c>
      <c r="AB5879">
        <v>26</v>
      </c>
      <c r="AC5879">
        <v>15.249599999999999</v>
      </c>
      <c r="AD5879">
        <v>-1.106105809789</v>
      </c>
      <c r="AE5879">
        <v>5.1908300000000001</v>
      </c>
      <c r="AF5879">
        <v>-4.0444461072532798</v>
      </c>
      <c r="AG5879">
        <v>-1.106105809789</v>
      </c>
      <c r="AH5879">
        <v>15.5147584238566</v>
      </c>
      <c r="AI5879">
        <v>93.946481093141799</v>
      </c>
      <c r="AJ5879">
        <v>104.61090788902</v>
      </c>
      <c r="AK5879">
        <v>16.0713640779977</v>
      </c>
    </row>
    <row r="5880" spans="1:37" x14ac:dyDescent="0.2">
      <c r="A5880" t="str">
        <f>"20200111160017186"</f>
        <v>20200111160017186</v>
      </c>
      <c r="B5880" t="str">
        <f>"1578729617177088"</f>
        <v>1578729617177088</v>
      </c>
      <c r="C5880" t="s">
        <v>37</v>
      </c>
      <c r="D5880">
        <v>5.2451319999999999</v>
      </c>
      <c r="E5880">
        <v>0.44333030000000001</v>
      </c>
      <c r="F5880" t="s">
        <v>90</v>
      </c>
      <c r="G5880">
        <v>-232.05889999999999</v>
      </c>
      <c r="H5880" s="1">
        <v>-7.6336759999999996E-7</v>
      </c>
      <c r="I5880">
        <v>-56.34131</v>
      </c>
      <c r="J5880">
        <v>-247.37289999999999</v>
      </c>
      <c r="K5880">
        <v>1.106063</v>
      </c>
      <c r="L5880">
        <v>-61.582609999999903</v>
      </c>
      <c r="M5880">
        <v>0.99714859999999905</v>
      </c>
      <c r="N5880">
        <v>0</v>
      </c>
      <c r="O5880">
        <v>7.3955129999999994E-2</v>
      </c>
      <c r="P5880">
        <v>0.98414849999999998</v>
      </c>
      <c r="Q5880">
        <v>1.254795E-2</v>
      </c>
      <c r="R5880">
        <v>0.17690320000000001</v>
      </c>
      <c r="S5880">
        <v>2.8759459999999999</v>
      </c>
      <c r="T5880">
        <v>-0.20612220000000001</v>
      </c>
      <c r="U5880">
        <v>0.97851559999999904</v>
      </c>
      <c r="V5880">
        <v>-0.1037236</v>
      </c>
      <c r="W5880">
        <v>2.711995E-2</v>
      </c>
      <c r="X5880">
        <v>0.99423639999999902</v>
      </c>
      <c r="Y5880">
        <v>-0.25079950000000001</v>
      </c>
      <c r="Z5880">
        <v>3.6005099999999999E-3</v>
      </c>
      <c r="AA5880">
        <v>0.96803240000000002</v>
      </c>
      <c r="AB5880">
        <v>26</v>
      </c>
      <c r="AC5880">
        <v>15.313999999999901</v>
      </c>
      <c r="AD5880">
        <v>-1.1060637633676</v>
      </c>
      <c r="AE5880">
        <v>5.2412999999999901</v>
      </c>
      <c r="AF5880">
        <v>-4.0752377933162398</v>
      </c>
      <c r="AG5880">
        <v>-1.1060637633676</v>
      </c>
      <c r="AH5880">
        <v>15.586934795965799</v>
      </c>
      <c r="AI5880">
        <v>93.927379822297397</v>
      </c>
      <c r="AJ5880">
        <v>104.652122959278</v>
      </c>
      <c r="AK5880">
        <v>16.148791795499701</v>
      </c>
    </row>
    <row r="5881" spans="1:37" x14ac:dyDescent="0.2">
      <c r="A5881" t="str">
        <f>"20200111160017197"</f>
        <v>20200111160017197</v>
      </c>
      <c r="B5881" t="str">
        <f>"1578729617186849"</f>
        <v>1578729617186849</v>
      </c>
      <c r="C5881" t="s">
        <v>37</v>
      </c>
      <c r="D5881">
        <v>5.2807789999999999</v>
      </c>
      <c r="E5881">
        <v>0.44344220000000001</v>
      </c>
      <c r="F5881" t="s">
        <v>90</v>
      </c>
      <c r="G5881">
        <v>-231.80410000000001</v>
      </c>
      <c r="H5881" s="1">
        <v>-7.0030069999999999E-7</v>
      </c>
      <c r="I5881">
        <v>-56.252479999999998</v>
      </c>
      <c r="J5881">
        <v>-247.2482</v>
      </c>
      <c r="K5881">
        <v>1.1060190000000001</v>
      </c>
      <c r="L5881">
        <v>-61.572269999999897</v>
      </c>
      <c r="M5881">
        <v>0.997077399999999</v>
      </c>
      <c r="N5881">
        <v>0</v>
      </c>
      <c r="O5881">
        <v>7.4909119999999996E-2</v>
      </c>
      <c r="P5881">
        <v>0.98381409999999903</v>
      </c>
      <c r="Q5881">
        <v>1.246276E-2</v>
      </c>
      <c r="R5881">
        <v>0.1787588</v>
      </c>
      <c r="S5881">
        <v>2.8740540000000001</v>
      </c>
      <c r="T5881">
        <v>-0.20418269999999999</v>
      </c>
      <c r="U5881">
        <v>0.98394780000000004</v>
      </c>
      <c r="V5881">
        <v>-0.104644499999999</v>
      </c>
      <c r="W5881">
        <v>2.7036540000000001E-2</v>
      </c>
      <c r="X5881">
        <v>0.99414210000000003</v>
      </c>
      <c r="Y5881">
        <v>-0.25171379999999999</v>
      </c>
      <c r="Z5881">
        <v>3.5342209999999902E-3</v>
      </c>
      <c r="AA5881">
        <v>0.96779530000000002</v>
      </c>
      <c r="AB5881">
        <v>26</v>
      </c>
      <c r="AC5881">
        <v>15.444099999999899</v>
      </c>
      <c r="AD5881">
        <v>-1.1060197003007</v>
      </c>
      <c r="AE5881">
        <v>5.3197899999999896</v>
      </c>
      <c r="AF5881">
        <v>-4.1288762060487896</v>
      </c>
      <c r="AG5881">
        <v>-1.1060197003007</v>
      </c>
      <c r="AH5881">
        <v>15.7271400851567</v>
      </c>
      <c r="AI5881">
        <v>93.891294231823295</v>
      </c>
      <c r="AJ5881">
        <v>104.710014608949</v>
      </c>
      <c r="AK5881">
        <v>16.2976634386795</v>
      </c>
    </row>
    <row r="5882" spans="1:37" x14ac:dyDescent="0.2">
      <c r="A5882" t="str">
        <f>"20200111160017209"</f>
        <v>20200111160017209</v>
      </c>
      <c r="B5882" t="str">
        <f>"1578729617206368"</f>
        <v>1578729617206368</v>
      </c>
      <c r="C5882" t="s">
        <v>37</v>
      </c>
      <c r="D5882">
        <v>5.2822769999999997</v>
      </c>
      <c r="E5882">
        <v>0.44337349999999998</v>
      </c>
      <c r="F5882" t="s">
        <v>90</v>
      </c>
      <c r="G5882">
        <v>-231.66679999999999</v>
      </c>
      <c r="H5882" s="1">
        <v>-6.6490030000000001E-7</v>
      </c>
      <c r="I5882">
        <v>-56.209940000000003</v>
      </c>
      <c r="J5882">
        <v>-247.1208</v>
      </c>
      <c r="K5882">
        <v>1.105977</v>
      </c>
      <c r="L5882">
        <v>-61.561609999999902</v>
      </c>
      <c r="M5882">
        <v>0.99700509999999998</v>
      </c>
      <c r="N5882">
        <v>0</v>
      </c>
      <c r="O5882">
        <v>7.5865059999999998E-2</v>
      </c>
      <c r="P5882">
        <v>0.98350419999999905</v>
      </c>
      <c r="Q5882">
        <v>1.2990440000000001E-2</v>
      </c>
      <c r="R5882">
        <v>0.18041779999999999</v>
      </c>
      <c r="S5882">
        <v>2.8723139999999998</v>
      </c>
      <c r="T5882">
        <v>-0.20388689999999901</v>
      </c>
      <c r="U5882">
        <v>0.98849489999999995</v>
      </c>
      <c r="V5882">
        <v>-0.1053673</v>
      </c>
      <c r="W5882">
        <v>2.7567060000000001E-2</v>
      </c>
      <c r="X5882">
        <v>0.99405119999999902</v>
      </c>
      <c r="Y5882">
        <v>-0.252337799999999</v>
      </c>
      <c r="Z5882">
        <v>3.4864940000000001E-3</v>
      </c>
      <c r="AA5882">
        <v>0.96763290000000002</v>
      </c>
      <c r="AB5882">
        <v>26</v>
      </c>
      <c r="AC5882">
        <v>15.454000000000001</v>
      </c>
      <c r="AD5882">
        <v>-1.1059776649002999</v>
      </c>
      <c r="AE5882">
        <v>5.3516699999999897</v>
      </c>
      <c r="AF5882">
        <v>-4.1447379084901002</v>
      </c>
      <c r="AG5882">
        <v>-1.1059776649002999</v>
      </c>
      <c r="AH5882">
        <v>15.743504764607099</v>
      </c>
      <c r="AI5882">
        <v>93.886414551832203</v>
      </c>
      <c r="AJ5882">
        <v>104.74938402492</v>
      </c>
      <c r="AK5882">
        <v>16.3174747187958</v>
      </c>
    </row>
    <row r="5883" spans="1:37" x14ac:dyDescent="0.2">
      <c r="A5883" t="str">
        <f>"20200111160017221"</f>
        <v>20200111160017221</v>
      </c>
      <c r="B5883" t="str">
        <f>"1578729617217106"</f>
        <v>1578729617217106</v>
      </c>
      <c r="C5883" t="s">
        <v>37</v>
      </c>
      <c r="D5883">
        <v>5.4697690000000003</v>
      </c>
      <c r="E5883">
        <v>0.44395180000000001</v>
      </c>
      <c r="F5883" t="s">
        <v>90</v>
      </c>
      <c r="G5883">
        <v>-231.48650000000001</v>
      </c>
      <c r="H5883" s="1">
        <v>-6.1986999999999905E-7</v>
      </c>
      <c r="I5883">
        <v>-56.148619999999902</v>
      </c>
      <c r="J5883">
        <v>-246.98079999999999</v>
      </c>
      <c r="K5883">
        <v>1.105936</v>
      </c>
      <c r="L5883">
        <v>-61.549869999999999</v>
      </c>
      <c r="M5883">
        <v>0.99692760000000002</v>
      </c>
      <c r="N5883">
        <v>0</v>
      </c>
      <c r="O5883">
        <v>7.6879699999999995E-2</v>
      </c>
      <c r="P5883">
        <v>0.98321320000000001</v>
      </c>
      <c r="Q5883">
        <v>1.3018399999999999E-2</v>
      </c>
      <c r="R5883">
        <v>0.1819964</v>
      </c>
      <c r="S5883">
        <v>2.870682</v>
      </c>
      <c r="T5883">
        <v>-0.20307459999999999</v>
      </c>
      <c r="U5883">
        <v>0.99389649999999996</v>
      </c>
      <c r="V5883">
        <v>-0.1059483</v>
      </c>
      <c r="W5883">
        <v>2.7599470000000001E-2</v>
      </c>
      <c r="X5883">
        <v>0.9939886</v>
      </c>
      <c r="Y5883">
        <v>-0.25315260000000001</v>
      </c>
      <c r="Z5883">
        <v>3.4324540000000001E-3</v>
      </c>
      <c r="AA5883">
        <v>0.96742030000000001</v>
      </c>
      <c r="AB5883">
        <v>26</v>
      </c>
      <c r="AC5883">
        <v>15.4942999999999</v>
      </c>
      <c r="AD5883">
        <v>-1.10593661987</v>
      </c>
      <c r="AE5883">
        <v>5.4012500000000001</v>
      </c>
      <c r="AF5883">
        <v>-4.1749642119831796</v>
      </c>
      <c r="AG5883">
        <v>-1.10593661987</v>
      </c>
      <c r="AH5883">
        <v>15.7919879746172</v>
      </c>
      <c r="AI5883">
        <v>93.873322520338107</v>
      </c>
      <c r="AJ5883">
        <v>104.808617265507</v>
      </c>
      <c r="AK5883">
        <v>16.371936543028902</v>
      </c>
    </row>
    <row r="5884" spans="1:37" x14ac:dyDescent="0.2">
      <c r="A5884" t="str">
        <f>"20200111160017234"</f>
        <v>20200111160017234</v>
      </c>
      <c r="B5884" t="str">
        <f>"1578729617226864"</f>
        <v>1578729617226864</v>
      </c>
      <c r="C5884" t="s">
        <v>37</v>
      </c>
      <c r="D5884">
        <v>5.3162279999999997</v>
      </c>
      <c r="E5884">
        <v>0.44419709999999901</v>
      </c>
      <c r="F5884" t="s">
        <v>90</v>
      </c>
      <c r="G5884">
        <v>-231.0538</v>
      </c>
      <c r="H5884" s="1">
        <v>-5.0301740000000001E-7</v>
      </c>
      <c r="I5884">
        <v>-56.034350000000003</v>
      </c>
      <c r="J5884">
        <v>-246.83430000000001</v>
      </c>
      <c r="K5884">
        <v>1.1058950000000001</v>
      </c>
      <c r="L5884">
        <v>-61.537350000000004</v>
      </c>
      <c r="M5884">
        <v>0.99684830000000002</v>
      </c>
      <c r="N5884">
        <v>0</v>
      </c>
      <c r="O5884">
        <v>7.7900570000000002E-2</v>
      </c>
      <c r="P5884">
        <v>0.98292369999999996</v>
      </c>
      <c r="Q5884">
        <v>1.3472670000000001E-2</v>
      </c>
      <c r="R5884">
        <v>0.1835193</v>
      </c>
      <c r="S5884">
        <v>2.869904</v>
      </c>
      <c r="T5884">
        <v>-0.1992797</v>
      </c>
      <c r="U5884">
        <v>0.99383539999999904</v>
      </c>
      <c r="V5884">
        <v>-0.1064692</v>
      </c>
      <c r="W5884">
        <v>2.8058489999999998E-2</v>
      </c>
      <c r="X5884">
        <v>0.99392000000000003</v>
      </c>
      <c r="Y5884">
        <v>-0.25224299999999999</v>
      </c>
      <c r="Z5884">
        <v>3.2704679999999999E-3</v>
      </c>
      <c r="AA5884">
        <v>0.96765840000000003</v>
      </c>
      <c r="AB5884">
        <v>26</v>
      </c>
      <c r="AC5884">
        <v>15.7805</v>
      </c>
      <c r="AD5884">
        <v>-1.10589550301739</v>
      </c>
      <c r="AE5884">
        <v>5.5029999999999903</v>
      </c>
      <c r="AF5884">
        <v>-4.2382669645229702</v>
      </c>
      <c r="AG5884">
        <v>-1.10589550301739</v>
      </c>
      <c r="AH5884">
        <v>16.090812438236</v>
      </c>
      <c r="AI5884">
        <v>93.802374943152998</v>
      </c>
      <c r="AJ5884">
        <v>104.75635866979199</v>
      </c>
      <c r="AK5884">
        <v>16.676335228360301</v>
      </c>
    </row>
    <row r="5885" spans="1:37" x14ac:dyDescent="0.2">
      <c r="A5885" t="str">
        <f>"20200111160017247"</f>
        <v>20200111160017247</v>
      </c>
      <c r="B5885" t="str">
        <f>"1578729617236624"</f>
        <v>1578729617236624</v>
      </c>
      <c r="C5885" t="s">
        <v>37</v>
      </c>
      <c r="D5885">
        <v>5.2238429999999996</v>
      </c>
      <c r="E5885">
        <v>0.44433019999999901</v>
      </c>
      <c r="F5885" t="s">
        <v>90</v>
      </c>
      <c r="G5885">
        <v>-230.72880000000001</v>
      </c>
      <c r="H5885" s="1">
        <v>-4.1629599999999998E-7</v>
      </c>
      <c r="I5885">
        <v>-55.94455</v>
      </c>
      <c r="J5885">
        <v>-246.6849</v>
      </c>
      <c r="K5885">
        <v>1.1058479999999999</v>
      </c>
      <c r="L5885">
        <v>-61.524569999999997</v>
      </c>
      <c r="M5885">
        <v>0.99676889999999996</v>
      </c>
      <c r="N5885">
        <v>0</v>
      </c>
      <c r="O5885">
        <v>7.891273E-2</v>
      </c>
      <c r="P5885">
        <v>0.98268459999999902</v>
      </c>
      <c r="Q5885">
        <v>1.3879209999999999E-2</v>
      </c>
      <c r="R5885">
        <v>0.18476670000000001</v>
      </c>
      <c r="S5885">
        <v>2.8688199999999999</v>
      </c>
      <c r="T5885">
        <v>-0.19698940000000001</v>
      </c>
      <c r="U5885">
        <v>0.99621579999999998</v>
      </c>
      <c r="V5885">
        <v>-0.106719699999999</v>
      </c>
      <c r="W5885">
        <v>2.8471260000000002E-2</v>
      </c>
      <c r="X5885">
        <v>0.99388140000000003</v>
      </c>
      <c r="Y5885">
        <v>-0.25210110000000002</v>
      </c>
      <c r="Z5885">
        <v>3.162144E-3</v>
      </c>
      <c r="AA5885">
        <v>0.96769570000000005</v>
      </c>
      <c r="AB5885">
        <v>26</v>
      </c>
      <c r="AC5885">
        <v>15.9560999999999</v>
      </c>
      <c r="AD5885">
        <v>-1.1058484162959901</v>
      </c>
      <c r="AE5885">
        <v>5.5800199999999904</v>
      </c>
      <c r="AF5885">
        <v>-4.28499496827905</v>
      </c>
      <c r="AG5885">
        <v>-1.1058484162959901</v>
      </c>
      <c r="AH5885">
        <v>16.2770507004204</v>
      </c>
      <c r="AI5885">
        <v>93.758966830170195</v>
      </c>
      <c r="AJ5885">
        <v>104.74870020562101</v>
      </c>
      <c r="AK5885">
        <v>16.867912203413201</v>
      </c>
    </row>
    <row r="5886" spans="1:37" x14ac:dyDescent="0.2">
      <c r="A5886" t="str">
        <f>"20200111160017261"</f>
        <v>20200111160017261</v>
      </c>
      <c r="B5886" t="str">
        <f>"1578729617257120"</f>
        <v>1578729617257120</v>
      </c>
      <c r="C5886" t="s">
        <v>37</v>
      </c>
      <c r="D5886">
        <v>5.2513059999999996</v>
      </c>
      <c r="E5886">
        <v>0.44453239999999999</v>
      </c>
      <c r="F5886" t="s">
        <v>90</v>
      </c>
      <c r="G5886">
        <v>-230.51830000000001</v>
      </c>
      <c r="H5886" s="1">
        <v>-3.5823839999999998E-7</v>
      </c>
      <c r="I5886">
        <v>-55.893619999999999</v>
      </c>
      <c r="J5886">
        <v>-246.52510000000001</v>
      </c>
      <c r="K5886">
        <v>1.105801</v>
      </c>
      <c r="L5886">
        <v>-61.510709999999897</v>
      </c>
      <c r="M5886">
        <v>0.99668690000000004</v>
      </c>
      <c r="N5886">
        <v>0</v>
      </c>
      <c r="O5886">
        <v>7.9941810000000002E-2</v>
      </c>
      <c r="P5886">
        <v>0.98245099999999996</v>
      </c>
      <c r="Q5886">
        <v>1.5341250000000001E-2</v>
      </c>
      <c r="R5886">
        <v>0.18588959999999999</v>
      </c>
      <c r="S5886">
        <v>2.8678129999999999</v>
      </c>
      <c r="T5886">
        <v>-0.19616800000000001</v>
      </c>
      <c r="U5886">
        <v>0.99887079999999995</v>
      </c>
      <c r="V5886">
        <v>-0.1068316</v>
      </c>
      <c r="W5886">
        <v>2.9940729999999999E-2</v>
      </c>
      <c r="X5886">
        <v>0.99382619999999899</v>
      </c>
      <c r="Y5886">
        <v>-0.25201180000000001</v>
      </c>
      <c r="Z5886">
        <v>3.078955E-3</v>
      </c>
      <c r="AA5886">
        <v>0.96771929999999995</v>
      </c>
      <c r="AB5886">
        <v>26</v>
      </c>
      <c r="AC5886">
        <v>16.006799999999998</v>
      </c>
      <c r="AD5886">
        <v>-1.1058013582384001</v>
      </c>
      <c r="AE5886">
        <v>5.6170899999999904</v>
      </c>
      <c r="AF5886">
        <v>-4.3010761554782198</v>
      </c>
      <c r="AG5886">
        <v>-1.1058013582384001</v>
      </c>
      <c r="AH5886">
        <v>16.335237889007601</v>
      </c>
      <c r="AI5886">
        <v>93.745413429817901</v>
      </c>
      <c r="AJ5886">
        <v>104.751203572362</v>
      </c>
      <c r="AK5886">
        <v>16.928143714819299</v>
      </c>
    </row>
    <row r="5887" spans="1:37" x14ac:dyDescent="0.2">
      <c r="A5887" t="str">
        <f>"20200111160017273"</f>
        <v>20200111160017273</v>
      </c>
      <c r="B5887" t="str">
        <f>"1578729617266880"</f>
        <v>1578729617266880</v>
      </c>
      <c r="C5887" t="s">
        <v>37</v>
      </c>
      <c r="D5887">
        <v>5.2468459999999997</v>
      </c>
      <c r="E5887">
        <v>0.44455790000000001</v>
      </c>
      <c r="F5887" t="s">
        <v>90</v>
      </c>
      <c r="G5887">
        <v>-230.09399999999999</v>
      </c>
      <c r="H5887" s="1">
        <v>-2.4496029999999901E-7</v>
      </c>
      <c r="I5887">
        <v>-55.776600000000002</v>
      </c>
      <c r="J5887">
        <v>-246.3897</v>
      </c>
      <c r="K5887">
        <v>1.1057619999999999</v>
      </c>
      <c r="L5887">
        <v>-61.498899999999999</v>
      </c>
      <c r="M5887">
        <v>0.99661949999999999</v>
      </c>
      <c r="N5887">
        <v>0</v>
      </c>
      <c r="O5887">
        <v>8.0777559999999998E-2</v>
      </c>
      <c r="P5887">
        <v>0.98234310000000002</v>
      </c>
      <c r="Q5887">
        <v>1.6015930000000001E-2</v>
      </c>
      <c r="R5887">
        <v>0.18640199999999901</v>
      </c>
      <c r="S5887">
        <v>2.8672789999999999</v>
      </c>
      <c r="T5887">
        <v>-0.1929659</v>
      </c>
      <c r="U5887">
        <v>1.00061</v>
      </c>
      <c r="V5887">
        <v>-0.10651620000000001</v>
      </c>
      <c r="W5887">
        <v>3.0623239999999999E-2</v>
      </c>
      <c r="X5887">
        <v>0.99383929999999998</v>
      </c>
      <c r="Y5887">
        <v>-0.2517934</v>
      </c>
      <c r="Z5887">
        <v>2.96786099999999E-3</v>
      </c>
      <c r="AA5887">
        <v>0.96777649999999904</v>
      </c>
      <c r="AB5887">
        <v>26</v>
      </c>
      <c r="AC5887">
        <v>16.295699999999901</v>
      </c>
      <c r="AD5887">
        <v>-1.1057622449603</v>
      </c>
      <c r="AE5887">
        <v>5.72229999999999</v>
      </c>
      <c r="AF5887">
        <v>-4.3692120782575197</v>
      </c>
      <c r="AG5887">
        <v>-1.1057622449603</v>
      </c>
      <c r="AH5887">
        <v>16.636528340682801</v>
      </c>
      <c r="AI5887">
        <v>93.678248483387904</v>
      </c>
      <c r="AJ5887">
        <v>104.71514516172201</v>
      </c>
      <c r="AK5887">
        <v>17.236206066229101</v>
      </c>
    </row>
    <row r="5888" spans="1:37" x14ac:dyDescent="0.2">
      <c r="A5888" t="str">
        <f>"20200111160017286"</f>
        <v>20200111160017286</v>
      </c>
      <c r="B5888" t="str">
        <f>"1578729617276640"</f>
        <v>1578729617276640</v>
      </c>
      <c r="C5888" t="s">
        <v>37</v>
      </c>
      <c r="D5888">
        <v>5.459568</v>
      </c>
      <c r="E5888">
        <v>0.44489109999999998</v>
      </c>
      <c r="F5888" t="s">
        <v>91</v>
      </c>
      <c r="G5888">
        <v>-229.9298</v>
      </c>
      <c r="H5888" s="1">
        <v>-4.4031719999999997E-6</v>
      </c>
      <c r="I5888">
        <v>-55.746400000000001</v>
      </c>
      <c r="J5888">
        <v>-246.2456</v>
      </c>
      <c r="K5888">
        <v>1.10572</v>
      </c>
      <c r="L5888">
        <v>-61.486269999999998</v>
      </c>
      <c r="M5888">
        <v>0.99654900000000002</v>
      </c>
      <c r="N5888">
        <v>0</v>
      </c>
      <c r="O5888">
        <v>8.1645869999999995E-2</v>
      </c>
      <c r="P5888">
        <v>0.98219210000000001</v>
      </c>
      <c r="Q5888">
        <v>1.6879729999999999E-2</v>
      </c>
      <c r="R5888">
        <v>0.18712029999999999</v>
      </c>
      <c r="S5888">
        <v>2.8669279999999899</v>
      </c>
      <c r="T5888">
        <v>-0.19259899999999999</v>
      </c>
      <c r="U5888">
        <v>1.0019530000000001</v>
      </c>
      <c r="V5888">
        <v>-0.10637679999999999</v>
      </c>
      <c r="W5888">
        <v>3.1494000000000001E-2</v>
      </c>
      <c r="X5888">
        <v>0.99382700000000002</v>
      </c>
      <c r="Y5888">
        <v>-0.25139499999999998</v>
      </c>
      <c r="Z5888">
        <v>2.89332E-3</v>
      </c>
      <c r="AA5888">
        <v>0.96788019999999997</v>
      </c>
      <c r="AB5888">
        <v>26</v>
      </c>
      <c r="AC5888">
        <v>16.3157999999999</v>
      </c>
      <c r="AD5888">
        <v>-1.1057244031719999</v>
      </c>
      <c r="AE5888">
        <v>5.73986999999999</v>
      </c>
      <c r="AF5888">
        <v>-4.3705731957330398</v>
      </c>
      <c r="AG5888">
        <v>-1.1057244031719999</v>
      </c>
      <c r="AH5888">
        <v>16.6619081611063</v>
      </c>
      <c r="AI5888">
        <v>93.672822003498396</v>
      </c>
      <c r="AJ5888">
        <v>104.698080601231</v>
      </c>
      <c r="AK5888">
        <v>17.261046320665798</v>
      </c>
    </row>
    <row r="5889" spans="1:37" x14ac:dyDescent="0.2">
      <c r="A5889" t="str">
        <f>"20200111160017297"</f>
        <v>20200111160017297</v>
      </c>
      <c r="B5889" t="str">
        <f>"1578729617286402"</f>
        <v>1578729617286402</v>
      </c>
      <c r="C5889" t="s">
        <v>37</v>
      </c>
      <c r="D5889">
        <v>5.2459480000000003</v>
      </c>
      <c r="E5889">
        <v>0.4449573</v>
      </c>
      <c r="F5889" t="s">
        <v>91</v>
      </c>
      <c r="G5889">
        <v>-229.58500000000001</v>
      </c>
      <c r="H5889" s="1">
        <v>-4.27286099999999E-6</v>
      </c>
      <c r="I5889">
        <v>-55.666709999999902</v>
      </c>
      <c r="J5889">
        <v>-246.11510000000001</v>
      </c>
      <c r="K5889">
        <v>1.1056839999999999</v>
      </c>
      <c r="L5889">
        <v>-61.474669999999897</v>
      </c>
      <c r="M5889">
        <v>0.99648809999999999</v>
      </c>
      <c r="N5889">
        <v>0</v>
      </c>
      <c r="O5889">
        <v>8.2385689999999998E-2</v>
      </c>
      <c r="P5889">
        <v>0.98214500000000005</v>
      </c>
      <c r="Q5889">
        <v>1.767935E-2</v>
      </c>
      <c r="R5889">
        <v>0.18729379999999901</v>
      </c>
      <c r="S5889">
        <v>2.8668819999999999</v>
      </c>
      <c r="T5889">
        <v>-0.19026799999999999</v>
      </c>
      <c r="U5889">
        <v>1.001404</v>
      </c>
      <c r="V5889">
        <v>-0.105813899999999</v>
      </c>
      <c r="W5889">
        <v>3.2301829999999997E-2</v>
      </c>
      <c r="X5889">
        <v>0.99386109999999905</v>
      </c>
      <c r="Y5889">
        <v>-0.25052720000000001</v>
      </c>
      <c r="Z5889">
        <v>2.7833599999999999E-3</v>
      </c>
      <c r="AA5889">
        <v>0.96810560000000001</v>
      </c>
      <c r="AB5889">
        <v>26</v>
      </c>
      <c r="AC5889">
        <v>16.530100000000001</v>
      </c>
      <c r="AD5889">
        <v>-1.105688272861</v>
      </c>
      <c r="AE5889">
        <v>5.8079599999999996</v>
      </c>
      <c r="AF5889">
        <v>-4.4086575835443202</v>
      </c>
      <c r="AG5889">
        <v>-1.105688272861</v>
      </c>
      <c r="AH5889">
        <v>16.885194103506802</v>
      </c>
      <c r="AI5889">
        <v>93.625339907665804</v>
      </c>
      <c r="AJ5889">
        <v>104.633023426035</v>
      </c>
      <c r="AK5889">
        <v>17.486239966293098</v>
      </c>
    </row>
    <row r="5890" spans="1:37" x14ac:dyDescent="0.2">
      <c r="A5890" t="str">
        <f>"20200111160017307"</f>
        <v>20200111160017307</v>
      </c>
      <c r="B5890" t="str">
        <f>"1578729617297137"</f>
        <v>1578729617297137</v>
      </c>
      <c r="C5890" t="s">
        <v>37</v>
      </c>
      <c r="D5890">
        <v>5.3034080000000001</v>
      </c>
      <c r="E5890">
        <v>0.44514729999999902</v>
      </c>
      <c r="F5890" t="s">
        <v>91</v>
      </c>
      <c r="G5890">
        <v>-229.34119999999999</v>
      </c>
      <c r="H5890" s="1">
        <v>-4.1795560000000002E-6</v>
      </c>
      <c r="I5890">
        <v>-55.61571</v>
      </c>
      <c r="J5890">
        <v>-245.9939</v>
      </c>
      <c r="K5890">
        <v>1.1056489999999899</v>
      </c>
      <c r="L5890">
        <v>-61.463900000000002</v>
      </c>
      <c r="M5890">
        <v>0.99643210000000004</v>
      </c>
      <c r="N5890">
        <v>0</v>
      </c>
      <c r="O5890">
        <v>8.3060469999999997E-2</v>
      </c>
      <c r="P5890">
        <v>0.98207690000000003</v>
      </c>
      <c r="Q5890">
        <v>1.853378E-2</v>
      </c>
      <c r="R5890">
        <v>0.1875675</v>
      </c>
      <c r="S5890">
        <v>2.8669739999999999</v>
      </c>
      <c r="T5890">
        <v>-0.18898239999999999</v>
      </c>
      <c r="U5890">
        <v>1.001404</v>
      </c>
      <c r="V5890">
        <v>-0.1054181</v>
      </c>
      <c r="W5890">
        <v>3.3163020000000001E-2</v>
      </c>
      <c r="X5890">
        <v>0.99387479999999995</v>
      </c>
      <c r="Y5890">
        <v>-0.24986900000000001</v>
      </c>
      <c r="Z5890">
        <v>2.7007070000000001E-3</v>
      </c>
      <c r="AA5890">
        <v>0.96827589999999997</v>
      </c>
      <c r="AB5890">
        <v>26</v>
      </c>
      <c r="AC5890">
        <v>16.652699999999999</v>
      </c>
      <c r="AD5890">
        <v>-1.1056531795559901</v>
      </c>
      <c r="AE5890">
        <v>5.8481899999999998</v>
      </c>
      <c r="AF5890">
        <v>-4.4272671833147896</v>
      </c>
      <c r="AG5890">
        <v>-1.1056531795559901</v>
      </c>
      <c r="AH5890">
        <v>17.014183141214399</v>
      </c>
      <c r="AI5890">
        <v>93.5985895860602</v>
      </c>
      <c r="AJ5890">
        <v>104.58550664549701</v>
      </c>
      <c r="AK5890">
        <v>17.6154929431084</v>
      </c>
    </row>
    <row r="5891" spans="1:37" x14ac:dyDescent="0.2">
      <c r="A5891" t="str">
        <f>"20200111160017319"</f>
        <v>20200111160017319</v>
      </c>
      <c r="B5891" t="str">
        <f>"1578729617316656"</f>
        <v>1578729617316656</v>
      </c>
      <c r="C5891" t="s">
        <v>37</v>
      </c>
      <c r="D5891">
        <v>5.212834</v>
      </c>
      <c r="E5891">
        <v>0.44526549999999998</v>
      </c>
      <c r="F5891" t="s">
        <v>91</v>
      </c>
      <c r="G5891">
        <v>-229.10419999999999</v>
      </c>
      <c r="H5891" s="1">
        <v>-4.0881099999999997E-6</v>
      </c>
      <c r="I5891">
        <v>-55.56944</v>
      </c>
      <c r="J5891">
        <v>-245.86429999999999</v>
      </c>
      <c r="K5891">
        <v>1.105615</v>
      </c>
      <c r="L5891">
        <v>-61.452330000000003</v>
      </c>
      <c r="M5891">
        <v>0.99637450000000005</v>
      </c>
      <c r="N5891">
        <v>0</v>
      </c>
      <c r="O5891">
        <v>8.3750140000000001E-2</v>
      </c>
      <c r="P5891">
        <v>0.98202679999999998</v>
      </c>
      <c r="Q5891">
        <v>1.903794E-2</v>
      </c>
      <c r="R5891">
        <v>0.187779799999999</v>
      </c>
      <c r="S5891">
        <v>2.8671880000000001</v>
      </c>
      <c r="T5891">
        <v>-0.1876951</v>
      </c>
      <c r="U5891">
        <v>1.0006409999999999</v>
      </c>
      <c r="V5891">
        <v>-0.1049438</v>
      </c>
      <c r="W5891">
        <v>3.3674849999999999E-2</v>
      </c>
      <c r="X5891">
        <v>0.99390789999999996</v>
      </c>
      <c r="Y5891">
        <v>-0.24895410000000001</v>
      </c>
      <c r="Z5891">
        <v>2.6098079999999999E-3</v>
      </c>
      <c r="AA5891">
        <v>0.96851180000000003</v>
      </c>
      <c r="AB5891">
        <v>26</v>
      </c>
      <c r="AC5891">
        <v>16.760099999999898</v>
      </c>
      <c r="AD5891">
        <v>-1.1056190881100001</v>
      </c>
      <c r="AE5891">
        <v>5.8828899999999997</v>
      </c>
      <c r="AF5891">
        <v>-4.4411929813584603</v>
      </c>
      <c r="AG5891">
        <v>-1.1056190881100001</v>
      </c>
      <c r="AH5891">
        <v>17.127594677234299</v>
      </c>
      <c r="AI5891">
        <v>93.575502889520607</v>
      </c>
      <c r="AJ5891">
        <v>104.536666391899</v>
      </c>
      <c r="AK5891">
        <v>17.728538803107401</v>
      </c>
    </row>
    <row r="5892" spans="1:37" x14ac:dyDescent="0.2">
      <c r="A5892" t="str">
        <f>"20200111160017332"</f>
        <v>20200111160017332</v>
      </c>
      <c r="B5892" t="str">
        <f>"1578729617326417"</f>
        <v>1578729617326417</v>
      </c>
      <c r="C5892" t="s">
        <v>37</v>
      </c>
      <c r="D5892">
        <v>5.2788579999999996</v>
      </c>
      <c r="E5892">
        <v>0.44539109999999998</v>
      </c>
      <c r="F5892" t="s">
        <v>91</v>
      </c>
      <c r="G5892">
        <v>-228.93039999999999</v>
      </c>
      <c r="H5892" s="1">
        <v>-4.0192189999999999E-6</v>
      </c>
      <c r="I5892">
        <v>-55.543779999999998</v>
      </c>
      <c r="J5892">
        <v>-245.73070000000001</v>
      </c>
      <c r="K5892">
        <v>1.105577</v>
      </c>
      <c r="L5892">
        <v>-61.440309999999997</v>
      </c>
      <c r="M5892">
        <v>0.996316599999999</v>
      </c>
      <c r="N5892">
        <v>0</v>
      </c>
      <c r="O5892">
        <v>8.4437479999999995E-2</v>
      </c>
      <c r="P5892">
        <v>0.98194989999999904</v>
      </c>
      <c r="Q5892">
        <v>1.9712710000000001E-2</v>
      </c>
      <c r="R5892">
        <v>0.18811120000000001</v>
      </c>
      <c r="S5892">
        <v>2.8672330000000001</v>
      </c>
      <c r="T5892">
        <v>-0.1872017</v>
      </c>
      <c r="U5892">
        <v>1.000427</v>
      </c>
      <c r="V5892">
        <v>-0.10459300000000001</v>
      </c>
      <c r="W5892">
        <v>3.4355379999999998E-2</v>
      </c>
      <c r="X5892">
        <v>0.99392150000000001</v>
      </c>
      <c r="Y5892">
        <v>-0.2482211</v>
      </c>
      <c r="Z5892">
        <v>2.5366029999999901E-3</v>
      </c>
      <c r="AA5892">
        <v>0.96870009999999995</v>
      </c>
      <c r="AB5892">
        <v>26</v>
      </c>
      <c r="AC5892">
        <v>16.8003</v>
      </c>
      <c r="AD5892">
        <v>-1.1055810192190001</v>
      </c>
      <c r="AE5892">
        <v>5.8965299999999896</v>
      </c>
      <c r="AF5892">
        <v>-4.4396163631733598</v>
      </c>
      <c r="AG5892">
        <v>-1.1055810192190001</v>
      </c>
      <c r="AH5892">
        <v>17.172023756464501</v>
      </c>
      <c r="AI5892">
        <v>93.566811786313195</v>
      </c>
      <c r="AJ5892">
        <v>104.495712432788</v>
      </c>
      <c r="AK5892">
        <v>17.771069262562602</v>
      </c>
    </row>
    <row r="5893" spans="1:37" x14ac:dyDescent="0.2">
      <c r="A5893" t="str">
        <f>"20200111160017343"</f>
        <v>20200111160017343</v>
      </c>
      <c r="B5893" t="str">
        <f>"1578729617337152"</f>
        <v>1578729617337152</v>
      </c>
      <c r="C5893" t="s">
        <v>37</v>
      </c>
      <c r="D5893">
        <v>5.2958109999999996</v>
      </c>
      <c r="E5893">
        <v>0.44559199999999999</v>
      </c>
      <c r="F5893" t="s">
        <v>91</v>
      </c>
      <c r="G5893">
        <v>-228.74289999999999</v>
      </c>
      <c r="H5893" s="1">
        <v>-3.9454660000000001E-6</v>
      </c>
      <c r="I5893">
        <v>-55.513579999999997</v>
      </c>
      <c r="J5893">
        <v>-245.59809999999999</v>
      </c>
      <c r="K5893">
        <v>1.1055440000000001</v>
      </c>
      <c r="L5893">
        <v>-61.428339999999999</v>
      </c>
      <c r="M5893">
        <v>0.99626019999999904</v>
      </c>
      <c r="N5893">
        <v>0</v>
      </c>
      <c r="O5893">
        <v>8.5099270000000005E-2</v>
      </c>
      <c r="P5893">
        <v>0.98190769999999905</v>
      </c>
      <c r="Q5893">
        <v>2.011073E-2</v>
      </c>
      <c r="R5893">
        <v>0.18829000000000001</v>
      </c>
      <c r="S5893">
        <v>2.867264</v>
      </c>
      <c r="T5893">
        <v>-0.1866043</v>
      </c>
      <c r="U5893">
        <v>1.0003359999999999</v>
      </c>
      <c r="V5893">
        <v>-0.10411189999999999</v>
      </c>
      <c r="W5893">
        <v>3.4759970000000001E-2</v>
      </c>
      <c r="X5893">
        <v>0.99395800000000001</v>
      </c>
      <c r="Y5893">
        <v>-0.2475513</v>
      </c>
      <c r="Z5893">
        <v>2.4659719999999999E-3</v>
      </c>
      <c r="AA5893">
        <v>0.968871699999999</v>
      </c>
      <c r="AB5893">
        <v>25</v>
      </c>
      <c r="AC5893">
        <v>16.8551999999999</v>
      </c>
      <c r="AD5893">
        <v>-1.105547945466</v>
      </c>
      <c r="AE5893">
        <v>5.9147600000000002</v>
      </c>
      <c r="AF5893">
        <v>-4.4417595198164204</v>
      </c>
      <c r="AG5893">
        <v>-1.105547945466</v>
      </c>
      <c r="AH5893">
        <v>17.231437159790499</v>
      </c>
      <c r="AI5893">
        <v>93.555097301764306</v>
      </c>
      <c r="AJ5893">
        <v>104.45450937097399</v>
      </c>
      <c r="AK5893">
        <v>17.829018214231901</v>
      </c>
    </row>
    <row r="5894" spans="1:37" x14ac:dyDescent="0.2">
      <c r="A5894" t="str">
        <f>"20200111160017354"</f>
        <v>20200111160017354</v>
      </c>
      <c r="B5894" t="str">
        <f>"1578729617346912"</f>
        <v>1578729617346912</v>
      </c>
      <c r="C5894" t="s">
        <v>37</v>
      </c>
      <c r="D5894">
        <v>5.2414149999999999</v>
      </c>
      <c r="E5894">
        <v>0.44568350000000001</v>
      </c>
      <c r="F5894" t="s">
        <v>91</v>
      </c>
      <c r="G5894">
        <v>-228.44649999999999</v>
      </c>
      <c r="H5894" s="1">
        <v>-3.8320010000000001E-6</v>
      </c>
      <c r="I5894">
        <v>-55.451609999999903</v>
      </c>
      <c r="J5894">
        <v>-245.46700000000001</v>
      </c>
      <c r="K5894">
        <v>1.1055120000000001</v>
      </c>
      <c r="L5894">
        <v>-61.416409999999999</v>
      </c>
      <c r="M5894">
        <v>0.99620730000000002</v>
      </c>
      <c r="N5894">
        <v>0</v>
      </c>
      <c r="O5894">
        <v>8.5718429999999998E-2</v>
      </c>
      <c r="P5894">
        <v>0.98181969999999996</v>
      </c>
      <c r="Q5894">
        <v>2.0491909999999999E-2</v>
      </c>
      <c r="R5894">
        <v>0.18870689999999901</v>
      </c>
      <c r="S5894">
        <v>2.86746199999999</v>
      </c>
      <c r="T5894">
        <v>-0.184828399999999</v>
      </c>
      <c r="U5894">
        <v>0.9992065</v>
      </c>
      <c r="V5894">
        <v>-0.1039143</v>
      </c>
      <c r="W5894">
        <v>3.5145969999999999E-2</v>
      </c>
      <c r="X5894">
        <v>0.99396509999999905</v>
      </c>
      <c r="Y5894">
        <v>-0.2465967</v>
      </c>
      <c r="Z5894">
        <v>2.3743169999999999E-3</v>
      </c>
      <c r="AA5894">
        <v>0.96911530000000001</v>
      </c>
      <c r="AB5894">
        <v>25</v>
      </c>
      <c r="AC5894">
        <v>17.020499999999998</v>
      </c>
      <c r="AD5894">
        <v>-1.1055158320009999</v>
      </c>
      <c r="AE5894">
        <v>5.9648000000000003</v>
      </c>
      <c r="AF5894">
        <v>-4.4669239088661197</v>
      </c>
      <c r="AG5894">
        <v>-1.1055158320009999</v>
      </c>
      <c r="AH5894">
        <v>17.403799213346499</v>
      </c>
      <c r="AI5894">
        <v>93.520813439694905</v>
      </c>
      <c r="AJ5894">
        <v>104.39502045010499</v>
      </c>
      <c r="AK5894">
        <v>18.0018832770598</v>
      </c>
    </row>
    <row r="5895" spans="1:37" x14ac:dyDescent="0.2">
      <c r="A5895" t="str">
        <f>"20200111160017366"</f>
        <v>20200111160017366</v>
      </c>
      <c r="B5895" t="str">
        <f>"1578729617356672"</f>
        <v>1578729617356672</v>
      </c>
      <c r="C5895" t="s">
        <v>37</v>
      </c>
      <c r="D5895">
        <v>5.2297139999999898</v>
      </c>
      <c r="E5895">
        <v>0.44574609999999898</v>
      </c>
      <c r="F5895" t="s">
        <v>91</v>
      </c>
      <c r="G5895">
        <v>-228.2578</v>
      </c>
      <c r="H5895" s="1">
        <v>-3.7588330000000002E-6</v>
      </c>
      <c r="I5895">
        <v>-55.416419999999903</v>
      </c>
      <c r="J5895">
        <v>-245.33840000000001</v>
      </c>
      <c r="K5895">
        <v>1.105483</v>
      </c>
      <c r="L5895">
        <v>-61.40466</v>
      </c>
      <c r="M5895">
        <v>0.99615569999999898</v>
      </c>
      <c r="N5895">
        <v>0</v>
      </c>
      <c r="O5895">
        <v>8.6315669999999997E-2</v>
      </c>
      <c r="P5895">
        <v>0.98181649999999998</v>
      </c>
      <c r="Q5895">
        <v>2.0694569999999999E-2</v>
      </c>
      <c r="R5895">
        <v>0.188700799999999</v>
      </c>
      <c r="S5895">
        <v>2.8672490000000002</v>
      </c>
      <c r="T5895">
        <v>-0.18419099999999999</v>
      </c>
      <c r="U5895">
        <v>0.99966429999999995</v>
      </c>
      <c r="V5895">
        <v>-0.1033097</v>
      </c>
      <c r="W5895">
        <v>3.5355169999999998E-2</v>
      </c>
      <c r="X5895">
        <v>0.99402069999999998</v>
      </c>
      <c r="Y5895">
        <v>-0.24618000000000001</v>
      </c>
      <c r="Z5895">
        <v>2.3164079999999998E-3</v>
      </c>
      <c r="AA5895">
        <v>0.96922140000000001</v>
      </c>
      <c r="AB5895">
        <v>25</v>
      </c>
      <c r="AC5895">
        <v>17.0806</v>
      </c>
      <c r="AD5895">
        <v>-1.105486758833</v>
      </c>
      <c r="AE5895">
        <v>5.9882400000000002</v>
      </c>
      <c r="AF5895">
        <v>-4.47470531364241</v>
      </c>
      <c r="AG5895">
        <v>-1.105486758833</v>
      </c>
      <c r="AH5895">
        <v>17.468609965594201</v>
      </c>
      <c r="AI5895">
        <v>93.508118096864806</v>
      </c>
      <c r="AJ5895">
        <v>104.36777405918799</v>
      </c>
      <c r="AK5895">
        <v>18.0664723382279</v>
      </c>
    </row>
    <row r="5896" spans="1:37" x14ac:dyDescent="0.2">
      <c r="A5896" t="str">
        <f>"20200111160017377"</f>
        <v>20200111160017377</v>
      </c>
      <c r="B5896" t="str">
        <f>"1578729617366433"</f>
        <v>1578729617366433</v>
      </c>
      <c r="C5896" t="s">
        <v>37</v>
      </c>
      <c r="D5896">
        <v>5.3418070000000002</v>
      </c>
      <c r="E5896">
        <v>0.44607609999999998</v>
      </c>
      <c r="F5896" t="s">
        <v>91</v>
      </c>
      <c r="G5896">
        <v>-228.23089999999999</v>
      </c>
      <c r="H5896" s="1">
        <v>-3.7413379999999999E-6</v>
      </c>
      <c r="I5896">
        <v>-55.443469999999998</v>
      </c>
      <c r="J5896">
        <v>-245.21369999999999</v>
      </c>
      <c r="K5896">
        <v>1.1054549999999901</v>
      </c>
      <c r="L5896">
        <v>-61.3932199999999</v>
      </c>
      <c r="M5896">
        <v>0.99610829999999995</v>
      </c>
      <c r="N5896">
        <v>0</v>
      </c>
      <c r="O5896">
        <v>8.6862229999999999E-2</v>
      </c>
      <c r="P5896">
        <v>0.98175140000000005</v>
      </c>
      <c r="Q5896">
        <v>2.093486E-2</v>
      </c>
      <c r="R5896">
        <v>0.18901379999999901</v>
      </c>
      <c r="S5896">
        <v>2.8674469999999999</v>
      </c>
      <c r="T5896">
        <v>-0.1852944</v>
      </c>
      <c r="U5896">
        <v>0.99917599999999995</v>
      </c>
      <c r="V5896">
        <v>-0.103079399999999</v>
      </c>
      <c r="W5896">
        <v>3.5599640000000002E-2</v>
      </c>
      <c r="X5896">
        <v>0.99403580000000002</v>
      </c>
      <c r="Y5896">
        <v>-0.245479</v>
      </c>
      <c r="Z5896">
        <v>2.2742460000000002E-3</v>
      </c>
      <c r="AA5896">
        <v>0.96939929999999996</v>
      </c>
      <c r="AB5896">
        <v>25</v>
      </c>
      <c r="AC5896">
        <v>16.982799999999902</v>
      </c>
      <c r="AD5896">
        <v>-1.1054587413379999</v>
      </c>
      <c r="AE5896">
        <v>5.9497499999999901</v>
      </c>
      <c r="AF5896">
        <v>-4.43519048166484</v>
      </c>
      <c r="AG5896">
        <v>-1.1054587413379999</v>
      </c>
      <c r="AH5896">
        <v>17.369910605157099</v>
      </c>
      <c r="AI5896">
        <v>93.528604747844994</v>
      </c>
      <c r="AJ5896">
        <v>104.323709953649</v>
      </c>
      <c r="AK5896">
        <v>17.961256862163101</v>
      </c>
    </row>
    <row r="5897" spans="1:37" x14ac:dyDescent="0.2">
      <c r="A5897" t="str">
        <f>"20200111160017387"</f>
        <v>20200111160017387</v>
      </c>
      <c r="B5897" t="str">
        <f>"1578729617377169"</f>
        <v>1578729617377169</v>
      </c>
      <c r="C5897" t="s">
        <v>37</v>
      </c>
      <c r="D5897">
        <v>5.1627010000000002</v>
      </c>
      <c r="E5897">
        <v>0.44607609999999998</v>
      </c>
      <c r="F5897" t="s">
        <v>91</v>
      </c>
      <c r="G5897">
        <v>-227.8897</v>
      </c>
      <c r="H5897" s="1">
        <v>-3.6119090000000001E-6</v>
      </c>
      <c r="I5897">
        <v>-55.366709999999998</v>
      </c>
      <c r="J5897">
        <v>-245.09059999999999</v>
      </c>
      <c r="K5897">
        <v>1.1054280000000001</v>
      </c>
      <c r="L5897">
        <v>-61.381900000000002</v>
      </c>
      <c r="M5897">
        <v>0.99606189999999994</v>
      </c>
      <c r="N5897">
        <v>0</v>
      </c>
      <c r="O5897">
        <v>8.7392479999999995E-2</v>
      </c>
      <c r="P5897">
        <v>0.981769</v>
      </c>
      <c r="Q5897">
        <v>2.110946E-2</v>
      </c>
      <c r="R5897">
        <v>0.18890209999999999</v>
      </c>
      <c r="S5897">
        <v>2.8676149999999998</v>
      </c>
      <c r="T5897">
        <v>-0.1829847</v>
      </c>
      <c r="U5897">
        <v>0.99755859999999996</v>
      </c>
      <c r="V5897">
        <v>-0.102434999999999</v>
      </c>
      <c r="W5897">
        <v>3.5779289999999998E-2</v>
      </c>
      <c r="X5897">
        <v>0.99409599999999898</v>
      </c>
      <c r="Y5897">
        <v>-0.2444675</v>
      </c>
      <c r="Z5897">
        <v>2.1821689999999999E-3</v>
      </c>
      <c r="AA5897">
        <v>0.96965499999999905</v>
      </c>
      <c r="AB5897">
        <v>25</v>
      </c>
      <c r="AC5897">
        <v>17.200899999999901</v>
      </c>
      <c r="AD5897">
        <v>-1.105431611909</v>
      </c>
      <c r="AE5897">
        <v>6.0151899999999996</v>
      </c>
      <c r="AF5897">
        <v>-4.4723149299786398</v>
      </c>
      <c r="AG5897">
        <v>-1.105431611909</v>
      </c>
      <c r="AH5897">
        <v>17.596060286814598</v>
      </c>
      <c r="AI5897">
        <v>93.484255438730301</v>
      </c>
      <c r="AJ5897">
        <v>104.260659404831</v>
      </c>
      <c r="AK5897">
        <v>18.189142846729499</v>
      </c>
    </row>
    <row r="5898" spans="1:37" x14ac:dyDescent="0.2">
      <c r="A5898" t="str">
        <f>"20200111160017399"</f>
        <v>20200111160017399</v>
      </c>
      <c r="B5898" t="str">
        <f>"1578729617396689"</f>
        <v>1578729617396689</v>
      </c>
      <c r="C5898" t="s">
        <v>37</v>
      </c>
      <c r="D5898">
        <v>5.3000369999999997</v>
      </c>
      <c r="E5898">
        <v>0.4853712</v>
      </c>
      <c r="F5898" t="s">
        <v>91</v>
      </c>
      <c r="G5898">
        <v>-227.68879999999999</v>
      </c>
      <c r="H5898" s="1">
        <v>-3.5339880000000001E-6</v>
      </c>
      <c r="I5898">
        <v>-55.329269999999902</v>
      </c>
      <c r="J5898">
        <v>-244.9666</v>
      </c>
      <c r="K5898">
        <v>1.105402</v>
      </c>
      <c r="L5898">
        <v>-61.370419999999903</v>
      </c>
      <c r="M5898">
        <v>0.99601700000000004</v>
      </c>
      <c r="N5898">
        <v>0</v>
      </c>
      <c r="O5898">
        <v>8.7906029999999996E-2</v>
      </c>
      <c r="P5898">
        <v>0.98176030000000003</v>
      </c>
      <c r="Q5898">
        <v>2.1200750000000001E-2</v>
      </c>
      <c r="R5898">
        <v>0.18893850000000001</v>
      </c>
      <c r="S5898">
        <v>2.8677220000000001</v>
      </c>
      <c r="T5898">
        <v>-0.18216860000000001</v>
      </c>
      <c r="U5898">
        <v>0.99743649999999995</v>
      </c>
      <c r="V5898">
        <v>-0.101956899999999</v>
      </c>
      <c r="W5898">
        <v>3.5874610000000001E-2</v>
      </c>
      <c r="X5898">
        <v>0.99414179999999996</v>
      </c>
      <c r="Y5898">
        <v>-0.243923999999999</v>
      </c>
      <c r="Z5898">
        <v>2.124295E-3</v>
      </c>
      <c r="AA5898">
        <v>0.96979199999999999</v>
      </c>
      <c r="AB5898">
        <v>25</v>
      </c>
      <c r="AC5898">
        <v>17.277799999999999</v>
      </c>
      <c r="AD5898">
        <v>-1.105405533988</v>
      </c>
      <c r="AE5898">
        <v>6.04115</v>
      </c>
      <c r="AF5898">
        <v>-4.4824173182712199</v>
      </c>
      <c r="AG5898">
        <v>-1.105405533988</v>
      </c>
      <c r="AH5898">
        <v>17.6775355717777</v>
      </c>
      <c r="AI5898">
        <v>93.468649345055496</v>
      </c>
      <c r="AJ5898">
        <v>104.22836543971199</v>
      </c>
      <c r="AK5898">
        <v>18.270447457606899</v>
      </c>
    </row>
    <row r="5899" spans="1:37" x14ac:dyDescent="0.2">
      <c r="A5899" t="str">
        <f>"20200111160017410"</f>
        <v>20200111160017410</v>
      </c>
      <c r="B5899" t="str">
        <f>"1578729617406448"</f>
        <v>1578729617406448</v>
      </c>
      <c r="C5899" t="s">
        <v>37</v>
      </c>
      <c r="D5899">
        <v>5.273371</v>
      </c>
      <c r="E5899">
        <v>0.48641809999999902</v>
      </c>
      <c r="F5899" t="s">
        <v>90</v>
      </c>
      <c r="G5899">
        <v>-233.8494</v>
      </c>
      <c r="H5899" s="1">
        <v>-9.3045899999999995E-7</v>
      </c>
      <c r="I5899">
        <v>-58.737940000000002</v>
      </c>
      <c r="J5899">
        <v>-244.84190000000001</v>
      </c>
      <c r="K5899">
        <v>1.1053770000000001</v>
      </c>
      <c r="L5899">
        <v>-61.358829999999998</v>
      </c>
      <c r="M5899">
        <v>0.99597250000000004</v>
      </c>
      <c r="N5899">
        <v>0</v>
      </c>
      <c r="O5899">
        <v>8.8408979999999998E-2</v>
      </c>
      <c r="P5899">
        <v>0.98181229999999997</v>
      </c>
      <c r="Q5899">
        <v>2.1095309999999999E-2</v>
      </c>
      <c r="R5899">
        <v>0.18867909999999999</v>
      </c>
      <c r="S5899">
        <v>2.9285580000000002</v>
      </c>
      <c r="T5899">
        <v>-0.29119329999999999</v>
      </c>
      <c r="U5899">
        <v>0.69345089999999998</v>
      </c>
      <c r="V5899">
        <v>-0.10118969999999999</v>
      </c>
      <c r="W5899">
        <v>3.5773579999999999E-2</v>
      </c>
      <c r="X5899">
        <v>0.99422379999999999</v>
      </c>
      <c r="Y5899">
        <v>-0.14322009999999999</v>
      </c>
      <c r="Z5899">
        <v>-1.6139779999999901E-3</v>
      </c>
      <c r="AA5899">
        <v>0.9896895</v>
      </c>
      <c r="AB5899">
        <v>25</v>
      </c>
      <c r="AC5899">
        <v>10.9925</v>
      </c>
      <c r="AD5899">
        <v>-1.1053779304589999</v>
      </c>
      <c r="AE5899">
        <v>2.6208900000000002</v>
      </c>
      <c r="AF5899">
        <v>-1.62315092684829</v>
      </c>
      <c r="AG5899">
        <v>-1.1053779304589999</v>
      </c>
      <c r="AH5899">
        <v>11.075216059293499</v>
      </c>
      <c r="AI5899">
        <v>95.639761041086601</v>
      </c>
      <c r="AJ5899">
        <v>98.337742833126796</v>
      </c>
      <c r="AK5899">
        <v>11.2479727089154</v>
      </c>
    </row>
    <row r="5900" spans="1:37" x14ac:dyDescent="0.2">
      <c r="A5900" t="str">
        <f>"20200111160017421"</f>
        <v>20200111160017421</v>
      </c>
      <c r="B5900" t="str">
        <f>"1578729617417186"</f>
        <v>1578729617417186</v>
      </c>
      <c r="C5900" t="s">
        <v>37</v>
      </c>
      <c r="D5900">
        <v>5.2640169999999999</v>
      </c>
      <c r="E5900">
        <v>0.48688339999999902</v>
      </c>
      <c r="F5900" t="s">
        <v>90</v>
      </c>
      <c r="G5900">
        <v>-233.3175</v>
      </c>
      <c r="H5900" s="1">
        <v>-7.1472980000000001E-7</v>
      </c>
      <c r="I5900">
        <v>-58.667609999999897</v>
      </c>
      <c r="J5900">
        <v>-244.71940000000001</v>
      </c>
      <c r="K5900">
        <v>1.1053569999999999</v>
      </c>
      <c r="L5900">
        <v>-61.347439999999999</v>
      </c>
      <c r="M5900">
        <v>0.99592969999999903</v>
      </c>
      <c r="N5900">
        <v>0</v>
      </c>
      <c r="O5900">
        <v>8.8890170000000004E-2</v>
      </c>
      <c r="P5900">
        <v>0.98185429999999996</v>
      </c>
      <c r="Q5900">
        <v>2.077188E-2</v>
      </c>
      <c r="R5900">
        <v>0.18849669999999999</v>
      </c>
      <c r="S5900">
        <v>2.9301149999999998</v>
      </c>
      <c r="T5900">
        <v>-0.28104580000000001</v>
      </c>
      <c r="U5900">
        <v>0.68423459999999903</v>
      </c>
      <c r="V5900">
        <v>-0.1005214</v>
      </c>
      <c r="W5900">
        <v>3.5454300000000001E-2</v>
      </c>
      <c r="X5900">
        <v>0.99430300000000005</v>
      </c>
      <c r="Y5900">
        <v>-0.139708</v>
      </c>
      <c r="Z5900">
        <v>-1.7689279999999999E-3</v>
      </c>
      <c r="AA5900">
        <v>0.99019120000000005</v>
      </c>
      <c r="AB5900">
        <v>25</v>
      </c>
      <c r="AC5900">
        <v>11.401899999999999</v>
      </c>
      <c r="AD5900">
        <v>-1.1053577147297999</v>
      </c>
      <c r="AE5900">
        <v>2.6798299999999999</v>
      </c>
      <c r="AF5900">
        <v>-1.6409746204589799</v>
      </c>
      <c r="AG5900">
        <v>-1.1053577147297999</v>
      </c>
      <c r="AH5900">
        <v>11.492634411806501</v>
      </c>
      <c r="AI5900">
        <v>95.438962311724296</v>
      </c>
      <c r="AJ5900">
        <v>98.126045716670305</v>
      </c>
      <c r="AK5900">
        <v>11.661700523763299</v>
      </c>
    </row>
    <row r="5901" spans="1:37" x14ac:dyDescent="0.2">
      <c r="A5901" t="str">
        <f>"20200111160017432"</f>
        <v>20200111160017432</v>
      </c>
      <c r="B5901" t="str">
        <f>"1578729617426945"</f>
        <v>1578729617426945</v>
      </c>
      <c r="C5901" t="s">
        <v>37</v>
      </c>
      <c r="D5901">
        <v>5.2692420000000002</v>
      </c>
      <c r="E5901">
        <v>0.48678939999999998</v>
      </c>
      <c r="F5901" t="s">
        <v>90</v>
      </c>
      <c r="G5901">
        <v>-232.6336</v>
      </c>
      <c r="H5901" s="1">
        <v>-4.4321359999999999E-7</v>
      </c>
      <c r="I5901">
        <v>-58.54448</v>
      </c>
      <c r="J5901">
        <v>-244.5899</v>
      </c>
      <c r="K5901">
        <v>1.1053299999999999</v>
      </c>
      <c r="L5901">
        <v>-61.335269999999902</v>
      </c>
      <c r="M5901">
        <v>0.99588569999999998</v>
      </c>
      <c r="N5901">
        <v>0</v>
      </c>
      <c r="O5901">
        <v>8.9381489999999994E-2</v>
      </c>
      <c r="P5901">
        <v>0.98192219999999997</v>
      </c>
      <c r="Q5901">
        <v>2.0490399999999999E-2</v>
      </c>
      <c r="R5901">
        <v>0.18817349999999999</v>
      </c>
      <c r="S5901">
        <v>2.9306030000000001</v>
      </c>
      <c r="T5901">
        <v>-0.26803100000000002</v>
      </c>
      <c r="U5901">
        <v>0.67965699999999996</v>
      </c>
      <c r="V5901">
        <v>-9.9700239999999996E-2</v>
      </c>
      <c r="W5901">
        <v>3.5176949999999998E-2</v>
      </c>
      <c r="X5901">
        <v>0.99439549999999999</v>
      </c>
      <c r="Y5901">
        <v>-0.13774510000000001</v>
      </c>
      <c r="Z5901">
        <v>-1.8198189999999901E-3</v>
      </c>
      <c r="AA5901">
        <v>0.99046610000000002</v>
      </c>
      <c r="AB5901">
        <v>25</v>
      </c>
      <c r="AC5901">
        <v>11.956300000000001</v>
      </c>
      <c r="AD5901">
        <v>-1.1053304432136</v>
      </c>
      <c r="AE5901">
        <v>2.7907899999999799</v>
      </c>
      <c r="AF5901">
        <v>-1.69707168315706</v>
      </c>
      <c r="AG5901">
        <v>-1.1053304432136</v>
      </c>
      <c r="AH5901">
        <v>12.060159388651799</v>
      </c>
      <c r="AI5901">
        <v>95.185799898370206</v>
      </c>
      <c r="AJ5901">
        <v>98.009908194005902</v>
      </c>
      <c r="AK5901">
        <v>12.2290331656331</v>
      </c>
    </row>
    <row r="5902" spans="1:37" x14ac:dyDescent="0.2">
      <c r="A5902" t="str">
        <f>"20200111160017445"</f>
        <v>20200111160017445</v>
      </c>
      <c r="B5902" t="str">
        <f>"1578729617436705"</f>
        <v>1578729617436705</v>
      </c>
      <c r="C5902" t="s">
        <v>37</v>
      </c>
      <c r="D5902">
        <v>5.1654619999999998</v>
      </c>
      <c r="E5902">
        <v>0.48767929999999998</v>
      </c>
      <c r="F5902" t="s">
        <v>90</v>
      </c>
      <c r="G5902">
        <v>-232.46029999999999</v>
      </c>
      <c r="H5902" s="1">
        <v>-3.7260279999999998E-7</v>
      </c>
      <c r="I5902">
        <v>-58.523290000000003</v>
      </c>
      <c r="J5902">
        <v>-244.4511</v>
      </c>
      <c r="K5902">
        <v>1.1053090000000001</v>
      </c>
      <c r="L5902">
        <v>-61.322240000000001</v>
      </c>
      <c r="M5902">
        <v>0.99583909999999998</v>
      </c>
      <c r="N5902">
        <v>0</v>
      </c>
      <c r="O5902">
        <v>8.9899389999999996E-2</v>
      </c>
      <c r="P5902">
        <v>0.98200319999999997</v>
      </c>
      <c r="Q5902">
        <v>1.9963370000000001E-2</v>
      </c>
      <c r="R5902">
        <v>0.187806</v>
      </c>
      <c r="S5902">
        <v>2.9306179999999999</v>
      </c>
      <c r="T5902">
        <v>-0.26705709999999999</v>
      </c>
      <c r="U5902">
        <v>0.67938229999999999</v>
      </c>
      <c r="V5902">
        <v>-9.8806779999999997E-2</v>
      </c>
      <c r="W5902">
        <v>3.4653699999999898E-2</v>
      </c>
      <c r="X5902">
        <v>0.99450309999999897</v>
      </c>
      <c r="Y5902">
        <v>-0.1371465</v>
      </c>
      <c r="Z5902">
        <v>-1.8862289999999999E-3</v>
      </c>
      <c r="AA5902">
        <v>0.99054900000000001</v>
      </c>
      <c r="AB5902">
        <v>25</v>
      </c>
      <c r="AC5902">
        <v>11.9908</v>
      </c>
      <c r="AD5902">
        <v>-1.1053093726028</v>
      </c>
      <c r="AE5902">
        <v>2.7989499999999898</v>
      </c>
      <c r="AF5902">
        <v>-1.69586315832825</v>
      </c>
      <c r="AG5902">
        <v>-1.1053093726028</v>
      </c>
      <c r="AH5902">
        <v>12.096415002252099</v>
      </c>
      <c r="AI5902">
        <v>95.170612760099203</v>
      </c>
      <c r="AJ5902">
        <v>97.980597068904501</v>
      </c>
      <c r="AK5902">
        <v>12.264620522774001</v>
      </c>
    </row>
    <row r="5903" spans="1:37" x14ac:dyDescent="0.2">
      <c r="A5903" t="str">
        <f>"20200111160017457"</f>
        <v>20200111160017457</v>
      </c>
      <c r="B5903" t="str">
        <f>"1578729617446465"</f>
        <v>1578729617446465</v>
      </c>
      <c r="C5903" t="s">
        <v>37</v>
      </c>
      <c r="D5903">
        <v>5.2071569999999996</v>
      </c>
      <c r="E5903">
        <v>0.4880041</v>
      </c>
      <c r="F5903" t="s">
        <v>90</v>
      </c>
      <c r="G5903">
        <v>-232.8639</v>
      </c>
      <c r="H5903" s="1">
        <v>-5.2010249999999997E-7</v>
      </c>
      <c r="I5903">
        <v>-58.667839999999998</v>
      </c>
      <c r="J5903">
        <v>-244.31379999999999</v>
      </c>
      <c r="K5903">
        <v>1.1052899999999899</v>
      </c>
      <c r="L5903">
        <v>-61.3093</v>
      </c>
      <c r="M5903">
        <v>0.99579509999999904</v>
      </c>
      <c r="N5903">
        <v>0</v>
      </c>
      <c r="O5903">
        <v>9.0387780000000001E-2</v>
      </c>
      <c r="P5903">
        <v>0.98207469999999997</v>
      </c>
      <c r="Q5903">
        <v>1.9915499999999999E-2</v>
      </c>
      <c r="R5903">
        <v>0.1874382</v>
      </c>
      <c r="S5903">
        <v>2.93220499999999</v>
      </c>
      <c r="T5903">
        <v>-0.27970400000000001</v>
      </c>
      <c r="U5903">
        <v>0.67169190000000001</v>
      </c>
      <c r="V5903">
        <v>-9.7944310000000007E-2</v>
      </c>
      <c r="W5903">
        <v>3.460891E-2</v>
      </c>
      <c r="X5903">
        <v>0.99458989999999903</v>
      </c>
      <c r="Y5903">
        <v>-0.13407249999999901</v>
      </c>
      <c r="Z5903">
        <v>-2.164904E-3</v>
      </c>
      <c r="AA5903">
        <v>0.990969199999999</v>
      </c>
      <c r="AB5903">
        <v>25</v>
      </c>
      <c r="AC5903">
        <v>11.4498999999999</v>
      </c>
      <c r="AD5903">
        <v>-1.1052905201024901</v>
      </c>
      <c r="AE5903">
        <v>2.6414599999999901</v>
      </c>
      <c r="AF5903">
        <v>-1.5816055817754699</v>
      </c>
      <c r="AG5903">
        <v>-1.1052905201024901</v>
      </c>
      <c r="AH5903">
        <v>11.539703588249401</v>
      </c>
      <c r="AI5903">
        <v>95.4208158045994</v>
      </c>
      <c r="AJ5903">
        <v>97.804205036435604</v>
      </c>
      <c r="AK5903">
        <v>11.699910352425199</v>
      </c>
    </row>
    <row r="5904" spans="1:37" x14ac:dyDescent="0.2">
      <c r="A5904" t="str">
        <f>"20200111160017468"</f>
        <v>20200111160017468</v>
      </c>
      <c r="B5904" t="str">
        <f>"1578729617466960"</f>
        <v>1578729617466960</v>
      </c>
      <c r="C5904" t="s">
        <v>37</v>
      </c>
      <c r="D5904">
        <v>5.282254</v>
      </c>
      <c r="E5904">
        <v>0.48778859999999902</v>
      </c>
      <c r="F5904" t="s">
        <v>90</v>
      </c>
      <c r="G5904">
        <v>-232.38229999999999</v>
      </c>
      <c r="H5904" s="1">
        <v>-3.2681379999999901E-7</v>
      </c>
      <c r="I5904">
        <v>-58.5929</v>
      </c>
      <c r="J5904">
        <v>-244.18989999999999</v>
      </c>
      <c r="K5904">
        <v>1.1052729999999999</v>
      </c>
      <c r="L5904">
        <v>-61.297550000000001</v>
      </c>
      <c r="M5904">
        <v>0.99575539999999996</v>
      </c>
      <c r="N5904">
        <v>0</v>
      </c>
      <c r="O5904">
        <v>9.0822849999999997E-2</v>
      </c>
      <c r="P5904">
        <v>0.9822303</v>
      </c>
      <c r="Q5904">
        <v>2.0118750000000001E-2</v>
      </c>
      <c r="R5904">
        <v>0.18659790000000001</v>
      </c>
      <c r="S5904">
        <v>2.9328460000000001</v>
      </c>
      <c r="T5904">
        <v>-0.27168759999999997</v>
      </c>
      <c r="U5904">
        <v>0.66769409999999996</v>
      </c>
      <c r="V5904">
        <v>-9.6657809999999997E-2</v>
      </c>
      <c r="W5904">
        <v>3.481621E-2</v>
      </c>
      <c r="X5904">
        <v>0.994708499999999</v>
      </c>
      <c r="Y5904">
        <v>-0.13232769999999999</v>
      </c>
      <c r="Z5904">
        <v>-2.2221300000000001E-3</v>
      </c>
      <c r="AA5904">
        <v>0.99120350000000002</v>
      </c>
      <c r="AB5904">
        <v>25</v>
      </c>
      <c r="AC5904">
        <v>11.807600000000001</v>
      </c>
      <c r="AD5904">
        <v>-1.1052733268138</v>
      </c>
      <c r="AE5904">
        <v>2.70465</v>
      </c>
      <c r="AF5904">
        <v>-1.6075665207159799</v>
      </c>
      <c r="AG5904">
        <v>-1.1052733268138</v>
      </c>
      <c r="AH5904">
        <v>11.905343236856901</v>
      </c>
      <c r="AI5904">
        <v>95.256612252092594</v>
      </c>
      <c r="AJ5904">
        <v>97.690079264411693</v>
      </c>
      <c r="AK5904">
        <v>12.064124370747701</v>
      </c>
    </row>
    <row r="5905" spans="1:37" x14ac:dyDescent="0.2">
      <c r="A5905" t="str">
        <f>"20200111160017485"</f>
        <v>20200111160017485</v>
      </c>
      <c r="B5905" t="str">
        <f>"1578729617476720"</f>
        <v>1578729617476720</v>
      </c>
      <c r="C5905" t="s">
        <v>37</v>
      </c>
      <c r="D5905">
        <v>5.245781</v>
      </c>
      <c r="E5905">
        <v>0.48776829999999999</v>
      </c>
      <c r="F5905" t="s">
        <v>90</v>
      </c>
      <c r="G5905">
        <v>-232.1183</v>
      </c>
      <c r="H5905" s="1">
        <v>-2.2069160000000001E-7</v>
      </c>
      <c r="I5905">
        <v>-58.552750000000003</v>
      </c>
      <c r="J5905">
        <v>-244.00540000000001</v>
      </c>
      <c r="K5905">
        <v>1.105253</v>
      </c>
      <c r="L5905">
        <v>-61.28</v>
      </c>
      <c r="M5905">
        <v>0.99569789999999903</v>
      </c>
      <c r="N5905">
        <v>0</v>
      </c>
      <c r="O5905">
        <v>9.1452019999999995E-2</v>
      </c>
      <c r="P5905">
        <v>0.98270000000000002</v>
      </c>
      <c r="Q5905">
        <v>2.003744E-2</v>
      </c>
      <c r="R5905">
        <v>0.18411720000000001</v>
      </c>
      <c r="S5905">
        <v>2.9330750000000001</v>
      </c>
      <c r="T5905">
        <v>-0.2685534</v>
      </c>
      <c r="U5905">
        <v>0.66690059999999995</v>
      </c>
      <c r="V5905">
        <v>-9.3513349999999995E-2</v>
      </c>
      <c r="W5905">
        <v>3.474377E-2</v>
      </c>
      <c r="X5905">
        <v>0.9950116</v>
      </c>
      <c r="Y5905">
        <v>-0.13143949999999999</v>
      </c>
      <c r="Z5905">
        <v>-2.2928950000000001E-3</v>
      </c>
      <c r="AA5905">
        <v>0.99132160000000002</v>
      </c>
      <c r="AB5905">
        <v>25</v>
      </c>
      <c r="AC5905">
        <v>11.8871</v>
      </c>
      <c r="AD5905">
        <v>-1.1052532206915999</v>
      </c>
      <c r="AE5905">
        <v>2.72724999999999</v>
      </c>
      <c r="AF5905">
        <v>-1.6153323068551899</v>
      </c>
      <c r="AG5905">
        <v>-1.1052532206915999</v>
      </c>
      <c r="AH5905">
        <v>11.9882585436286</v>
      </c>
      <c r="AI5905">
        <v>95.2205594681202</v>
      </c>
      <c r="AJ5905">
        <v>97.673978245426497</v>
      </c>
      <c r="AK5905">
        <v>12.1469842369332</v>
      </c>
    </row>
    <row r="5906" spans="1:37" x14ac:dyDescent="0.2">
      <c r="A5906" t="str">
        <f>"20200111160017497"</f>
        <v>20200111160017497</v>
      </c>
      <c r="B5906" t="str">
        <f>"1578729617486481"</f>
        <v>1578729617486481</v>
      </c>
      <c r="C5906" t="s">
        <v>37</v>
      </c>
      <c r="D5906">
        <v>5.2790660000000003</v>
      </c>
      <c r="E5906">
        <v>0.4878789</v>
      </c>
      <c r="F5906" t="s">
        <v>90</v>
      </c>
      <c r="G5906">
        <v>-231.8425</v>
      </c>
      <c r="H5906" s="1">
        <v>-1.035271E-7</v>
      </c>
      <c r="I5906">
        <v>-58.546039999999998</v>
      </c>
      <c r="J5906">
        <v>-243.8691</v>
      </c>
      <c r="K5906">
        <v>1.105232</v>
      </c>
      <c r="L5906">
        <v>-61.266969999999901</v>
      </c>
      <c r="M5906">
        <v>0.99565709999999996</v>
      </c>
      <c r="N5906">
        <v>0</v>
      </c>
      <c r="O5906">
        <v>9.1896820000000004E-2</v>
      </c>
      <c r="P5906">
        <v>0.98299219999999898</v>
      </c>
      <c r="Q5906">
        <v>2.0154060000000001E-2</v>
      </c>
      <c r="R5906">
        <v>0.1825386</v>
      </c>
      <c r="S5906">
        <v>2.9346919999999899</v>
      </c>
      <c r="T5906">
        <v>-0.266677</v>
      </c>
      <c r="U5906">
        <v>0.65963749999999999</v>
      </c>
      <c r="V5906">
        <v>-9.1468309999999997E-2</v>
      </c>
      <c r="W5906">
        <v>3.486529E-2</v>
      </c>
      <c r="X5906">
        <v>0.99519749999999996</v>
      </c>
      <c r="Y5906">
        <v>-0.12855899999999901</v>
      </c>
      <c r="Z5906">
        <v>-2.4450850000000001E-3</v>
      </c>
      <c r="AA5906">
        <v>0.99169889999999905</v>
      </c>
      <c r="AB5906">
        <v>25</v>
      </c>
      <c r="AC5906">
        <v>12.0266</v>
      </c>
      <c r="AD5906">
        <v>-1.1052321035271</v>
      </c>
      <c r="AE5906">
        <v>2.7209299999999801</v>
      </c>
      <c r="AF5906">
        <v>-1.5913001729844201</v>
      </c>
      <c r="AG5906">
        <v>-1.1052321035271</v>
      </c>
      <c r="AH5906">
        <v>12.128329864759399</v>
      </c>
      <c r="AI5906">
        <v>95.162869115693297</v>
      </c>
      <c r="AJ5906">
        <v>97.474807966492193</v>
      </c>
      <c r="AK5906">
        <v>12.2821072927907</v>
      </c>
    </row>
    <row r="5907" spans="1:37" x14ac:dyDescent="0.2">
      <c r="A5907" t="str">
        <f>"20200111160017507"</f>
        <v>20200111160017507</v>
      </c>
      <c r="B5907" t="str">
        <f>"1578729617497217"</f>
        <v>1578729617497217</v>
      </c>
      <c r="C5907" t="s">
        <v>37</v>
      </c>
      <c r="D5907">
        <v>5.261298</v>
      </c>
      <c r="E5907">
        <v>0.48790249999999902</v>
      </c>
      <c r="F5907" t="s">
        <v>90</v>
      </c>
      <c r="G5907">
        <v>-231.65170000000001</v>
      </c>
      <c r="H5907" s="1">
        <v>-3.8500959999999903E-8</v>
      </c>
      <c r="I5907">
        <v>-58.544879999999999</v>
      </c>
      <c r="J5907">
        <v>-243.75319999999999</v>
      </c>
      <c r="K5907">
        <v>1.1052169999999999</v>
      </c>
      <c r="L5907">
        <v>-61.255859999999998</v>
      </c>
      <c r="M5907">
        <v>0.99562260000000002</v>
      </c>
      <c r="N5907">
        <v>0</v>
      </c>
      <c r="O5907">
        <v>9.2270190000000002E-2</v>
      </c>
      <c r="P5907">
        <v>0.9833248</v>
      </c>
      <c r="Q5907">
        <v>2.0583730000000001E-2</v>
      </c>
      <c r="R5907">
        <v>0.1806905</v>
      </c>
      <c r="S5907">
        <v>2.935883</v>
      </c>
      <c r="T5907">
        <v>-0.2655923</v>
      </c>
      <c r="U5907">
        <v>0.65411379999999997</v>
      </c>
      <c r="V5907">
        <v>-8.9223999999999998E-2</v>
      </c>
      <c r="W5907">
        <v>3.5300379999999999E-2</v>
      </c>
      <c r="X5907">
        <v>0.99538579999999999</v>
      </c>
      <c r="Y5907">
        <v>-0.12633510000000001</v>
      </c>
      <c r="Z5907">
        <v>-2.5670979999999999E-3</v>
      </c>
      <c r="AA5907">
        <v>0.99198430000000004</v>
      </c>
      <c r="AB5907">
        <v>25</v>
      </c>
      <c r="AC5907">
        <v>12.1014999999999</v>
      </c>
      <c r="AD5907">
        <v>-1.1052170385009601</v>
      </c>
      <c r="AE5907">
        <v>2.71097999999999</v>
      </c>
      <c r="AF5907">
        <v>-1.5702096122990601</v>
      </c>
      <c r="AG5907">
        <v>-1.1052170385009601</v>
      </c>
      <c r="AH5907">
        <v>12.203112183919901</v>
      </c>
      <c r="AI5907">
        <v>95.132982035598403</v>
      </c>
      <c r="AJ5907">
        <v>97.332124904422201</v>
      </c>
      <c r="AK5907">
        <v>12.353259080181401</v>
      </c>
    </row>
    <row r="5908" spans="1:37" x14ac:dyDescent="0.2">
      <c r="A5908" t="str">
        <f>"20200111160017519"</f>
        <v>20200111160017519</v>
      </c>
      <c r="B5908" t="str">
        <f>"1578729617516736"</f>
        <v>1578729617516736</v>
      </c>
      <c r="C5908" t="s">
        <v>37</v>
      </c>
      <c r="D5908">
        <v>9.1577249999999992</v>
      </c>
      <c r="E5908">
        <v>0.48756759999999899</v>
      </c>
      <c r="F5908" t="s">
        <v>90</v>
      </c>
      <c r="G5908">
        <v>-231.43119999999999</v>
      </c>
      <c r="H5908" s="1">
        <v>3.4170629999999897E-8</v>
      </c>
      <c r="I5908">
        <v>-58.535939999999997</v>
      </c>
      <c r="J5908">
        <v>-243.63130000000001</v>
      </c>
      <c r="K5908">
        <v>1.1052040000000001</v>
      </c>
      <c r="L5908">
        <v>-61.244109999999999</v>
      </c>
      <c r="M5908">
        <v>0.99558719999999901</v>
      </c>
      <c r="N5908">
        <v>0</v>
      </c>
      <c r="O5908">
        <v>9.2651360000000002E-2</v>
      </c>
      <c r="P5908">
        <v>0.98370419999999903</v>
      </c>
      <c r="Q5908">
        <v>2.0757270000000001E-2</v>
      </c>
      <c r="R5908">
        <v>0.17859259999999999</v>
      </c>
      <c r="S5908">
        <v>2.9372560000000001</v>
      </c>
      <c r="T5908">
        <v>-0.26345599999999902</v>
      </c>
      <c r="U5908">
        <v>0.64834590000000003</v>
      </c>
      <c r="V5908">
        <v>-8.6717569999999994E-2</v>
      </c>
      <c r="W5908">
        <v>3.548051E-2</v>
      </c>
      <c r="X5908">
        <v>0.99560090000000001</v>
      </c>
      <c r="Y5908">
        <v>-0.12401230000000001</v>
      </c>
      <c r="Z5908">
        <v>-2.6822640000000002E-3</v>
      </c>
      <c r="AA5908">
        <v>0.99227699999999996</v>
      </c>
      <c r="AB5908">
        <v>25</v>
      </c>
      <c r="AC5908">
        <v>12.200100000000001</v>
      </c>
      <c r="AD5908">
        <v>-1.10520396582937</v>
      </c>
      <c r="AE5908">
        <v>2.7081699999999902</v>
      </c>
      <c r="AF5908">
        <v>-1.55388414351469</v>
      </c>
      <c r="AG5908">
        <v>-1.10520396582937</v>
      </c>
      <c r="AH5908">
        <v>12.302336410574201</v>
      </c>
      <c r="AI5908">
        <v>95.093243528575499</v>
      </c>
      <c r="AJ5908">
        <v>97.198797259525193</v>
      </c>
      <c r="AK5908">
        <v>12.4492374423694</v>
      </c>
    </row>
    <row r="5909" spans="1:37" x14ac:dyDescent="0.2">
      <c r="A5909" t="str">
        <f>"20200111160017531"</f>
        <v>20200111160017531</v>
      </c>
      <c r="B5909" t="str">
        <f>"1578729617526496"</f>
        <v>1578729617526496</v>
      </c>
      <c r="C5909" t="s">
        <v>37</v>
      </c>
      <c r="D5909">
        <v>5.3635479999999998</v>
      </c>
      <c r="E5909">
        <v>0.57929819999999999</v>
      </c>
      <c r="F5909" t="s">
        <v>90</v>
      </c>
      <c r="G5909">
        <v>-231.30840000000001</v>
      </c>
      <c r="H5909" s="1">
        <v>7.703539E-8</v>
      </c>
      <c r="I5909">
        <v>-58.539960000000001</v>
      </c>
      <c r="J5909">
        <v>-243.49979999999999</v>
      </c>
      <c r="K5909">
        <v>1.105189</v>
      </c>
      <c r="L5909">
        <v>-61.231450000000002</v>
      </c>
      <c r="M5909">
        <v>0.99555000000000005</v>
      </c>
      <c r="N5909">
        <v>0</v>
      </c>
      <c r="O5909">
        <v>9.3050919999999995E-2</v>
      </c>
      <c r="P5909">
        <v>0.9842438</v>
      </c>
      <c r="Q5909">
        <v>2.092337E-2</v>
      </c>
      <c r="R5909">
        <v>0.17557429999999999</v>
      </c>
      <c r="S5909">
        <v>2.9381870000000001</v>
      </c>
      <c r="T5909">
        <v>-0.26351770000000002</v>
      </c>
      <c r="U5909">
        <v>0.64474489999999995</v>
      </c>
      <c r="V5909">
        <v>-8.3260909999999994E-2</v>
      </c>
      <c r="W5909">
        <v>3.5654440000000003E-2</v>
      </c>
      <c r="X5909">
        <v>0.99588969999999899</v>
      </c>
      <c r="Y5909">
        <v>-0.1223954</v>
      </c>
      <c r="Z5909">
        <v>-2.7890999999999901E-3</v>
      </c>
      <c r="AA5909">
        <v>0.99247750000000001</v>
      </c>
      <c r="AB5909">
        <v>25</v>
      </c>
      <c r="AC5909">
        <v>12.1913999999999</v>
      </c>
      <c r="AD5909">
        <v>-1.1051889229646099</v>
      </c>
      <c r="AE5909">
        <v>2.6914899999999999</v>
      </c>
      <c r="AF5909">
        <v>-1.53324855852772</v>
      </c>
      <c r="AG5909">
        <v>-1.1051889229646099</v>
      </c>
      <c r="AH5909">
        <v>12.292641415315201</v>
      </c>
      <c r="AI5909">
        <v>95.098159778113398</v>
      </c>
      <c r="AJ5909">
        <v>97.109726127870005</v>
      </c>
      <c r="AK5909">
        <v>12.4370947838791</v>
      </c>
    </row>
    <row r="5910" spans="1:37" x14ac:dyDescent="0.2">
      <c r="A5910" t="str">
        <f>"20200111160017542"</f>
        <v>20200111160017542</v>
      </c>
      <c r="B5910" t="str">
        <f>"1578729617537234"</f>
        <v>1578729617537234</v>
      </c>
      <c r="C5910" t="s">
        <v>37</v>
      </c>
      <c r="D5910">
        <v>5.2902620000000002</v>
      </c>
      <c r="E5910">
        <v>0.58323130000000001</v>
      </c>
      <c r="F5910" t="s">
        <v>67</v>
      </c>
      <c r="G5910">
        <v>-157.3501</v>
      </c>
      <c r="H5910">
        <v>2.70472</v>
      </c>
      <c r="I5910">
        <v>-63.929229999999997</v>
      </c>
      <c r="J5910">
        <v>-243.37790000000001</v>
      </c>
      <c r="K5910">
        <v>1.105173</v>
      </c>
      <c r="L5910">
        <v>-61.219669999999901</v>
      </c>
      <c r="M5910">
        <v>0.99551630000000002</v>
      </c>
      <c r="N5910">
        <v>0</v>
      </c>
      <c r="O5910">
        <v>9.3411380000000002E-2</v>
      </c>
      <c r="P5910">
        <v>0.98490900000000003</v>
      </c>
      <c r="Q5910">
        <v>2.133968E-2</v>
      </c>
      <c r="R5910">
        <v>0.17175209999999999</v>
      </c>
      <c r="S5910">
        <v>3.0639340000000002</v>
      </c>
      <c r="T5910">
        <v>5.6886909999999999E-2</v>
      </c>
      <c r="U5910">
        <v>-9.5947270000000001E-2</v>
      </c>
      <c r="V5910">
        <v>-7.9031599999999994E-2</v>
      </c>
      <c r="W5910">
        <v>3.6079979999999998E-2</v>
      </c>
      <c r="X5910">
        <v>0.99621899999999997</v>
      </c>
      <c r="Y5910">
        <v>0.1245013</v>
      </c>
      <c r="Z5910">
        <v>2.888088E-3</v>
      </c>
      <c r="AA5910">
        <v>0.99221519999999996</v>
      </c>
      <c r="AB5910">
        <v>25</v>
      </c>
      <c r="AC5910">
        <v>86.027799999999999</v>
      </c>
      <c r="AD5910">
        <v>1.5995469999999901</v>
      </c>
      <c r="AE5910">
        <v>-2.70956000000001</v>
      </c>
      <c r="AF5910">
        <v>10.730870045184901</v>
      </c>
      <c r="AG5910">
        <v>1.5995469999999901</v>
      </c>
      <c r="AH5910">
        <v>85.368952581270506</v>
      </c>
      <c r="AI5910">
        <v>88.934961135284098</v>
      </c>
      <c r="AJ5910">
        <v>82.835501864527501</v>
      </c>
      <c r="AK5910">
        <v>86.055611016104393</v>
      </c>
    </row>
    <row r="5911" spans="1:37" x14ac:dyDescent="0.2">
      <c r="A5911" t="str">
        <f>"20200111160017552"</f>
        <v>20200111160017552</v>
      </c>
      <c r="B5911" t="str">
        <f>"1578729617546993"</f>
        <v>1578729617546993</v>
      </c>
      <c r="C5911" t="s">
        <v>37</v>
      </c>
      <c r="D5911">
        <v>5.4059189999999999</v>
      </c>
      <c r="E5911">
        <v>0.58238049999999997</v>
      </c>
      <c r="F5911" t="s">
        <v>67</v>
      </c>
      <c r="G5911">
        <v>-157.3501</v>
      </c>
      <c r="H5911">
        <v>2.5768930000000001</v>
      </c>
      <c r="I5911">
        <v>-65.103390000000005</v>
      </c>
      <c r="J5911">
        <v>-243.26509999999999</v>
      </c>
      <c r="K5911">
        <v>1.1051580000000001</v>
      </c>
      <c r="L5911">
        <v>-61.208680000000001</v>
      </c>
      <c r="M5911">
        <v>0.9954866</v>
      </c>
      <c r="N5911">
        <v>0</v>
      </c>
      <c r="O5911">
        <v>9.3729220000000002E-2</v>
      </c>
      <c r="P5911">
        <v>0.985633599999999</v>
      </c>
      <c r="Q5911">
        <v>2.1512670000000001E-2</v>
      </c>
      <c r="R5911">
        <v>0.1675229</v>
      </c>
      <c r="S5911">
        <v>3.069</v>
      </c>
      <c r="T5911">
        <v>5.2502159999999999E-2</v>
      </c>
      <c r="U5911">
        <v>-0.138549799999999</v>
      </c>
      <c r="V5911">
        <v>-7.4433860000000004E-2</v>
      </c>
      <c r="W5911">
        <v>3.6263919999999998E-2</v>
      </c>
      <c r="X5911">
        <v>0.99656639999999996</v>
      </c>
      <c r="Y5911">
        <v>0.13851069999999999</v>
      </c>
      <c r="Z5911">
        <v>2.785853E-3</v>
      </c>
      <c r="AA5911">
        <v>0.99035699999999904</v>
      </c>
      <c r="AB5911">
        <v>25</v>
      </c>
      <c r="AC5911">
        <v>85.914999999999907</v>
      </c>
      <c r="AD5911">
        <v>1.471735</v>
      </c>
      <c r="AE5911">
        <v>-3.8947099999999901</v>
      </c>
      <c r="AF5911">
        <v>11.9277046854208</v>
      </c>
      <c r="AG5911">
        <v>1.471735</v>
      </c>
      <c r="AH5911">
        <v>85.146671962167503</v>
      </c>
      <c r="AI5911">
        <v>89.0193315043513</v>
      </c>
      <c r="AJ5911">
        <v>82.025657262285804</v>
      </c>
      <c r="AK5911">
        <v>85.990650010369095</v>
      </c>
    </row>
    <row r="5912" spans="1:37" x14ac:dyDescent="0.2">
      <c r="A5912" t="str">
        <f>"20200111160017562"</f>
        <v>20200111160017562</v>
      </c>
      <c r="B5912" t="str">
        <f>"1578729617556752"</f>
        <v>1578729617556752</v>
      </c>
      <c r="C5912" t="s">
        <v>37</v>
      </c>
      <c r="D5912">
        <v>5.3389530000000001</v>
      </c>
      <c r="E5912">
        <v>0.58193950000000005</v>
      </c>
      <c r="F5912" t="s">
        <v>67</v>
      </c>
      <c r="G5912">
        <v>-157.3501</v>
      </c>
      <c r="H5912">
        <v>2.3401779999999999</v>
      </c>
      <c r="I5912">
        <v>-65.262889999999999</v>
      </c>
      <c r="J5912">
        <v>-243.14449999999999</v>
      </c>
      <c r="K5912">
        <v>1.105137</v>
      </c>
      <c r="L5912">
        <v>-61.19699</v>
      </c>
      <c r="M5912">
        <v>0.99545509999999904</v>
      </c>
      <c r="N5912">
        <v>0</v>
      </c>
      <c r="O5912">
        <v>9.4061870000000006E-2</v>
      </c>
      <c r="P5912">
        <v>0.98644169999999998</v>
      </c>
      <c r="Q5912">
        <v>2.2102549999999999E-2</v>
      </c>
      <c r="R5912">
        <v>0.16261639999999999</v>
      </c>
      <c r="S5912">
        <v>3.0673680000000001</v>
      </c>
      <c r="T5912">
        <v>4.409242E-2</v>
      </c>
      <c r="U5912">
        <v>-0.14474489999999901</v>
      </c>
      <c r="V5912">
        <v>-6.9139019999999995E-2</v>
      </c>
      <c r="W5912">
        <v>3.6864809999999998E-2</v>
      </c>
      <c r="X5912">
        <v>0.99692569999999903</v>
      </c>
      <c r="Y5912">
        <v>0.14087060000000001</v>
      </c>
      <c r="Z5912">
        <v>2.3625550000000001E-3</v>
      </c>
      <c r="AA5912">
        <v>0.99002520000000005</v>
      </c>
      <c r="AB5912">
        <v>25</v>
      </c>
      <c r="AC5912">
        <v>85.794399999999996</v>
      </c>
      <c r="AD5912">
        <v>1.2350409999999901</v>
      </c>
      <c r="AE5912">
        <v>-4.0658999999999903</v>
      </c>
      <c r="AF5912">
        <v>12.116239690379899</v>
      </c>
      <c r="AG5912">
        <v>1.2350409999999901</v>
      </c>
      <c r="AH5912">
        <v>85.013867358621695</v>
      </c>
      <c r="AI5912">
        <v>89.176017930608097</v>
      </c>
      <c r="AJ5912">
        <v>81.888787242486899</v>
      </c>
      <c r="AK5912">
        <v>85.881815501162606</v>
      </c>
    </row>
    <row r="5913" spans="1:37" x14ac:dyDescent="0.2">
      <c r="A5913" t="str">
        <f>"20200111160017574"</f>
        <v>20200111160017574</v>
      </c>
      <c r="B5913" t="str">
        <f>"1578729617566512"</f>
        <v>1578729617566512</v>
      </c>
      <c r="C5913" t="s">
        <v>37</v>
      </c>
      <c r="D5913">
        <v>5.4337140000000002</v>
      </c>
      <c r="E5913">
        <v>0.58193950000000005</v>
      </c>
      <c r="F5913" t="s">
        <v>67</v>
      </c>
      <c r="G5913">
        <v>-157.3501</v>
      </c>
      <c r="H5913">
        <v>2.3097729999999999</v>
      </c>
      <c r="I5913">
        <v>-65.573490000000007</v>
      </c>
      <c r="J5913">
        <v>-243.01650000000001</v>
      </c>
      <c r="K5913">
        <v>1.1051139999999999</v>
      </c>
      <c r="L5913">
        <v>-61.184509999999896</v>
      </c>
      <c r="M5913">
        <v>0.99542419999999998</v>
      </c>
      <c r="N5913">
        <v>0</v>
      </c>
      <c r="O5913">
        <v>9.4389790000000001E-2</v>
      </c>
      <c r="P5913">
        <v>0.98757680000000003</v>
      </c>
      <c r="Q5913">
        <v>2.2591299999999901E-2</v>
      </c>
      <c r="R5913">
        <v>0.1555047</v>
      </c>
      <c r="S5913">
        <v>3.0660249999999998</v>
      </c>
      <c r="T5913">
        <v>4.3049219999999999E-2</v>
      </c>
      <c r="U5913">
        <v>-0.1564026</v>
      </c>
      <c r="V5913">
        <v>-6.1621769999999999E-2</v>
      </c>
      <c r="W5913">
        <v>3.736896E-2</v>
      </c>
      <c r="X5913">
        <v>0.99739979999999995</v>
      </c>
      <c r="Y5913">
        <v>0.14497189999999999</v>
      </c>
      <c r="Z5913">
        <v>2.340881E-3</v>
      </c>
      <c r="AA5913">
        <v>0.98943300000000001</v>
      </c>
      <c r="AB5913">
        <v>25</v>
      </c>
      <c r="AC5913">
        <v>85.666399999999996</v>
      </c>
      <c r="AD5913">
        <v>1.2046589999999999</v>
      </c>
      <c r="AE5913">
        <v>-4.3889800000000099</v>
      </c>
      <c r="AF5913">
        <v>12.453852090236699</v>
      </c>
      <c r="AG5913">
        <v>1.2046589999999999</v>
      </c>
      <c r="AH5913">
        <v>84.852785778256802</v>
      </c>
      <c r="AI5913">
        <v>89.195244234088705</v>
      </c>
      <c r="AJ5913">
        <v>81.650306849140804</v>
      </c>
      <c r="AK5913">
        <v>85.770303074680299</v>
      </c>
    </row>
    <row r="5914" spans="1:37" x14ac:dyDescent="0.2">
      <c r="A5914" t="str">
        <f>"20200111160017586"</f>
        <v>20200111160017586</v>
      </c>
      <c r="B5914" t="str">
        <f>"1578729617577248"</f>
        <v>1578729617577248</v>
      </c>
      <c r="C5914" t="s">
        <v>37</v>
      </c>
      <c r="D5914">
        <v>5.4137420000000001</v>
      </c>
      <c r="E5914">
        <v>0.58087889999999998</v>
      </c>
      <c r="F5914" t="s">
        <v>67</v>
      </c>
      <c r="G5914">
        <v>-168.45060000000001</v>
      </c>
      <c r="H5914">
        <v>2.207579</v>
      </c>
      <c r="I5914">
        <v>-65.528739999999999</v>
      </c>
      <c r="J5914">
        <v>-242.89609999999999</v>
      </c>
      <c r="K5914">
        <v>1.1050930000000001</v>
      </c>
      <c r="L5914">
        <v>-61.172789999999999</v>
      </c>
      <c r="M5914">
        <v>0.99539569999999999</v>
      </c>
      <c r="N5914">
        <v>0</v>
      </c>
      <c r="O5914">
        <v>9.4691620000000004E-2</v>
      </c>
      <c r="P5914">
        <v>0.98874409999999902</v>
      </c>
      <c r="Q5914">
        <v>2.2906780000000002E-2</v>
      </c>
      <c r="R5914">
        <v>0.14785419999999999</v>
      </c>
      <c r="S5914">
        <v>3.064835</v>
      </c>
      <c r="T5914">
        <v>4.5312999999999999E-2</v>
      </c>
      <c r="U5914">
        <v>-0.178558299999999</v>
      </c>
      <c r="V5914">
        <v>-5.3591109999999997E-2</v>
      </c>
      <c r="W5914">
        <v>3.769869E-2</v>
      </c>
      <c r="X5914">
        <v>0.99785109999999999</v>
      </c>
      <c r="Y5914">
        <v>0.1524152</v>
      </c>
      <c r="Z5914">
        <v>2.523979E-3</v>
      </c>
      <c r="AA5914">
        <v>0.98831329999999995</v>
      </c>
      <c r="AB5914">
        <v>25</v>
      </c>
      <c r="AC5914">
        <v>74.445499999999896</v>
      </c>
      <c r="AD5914">
        <v>1.1024860000000001</v>
      </c>
      <c r="AE5914">
        <v>-4.35595</v>
      </c>
      <c r="AF5914">
        <v>11.384028417343901</v>
      </c>
      <c r="AG5914">
        <v>1.1024860000000001</v>
      </c>
      <c r="AH5914">
        <v>73.682294437958802</v>
      </c>
      <c r="AI5914">
        <v>89.152814801514694</v>
      </c>
      <c r="AJ5914">
        <v>81.217158376384305</v>
      </c>
      <c r="AK5914">
        <v>74.564683946417603</v>
      </c>
    </row>
    <row r="5915" spans="1:37" x14ac:dyDescent="0.2">
      <c r="A5915" t="str">
        <f>"20200111160017595"</f>
        <v>20200111160017595</v>
      </c>
      <c r="B5915" t="str">
        <f>"1578729617587009"</f>
        <v>1578729617587009</v>
      </c>
      <c r="C5915" t="s">
        <v>37</v>
      </c>
      <c r="D5915">
        <v>5.2891909999999998</v>
      </c>
      <c r="E5915">
        <v>0.58342159999999998</v>
      </c>
      <c r="F5915" t="s">
        <v>67</v>
      </c>
      <c r="G5915">
        <v>-168.45060000000001</v>
      </c>
      <c r="H5915">
        <v>2.2433190000000001</v>
      </c>
      <c r="I5915">
        <v>-65.887100000000004</v>
      </c>
      <c r="J5915">
        <v>-242.774</v>
      </c>
      <c r="K5915">
        <v>1.10507</v>
      </c>
      <c r="L5915">
        <v>-61.160829999999997</v>
      </c>
      <c r="M5915">
        <v>0.99536939999999996</v>
      </c>
      <c r="N5915">
        <v>0</v>
      </c>
      <c r="O5915">
        <v>9.4966729999999999E-2</v>
      </c>
      <c r="P5915">
        <v>0.98976659999999905</v>
      </c>
      <c r="Q5915">
        <v>2.3558180000000001E-2</v>
      </c>
      <c r="R5915">
        <v>0.1407378</v>
      </c>
      <c r="S5915">
        <v>3.0620880000000001</v>
      </c>
      <c r="T5915">
        <v>4.6816589999999998E-2</v>
      </c>
      <c r="U5915">
        <v>-0.19390869999999999</v>
      </c>
      <c r="V5915">
        <v>-4.6131579999999998E-2</v>
      </c>
      <c r="W5915">
        <v>3.8361970000000002E-2</v>
      </c>
      <c r="X5915">
        <v>0.99819849999999999</v>
      </c>
      <c r="Y5915">
        <v>0.15767129999999999</v>
      </c>
      <c r="Z5915">
        <v>2.6540779999999998E-3</v>
      </c>
      <c r="AA5915">
        <v>0.98748809999999998</v>
      </c>
      <c r="AB5915">
        <v>25</v>
      </c>
      <c r="AC5915">
        <v>74.323399999999907</v>
      </c>
      <c r="AD5915">
        <v>1.1382490000000001</v>
      </c>
      <c r="AE5915">
        <v>-4.7262699999999898</v>
      </c>
      <c r="AF5915">
        <v>11.761187838169301</v>
      </c>
      <c r="AG5915">
        <v>1.1382490000000001</v>
      </c>
      <c r="AH5915">
        <v>73.521354465306203</v>
      </c>
      <c r="AI5915">
        <v>89.124158279341003</v>
      </c>
      <c r="AJ5915">
        <v>80.911416711514306</v>
      </c>
      <c r="AK5915">
        <v>74.464828694920797</v>
      </c>
    </row>
    <row r="5916" spans="1:37" x14ac:dyDescent="0.2">
      <c r="A5916" t="str">
        <f>"20200111160017618"</f>
        <v>20200111160017618</v>
      </c>
      <c r="B5916" t="str">
        <f>"1578729617606528"</f>
        <v>1578729617606528</v>
      </c>
      <c r="C5916" t="s">
        <v>37</v>
      </c>
      <c r="D5916">
        <v>4.7011379999999896</v>
      </c>
      <c r="E5916">
        <v>0.58342159999999998</v>
      </c>
      <c r="F5916" t="s">
        <v>67</v>
      </c>
      <c r="G5916">
        <v>-168.45060000000001</v>
      </c>
      <c r="H5916">
        <v>2.3750309999999999</v>
      </c>
      <c r="I5916">
        <v>-66.890230000000003</v>
      </c>
      <c r="J5916">
        <v>-242.52850000000001</v>
      </c>
      <c r="K5916">
        <v>1.1050180000000001</v>
      </c>
      <c r="L5916">
        <v>-61.136839999999999</v>
      </c>
      <c r="M5916">
        <v>0.9953206</v>
      </c>
      <c r="N5916">
        <v>0</v>
      </c>
      <c r="O5916">
        <v>9.5478480000000004E-2</v>
      </c>
      <c r="P5916">
        <v>0.99234719999999998</v>
      </c>
      <c r="Q5916">
        <v>2.4320870000000001E-2</v>
      </c>
      <c r="R5916">
        <v>0.121059999999999</v>
      </c>
      <c r="S5916">
        <v>3.063339</v>
      </c>
      <c r="T5916">
        <v>5.2342300000000001E-2</v>
      </c>
      <c r="U5916">
        <v>-0.23614499999999999</v>
      </c>
      <c r="V5916">
        <v>-2.5779320000000001E-2</v>
      </c>
      <c r="W5916">
        <v>3.9150539999999998E-2</v>
      </c>
      <c r="X5916">
        <v>0.99890069999999997</v>
      </c>
      <c r="Y5916">
        <v>0.171676</v>
      </c>
      <c r="Z5916">
        <v>3.0930959999999901E-3</v>
      </c>
      <c r="AA5916">
        <v>0.98514859999999904</v>
      </c>
      <c r="AB5916">
        <v>25</v>
      </c>
      <c r="AC5916">
        <v>74.0779</v>
      </c>
      <c r="AD5916">
        <v>1.2700130000000001</v>
      </c>
      <c r="AE5916">
        <v>-5.7533899999999996</v>
      </c>
      <c r="AF5916">
        <v>12.7969870993293</v>
      </c>
      <c r="AG5916">
        <v>1.2700130000000001</v>
      </c>
      <c r="AH5916">
        <v>73.168636950644498</v>
      </c>
      <c r="AI5916">
        <v>89.020463181912703</v>
      </c>
      <c r="AJ5916">
        <v>80.079471577025998</v>
      </c>
      <c r="AK5916">
        <v>74.290142314144106</v>
      </c>
    </row>
    <row r="5917" spans="1:37" x14ac:dyDescent="0.2">
      <c r="A5917" t="str">
        <f>"20200111160017714"</f>
        <v>20200111160017714</v>
      </c>
      <c r="B5917" t="str">
        <f>"1578729617707056"</f>
        <v>1578729617707056</v>
      </c>
      <c r="C5917" t="s">
        <v>37</v>
      </c>
      <c r="D5917">
        <v>5.5096189999999998</v>
      </c>
      <c r="E5917">
        <v>0.60807339999999999</v>
      </c>
      <c r="F5917" t="s">
        <v>67</v>
      </c>
      <c r="G5917">
        <v>-157.9383</v>
      </c>
      <c r="H5917">
        <v>2.652345</v>
      </c>
      <c r="I5917">
        <v>-69.350679999999997</v>
      </c>
      <c r="J5917">
        <v>-241.48079999999999</v>
      </c>
      <c r="K5917">
        <v>1.1047389999999999</v>
      </c>
      <c r="L5917">
        <v>-61.03445</v>
      </c>
      <c r="M5917">
        <v>0.99521119999999996</v>
      </c>
      <c r="N5917">
        <v>0</v>
      </c>
      <c r="O5917">
        <v>9.6616350000000004E-2</v>
      </c>
      <c r="P5917">
        <v>0.9985311</v>
      </c>
      <c r="Q5917">
        <v>2.73283E-2</v>
      </c>
      <c r="R5917">
        <v>4.6787179999999998E-2</v>
      </c>
      <c r="S5917">
        <v>3.0579990000000001</v>
      </c>
      <c r="T5917">
        <v>5.5936220000000002E-2</v>
      </c>
      <c r="U5917">
        <v>-0.29693599999999998</v>
      </c>
      <c r="V5917">
        <v>4.9912680000000001E-2</v>
      </c>
      <c r="W5917">
        <v>4.2139749999999997E-2</v>
      </c>
      <c r="X5917">
        <v>0.99786419999999998</v>
      </c>
      <c r="Y5917">
        <v>0.1923213</v>
      </c>
      <c r="Z5917">
        <v>3.517863E-3</v>
      </c>
      <c r="AA5917">
        <v>0.98132569999999997</v>
      </c>
      <c r="AB5917">
        <v>25</v>
      </c>
      <c r="AC5917">
        <v>83.542499999999905</v>
      </c>
      <c r="AD5917">
        <v>1.547606</v>
      </c>
      <c r="AE5917">
        <v>-8.3162300000000098</v>
      </c>
      <c r="AF5917">
        <v>16.344221040602399</v>
      </c>
      <c r="AG5917">
        <v>1.547606</v>
      </c>
      <c r="AH5917">
        <v>82.320032179419101</v>
      </c>
      <c r="AI5917">
        <v>88.943589426799903</v>
      </c>
      <c r="AJ5917">
        <v>78.770255435969602</v>
      </c>
      <c r="AK5917">
        <v>83.941148096603399</v>
      </c>
    </row>
    <row r="5918" spans="1:37" x14ac:dyDescent="0.2">
      <c r="A5918" t="str">
        <f>"20200111160017730"</f>
        <v>20200111160017730</v>
      </c>
      <c r="B5918" t="str">
        <f>"1578729617726576"</f>
        <v>1578729617726576</v>
      </c>
      <c r="C5918" t="s">
        <v>37</v>
      </c>
      <c r="D5918">
        <v>5.5419960000000001</v>
      </c>
      <c r="E5918">
        <v>0.60851290000000002</v>
      </c>
      <c r="F5918" t="s">
        <v>91</v>
      </c>
      <c r="G5918">
        <v>-224.7869</v>
      </c>
      <c r="H5918" s="1">
        <v>-2.1878079999999998E-6</v>
      </c>
      <c r="I5918">
        <v>-64.953729999999993</v>
      </c>
      <c r="J5918">
        <v>-241.31379999999999</v>
      </c>
      <c r="K5918">
        <v>1.1046929999999999</v>
      </c>
      <c r="L5918">
        <v>-61.018250000000002</v>
      </c>
      <c r="M5918">
        <v>0.99520980000000003</v>
      </c>
      <c r="N5918">
        <v>0</v>
      </c>
      <c r="O5918">
        <v>9.6631679999999998E-2</v>
      </c>
      <c r="P5918">
        <v>0.99913589999999997</v>
      </c>
      <c r="Q5918">
        <v>2.748455E-2</v>
      </c>
      <c r="R5918">
        <v>3.1179309999999998E-2</v>
      </c>
      <c r="S5918">
        <v>3.0434109999999999</v>
      </c>
      <c r="T5918">
        <v>-0.2014012</v>
      </c>
      <c r="U5918">
        <v>-0.71450809999999998</v>
      </c>
      <c r="V5918">
        <v>6.5526520000000005E-2</v>
      </c>
      <c r="W5918">
        <v>4.2271709999999997E-2</v>
      </c>
      <c r="X5918">
        <v>0.99695499999999904</v>
      </c>
      <c r="Y5918">
        <v>0.3207024</v>
      </c>
      <c r="Z5918">
        <v>-1.6771439999999999E-2</v>
      </c>
      <c r="AA5918">
        <v>0.94703150000000003</v>
      </c>
      <c r="AB5918">
        <v>25</v>
      </c>
      <c r="AC5918">
        <v>16.526899999999898</v>
      </c>
      <c r="AD5918">
        <v>-1.104695187808</v>
      </c>
      <c r="AE5918">
        <v>-3.9354800000000001</v>
      </c>
      <c r="AF5918">
        <v>5.4910394943228296</v>
      </c>
      <c r="AG5918">
        <v>-1.104695187808</v>
      </c>
      <c r="AH5918">
        <v>16.001549969340299</v>
      </c>
      <c r="AI5918">
        <v>93.736055322122596</v>
      </c>
      <c r="AJ5918">
        <v>71.059997665710398</v>
      </c>
      <c r="AK5918">
        <v>16.9535090057331</v>
      </c>
    </row>
    <row r="5919" spans="1:37" x14ac:dyDescent="0.2">
      <c r="A5919" t="str">
        <f>"20200111160017741"</f>
        <v>20200111160017741</v>
      </c>
      <c r="B5919" t="str">
        <f>"1578729617736336"</f>
        <v>1578729617736336</v>
      </c>
      <c r="C5919" t="s">
        <v>37</v>
      </c>
      <c r="D5919">
        <v>5.4834110000000003</v>
      </c>
      <c r="E5919">
        <v>0.60756330000000003</v>
      </c>
      <c r="F5919" t="s">
        <v>91</v>
      </c>
      <c r="G5919">
        <v>-226.13929999999999</v>
      </c>
      <c r="H5919" s="1">
        <v>-2.6941819999999999E-6</v>
      </c>
      <c r="I5919">
        <v>-64.844160000000002</v>
      </c>
      <c r="J5919">
        <v>-241.19130000000001</v>
      </c>
      <c r="K5919">
        <v>1.1046559999999901</v>
      </c>
      <c r="L5919">
        <v>-61.006409999999903</v>
      </c>
      <c r="M5919">
        <v>0.99521190000000004</v>
      </c>
      <c r="N5919">
        <v>0</v>
      </c>
      <c r="O5919">
        <v>9.6610749999999995E-2</v>
      </c>
      <c r="P5919">
        <v>0.99934149999999999</v>
      </c>
      <c r="Q5919">
        <v>2.703904E-2</v>
      </c>
      <c r="R5919">
        <v>2.4199399999999999E-2</v>
      </c>
      <c r="S5919">
        <v>3.0325319999999998</v>
      </c>
      <c r="T5919">
        <v>-0.220767299999999</v>
      </c>
      <c r="U5919">
        <v>-0.76458740000000003</v>
      </c>
      <c r="V5919">
        <v>7.2476009999999993E-2</v>
      </c>
      <c r="W5919">
        <v>4.1809590000000001E-2</v>
      </c>
      <c r="X5919">
        <v>0.99649349999999903</v>
      </c>
      <c r="Y5919">
        <v>0.33594059999999998</v>
      </c>
      <c r="Z5919">
        <v>-1.8954220000000001E-2</v>
      </c>
      <c r="AA5919">
        <v>0.94169239999999999</v>
      </c>
      <c r="AB5919">
        <v>25</v>
      </c>
      <c r="AC5919">
        <v>15.052</v>
      </c>
      <c r="AD5919">
        <v>-1.10465869418199</v>
      </c>
      <c r="AE5919">
        <v>-3.8377500000000002</v>
      </c>
      <c r="AF5919">
        <v>5.2476002433424398</v>
      </c>
      <c r="AG5919">
        <v>-1.10465869418199</v>
      </c>
      <c r="AH5919">
        <v>14.5372476316785</v>
      </c>
      <c r="AI5919">
        <v>94.0882087068114</v>
      </c>
      <c r="AJ5919">
        <v>70.151624637322499</v>
      </c>
      <c r="AK5919">
        <v>15.4948103521567</v>
      </c>
    </row>
    <row r="5920" spans="1:37" x14ac:dyDescent="0.2">
      <c r="A5920" t="str">
        <f>"20200111160017753"</f>
        <v>20200111160017753</v>
      </c>
      <c r="B5920" t="str">
        <f>"1578729617747075"</f>
        <v>1578729617747075</v>
      </c>
      <c r="C5920" t="s">
        <v>37</v>
      </c>
      <c r="D5920">
        <v>5.5308109999999999</v>
      </c>
      <c r="E5920">
        <v>0.60693069999999905</v>
      </c>
      <c r="F5920" t="s">
        <v>91</v>
      </c>
      <c r="G5920">
        <v>-227.27619999999999</v>
      </c>
      <c r="H5920" s="1">
        <v>-3.0457209999999999E-6</v>
      </c>
      <c r="I5920">
        <v>-64.579669999999993</v>
      </c>
      <c r="J5920">
        <v>-241.06559999999999</v>
      </c>
      <c r="K5920">
        <v>1.104616</v>
      </c>
      <c r="L5920">
        <v>-60.994259999999997</v>
      </c>
      <c r="M5920">
        <v>0.99521709999999997</v>
      </c>
      <c r="N5920">
        <v>0</v>
      </c>
      <c r="O5920">
        <v>9.6557089999999998E-2</v>
      </c>
      <c r="P5920">
        <v>0.99948979999999998</v>
      </c>
      <c r="Q5920">
        <v>2.6641089999999999E-2</v>
      </c>
      <c r="R5920">
        <v>1.7616840000000002E-2</v>
      </c>
      <c r="S5920">
        <v>3.0272830000000002</v>
      </c>
      <c r="T5920">
        <v>-0.2403219</v>
      </c>
      <c r="U5920">
        <v>-0.77737429999999996</v>
      </c>
      <c r="V5920">
        <v>7.8992039999999999E-2</v>
      </c>
      <c r="W5920">
        <v>4.1394149999999998E-2</v>
      </c>
      <c r="X5920">
        <v>0.9960154</v>
      </c>
      <c r="Y5920">
        <v>0.33979520000000002</v>
      </c>
      <c r="Z5920">
        <v>-2.0798850000000001E-2</v>
      </c>
      <c r="AA5920">
        <v>0.94026949999999998</v>
      </c>
      <c r="AB5920">
        <v>25</v>
      </c>
      <c r="AC5920">
        <v>13.789400000000001</v>
      </c>
      <c r="AD5920">
        <v>-1.1046190457209999</v>
      </c>
      <c r="AE5920">
        <v>-3.5854099999999902</v>
      </c>
      <c r="AF5920">
        <v>4.8709859751606697</v>
      </c>
      <c r="AG5920">
        <v>-1.1046190457209999</v>
      </c>
      <c r="AH5920">
        <v>13.2987846715858</v>
      </c>
      <c r="AI5920">
        <v>94.459729415653698</v>
      </c>
      <c r="AJ5920">
        <v>69.883580641210102</v>
      </c>
      <c r="AK5920">
        <v>14.2057861925199</v>
      </c>
    </row>
    <row r="5921" spans="1:37" x14ac:dyDescent="0.2">
      <c r="A5921" t="str">
        <f>"20200111160017775"</f>
        <v>20200111160017775</v>
      </c>
      <c r="B5921" t="str">
        <f>"1578729617766592"</f>
        <v>1578729617766592</v>
      </c>
      <c r="C5921" t="s">
        <v>37</v>
      </c>
      <c r="D5921">
        <v>5.5023559999999998</v>
      </c>
      <c r="E5921">
        <v>0.605796</v>
      </c>
      <c r="F5921" t="s">
        <v>91</v>
      </c>
      <c r="G5921">
        <v>-227.46340000000001</v>
      </c>
      <c r="H5921" s="1">
        <v>-3.1065319999999999E-6</v>
      </c>
      <c r="I5921">
        <v>-64.558070000000001</v>
      </c>
      <c r="J5921">
        <v>-240.81989999999999</v>
      </c>
      <c r="K5921">
        <v>1.104527</v>
      </c>
      <c r="L5921">
        <v>-60.970640000000003</v>
      </c>
      <c r="M5921">
        <v>0.99523499999999998</v>
      </c>
      <c r="N5921">
        <v>0</v>
      </c>
      <c r="O5921">
        <v>9.6372379999999994E-2</v>
      </c>
      <c r="P5921">
        <v>0.99966449999999996</v>
      </c>
      <c r="Q5921">
        <v>2.533067E-2</v>
      </c>
      <c r="R5921">
        <v>5.4015850000000004E-3</v>
      </c>
      <c r="S5921">
        <v>3.0220180000000001</v>
      </c>
      <c r="T5921">
        <v>-0.2454152</v>
      </c>
      <c r="U5921">
        <v>-0.7917786</v>
      </c>
      <c r="V5921">
        <v>9.098908E-2</v>
      </c>
      <c r="W5921">
        <v>4.0044400000000001E-2</v>
      </c>
      <c r="X5921">
        <v>0.9950464</v>
      </c>
      <c r="Y5921">
        <v>0.34413929999999998</v>
      </c>
      <c r="Z5921">
        <v>-2.1420430000000001E-2</v>
      </c>
      <c r="AA5921">
        <v>0.93867420000000001</v>
      </c>
      <c r="AB5921">
        <v>24</v>
      </c>
      <c r="AC5921">
        <v>13.356499999999899</v>
      </c>
      <c r="AD5921">
        <v>-1.1045301065319999</v>
      </c>
      <c r="AE5921">
        <v>-3.5874299999999901</v>
      </c>
      <c r="AF5921">
        <v>4.82727644108029</v>
      </c>
      <c r="AG5921">
        <v>-1.1045301065319999</v>
      </c>
      <c r="AH5921">
        <v>12.8664805970964</v>
      </c>
      <c r="AI5921">
        <v>94.595262724128105</v>
      </c>
      <c r="AJ5921">
        <v>69.434795483324606</v>
      </c>
      <c r="AK5921">
        <v>13.7865480650634</v>
      </c>
    </row>
    <row r="5922" spans="1:37" x14ac:dyDescent="0.2">
      <c r="A5922" t="str">
        <f>"20200111160017786"</f>
        <v>20200111160017786</v>
      </c>
      <c r="B5922" t="str">
        <f>"1578729617776352"</f>
        <v>1578729617776352</v>
      </c>
      <c r="C5922" t="s">
        <v>37</v>
      </c>
      <c r="D5922">
        <v>5.4461360000000001</v>
      </c>
      <c r="E5922">
        <v>0.60497679999999998</v>
      </c>
      <c r="F5922" t="s">
        <v>91</v>
      </c>
      <c r="G5922">
        <v>-227.6994</v>
      </c>
      <c r="H5922" s="1">
        <v>-3.1840499999999899E-6</v>
      </c>
      <c r="I5922">
        <v>-64.53707</v>
      </c>
      <c r="J5922">
        <v>-240.70490000000001</v>
      </c>
      <c r="K5922">
        <v>1.1044879999999999</v>
      </c>
      <c r="L5922">
        <v>-60.959589999999999</v>
      </c>
      <c r="M5922">
        <v>0.99524650000000003</v>
      </c>
      <c r="N5922">
        <v>0</v>
      </c>
      <c r="O5922">
        <v>9.6254770000000003E-2</v>
      </c>
      <c r="P5922">
        <v>0.99969710000000001</v>
      </c>
      <c r="Q5922">
        <v>2.461054E-2</v>
      </c>
      <c r="R5922">
        <v>4.6801010000000002E-4</v>
      </c>
      <c r="S5922">
        <v>3.01187099999999</v>
      </c>
      <c r="T5922">
        <v>-0.25355119999999998</v>
      </c>
      <c r="U5922">
        <v>-0.81869510000000001</v>
      </c>
      <c r="V5922">
        <v>9.5788189999999995E-2</v>
      </c>
      <c r="W5922">
        <v>3.930492E-2</v>
      </c>
      <c r="X5922">
        <v>0.99462539999999999</v>
      </c>
      <c r="Y5922">
        <v>0.35249390000000003</v>
      </c>
      <c r="Z5922">
        <v>-2.251104E-2</v>
      </c>
      <c r="AA5922">
        <v>0.93554329999999997</v>
      </c>
      <c r="AB5922">
        <v>24</v>
      </c>
      <c r="AC5922">
        <v>13.0055</v>
      </c>
      <c r="AD5922">
        <v>-1.10449118405</v>
      </c>
      <c r="AE5922">
        <v>-3.5774799999999898</v>
      </c>
      <c r="AF5922">
        <v>4.7807891507153304</v>
      </c>
      <c r="AG5922">
        <v>-1.10449118405</v>
      </c>
      <c r="AH5922">
        <v>12.5167874224851</v>
      </c>
      <c r="AI5922">
        <v>94.712382175379801</v>
      </c>
      <c r="AJ5922">
        <v>69.095634363912396</v>
      </c>
      <c r="AK5922">
        <v>13.444173944832899</v>
      </c>
    </row>
    <row r="5923" spans="1:37" x14ac:dyDescent="0.2">
      <c r="A5923" t="str">
        <f>"20200111160017795"</f>
        <v>20200111160017795</v>
      </c>
      <c r="B5923" t="str">
        <f>"1578729617787089"</f>
        <v>1578729617787089</v>
      </c>
      <c r="C5923" t="s">
        <v>37</v>
      </c>
      <c r="D5923">
        <v>5.5007109999999999</v>
      </c>
      <c r="E5923">
        <v>0.60368849999999996</v>
      </c>
      <c r="F5923" t="s">
        <v>91</v>
      </c>
      <c r="G5923">
        <v>-227.8458</v>
      </c>
      <c r="H5923" s="1">
        <v>-3.2280770000000001E-6</v>
      </c>
      <c r="I5923">
        <v>-64.493669999999995</v>
      </c>
      <c r="J5923">
        <v>-240.58770000000001</v>
      </c>
      <c r="K5923">
        <v>1.104447</v>
      </c>
      <c r="L5923">
        <v>-60.948459999999997</v>
      </c>
      <c r="M5923">
        <v>0.99526299999999901</v>
      </c>
      <c r="N5923">
        <v>0</v>
      </c>
      <c r="O5923">
        <v>9.6085459999999998E-2</v>
      </c>
      <c r="P5923">
        <v>0.999699</v>
      </c>
      <c r="Q5923">
        <v>2.410236E-2</v>
      </c>
      <c r="R5923">
        <v>-4.5906990000000002E-3</v>
      </c>
      <c r="S5923">
        <v>3.00766</v>
      </c>
      <c r="T5923">
        <v>-0.25833420000000001</v>
      </c>
      <c r="U5923">
        <v>-0.82659910000000003</v>
      </c>
      <c r="V5923">
        <v>0.10065779999999901</v>
      </c>
      <c r="W5923">
        <v>3.8775560000000001E-2</v>
      </c>
      <c r="X5923">
        <v>0.99416519999999997</v>
      </c>
      <c r="Y5923">
        <v>0.35488550000000002</v>
      </c>
      <c r="Z5923">
        <v>-2.304397E-2</v>
      </c>
      <c r="AA5923">
        <v>0.9346257</v>
      </c>
      <c r="AB5923">
        <v>24</v>
      </c>
      <c r="AC5923">
        <v>12.741899999999999</v>
      </c>
      <c r="AD5923">
        <v>-1.1044502280769899</v>
      </c>
      <c r="AE5923">
        <v>-3.5452099999999902</v>
      </c>
      <c r="AF5923">
        <v>4.7203319812120696</v>
      </c>
      <c r="AG5923">
        <v>-1.1044502280769899</v>
      </c>
      <c r="AH5923">
        <v>12.256780091580101</v>
      </c>
      <c r="AI5923">
        <v>94.806632301717897</v>
      </c>
      <c r="AJ5923">
        <v>68.937303329622395</v>
      </c>
      <c r="AK5923">
        <v>13.180667757458499</v>
      </c>
    </row>
    <row r="5924" spans="1:37" x14ac:dyDescent="0.2">
      <c r="A5924" t="str">
        <f>"20200111160017807"</f>
        <v>20200111160017807</v>
      </c>
      <c r="B5924" t="str">
        <f>"1578729617796848"</f>
        <v>1578729617796848</v>
      </c>
      <c r="C5924" t="s">
        <v>37</v>
      </c>
      <c r="D5924">
        <v>5.4453180000000003</v>
      </c>
      <c r="E5924">
        <v>0.60282440000000004</v>
      </c>
      <c r="F5924" t="s">
        <v>91</v>
      </c>
      <c r="G5924">
        <v>-228.02680000000001</v>
      </c>
      <c r="H5924" s="1">
        <v>-3.280324E-6</v>
      </c>
      <c r="I5924">
        <v>-64.423819999999907</v>
      </c>
      <c r="J5924">
        <v>-240.46610000000001</v>
      </c>
      <c r="K5924">
        <v>1.1044039999999999</v>
      </c>
      <c r="L5924">
        <v>-60.936919999999901</v>
      </c>
      <c r="M5924">
        <v>0.99528119999999998</v>
      </c>
      <c r="N5924">
        <v>0</v>
      </c>
      <c r="O5924">
        <v>9.5897040000000003E-2</v>
      </c>
      <c r="P5924">
        <v>0.99968539999999995</v>
      </c>
      <c r="Q5924">
        <v>2.3579429999999998E-2</v>
      </c>
      <c r="R5924">
        <v>-8.5468479999999993E-3</v>
      </c>
      <c r="S5924">
        <v>3.0034329999999998</v>
      </c>
      <c r="T5924">
        <v>-0.26408480000000001</v>
      </c>
      <c r="U5924">
        <v>-0.83099369999999995</v>
      </c>
      <c r="V5924">
        <v>0.10440969999999999</v>
      </c>
      <c r="W5924">
        <v>3.8231889999999998E-2</v>
      </c>
      <c r="X5924">
        <v>0.99379930000000005</v>
      </c>
      <c r="Y5924">
        <v>0.35623739999999998</v>
      </c>
      <c r="Z5924">
        <v>-2.3624579999999999E-2</v>
      </c>
      <c r="AA5924">
        <v>0.93409679999999995</v>
      </c>
      <c r="AB5924">
        <v>24</v>
      </c>
      <c r="AC5924">
        <v>12.439299999999999</v>
      </c>
      <c r="AD5924">
        <v>-1.1044072803239999</v>
      </c>
      <c r="AE5924">
        <v>-3.4868999999999901</v>
      </c>
      <c r="AF5924">
        <v>4.6300115051814696</v>
      </c>
      <c r="AG5924">
        <v>-1.1044072803239999</v>
      </c>
      <c r="AH5924">
        <v>11.9601297056675</v>
      </c>
      <c r="AI5924">
        <v>94.921789296865995</v>
      </c>
      <c r="AJ5924">
        <v>68.837557482437703</v>
      </c>
      <c r="AK5924">
        <v>12.8725065373972</v>
      </c>
    </row>
    <row r="5925" spans="1:37" x14ac:dyDescent="0.2">
      <c r="A5925" t="str">
        <f>"20200111160017818"</f>
        <v>20200111160017818</v>
      </c>
      <c r="B5925" t="str">
        <f>"1578729617806609"</f>
        <v>1578729617806609</v>
      </c>
      <c r="C5925" t="s">
        <v>37</v>
      </c>
      <c r="D5925">
        <v>5.5196309999999897</v>
      </c>
      <c r="E5925">
        <v>0.60159459999999998</v>
      </c>
      <c r="F5925" t="s">
        <v>91</v>
      </c>
      <c r="G5925">
        <v>-228.04</v>
      </c>
      <c r="H5925" s="1">
        <v>-3.28129099999999E-6</v>
      </c>
      <c r="I5925">
        <v>-64.397540000000006</v>
      </c>
      <c r="J5925">
        <v>-240.34870000000001</v>
      </c>
      <c r="K5925">
        <v>1.10436</v>
      </c>
      <c r="L5925">
        <v>-60.925840000000001</v>
      </c>
      <c r="M5925">
        <v>0.99530229999999997</v>
      </c>
      <c r="N5925">
        <v>0</v>
      </c>
      <c r="O5925">
        <v>9.5678470000000002E-2</v>
      </c>
      <c r="P5925">
        <v>0.99966909999999898</v>
      </c>
      <c r="Q5925">
        <v>2.2817250000000001E-2</v>
      </c>
      <c r="R5925">
        <v>-1.1882469999999999E-2</v>
      </c>
      <c r="S5925">
        <v>3.000092</v>
      </c>
      <c r="T5925">
        <v>-0.26664099999999902</v>
      </c>
      <c r="U5925">
        <v>-0.83551030000000004</v>
      </c>
      <c r="V5925">
        <v>0.1075132</v>
      </c>
      <c r="W5925">
        <v>3.7450440000000002E-2</v>
      </c>
      <c r="X5925">
        <v>0.99349799999999999</v>
      </c>
      <c r="Y5925">
        <v>0.3575663</v>
      </c>
      <c r="Z5925">
        <v>-2.3912159999999998E-2</v>
      </c>
      <c r="AA5925">
        <v>0.93358159999999901</v>
      </c>
      <c r="AB5925">
        <v>24</v>
      </c>
      <c r="AC5925">
        <v>12.3087</v>
      </c>
      <c r="AD5925">
        <v>-1.104363281291</v>
      </c>
      <c r="AE5925">
        <v>-3.4716999999999998</v>
      </c>
      <c r="AF5925">
        <v>4.5992797623734001</v>
      </c>
      <c r="AG5925">
        <v>-1.104363281291</v>
      </c>
      <c r="AH5925">
        <v>11.8317877135981</v>
      </c>
      <c r="AI5925">
        <v>94.9720406950849</v>
      </c>
      <c r="AJ5925">
        <v>68.757785796855899</v>
      </c>
      <c r="AK5925">
        <v>12.7422208852811</v>
      </c>
    </row>
    <row r="5926" spans="1:37" x14ac:dyDescent="0.2">
      <c r="A5926" t="str">
        <f>"20200111160017831"</f>
        <v>20200111160017831</v>
      </c>
      <c r="B5926" t="str">
        <f>"1578729617827104"</f>
        <v>1578729617827104</v>
      </c>
      <c r="C5926" t="s">
        <v>37</v>
      </c>
      <c r="D5926">
        <v>5.4356109999999997</v>
      </c>
      <c r="E5926">
        <v>0.60016789999999998</v>
      </c>
      <c r="F5926" t="s">
        <v>91</v>
      </c>
      <c r="G5926">
        <v>-228.2003</v>
      </c>
      <c r="H5926" s="1">
        <v>-3.3243099999999999E-6</v>
      </c>
      <c r="I5926">
        <v>-64.311130000000006</v>
      </c>
      <c r="J5926">
        <v>-240.22450000000001</v>
      </c>
      <c r="K5926">
        <v>1.1043179999999999</v>
      </c>
      <c r="L5926">
        <v>-60.914180000000002</v>
      </c>
      <c r="M5926">
        <v>0.99532659999999995</v>
      </c>
      <c r="N5926">
        <v>0</v>
      </c>
      <c r="O5926">
        <v>9.5424759999999997E-2</v>
      </c>
      <c r="P5926">
        <v>0.99963959999999996</v>
      </c>
      <c r="Q5926">
        <v>2.2205639999999999E-2</v>
      </c>
      <c r="R5926">
        <v>-1.510557E-2</v>
      </c>
      <c r="S5926">
        <v>2.9972989999999999</v>
      </c>
      <c r="T5926">
        <v>-0.27247379999999999</v>
      </c>
      <c r="U5926">
        <v>-0.83523559999999997</v>
      </c>
      <c r="V5926">
        <v>0.1104685</v>
      </c>
      <c r="W5926">
        <v>3.6818120000000003E-2</v>
      </c>
      <c r="X5926">
        <v>0.99319740000000001</v>
      </c>
      <c r="Y5926">
        <v>0.35739870000000001</v>
      </c>
      <c r="Z5926">
        <v>-2.4425260000000001E-2</v>
      </c>
      <c r="AA5926">
        <v>0.93363249999999998</v>
      </c>
      <c r="AB5926">
        <v>24</v>
      </c>
      <c r="AC5926">
        <v>12.0242</v>
      </c>
      <c r="AD5926">
        <v>-1.1043213243100001</v>
      </c>
      <c r="AE5926">
        <v>-3.3969499999999999</v>
      </c>
      <c r="AF5926">
        <v>4.4938736320974302</v>
      </c>
      <c r="AG5926">
        <v>-1.1043213243100001</v>
      </c>
      <c r="AH5926">
        <v>11.5548685621477</v>
      </c>
      <c r="AI5926">
        <v>95.090056017386999</v>
      </c>
      <c r="AJ5926">
        <v>68.748143617385495</v>
      </c>
      <c r="AK5926">
        <v>12.447064444964299</v>
      </c>
    </row>
    <row r="5927" spans="1:37" x14ac:dyDescent="0.2">
      <c r="A5927" t="str">
        <f>"20200111160017840"</f>
        <v>20200111160017840</v>
      </c>
      <c r="B5927" t="str">
        <f>"1578729617836865"</f>
        <v>1578729617836865</v>
      </c>
      <c r="C5927" t="s">
        <v>37</v>
      </c>
      <c r="D5927">
        <v>5.569318</v>
      </c>
      <c r="E5927">
        <v>0.59861229999999999</v>
      </c>
      <c r="F5927" t="s">
        <v>91</v>
      </c>
      <c r="G5927">
        <v>-228.029</v>
      </c>
      <c r="H5927" s="1">
        <v>-3.2654519999999999E-6</v>
      </c>
      <c r="I5927">
        <v>-64.306969999999893</v>
      </c>
      <c r="J5927">
        <v>-240.10640000000001</v>
      </c>
      <c r="K5927">
        <v>1.104274</v>
      </c>
      <c r="L5927">
        <v>-60.90314</v>
      </c>
      <c r="M5927">
        <v>0.99535229999999997</v>
      </c>
      <c r="N5927">
        <v>0</v>
      </c>
      <c r="O5927">
        <v>9.515738E-2</v>
      </c>
      <c r="P5927">
        <v>0.99959690000000001</v>
      </c>
      <c r="Q5927">
        <v>2.1708559999999998E-2</v>
      </c>
      <c r="R5927">
        <v>-1.8301020000000001E-2</v>
      </c>
      <c r="S5927">
        <v>2.994507</v>
      </c>
      <c r="T5927">
        <v>-0.27115650000000002</v>
      </c>
      <c r="U5927">
        <v>-0.83306880000000005</v>
      </c>
      <c r="V5927">
        <v>0.1133817</v>
      </c>
      <c r="W5927">
        <v>3.6300619999999999E-2</v>
      </c>
      <c r="X5927">
        <v>0.9928882</v>
      </c>
      <c r="Y5927">
        <v>0.35676289999999999</v>
      </c>
      <c r="Z5927">
        <v>-2.4279660000000002E-2</v>
      </c>
      <c r="AA5927">
        <v>0.93387940000000003</v>
      </c>
      <c r="AB5927">
        <v>24</v>
      </c>
      <c r="AC5927">
        <v>12.0773999999999</v>
      </c>
      <c r="AD5927">
        <v>-1.1042772654519999</v>
      </c>
      <c r="AE5927">
        <v>-3.4038299999999899</v>
      </c>
      <c r="AF5927">
        <v>4.50288607985875</v>
      </c>
      <c r="AG5927">
        <v>-1.1042772654519999</v>
      </c>
      <c r="AH5927">
        <v>11.6087403716895</v>
      </c>
      <c r="AI5927">
        <v>95.068106774650701</v>
      </c>
      <c r="AJ5927">
        <v>68.799346028953295</v>
      </c>
      <c r="AK5927">
        <v>12.5003305694079</v>
      </c>
    </row>
    <row r="5928" spans="1:37" x14ac:dyDescent="0.2">
      <c r="A5928" t="str">
        <f>"20200111160018301"</f>
        <v>20200111160018301</v>
      </c>
      <c r="B5928" t="str">
        <f>"1578729618296560"</f>
        <v>1578729618296560</v>
      </c>
      <c r="C5928" t="s">
        <v>37</v>
      </c>
      <c r="D5928">
        <v>4.833755</v>
      </c>
      <c r="E5928">
        <v>0.59861229999999999</v>
      </c>
      <c r="F5928" t="s">
        <v>91</v>
      </c>
      <c r="G5928">
        <v>-228.11660000000001</v>
      </c>
      <c r="H5928" s="1">
        <v>-3.284611E-6</v>
      </c>
      <c r="I5928">
        <v>-64.2273</v>
      </c>
      <c r="J5928">
        <v>-235.23570000000001</v>
      </c>
      <c r="K5928">
        <v>1.1037139999999901</v>
      </c>
      <c r="L5928">
        <v>-60.517209999999999</v>
      </c>
      <c r="M5928">
        <v>0.99740180000000001</v>
      </c>
      <c r="N5928">
        <v>0</v>
      </c>
      <c r="O5928">
        <v>7.0524249999999997E-2</v>
      </c>
      <c r="P5928">
        <v>0.99897499999999995</v>
      </c>
      <c r="Q5928">
        <v>9.2101709999999996E-3</v>
      </c>
      <c r="R5928">
        <v>4.4320650000000003E-2</v>
      </c>
      <c r="S5928">
        <v>2.9920040000000001</v>
      </c>
      <c r="T5928">
        <v>-0.27556659999999999</v>
      </c>
      <c r="U5928">
        <v>-0.82952879999999996</v>
      </c>
      <c r="V5928">
        <v>2.630045E-2</v>
      </c>
      <c r="W5928">
        <v>2.3841810000000001E-2</v>
      </c>
      <c r="X5928">
        <v>0.99936970000000003</v>
      </c>
      <c r="Y5928">
        <v>0.3328797</v>
      </c>
      <c r="Z5928">
        <v>-2.1389849999999998E-2</v>
      </c>
      <c r="AA5928">
        <v>0.94272670000000003</v>
      </c>
      <c r="AB5928">
        <v>23</v>
      </c>
      <c r="AC5928">
        <v>7.1191000000000004</v>
      </c>
      <c r="AD5928">
        <v>-1.1037172846109999</v>
      </c>
      <c r="AE5928">
        <v>-3.7100900000000001</v>
      </c>
      <c r="AF5928">
        <v>4.1250010442493101</v>
      </c>
      <c r="AG5928">
        <v>-1.1037172846109999</v>
      </c>
      <c r="AH5928">
        <v>6.7128023063238196</v>
      </c>
      <c r="AI5928">
        <v>97.974380158845904</v>
      </c>
      <c r="AJ5928">
        <v>58.429373977244801</v>
      </c>
      <c r="AK5928">
        <v>7.9558494369358996</v>
      </c>
    </row>
    <row r="5929" spans="1:37" x14ac:dyDescent="0.2">
      <c r="A5929" t="str">
        <f>"20200111160018368"</f>
        <v>20200111160018368</v>
      </c>
      <c r="B5929" t="str">
        <f>"1578729618357073"</f>
        <v>1578729618357073</v>
      </c>
      <c r="C5929" t="s">
        <v>37</v>
      </c>
      <c r="D5929">
        <v>4.5240539999999996</v>
      </c>
      <c r="E5929">
        <v>0.37655850000000002</v>
      </c>
      <c r="F5929" t="s">
        <v>91</v>
      </c>
      <c r="G5929">
        <v>-224.9229</v>
      </c>
      <c r="H5929" s="1">
        <v>-1.7399939999999999E-6</v>
      </c>
      <c r="I5929">
        <v>-62.677340000000001</v>
      </c>
      <c r="J5929">
        <v>-234.53970000000001</v>
      </c>
      <c r="K5929">
        <v>1.103834</v>
      </c>
      <c r="L5929">
        <v>-60.4732699999999</v>
      </c>
      <c r="M5929">
        <v>0.99766149999999998</v>
      </c>
      <c r="N5929">
        <v>0</v>
      </c>
      <c r="O5929">
        <v>6.6752629999999993E-2</v>
      </c>
      <c r="P5929">
        <v>0.99601810000000002</v>
      </c>
      <c r="Q5929">
        <v>8.2731690000000004E-3</v>
      </c>
      <c r="R5929">
        <v>8.8766319999999996E-2</v>
      </c>
      <c r="S5929">
        <v>3.0342709999999999</v>
      </c>
      <c r="T5929">
        <v>-0.324739</v>
      </c>
      <c r="U5929">
        <v>-0.63555909999999904</v>
      </c>
      <c r="V5929">
        <v>-2.2032110000000001E-2</v>
      </c>
      <c r="W5929">
        <v>2.2984210000000001E-2</v>
      </c>
      <c r="X5929">
        <v>0.99949299999999996</v>
      </c>
      <c r="Y5929">
        <v>0.26805770000000001</v>
      </c>
      <c r="Z5929">
        <v>-2.120812E-2</v>
      </c>
      <c r="AA5929">
        <v>0.96316939999999995</v>
      </c>
      <c r="AB5929">
        <v>23</v>
      </c>
      <c r="AC5929">
        <v>9.6168000000000102</v>
      </c>
      <c r="AD5929">
        <v>-1.103835739994</v>
      </c>
      <c r="AE5929">
        <v>-2.2040700000000002</v>
      </c>
      <c r="AF5929">
        <v>2.8060444131914601</v>
      </c>
      <c r="AG5929">
        <v>-1.103835739994</v>
      </c>
      <c r="AH5929">
        <v>9.3313974621023306</v>
      </c>
      <c r="AI5929">
        <v>96.463008387579094</v>
      </c>
      <c r="AJ5929">
        <v>73.263442621199999</v>
      </c>
      <c r="AK5929">
        <v>9.8064936233814493</v>
      </c>
    </row>
    <row r="5930" spans="1:37" x14ac:dyDescent="0.2">
      <c r="A5930" t="str">
        <f>"20200111160018381"</f>
        <v>20200111160018381</v>
      </c>
      <c r="B5930" t="str">
        <f>"1578729618376593"</f>
        <v>1578729618376593</v>
      </c>
      <c r="C5930" t="s">
        <v>37</v>
      </c>
      <c r="D5930">
        <v>4.4768860000000004</v>
      </c>
      <c r="E5930">
        <v>0.37971899999999997</v>
      </c>
      <c r="F5930" t="s">
        <v>75</v>
      </c>
      <c r="G5930">
        <v>-196.1276</v>
      </c>
      <c r="H5930" s="1">
        <v>-5.6420209999999901E-6</v>
      </c>
      <c r="I5930">
        <v>-43.857399999999998</v>
      </c>
      <c r="J5930">
        <v>-234.41059999999999</v>
      </c>
      <c r="K5930">
        <v>1.1038569999999901</v>
      </c>
      <c r="L5930">
        <v>-60.465330000000002</v>
      </c>
      <c r="M5930">
        <v>0.99770419999999904</v>
      </c>
      <c r="N5930">
        <v>0</v>
      </c>
      <c r="O5930">
        <v>6.6116240000000007E-2</v>
      </c>
      <c r="P5930">
        <v>0.99545550000000005</v>
      </c>
      <c r="Q5930">
        <v>7.3759029999999996E-3</v>
      </c>
      <c r="R5930">
        <v>9.4942540000000006E-2</v>
      </c>
      <c r="S5930">
        <v>2.9008639999999999</v>
      </c>
      <c r="T5930">
        <v>-8.3361389999999994E-2</v>
      </c>
      <c r="U5930">
        <v>1.2548219999999899</v>
      </c>
      <c r="V5930">
        <v>-2.8872700000000001E-2</v>
      </c>
      <c r="W5930">
        <v>2.2091329999999999E-2</v>
      </c>
      <c r="X5930">
        <v>0.99933890000000003</v>
      </c>
      <c r="Y5930">
        <v>-0.33536569999999999</v>
      </c>
      <c r="Z5930">
        <v>2.8000859999999998E-3</v>
      </c>
      <c r="AA5930">
        <v>0.94208389999999997</v>
      </c>
      <c r="AB5930">
        <v>23</v>
      </c>
      <c r="AC5930">
        <v>38.282999999999902</v>
      </c>
      <c r="AD5930">
        <v>-1.10386264202099</v>
      </c>
      <c r="AE5930">
        <v>16.60793</v>
      </c>
      <c r="AF5930">
        <v>-14.030365276836299</v>
      </c>
      <c r="AG5930">
        <v>-1.10386264202099</v>
      </c>
      <c r="AH5930">
        <v>39.269909703401098</v>
      </c>
      <c r="AI5930">
        <v>91.516314707936502</v>
      </c>
      <c r="AJ5930">
        <v>109.66080802750599</v>
      </c>
      <c r="AK5930">
        <v>41.715650188474498</v>
      </c>
    </row>
    <row r="5931" spans="1:37" x14ac:dyDescent="0.2">
      <c r="A5931" t="str">
        <f>"20200111160018393"</f>
        <v>20200111160018393</v>
      </c>
      <c r="B5931" t="str">
        <f>"1578729618386352"</f>
        <v>1578729618386352</v>
      </c>
      <c r="C5931" t="s">
        <v>37</v>
      </c>
      <c r="D5931">
        <v>4.7241519999999904</v>
      </c>
      <c r="E5931">
        <v>0.38445459999999998</v>
      </c>
      <c r="F5931" t="s">
        <v>92</v>
      </c>
      <c r="G5931">
        <v>-214.48589999999999</v>
      </c>
      <c r="H5931" s="1">
        <v>-2.7702350000000001E-6</v>
      </c>
      <c r="I5931">
        <v>-51.848889999999997</v>
      </c>
      <c r="J5931">
        <v>-234.29509999999999</v>
      </c>
      <c r="K5931">
        <v>1.10388</v>
      </c>
      <c r="L5931">
        <v>-60.458280000000002</v>
      </c>
      <c r="M5931">
        <v>0.99774019999999997</v>
      </c>
      <c r="N5931">
        <v>0</v>
      </c>
      <c r="O5931">
        <v>6.5570569999999995E-2</v>
      </c>
      <c r="P5931">
        <v>0.99486229999999998</v>
      </c>
      <c r="Q5931">
        <v>6.0907209999999899E-3</v>
      </c>
      <c r="R5931">
        <v>0.1010553</v>
      </c>
      <c r="S5931">
        <v>2.89546199999999</v>
      </c>
      <c r="T5931">
        <v>-0.16041329999999901</v>
      </c>
      <c r="U5931">
        <v>1.2521359999999999</v>
      </c>
      <c r="V5931">
        <v>-3.5561919999999997E-2</v>
      </c>
      <c r="W5931">
        <v>2.080941E-2</v>
      </c>
      <c r="X5931">
        <v>0.99915080000000001</v>
      </c>
      <c r="Y5931">
        <v>-0.33553169999999999</v>
      </c>
      <c r="Z5931">
        <v>5.4288259999999899E-3</v>
      </c>
      <c r="AA5931">
        <v>0.94201329999999905</v>
      </c>
      <c r="AB5931">
        <v>23</v>
      </c>
      <c r="AC5931">
        <v>19.809200000000001</v>
      </c>
      <c r="AD5931">
        <v>-1.103882770235</v>
      </c>
      <c r="AE5931">
        <v>8.6093899999999906</v>
      </c>
      <c r="AF5931">
        <v>-7.2728213815106999</v>
      </c>
      <c r="AG5931">
        <v>-1.103882770235</v>
      </c>
      <c r="AH5931">
        <v>20.278177211560202</v>
      </c>
      <c r="AI5931">
        <v>92.933329714291602</v>
      </c>
      <c r="AJ5931">
        <v>109.730504960446</v>
      </c>
      <c r="AK5931">
        <v>21.571206712681199</v>
      </c>
    </row>
    <row r="5932" spans="1:37" x14ac:dyDescent="0.2">
      <c r="A5932" t="str">
        <f>"20200111160018403"</f>
        <v>20200111160018403</v>
      </c>
      <c r="B5932" t="str">
        <f>"1578729618397089"</f>
        <v>1578729618397089</v>
      </c>
      <c r="C5932" t="s">
        <v>37</v>
      </c>
      <c r="D5932">
        <v>4.6749029999999996</v>
      </c>
      <c r="E5932">
        <v>0.38665749999999999</v>
      </c>
      <c r="F5932" t="s">
        <v>92</v>
      </c>
      <c r="G5932">
        <v>-217.1926</v>
      </c>
      <c r="H5932" s="1">
        <v>-3.3423090000000002E-6</v>
      </c>
      <c r="I5932">
        <v>-53.160640000000001</v>
      </c>
      <c r="J5932">
        <v>-234.17599999999999</v>
      </c>
      <c r="K5932">
        <v>1.1039030000000001</v>
      </c>
      <c r="L5932">
        <v>-60.4510199999999</v>
      </c>
      <c r="M5932">
        <v>0.997776199999999</v>
      </c>
      <c r="N5932">
        <v>0</v>
      </c>
      <c r="O5932">
        <v>6.5019980000000005E-2</v>
      </c>
      <c r="P5932">
        <v>0.99426669999999995</v>
      </c>
      <c r="Q5932">
        <v>4.8206189999999999E-3</v>
      </c>
      <c r="R5932">
        <v>0.1068201</v>
      </c>
      <c r="S5932">
        <v>2.8912960000000001</v>
      </c>
      <c r="T5932">
        <v>-0.1866187</v>
      </c>
      <c r="U5932">
        <v>1.2337039999999999</v>
      </c>
      <c r="V5932">
        <v>-4.1907840000000002E-2</v>
      </c>
      <c r="W5932">
        <v>1.954032E-2</v>
      </c>
      <c r="X5932">
        <v>0.9989304</v>
      </c>
      <c r="Y5932">
        <v>-0.33135500000000001</v>
      </c>
      <c r="Z5932">
        <v>6.2346659999999998E-3</v>
      </c>
      <c r="AA5932">
        <v>0.94348559999999904</v>
      </c>
      <c r="AB5932">
        <v>23</v>
      </c>
      <c r="AC5932">
        <v>16.9833999999999</v>
      </c>
      <c r="AD5932">
        <v>-1.1039063423090001</v>
      </c>
      <c r="AE5932">
        <v>7.2903799999999901</v>
      </c>
      <c r="AF5932">
        <v>-6.1486355629851097</v>
      </c>
      <c r="AG5932">
        <v>-1.1039063423090001</v>
      </c>
      <c r="AH5932">
        <v>17.359595583616599</v>
      </c>
      <c r="AI5932">
        <v>93.430302313235899</v>
      </c>
      <c r="AJ5932">
        <v>109.503754883992</v>
      </c>
      <c r="AK5932">
        <v>18.449387180221301</v>
      </c>
    </row>
    <row r="5933" spans="1:37" x14ac:dyDescent="0.2">
      <c r="A5933" t="str">
        <f>"20200111160018415"</f>
        <v>20200111160018415</v>
      </c>
      <c r="B5933" t="str">
        <f>"1578729618406847"</f>
        <v>1578729618406847</v>
      </c>
      <c r="C5933" t="s">
        <v>37</v>
      </c>
      <c r="D5933">
        <v>5.1186949999999998</v>
      </c>
      <c r="E5933">
        <v>0.38665749999999999</v>
      </c>
      <c r="F5933" t="s">
        <v>92</v>
      </c>
      <c r="G5933">
        <v>-218.54990000000001</v>
      </c>
      <c r="H5933" s="1">
        <v>-3.8099609999999999E-6</v>
      </c>
      <c r="I5933">
        <v>-53.770559999999897</v>
      </c>
      <c r="J5933">
        <v>-234.05930000000001</v>
      </c>
      <c r="K5933">
        <v>1.103928</v>
      </c>
      <c r="L5933">
        <v>-60.444029999999998</v>
      </c>
      <c r="M5933">
        <v>0.99780919999999895</v>
      </c>
      <c r="N5933">
        <v>0</v>
      </c>
      <c r="O5933">
        <v>6.4512899999999998E-2</v>
      </c>
      <c r="P5933">
        <v>0.99366330000000003</v>
      </c>
      <c r="Q5933">
        <v>3.6640689999999998E-3</v>
      </c>
      <c r="R5933">
        <v>0.112338799999999</v>
      </c>
      <c r="S5933">
        <v>2.8857569999999999</v>
      </c>
      <c r="T5933">
        <v>-0.20386409999999999</v>
      </c>
      <c r="U5933">
        <v>1.2337039999999999</v>
      </c>
      <c r="V5933">
        <v>-4.7965059999999997E-2</v>
      </c>
      <c r="W5933">
        <v>1.8380859999999999E-2</v>
      </c>
      <c r="X5933">
        <v>0.99867989999999995</v>
      </c>
      <c r="Y5933">
        <v>-0.33239259999999998</v>
      </c>
      <c r="Z5933">
        <v>6.8906999999999996E-3</v>
      </c>
      <c r="AA5933">
        <v>0.94311590000000001</v>
      </c>
      <c r="AB5933">
        <v>23</v>
      </c>
      <c r="AC5933">
        <v>15.509399999999999</v>
      </c>
      <c r="AD5933">
        <v>-1.103931809961</v>
      </c>
      <c r="AE5933">
        <v>6.67347</v>
      </c>
      <c r="AF5933">
        <v>-5.6348133454263802</v>
      </c>
      <c r="AG5933">
        <v>-1.103931809961</v>
      </c>
      <c r="AH5933">
        <v>15.839942492859601</v>
      </c>
      <c r="AI5933">
        <v>93.756761558257494</v>
      </c>
      <c r="AJ5933">
        <v>109.582225220404</v>
      </c>
      <c r="AK5933">
        <v>16.8485478619357</v>
      </c>
    </row>
    <row r="5934" spans="1:37" x14ac:dyDescent="0.2">
      <c r="A5934" t="str">
        <f>"20200111160018426"</f>
        <v>20200111160018426</v>
      </c>
      <c r="B5934" t="str">
        <f>"1578729618416608"</f>
        <v>1578729618416608</v>
      </c>
      <c r="C5934" t="s">
        <v>37</v>
      </c>
      <c r="D5934">
        <v>4.6842090000000001</v>
      </c>
      <c r="E5934">
        <v>0.38874340000000002</v>
      </c>
      <c r="F5934" t="s">
        <v>92</v>
      </c>
      <c r="G5934">
        <v>-218.7509</v>
      </c>
      <c r="H5934" s="1">
        <v>-3.8912820000000003E-6</v>
      </c>
      <c r="I5934">
        <v>-53.79813</v>
      </c>
      <c r="J5934">
        <v>-233.94130000000001</v>
      </c>
      <c r="K5934">
        <v>1.10395</v>
      </c>
      <c r="L5934">
        <v>-60.436919999999901</v>
      </c>
      <c r="M5934">
        <v>0.9978418</v>
      </c>
      <c r="N5934">
        <v>0</v>
      </c>
      <c r="O5934">
        <v>6.4009189999999994E-2</v>
      </c>
      <c r="P5934">
        <v>0.99312060000000002</v>
      </c>
      <c r="Q5934">
        <v>2.5200470000000001E-3</v>
      </c>
      <c r="R5934">
        <v>0.117069699999999</v>
      </c>
      <c r="S5934">
        <v>2.8786160000000001</v>
      </c>
      <c r="T5934">
        <v>-0.20758499999999999</v>
      </c>
      <c r="U5934">
        <v>1.249695</v>
      </c>
      <c r="V5934">
        <v>-5.3228030000000003E-2</v>
      </c>
      <c r="W5934">
        <v>1.7227099999999999E-2</v>
      </c>
      <c r="X5934">
        <v>0.99843379999999904</v>
      </c>
      <c r="Y5934">
        <v>-0.3380899</v>
      </c>
      <c r="Z5934">
        <v>7.2557539999999997E-3</v>
      </c>
      <c r="AA5934">
        <v>0.94108590000000003</v>
      </c>
      <c r="AB5934">
        <v>23</v>
      </c>
      <c r="AC5934">
        <v>15.1904</v>
      </c>
      <c r="AD5934">
        <v>-1.1039538912819999</v>
      </c>
      <c r="AE5934">
        <v>6.6387899999999798</v>
      </c>
      <c r="AF5934">
        <v>-5.6277866709018003</v>
      </c>
      <c r="AG5934">
        <v>-1.1039538912819999</v>
      </c>
      <c r="AH5934">
        <v>15.515427537646101</v>
      </c>
      <c r="AI5934">
        <v>93.826689410061405</v>
      </c>
      <c r="AJ5934">
        <v>109.936821435168</v>
      </c>
      <c r="AK5934">
        <v>16.541438531252499</v>
      </c>
    </row>
    <row r="5935" spans="1:37" x14ac:dyDescent="0.2">
      <c r="A5935" t="str">
        <f>"20200111160018438"</f>
        <v>20200111160018438</v>
      </c>
      <c r="B5935" t="str">
        <f>"1578729618427344"</f>
        <v>1578729618427344</v>
      </c>
      <c r="C5935" t="s">
        <v>37</v>
      </c>
      <c r="D5935">
        <v>4.9135819999999999</v>
      </c>
      <c r="E5935">
        <v>0.39178679999999999</v>
      </c>
      <c r="F5935" t="s">
        <v>92</v>
      </c>
      <c r="G5935">
        <v>-218.8888</v>
      </c>
      <c r="H5935" s="1">
        <v>-3.9308429999999998E-6</v>
      </c>
      <c r="I5935">
        <v>-53.908760000000001</v>
      </c>
      <c r="J5935">
        <v>-233.82409999999999</v>
      </c>
      <c r="K5935">
        <v>1.103963</v>
      </c>
      <c r="L5935">
        <v>-60.429929999999999</v>
      </c>
      <c r="M5935">
        <v>0.99787269999999995</v>
      </c>
      <c r="N5935">
        <v>0</v>
      </c>
      <c r="O5935">
        <v>6.3533969999999995E-2</v>
      </c>
      <c r="P5935">
        <v>0.99259779999999997</v>
      </c>
      <c r="Q5935">
        <v>1.5011499999999999E-3</v>
      </c>
      <c r="R5935">
        <v>0.1214393</v>
      </c>
      <c r="S5935">
        <v>2.874374</v>
      </c>
      <c r="T5935">
        <v>-0.21080679999999999</v>
      </c>
      <c r="U5935">
        <v>1.2465820000000001</v>
      </c>
      <c r="V5935">
        <v>-5.8100230000000003E-2</v>
      </c>
      <c r="W5935">
        <v>1.6176300000000001E-2</v>
      </c>
      <c r="X5935">
        <v>0.998179699999999</v>
      </c>
      <c r="Y5935">
        <v>-0.33816590000000002</v>
      </c>
      <c r="Z5935">
        <v>7.4152760000000002E-3</v>
      </c>
      <c r="AA5935">
        <v>0.94105729999999999</v>
      </c>
      <c r="AB5935">
        <v>23</v>
      </c>
      <c r="AC5935">
        <v>14.9352999999999</v>
      </c>
      <c r="AD5935">
        <v>-1.103966930843</v>
      </c>
      <c r="AE5935">
        <v>6.5211699999999997</v>
      </c>
      <c r="AF5935">
        <v>-5.5335993267785399</v>
      </c>
      <c r="AG5935">
        <v>-1.103966930843</v>
      </c>
      <c r="AH5935">
        <v>15.249502042298801</v>
      </c>
      <c r="AI5935">
        <v>93.893077576062495</v>
      </c>
      <c r="AJ5935">
        <v>109.94435725295899</v>
      </c>
      <c r="AK5935">
        <v>16.2599746934549</v>
      </c>
    </row>
    <row r="5936" spans="1:37" x14ac:dyDescent="0.2">
      <c r="A5936" t="str">
        <f>"20200111160018449"</f>
        <v>20200111160018449</v>
      </c>
      <c r="B5936" t="str">
        <f>"1578729618446864"</f>
        <v>1578729618446864</v>
      </c>
      <c r="C5936" t="s">
        <v>37</v>
      </c>
      <c r="D5936">
        <v>5.1498239999999997</v>
      </c>
      <c r="E5936">
        <v>0.39696359999999897</v>
      </c>
      <c r="F5936" t="s">
        <v>92</v>
      </c>
      <c r="G5936">
        <v>-219.5291</v>
      </c>
      <c r="H5936" s="1">
        <v>-4.1395239999999997E-6</v>
      </c>
      <c r="I5936">
        <v>-54.280869999999901</v>
      </c>
      <c r="J5936">
        <v>-233.715</v>
      </c>
      <c r="K5936">
        <v>1.103972</v>
      </c>
      <c r="L5936">
        <v>-60.423459999999999</v>
      </c>
      <c r="M5936">
        <v>0.99790080000000003</v>
      </c>
      <c r="N5936">
        <v>0</v>
      </c>
      <c r="O5936">
        <v>6.3100139999999999E-2</v>
      </c>
      <c r="P5936">
        <v>0.99204419999999904</v>
      </c>
      <c r="Q5936">
        <v>4.1852330000000001E-4</v>
      </c>
      <c r="R5936">
        <v>0.12589049999999999</v>
      </c>
      <c r="S5936">
        <v>2.8715519999999999</v>
      </c>
      <c r="T5936">
        <v>-0.2217625</v>
      </c>
      <c r="U5936">
        <v>1.2351989999999999</v>
      </c>
      <c r="V5936">
        <v>-6.3014050000000002E-2</v>
      </c>
      <c r="W5936">
        <v>1.504919E-2</v>
      </c>
      <c r="X5936">
        <v>0.99789919999999999</v>
      </c>
      <c r="Y5936">
        <v>-0.33570489999999997</v>
      </c>
      <c r="Z5936">
        <v>7.7533350000000001E-3</v>
      </c>
      <c r="AA5936">
        <v>0.94193530000000003</v>
      </c>
      <c r="AB5936">
        <v>23</v>
      </c>
      <c r="AC5936">
        <v>14.1859</v>
      </c>
      <c r="AD5936">
        <v>-1.103976139524</v>
      </c>
      <c r="AE5936">
        <v>6.1425900000000002</v>
      </c>
      <c r="AF5936">
        <v>-5.20855525112691</v>
      </c>
      <c r="AG5936">
        <v>-1.103976139524</v>
      </c>
      <c r="AH5936">
        <v>14.471458721185799</v>
      </c>
      <c r="AI5936">
        <v>94.105581318993103</v>
      </c>
      <c r="AJ5936">
        <v>109.7947758122</v>
      </c>
      <c r="AK5936">
        <v>15.419822587814201</v>
      </c>
    </row>
    <row r="5937" spans="1:37" x14ac:dyDescent="0.2">
      <c r="A5937" t="str">
        <f>"20200111160018460"</f>
        <v>20200111160018460</v>
      </c>
      <c r="B5937" t="str">
        <f>"1578729618456624"</f>
        <v>1578729618456624</v>
      </c>
      <c r="C5937" t="s">
        <v>37</v>
      </c>
      <c r="D5937">
        <v>4.7304500000000003</v>
      </c>
      <c r="E5937">
        <v>0.39819759999999998</v>
      </c>
      <c r="F5937" t="s">
        <v>92</v>
      </c>
      <c r="G5937">
        <v>-219.21440000000001</v>
      </c>
      <c r="H5937" s="1">
        <v>-3.9957429999999998E-6</v>
      </c>
      <c r="I5937">
        <v>-54.330249999999999</v>
      </c>
      <c r="J5937">
        <v>-233.59399999999999</v>
      </c>
      <c r="K5937">
        <v>1.103969</v>
      </c>
      <c r="L5937">
        <v>-60.416319999999899</v>
      </c>
      <c r="M5937">
        <v>0.99793129999999997</v>
      </c>
      <c r="N5937">
        <v>0</v>
      </c>
      <c r="O5937">
        <v>6.2634270000000006E-2</v>
      </c>
      <c r="P5937">
        <v>0.99163590000000001</v>
      </c>
      <c r="Q5937">
        <v>-2.8710439999999899E-4</v>
      </c>
      <c r="R5937">
        <v>0.1290674</v>
      </c>
      <c r="S5937">
        <v>2.8710629999999999</v>
      </c>
      <c r="T5937">
        <v>-0.21858259999999999</v>
      </c>
      <c r="U5937">
        <v>1.206421</v>
      </c>
      <c r="V5937">
        <v>-6.6678319999999999E-2</v>
      </c>
      <c r="W5937">
        <v>1.426679E-2</v>
      </c>
      <c r="X5937">
        <v>0.99767249999999996</v>
      </c>
      <c r="Y5937">
        <v>-0.32822950000000001</v>
      </c>
      <c r="Z5937">
        <v>7.4187280000000003E-3</v>
      </c>
      <c r="AA5937">
        <v>0.94456890000000004</v>
      </c>
      <c r="AB5937">
        <v>23</v>
      </c>
      <c r="AC5937">
        <v>14.3796</v>
      </c>
      <c r="AD5937">
        <v>-1.103972995743</v>
      </c>
      <c r="AE5937">
        <v>6.0860699999999897</v>
      </c>
      <c r="AF5937">
        <v>-5.1476357603518101</v>
      </c>
      <c r="AG5937">
        <v>-1.103972995743</v>
      </c>
      <c r="AH5937">
        <v>14.6593189876754</v>
      </c>
      <c r="AI5937">
        <v>94.064327910142694</v>
      </c>
      <c r="AJ5937">
        <v>109.34877993607699</v>
      </c>
      <c r="AK5937">
        <v>15.576024636568899</v>
      </c>
    </row>
    <row r="5938" spans="1:37" x14ac:dyDescent="0.2">
      <c r="A5938" t="str">
        <f>"20200111160018474"</f>
        <v>20200111160018474</v>
      </c>
      <c r="B5938" t="str">
        <f>"1578729618467361"</f>
        <v>1578729618467361</v>
      </c>
      <c r="C5938" t="s">
        <v>37</v>
      </c>
      <c r="D5938">
        <v>4.7295230000000004</v>
      </c>
      <c r="E5938">
        <v>0.39960889999999999</v>
      </c>
      <c r="F5938" t="s">
        <v>92</v>
      </c>
      <c r="G5938">
        <v>-219.3201</v>
      </c>
      <c r="H5938" s="1">
        <v>-4.0254429999999997E-6</v>
      </c>
      <c r="I5938">
        <v>-54.418430000000001</v>
      </c>
      <c r="J5938">
        <v>-233.47</v>
      </c>
      <c r="K5938">
        <v>1.103955</v>
      </c>
      <c r="L5938">
        <v>-60.409059999999997</v>
      </c>
      <c r="M5938">
        <v>0.99796180000000001</v>
      </c>
      <c r="N5938">
        <v>0</v>
      </c>
      <c r="O5938">
        <v>6.2170889999999999E-2</v>
      </c>
      <c r="P5938">
        <v>0.99123189999999906</v>
      </c>
      <c r="Q5938">
        <v>-9.1673989999999995E-4</v>
      </c>
      <c r="R5938">
        <v>0.132132</v>
      </c>
      <c r="S5938">
        <v>2.868347</v>
      </c>
      <c r="T5938">
        <v>-0.22184309999999999</v>
      </c>
      <c r="U5938">
        <v>1.2052609999999999</v>
      </c>
      <c r="V5938">
        <v>-7.0226579999999997E-2</v>
      </c>
      <c r="W5938">
        <v>1.352919E-2</v>
      </c>
      <c r="X5938">
        <v>0.99743930000000003</v>
      </c>
      <c r="Y5938">
        <v>-0.32863999999999999</v>
      </c>
      <c r="Z5938">
        <v>7.5855119999999896E-3</v>
      </c>
      <c r="AA5938">
        <v>0.94442479999999995</v>
      </c>
      <c r="AB5938">
        <v>23</v>
      </c>
      <c r="AC5938">
        <v>14.149900000000001</v>
      </c>
      <c r="AD5938">
        <v>-1.1039590254430001</v>
      </c>
      <c r="AE5938">
        <v>5.9906299999999799</v>
      </c>
      <c r="AF5938">
        <v>-5.0730501006084303</v>
      </c>
      <c r="AG5938">
        <v>-1.1039590254430001</v>
      </c>
      <c r="AH5938">
        <v>14.4205676940747</v>
      </c>
      <c r="AI5938">
        <v>94.130508706506603</v>
      </c>
      <c r="AJ5938">
        <v>109.38149861050501</v>
      </c>
      <c r="AK5938">
        <v>15.3266870351205</v>
      </c>
    </row>
    <row r="5939" spans="1:37" x14ac:dyDescent="0.2">
      <c r="A5939" t="str">
        <f>"20200111160018485"</f>
        <v>20200111160018485</v>
      </c>
      <c r="B5939" t="str">
        <f>"1578729618477121"</f>
        <v>1578729618477121</v>
      </c>
      <c r="C5939" t="s">
        <v>37</v>
      </c>
      <c r="D5939">
        <v>4.96469</v>
      </c>
      <c r="E5939">
        <v>0.40144079999999999</v>
      </c>
      <c r="F5939" t="s">
        <v>92</v>
      </c>
      <c r="G5939">
        <v>-219.26910000000001</v>
      </c>
      <c r="H5939" s="1">
        <v>-3.99769E-6</v>
      </c>
      <c r="I5939">
        <v>-54.451599999999999</v>
      </c>
      <c r="J5939">
        <v>-233.3366</v>
      </c>
      <c r="K5939">
        <v>1.103934</v>
      </c>
      <c r="L5939">
        <v>-60.40128</v>
      </c>
      <c r="M5939">
        <v>0.99799419999999905</v>
      </c>
      <c r="N5939">
        <v>0</v>
      </c>
      <c r="O5939">
        <v>6.1681109999999997E-2</v>
      </c>
      <c r="P5939">
        <v>0.99082510000000001</v>
      </c>
      <c r="Q5939">
        <v>-1.7861889999999899E-3</v>
      </c>
      <c r="R5939">
        <v>0.1351396</v>
      </c>
      <c r="S5939">
        <v>2.8660580000000002</v>
      </c>
      <c r="T5939">
        <v>-0.22280259999999999</v>
      </c>
      <c r="U5939">
        <v>1.202332</v>
      </c>
      <c r="V5939">
        <v>-7.3745229999999995E-2</v>
      </c>
      <c r="W5939">
        <v>1.2523629999999999E-2</v>
      </c>
      <c r="X5939">
        <v>0.99719849999999999</v>
      </c>
      <c r="Y5939">
        <v>-0.32854410000000001</v>
      </c>
      <c r="Z5939">
        <v>7.6578929999999998E-3</v>
      </c>
      <c r="AA5939">
        <v>0.94445759999999901</v>
      </c>
      <c r="AB5939">
        <v>23</v>
      </c>
      <c r="AC5939">
        <v>14.0674999999999</v>
      </c>
      <c r="AD5939">
        <v>-1.1039379976899999</v>
      </c>
      <c r="AE5939">
        <v>5.9496799999999999</v>
      </c>
      <c r="AF5939">
        <v>-5.0442118557855702</v>
      </c>
      <c r="AG5939">
        <v>-1.1039379976899999</v>
      </c>
      <c r="AH5939">
        <v>14.3328567696175</v>
      </c>
      <c r="AI5939">
        <v>94.155435948533807</v>
      </c>
      <c r="AJ5939">
        <v>109.38867621402299</v>
      </c>
      <c r="AK5939">
        <v>15.234616356415501</v>
      </c>
    </row>
    <row r="5940" spans="1:37" x14ac:dyDescent="0.2">
      <c r="A5940" t="str">
        <f>"20200111160018502"</f>
        <v>20200111160018502</v>
      </c>
      <c r="B5940" t="str">
        <f>"1578729618496641"</f>
        <v>1578729618496641</v>
      </c>
      <c r="C5940" t="s">
        <v>37</v>
      </c>
      <c r="D5940">
        <v>4.9954960000000002</v>
      </c>
      <c r="E5940">
        <v>0.40544190000000002</v>
      </c>
      <c r="F5940" t="s">
        <v>92</v>
      </c>
      <c r="G5940">
        <v>-219.5455</v>
      </c>
      <c r="H5940" s="1">
        <v>-4.0823550000000003E-6</v>
      </c>
      <c r="I5940">
        <v>-54.642780000000002</v>
      </c>
      <c r="J5940">
        <v>-233.17349999999999</v>
      </c>
      <c r="K5940">
        <v>1.1038840000000001</v>
      </c>
      <c r="L5940">
        <v>-60.39188</v>
      </c>
      <c r="M5940">
        <v>0.99803330000000001</v>
      </c>
      <c r="N5940">
        <v>0</v>
      </c>
      <c r="O5940">
        <v>6.1093399999999999E-2</v>
      </c>
      <c r="P5940">
        <v>0.99017299999999997</v>
      </c>
      <c r="Q5940">
        <v>-3.7134550000000001E-3</v>
      </c>
      <c r="R5940">
        <v>0.13979920000000001</v>
      </c>
      <c r="S5940">
        <v>2.8642430000000001</v>
      </c>
      <c r="T5940">
        <v>-0.2292737</v>
      </c>
      <c r="U5940">
        <v>1.195953</v>
      </c>
      <c r="V5940">
        <v>-7.9026079999999999E-2</v>
      </c>
      <c r="W5940">
        <v>1.038706E-2</v>
      </c>
      <c r="X5940">
        <v>0.99681839999999999</v>
      </c>
      <c r="Y5940">
        <v>-0.32748369999999999</v>
      </c>
      <c r="Z5940">
        <v>7.8915559999999992E-3</v>
      </c>
      <c r="AA5940">
        <v>0.94482389999999905</v>
      </c>
      <c r="AB5940">
        <v>23</v>
      </c>
      <c r="AC5940">
        <v>13.627999999999901</v>
      </c>
      <c r="AD5940">
        <v>-1.1038880823549999</v>
      </c>
      <c r="AE5940">
        <v>5.7491000000000003</v>
      </c>
      <c r="AF5940">
        <v>-4.8785226860133699</v>
      </c>
      <c r="AG5940">
        <v>-1.1038880823549999</v>
      </c>
      <c r="AH5940">
        <v>13.8765134467197</v>
      </c>
      <c r="AI5940">
        <v>94.291886508963898</v>
      </c>
      <c r="AJ5940">
        <v>109.36998592973301</v>
      </c>
      <c r="AK5940">
        <v>14.7504636514689</v>
      </c>
    </row>
    <row r="5941" spans="1:37" x14ac:dyDescent="0.2">
      <c r="A5941" t="str">
        <f>"20200111160018513"</f>
        <v>20200111160018513</v>
      </c>
      <c r="B5941" t="str">
        <f>"1578729618506400"</f>
        <v>1578729618506400</v>
      </c>
      <c r="C5941" t="s">
        <v>37</v>
      </c>
      <c r="D5941">
        <v>5.0413480000000002</v>
      </c>
      <c r="E5941">
        <v>0.40721819999999997</v>
      </c>
      <c r="F5941" t="s">
        <v>92</v>
      </c>
      <c r="G5941">
        <v>-219.88099999999901</v>
      </c>
      <c r="H5941" s="1">
        <v>-4.1754510000000002E-6</v>
      </c>
      <c r="I5941">
        <v>-54.929229999999997</v>
      </c>
      <c r="J5941">
        <v>-233.05930000000001</v>
      </c>
      <c r="K5941">
        <v>1.103855</v>
      </c>
      <c r="L5941">
        <v>-60.385350000000003</v>
      </c>
      <c r="M5941">
        <v>0.99806059999999996</v>
      </c>
      <c r="N5941">
        <v>0</v>
      </c>
      <c r="O5941">
        <v>6.0682939999999998E-2</v>
      </c>
      <c r="P5941">
        <v>0.98995480000000002</v>
      </c>
      <c r="Q5941">
        <v>-4.65822799999999E-3</v>
      </c>
      <c r="R5941">
        <v>0.1413094</v>
      </c>
      <c r="S5941">
        <v>2.862762</v>
      </c>
      <c r="T5941">
        <v>-0.23773920000000001</v>
      </c>
      <c r="U5941">
        <v>1.176453</v>
      </c>
      <c r="V5941">
        <v>-8.0958500000000003E-2</v>
      </c>
      <c r="W5941">
        <v>9.2813269999999903E-3</v>
      </c>
      <c r="X5941">
        <v>0.99667419999999995</v>
      </c>
      <c r="Y5941">
        <v>-0.32250459999999997</v>
      </c>
      <c r="Z5941">
        <v>8.0300519999999993E-3</v>
      </c>
      <c r="AA5941">
        <v>0.94653390000000004</v>
      </c>
      <c r="AB5941">
        <v>23</v>
      </c>
      <c r="AC5941">
        <v>13.1783</v>
      </c>
      <c r="AD5941">
        <v>-1.1038591754510001</v>
      </c>
      <c r="AE5941">
        <v>5.4561199999999896</v>
      </c>
      <c r="AF5941">
        <v>-4.6186242099719799</v>
      </c>
      <c r="AG5941">
        <v>-1.1038591754510001</v>
      </c>
      <c r="AH5941">
        <v>13.404844575989699</v>
      </c>
      <c r="AI5941">
        <v>94.451842520411205</v>
      </c>
      <c r="AJ5941">
        <v>109.011333208506</v>
      </c>
      <c r="AK5941">
        <v>14.2211129233477</v>
      </c>
    </row>
    <row r="5942" spans="1:37" x14ac:dyDescent="0.2">
      <c r="A5942" t="str">
        <f>"20200111160018524"</f>
        <v>20200111160018524</v>
      </c>
      <c r="B5942" t="str">
        <f>"1578729618517138"</f>
        <v>1578729618517138</v>
      </c>
      <c r="C5942" t="s">
        <v>37</v>
      </c>
      <c r="D5942">
        <v>5.0543579999999997</v>
      </c>
      <c r="E5942">
        <v>0.40898620000000002</v>
      </c>
      <c r="F5942" t="s">
        <v>92</v>
      </c>
      <c r="G5942">
        <v>-219.9563</v>
      </c>
      <c r="H5942" s="1">
        <v>-4.1866870000000004E-6</v>
      </c>
      <c r="I5942">
        <v>-55.048110000000001</v>
      </c>
      <c r="J5942">
        <v>-232.9359</v>
      </c>
      <c r="K5942">
        <v>1.1038219999999901</v>
      </c>
      <c r="L5942">
        <v>-60.378329999999998</v>
      </c>
      <c r="M5942">
        <v>0.99808980000000003</v>
      </c>
      <c r="N5942">
        <v>0</v>
      </c>
      <c r="O5942">
        <v>6.0239809999999998E-2</v>
      </c>
      <c r="P5942">
        <v>0.98976690000000001</v>
      </c>
      <c r="Q5942">
        <v>-5.256167E-3</v>
      </c>
      <c r="R5942">
        <v>0.14259659999999999</v>
      </c>
      <c r="S5942">
        <v>2.862854</v>
      </c>
      <c r="T5942">
        <v>-0.2411799</v>
      </c>
      <c r="U5942">
        <v>1.166107</v>
      </c>
      <c r="V5942">
        <v>-8.2697899999999894E-2</v>
      </c>
      <c r="W5942">
        <v>8.5036369999999997E-3</v>
      </c>
      <c r="X5942">
        <v>0.99653840000000005</v>
      </c>
      <c r="Y5942">
        <v>-0.31996570000000002</v>
      </c>
      <c r="Z5942">
        <v>8.0838030000000005E-3</v>
      </c>
      <c r="AA5942">
        <v>0.94739470000000003</v>
      </c>
      <c r="AB5942">
        <v>23</v>
      </c>
      <c r="AC5942">
        <v>12.9796</v>
      </c>
      <c r="AD5942">
        <v>-1.1038261866869901</v>
      </c>
      <c r="AE5942">
        <v>5.3302199999999997</v>
      </c>
      <c r="AF5942">
        <v>-4.51066106037546</v>
      </c>
      <c r="AG5942">
        <v>-1.1038261866869901</v>
      </c>
      <c r="AH5942">
        <v>13.1954829349318</v>
      </c>
      <c r="AI5942">
        <v>94.525806515815702</v>
      </c>
      <c r="AJ5942">
        <v>108.872158194584</v>
      </c>
      <c r="AK5942">
        <v>13.9887549602558</v>
      </c>
    </row>
    <row r="5943" spans="1:37" x14ac:dyDescent="0.2">
      <c r="A5943" t="str">
        <f>"20200111160018537"</f>
        <v>20200111160018537</v>
      </c>
      <c r="B5943" t="str">
        <f>"1578729618526896"</f>
        <v>1578729618526896</v>
      </c>
      <c r="C5943" t="s">
        <v>37</v>
      </c>
      <c r="D5943">
        <v>5.0902279999999998</v>
      </c>
      <c r="E5943">
        <v>0.41064229999999902</v>
      </c>
      <c r="F5943" t="s">
        <v>92</v>
      </c>
      <c r="G5943">
        <v>-220.0042</v>
      </c>
      <c r="H5943" s="1">
        <v>-4.1872619999999999E-6</v>
      </c>
      <c r="I5943">
        <v>-55.1605699999999</v>
      </c>
      <c r="J5943">
        <v>-232.8083</v>
      </c>
      <c r="K5943">
        <v>1.10379</v>
      </c>
      <c r="L5943">
        <v>-60.37115</v>
      </c>
      <c r="M5943">
        <v>0.99812049999999997</v>
      </c>
      <c r="N5943">
        <v>0</v>
      </c>
      <c r="O5943">
        <v>5.9775389999999998E-2</v>
      </c>
      <c r="P5943">
        <v>0.98971509999999996</v>
      </c>
      <c r="Q5943">
        <v>-5.5141840000000001E-3</v>
      </c>
      <c r="R5943">
        <v>0.14294599999999999</v>
      </c>
      <c r="S5943">
        <v>2.8632810000000002</v>
      </c>
      <c r="T5943">
        <v>-0.24440290000000001</v>
      </c>
      <c r="U5943">
        <v>1.155273</v>
      </c>
      <c r="V5943">
        <v>-8.3514560000000002E-2</v>
      </c>
      <c r="W5943">
        <v>8.0473200000000002E-3</v>
      </c>
      <c r="X5943">
        <v>0.99647410000000003</v>
      </c>
      <c r="Y5943">
        <v>-0.31726179999999998</v>
      </c>
      <c r="Z5943">
        <v>8.122766E-3</v>
      </c>
      <c r="AA5943">
        <v>0.94830319999999901</v>
      </c>
      <c r="AB5943">
        <v>23</v>
      </c>
      <c r="AC5943">
        <v>12.8041</v>
      </c>
      <c r="AD5943">
        <v>-1.1037941872620001</v>
      </c>
      <c r="AE5943">
        <v>5.2105800000000002</v>
      </c>
      <c r="AF5943">
        <v>-4.4077189314676497</v>
      </c>
      <c r="AG5943">
        <v>-1.1037941872620001</v>
      </c>
      <c r="AH5943">
        <v>13.009747056449999</v>
      </c>
      <c r="AI5943">
        <v>94.594242276106897</v>
      </c>
      <c r="AJ5943">
        <v>108.716445936913</v>
      </c>
      <c r="AK5943">
        <v>13.780416040869801</v>
      </c>
    </row>
    <row r="5944" spans="1:37" x14ac:dyDescent="0.2">
      <c r="A5944" t="str">
        <f>"20200111160018549"</f>
        <v>20200111160018549</v>
      </c>
      <c r="B5944" t="str">
        <f>"1578729618546416"</f>
        <v>1578729618546416</v>
      </c>
      <c r="C5944" t="s">
        <v>37</v>
      </c>
      <c r="D5944">
        <v>5.0457780000000003</v>
      </c>
      <c r="E5944">
        <v>0.41315749999999901</v>
      </c>
      <c r="F5944" t="s">
        <v>92</v>
      </c>
      <c r="G5944">
        <v>-219.91909999999999</v>
      </c>
      <c r="H5944" s="1">
        <v>-4.1384549999999997E-6</v>
      </c>
      <c r="I5944">
        <v>-55.229969999999902</v>
      </c>
      <c r="J5944">
        <v>-232.68979999999999</v>
      </c>
      <c r="K5944">
        <v>1.1037569999999901</v>
      </c>
      <c r="L5944">
        <v>-60.3645</v>
      </c>
      <c r="M5944">
        <v>0.99814890000000001</v>
      </c>
      <c r="N5944">
        <v>0</v>
      </c>
      <c r="O5944">
        <v>5.9341459999999999E-2</v>
      </c>
      <c r="P5944">
        <v>0.98971569999999998</v>
      </c>
      <c r="Q5944">
        <v>-5.479215E-3</v>
      </c>
      <c r="R5944">
        <v>0.14294389999999901</v>
      </c>
      <c r="S5944">
        <v>2.8647610000000001</v>
      </c>
      <c r="T5944">
        <v>-0.24532999999999999</v>
      </c>
      <c r="U5944">
        <v>1.1426700000000001</v>
      </c>
      <c r="V5944">
        <v>-8.3945619999999999E-2</v>
      </c>
      <c r="W5944">
        <v>7.8980749999999992E-3</v>
      </c>
      <c r="X5944">
        <v>0.99643899999999996</v>
      </c>
      <c r="Y5944">
        <v>-0.31391029999999998</v>
      </c>
      <c r="Z5944">
        <v>8.0533359999999995E-3</v>
      </c>
      <c r="AA5944">
        <v>0.94941849999999905</v>
      </c>
      <c r="AB5944">
        <v>23</v>
      </c>
      <c r="AC5944">
        <v>12.7707</v>
      </c>
      <c r="AD5944">
        <v>-1.1037611384549999</v>
      </c>
      <c r="AE5944">
        <v>5.1345299999999998</v>
      </c>
      <c r="AF5944">
        <v>-4.3396744740770101</v>
      </c>
      <c r="AG5944">
        <v>-1.1037611384549999</v>
      </c>
      <c r="AH5944">
        <v>12.9695076139192</v>
      </c>
      <c r="AI5944">
        <v>94.614122964339103</v>
      </c>
      <c r="AJ5944">
        <v>108.50054798709201</v>
      </c>
      <c r="AK5944">
        <v>13.720757666369099</v>
      </c>
    </row>
    <row r="5945" spans="1:37" x14ac:dyDescent="0.2">
      <c r="A5945" t="str">
        <f>"20200111160018561"</f>
        <v>20200111160018561</v>
      </c>
      <c r="B5945" t="str">
        <f>"1578729618557153"</f>
        <v>1578729618557153</v>
      </c>
      <c r="C5945" t="s">
        <v>37</v>
      </c>
      <c r="D5945">
        <v>5.1270179999999996</v>
      </c>
      <c r="E5945">
        <v>0.41439880000000001</v>
      </c>
      <c r="F5945" t="s">
        <v>92</v>
      </c>
      <c r="G5945">
        <v>-219.83170000000001</v>
      </c>
      <c r="H5945" s="1">
        <v>-4.0829950000000002E-6</v>
      </c>
      <c r="I5945">
        <v>-55.331299999999999</v>
      </c>
      <c r="J5945">
        <v>-232.5677</v>
      </c>
      <c r="K5945">
        <v>1.1037219999999901</v>
      </c>
      <c r="L5945">
        <v>-60.357729999999997</v>
      </c>
      <c r="M5945">
        <v>0.99817839999999902</v>
      </c>
      <c r="N5945">
        <v>0</v>
      </c>
      <c r="O5945">
        <v>5.8887969999999998E-2</v>
      </c>
      <c r="P5945">
        <v>0.98973049999999996</v>
      </c>
      <c r="Q5945">
        <v>-5.259555E-3</v>
      </c>
      <c r="R5945">
        <v>0.1428499</v>
      </c>
      <c r="S5945">
        <v>2.8677060000000001</v>
      </c>
      <c r="T5945">
        <v>-0.24616839999999901</v>
      </c>
      <c r="U5945">
        <v>1.122528</v>
      </c>
      <c r="V5945">
        <v>-8.430385E-2</v>
      </c>
      <c r="W5945">
        <v>7.9247769999999992E-3</v>
      </c>
      <c r="X5945">
        <v>0.99640859999999998</v>
      </c>
      <c r="Y5945">
        <v>-0.30824200000000002</v>
      </c>
      <c r="Z5945">
        <v>7.8858450000000007E-3</v>
      </c>
      <c r="AA5945">
        <v>0.95127530000000005</v>
      </c>
      <c r="AB5945">
        <v>23</v>
      </c>
      <c r="AC5945">
        <v>12.735999999999899</v>
      </c>
      <c r="AD5945">
        <v>-1.103726082995</v>
      </c>
      <c r="AE5945">
        <v>5.0264300000000004</v>
      </c>
      <c r="AF5945">
        <v>-4.2400911755829904</v>
      </c>
      <c r="AG5945">
        <v>-1.103726082995</v>
      </c>
      <c r="AH5945">
        <v>12.925921362294</v>
      </c>
      <c r="AI5945">
        <v>94.638525638338606</v>
      </c>
      <c r="AJ5945">
        <v>108.161047132253</v>
      </c>
      <c r="AK5945">
        <v>13.648297604747199</v>
      </c>
    </row>
    <row r="5946" spans="1:37" x14ac:dyDescent="0.2">
      <c r="A5946" t="str">
        <f>"20200111160018571"</f>
        <v>20200111160018571</v>
      </c>
      <c r="B5946" t="str">
        <f>"1578729618566912"</f>
        <v>1578729618566912</v>
      </c>
      <c r="C5946" t="s">
        <v>37</v>
      </c>
      <c r="D5946">
        <v>5.0659710000000002</v>
      </c>
      <c r="E5946">
        <v>0.41532140000000001</v>
      </c>
      <c r="F5946" t="s">
        <v>92</v>
      </c>
      <c r="G5946">
        <v>-219.63749999999999</v>
      </c>
      <c r="H5946" s="1">
        <v>-3.99706E-6</v>
      </c>
      <c r="I5946">
        <v>-55.34599</v>
      </c>
      <c r="J5946">
        <v>-232.4562</v>
      </c>
      <c r="K5946">
        <v>1.1036900000000001</v>
      </c>
      <c r="L5946">
        <v>-60.351590000000002</v>
      </c>
      <c r="M5946">
        <v>0.99820549999999997</v>
      </c>
      <c r="N5946">
        <v>0</v>
      </c>
      <c r="O5946">
        <v>5.8464919999999997E-2</v>
      </c>
      <c r="P5946">
        <v>0.98977990000000005</v>
      </c>
      <c r="Q5946">
        <v>-5.1563640000000001E-3</v>
      </c>
      <c r="R5946">
        <v>0.1425101</v>
      </c>
      <c r="S5946">
        <v>2.8692929999999999</v>
      </c>
      <c r="T5946">
        <v>-0.24492349999999999</v>
      </c>
      <c r="U5946">
        <v>1.1121219999999901</v>
      </c>
      <c r="V5946">
        <v>-8.4384199999999895E-2</v>
      </c>
      <c r="W5946">
        <v>7.8508699999999994E-3</v>
      </c>
      <c r="X5946">
        <v>0.99640239999999902</v>
      </c>
      <c r="Y5946">
        <v>-0.30548439999999999</v>
      </c>
      <c r="Z5946">
        <v>7.7680800000000001E-3</v>
      </c>
      <c r="AA5946">
        <v>0.95216540000000005</v>
      </c>
      <c r="AB5946">
        <v>23</v>
      </c>
      <c r="AC5946">
        <v>12.8187</v>
      </c>
      <c r="AD5946">
        <v>-1.1036939970599999</v>
      </c>
      <c r="AE5946">
        <v>5.0056000000000003</v>
      </c>
      <c r="AF5946">
        <v>-4.2203819337681798</v>
      </c>
      <c r="AG5946">
        <v>-1.1036939970599999</v>
      </c>
      <c r="AH5946">
        <v>13.005787299649899</v>
      </c>
      <c r="AI5946">
        <v>94.6148112081395</v>
      </c>
      <c r="AJ5946">
        <v>107.978262525913</v>
      </c>
      <c r="AK5946">
        <v>13.7178813010522</v>
      </c>
    </row>
    <row r="5947" spans="1:37" x14ac:dyDescent="0.2">
      <c r="A5947" t="str">
        <f>"20200111160018583"</f>
        <v>20200111160018583</v>
      </c>
      <c r="B5947" t="str">
        <f>"1578729618576672"</f>
        <v>1578729618576672</v>
      </c>
      <c r="C5947" t="s">
        <v>37</v>
      </c>
      <c r="D5947">
        <v>5.0552659999999996</v>
      </c>
      <c r="E5947">
        <v>0.4162807</v>
      </c>
      <c r="F5947" t="s">
        <v>92</v>
      </c>
      <c r="G5947">
        <v>-219.54929999999999</v>
      </c>
      <c r="H5947" s="1">
        <v>-3.9515969999999997E-6</v>
      </c>
      <c r="I5947">
        <v>-55.389090000000003</v>
      </c>
      <c r="J5947">
        <v>-232.34020000000001</v>
      </c>
      <c r="K5947">
        <v>1.1036549999999901</v>
      </c>
      <c r="L5947">
        <v>-60.345280000000002</v>
      </c>
      <c r="M5947">
        <v>0.99823399999999995</v>
      </c>
      <c r="N5947">
        <v>0</v>
      </c>
      <c r="O5947">
        <v>5.8018510000000002E-2</v>
      </c>
      <c r="P5947">
        <v>0.98984550000000004</v>
      </c>
      <c r="Q5947">
        <v>-5.1476040000000001E-3</v>
      </c>
      <c r="R5947">
        <v>0.14205489999999901</v>
      </c>
      <c r="S5947">
        <v>2.8707889999999998</v>
      </c>
      <c r="T5947">
        <v>-0.2454866</v>
      </c>
      <c r="U5947">
        <v>1.1037600000000001</v>
      </c>
      <c r="V5947">
        <v>-8.4371950000000001E-2</v>
      </c>
      <c r="W5947">
        <v>7.6744439999999999E-3</v>
      </c>
      <c r="X5947">
        <v>0.99640479999999998</v>
      </c>
      <c r="Y5947">
        <v>-0.30332989999999999</v>
      </c>
      <c r="Z5947">
        <v>7.7337049999999996E-3</v>
      </c>
      <c r="AA5947">
        <v>0.95285419999999998</v>
      </c>
      <c r="AB5947">
        <v>23</v>
      </c>
      <c r="AC5947">
        <v>12.790900000000001</v>
      </c>
      <c r="AD5947">
        <v>-1.1036589515969999</v>
      </c>
      <c r="AE5947">
        <v>4.9561899999999897</v>
      </c>
      <c r="AF5947">
        <v>-4.1786216835898804</v>
      </c>
      <c r="AG5947">
        <v>-1.1036589515969999</v>
      </c>
      <c r="AH5947">
        <v>12.97294833376</v>
      </c>
      <c r="AI5947">
        <v>94.629529693787404</v>
      </c>
      <c r="AJ5947">
        <v>107.853889870015</v>
      </c>
      <c r="AK5947">
        <v>13.6739288694367</v>
      </c>
    </row>
    <row r="5948" spans="1:37" x14ac:dyDescent="0.2">
      <c r="A5948" t="str">
        <f>"20200111160018594"</f>
        <v>20200111160018594</v>
      </c>
      <c r="B5948" t="str">
        <f>"1578729618586433"</f>
        <v>1578729618586433</v>
      </c>
      <c r="C5948" t="s">
        <v>37</v>
      </c>
      <c r="D5948">
        <v>5.0926410000000004</v>
      </c>
      <c r="E5948">
        <v>0.41720410000000002</v>
      </c>
      <c r="F5948" t="s">
        <v>92</v>
      </c>
      <c r="G5948">
        <v>-219.398</v>
      </c>
      <c r="H5948" s="1">
        <v>-3.8825099999999902E-6</v>
      </c>
      <c r="I5948">
        <v>-55.412700000000001</v>
      </c>
      <c r="J5948">
        <v>-232.22620000000001</v>
      </c>
      <c r="K5948">
        <v>1.103613</v>
      </c>
      <c r="L5948">
        <v>-60.339109999999998</v>
      </c>
      <c r="M5948">
        <v>0.99826280000000001</v>
      </c>
      <c r="N5948">
        <v>0</v>
      </c>
      <c r="O5948">
        <v>5.7561759999999997E-2</v>
      </c>
      <c r="P5948">
        <v>0.98989719999999903</v>
      </c>
      <c r="Q5948">
        <v>-5.0982629999999996E-3</v>
      </c>
      <c r="R5948">
        <v>0.1416954</v>
      </c>
      <c r="S5948">
        <v>2.8723909999999999</v>
      </c>
      <c r="T5948">
        <v>-0.24494659999999999</v>
      </c>
      <c r="U5948">
        <v>1.094727</v>
      </c>
      <c r="V5948">
        <v>-8.4465639999999995E-2</v>
      </c>
      <c r="W5948">
        <v>7.5390259999999999E-3</v>
      </c>
      <c r="X5948">
        <v>0.99639789999999995</v>
      </c>
      <c r="Y5948">
        <v>-0.30098229999999998</v>
      </c>
      <c r="Z5948">
        <v>7.6575979999999998E-3</v>
      </c>
      <c r="AA5948">
        <v>0.95359899999999997</v>
      </c>
      <c r="AB5948">
        <v>23</v>
      </c>
      <c r="AC5948">
        <v>12.828200000000001</v>
      </c>
      <c r="AD5948">
        <v>-1.1036168825099999</v>
      </c>
      <c r="AE5948">
        <v>4.92640999999999</v>
      </c>
      <c r="AF5948">
        <v>-4.15298155743415</v>
      </c>
      <c r="AG5948">
        <v>-1.1036168825099999</v>
      </c>
      <c r="AH5948">
        <v>13.0066291241189</v>
      </c>
      <c r="AI5948">
        <v>94.621170196016706</v>
      </c>
      <c r="AJ5948">
        <v>107.708142261337</v>
      </c>
      <c r="AK5948">
        <v>13.6980884510258</v>
      </c>
    </row>
    <row r="5949" spans="1:37" x14ac:dyDescent="0.2">
      <c r="A5949" t="str">
        <f>"20200111160018604"</f>
        <v>20200111160018604</v>
      </c>
      <c r="B5949" t="str">
        <f>"1578729618597168"</f>
        <v>1578729618597168</v>
      </c>
      <c r="C5949" t="s">
        <v>37</v>
      </c>
      <c r="D5949">
        <v>5.1465230000000002</v>
      </c>
      <c r="E5949">
        <v>0.41810999999999998</v>
      </c>
      <c r="F5949" t="s">
        <v>92</v>
      </c>
      <c r="G5949">
        <v>-219.21870000000001</v>
      </c>
      <c r="H5949" s="1">
        <v>-3.803912E-6</v>
      </c>
      <c r="I5949">
        <v>-55.422199999999997</v>
      </c>
      <c r="J5949">
        <v>-232.11670000000001</v>
      </c>
      <c r="K5949">
        <v>1.103567</v>
      </c>
      <c r="L5949">
        <v>-60.33325</v>
      </c>
      <c r="M5949">
        <v>0.99829049999999997</v>
      </c>
      <c r="N5949">
        <v>0</v>
      </c>
      <c r="O5949">
        <v>5.7119589999999998E-2</v>
      </c>
      <c r="P5949">
        <v>0.98995259999999996</v>
      </c>
      <c r="Q5949">
        <v>-5.0404029999999997E-3</v>
      </c>
      <c r="R5949">
        <v>0.14130999999999999</v>
      </c>
      <c r="S5949">
        <v>2.8738709999999998</v>
      </c>
      <c r="T5949">
        <v>-0.24383389999999999</v>
      </c>
      <c r="U5949">
        <v>1.0863339999999999</v>
      </c>
      <c r="V5949">
        <v>-8.451939E-2</v>
      </c>
      <c r="W5949">
        <v>7.4174359999999899E-3</v>
      </c>
      <c r="X5949">
        <v>0.99639419999999901</v>
      </c>
      <c r="Y5949">
        <v>-0.29881829999999998</v>
      </c>
      <c r="Z5949">
        <v>7.5703619999999998E-3</v>
      </c>
      <c r="AA5949">
        <v>0.95427999999999902</v>
      </c>
      <c r="AB5949">
        <v>23</v>
      </c>
      <c r="AC5949">
        <v>12.8979999999999</v>
      </c>
      <c r="AD5949">
        <v>-1.103570803912</v>
      </c>
      <c r="AE5949">
        <v>4.9110500000000004</v>
      </c>
      <c r="AF5949">
        <v>-4.1397768555209202</v>
      </c>
      <c r="AG5949">
        <v>-1.103570803912</v>
      </c>
      <c r="AH5949">
        <v>13.0738857828718</v>
      </c>
      <c r="AI5949">
        <v>94.600816069762502</v>
      </c>
      <c r="AJ5949">
        <v>107.570115732857</v>
      </c>
      <c r="AK5949">
        <v>13.7579835149026</v>
      </c>
    </row>
    <row r="5950" spans="1:37" x14ac:dyDescent="0.2">
      <c r="A5950" t="str">
        <f>"20200111160018614"</f>
        <v>20200111160018614</v>
      </c>
      <c r="B5950" t="str">
        <f>"1578729618606928"</f>
        <v>1578729618606928</v>
      </c>
      <c r="C5950" t="s">
        <v>37</v>
      </c>
      <c r="D5950">
        <v>5.0593190000000003</v>
      </c>
      <c r="E5950">
        <v>0.4188113</v>
      </c>
      <c r="F5950" t="s">
        <v>92</v>
      </c>
      <c r="G5950">
        <v>-219.03909999999999</v>
      </c>
      <c r="H5950" s="1">
        <v>-3.7254139999999999E-6</v>
      </c>
      <c r="I5950">
        <v>-55.430269999999901</v>
      </c>
      <c r="J5950">
        <v>-232.0094</v>
      </c>
      <c r="K5950">
        <v>1.103523</v>
      </c>
      <c r="L5950">
        <v>-60.32761</v>
      </c>
      <c r="M5950">
        <v>0.99831899999999996</v>
      </c>
      <c r="N5950">
        <v>0</v>
      </c>
      <c r="O5950">
        <v>5.6660170000000003E-2</v>
      </c>
      <c r="P5950">
        <v>0.99001719999999904</v>
      </c>
      <c r="Q5950">
        <v>-5.23559099999999E-3</v>
      </c>
      <c r="R5950">
        <v>0.14085</v>
      </c>
      <c r="S5950">
        <v>2.8753660000000001</v>
      </c>
      <c r="T5950">
        <v>-0.24264150000000001</v>
      </c>
      <c r="U5950">
        <v>1.078003</v>
      </c>
      <c r="V5950">
        <v>-8.4515359999999998E-2</v>
      </c>
      <c r="W5950">
        <v>7.043606E-3</v>
      </c>
      <c r="X5950">
        <v>0.99639730000000004</v>
      </c>
      <c r="Y5950">
        <v>-0.29668290000000003</v>
      </c>
      <c r="Z5950">
        <v>7.4836290000000003E-3</v>
      </c>
      <c r="AA5950">
        <v>0.95494669999999904</v>
      </c>
      <c r="AB5950">
        <v>23</v>
      </c>
      <c r="AC5950">
        <v>12.9703</v>
      </c>
      <c r="AD5950">
        <v>-1.103526725414</v>
      </c>
      <c r="AE5950">
        <v>4.8973399999999998</v>
      </c>
      <c r="AF5950">
        <v>-4.1283618626874903</v>
      </c>
      <c r="AG5950">
        <v>-1.103526725414</v>
      </c>
      <c r="AH5950">
        <v>13.143692737163001</v>
      </c>
      <c r="AI5950">
        <v>94.579637461940706</v>
      </c>
      <c r="AJ5950">
        <v>107.43721803486</v>
      </c>
      <c r="AK5950">
        <v>13.820918987967</v>
      </c>
    </row>
    <row r="5951" spans="1:37" x14ac:dyDescent="0.2">
      <c r="A5951" t="str">
        <f>"20200111160018625"</f>
        <v>20200111160018625</v>
      </c>
      <c r="B5951" t="str">
        <f>"1578729618616688"</f>
        <v>1578729618616688</v>
      </c>
      <c r="C5951" t="s">
        <v>37</v>
      </c>
      <c r="D5951">
        <v>5.103974</v>
      </c>
      <c r="E5951">
        <v>0.4194483</v>
      </c>
      <c r="F5951" t="s">
        <v>92</v>
      </c>
      <c r="G5951">
        <v>-218.93029999999999</v>
      </c>
      <c r="H5951" s="1">
        <v>-3.673829E-6</v>
      </c>
      <c r="I5951">
        <v>-55.457949999999997</v>
      </c>
      <c r="J5951">
        <v>-231.90010000000001</v>
      </c>
      <c r="K5951">
        <v>1.1034740000000001</v>
      </c>
      <c r="L5951">
        <v>-60.321869999999997</v>
      </c>
      <c r="M5951">
        <v>0.99834789999999995</v>
      </c>
      <c r="N5951">
        <v>0</v>
      </c>
      <c r="O5951">
        <v>5.6189370000000002E-2</v>
      </c>
      <c r="P5951">
        <v>0.99013629999999997</v>
      </c>
      <c r="Q5951">
        <v>-5.0472690000000001E-3</v>
      </c>
      <c r="R5951">
        <v>0.14001820000000001</v>
      </c>
      <c r="S5951">
        <v>2.876617</v>
      </c>
      <c r="T5951">
        <v>-0.2427087</v>
      </c>
      <c r="U5951">
        <v>1.0710139999999999</v>
      </c>
      <c r="V5951">
        <v>-8.4147609999999998E-2</v>
      </c>
      <c r="W5951">
        <v>7.0488510000000001E-3</v>
      </c>
      <c r="X5951">
        <v>0.99642839999999999</v>
      </c>
      <c r="Y5951">
        <v>-0.29496359999999999</v>
      </c>
      <c r="Z5951">
        <v>7.4537249999999996E-3</v>
      </c>
      <c r="AA5951">
        <v>0.95547939999999998</v>
      </c>
      <c r="AB5951">
        <v>23</v>
      </c>
      <c r="AC5951">
        <v>12.969799999999999</v>
      </c>
      <c r="AD5951">
        <v>-1.103477673829</v>
      </c>
      <c r="AE5951">
        <v>4.8639199999999896</v>
      </c>
      <c r="AF5951">
        <v>-4.1013889313746796</v>
      </c>
      <c r="AG5951">
        <v>-1.103477673829</v>
      </c>
      <c r="AH5951">
        <v>13.1392427707693</v>
      </c>
      <c r="AI5951">
        <v>94.583511712389097</v>
      </c>
      <c r="AJ5951">
        <v>107.335651297756</v>
      </c>
      <c r="AK5951">
        <v>13.8086478241809</v>
      </c>
    </row>
    <row r="5952" spans="1:37" x14ac:dyDescent="0.2">
      <c r="A5952" t="str">
        <f>"20200111160018637"</f>
        <v>20200111160018637</v>
      </c>
      <c r="B5952" t="str">
        <f>"1578729618626449"</f>
        <v>1578729618626449</v>
      </c>
      <c r="C5952" t="s">
        <v>37</v>
      </c>
      <c r="D5952">
        <v>5.111993</v>
      </c>
      <c r="E5952">
        <v>0.42008800000000002</v>
      </c>
      <c r="F5952" t="s">
        <v>92</v>
      </c>
      <c r="G5952">
        <v>-218.7465</v>
      </c>
      <c r="H5952" s="1">
        <v>-3.59424199999999E-6</v>
      </c>
      <c r="I5952">
        <v>-55.462209999999999</v>
      </c>
      <c r="J5952">
        <v>-231.78059999999999</v>
      </c>
      <c r="K5952">
        <v>1.1034189999999999</v>
      </c>
      <c r="L5952">
        <v>-60.315769999999901</v>
      </c>
      <c r="M5952">
        <v>0.99838130000000003</v>
      </c>
      <c r="N5952">
        <v>0</v>
      </c>
      <c r="O5952">
        <v>5.5641169999999997E-2</v>
      </c>
      <c r="P5952">
        <v>0.99024869999999898</v>
      </c>
      <c r="Q5952">
        <v>-4.7820520000000002E-3</v>
      </c>
      <c r="R5952">
        <v>0.139230399999999</v>
      </c>
      <c r="S5952">
        <v>2.8782809999999999</v>
      </c>
      <c r="T5952">
        <v>-0.241464399999999</v>
      </c>
      <c r="U5952">
        <v>1.063385</v>
      </c>
      <c r="V5952">
        <v>-8.3900970000000005E-2</v>
      </c>
      <c r="W5952">
        <v>7.1117919999999996E-3</v>
      </c>
      <c r="X5952">
        <v>0.99644869999999997</v>
      </c>
      <c r="Y5952">
        <v>-0.29309220000000002</v>
      </c>
      <c r="Z5952">
        <v>7.38316199999999E-3</v>
      </c>
      <c r="AA5952">
        <v>0.95605569999999895</v>
      </c>
      <c r="AB5952">
        <v>23</v>
      </c>
      <c r="AC5952">
        <v>13.034099999999899</v>
      </c>
      <c r="AD5952">
        <v>-1.103422594242</v>
      </c>
      <c r="AE5952">
        <v>4.8535599999999901</v>
      </c>
      <c r="AF5952">
        <v>-4.0949832212102004</v>
      </c>
      <c r="AG5952">
        <v>-1.103422594242</v>
      </c>
      <c r="AH5952">
        <v>13.200895244252299</v>
      </c>
      <c r="AI5952">
        <v>94.5644739450657</v>
      </c>
      <c r="AJ5952">
        <v>107.234149479835</v>
      </c>
      <c r="AK5952">
        <v>13.865426940891499</v>
      </c>
    </row>
    <row r="5953" spans="1:37" x14ac:dyDescent="0.2">
      <c r="A5953" t="str">
        <f>"20200111160018648"</f>
        <v>20200111160018648</v>
      </c>
      <c r="B5953" t="str">
        <f>"1578729618646945"</f>
        <v>1578729618646945</v>
      </c>
      <c r="C5953" t="s">
        <v>37</v>
      </c>
      <c r="D5953">
        <v>5.1356080000000004</v>
      </c>
      <c r="E5953">
        <v>0.4214717</v>
      </c>
      <c r="F5953" t="s">
        <v>92</v>
      </c>
      <c r="G5953">
        <v>-218.53899999999999</v>
      </c>
      <c r="H5953" s="1">
        <v>-3.505478E-6</v>
      </c>
      <c r="I5953">
        <v>-55.460719999999903</v>
      </c>
      <c r="J5953">
        <v>-231.65719999999999</v>
      </c>
      <c r="K5953">
        <v>1.103362</v>
      </c>
      <c r="L5953">
        <v>-60.309449999999998</v>
      </c>
      <c r="M5953">
        <v>0.99841569999999902</v>
      </c>
      <c r="N5953">
        <v>0</v>
      </c>
      <c r="O5953">
        <v>5.5063769999999998E-2</v>
      </c>
      <c r="P5953">
        <v>0.99034169999999999</v>
      </c>
      <c r="Q5953">
        <v>-4.3475919999999999E-3</v>
      </c>
      <c r="R5953">
        <v>0.13858210000000001</v>
      </c>
      <c r="S5953">
        <v>2.8799130000000002</v>
      </c>
      <c r="T5953">
        <v>-0.2399828</v>
      </c>
      <c r="U5953">
        <v>1.0559080000000001</v>
      </c>
      <c r="V5953">
        <v>-8.3824339999999997E-2</v>
      </c>
      <c r="W5953">
        <v>7.3392379999999997E-3</v>
      </c>
      <c r="X5953">
        <v>0.99645349999999999</v>
      </c>
      <c r="Y5953">
        <v>-0.29129479999999902</v>
      </c>
      <c r="Z5953">
        <v>7.3110500000000004E-3</v>
      </c>
      <c r="AA5953">
        <v>0.95660540000000005</v>
      </c>
      <c r="AB5953">
        <v>23</v>
      </c>
      <c r="AC5953">
        <v>13.1181999999999</v>
      </c>
      <c r="AD5953">
        <v>-1.1033655054780001</v>
      </c>
      <c r="AE5953">
        <v>4.8487299999999998</v>
      </c>
      <c r="AF5953">
        <v>-4.0935083749616199</v>
      </c>
      <c r="AG5953">
        <v>-1.1033655054780001</v>
      </c>
      <c r="AH5953">
        <v>13.2826298931056</v>
      </c>
      <c r="AI5953">
        <v>94.5388461185305</v>
      </c>
      <c r="AJ5953">
        <v>107.128517402856</v>
      </c>
      <c r="AK5953">
        <v>13.9428290935442</v>
      </c>
    </row>
    <row r="5954" spans="1:37" x14ac:dyDescent="0.2">
      <c r="A5954" t="str">
        <f>"20200111160018661"</f>
        <v>20200111160018661</v>
      </c>
      <c r="B5954" t="str">
        <f>"1578729618656705"</f>
        <v>1578729618656705</v>
      </c>
      <c r="C5954" t="s">
        <v>37</v>
      </c>
      <c r="D5954">
        <v>5.130897</v>
      </c>
      <c r="E5954">
        <v>0.42162810000000001</v>
      </c>
      <c r="F5954" t="s">
        <v>92</v>
      </c>
      <c r="G5954">
        <v>-218.16800000000001</v>
      </c>
      <c r="H5954" s="1">
        <v>-3.3520700000000001E-6</v>
      </c>
      <c r="I5954">
        <v>-55.428179999999998</v>
      </c>
      <c r="J5954">
        <v>-231.52520000000001</v>
      </c>
      <c r="K5954">
        <v>1.103302</v>
      </c>
      <c r="L5954">
        <v>-60.302859999999903</v>
      </c>
      <c r="M5954">
        <v>0.99845360000000005</v>
      </c>
      <c r="N5954">
        <v>0</v>
      </c>
      <c r="O5954">
        <v>5.4419990000000001E-2</v>
      </c>
      <c r="P5954">
        <v>0.99049349999999903</v>
      </c>
      <c r="Q5954">
        <v>-3.8138719999999998E-3</v>
      </c>
      <c r="R5954">
        <v>0.13750809999999999</v>
      </c>
      <c r="S5954">
        <v>2.882263</v>
      </c>
      <c r="T5954">
        <v>-0.2357563</v>
      </c>
      <c r="U5954">
        <v>1.042969</v>
      </c>
      <c r="V5954">
        <v>-8.3385559999999997E-2</v>
      </c>
      <c r="W5954">
        <v>7.6544169999999898E-3</v>
      </c>
      <c r="X5954">
        <v>0.99648799999999904</v>
      </c>
      <c r="Y5954">
        <v>-0.2878986</v>
      </c>
      <c r="Z5954">
        <v>7.0986449999999998E-3</v>
      </c>
      <c r="AA5954">
        <v>0.9576346</v>
      </c>
      <c r="AB5954">
        <v>23</v>
      </c>
      <c r="AC5954">
        <v>13.357200000000001</v>
      </c>
      <c r="AD5954">
        <v>-1.10330535207</v>
      </c>
      <c r="AE5954">
        <v>4.8746799999999899</v>
      </c>
      <c r="AF5954">
        <v>-4.1157296511184303</v>
      </c>
      <c r="AG5954">
        <v>-1.10330535207</v>
      </c>
      <c r="AH5954">
        <v>13.5212911026842</v>
      </c>
      <c r="AI5954">
        <v>94.463539034695401</v>
      </c>
      <c r="AJ5954">
        <v>106.929661953371</v>
      </c>
      <c r="AK5954">
        <v>14.176805928858901</v>
      </c>
    </row>
    <row r="5955" spans="1:37" x14ac:dyDescent="0.2">
      <c r="A5955" t="str">
        <f>"20200111160018673"</f>
        <v>20200111160018673</v>
      </c>
      <c r="B5955" t="str">
        <f>"1578729618666464"</f>
        <v>1578729618666464</v>
      </c>
      <c r="C5955" t="s">
        <v>37</v>
      </c>
      <c r="D5955">
        <v>5.0746949999999904</v>
      </c>
      <c r="E5955">
        <v>0.42207050000000002</v>
      </c>
      <c r="F5955" t="s">
        <v>92</v>
      </c>
      <c r="G5955">
        <v>-218.12880000000001</v>
      </c>
      <c r="H5955" s="1">
        <v>-3.3265459999999998E-6</v>
      </c>
      <c r="I5955">
        <v>-55.477440000000001</v>
      </c>
      <c r="J5955">
        <v>-231.39760000000001</v>
      </c>
      <c r="K5955">
        <v>1.103248</v>
      </c>
      <c r="L5955">
        <v>-60.296599999999998</v>
      </c>
      <c r="M5955">
        <v>0.99849100000000002</v>
      </c>
      <c r="N5955">
        <v>0</v>
      </c>
      <c r="O5955">
        <v>5.3770829999999999E-2</v>
      </c>
      <c r="P5955">
        <v>0.99059640000000004</v>
      </c>
      <c r="Q5955">
        <v>-3.4979669999999998E-3</v>
      </c>
      <c r="R5955">
        <v>0.13677210000000001</v>
      </c>
      <c r="S5955">
        <v>2.8836819999999999</v>
      </c>
      <c r="T5955">
        <v>-0.23749490000000001</v>
      </c>
      <c r="U5955">
        <v>1.0386959999999901</v>
      </c>
      <c r="V5955">
        <v>-8.3291900000000002E-2</v>
      </c>
      <c r="W5955">
        <v>7.7664709999999996E-3</v>
      </c>
      <c r="X5955">
        <v>0.99649489999999996</v>
      </c>
      <c r="Y5955">
        <v>-0.28710559999999902</v>
      </c>
      <c r="Z5955">
        <v>7.1690790000000001E-3</v>
      </c>
      <c r="AA5955">
        <v>0.9578721</v>
      </c>
      <c r="AB5955">
        <v>23</v>
      </c>
      <c r="AC5955">
        <v>13.268800000000001</v>
      </c>
      <c r="AD5955">
        <v>-1.103251326546</v>
      </c>
      <c r="AE5955">
        <v>4.8191599999999903</v>
      </c>
      <c r="AF5955">
        <v>-4.0737872545139799</v>
      </c>
      <c r="AG5955">
        <v>-1.103251326546</v>
      </c>
      <c r="AH5955">
        <v>13.426742297574499</v>
      </c>
      <c r="AI5955">
        <v>94.495843943472707</v>
      </c>
      <c r="AJ5955">
        <v>106.87824141208399</v>
      </c>
      <c r="AK5955">
        <v>14.074456110629701</v>
      </c>
    </row>
    <row r="5956" spans="1:37" x14ac:dyDescent="0.2">
      <c r="A5956" t="str">
        <f>"20200111160018686"</f>
        <v>20200111160018686</v>
      </c>
      <c r="B5956" t="str">
        <f>"1578729618676781"</f>
        <v>1578729618676781</v>
      </c>
      <c r="C5956" t="s">
        <v>37</v>
      </c>
      <c r="D5956">
        <v>5.043666</v>
      </c>
      <c r="E5956">
        <v>0.42244619999999999</v>
      </c>
      <c r="F5956" t="s">
        <v>92</v>
      </c>
      <c r="G5956">
        <v>-217.8937</v>
      </c>
      <c r="H5956" s="1">
        <v>-3.228475E-6</v>
      </c>
      <c r="I5956">
        <v>-55.461779999999997</v>
      </c>
      <c r="J5956">
        <v>-231.26759999999999</v>
      </c>
      <c r="K5956">
        <v>1.1031959999999901</v>
      </c>
      <c r="L5956">
        <v>-60.290280000000003</v>
      </c>
      <c r="M5956">
        <v>0.99852949999999996</v>
      </c>
      <c r="N5956">
        <v>0</v>
      </c>
      <c r="O5956">
        <v>5.309548E-2</v>
      </c>
      <c r="P5956">
        <v>0.99070949999999902</v>
      </c>
      <c r="Q5956">
        <v>-2.8411980000000001E-3</v>
      </c>
      <c r="R5956">
        <v>0.13596520000000001</v>
      </c>
      <c r="S5956">
        <v>2.88504</v>
      </c>
      <c r="T5956">
        <v>-0.23570529999999901</v>
      </c>
      <c r="U5956">
        <v>1.0329280000000001</v>
      </c>
      <c r="V5956">
        <v>-8.3152359999999995E-2</v>
      </c>
      <c r="W5956">
        <v>8.2189740000000004E-3</v>
      </c>
      <c r="X5956">
        <v>0.99650289999999997</v>
      </c>
      <c r="Y5956">
        <v>-0.28592499999999998</v>
      </c>
      <c r="Z5956">
        <v>7.1207850000000001E-3</v>
      </c>
      <c r="AA5956">
        <v>0.95822549999999995</v>
      </c>
      <c r="AB5956">
        <v>23</v>
      </c>
      <c r="AC5956">
        <v>13.3738999999999</v>
      </c>
      <c r="AD5956">
        <v>-1.1031992284749901</v>
      </c>
      <c r="AE5956">
        <v>4.8284999999999902</v>
      </c>
      <c r="AF5956">
        <v>-4.0869496966181798</v>
      </c>
      <c r="AG5956">
        <v>-1.1031992284749901</v>
      </c>
      <c r="AH5956">
        <v>13.529972745224899</v>
      </c>
      <c r="AI5956">
        <v>94.463125045773495</v>
      </c>
      <c r="AJ5956">
        <v>106.807800750288</v>
      </c>
      <c r="AK5956">
        <v>14.1767545244644</v>
      </c>
    </row>
    <row r="5957" spans="1:37" x14ac:dyDescent="0.2">
      <c r="A5957" t="str">
        <f>"20200111160018698"</f>
        <v>20200111160018698</v>
      </c>
      <c r="B5957" t="str">
        <f>"1578729618686541"</f>
        <v>1578729618686541</v>
      </c>
      <c r="C5957" t="s">
        <v>37</v>
      </c>
      <c r="D5957">
        <v>5.0220919999999998</v>
      </c>
      <c r="E5957">
        <v>0.42276429999999998</v>
      </c>
      <c r="F5957" t="s">
        <v>92</v>
      </c>
      <c r="G5957">
        <v>-217.58799999999999</v>
      </c>
      <c r="H5957" s="1">
        <v>-3.1047410000000002E-6</v>
      </c>
      <c r="I5957">
        <v>-55.419819999999902</v>
      </c>
      <c r="J5957">
        <v>-231.13650000000001</v>
      </c>
      <c r="K5957">
        <v>1.103146</v>
      </c>
      <c r="L5957">
        <v>-60.284059999999997</v>
      </c>
      <c r="M5957">
        <v>0.9985695</v>
      </c>
      <c r="N5957">
        <v>0</v>
      </c>
      <c r="O5957">
        <v>5.2379019999999998E-2</v>
      </c>
      <c r="P5957">
        <v>0.990787999999999</v>
      </c>
      <c r="Q5957">
        <v>-2.4707979999999902E-3</v>
      </c>
      <c r="R5957">
        <v>0.13539949999999901</v>
      </c>
      <c r="S5957">
        <v>2.8863979999999998</v>
      </c>
      <c r="T5957">
        <v>-0.2327737</v>
      </c>
      <c r="U5957">
        <v>1.027649</v>
      </c>
      <c r="V5957">
        <v>-8.3298120000000003E-2</v>
      </c>
      <c r="W5957">
        <v>8.3953989999999996E-3</v>
      </c>
      <c r="X5957">
        <v>0.99648930000000002</v>
      </c>
      <c r="Y5957">
        <v>-0.28493239999999997</v>
      </c>
      <c r="Z5957">
        <v>7.0483129999999996E-3</v>
      </c>
      <c r="AA5957">
        <v>0.95852169999999903</v>
      </c>
      <c r="AB5957">
        <v>23</v>
      </c>
      <c r="AC5957">
        <v>13.548500000000001</v>
      </c>
      <c r="AD5957">
        <v>-1.103149104741</v>
      </c>
      <c r="AE5957">
        <v>4.8642399999999997</v>
      </c>
      <c r="AF5957">
        <v>-4.12364730280391</v>
      </c>
      <c r="AG5957">
        <v>-1.103149104741</v>
      </c>
      <c r="AH5957">
        <v>13.704218810532099</v>
      </c>
      <c r="AI5957">
        <v>94.407813698367207</v>
      </c>
      <c r="AJ5957">
        <v>106.746724443967</v>
      </c>
      <c r="AK5957">
        <v>14.3536412882639</v>
      </c>
    </row>
    <row r="5958" spans="1:37" x14ac:dyDescent="0.2">
      <c r="A5958" t="str">
        <f>"20200111160018713"</f>
        <v>20200111160018713</v>
      </c>
      <c r="B5958" t="str">
        <f>"1578729618707036"</f>
        <v>1578729618707036</v>
      </c>
      <c r="C5958" t="s">
        <v>37</v>
      </c>
      <c r="D5958">
        <v>5.0464099999999998</v>
      </c>
      <c r="E5958">
        <v>0.42313990000000001</v>
      </c>
      <c r="F5958" t="s">
        <v>92</v>
      </c>
      <c r="G5958">
        <v>-217.34200000000001</v>
      </c>
      <c r="H5958" s="1">
        <v>-3.00376899999999E-6</v>
      </c>
      <c r="I5958">
        <v>-55.394150000000003</v>
      </c>
      <c r="J5958">
        <v>-230.97810000000001</v>
      </c>
      <c r="K5958">
        <v>1.1030899999999999</v>
      </c>
      <c r="L5958">
        <v>-60.276699999999998</v>
      </c>
      <c r="M5958">
        <v>0.99861849999999996</v>
      </c>
      <c r="N5958">
        <v>0</v>
      </c>
      <c r="O5958">
        <v>5.1489069999999998E-2</v>
      </c>
      <c r="P5958">
        <v>0.99083379999999999</v>
      </c>
      <c r="Q5958">
        <v>-2.1144520000000002E-3</v>
      </c>
      <c r="R5958">
        <v>0.13507169999999999</v>
      </c>
      <c r="S5958">
        <v>2.8874360000000001</v>
      </c>
      <c r="T5958">
        <v>-0.2309078</v>
      </c>
      <c r="U5958">
        <v>1.0235289999999999</v>
      </c>
      <c r="V5958">
        <v>-8.3854899999999996E-2</v>
      </c>
      <c r="W5958">
        <v>8.5270019999999901E-3</v>
      </c>
      <c r="X5958">
        <v>0.99644149999999998</v>
      </c>
      <c r="Y5958">
        <v>-0.28447280000000003</v>
      </c>
      <c r="Z5958">
        <v>7.0419890000000002E-3</v>
      </c>
      <c r="AA5958">
        <v>0.95865829999999996</v>
      </c>
      <c r="AB5958">
        <v>23</v>
      </c>
      <c r="AC5958">
        <v>13.636100000000001</v>
      </c>
      <c r="AD5958">
        <v>-1.1030930037690001</v>
      </c>
      <c r="AE5958">
        <v>4.8825499999999904</v>
      </c>
      <c r="AF5958">
        <v>-4.14985350799095</v>
      </c>
      <c r="AG5958">
        <v>-1.1030930037690001</v>
      </c>
      <c r="AH5958">
        <v>13.7894385864944</v>
      </c>
      <c r="AI5958">
        <v>94.380408343920607</v>
      </c>
      <c r="AJ5958">
        <v>106.74887054609199</v>
      </c>
      <c r="AK5958">
        <v>14.442531455511901</v>
      </c>
    </row>
    <row r="5959" spans="1:37" x14ac:dyDescent="0.2">
      <c r="A5959" t="str">
        <f>"20200111160018725"</f>
        <v>20200111160018725</v>
      </c>
      <c r="B5959" t="str">
        <f>"1578729618716796"</f>
        <v>1578729618716796</v>
      </c>
      <c r="C5959" t="s">
        <v>37</v>
      </c>
      <c r="D5959">
        <v>5.0895890000000001</v>
      </c>
      <c r="E5959">
        <v>0.42340349999999999</v>
      </c>
      <c r="F5959" t="s">
        <v>92</v>
      </c>
      <c r="G5959">
        <v>-217.08</v>
      </c>
      <c r="H5959" s="1">
        <v>-2.8958679999999899E-6</v>
      </c>
      <c r="I5959">
        <v>-55.3688</v>
      </c>
      <c r="J5959">
        <v>-230.85730000000001</v>
      </c>
      <c r="K5959">
        <v>1.1030489999999999</v>
      </c>
      <c r="L5959">
        <v>-60.271149999999999</v>
      </c>
      <c r="M5959">
        <v>0.99865569999999904</v>
      </c>
      <c r="N5959">
        <v>0</v>
      </c>
      <c r="O5959">
        <v>5.079782E-2</v>
      </c>
      <c r="P5959">
        <v>0.99092009999999897</v>
      </c>
      <c r="Q5959">
        <v>-1.9645489999999999E-3</v>
      </c>
      <c r="R5959">
        <v>0.13443849999999999</v>
      </c>
      <c r="S5959">
        <v>2.888245</v>
      </c>
      <c r="T5959">
        <v>-0.22924020000000001</v>
      </c>
      <c r="U5959">
        <v>1.0199279999999999</v>
      </c>
      <c r="V5959">
        <v>-8.3908140000000006E-2</v>
      </c>
      <c r="W5959">
        <v>8.5103139999999997E-3</v>
      </c>
      <c r="X5959">
        <v>0.99643709999999996</v>
      </c>
      <c r="Y5959">
        <v>-0.28399819999999998</v>
      </c>
      <c r="Z5959">
        <v>7.0254599999999999E-3</v>
      </c>
      <c r="AA5959">
        <v>0.95879910000000002</v>
      </c>
      <c r="AB5959">
        <v>23</v>
      </c>
      <c r="AC5959">
        <v>13.777299999999901</v>
      </c>
      <c r="AD5959">
        <v>-1.103051895868</v>
      </c>
      <c r="AE5959">
        <v>4.9023499999999904</v>
      </c>
      <c r="AF5959">
        <v>-4.1723865619628002</v>
      </c>
      <c r="AG5959">
        <v>-1.103051895868</v>
      </c>
      <c r="AH5959">
        <v>13.929299555986001</v>
      </c>
      <c r="AI5959">
        <v>94.338104078441305</v>
      </c>
      <c r="AJ5959">
        <v>106.675077054959</v>
      </c>
      <c r="AK5959">
        <v>14.582555305152001</v>
      </c>
    </row>
    <row r="5960" spans="1:37" x14ac:dyDescent="0.2">
      <c r="A5960" t="str">
        <f>"20200111160018735"</f>
        <v>20200111160018735</v>
      </c>
      <c r="B5960" t="str">
        <f>"1578729618726557"</f>
        <v>1578729618726557</v>
      </c>
      <c r="C5960" t="s">
        <v>37</v>
      </c>
      <c r="D5960">
        <v>5.1157260000000004</v>
      </c>
      <c r="E5960">
        <v>0.42373139999999998</v>
      </c>
      <c r="F5960" t="s">
        <v>92</v>
      </c>
      <c r="G5960">
        <v>-216.84039999999999</v>
      </c>
      <c r="H5960" s="1">
        <v>-2.7980460000000001E-6</v>
      </c>
      <c r="I5960">
        <v>-55.340969999999999</v>
      </c>
      <c r="J5960">
        <v>-230.74369999999999</v>
      </c>
      <c r="K5960">
        <v>1.1030219999999999</v>
      </c>
      <c r="L5960">
        <v>-60.266109999999998</v>
      </c>
      <c r="M5960">
        <v>0.998691</v>
      </c>
      <c r="N5960">
        <v>0</v>
      </c>
      <c r="O5960">
        <v>5.0125450000000002E-2</v>
      </c>
      <c r="P5960">
        <v>0.99096759999999995</v>
      </c>
      <c r="Q5960">
        <v>-1.3700909999999999E-3</v>
      </c>
      <c r="R5960">
        <v>0.13409470000000001</v>
      </c>
      <c r="S5960">
        <v>2.8891909999999998</v>
      </c>
      <c r="T5960">
        <v>-0.22736300000000001</v>
      </c>
      <c r="U5960">
        <v>1.016205</v>
      </c>
      <c r="V5960">
        <v>-8.423137E-2</v>
      </c>
      <c r="W5960">
        <v>8.9613829999999998E-3</v>
      </c>
      <c r="X5960">
        <v>0.99640589999999996</v>
      </c>
      <c r="Y5960">
        <v>-0.28345629999999999</v>
      </c>
      <c r="Z5960">
        <v>6.9977249999999998E-3</v>
      </c>
      <c r="AA5960">
        <v>0.95895959999999902</v>
      </c>
      <c r="AB5960">
        <v>24</v>
      </c>
      <c r="AC5960">
        <v>13.9033</v>
      </c>
      <c r="AD5960">
        <v>-1.103024798046</v>
      </c>
      <c r="AE5960">
        <v>4.9251399999999901</v>
      </c>
      <c r="AF5960">
        <v>-4.1985232017334599</v>
      </c>
      <c r="AG5960">
        <v>-1.103024798046</v>
      </c>
      <c r="AH5960">
        <v>14.054112967045301</v>
      </c>
      <c r="AI5960">
        <v>94.300559189501101</v>
      </c>
      <c r="AJ5960">
        <v>106.632980089028</v>
      </c>
      <c r="AK5960">
        <v>14.709260758823699</v>
      </c>
    </row>
    <row r="5961" spans="1:37" x14ac:dyDescent="0.2">
      <c r="A5961" t="str">
        <f>"20200111160018746"</f>
        <v>20200111160018746</v>
      </c>
      <c r="B5961" t="str">
        <f>"1578729618737293"</f>
        <v>1578729618737293</v>
      </c>
      <c r="C5961" t="s">
        <v>37</v>
      </c>
      <c r="D5961">
        <v>5.0568960000000001</v>
      </c>
      <c r="E5961">
        <v>0.42391629999999902</v>
      </c>
      <c r="F5961" t="s">
        <v>92</v>
      </c>
      <c r="G5961">
        <v>-216.50489999999999</v>
      </c>
      <c r="H5961" s="1">
        <v>-2.6656400000000002E-6</v>
      </c>
      <c r="I5961">
        <v>-55.275939999999999</v>
      </c>
      <c r="J5961">
        <v>-230.63380000000001</v>
      </c>
      <c r="K5961">
        <v>1.1029949999999999</v>
      </c>
      <c r="L5961">
        <v>-60.26126</v>
      </c>
      <c r="M5961">
        <v>0.99872510000000003</v>
      </c>
      <c r="N5961">
        <v>0</v>
      </c>
      <c r="O5961">
        <v>4.9472420000000003E-2</v>
      </c>
      <c r="P5961">
        <v>0.99106659999999902</v>
      </c>
      <c r="Q5961">
        <v>-7.6315919999999998E-4</v>
      </c>
      <c r="R5961">
        <v>0.1333675</v>
      </c>
      <c r="S5961">
        <v>2.8899840000000001</v>
      </c>
      <c r="T5961">
        <v>-0.22387509999999999</v>
      </c>
      <c r="U5961">
        <v>1.0128170000000001</v>
      </c>
      <c r="V5961">
        <v>-8.4150710000000004E-2</v>
      </c>
      <c r="W5961">
        <v>9.4310499999999998E-3</v>
      </c>
      <c r="X5961">
        <v>0.99640839999999997</v>
      </c>
      <c r="Y5961">
        <v>-0.28301900000000002</v>
      </c>
      <c r="Z5961">
        <v>6.9225440000000001E-3</v>
      </c>
      <c r="AA5961">
        <v>0.95908930000000003</v>
      </c>
      <c r="AB5961">
        <v>24</v>
      </c>
      <c r="AC5961">
        <v>14.1289</v>
      </c>
      <c r="AD5961">
        <v>-1.10299766564</v>
      </c>
      <c r="AE5961">
        <v>4.98531999999999</v>
      </c>
      <c r="AF5961">
        <v>-4.2571165792364303</v>
      </c>
      <c r="AG5961">
        <v>-1.10299766564</v>
      </c>
      <c r="AH5961">
        <v>14.280848022658599</v>
      </c>
      <c r="AI5961">
        <v>94.233165936672293</v>
      </c>
      <c r="AJ5961">
        <v>106.599303167866</v>
      </c>
      <c r="AK5961">
        <v>14.9426324878145</v>
      </c>
    </row>
    <row r="5962" spans="1:37" x14ac:dyDescent="0.2">
      <c r="A5962" t="str">
        <f>"20200111160018757"</f>
        <v>20200111160018757</v>
      </c>
      <c r="B5962" t="str">
        <f>"1578729618747053"</f>
        <v>1578729618747053</v>
      </c>
      <c r="C5962" t="s">
        <v>37</v>
      </c>
      <c r="D5962">
        <v>4.8217980000000003</v>
      </c>
      <c r="E5962">
        <v>0.42383219999999999</v>
      </c>
      <c r="F5962" t="s">
        <v>92</v>
      </c>
      <c r="G5962">
        <v>-216.21610000000001</v>
      </c>
      <c r="H5962" s="1">
        <v>-2.5505080000000002E-6</v>
      </c>
      <c r="I5962">
        <v>-55.226509999999998</v>
      </c>
      <c r="J5962">
        <v>-230.51220000000001</v>
      </c>
      <c r="K5962">
        <v>1.1029709999999999</v>
      </c>
      <c r="L5962">
        <v>-60.256069999999902</v>
      </c>
      <c r="M5962">
        <v>0.9987627</v>
      </c>
      <c r="N5962">
        <v>0</v>
      </c>
      <c r="O5962">
        <v>4.8737120000000002E-2</v>
      </c>
      <c r="P5962">
        <v>0.99117489999999997</v>
      </c>
      <c r="Q5962">
        <v>5.3253959999999896E-4</v>
      </c>
      <c r="R5962">
        <v>0.1325607</v>
      </c>
      <c r="S5962">
        <v>2.891022</v>
      </c>
      <c r="T5962">
        <v>-0.2211719</v>
      </c>
      <c r="U5962">
        <v>1.009552</v>
      </c>
      <c r="V5962">
        <v>-8.4069909999999998E-2</v>
      </c>
      <c r="W5962">
        <v>1.0587320000000001E-2</v>
      </c>
      <c r="X5962">
        <v>0.99640359999999994</v>
      </c>
      <c r="Y5962">
        <v>-0.28266629999999998</v>
      </c>
      <c r="Z5962">
        <v>6.8792860000000001E-3</v>
      </c>
      <c r="AA5962">
        <v>0.95919359999999998</v>
      </c>
      <c r="AB5962">
        <v>24</v>
      </c>
      <c r="AC5962">
        <v>14.2960999999999</v>
      </c>
      <c r="AD5962">
        <v>-1.1029735505079901</v>
      </c>
      <c r="AE5962">
        <v>5.0295599999999903</v>
      </c>
      <c r="AF5962">
        <v>-4.3040001031847499</v>
      </c>
      <c r="AG5962">
        <v>-1.1029735505079901</v>
      </c>
      <c r="AH5962">
        <v>14.4477204703235</v>
      </c>
      <c r="AI5962">
        <v>94.1845820089776</v>
      </c>
      <c r="AJ5962">
        <v>106.588882225644</v>
      </c>
      <c r="AK5962">
        <v>15.1154753259678</v>
      </c>
    </row>
    <row r="5963" spans="1:37" x14ac:dyDescent="0.2">
      <c r="A5963" t="str">
        <f>"20200111160018768"</f>
        <v>20200111160018768</v>
      </c>
      <c r="B5963" t="str">
        <f>"1578729618756813"</f>
        <v>1578729618756813</v>
      </c>
      <c r="C5963" t="s">
        <v>37</v>
      </c>
      <c r="D5963">
        <v>4.7846140000000004</v>
      </c>
      <c r="E5963">
        <v>0.4237303</v>
      </c>
      <c r="F5963" t="s">
        <v>92</v>
      </c>
      <c r="G5963">
        <v>-215.7731</v>
      </c>
      <c r="H5963" s="1">
        <v>-2.3798660000000002E-6</v>
      </c>
      <c r="I5963">
        <v>-55.117199999999997</v>
      </c>
      <c r="J5963">
        <v>-230.40039999999999</v>
      </c>
      <c r="K5963">
        <v>1.1029549999999999</v>
      </c>
      <c r="L5963">
        <v>-60.251309999999997</v>
      </c>
      <c r="M5963">
        <v>0.99879680000000004</v>
      </c>
      <c r="N5963">
        <v>0</v>
      </c>
      <c r="O5963">
        <v>4.8057910000000002E-2</v>
      </c>
      <c r="P5963">
        <v>0.99128400000000005</v>
      </c>
      <c r="Q5963">
        <v>1.64900299999999E-3</v>
      </c>
      <c r="R5963">
        <v>0.13173270000000001</v>
      </c>
      <c r="S5963">
        <v>2.8919980000000001</v>
      </c>
      <c r="T5963">
        <v>-0.2164172</v>
      </c>
      <c r="U5963">
        <v>1.0083009999999999</v>
      </c>
      <c r="V5963">
        <v>-8.3913150000000006E-2</v>
      </c>
      <c r="W5963">
        <v>1.158051E-2</v>
      </c>
      <c r="X5963">
        <v>0.99640580000000001</v>
      </c>
      <c r="Y5963">
        <v>-0.2828716</v>
      </c>
      <c r="Z5963">
        <v>6.7866139999999998E-3</v>
      </c>
      <c r="AA5963">
        <v>0.95913379999999904</v>
      </c>
      <c r="AB5963">
        <v>24</v>
      </c>
      <c r="AC5963">
        <v>14.6272999999999</v>
      </c>
      <c r="AD5963">
        <v>-1.102957379866</v>
      </c>
      <c r="AE5963">
        <v>5.1341099999999997</v>
      </c>
      <c r="AF5963">
        <v>-4.4028982080762598</v>
      </c>
      <c r="AG5963">
        <v>-1.102957379866</v>
      </c>
      <c r="AH5963">
        <v>14.7823137139107</v>
      </c>
      <c r="AI5963">
        <v>94.090189333928294</v>
      </c>
      <c r="AJ5963">
        <v>106.586113256242</v>
      </c>
      <c r="AK5963">
        <v>15.4634674749538</v>
      </c>
    </row>
    <row r="5964" spans="1:37" x14ac:dyDescent="0.2">
      <c r="A5964" t="str">
        <f>"20200111160018781"</f>
        <v>20200111160018781</v>
      </c>
      <c r="B5964" t="str">
        <f>"1578729618776463"</f>
        <v>1578729618776463</v>
      </c>
      <c r="C5964" t="s">
        <v>37</v>
      </c>
      <c r="D5964">
        <v>4.6657299999999999</v>
      </c>
      <c r="E5964">
        <v>0.42324799999999901</v>
      </c>
      <c r="F5964" t="s">
        <v>92</v>
      </c>
      <c r="G5964">
        <v>-215.40729999999999</v>
      </c>
      <c r="H5964" s="1">
        <v>-2.2380340000000001E-6</v>
      </c>
      <c r="I5964">
        <v>-55.03201</v>
      </c>
      <c r="J5964">
        <v>-230.26730000000001</v>
      </c>
      <c r="K5964">
        <v>1.1029420000000001</v>
      </c>
      <c r="L5964">
        <v>-60.245759999999997</v>
      </c>
      <c r="M5964">
        <v>0.99883709999999903</v>
      </c>
      <c r="N5964">
        <v>0</v>
      </c>
      <c r="O5964">
        <v>4.7241940000000003E-2</v>
      </c>
      <c r="P5964">
        <v>0.99145709999999998</v>
      </c>
      <c r="Q5964">
        <v>3.0305200000000001E-3</v>
      </c>
      <c r="R5964">
        <v>0.1303985</v>
      </c>
      <c r="S5964">
        <v>2.89291399999999</v>
      </c>
      <c r="T5964">
        <v>-0.21281459999999999</v>
      </c>
      <c r="U5964">
        <v>1.00705</v>
      </c>
      <c r="V5964">
        <v>-8.3383059999999995E-2</v>
      </c>
      <c r="W5964">
        <v>1.2824489999999999E-2</v>
      </c>
      <c r="X5964">
        <v>0.99643499999999996</v>
      </c>
      <c r="Y5964">
        <v>-0.2832074</v>
      </c>
      <c r="Z5964">
        <v>6.7423279999999997E-3</v>
      </c>
      <c r="AA5964">
        <v>0.95903499999999997</v>
      </c>
      <c r="AB5964">
        <v>24</v>
      </c>
      <c r="AC5964">
        <v>14.86</v>
      </c>
      <c r="AD5964">
        <v>-1.102944238034</v>
      </c>
      <c r="AE5964">
        <v>5.2137499999999903</v>
      </c>
      <c r="AF5964">
        <v>-4.4838863872632801</v>
      </c>
      <c r="AG5964">
        <v>-1.102944238034</v>
      </c>
      <c r="AH5964">
        <v>15.0160702132282</v>
      </c>
      <c r="AI5964">
        <v>94.025848526789005</v>
      </c>
      <c r="AJ5964">
        <v>106.62593266043</v>
      </c>
      <c r="AK5964">
        <v>15.709999610906999</v>
      </c>
    </row>
    <row r="5965" spans="1:37" x14ac:dyDescent="0.2">
      <c r="A5965" t="str">
        <f>"20200111160018792"</f>
        <v>20200111160018792</v>
      </c>
      <c r="B5965" t="str">
        <f>"1578729618787199"</f>
        <v>1578729618787199</v>
      </c>
      <c r="C5965" t="s">
        <v>37</v>
      </c>
      <c r="D5965">
        <v>5.0073249999999998</v>
      </c>
      <c r="E5965">
        <v>0.42329929999999899</v>
      </c>
      <c r="F5965" t="s">
        <v>92</v>
      </c>
      <c r="G5965">
        <v>-215.06270000000001</v>
      </c>
      <c r="H5965" s="1">
        <v>-2.1406069999999999E-6</v>
      </c>
      <c r="I5965">
        <v>-54.952919999999999</v>
      </c>
      <c r="J5965">
        <v>-230.1557</v>
      </c>
      <c r="K5965">
        <v>1.1029279999999999</v>
      </c>
      <c r="L5965">
        <v>-60.241209999999903</v>
      </c>
      <c r="M5965">
        <v>0.99887029999999999</v>
      </c>
      <c r="N5965">
        <v>0</v>
      </c>
      <c r="O5965">
        <v>4.6555899999999997E-2</v>
      </c>
      <c r="P5965">
        <v>0.99160839999999995</v>
      </c>
      <c r="Q5965">
        <v>4.1533819999999997E-3</v>
      </c>
      <c r="R5965">
        <v>0.12921169999999901</v>
      </c>
      <c r="S5965">
        <v>2.894012</v>
      </c>
      <c r="T5965">
        <v>-0.2099316</v>
      </c>
      <c r="U5965">
        <v>1.0074160000000001</v>
      </c>
      <c r="V5965">
        <v>-8.2872580000000001E-2</v>
      </c>
      <c r="W5965">
        <v>1.3839580000000001E-2</v>
      </c>
      <c r="X5965">
        <v>0.99646409999999996</v>
      </c>
      <c r="Y5965">
        <v>-0.28387370000000001</v>
      </c>
      <c r="Z5965">
        <v>6.7202059999999899E-3</v>
      </c>
      <c r="AA5965">
        <v>0.95883819999999997</v>
      </c>
      <c r="AB5965">
        <v>24</v>
      </c>
      <c r="AC5965">
        <v>15.0929999999999</v>
      </c>
      <c r="AD5965">
        <v>-1.102930140607</v>
      </c>
      <c r="AE5965">
        <v>5.2882899999999902</v>
      </c>
      <c r="AF5965">
        <v>-4.5581758921777498</v>
      </c>
      <c r="AG5965">
        <v>-1.102930140607</v>
      </c>
      <c r="AH5965">
        <v>15.250312468084701</v>
      </c>
      <c r="AI5965">
        <v>93.963851684271603</v>
      </c>
      <c r="AJ5965">
        <v>106.64091382948899</v>
      </c>
      <c r="AK5965">
        <v>15.955107418419701</v>
      </c>
    </row>
    <row r="5966" spans="1:37" x14ac:dyDescent="0.2">
      <c r="A5966" t="str">
        <f>"20200111160018801"</f>
        <v>20200111160018801</v>
      </c>
      <c r="B5966" t="str">
        <f>"1578729618796958"</f>
        <v>1578729618796958</v>
      </c>
      <c r="C5966" t="s">
        <v>37</v>
      </c>
      <c r="D5966">
        <v>5.0588499999999996</v>
      </c>
      <c r="E5966">
        <v>0.42334759999999999</v>
      </c>
      <c r="F5966" t="s">
        <v>92</v>
      </c>
      <c r="G5966">
        <v>-214.7235</v>
      </c>
      <c r="H5966" s="1">
        <v>-2.0419299999999999E-6</v>
      </c>
      <c r="I5966">
        <v>-54.889989999999997</v>
      </c>
      <c r="J5966">
        <v>-230.04300000000001</v>
      </c>
      <c r="K5966">
        <v>1.10292099999999</v>
      </c>
      <c r="L5966">
        <v>-60.236660000000001</v>
      </c>
      <c r="M5966">
        <v>0.99890349999999895</v>
      </c>
      <c r="N5966">
        <v>0</v>
      </c>
      <c r="O5966">
        <v>4.5861079999999999E-2</v>
      </c>
      <c r="P5966">
        <v>0.99178580000000005</v>
      </c>
      <c r="Q5966">
        <v>4.9229879999999997E-3</v>
      </c>
      <c r="R5966">
        <v>0.12781629999999999</v>
      </c>
      <c r="S5966">
        <v>2.895432</v>
      </c>
      <c r="T5966">
        <v>-0.20693420000000001</v>
      </c>
      <c r="U5966">
        <v>1.0039979999999999</v>
      </c>
      <c r="V5966">
        <v>-8.2161899999999996E-2</v>
      </c>
      <c r="W5966">
        <v>1.4505179999999999E-2</v>
      </c>
      <c r="X5966">
        <v>0.99651339999999999</v>
      </c>
      <c r="Y5966">
        <v>-0.28339989999999998</v>
      </c>
      <c r="Z5966">
        <v>6.6541839999999996E-3</v>
      </c>
      <c r="AA5966">
        <v>0.95897869999999996</v>
      </c>
      <c r="AB5966">
        <v>24</v>
      </c>
      <c r="AC5966">
        <v>15.3195</v>
      </c>
      <c r="AD5966">
        <v>-1.10292304192999</v>
      </c>
      <c r="AE5966">
        <v>5.3466699999999898</v>
      </c>
      <c r="AF5966">
        <v>-4.61711091029568</v>
      </c>
      <c r="AG5966">
        <v>-1.10292304192999</v>
      </c>
      <c r="AH5966">
        <v>15.4770839259303</v>
      </c>
      <c r="AI5966">
        <v>93.9065391812765</v>
      </c>
      <c r="AJ5966">
        <v>106.610850961992</v>
      </c>
      <c r="AK5966">
        <v>16.188708387165399</v>
      </c>
    </row>
    <row r="5967" spans="1:37" x14ac:dyDescent="0.2">
      <c r="A5967" t="str">
        <f>"20200111160018814"</f>
        <v>20200111160018814</v>
      </c>
      <c r="B5967" t="str">
        <f>"1578729618806719"</f>
        <v>1578729618806719</v>
      </c>
      <c r="C5967" t="s">
        <v>37</v>
      </c>
      <c r="D5967">
        <v>5.0529909999999996</v>
      </c>
      <c r="E5967">
        <v>0.4234348</v>
      </c>
      <c r="F5967" t="s">
        <v>92</v>
      </c>
      <c r="G5967">
        <v>-214.4563</v>
      </c>
      <c r="H5967" s="1">
        <v>-1.9597730000000002E-6</v>
      </c>
      <c r="I5967">
        <v>-54.856999999999999</v>
      </c>
      <c r="J5967">
        <v>-229.91419999999999</v>
      </c>
      <c r="K5967">
        <v>1.1029149999999901</v>
      </c>
      <c r="L5967">
        <v>-60.231659999999998</v>
      </c>
      <c r="M5967">
        <v>0.99894059999999996</v>
      </c>
      <c r="N5967">
        <v>0</v>
      </c>
      <c r="O5967">
        <v>4.5067780000000002E-2</v>
      </c>
      <c r="P5967">
        <v>0.99196770000000001</v>
      </c>
      <c r="Q5967">
        <v>5.79568599999999E-3</v>
      </c>
      <c r="R5967">
        <v>0.12635919999999901</v>
      </c>
      <c r="S5967">
        <v>2.8970180000000001</v>
      </c>
      <c r="T5967">
        <v>-0.20499429999999899</v>
      </c>
      <c r="U5967">
        <v>0.99987789999999999</v>
      </c>
      <c r="V5967">
        <v>-8.1487630000000005E-2</v>
      </c>
      <c r="W5967">
        <v>1.527042E-2</v>
      </c>
      <c r="X5967">
        <v>0.99655740000000004</v>
      </c>
      <c r="Y5967">
        <v>-0.2827906</v>
      </c>
      <c r="Z5967">
        <v>6.6233219999999897E-3</v>
      </c>
      <c r="AA5967">
        <v>0.95915879999999998</v>
      </c>
      <c r="AB5967">
        <v>24</v>
      </c>
      <c r="AC5967">
        <v>15.457899999999899</v>
      </c>
      <c r="AD5967">
        <v>-1.102916959773</v>
      </c>
      <c r="AE5967">
        <v>5.3746599999999898</v>
      </c>
      <c r="AF5967">
        <v>-4.6513897924955598</v>
      </c>
      <c r="AG5967">
        <v>-1.102916959773</v>
      </c>
      <c r="AH5967">
        <v>15.6135145974973</v>
      </c>
      <c r="AI5967">
        <v>93.872921631882207</v>
      </c>
      <c r="AJ5967">
        <v>106.589211416479</v>
      </c>
      <c r="AK5967">
        <v>16.3289219150607</v>
      </c>
    </row>
    <row r="5968" spans="1:37" x14ac:dyDescent="0.2">
      <c r="A5968" t="str">
        <f>"20200111160018825"</f>
        <v>20200111160018825</v>
      </c>
      <c r="B5968" t="str">
        <f>"1578729618816479"</f>
        <v>1578729618816479</v>
      </c>
      <c r="C5968" t="s">
        <v>37</v>
      </c>
      <c r="D5968">
        <v>4.8830859999999996</v>
      </c>
      <c r="E5968">
        <v>0.42324620000000002</v>
      </c>
      <c r="F5968" t="s">
        <v>92</v>
      </c>
      <c r="G5968">
        <v>-214.00749999999999</v>
      </c>
      <c r="H5968" s="1">
        <v>-1.830073E-6</v>
      </c>
      <c r="I5968">
        <v>-54.770479999999999</v>
      </c>
      <c r="J5968">
        <v>-229.7954</v>
      </c>
      <c r="K5968">
        <v>1.1029149999999901</v>
      </c>
      <c r="L5968">
        <v>-60.227049999999998</v>
      </c>
      <c r="M5968">
        <v>0.99897429999999998</v>
      </c>
      <c r="N5968">
        <v>0</v>
      </c>
      <c r="O5968">
        <v>4.4335439999999997E-2</v>
      </c>
      <c r="P5968">
        <v>0.99212979999999995</v>
      </c>
      <c r="Q5968">
        <v>6.3177110000000002E-3</v>
      </c>
      <c r="R5968">
        <v>0.12505469999999999</v>
      </c>
      <c r="S5968">
        <v>2.898682</v>
      </c>
      <c r="T5968">
        <v>-0.20098440000000001</v>
      </c>
      <c r="U5968">
        <v>0.99517819999999901</v>
      </c>
      <c r="V5968">
        <v>-8.090688E-2</v>
      </c>
      <c r="W5968">
        <v>1.5697139999999998E-2</v>
      </c>
      <c r="X5968">
        <v>0.99659809999999904</v>
      </c>
      <c r="Y5968">
        <v>-0.28195429999999999</v>
      </c>
      <c r="Z5968">
        <v>6.5131059999999899E-3</v>
      </c>
      <c r="AA5968">
        <v>0.95940569999999903</v>
      </c>
      <c r="AB5968">
        <v>24</v>
      </c>
      <c r="AC5968">
        <v>15.7879</v>
      </c>
      <c r="AD5968">
        <v>-1.1029168300729999</v>
      </c>
      <c r="AE5968">
        <v>5.4565699999999904</v>
      </c>
      <c r="AF5968">
        <v>-4.7305882024973798</v>
      </c>
      <c r="AG5968">
        <v>-1.1029168300729999</v>
      </c>
      <c r="AH5968">
        <v>15.944793621435201</v>
      </c>
      <c r="AI5968">
        <v>93.793955261445106</v>
      </c>
      <c r="AJ5968">
        <v>106.52485635309201</v>
      </c>
      <c r="AK5968">
        <v>16.6682732730726</v>
      </c>
    </row>
    <row r="5969" spans="1:37" x14ac:dyDescent="0.2">
      <c r="A5969" t="str">
        <f>"20200111160018836"</f>
        <v>20200111160018836</v>
      </c>
      <c r="B5969" t="str">
        <f>"1578729618827214"</f>
        <v>1578729618827214</v>
      </c>
      <c r="C5969" t="s">
        <v>37</v>
      </c>
      <c r="D5969">
        <v>5.0963089999999998</v>
      </c>
      <c r="E5969">
        <v>0.423367099999999</v>
      </c>
      <c r="F5969" t="s">
        <v>92</v>
      </c>
      <c r="G5969">
        <v>-213.83519999999999</v>
      </c>
      <c r="H5969" s="1">
        <v>-1.774004E-6</v>
      </c>
      <c r="I5969">
        <v>-54.760860000000001</v>
      </c>
      <c r="J5969">
        <v>-229.6687</v>
      </c>
      <c r="K5969">
        <v>1.1029169999999999</v>
      </c>
      <c r="L5969">
        <v>-60.222259999999999</v>
      </c>
      <c r="M5969">
        <v>0.99900900000000004</v>
      </c>
      <c r="N5969">
        <v>0</v>
      </c>
      <c r="O5969">
        <v>4.3562080000000003E-2</v>
      </c>
      <c r="P5969">
        <v>0.99231399999999903</v>
      </c>
      <c r="Q5969">
        <v>6.9934280000000003E-3</v>
      </c>
      <c r="R5969">
        <v>0.1235492</v>
      </c>
      <c r="S5969">
        <v>2.8998719999999998</v>
      </c>
      <c r="T5969">
        <v>-0.2003934</v>
      </c>
      <c r="U5969">
        <v>0.99316409999999999</v>
      </c>
      <c r="V5969">
        <v>-8.0165239999999999E-2</v>
      </c>
      <c r="W5969">
        <v>1.6287380000000001E-2</v>
      </c>
      <c r="X5969">
        <v>0.99664850000000005</v>
      </c>
      <c r="Y5969">
        <v>-0.28198119999999999</v>
      </c>
      <c r="Z5969">
        <v>6.5447630000000003E-3</v>
      </c>
      <c r="AA5969">
        <v>0.95939759999999996</v>
      </c>
      <c r="AB5969">
        <v>24</v>
      </c>
      <c r="AC5969">
        <v>15.833500000000001</v>
      </c>
      <c r="AD5969">
        <v>-1.1029187740039901</v>
      </c>
      <c r="AE5969">
        <v>5.4613999999999896</v>
      </c>
      <c r="AF5969">
        <v>-4.7458670326176398</v>
      </c>
      <c r="AG5969">
        <v>-1.1029187740039901</v>
      </c>
      <c r="AH5969">
        <v>15.987064516707999</v>
      </c>
      <c r="AI5969">
        <v>93.783783397925902</v>
      </c>
      <c r="AJ5969">
        <v>106.533873664217</v>
      </c>
      <c r="AK5969">
        <v>16.713046268550901</v>
      </c>
    </row>
    <row r="5970" spans="1:37" x14ac:dyDescent="0.2">
      <c r="A5970" t="str">
        <f>"20200111160018847"</f>
        <v>20200111160018847</v>
      </c>
      <c r="B5970" t="str">
        <f>"1578729618836976"</f>
        <v>1578729618836976</v>
      </c>
      <c r="C5970" t="s">
        <v>37</v>
      </c>
      <c r="D5970">
        <v>5.1115550000000001</v>
      </c>
      <c r="E5970">
        <v>0.42339779999999999</v>
      </c>
      <c r="F5970" t="s">
        <v>92</v>
      </c>
      <c r="G5970">
        <v>-213.4383</v>
      </c>
      <c r="H5970" s="1">
        <v>-1.6561599999999899E-6</v>
      </c>
      <c r="I5970">
        <v>-54.696129999999997</v>
      </c>
      <c r="J5970">
        <v>-229.5558</v>
      </c>
      <c r="K5970">
        <v>1.10292099999999</v>
      </c>
      <c r="L5970">
        <v>-60.21808</v>
      </c>
      <c r="M5970">
        <v>0.99903940000000002</v>
      </c>
      <c r="N5970">
        <v>0</v>
      </c>
      <c r="O5970">
        <v>4.2875080000000003E-2</v>
      </c>
      <c r="P5970">
        <v>0.9924982</v>
      </c>
      <c r="Q5970">
        <v>7.689258E-3</v>
      </c>
      <c r="R5970">
        <v>0.1220171</v>
      </c>
      <c r="S5970">
        <v>2.9016570000000002</v>
      </c>
      <c r="T5970">
        <v>-0.19717850000000001</v>
      </c>
      <c r="U5970">
        <v>0.98794559999999998</v>
      </c>
      <c r="V5970">
        <v>-7.9310859999999997E-2</v>
      </c>
      <c r="W5970">
        <v>1.6909099999999899E-2</v>
      </c>
      <c r="X5970">
        <v>0.99670650000000005</v>
      </c>
      <c r="Y5970">
        <v>-0.2809315</v>
      </c>
      <c r="Z5970">
        <v>6.4485480000000001E-3</v>
      </c>
      <c r="AA5970">
        <v>0.95970619999999995</v>
      </c>
      <c r="AB5970">
        <v>24</v>
      </c>
      <c r="AC5970">
        <v>16.1175</v>
      </c>
      <c r="AD5970">
        <v>-1.1029226561599901</v>
      </c>
      <c r="AE5970">
        <v>5.5219500000000004</v>
      </c>
      <c r="AF5970">
        <v>-4.8056649262409099</v>
      </c>
      <c r="AG5970">
        <v>-1.1029226561599901</v>
      </c>
      <c r="AH5970">
        <v>16.271252390242498</v>
      </c>
      <c r="AI5970">
        <v>93.719421308326204</v>
      </c>
      <c r="AJ5970">
        <v>106.454345337791</v>
      </c>
      <c r="AK5970">
        <v>17.001897191659101</v>
      </c>
    </row>
    <row r="5971" spans="1:37" x14ac:dyDescent="0.2">
      <c r="A5971" t="str">
        <f>"20200111160018859"</f>
        <v>20200111160018859</v>
      </c>
      <c r="B5971" t="str">
        <f>"1578729618856495"</f>
        <v>1578729618856495</v>
      </c>
      <c r="C5971" t="s">
        <v>37</v>
      </c>
      <c r="D5971">
        <v>5.0451169999999896</v>
      </c>
      <c r="E5971">
        <v>0.422608599999999</v>
      </c>
      <c r="F5971" t="s">
        <v>92</v>
      </c>
      <c r="G5971">
        <v>-213.12530000000001</v>
      </c>
      <c r="H5971" s="1">
        <v>-1.561392E-6</v>
      </c>
      <c r="I5971">
        <v>-54.651940000000003</v>
      </c>
      <c r="J5971">
        <v>-229.4246</v>
      </c>
      <c r="K5971">
        <v>1.102927</v>
      </c>
      <c r="L5971">
        <v>-60.213290000000001</v>
      </c>
      <c r="M5971">
        <v>0.99907359999999901</v>
      </c>
      <c r="N5971">
        <v>0</v>
      </c>
      <c r="O5971">
        <v>4.208576E-2</v>
      </c>
      <c r="P5971">
        <v>0.99265249999999905</v>
      </c>
      <c r="Q5971">
        <v>8.4283480000000004E-3</v>
      </c>
      <c r="R5971">
        <v>0.12070739999999899</v>
      </c>
      <c r="S5971">
        <v>2.9032589999999998</v>
      </c>
      <c r="T5971">
        <v>-0.19488520000000001</v>
      </c>
      <c r="U5971">
        <v>0.98352050000000002</v>
      </c>
      <c r="V5971">
        <v>-7.8781900000000002E-2</v>
      </c>
      <c r="W5971">
        <v>1.757514E-2</v>
      </c>
      <c r="X5971">
        <v>0.99673690000000004</v>
      </c>
      <c r="Y5971">
        <v>-0.28022779999999903</v>
      </c>
      <c r="Z5971">
        <v>6.4001980000000002E-3</v>
      </c>
      <c r="AA5971">
        <v>0.95991219999999999</v>
      </c>
      <c r="AB5971">
        <v>24</v>
      </c>
      <c r="AC5971">
        <v>16.299299999999899</v>
      </c>
      <c r="AD5971">
        <v>-1.1029285613919999</v>
      </c>
      <c r="AE5971">
        <v>5.5613499999999902</v>
      </c>
      <c r="AF5971">
        <v>-4.8505322720801702</v>
      </c>
      <c r="AG5971">
        <v>-1.1029285613919999</v>
      </c>
      <c r="AH5971">
        <v>16.451447173906299</v>
      </c>
      <c r="AI5971">
        <v>93.679319811478905</v>
      </c>
      <c r="AJ5971">
        <v>106.427585678619</v>
      </c>
      <c r="AK5971">
        <v>17.187036651204799</v>
      </c>
    </row>
    <row r="5972" spans="1:37" x14ac:dyDescent="0.2">
      <c r="A5972" t="str">
        <f>"20200111160018871"</f>
        <v>20200111160018871</v>
      </c>
      <c r="B5972" t="str">
        <f>"1578729618867230"</f>
        <v>1578729618867230</v>
      </c>
      <c r="C5972" t="s">
        <v>37</v>
      </c>
      <c r="D5972">
        <v>4.3763249999999996</v>
      </c>
      <c r="E5972">
        <v>0.42185820000000002</v>
      </c>
      <c r="F5972" t="s">
        <v>92</v>
      </c>
      <c r="G5972">
        <v>-212.72489999999999</v>
      </c>
      <c r="H5972" s="1">
        <v>-1.4541349999999899E-6</v>
      </c>
      <c r="I5972">
        <v>-54.543050000000001</v>
      </c>
      <c r="J5972">
        <v>-229.3048</v>
      </c>
      <c r="K5972">
        <v>1.102935</v>
      </c>
      <c r="L5972">
        <v>-60.209009999999999</v>
      </c>
      <c r="M5972">
        <v>0.99910379999999999</v>
      </c>
      <c r="N5972">
        <v>0</v>
      </c>
      <c r="O5972">
        <v>4.1373939999999998E-2</v>
      </c>
      <c r="P5972">
        <v>0.99279649999999997</v>
      </c>
      <c r="Q5972">
        <v>9.1687909999999904E-3</v>
      </c>
      <c r="R5972">
        <v>0.11946130000000001</v>
      </c>
      <c r="S5972">
        <v>2.903915</v>
      </c>
      <c r="T5972">
        <v>-0.19178899999999999</v>
      </c>
      <c r="U5972">
        <v>0.98599239999999999</v>
      </c>
      <c r="V5972">
        <v>-7.8240080000000004E-2</v>
      </c>
      <c r="W5972">
        <v>1.825357E-2</v>
      </c>
      <c r="X5972">
        <v>0.99676739999999997</v>
      </c>
      <c r="Y5972">
        <v>-0.2815896</v>
      </c>
      <c r="Z5972">
        <v>6.3857569999999997E-3</v>
      </c>
      <c r="AA5972">
        <v>0.95951369999999903</v>
      </c>
      <c r="AB5972">
        <v>24</v>
      </c>
      <c r="AC5972">
        <v>16.579899999999999</v>
      </c>
      <c r="AD5972">
        <v>-1.102936454135</v>
      </c>
      <c r="AE5972">
        <v>5.6659599999999903</v>
      </c>
      <c r="AF5972">
        <v>-4.95546888648036</v>
      </c>
      <c r="AG5972">
        <v>-1.102936454135</v>
      </c>
      <c r="AH5972">
        <v>16.733826875813602</v>
      </c>
      <c r="AI5972">
        <v>93.616154136076105</v>
      </c>
      <c r="AJ5972">
        <v>106.495856025213</v>
      </c>
      <c r="AK5972">
        <v>17.4869695092213</v>
      </c>
    </row>
    <row r="5973" spans="1:37" x14ac:dyDescent="0.2">
      <c r="A5973" t="str">
        <f>"20200111160018881"</f>
        <v>20200111160018881</v>
      </c>
      <c r="B5973" t="str">
        <f>"1578729618876990"</f>
        <v>1578729618876990</v>
      </c>
      <c r="C5973" t="s">
        <v>37</v>
      </c>
      <c r="D5973">
        <v>5.0440649999999998</v>
      </c>
      <c r="E5973">
        <v>0.42193779999999997</v>
      </c>
      <c r="F5973" t="s">
        <v>92</v>
      </c>
      <c r="G5973">
        <v>-212.22460000000001</v>
      </c>
      <c r="H5973" s="1">
        <v>-1.322914E-6</v>
      </c>
      <c r="I5973">
        <v>-54.39631</v>
      </c>
      <c r="J5973">
        <v>-229.185</v>
      </c>
      <c r="K5973">
        <v>1.102943</v>
      </c>
      <c r="L5973">
        <v>-60.204799999999999</v>
      </c>
      <c r="M5973">
        <v>0.99913320000000005</v>
      </c>
      <c r="N5973">
        <v>0</v>
      </c>
      <c r="O5973">
        <v>4.0669249999999997E-2</v>
      </c>
      <c r="P5973">
        <v>0.99291830000000003</v>
      </c>
      <c r="Q5973">
        <v>1.010895E-2</v>
      </c>
      <c r="R5973">
        <v>0.118367899999999</v>
      </c>
      <c r="S5973">
        <v>2.9045559999999999</v>
      </c>
      <c r="T5973">
        <v>-0.18755869999999999</v>
      </c>
      <c r="U5973">
        <v>0.98846440000000002</v>
      </c>
      <c r="V5973">
        <v>-7.7843819999999994E-2</v>
      </c>
      <c r="W5973">
        <v>1.913747E-2</v>
      </c>
      <c r="X5973">
        <v>0.9967819</v>
      </c>
      <c r="Y5973">
        <v>-0.28295049999999999</v>
      </c>
      <c r="Z5973">
        <v>6.32979099999999E-3</v>
      </c>
      <c r="AA5973">
        <v>0.95911369999999896</v>
      </c>
      <c r="AB5973">
        <v>24</v>
      </c>
      <c r="AC5973">
        <v>16.9603999999999</v>
      </c>
      <c r="AD5973">
        <v>-1.1029443229139999</v>
      </c>
      <c r="AE5973">
        <v>5.8084899999999902</v>
      </c>
      <c r="AF5973">
        <v>-5.0946068395825099</v>
      </c>
      <c r="AG5973">
        <v>-1.1029443229139999</v>
      </c>
      <c r="AH5973">
        <v>17.1178116876095</v>
      </c>
      <c r="AI5973">
        <v>93.533841420971996</v>
      </c>
      <c r="AJ5973">
        <v>106.574069338112</v>
      </c>
      <c r="AK5973">
        <v>17.893881132997102</v>
      </c>
    </row>
    <row r="5974" spans="1:37" x14ac:dyDescent="0.2">
      <c r="A5974" t="str">
        <f>"20200111160018893"</f>
        <v>20200111160018893</v>
      </c>
      <c r="B5974" t="str">
        <f>"1578729618886751"</f>
        <v>1578729618886751</v>
      </c>
      <c r="C5974" t="s">
        <v>37</v>
      </c>
      <c r="D5974">
        <v>4.9719959999999999</v>
      </c>
      <c r="E5974">
        <v>0.42187380000000002</v>
      </c>
      <c r="F5974" t="s">
        <v>92</v>
      </c>
      <c r="G5974">
        <v>-211.80070000000001</v>
      </c>
      <c r="H5974" s="1">
        <v>-1.200717E-6</v>
      </c>
      <c r="I5974">
        <v>-54.313339999999997</v>
      </c>
      <c r="J5974">
        <v>-229.072</v>
      </c>
      <c r="K5974">
        <v>1.1029519999999999</v>
      </c>
      <c r="L5974">
        <v>-60.20093</v>
      </c>
      <c r="M5974">
        <v>0.99915989999999999</v>
      </c>
      <c r="N5974">
        <v>0</v>
      </c>
      <c r="O5974">
        <v>4.0019489999999998E-2</v>
      </c>
      <c r="P5974">
        <v>0.992955699999999</v>
      </c>
      <c r="Q5974">
        <v>1.0745609999999999E-2</v>
      </c>
      <c r="R5974">
        <v>0.11799809999999999</v>
      </c>
      <c r="S5974">
        <v>2.905869</v>
      </c>
      <c r="T5974">
        <v>-0.18436150000000001</v>
      </c>
      <c r="U5974">
        <v>0.98477169999999903</v>
      </c>
      <c r="V5974">
        <v>-7.8120490000000001E-2</v>
      </c>
      <c r="W5974">
        <v>1.9728160000000002E-2</v>
      </c>
      <c r="X5974">
        <v>0.99674869999999904</v>
      </c>
      <c r="Y5974">
        <v>-0.28236430000000001</v>
      </c>
      <c r="Z5974">
        <v>6.2424919999999997E-3</v>
      </c>
      <c r="AA5974">
        <v>0.95928690000000005</v>
      </c>
      <c r="AB5974">
        <v>24</v>
      </c>
      <c r="AC5974">
        <v>17.271299999999901</v>
      </c>
      <c r="AD5974">
        <v>-1.102953200717</v>
      </c>
      <c r="AE5974">
        <v>5.8875900000000003</v>
      </c>
      <c r="AF5974">
        <v>-5.1727583749494697</v>
      </c>
      <c r="AG5974">
        <v>-1.102953200717</v>
      </c>
      <c r="AH5974">
        <v>17.429410436276701</v>
      </c>
      <c r="AI5974">
        <v>93.471639354498194</v>
      </c>
      <c r="AJ5974">
        <v>106.53001056432799</v>
      </c>
      <c r="AK5974">
        <v>18.214232982060299</v>
      </c>
    </row>
    <row r="5975" spans="1:37" x14ac:dyDescent="0.2">
      <c r="A5975" t="str">
        <f>"20200111160018904"</f>
        <v>20200111160018904</v>
      </c>
      <c r="B5975" t="str">
        <f>"1578729618896511"</f>
        <v>1578729618896511</v>
      </c>
      <c r="C5975" t="s">
        <v>37</v>
      </c>
      <c r="D5975">
        <v>5.0277409999999998</v>
      </c>
      <c r="E5975">
        <v>0.42187759999999902</v>
      </c>
      <c r="F5975" t="s">
        <v>92</v>
      </c>
      <c r="G5975">
        <v>-211.52260000000001</v>
      </c>
      <c r="H5975" s="1">
        <v>-1.1214519999999999E-6</v>
      </c>
      <c r="I5975">
        <v>-54.255669999999903</v>
      </c>
      <c r="J5975">
        <v>-228.94710000000001</v>
      </c>
      <c r="K5975">
        <v>1.102965</v>
      </c>
      <c r="L5975">
        <v>-60.196689999999997</v>
      </c>
      <c r="M5975">
        <v>0.99918850000000003</v>
      </c>
      <c r="N5975">
        <v>0</v>
      </c>
      <c r="O5975">
        <v>3.9308860000000001E-2</v>
      </c>
      <c r="P5975">
        <v>0.99294819999999995</v>
      </c>
      <c r="Q5975">
        <v>1.1061359999999999E-2</v>
      </c>
      <c r="R5975">
        <v>0.11803329999999999</v>
      </c>
      <c r="S5975">
        <v>2.9062649999999999</v>
      </c>
      <c r="T5975">
        <v>-0.18265509999999999</v>
      </c>
      <c r="U5975">
        <v>0.98455809999999999</v>
      </c>
      <c r="V5975">
        <v>-7.8864829999999997E-2</v>
      </c>
      <c r="W5975">
        <v>1.9997040000000001E-2</v>
      </c>
      <c r="X5975">
        <v>0.99668469999999998</v>
      </c>
      <c r="Y5975">
        <v>-0.28294930000000001</v>
      </c>
      <c r="Z5975">
        <v>6.2452019999999896E-3</v>
      </c>
      <c r="AA5975">
        <v>0.95911460000000004</v>
      </c>
      <c r="AB5975">
        <v>24</v>
      </c>
      <c r="AC5975">
        <v>17.424499999999899</v>
      </c>
      <c r="AD5975">
        <v>-1.1029661214519999</v>
      </c>
      <c r="AE5975">
        <v>5.94102</v>
      </c>
      <c r="AF5975">
        <v>-5.2326811946882597</v>
      </c>
      <c r="AG5975">
        <v>-1.1029661214519999</v>
      </c>
      <c r="AH5975">
        <v>17.581465693376199</v>
      </c>
      <c r="AI5975">
        <v>93.440938260357896</v>
      </c>
      <c r="AJ5975">
        <v>106.574313470967</v>
      </c>
      <c r="AK5975">
        <v>18.376763117526401</v>
      </c>
    </row>
    <row r="5976" spans="1:37" x14ac:dyDescent="0.2">
      <c r="A5976" t="str">
        <f>"20200111160018916"</f>
        <v>20200111160018916</v>
      </c>
      <c r="B5976" t="str">
        <f>"1578729618907247"</f>
        <v>1578729618907247</v>
      </c>
      <c r="C5976" t="s">
        <v>37</v>
      </c>
      <c r="D5976">
        <v>5.0570729999999999</v>
      </c>
      <c r="E5976">
        <v>0.42188209999999998</v>
      </c>
      <c r="F5976" t="s">
        <v>92</v>
      </c>
      <c r="G5976">
        <v>-211.28829999999999</v>
      </c>
      <c r="H5976" s="1">
        <v>-1.0534050000000001E-6</v>
      </c>
      <c r="I5976">
        <v>-54.2117199999999</v>
      </c>
      <c r="J5976">
        <v>-228.82310000000001</v>
      </c>
      <c r="K5976">
        <v>1.1029789999999999</v>
      </c>
      <c r="L5976">
        <v>-60.192540000000001</v>
      </c>
      <c r="M5976">
        <v>0.99921539999999998</v>
      </c>
      <c r="N5976">
        <v>0</v>
      </c>
      <c r="O5976">
        <v>3.8629759999999999E-2</v>
      </c>
      <c r="P5976">
        <v>0.99290460000000003</v>
      </c>
      <c r="Q5976">
        <v>1.133676E-2</v>
      </c>
      <c r="R5976">
        <v>0.11837259999999999</v>
      </c>
      <c r="S5976">
        <v>2.90625</v>
      </c>
      <c r="T5976">
        <v>-0.18152389999999999</v>
      </c>
      <c r="U5976">
        <v>0.98498539999999901</v>
      </c>
      <c r="V5976">
        <v>-7.9883350000000006E-2</v>
      </c>
      <c r="W5976">
        <v>2.023542E-2</v>
      </c>
      <c r="X5976">
        <v>0.99659880000000001</v>
      </c>
      <c r="Y5976">
        <v>-0.28373169999999998</v>
      </c>
      <c r="Z5976">
        <v>6.2713109999999999E-3</v>
      </c>
      <c r="AA5976">
        <v>0.95888320000000005</v>
      </c>
      <c r="AB5976">
        <v>24</v>
      </c>
      <c r="AC5976">
        <v>17.534800000000001</v>
      </c>
      <c r="AD5976">
        <v>-1.102980053405</v>
      </c>
      <c r="AE5976">
        <v>5.9808199999999996</v>
      </c>
      <c r="AF5976">
        <v>-5.2802494421024004</v>
      </c>
      <c r="AG5976">
        <v>-1.102980053405</v>
      </c>
      <c r="AH5976">
        <v>17.6900573691914</v>
      </c>
      <c r="AI5976">
        <v>93.419104247438597</v>
      </c>
      <c r="AJ5976">
        <v>106.619672341011</v>
      </c>
      <c r="AK5976">
        <v>18.494207982347199</v>
      </c>
    </row>
    <row r="5977" spans="1:37" x14ac:dyDescent="0.2">
      <c r="A5977" t="str">
        <f>"20200111160018927"</f>
        <v>20200111160018927</v>
      </c>
      <c r="B5977" t="str">
        <f>"1578729618917006"</f>
        <v>1578729618917006</v>
      </c>
      <c r="C5977" t="s">
        <v>37</v>
      </c>
      <c r="D5977">
        <v>5.0973329999999999</v>
      </c>
      <c r="E5977">
        <v>0.42192069999999998</v>
      </c>
      <c r="F5977" t="s">
        <v>92</v>
      </c>
      <c r="G5977">
        <v>-211.0643</v>
      </c>
      <c r="H5977" s="1">
        <v>-9.8971689999999992E-7</v>
      </c>
      <c r="I5977">
        <v>-54.164580000000001</v>
      </c>
      <c r="J5977">
        <v>-228.69149999999999</v>
      </c>
      <c r="K5977">
        <v>1.102994</v>
      </c>
      <c r="L5977">
        <v>-60.188229999999997</v>
      </c>
      <c r="M5977">
        <v>0.99924279999999999</v>
      </c>
      <c r="N5977">
        <v>0</v>
      </c>
      <c r="O5977">
        <v>3.7919799999999997E-2</v>
      </c>
      <c r="P5977">
        <v>0.99282879999999996</v>
      </c>
      <c r="Q5977">
        <v>1.1249429999999999E-2</v>
      </c>
      <c r="R5977">
        <v>0.1190146</v>
      </c>
      <c r="S5977">
        <v>2.9059140000000001</v>
      </c>
      <c r="T5977">
        <v>-0.18048310000000001</v>
      </c>
      <c r="U5977">
        <v>0.98635859999999997</v>
      </c>
      <c r="V5977">
        <v>-8.1236879999999997E-2</v>
      </c>
      <c r="W5977">
        <v>2.0112410000000001E-2</v>
      </c>
      <c r="X5977">
        <v>0.99649179999999904</v>
      </c>
      <c r="Y5977">
        <v>-0.28485459999999901</v>
      </c>
      <c r="Z5977">
        <v>6.3122309999999997E-3</v>
      </c>
      <c r="AA5977">
        <v>0.95855000000000001</v>
      </c>
      <c r="AB5977">
        <v>24</v>
      </c>
      <c r="AC5977">
        <v>17.627199999999899</v>
      </c>
      <c r="AD5977">
        <v>-1.10299498971689</v>
      </c>
      <c r="AE5977">
        <v>6.0236499999999902</v>
      </c>
      <c r="AF5977">
        <v>-5.3321773821972904</v>
      </c>
      <c r="AG5977">
        <v>-1.10299498971689</v>
      </c>
      <c r="AH5977">
        <v>17.7806064105365</v>
      </c>
      <c r="AI5977">
        <v>93.400474282781303</v>
      </c>
      <c r="AJ5977">
        <v>106.693318011182</v>
      </c>
      <c r="AK5977">
        <v>18.595662878987898</v>
      </c>
    </row>
    <row r="5978" spans="1:37" x14ac:dyDescent="0.2">
      <c r="A5978" t="str">
        <f>"20200111160018939"</f>
        <v>20200111160018939</v>
      </c>
      <c r="B5978" t="str">
        <f>"1578729618936527"</f>
        <v>1578729618936527</v>
      </c>
      <c r="C5978" t="s">
        <v>37</v>
      </c>
      <c r="D5978">
        <v>5.1278480000000002</v>
      </c>
      <c r="E5978">
        <v>0.42183039999999999</v>
      </c>
      <c r="F5978" t="s">
        <v>92</v>
      </c>
      <c r="G5978">
        <v>-210.93350000000001</v>
      </c>
      <c r="H5978" s="1">
        <v>-9.4965570000000001E-7</v>
      </c>
      <c r="I5978">
        <v>-54.147829999999999</v>
      </c>
      <c r="J5978">
        <v>-228.56010000000001</v>
      </c>
      <c r="K5978">
        <v>1.1030149999999901</v>
      </c>
      <c r="L5978">
        <v>-60.183990000000001</v>
      </c>
      <c r="M5978">
        <v>0.9992685</v>
      </c>
      <c r="N5978">
        <v>0</v>
      </c>
      <c r="O5978">
        <v>3.7238880000000002E-2</v>
      </c>
      <c r="P5978">
        <v>0.99269940000000001</v>
      </c>
      <c r="Q5978">
        <v>1.0706759999999999E-2</v>
      </c>
      <c r="R5978">
        <v>0.1201387</v>
      </c>
      <c r="S5978">
        <v>2.90527299999999</v>
      </c>
      <c r="T5978">
        <v>-0.18045359999999999</v>
      </c>
      <c r="U5978">
        <v>0.98822019999999899</v>
      </c>
      <c r="V5978">
        <v>-8.3046640000000005E-2</v>
      </c>
      <c r="W5978">
        <v>1.9543660000000001E-2</v>
      </c>
      <c r="X5978">
        <v>0.99635399999999996</v>
      </c>
      <c r="Y5978">
        <v>-0.28611909999999902</v>
      </c>
      <c r="Z5978">
        <v>6.3910119999999997E-3</v>
      </c>
      <c r="AA5978">
        <v>0.95817269999999899</v>
      </c>
      <c r="AB5978">
        <v>24</v>
      </c>
      <c r="AC5978">
        <v>17.6265999999999</v>
      </c>
      <c r="AD5978">
        <v>-1.1030159496556999</v>
      </c>
      <c r="AE5978">
        <v>6.03615999999999</v>
      </c>
      <c r="AF5978">
        <v>-5.3567785879210703</v>
      </c>
      <c r="AG5978">
        <v>-1.1030159496556999</v>
      </c>
      <c r="AH5978">
        <v>17.7768563817474</v>
      </c>
      <c r="AI5978">
        <v>93.399900848220696</v>
      </c>
      <c r="AJ5978">
        <v>106.76936179517701</v>
      </c>
      <c r="AK5978">
        <v>18.5991490085562</v>
      </c>
    </row>
    <row r="5979" spans="1:37" x14ac:dyDescent="0.2">
      <c r="A5979" t="str">
        <f>"20200111160018951"</f>
        <v>20200111160018951</v>
      </c>
      <c r="B5979" t="str">
        <f>"1578729618947262"</f>
        <v>1578729618947262</v>
      </c>
      <c r="C5979" t="s">
        <v>37</v>
      </c>
      <c r="D5979">
        <v>5.1269439999999999</v>
      </c>
      <c r="E5979">
        <v>0.42180669999999998</v>
      </c>
      <c r="F5979" t="s">
        <v>92</v>
      </c>
      <c r="G5979">
        <v>-211.1395</v>
      </c>
      <c r="H5979" s="1">
        <v>-9.980562999999999E-7</v>
      </c>
      <c r="I5979">
        <v>-54.229369999999903</v>
      </c>
      <c r="J5979">
        <v>-228.4425</v>
      </c>
      <c r="K5979">
        <v>1.1030329999999999</v>
      </c>
      <c r="L5979">
        <v>-60.180269999999901</v>
      </c>
      <c r="M5979">
        <v>0.99929069999999998</v>
      </c>
      <c r="N5979">
        <v>0</v>
      </c>
      <c r="O5979">
        <v>3.6646049999999999E-2</v>
      </c>
      <c r="P5979">
        <v>0.99253210000000003</v>
      </c>
      <c r="Q5979">
        <v>1.0004580000000001E-2</v>
      </c>
      <c r="R5979">
        <v>0.1215743</v>
      </c>
      <c r="S5979">
        <v>2.9039000000000001</v>
      </c>
      <c r="T5979">
        <v>-0.1838651</v>
      </c>
      <c r="U5979">
        <v>0.99258419999999903</v>
      </c>
      <c r="V5979">
        <v>-8.5081080000000003E-2</v>
      </c>
      <c r="W5979">
        <v>1.8822820000000001E-2</v>
      </c>
      <c r="X5979">
        <v>0.99619619999999998</v>
      </c>
      <c r="Y5979">
        <v>-0.28809380000000001</v>
      </c>
      <c r="Z5979">
        <v>6.610075E-3</v>
      </c>
      <c r="AA5979">
        <v>0.95757939999999997</v>
      </c>
      <c r="AB5979">
        <v>24</v>
      </c>
      <c r="AC5979">
        <v>17.302999999999901</v>
      </c>
      <c r="AD5979">
        <v>-1.1030339980563</v>
      </c>
      <c r="AE5979">
        <v>5.9508999999999901</v>
      </c>
      <c r="AF5979">
        <v>-5.2935553865332503</v>
      </c>
      <c r="AG5979">
        <v>-1.1030339980563</v>
      </c>
      <c r="AH5979">
        <v>17.446063264727599</v>
      </c>
      <c r="AI5979">
        <v>93.462266930613694</v>
      </c>
      <c r="AJ5979">
        <v>106.879059796639</v>
      </c>
      <c r="AK5979">
        <v>18.2648168911719</v>
      </c>
    </row>
    <row r="5980" spans="1:37" x14ac:dyDescent="0.2">
      <c r="A5980" t="str">
        <f>"20200111160018961"</f>
        <v>20200111160018961</v>
      </c>
      <c r="B5980" t="str">
        <f>"1578729618957022"</f>
        <v>1578729618957022</v>
      </c>
      <c r="C5980" t="s">
        <v>37</v>
      </c>
      <c r="D5980">
        <v>5.0747080000000002</v>
      </c>
      <c r="E5980">
        <v>0.42179820000000001</v>
      </c>
      <c r="F5980" t="s">
        <v>92</v>
      </c>
      <c r="G5980">
        <v>-211.2338</v>
      </c>
      <c r="H5980" s="1">
        <v>-1.02024E-6</v>
      </c>
      <c r="I5980">
        <v>-54.266590000000001</v>
      </c>
      <c r="J5980">
        <v>-228.31569999999999</v>
      </c>
      <c r="K5980">
        <v>1.103057</v>
      </c>
      <c r="L5980">
        <v>-60.176269999999903</v>
      </c>
      <c r="M5980">
        <v>0.99931340000000002</v>
      </c>
      <c r="N5980">
        <v>0</v>
      </c>
      <c r="O5980">
        <v>3.6024559999999997E-2</v>
      </c>
      <c r="P5980">
        <v>0.99230289999999999</v>
      </c>
      <c r="Q5980">
        <v>9.1505309999999999E-3</v>
      </c>
      <c r="R5980">
        <v>0.12349499999999999</v>
      </c>
      <c r="S5980">
        <v>2.9022830000000002</v>
      </c>
      <c r="T5980">
        <v>-0.1860291</v>
      </c>
      <c r="U5980">
        <v>0.99734500000000004</v>
      </c>
      <c r="V5980">
        <v>-8.7631639999999997E-2</v>
      </c>
      <c r="W5980">
        <v>1.795273E-2</v>
      </c>
      <c r="X5980">
        <v>0.99599119999999997</v>
      </c>
      <c r="Y5980">
        <v>-0.29024149999999999</v>
      </c>
      <c r="Z5980">
        <v>6.7949409999999997E-3</v>
      </c>
      <c r="AA5980">
        <v>0.95692929999999998</v>
      </c>
      <c r="AB5980">
        <v>24</v>
      </c>
      <c r="AC5980">
        <v>17.081899999999901</v>
      </c>
      <c r="AD5980">
        <v>-1.10305802024</v>
      </c>
      <c r="AE5980">
        <v>5.9096799999999901</v>
      </c>
      <c r="AF5980">
        <v>-5.2708234502077103</v>
      </c>
      <c r="AG5980">
        <v>-1.10305802024</v>
      </c>
      <c r="AH5980">
        <v>17.219584728180902</v>
      </c>
      <c r="AI5980">
        <v>93.505162374696098</v>
      </c>
      <c r="AJ5980">
        <v>107.01907140489401</v>
      </c>
      <c r="AK5980">
        <v>18.041962616364</v>
      </c>
    </row>
    <row r="5981" spans="1:37" x14ac:dyDescent="0.2">
      <c r="A5981" t="str">
        <f>"20200111160018973"</f>
        <v>20200111160018973</v>
      </c>
      <c r="B5981" t="str">
        <f>"1578729618966783"</f>
        <v>1578729618966783</v>
      </c>
      <c r="C5981" t="s">
        <v>37</v>
      </c>
      <c r="D5981">
        <v>5.10684</v>
      </c>
      <c r="E5981">
        <v>0.42176269999999999</v>
      </c>
      <c r="F5981" t="s">
        <v>92</v>
      </c>
      <c r="G5981">
        <v>-211.40780000000001</v>
      </c>
      <c r="H5981" s="1">
        <v>-1.0634460000000001E-6</v>
      </c>
      <c r="I5981">
        <v>-54.326839999999997</v>
      </c>
      <c r="J5981">
        <v>-228.1968</v>
      </c>
      <c r="K5981">
        <v>1.103081</v>
      </c>
      <c r="L5981">
        <v>-60.172580000000004</v>
      </c>
      <c r="M5981">
        <v>0.99933329999999998</v>
      </c>
      <c r="N5981">
        <v>0</v>
      </c>
      <c r="O5981">
        <v>3.5468720000000002E-2</v>
      </c>
      <c r="P5981">
        <v>0.99207009999999995</v>
      </c>
      <c r="Q5981">
        <v>7.9391779999999999E-3</v>
      </c>
      <c r="R5981">
        <v>0.12543560000000001</v>
      </c>
      <c r="S5981">
        <v>2.9001619999999999</v>
      </c>
      <c r="T5981">
        <v>-0.18920419999999999</v>
      </c>
      <c r="U5981">
        <v>1.0033259999999999</v>
      </c>
      <c r="V5981">
        <v>-9.0137090000000003E-2</v>
      </c>
      <c r="W5981">
        <v>1.6731260000000001E-2</v>
      </c>
      <c r="X5981">
        <v>0.99578880000000003</v>
      </c>
      <c r="Y5981">
        <v>-0.29272959999999998</v>
      </c>
      <c r="Z5981">
        <v>7.0271049999999996E-3</v>
      </c>
      <c r="AA5981">
        <v>0.95616939999999995</v>
      </c>
      <c r="AB5981">
        <v>24</v>
      </c>
      <c r="AC5981">
        <v>16.788999999999898</v>
      </c>
      <c r="AD5981">
        <v>-1.1030820634459999</v>
      </c>
      <c r="AE5981">
        <v>5.8457399999999904</v>
      </c>
      <c r="AF5981">
        <v>-5.2264327005708804</v>
      </c>
      <c r="AG5981">
        <v>-1.1030820634459999</v>
      </c>
      <c r="AH5981">
        <v>16.9206383063689</v>
      </c>
      <c r="AI5981">
        <v>93.564227152776098</v>
      </c>
      <c r="AJ5981">
        <v>107.164829109956</v>
      </c>
      <c r="AK5981">
        <v>17.743742263323401</v>
      </c>
    </row>
    <row r="5982" spans="1:37" x14ac:dyDescent="0.2">
      <c r="A5982" t="str">
        <f>"20200111160018984"</f>
        <v>20200111160018984</v>
      </c>
      <c r="B5982" t="str">
        <f>"1578729618976543"</f>
        <v>1578729618976543</v>
      </c>
      <c r="C5982" t="s">
        <v>37</v>
      </c>
      <c r="D5982">
        <v>4.6934079999999998</v>
      </c>
      <c r="E5982">
        <v>0.42176269999999999</v>
      </c>
      <c r="F5982" t="s">
        <v>92</v>
      </c>
      <c r="G5982">
        <v>-211.6798</v>
      </c>
      <c r="H5982" s="1">
        <v>-1.131635E-6</v>
      </c>
      <c r="I5982">
        <v>-54.418419999999998</v>
      </c>
      <c r="J5982">
        <v>-228.07069999999999</v>
      </c>
      <c r="K5982">
        <v>1.1031070000000001</v>
      </c>
      <c r="L5982">
        <v>-60.168729999999996</v>
      </c>
      <c r="M5982">
        <v>0.99935370000000001</v>
      </c>
      <c r="N5982">
        <v>0</v>
      </c>
      <c r="O5982">
        <v>3.488935E-2</v>
      </c>
      <c r="P5982">
        <v>0.99175179999999996</v>
      </c>
      <c r="Q5982">
        <v>7.0878299999999998E-3</v>
      </c>
      <c r="R5982">
        <v>0.12797749999999999</v>
      </c>
      <c r="S5982">
        <v>2.897888</v>
      </c>
      <c r="T5982">
        <v>-0.19353480000000001</v>
      </c>
      <c r="U5982">
        <v>1.009552</v>
      </c>
      <c r="V5982">
        <v>-9.3268959999999998E-2</v>
      </c>
      <c r="W5982">
        <v>1.5871639999999999E-2</v>
      </c>
      <c r="X5982">
        <v>0.99551449999999997</v>
      </c>
      <c r="Y5982">
        <v>-0.29531849999999998</v>
      </c>
      <c r="Z5982">
        <v>7.3118150000000002E-3</v>
      </c>
      <c r="AA5982">
        <v>0.95537090000000002</v>
      </c>
      <c r="AB5982">
        <v>24</v>
      </c>
      <c r="AC5982">
        <v>16.390899999999899</v>
      </c>
      <c r="AD5982">
        <v>-1.103108131635</v>
      </c>
      <c r="AE5982">
        <v>5.7503099999999998</v>
      </c>
      <c r="AF5982">
        <v>-5.1541332966978599</v>
      </c>
      <c r="AG5982">
        <v>-1.103108131635</v>
      </c>
      <c r="AH5982">
        <v>16.514948573700298</v>
      </c>
      <c r="AI5982">
        <v>93.648325658430494</v>
      </c>
      <c r="AJ5982">
        <v>107.332567084354</v>
      </c>
      <c r="AK5982">
        <v>17.335670277845502</v>
      </c>
    </row>
    <row r="5983" spans="1:37" x14ac:dyDescent="0.2">
      <c r="A5983" t="str">
        <f>"20200111160018995"</f>
        <v>20200111160018995</v>
      </c>
      <c r="B5983" t="str">
        <f>"1578729618986303"</f>
        <v>1578729618986303</v>
      </c>
      <c r="C5983" t="s">
        <v>37</v>
      </c>
      <c r="D5983">
        <v>4.9803199999999999</v>
      </c>
      <c r="E5983">
        <v>0.38407039999999998</v>
      </c>
      <c r="F5983" t="s">
        <v>92</v>
      </c>
      <c r="G5983">
        <v>-211.7362</v>
      </c>
      <c r="H5983" s="1">
        <v>-1.147751E-6</v>
      </c>
      <c r="I5983">
        <v>-54.429969999999997</v>
      </c>
      <c r="J5983">
        <v>-227.95509999999999</v>
      </c>
      <c r="K5983">
        <v>1.103129</v>
      </c>
      <c r="L5983">
        <v>-60.16525</v>
      </c>
      <c r="M5983">
        <v>0.99937089999999995</v>
      </c>
      <c r="N5983">
        <v>0</v>
      </c>
      <c r="O5983">
        <v>3.4394910000000001E-2</v>
      </c>
      <c r="P5983">
        <v>0.99142580000000002</v>
      </c>
      <c r="Q5983">
        <v>5.9506089999999999E-3</v>
      </c>
      <c r="R5983">
        <v>0.1305354</v>
      </c>
      <c r="S5983">
        <v>2.895111</v>
      </c>
      <c r="T5983">
        <v>-0.1955134</v>
      </c>
      <c r="U5983">
        <v>1.01712</v>
      </c>
      <c r="V5983">
        <v>-9.6331529999999999E-2</v>
      </c>
      <c r="W5983">
        <v>1.473356E-2</v>
      </c>
      <c r="X5983">
        <v>0.99524029999999997</v>
      </c>
      <c r="Y5983">
        <v>-0.29828119999999902</v>
      </c>
      <c r="Z5983">
        <v>7.5193319999999897E-3</v>
      </c>
      <c r="AA5983">
        <v>0.95444839999999997</v>
      </c>
      <c r="AB5983">
        <v>24</v>
      </c>
      <c r="AC5983">
        <v>16.218899999999898</v>
      </c>
      <c r="AD5983">
        <v>-1.1031301477509901</v>
      </c>
      <c r="AE5983">
        <v>5.7352800000000004</v>
      </c>
      <c r="AF5983">
        <v>-5.15282999005903</v>
      </c>
      <c r="AG5983">
        <v>-1.1031301477509901</v>
      </c>
      <c r="AH5983">
        <v>16.339389035807798</v>
      </c>
      <c r="AI5983">
        <v>93.684054590364198</v>
      </c>
      <c r="AJ5983">
        <v>107.503318370949</v>
      </c>
      <c r="AK5983">
        <v>17.1681154205348</v>
      </c>
    </row>
    <row r="5984" spans="1:37" x14ac:dyDescent="0.2">
      <c r="A5984" t="str">
        <f>"20200111160019006"</f>
        <v>20200111160019006</v>
      </c>
      <c r="B5984" t="str">
        <f>"1578729618997039"</f>
        <v>1578729618997039</v>
      </c>
      <c r="C5984" t="s">
        <v>37</v>
      </c>
      <c r="D5984">
        <v>4.5508790000000001</v>
      </c>
      <c r="E5984">
        <v>0.38407039999999998</v>
      </c>
      <c r="F5984" t="s">
        <v>92</v>
      </c>
      <c r="G5984">
        <v>-216.2199</v>
      </c>
      <c r="H5984" s="1">
        <v>-2.6448620000000001E-6</v>
      </c>
      <c r="I5984">
        <v>-54.703780000000002</v>
      </c>
      <c r="J5984">
        <v>-227.82769999999999</v>
      </c>
      <c r="K5984">
        <v>1.103156</v>
      </c>
      <c r="L5984">
        <v>-60.161409999999997</v>
      </c>
      <c r="M5984">
        <v>0.99938909999999903</v>
      </c>
      <c r="N5984">
        <v>0</v>
      </c>
      <c r="O5984">
        <v>3.3858470000000002E-2</v>
      </c>
      <c r="P5984">
        <v>0.99112199999999995</v>
      </c>
      <c r="Q5984">
        <v>4.9181449999999996E-3</v>
      </c>
      <c r="R5984">
        <v>0.13286579999999901</v>
      </c>
      <c r="S5984">
        <v>2.8527529999999999</v>
      </c>
      <c r="T5984">
        <v>-0.26816440000000002</v>
      </c>
      <c r="U5984">
        <v>1.327637</v>
      </c>
      <c r="V5984">
        <v>-9.9207970000000006E-2</v>
      </c>
      <c r="W5984">
        <v>1.370036E-2</v>
      </c>
      <c r="X5984">
        <v>0.99497239999999998</v>
      </c>
      <c r="Y5984">
        <v>-0.3897082</v>
      </c>
      <c r="Z5984">
        <v>1.437139E-2</v>
      </c>
      <c r="AA5984">
        <v>0.92082629999999999</v>
      </c>
      <c r="AB5984">
        <v>24</v>
      </c>
      <c r="AC5984">
        <v>11.6077999999999</v>
      </c>
      <c r="AD5984">
        <v>-1.1031586448620001</v>
      </c>
      <c r="AE5984">
        <v>5.4576299999999902</v>
      </c>
      <c r="AF5984">
        <v>-5.0243001090118504</v>
      </c>
      <c r="AG5984">
        <v>-1.1031586448620001</v>
      </c>
      <c r="AH5984">
        <v>11.699400716484501</v>
      </c>
      <c r="AI5984">
        <v>94.951761503091305</v>
      </c>
      <c r="AJ5984">
        <v>113.24107315115801</v>
      </c>
      <c r="AK5984">
        <v>12.780317981413001</v>
      </c>
    </row>
    <row r="5985" spans="1:37" x14ac:dyDescent="0.2">
      <c r="A5985" t="str">
        <f>"20200111160019017"</f>
        <v>20200111160019017</v>
      </c>
      <c r="B5985" t="str">
        <f>"1578729619006799"</f>
        <v>1578729619006799</v>
      </c>
      <c r="C5985" t="s">
        <v>37</v>
      </c>
      <c r="D5985">
        <v>4.5706899999999999</v>
      </c>
      <c r="E5985">
        <v>0.33327049999999903</v>
      </c>
      <c r="F5985" t="s">
        <v>92</v>
      </c>
      <c r="G5985">
        <v>-216.1944</v>
      </c>
      <c r="H5985" s="1">
        <v>-2.6324680000000002E-6</v>
      </c>
      <c r="I5985">
        <v>-54.711849999999998</v>
      </c>
      <c r="J5985">
        <v>-227.70580000000001</v>
      </c>
      <c r="K5985">
        <v>1.103183</v>
      </c>
      <c r="L5985">
        <v>-60.15784</v>
      </c>
      <c r="M5985">
        <v>0.99940509999999905</v>
      </c>
      <c r="N5985">
        <v>0</v>
      </c>
      <c r="O5985">
        <v>3.3379029999999997E-2</v>
      </c>
      <c r="P5985">
        <v>0.99081710000000001</v>
      </c>
      <c r="Q5985">
        <v>4.1072649999999997E-3</v>
      </c>
      <c r="R5985">
        <v>0.13514609999999999</v>
      </c>
      <c r="S5985">
        <v>2.84928899999999</v>
      </c>
      <c r="T5985">
        <v>-0.27019070000000001</v>
      </c>
      <c r="U5985">
        <v>1.3347169999999999</v>
      </c>
      <c r="V5985">
        <v>-0.1019766</v>
      </c>
      <c r="W5985">
        <v>1.289505E-2</v>
      </c>
      <c r="X5985">
        <v>0.99470319999999901</v>
      </c>
      <c r="Y5985">
        <v>-0.39242199999999999</v>
      </c>
      <c r="Z5985">
        <v>1.4653299999999999E-2</v>
      </c>
      <c r="AA5985">
        <v>0.91966859999999995</v>
      </c>
      <c r="AB5985">
        <v>24</v>
      </c>
      <c r="AC5985">
        <v>11.5114</v>
      </c>
      <c r="AD5985">
        <v>-1.1031856324680001</v>
      </c>
      <c r="AE5985">
        <v>5.4459900000000001</v>
      </c>
      <c r="AF5985">
        <v>-5.0210208309038702</v>
      </c>
      <c r="AG5985">
        <v>-1.1031856324680001</v>
      </c>
      <c r="AH5985">
        <v>11.5997231703987</v>
      </c>
      <c r="AI5985">
        <v>94.988067492304594</v>
      </c>
      <c r="AJ5985">
        <v>113.40570929472</v>
      </c>
      <c r="AK5985">
        <v>12.6878385217475</v>
      </c>
    </row>
    <row r="5986" spans="1:37" x14ac:dyDescent="0.2">
      <c r="A5986" t="str">
        <f>"20200111160019029"</f>
        <v>20200111160019029</v>
      </c>
      <c r="B5986" t="str">
        <f>"1578729619027295"</f>
        <v>1578729619027295</v>
      </c>
      <c r="C5986" t="s">
        <v>37</v>
      </c>
      <c r="D5986">
        <v>4.8447250000000004</v>
      </c>
      <c r="E5986">
        <v>0.32145269999999998</v>
      </c>
      <c r="F5986" t="s">
        <v>39</v>
      </c>
      <c r="G5986">
        <v>-193.7381</v>
      </c>
      <c r="H5986" s="1">
        <v>-1.5635890000000001E-6</v>
      </c>
      <c r="I5986">
        <v>-39.084600000000002</v>
      </c>
      <c r="J5986">
        <v>-227.5873</v>
      </c>
      <c r="K5986">
        <v>1.1032139999999999</v>
      </c>
      <c r="L5986">
        <v>-60.154359999999997</v>
      </c>
      <c r="M5986">
        <v>0.99941999999999998</v>
      </c>
      <c r="N5986">
        <v>0</v>
      </c>
      <c r="O5986">
        <v>3.2925589999999998E-2</v>
      </c>
      <c r="P5986">
        <v>0.99051119999999904</v>
      </c>
      <c r="Q5986">
        <v>3.4161489999999998E-3</v>
      </c>
      <c r="R5986">
        <v>0.13739009999999999</v>
      </c>
      <c r="S5986">
        <v>2.7919309999999999</v>
      </c>
      <c r="T5986">
        <v>-9.0674759999999993E-2</v>
      </c>
      <c r="U5986">
        <v>1.732086</v>
      </c>
      <c r="V5986">
        <v>-0.104683</v>
      </c>
      <c r="W5986">
        <v>1.2210850000000001E-2</v>
      </c>
      <c r="X5986">
        <v>0.994430699999999</v>
      </c>
      <c r="Y5986">
        <v>-0.49873689999999998</v>
      </c>
      <c r="Z5986">
        <v>6.4596000000000002E-3</v>
      </c>
      <c r="AA5986">
        <v>0.86672929999999904</v>
      </c>
      <c r="AB5986">
        <v>24</v>
      </c>
      <c r="AC5986">
        <v>33.849200000000003</v>
      </c>
      <c r="AD5986">
        <v>-1.103215563589</v>
      </c>
      <c r="AE5986">
        <v>21.069759999999899</v>
      </c>
      <c r="AF5986">
        <v>-19.928530857875401</v>
      </c>
      <c r="AG5986">
        <v>-1.103215563589</v>
      </c>
      <c r="AH5986">
        <v>34.498194276684799</v>
      </c>
      <c r="AI5986">
        <v>91.586157844372593</v>
      </c>
      <c r="AJ5986">
        <v>120.013686423507</v>
      </c>
      <c r="AK5986">
        <v>39.855850700805902</v>
      </c>
    </row>
    <row r="5987" spans="1:37" x14ac:dyDescent="0.2">
      <c r="A5987" t="str">
        <f>"20200111160019040"</f>
        <v>20200111160019040</v>
      </c>
      <c r="B5987" t="str">
        <f>"1578729619037054"</f>
        <v>1578729619037054</v>
      </c>
      <c r="C5987" t="s">
        <v>37</v>
      </c>
      <c r="D5987">
        <v>4.8590229999999996</v>
      </c>
      <c r="E5987">
        <v>0.31937539999999998</v>
      </c>
      <c r="F5987" t="s">
        <v>39</v>
      </c>
      <c r="G5987">
        <v>-191.66120000000001</v>
      </c>
      <c r="H5987" s="1">
        <v>-2.1446490000000001E-6</v>
      </c>
      <c r="I5987">
        <v>-36.441980000000001</v>
      </c>
      <c r="J5987">
        <v>-227.4597</v>
      </c>
      <c r="K5987">
        <v>1.1032409999999999</v>
      </c>
      <c r="L5987">
        <v>-60.150669999999998</v>
      </c>
      <c r="M5987">
        <v>0.99943519999999897</v>
      </c>
      <c r="N5987">
        <v>0</v>
      </c>
      <c r="O5987">
        <v>3.2460940000000001E-2</v>
      </c>
      <c r="P5987">
        <v>0.99024330000000005</v>
      </c>
      <c r="Q5987">
        <v>2.5324359999999999E-3</v>
      </c>
      <c r="R5987">
        <v>0.13932700000000001</v>
      </c>
      <c r="S5987">
        <v>2.7749790000000001</v>
      </c>
      <c r="T5987">
        <v>-8.5213780000000003E-2</v>
      </c>
      <c r="U5987">
        <v>1.8315729999999999</v>
      </c>
      <c r="V5987">
        <v>-0.1070922</v>
      </c>
      <c r="W5987">
        <v>1.133782E-2</v>
      </c>
      <c r="X5987">
        <v>0.99418439999999997</v>
      </c>
      <c r="Y5987">
        <v>-0.52331700000000003</v>
      </c>
      <c r="Z5987">
        <v>6.4047710000000001E-3</v>
      </c>
      <c r="AA5987">
        <v>0.85211399999999904</v>
      </c>
      <c r="AB5987">
        <v>24</v>
      </c>
      <c r="AC5987">
        <v>35.798499999999898</v>
      </c>
      <c r="AD5987">
        <v>-1.1032431446490001</v>
      </c>
      <c r="AE5987">
        <v>23.708690000000001</v>
      </c>
      <c r="AF5987">
        <v>-22.5192308938657</v>
      </c>
      <c r="AG5987">
        <v>-1.1032431446490001</v>
      </c>
      <c r="AH5987">
        <v>36.5251549121515</v>
      </c>
      <c r="AI5987">
        <v>91.472812282717697</v>
      </c>
      <c r="AJ5987">
        <v>121.655506332445</v>
      </c>
      <c r="AK5987">
        <v>42.923418396536398</v>
      </c>
    </row>
    <row r="5988" spans="1:37" x14ac:dyDescent="0.2">
      <c r="A5988" t="str">
        <f>"20200111160019052"</f>
        <v>20200111160019052</v>
      </c>
      <c r="B5988" t="str">
        <f>"1578729619046815"</f>
        <v>1578729619046815</v>
      </c>
      <c r="C5988" t="s">
        <v>37</v>
      </c>
      <c r="D5988">
        <v>4.7921420000000001</v>
      </c>
      <c r="E5988">
        <v>0.3175055</v>
      </c>
      <c r="F5988" t="s">
        <v>39</v>
      </c>
      <c r="G5988">
        <v>-194.23419999999999</v>
      </c>
      <c r="H5988" s="1">
        <v>-2.2002699999999999E-6</v>
      </c>
      <c r="I5988">
        <v>-37.908140000000003</v>
      </c>
      <c r="J5988">
        <v>-227.33439999999999</v>
      </c>
      <c r="K5988">
        <v>1.1032660000000001</v>
      </c>
      <c r="L5988">
        <v>-60.147059999999897</v>
      </c>
      <c r="M5988">
        <v>0.99944900000000003</v>
      </c>
      <c r="N5988">
        <v>0</v>
      </c>
      <c r="O5988">
        <v>3.2026249999999999E-2</v>
      </c>
      <c r="P5988">
        <v>0.99000429999999995</v>
      </c>
      <c r="Q5988">
        <v>1.9826259999999999E-3</v>
      </c>
      <c r="R5988">
        <v>0.1410236</v>
      </c>
      <c r="S5988">
        <v>2.7689819999999998</v>
      </c>
      <c r="T5988">
        <v>-9.1943140000000007E-2</v>
      </c>
      <c r="U5988">
        <v>1.8536680000000001</v>
      </c>
      <c r="V5988">
        <v>-0.1092292</v>
      </c>
      <c r="W5988">
        <v>1.080761E-2</v>
      </c>
      <c r="X5988">
        <v>0.9939578</v>
      </c>
      <c r="Y5988">
        <v>-0.52920690000000004</v>
      </c>
      <c r="Z5988">
        <v>7.010751E-3</v>
      </c>
      <c r="AA5988">
        <v>0.84846390000000005</v>
      </c>
      <c r="AB5988">
        <v>24</v>
      </c>
      <c r="AC5988">
        <v>33.100200000000001</v>
      </c>
      <c r="AD5988">
        <v>-1.1032682002700001</v>
      </c>
      <c r="AE5988">
        <v>22.23892</v>
      </c>
      <c r="AF5988">
        <v>-21.1512055914923</v>
      </c>
      <c r="AG5988">
        <v>-1.1032682002700001</v>
      </c>
      <c r="AH5988">
        <v>33.769626821005097</v>
      </c>
      <c r="AI5988">
        <v>91.585989104518703</v>
      </c>
      <c r="AJ5988">
        <v>122.060483788384</v>
      </c>
      <c r="AK5988">
        <v>39.861991850950602</v>
      </c>
    </row>
    <row r="5989" spans="1:37" x14ac:dyDescent="0.2">
      <c r="A5989" t="str">
        <f>"20200111160019063"</f>
        <v>20200111160019063</v>
      </c>
      <c r="B5989" t="str">
        <f>"1578729619056575"</f>
        <v>1578729619056575</v>
      </c>
      <c r="C5989" t="s">
        <v>37</v>
      </c>
      <c r="D5989">
        <v>4.8189140000000004</v>
      </c>
      <c r="E5989">
        <v>0.31669599999999998</v>
      </c>
      <c r="F5989" t="s">
        <v>39</v>
      </c>
      <c r="G5989">
        <v>-194.91829999999999</v>
      </c>
      <c r="H5989" s="1">
        <v>-2.2685759999999999E-6</v>
      </c>
      <c r="I5989">
        <v>-38.173209999999997</v>
      </c>
      <c r="J5989">
        <v>-227.21109999999999</v>
      </c>
      <c r="K5989">
        <v>1.1032949999999999</v>
      </c>
      <c r="L5989">
        <v>-60.143590000000003</v>
      </c>
      <c r="M5989">
        <v>0.99946190000000001</v>
      </c>
      <c r="N5989">
        <v>0</v>
      </c>
      <c r="O5989">
        <v>3.1611069999999998E-2</v>
      </c>
      <c r="P5989">
        <v>0.98976489999999995</v>
      </c>
      <c r="Q5989">
        <v>1.16457E-3</v>
      </c>
      <c r="R5989">
        <v>0.14270260000000001</v>
      </c>
      <c r="S5989">
        <v>2.7636409999999998</v>
      </c>
      <c r="T5989">
        <v>-9.4059229999999994E-2</v>
      </c>
      <c r="U5989">
        <v>1.873383</v>
      </c>
      <c r="V5989">
        <v>-0.1113295</v>
      </c>
      <c r="W5989">
        <v>1.001324E-2</v>
      </c>
      <c r="X5989">
        <v>0.99373310000000004</v>
      </c>
      <c r="Y5989">
        <v>-0.5344565</v>
      </c>
      <c r="Z5989">
        <v>7.2642269999999998E-3</v>
      </c>
      <c r="AA5989">
        <v>0.84516480000000005</v>
      </c>
      <c r="AB5989">
        <v>24</v>
      </c>
      <c r="AC5989">
        <v>32.2928</v>
      </c>
      <c r="AD5989">
        <v>-1.1032972685760001</v>
      </c>
      <c r="AE5989">
        <v>21.970379999999999</v>
      </c>
      <c r="AF5989">
        <v>-20.921856029247099</v>
      </c>
      <c r="AG5989">
        <v>-1.1032972685760001</v>
      </c>
      <c r="AH5989">
        <v>32.944906291273099</v>
      </c>
      <c r="AI5989">
        <v>91.619334636542504</v>
      </c>
      <c r="AJ5989">
        <v>122.417828407014</v>
      </c>
      <c r="AK5989">
        <v>39.042389464685201</v>
      </c>
    </row>
    <row r="5990" spans="1:37" x14ac:dyDescent="0.2">
      <c r="A5990" t="str">
        <f>"20200111160019074"</f>
        <v>20200111160019074</v>
      </c>
      <c r="B5990" t="str">
        <f>"1578729619067310"</f>
        <v>1578729619067310</v>
      </c>
      <c r="C5990" t="s">
        <v>37</v>
      </c>
      <c r="D5990">
        <v>4.7133330000000004</v>
      </c>
      <c r="E5990">
        <v>0.31561050000000002</v>
      </c>
      <c r="F5990" t="s">
        <v>39</v>
      </c>
      <c r="G5990">
        <v>-195.9931</v>
      </c>
      <c r="H5990" s="1">
        <v>-2.2747960000000001E-6</v>
      </c>
      <c r="I5990">
        <v>-38.825339999999997</v>
      </c>
      <c r="J5990">
        <v>-227.09200000000001</v>
      </c>
      <c r="K5990">
        <v>1.103329</v>
      </c>
      <c r="L5990">
        <v>-60.1402</v>
      </c>
      <c r="M5990">
        <v>0.99947319999999995</v>
      </c>
      <c r="N5990">
        <v>0</v>
      </c>
      <c r="O5990">
        <v>3.1236509999999999E-2</v>
      </c>
      <c r="P5990">
        <v>0.9895853</v>
      </c>
      <c r="Q5990">
        <v>1.1158400000000001E-3</v>
      </c>
      <c r="R5990">
        <v>0.1439433</v>
      </c>
      <c r="S5990">
        <v>2.75943</v>
      </c>
      <c r="T5990">
        <v>-9.752297E-2</v>
      </c>
      <c r="U5990">
        <v>1.884369</v>
      </c>
      <c r="V5990">
        <v>-0.11294800000000001</v>
      </c>
      <c r="W5990">
        <v>1.0021820000000001E-2</v>
      </c>
      <c r="X5990">
        <v>0.99355039999999994</v>
      </c>
      <c r="Y5990">
        <v>-0.53765079999999998</v>
      </c>
      <c r="Z5990">
        <v>7.5964550000000002E-3</v>
      </c>
      <c r="AA5990">
        <v>0.84313340000000003</v>
      </c>
      <c r="AB5990">
        <v>24</v>
      </c>
      <c r="AC5990">
        <v>31.0989</v>
      </c>
      <c r="AD5990">
        <v>-1.103331274796</v>
      </c>
      <c r="AE5990">
        <v>21.314859999999999</v>
      </c>
      <c r="AF5990">
        <v>-20.315600952617299</v>
      </c>
      <c r="AG5990">
        <v>-1.103331274796</v>
      </c>
      <c r="AH5990">
        <v>31.722383898050602</v>
      </c>
      <c r="AI5990">
        <v>91.677676139001406</v>
      </c>
      <c r="AJ5990">
        <v>122.636249822783</v>
      </c>
      <c r="AK5990">
        <v>37.686212626678603</v>
      </c>
    </row>
    <row r="5991" spans="1:37" x14ac:dyDescent="0.2">
      <c r="A5991" t="str">
        <f>"20200111160019085"</f>
        <v>20200111160019085</v>
      </c>
      <c r="B5991" t="str">
        <f>"1578729619077071"</f>
        <v>1578729619077071</v>
      </c>
      <c r="C5991" t="s">
        <v>37</v>
      </c>
      <c r="D5991">
        <v>4.8145790000000002</v>
      </c>
      <c r="E5991">
        <v>0.3152182</v>
      </c>
      <c r="F5991" t="s">
        <v>39</v>
      </c>
      <c r="G5991">
        <v>-195.13069999999999</v>
      </c>
      <c r="H5991" s="1">
        <v>-2.3362650000000001E-6</v>
      </c>
      <c r="I5991">
        <v>-38.147210000000001</v>
      </c>
      <c r="J5991">
        <v>-226.96690000000001</v>
      </c>
      <c r="K5991">
        <v>1.1033660000000001</v>
      </c>
      <c r="L5991">
        <v>-60.136719999999997</v>
      </c>
      <c r="M5991">
        <v>0.999484499999999</v>
      </c>
      <c r="N5991">
        <v>0</v>
      </c>
      <c r="O5991">
        <v>3.0849370000000001E-2</v>
      </c>
      <c r="P5991">
        <v>0.98942999999999903</v>
      </c>
      <c r="Q5991">
        <v>1.1720839999999899E-3</v>
      </c>
      <c r="R5991">
        <v>0.14500739999999901</v>
      </c>
      <c r="S5991">
        <v>2.75584399999999</v>
      </c>
      <c r="T5991">
        <v>-9.513402E-2</v>
      </c>
      <c r="U5991">
        <v>1.8963319999999999</v>
      </c>
      <c r="V5991">
        <v>-0.11440119999999999</v>
      </c>
      <c r="W5991">
        <v>1.0149129999999999E-2</v>
      </c>
      <c r="X5991">
        <v>0.99338280000000001</v>
      </c>
      <c r="Y5991">
        <v>-0.54098179999999996</v>
      </c>
      <c r="Z5991">
        <v>7.4741369999999996E-3</v>
      </c>
      <c r="AA5991">
        <v>0.84100109999999995</v>
      </c>
      <c r="AB5991">
        <v>25</v>
      </c>
      <c r="AC5991">
        <v>31.836200000000002</v>
      </c>
      <c r="AD5991">
        <v>-1.103368336265</v>
      </c>
      <c r="AE5991">
        <v>21.989509999999999</v>
      </c>
      <c r="AF5991">
        <v>-20.9798169095858</v>
      </c>
      <c r="AG5991">
        <v>-1.103368336265</v>
      </c>
      <c r="AH5991">
        <v>32.473028598220303</v>
      </c>
      <c r="AI5991">
        <v>91.634765559311305</v>
      </c>
      <c r="AJ5991">
        <v>122.86524907552899</v>
      </c>
      <c r="AK5991">
        <v>38.676449237049297</v>
      </c>
    </row>
    <row r="5992" spans="1:37" x14ac:dyDescent="0.2">
      <c r="A5992" t="str">
        <f>"20200111160019096"</f>
        <v>20200111160019096</v>
      </c>
      <c r="B5992" t="str">
        <f>"1578729619086831"</f>
        <v>1578729619086831</v>
      </c>
      <c r="C5992" t="s">
        <v>37</v>
      </c>
      <c r="D5992">
        <v>4.7949099999999998</v>
      </c>
      <c r="E5992">
        <v>0.3146813</v>
      </c>
      <c r="F5992" t="s">
        <v>39</v>
      </c>
      <c r="G5992">
        <v>-195.31649999999999</v>
      </c>
      <c r="H5992" s="1">
        <v>-2.334306E-6</v>
      </c>
      <c r="I5992">
        <v>-38.267009999999999</v>
      </c>
      <c r="J5992">
        <v>-226.84289999999999</v>
      </c>
      <c r="K5992">
        <v>1.1034250000000001</v>
      </c>
      <c r="L5992">
        <v>-60.133299999999998</v>
      </c>
      <c r="M5992">
        <v>0.99949409999999905</v>
      </c>
      <c r="N5992">
        <v>0</v>
      </c>
      <c r="O5992">
        <v>3.0493630000000001E-2</v>
      </c>
      <c r="P5992">
        <v>0.98932710000000001</v>
      </c>
      <c r="Q5992">
        <v>1.192968E-3</v>
      </c>
      <c r="R5992">
        <v>0.14570720000000001</v>
      </c>
      <c r="S5992">
        <v>2.753342</v>
      </c>
      <c r="T5992">
        <v>-9.598458E-2</v>
      </c>
      <c r="U5992">
        <v>1.902496</v>
      </c>
      <c r="V5992">
        <v>-0.1154578</v>
      </c>
      <c r="W5992">
        <v>1.031697E-2</v>
      </c>
      <c r="X5992">
        <v>0.9932588</v>
      </c>
      <c r="Y5992">
        <v>-0.54290769999999899</v>
      </c>
      <c r="Z5992">
        <v>7.58368699999999E-3</v>
      </c>
      <c r="AA5992">
        <v>0.83975820000000001</v>
      </c>
      <c r="AB5992">
        <v>25</v>
      </c>
      <c r="AC5992">
        <v>31.526399999999899</v>
      </c>
      <c r="AD5992">
        <v>-1.1034273343059999</v>
      </c>
      <c r="AE5992">
        <v>21.866289999999999</v>
      </c>
      <c r="AF5992">
        <v>-20.877458814760299</v>
      </c>
      <c r="AG5992">
        <v>-1.1034273343059999</v>
      </c>
      <c r="AH5992">
        <v>32.151954261475097</v>
      </c>
      <c r="AI5992">
        <v>91.648710775124002</v>
      </c>
      <c r="AJ5992">
        <v>122.997161631483</v>
      </c>
      <c r="AK5992">
        <v>38.351453704861001</v>
      </c>
    </row>
    <row r="5993" spans="1:37" x14ac:dyDescent="0.2">
      <c r="A5993" t="str">
        <f>"20200111160019107"</f>
        <v>20200111160019107</v>
      </c>
      <c r="B5993" t="str">
        <f>"1578729619096591"</f>
        <v>1578729619096591</v>
      </c>
      <c r="C5993" t="s">
        <v>37</v>
      </c>
      <c r="D5993">
        <v>4.7241730000000004</v>
      </c>
      <c r="E5993">
        <v>0.31409949999999998</v>
      </c>
      <c r="F5993" t="s">
        <v>39</v>
      </c>
      <c r="G5993">
        <v>-195.23840000000001</v>
      </c>
      <c r="H5993" s="1">
        <v>-2.3379079999999999E-6</v>
      </c>
      <c r="I5993">
        <v>-38.210169999999998</v>
      </c>
      <c r="J5993">
        <v>-226.7295</v>
      </c>
      <c r="K5993">
        <v>1.103477</v>
      </c>
      <c r="L5993">
        <v>-60.130189999999999</v>
      </c>
      <c r="M5993">
        <v>0.99950239999999901</v>
      </c>
      <c r="N5993">
        <v>0</v>
      </c>
      <c r="O5993">
        <v>3.0173120000000001E-2</v>
      </c>
      <c r="P5993">
        <v>0.98928449999999901</v>
      </c>
      <c r="Q5993">
        <v>1.0942719999999899E-3</v>
      </c>
      <c r="R5993">
        <v>0.14599790000000001</v>
      </c>
      <c r="S5993">
        <v>2.751404</v>
      </c>
      <c r="T5993">
        <v>-9.6061469999999996E-2</v>
      </c>
      <c r="U5993">
        <v>1.908569</v>
      </c>
      <c r="V5993">
        <v>-0.116068699999999</v>
      </c>
      <c r="W5993">
        <v>1.036751E-2</v>
      </c>
      <c r="X5993">
        <v>0.99318709999999899</v>
      </c>
      <c r="Y5993">
        <v>-0.54470359999999995</v>
      </c>
      <c r="Z5993">
        <v>7.6281739999999997E-3</v>
      </c>
      <c r="AA5993">
        <v>0.83859399999999995</v>
      </c>
      <c r="AB5993">
        <v>25</v>
      </c>
      <c r="AC5993">
        <v>31.4910999999999</v>
      </c>
      <c r="AD5993">
        <v>-1.1034793379079999</v>
      </c>
      <c r="AE5993">
        <v>21.920020000000001</v>
      </c>
      <c r="AF5993">
        <v>-20.9424918464732</v>
      </c>
      <c r="AG5993">
        <v>-1.1034793379079999</v>
      </c>
      <c r="AH5993">
        <v>32.111623691628502</v>
      </c>
      <c r="AI5993">
        <v>91.648716737030199</v>
      </c>
      <c r="AJ5993">
        <v>123.111502906768</v>
      </c>
      <c r="AK5993">
        <v>38.3531225260935</v>
      </c>
    </row>
    <row r="5994" spans="1:37" x14ac:dyDescent="0.2">
      <c r="A5994" t="str">
        <f>"20200111160019120"</f>
        <v>20200111160019120</v>
      </c>
      <c r="B5994" t="str">
        <f>"1578729619117087"</f>
        <v>1578729619117087</v>
      </c>
      <c r="C5994" t="s">
        <v>37</v>
      </c>
      <c r="D5994">
        <v>4.7584470000000003</v>
      </c>
      <c r="E5994">
        <v>0.3135733</v>
      </c>
      <c r="F5994" t="s">
        <v>39</v>
      </c>
      <c r="G5994">
        <v>-194.70429999999999</v>
      </c>
      <c r="H5994" s="1">
        <v>-2.3532799999999999E-6</v>
      </c>
      <c r="I5994">
        <v>-37.843049999999998</v>
      </c>
      <c r="J5994">
        <v>-226.5806</v>
      </c>
      <c r="K5994">
        <v>1.1035520000000001</v>
      </c>
      <c r="L5994">
        <v>-60.126190000000001</v>
      </c>
      <c r="M5994">
        <v>0.99951190000000001</v>
      </c>
      <c r="N5994">
        <v>0</v>
      </c>
      <c r="O5994">
        <v>2.9775050000000001E-2</v>
      </c>
      <c r="P5994">
        <v>0.98928069999999901</v>
      </c>
      <c r="Q5994">
        <v>1.265621E-3</v>
      </c>
      <c r="R5994">
        <v>0.1460217</v>
      </c>
      <c r="S5994">
        <v>2.7501679999999999</v>
      </c>
      <c r="T5994">
        <v>-9.4761369999999998E-2</v>
      </c>
      <c r="U5994">
        <v>1.91390999999999</v>
      </c>
      <c r="V5994">
        <v>-0.1164882</v>
      </c>
      <c r="W5994">
        <v>1.080331E-2</v>
      </c>
      <c r="X5994">
        <v>0.9931333</v>
      </c>
      <c r="Y5994">
        <v>-0.54631600000000002</v>
      </c>
      <c r="Z5994">
        <v>7.56134699999999E-3</v>
      </c>
      <c r="AA5994">
        <v>0.83754499999999998</v>
      </c>
      <c r="AB5994">
        <v>24</v>
      </c>
      <c r="AC5994">
        <v>31.876300000000001</v>
      </c>
      <c r="AD5994">
        <v>-1.1035543532799901</v>
      </c>
      <c r="AE5994">
        <v>22.28314</v>
      </c>
      <c r="AF5994">
        <v>-21.306944130902501</v>
      </c>
      <c r="AG5994">
        <v>-1.1035543532799901</v>
      </c>
      <c r="AH5994">
        <v>32.499511313659703</v>
      </c>
      <c r="AI5994">
        <v>91.626604014197397</v>
      </c>
      <c r="AJ5994">
        <v>123.24917492230399</v>
      </c>
      <c r="AK5994">
        <v>38.877010379332702</v>
      </c>
    </row>
    <row r="5995" spans="1:37" x14ac:dyDescent="0.2">
      <c r="A5995" t="str">
        <f>"20200111160019133"</f>
        <v>20200111160019133</v>
      </c>
      <c r="B5995" t="str">
        <f>"1578729619126846"</f>
        <v>1578729619126846</v>
      </c>
      <c r="C5995" t="s">
        <v>37</v>
      </c>
      <c r="D5995">
        <v>4.7184780000000002</v>
      </c>
      <c r="E5995">
        <v>0.31327830000000001</v>
      </c>
      <c r="F5995" t="s">
        <v>39</v>
      </c>
      <c r="G5995">
        <v>-192.90940000000001</v>
      </c>
      <c r="H5995" s="1">
        <v>-2.39127299999999E-6</v>
      </c>
      <c r="I5995">
        <v>-36.641280000000002</v>
      </c>
      <c r="J5995">
        <v>-226.44139999999999</v>
      </c>
      <c r="K5995">
        <v>1.1036239999999999</v>
      </c>
      <c r="L5995">
        <v>-60.122439999999997</v>
      </c>
      <c r="M5995">
        <v>0.99951979999999996</v>
      </c>
      <c r="N5995">
        <v>0</v>
      </c>
      <c r="O5995">
        <v>2.9412859999999999E-2</v>
      </c>
      <c r="P5995">
        <v>0.98931380000000002</v>
      </c>
      <c r="Q5995">
        <v>1.3641879999999999E-3</v>
      </c>
      <c r="R5995">
        <v>0.14579619999999999</v>
      </c>
      <c r="S5995">
        <v>2.7495569999999998</v>
      </c>
      <c r="T5995">
        <v>-9.0115189999999998E-2</v>
      </c>
      <c r="U5995">
        <v>1.9177549999999901</v>
      </c>
      <c r="V5995">
        <v>-0.11662119999999999</v>
      </c>
      <c r="W5995">
        <v>1.117713E-2</v>
      </c>
      <c r="X5995">
        <v>0.99311360000000004</v>
      </c>
      <c r="Y5995">
        <v>-0.54751369999999999</v>
      </c>
      <c r="Z5995">
        <v>7.2178119999999997E-3</v>
      </c>
      <c r="AA5995">
        <v>0.836765599999999</v>
      </c>
      <c r="AB5995">
        <v>24</v>
      </c>
      <c r="AC5995">
        <v>33.531999999999897</v>
      </c>
      <c r="AD5995">
        <v>-1.103626391273</v>
      </c>
      <c r="AE5995">
        <v>23.481159999999999</v>
      </c>
      <c r="AF5995">
        <v>-22.4683503169896</v>
      </c>
      <c r="AG5995">
        <v>-1.103626391273</v>
      </c>
      <c r="AH5995">
        <v>34.183326400437799</v>
      </c>
      <c r="AI5995">
        <v>91.545428856235006</v>
      </c>
      <c r="AJ5995">
        <v>123.316508727601</v>
      </c>
      <c r="AK5995">
        <v>40.921199407853997</v>
      </c>
    </row>
    <row r="5996" spans="1:37" x14ac:dyDescent="0.2">
      <c r="A5996" t="str">
        <f>"20200111160019148"</f>
        <v>20200111160019148</v>
      </c>
      <c r="B5996" t="str">
        <f>"1578729619136607"</f>
        <v>1578729619136607</v>
      </c>
      <c r="C5996" t="s">
        <v>37</v>
      </c>
      <c r="D5996">
        <v>4.6812430000000003</v>
      </c>
      <c r="E5996">
        <v>0.31300820000000001</v>
      </c>
      <c r="F5996" t="s">
        <v>39</v>
      </c>
      <c r="G5996">
        <v>-192.2234</v>
      </c>
      <c r="H5996" s="1">
        <v>-2.38182099999999E-6</v>
      </c>
      <c r="I5996">
        <v>-36.237819999999999</v>
      </c>
      <c r="J5996">
        <v>-226.28460000000001</v>
      </c>
      <c r="K5996">
        <v>1.103702</v>
      </c>
      <c r="L5996">
        <v>-60.118319999999997</v>
      </c>
      <c r="M5996">
        <v>0.99952819999999998</v>
      </c>
      <c r="N5996">
        <v>0</v>
      </c>
      <c r="O5996">
        <v>2.9011909999999998E-2</v>
      </c>
      <c r="P5996">
        <v>0.98942649999999999</v>
      </c>
      <c r="Q5996">
        <v>1.3658939999999899E-3</v>
      </c>
      <c r="R5996">
        <v>0.145029399999999</v>
      </c>
      <c r="S5996">
        <v>2.7496800000000001</v>
      </c>
      <c r="T5996">
        <v>-8.8684799999999994E-2</v>
      </c>
      <c r="U5996">
        <v>1.9193119999999999</v>
      </c>
      <c r="V5996">
        <v>-0.11625000000000001</v>
      </c>
      <c r="W5996">
        <v>1.150518E-2</v>
      </c>
      <c r="X5996">
        <v>0.99315330000000002</v>
      </c>
      <c r="Y5996">
        <v>-0.54815579999999997</v>
      </c>
      <c r="Z5996">
        <v>7.1229140000000002E-3</v>
      </c>
      <c r="AA5996">
        <v>0.83634589999999998</v>
      </c>
      <c r="AB5996">
        <v>24</v>
      </c>
      <c r="AC5996">
        <v>34.061199999999999</v>
      </c>
      <c r="AD5996">
        <v>-1.1037043818209999</v>
      </c>
      <c r="AE5996">
        <v>23.880500000000001</v>
      </c>
      <c r="AF5996">
        <v>-22.866119309938799</v>
      </c>
      <c r="AG5996">
        <v>-1.1037043818209999</v>
      </c>
      <c r="AH5996">
        <v>34.715276995460897</v>
      </c>
      <c r="AI5996">
        <v>91.520898630573697</v>
      </c>
      <c r="AJ5996">
        <v>123.371936713672</v>
      </c>
      <c r="AK5996">
        <v>41.583987693947599</v>
      </c>
    </row>
    <row r="5997" spans="1:37" x14ac:dyDescent="0.2">
      <c r="A5997" t="str">
        <f>"20200111160019159"</f>
        <v>20200111160019159</v>
      </c>
      <c r="B5997" t="str">
        <f>"1578729619157102"</f>
        <v>1578729619157102</v>
      </c>
      <c r="C5997" t="s">
        <v>37</v>
      </c>
      <c r="D5997">
        <v>4.6983160000000002</v>
      </c>
      <c r="E5997">
        <v>0.31260789999999999</v>
      </c>
      <c r="F5997" t="s">
        <v>39</v>
      </c>
      <c r="G5997">
        <v>-191.74959999999999</v>
      </c>
      <c r="H5997" s="1">
        <v>-2.34746199999999E-6</v>
      </c>
      <c r="I5997">
        <v>-36.024029999999897</v>
      </c>
      <c r="J5997">
        <v>-226.16</v>
      </c>
      <c r="K5997">
        <v>1.10375499999999</v>
      </c>
      <c r="L5997">
        <v>-60.115049999999997</v>
      </c>
      <c r="M5997">
        <v>0.99953459999999905</v>
      </c>
      <c r="N5997">
        <v>0</v>
      </c>
      <c r="O5997">
        <v>2.8698640000000001E-2</v>
      </c>
      <c r="P5997">
        <v>0.98947890000000005</v>
      </c>
      <c r="Q5997">
        <v>1.334434E-3</v>
      </c>
      <c r="R5997">
        <v>0.144672</v>
      </c>
      <c r="S5997">
        <v>2.7508699999999999</v>
      </c>
      <c r="T5997">
        <v>-8.7915060000000003E-2</v>
      </c>
      <c r="U5997">
        <v>1.9192199999999999</v>
      </c>
      <c r="V5997">
        <v>-0.11620279999999999</v>
      </c>
      <c r="W5997">
        <v>1.1736430000000001E-2</v>
      </c>
      <c r="X5997">
        <v>0.99315609999999999</v>
      </c>
      <c r="Y5997">
        <v>-0.54823239999999995</v>
      </c>
      <c r="Z5997">
        <v>7.0687500000000004E-3</v>
      </c>
      <c r="AA5997">
        <v>0.83629619999999905</v>
      </c>
      <c r="AB5997">
        <v>24</v>
      </c>
      <c r="AC5997">
        <v>34.410400000000003</v>
      </c>
      <c r="AD5997">
        <v>-1.1037573474619899</v>
      </c>
      <c r="AE5997">
        <v>24.09102</v>
      </c>
      <c r="AF5997">
        <v>-23.077577470046599</v>
      </c>
      <c r="AG5997">
        <v>-1.1037573474619899</v>
      </c>
      <c r="AH5997">
        <v>35.063431827796201</v>
      </c>
      <c r="AI5997">
        <v>91.506228652744696</v>
      </c>
      <c r="AJ5997">
        <v>123.351574690307</v>
      </c>
      <c r="AK5997">
        <v>41.990917038219003</v>
      </c>
    </row>
    <row r="5998" spans="1:37" x14ac:dyDescent="0.2">
      <c r="A5998" t="str">
        <f>"20200111160019171"</f>
        <v>20200111160019171</v>
      </c>
      <c r="B5998" t="str">
        <f>"1578729619166863"</f>
        <v>1578729619166863</v>
      </c>
      <c r="C5998" t="s">
        <v>37</v>
      </c>
      <c r="D5998">
        <v>4.7339909999999996</v>
      </c>
      <c r="E5998">
        <v>0.31233059999999901</v>
      </c>
      <c r="F5998" t="s">
        <v>39</v>
      </c>
      <c r="G5998">
        <v>-190.2578</v>
      </c>
      <c r="H5998" s="1">
        <v>-2.371457E-6</v>
      </c>
      <c r="I5998">
        <v>-35.042839999999998</v>
      </c>
      <c r="J5998">
        <v>-226.03729999999999</v>
      </c>
      <c r="K5998">
        <v>1.1037999999999999</v>
      </c>
      <c r="L5998">
        <v>-60.111849999999997</v>
      </c>
      <c r="M5998">
        <v>0.999540599999999</v>
      </c>
      <c r="N5998">
        <v>0</v>
      </c>
      <c r="O5998">
        <v>2.8393129999999999E-2</v>
      </c>
      <c r="P5998">
        <v>0.98958119999999905</v>
      </c>
      <c r="Q5998">
        <v>1.053764E-3</v>
      </c>
      <c r="R5998">
        <v>0.14397279999999901</v>
      </c>
      <c r="S5998">
        <v>2.7511139999999998</v>
      </c>
      <c r="T5998">
        <v>-8.4578749999999994E-2</v>
      </c>
      <c r="U5998">
        <v>1.9212340000000001</v>
      </c>
      <c r="V5998">
        <v>-0.11580459999999999</v>
      </c>
      <c r="W5998">
        <v>1.170877E-2</v>
      </c>
      <c r="X5998">
        <v>0.99320299999999995</v>
      </c>
      <c r="Y5998">
        <v>-0.54887759999999997</v>
      </c>
      <c r="Z5998">
        <v>6.8161669999999997E-3</v>
      </c>
      <c r="AA5998">
        <v>0.83587500000000003</v>
      </c>
      <c r="AB5998">
        <v>24</v>
      </c>
      <c r="AC5998">
        <v>35.779499999999899</v>
      </c>
      <c r="AD5998">
        <v>-1.103802371457</v>
      </c>
      <c r="AE5998">
        <v>25.069009999999899</v>
      </c>
      <c r="AF5998">
        <v>-24.027614666976898</v>
      </c>
      <c r="AG5998">
        <v>-1.103802371457</v>
      </c>
      <c r="AH5998">
        <v>36.453630655698497</v>
      </c>
      <c r="AI5998">
        <v>91.448231417357505</v>
      </c>
      <c r="AJ5998">
        <v>123.390001686454</v>
      </c>
      <c r="AK5998">
        <v>43.673926251735601</v>
      </c>
    </row>
    <row r="5999" spans="1:37" x14ac:dyDescent="0.2">
      <c r="A5999" t="str">
        <f>"20200111160019182"</f>
        <v>20200111160019182</v>
      </c>
      <c r="B5999" t="str">
        <f>"1578729619177262"</f>
        <v>1578729619177262</v>
      </c>
      <c r="C5999" t="s">
        <v>37</v>
      </c>
      <c r="D5999">
        <v>4.7205979999999998</v>
      </c>
      <c r="E5999">
        <v>0.31215169999999998</v>
      </c>
      <c r="F5999" t="s">
        <v>39</v>
      </c>
      <c r="G5999">
        <v>-189.9845</v>
      </c>
      <c r="H5999" s="1">
        <v>-2.3420959999999999E-6</v>
      </c>
      <c r="I5999">
        <v>-34.941800000000001</v>
      </c>
      <c r="J5999">
        <v>-225.91720000000001</v>
      </c>
      <c r="K5999">
        <v>1.103836</v>
      </c>
      <c r="L5999">
        <v>-60.108759999999997</v>
      </c>
      <c r="M5999">
        <v>0.9995463</v>
      </c>
      <c r="N5999">
        <v>0</v>
      </c>
      <c r="O5999">
        <v>2.8095780000000001E-2</v>
      </c>
      <c r="P5999">
        <v>0.9897146</v>
      </c>
      <c r="Q5999">
        <v>4.7583510000000001E-4</v>
      </c>
      <c r="R5999">
        <v>0.14305599999999999</v>
      </c>
      <c r="S5999">
        <v>2.7521360000000001</v>
      </c>
      <c r="T5999">
        <v>-8.4260109999999999E-2</v>
      </c>
      <c r="U5999">
        <v>1.921387</v>
      </c>
      <c r="V5999">
        <v>-0.1151803</v>
      </c>
      <c r="W5999">
        <v>1.1373579999999999E-2</v>
      </c>
      <c r="X5999">
        <v>0.99327949999999998</v>
      </c>
      <c r="Y5999">
        <v>-0.54901269999999902</v>
      </c>
      <c r="Z5999">
        <v>6.7983569999999997E-3</v>
      </c>
      <c r="AA5999">
        <v>0.83578629999999998</v>
      </c>
      <c r="AB5999">
        <v>24</v>
      </c>
      <c r="AC5999">
        <v>35.932699999999997</v>
      </c>
      <c r="AD5999">
        <v>-1.1038383420960001</v>
      </c>
      <c r="AE5999">
        <v>25.16696</v>
      </c>
      <c r="AF5999">
        <v>-24.132128594339701</v>
      </c>
      <c r="AG5999">
        <v>-1.1038383420960001</v>
      </c>
      <c r="AH5999">
        <v>36.602466701066902</v>
      </c>
      <c r="AI5999">
        <v>91.442275916652804</v>
      </c>
      <c r="AJ5999">
        <v>123.396998149193</v>
      </c>
      <c r="AK5999">
        <v>43.855657083002903</v>
      </c>
    </row>
    <row r="6000" spans="1:37" x14ac:dyDescent="0.2">
      <c r="A6000" t="str">
        <f>"20200111160019193"</f>
        <v>20200111160019193</v>
      </c>
      <c r="B6000" t="str">
        <f>"1578729619187022"</f>
        <v>1578729619187022</v>
      </c>
      <c r="C6000" t="s">
        <v>37</v>
      </c>
      <c r="D6000">
        <v>4.7075329999999997</v>
      </c>
      <c r="E6000">
        <v>0.31195309999999998</v>
      </c>
      <c r="F6000" t="s">
        <v>39</v>
      </c>
      <c r="G6000">
        <v>-190.02330000000001</v>
      </c>
      <c r="H6000" s="1">
        <v>-2.2934610000000001E-6</v>
      </c>
      <c r="I6000">
        <v>-35.0792</v>
      </c>
      <c r="J6000">
        <v>-225.7954</v>
      </c>
      <c r="K6000">
        <v>1.103861</v>
      </c>
      <c r="L6000">
        <v>-60.10568</v>
      </c>
      <c r="M6000">
        <v>0.99955210000000005</v>
      </c>
      <c r="N6000">
        <v>0</v>
      </c>
      <c r="O6000">
        <v>2.7796520000000002E-2</v>
      </c>
      <c r="P6000">
        <v>0.98984459999999996</v>
      </c>
      <c r="Q6000" s="1">
        <v>4.9326570000000001E-5</v>
      </c>
      <c r="R6000">
        <v>0.14215429999999901</v>
      </c>
      <c r="S6000">
        <v>2.7536770000000002</v>
      </c>
      <c r="T6000">
        <v>-8.4683300000000003E-2</v>
      </c>
      <c r="U6000">
        <v>1.9201969999999999</v>
      </c>
      <c r="V6000">
        <v>-0.11457239999999901</v>
      </c>
      <c r="W6000">
        <v>1.11819E-2</v>
      </c>
      <c r="X6000">
        <v>0.99335200000000001</v>
      </c>
      <c r="Y6000">
        <v>-0.54879880000000003</v>
      </c>
      <c r="Z6000">
        <v>6.8354019999999904E-3</v>
      </c>
      <c r="AA6000">
        <v>0.83592659999999996</v>
      </c>
      <c r="AB6000">
        <v>24</v>
      </c>
      <c r="AC6000">
        <v>35.772099999999902</v>
      </c>
      <c r="AD6000">
        <v>-1.103863293461</v>
      </c>
      <c r="AE6000">
        <v>25.026479999999999</v>
      </c>
      <c r="AF6000">
        <v>-24.007059526230901</v>
      </c>
      <c r="AG6000">
        <v>-1.103863293461</v>
      </c>
      <c r="AH6000">
        <v>36.430677172080699</v>
      </c>
      <c r="AI6000">
        <v>91.449322584068597</v>
      </c>
      <c r="AJ6000">
        <v>123.38405236062999</v>
      </c>
      <c r="AK6000">
        <v>43.643460684082001</v>
      </c>
    </row>
    <row r="6001" spans="1:37" x14ac:dyDescent="0.2">
      <c r="A6001" t="str">
        <f>"20200111160019204"</f>
        <v>20200111160019204</v>
      </c>
      <c r="B6001" t="str">
        <f>"1578729619196783"</f>
        <v>1578729619196783</v>
      </c>
      <c r="C6001" t="s">
        <v>37</v>
      </c>
      <c r="D6001">
        <v>4.7581369999999996</v>
      </c>
      <c r="E6001">
        <v>0.31189479999999897</v>
      </c>
      <c r="F6001" t="s">
        <v>39</v>
      </c>
      <c r="G6001">
        <v>-189.64769999999999</v>
      </c>
      <c r="H6001" s="1">
        <v>-2.3965569999999999E-6</v>
      </c>
      <c r="I6001">
        <v>-34.926439999999999</v>
      </c>
      <c r="J6001">
        <v>-225.6705</v>
      </c>
      <c r="K6001">
        <v>1.103885</v>
      </c>
      <c r="L6001">
        <v>-60.102569999999901</v>
      </c>
      <c r="M6001">
        <v>0.9995579</v>
      </c>
      <c r="N6001">
        <v>0</v>
      </c>
      <c r="O6001">
        <v>2.7490170000000001E-2</v>
      </c>
      <c r="P6001">
        <v>0.99000689999999902</v>
      </c>
      <c r="Q6001">
        <v>-1.0208929999999999E-3</v>
      </c>
      <c r="R6001">
        <v>0.14101649999999999</v>
      </c>
      <c r="S6001">
        <v>2.7551730000000001</v>
      </c>
      <c r="T6001">
        <v>-8.4136370000000002E-2</v>
      </c>
      <c r="U6001">
        <v>1.9191590000000001</v>
      </c>
      <c r="V6001">
        <v>-0.113735899999999</v>
      </c>
      <c r="W6001">
        <v>1.034844E-2</v>
      </c>
      <c r="X6001">
        <v>0.99345709999999998</v>
      </c>
      <c r="Y6001">
        <v>-0.54863209999999996</v>
      </c>
      <c r="Z6001">
        <v>6.7950010000000002E-3</v>
      </c>
      <c r="AA6001">
        <v>0.83603629999999995</v>
      </c>
      <c r="AB6001">
        <v>24</v>
      </c>
      <c r="AC6001">
        <v>36.022799999999997</v>
      </c>
      <c r="AD6001">
        <v>-1.103887396557</v>
      </c>
      <c r="AE6001">
        <v>25.176129999999901</v>
      </c>
      <c r="AF6001">
        <v>-24.161034478182099</v>
      </c>
      <c r="AG6001">
        <v>-1.103887396557</v>
      </c>
      <c r="AH6001">
        <v>36.678184581988603</v>
      </c>
      <c r="AI6001">
        <v>91.439742507064494</v>
      </c>
      <c r="AJ6001">
        <v>123.37411020977601</v>
      </c>
      <c r="AK6001">
        <v>43.934762758783698</v>
      </c>
    </row>
    <row r="6002" spans="1:37" x14ac:dyDescent="0.2">
      <c r="A6002" t="str">
        <f>"20200111160019215"</f>
        <v>20200111160019215</v>
      </c>
      <c r="B6002" t="str">
        <f>"1578729619206543"</f>
        <v>1578729619206543</v>
      </c>
      <c r="C6002" t="s">
        <v>37</v>
      </c>
      <c r="D6002">
        <v>5.4980830000000003</v>
      </c>
      <c r="E6002">
        <v>0.31189479999999897</v>
      </c>
      <c r="F6002" t="s">
        <v>39</v>
      </c>
      <c r="G6002">
        <v>-191.28909999999999</v>
      </c>
      <c r="H6002" s="1">
        <v>-2.1482609999999998E-6</v>
      </c>
      <c r="I6002">
        <v>-36.202770000000001</v>
      </c>
      <c r="J6002">
        <v>-225.54810000000001</v>
      </c>
      <c r="K6002">
        <v>1.103899</v>
      </c>
      <c r="L6002">
        <v>-60.099550000000001</v>
      </c>
      <c r="M6002">
        <v>0.9995636</v>
      </c>
      <c r="N6002">
        <v>0</v>
      </c>
      <c r="O6002">
        <v>2.719129E-2</v>
      </c>
      <c r="P6002">
        <v>0.990124</v>
      </c>
      <c r="Q6002">
        <v>-1.8604029999999901E-3</v>
      </c>
      <c r="R6002">
        <v>0.14018169999999999</v>
      </c>
      <c r="S6002">
        <v>2.7571870000000001</v>
      </c>
      <c r="T6002">
        <v>-8.8525409999999999E-2</v>
      </c>
      <c r="U6002">
        <v>1.9166259999999999</v>
      </c>
      <c r="V6002">
        <v>-0.11319559999999999</v>
      </c>
      <c r="W6002">
        <v>9.7247669999999901E-3</v>
      </c>
      <c r="X6002">
        <v>0.99352510000000005</v>
      </c>
      <c r="Y6002">
        <v>-0.54806069999999996</v>
      </c>
      <c r="Z6002">
        <v>7.1470780000000003E-3</v>
      </c>
      <c r="AA6002">
        <v>0.83640809999999999</v>
      </c>
      <c r="AB6002">
        <v>24</v>
      </c>
      <c r="AC6002">
        <v>34.259</v>
      </c>
      <c r="AD6002">
        <v>-1.1039011482609999</v>
      </c>
      <c r="AE6002">
        <v>23.89678</v>
      </c>
      <c r="AF6002">
        <v>-22.940311984912999</v>
      </c>
      <c r="AG6002">
        <v>-1.1039011482609999</v>
      </c>
      <c r="AH6002">
        <v>34.871802604679601</v>
      </c>
      <c r="AI6002">
        <v>91.514921267157504</v>
      </c>
      <c r="AJ6002">
        <v>123.338799846615</v>
      </c>
      <c r="AK6002">
        <v>41.755468248003297</v>
      </c>
    </row>
    <row r="6003" spans="1:37" x14ac:dyDescent="0.2">
      <c r="A6003" t="str">
        <f>"20200111160019418"</f>
        <v>20200111160019418</v>
      </c>
      <c r="B6003" t="str">
        <f>"1578729619406622"</f>
        <v>1578729619406622</v>
      </c>
      <c r="C6003" t="s">
        <v>37</v>
      </c>
      <c r="D6003">
        <v>5.077013</v>
      </c>
      <c r="E6003">
        <v>0.31189479999999897</v>
      </c>
      <c r="F6003" t="s">
        <v>39</v>
      </c>
      <c r="G6003">
        <v>-191.94640000000001</v>
      </c>
      <c r="H6003" s="1">
        <v>-2.073857E-6</v>
      </c>
      <c r="I6003">
        <v>-36.783900000000003</v>
      </c>
      <c r="J6003">
        <v>-223.3766</v>
      </c>
      <c r="K6003">
        <v>1.1039570000000001</v>
      </c>
      <c r="L6003">
        <v>-60.052250000000001</v>
      </c>
      <c r="M6003">
        <v>0.99966900000000003</v>
      </c>
      <c r="N6003">
        <v>0</v>
      </c>
      <c r="O6003">
        <v>2.1683170000000002E-2</v>
      </c>
      <c r="P6003">
        <v>0.99161710000000003</v>
      </c>
      <c r="Q6003">
        <v>-8.6181909999999903E-3</v>
      </c>
      <c r="R6003">
        <v>0.1289247</v>
      </c>
      <c r="S6003">
        <v>2.7587429999999999</v>
      </c>
      <c r="T6003">
        <v>-9.0631719999999999E-2</v>
      </c>
      <c r="U6003">
        <v>1.9142459999999999</v>
      </c>
      <c r="V6003">
        <v>-0.107385799999999</v>
      </c>
      <c r="W6003">
        <v>5.2612229999999998E-3</v>
      </c>
      <c r="X6003">
        <v>0.99420350000000002</v>
      </c>
      <c r="Y6003">
        <v>-0.55194189999999999</v>
      </c>
      <c r="Z6003">
        <v>7.535328E-3</v>
      </c>
      <c r="AA6003">
        <v>0.83384849999999999</v>
      </c>
      <c r="AB6003">
        <v>24</v>
      </c>
      <c r="AC6003">
        <v>31.4301999999999</v>
      </c>
      <c r="AD6003">
        <v>-1.103959073857</v>
      </c>
      <c r="AE6003">
        <v>23.268350000000002</v>
      </c>
      <c r="AF6003">
        <v>-22.563325258686</v>
      </c>
      <c r="AG6003">
        <v>-1.103959073857</v>
      </c>
      <c r="AH6003">
        <v>31.9019654000777</v>
      </c>
      <c r="AI6003">
        <v>91.618316513879606</v>
      </c>
      <c r="AJ6003">
        <v>125.27065026737</v>
      </c>
      <c r="AK6003">
        <v>39.090379491043102</v>
      </c>
    </row>
    <row r="6004" spans="1:37" x14ac:dyDescent="0.2">
      <c r="A6004" t="str">
        <f>"20200111160019429"</f>
        <v>20200111160019429</v>
      </c>
      <c r="B6004" t="str">
        <f>"1578729619427118"</f>
        <v>1578729619427118</v>
      </c>
      <c r="C6004" t="s">
        <v>37</v>
      </c>
      <c r="D6004">
        <v>4.966056</v>
      </c>
      <c r="E6004">
        <v>0.60861049999999906</v>
      </c>
      <c r="F6004" t="s">
        <v>75</v>
      </c>
      <c r="G6004">
        <v>-195.58750000000001</v>
      </c>
      <c r="H6004" s="1">
        <v>-6.5113930000000001E-6</v>
      </c>
      <c r="I6004">
        <v>-41.231050000000003</v>
      </c>
      <c r="J6004">
        <v>-223.26429999999999</v>
      </c>
      <c r="K6004">
        <v>1.103966</v>
      </c>
      <c r="L6004">
        <v>-60.050139999999999</v>
      </c>
      <c r="M6004">
        <v>0.99967439999999996</v>
      </c>
      <c r="N6004">
        <v>0</v>
      </c>
      <c r="O6004">
        <v>2.1398110000000001E-2</v>
      </c>
      <c r="P6004">
        <v>0.99162539999999999</v>
      </c>
      <c r="Q6004">
        <v>-8.3074029999999997E-3</v>
      </c>
      <c r="R6004">
        <v>0.12888150000000001</v>
      </c>
      <c r="S6004">
        <v>2.7796630000000002</v>
      </c>
      <c r="T6004">
        <v>-0.110426199999999</v>
      </c>
      <c r="U6004">
        <v>1.8826290000000001</v>
      </c>
      <c r="V6004">
        <v>-0.1076255</v>
      </c>
      <c r="W6004">
        <v>5.62933599999999E-3</v>
      </c>
      <c r="X6004">
        <v>0.99417559999999905</v>
      </c>
      <c r="Y6004">
        <v>-0.54264499999999904</v>
      </c>
      <c r="Z6004">
        <v>8.9928030000000006E-3</v>
      </c>
      <c r="AA6004">
        <v>0.83991399999999905</v>
      </c>
      <c r="AB6004">
        <v>24</v>
      </c>
      <c r="AC6004">
        <v>27.676799999999901</v>
      </c>
      <c r="AD6004">
        <v>-1.1039725113929999</v>
      </c>
      <c r="AE6004">
        <v>18.819089999999999</v>
      </c>
      <c r="AF6004">
        <v>-18.202686998566001</v>
      </c>
      <c r="AG6004">
        <v>-1.1039725113929999</v>
      </c>
      <c r="AH6004">
        <v>28.0426827247306</v>
      </c>
      <c r="AI6004">
        <v>91.8912750316954</v>
      </c>
      <c r="AJ6004">
        <v>122.98786335084201</v>
      </c>
      <c r="AK6004">
        <v>33.450689434951599</v>
      </c>
    </row>
    <row r="6005" spans="1:37" x14ac:dyDescent="0.2">
      <c r="A6005" t="str">
        <f>"20200111160019439"</f>
        <v>20200111160019439</v>
      </c>
      <c r="B6005" t="str">
        <f>"1578729619436878"</f>
        <v>1578729619436878</v>
      </c>
      <c r="C6005" t="s">
        <v>37</v>
      </c>
      <c r="D6005">
        <v>4.9780530000000001</v>
      </c>
      <c r="E6005">
        <v>0.6097167</v>
      </c>
      <c r="F6005" t="s">
        <v>38</v>
      </c>
      <c r="G6005">
        <v>-222.37970000000001</v>
      </c>
      <c r="H6005">
        <v>1.0192159999999999</v>
      </c>
      <c r="I6005">
        <v>-60.18139</v>
      </c>
      <c r="J6005">
        <v>-223.1438</v>
      </c>
      <c r="K6005">
        <v>1.1039729999999901</v>
      </c>
      <c r="L6005">
        <v>-60.047879999999999</v>
      </c>
      <c r="M6005">
        <v>0.99968009999999996</v>
      </c>
      <c r="N6005">
        <v>0</v>
      </c>
      <c r="O6005">
        <v>2.1093879999999999E-2</v>
      </c>
      <c r="P6005">
        <v>0.99160289999999995</v>
      </c>
      <c r="Q6005">
        <v>-8.1844569999999991E-3</v>
      </c>
      <c r="R6005">
        <v>0.1290616</v>
      </c>
      <c r="S6005">
        <v>3.0822910000000001</v>
      </c>
      <c r="T6005">
        <v>-0.29530409999999901</v>
      </c>
      <c r="U6005">
        <v>-0.45724490000000001</v>
      </c>
      <c r="V6005">
        <v>-0.1081085</v>
      </c>
      <c r="W6005">
        <v>5.8076689999999997E-3</v>
      </c>
      <c r="X6005">
        <v>0.99412210000000001</v>
      </c>
      <c r="Y6005">
        <v>0.16673270000000001</v>
      </c>
      <c r="Z6005">
        <v>-9.9320199999999997E-3</v>
      </c>
      <c r="AA6005">
        <v>0.9859521</v>
      </c>
      <c r="AB6005">
        <v>24</v>
      </c>
      <c r="AC6005">
        <v>0.76409999999998401</v>
      </c>
      <c r="AD6005">
        <v>-8.4756999999999902E-2</v>
      </c>
      <c r="AE6005">
        <v>-0.13350999999999399</v>
      </c>
      <c r="AF6005">
        <v>0.14783460416875299</v>
      </c>
      <c r="AG6005">
        <v>-8.4756999999999902E-2</v>
      </c>
      <c r="AH6005">
        <v>0.75213325897117</v>
      </c>
      <c r="AI6005">
        <v>96.309742428961997</v>
      </c>
      <c r="AJ6005">
        <v>78.8800544912676</v>
      </c>
      <c r="AK6005">
        <v>0.77119599226741697</v>
      </c>
    </row>
    <row r="6006" spans="1:37" x14ac:dyDescent="0.2">
      <c r="A6006" t="str">
        <f>"20200111160019451"</f>
        <v>20200111160019451</v>
      </c>
      <c r="B6006" t="str">
        <f>"1578729619446638"</f>
        <v>1578729619446638</v>
      </c>
      <c r="C6006" t="s">
        <v>37</v>
      </c>
      <c r="D6006">
        <v>5.0044089999999999</v>
      </c>
      <c r="E6006">
        <v>0.61035649999999997</v>
      </c>
      <c r="F6006" t="s">
        <v>38</v>
      </c>
      <c r="G6006">
        <v>-222.37479999999999</v>
      </c>
      <c r="H6006">
        <v>1.0306569999999999</v>
      </c>
      <c r="I6006">
        <v>-60.164009999999998</v>
      </c>
      <c r="J6006">
        <v>-223.03309999999999</v>
      </c>
      <c r="K6006">
        <v>1.103979</v>
      </c>
      <c r="L6006">
        <v>-60.045839999999998</v>
      </c>
      <c r="M6006">
        <v>0.99968500000000005</v>
      </c>
      <c r="N6006">
        <v>0</v>
      </c>
      <c r="O6006">
        <v>2.0818150000000001E-2</v>
      </c>
      <c r="P6006">
        <v>0.99161699999999997</v>
      </c>
      <c r="Q6006">
        <v>-7.8877189999999996E-3</v>
      </c>
      <c r="R6006">
        <v>0.12897110000000001</v>
      </c>
      <c r="S6006">
        <v>3.0835569999999999</v>
      </c>
      <c r="T6006">
        <v>-0.2940238</v>
      </c>
      <c r="U6006">
        <v>-0.46560669999999998</v>
      </c>
      <c r="V6006">
        <v>-0.10829169999999901</v>
      </c>
      <c r="W6006">
        <v>6.1519399999999998E-3</v>
      </c>
      <c r="X6006">
        <v>0.99410019999999999</v>
      </c>
      <c r="Y6006">
        <v>0.1690161</v>
      </c>
      <c r="Z6006">
        <v>-9.9651119999999999E-3</v>
      </c>
      <c r="AA6006">
        <v>0.98556290000000002</v>
      </c>
      <c r="AB6006">
        <v>24</v>
      </c>
      <c r="AC6006">
        <v>0.658299999999997</v>
      </c>
      <c r="AD6006">
        <v>-7.3322000000000095E-2</v>
      </c>
      <c r="AE6006">
        <v>-0.118169999999992</v>
      </c>
      <c r="AF6006">
        <v>0.130284506105704</v>
      </c>
      <c r="AG6006">
        <v>-7.3322000000000095E-2</v>
      </c>
      <c r="AH6006">
        <v>0.64791012654271696</v>
      </c>
      <c r="AI6006">
        <v>96.330853096308701</v>
      </c>
      <c r="AJ6006">
        <v>78.630347734606204</v>
      </c>
      <c r="AK6006">
        <v>0.66493435788189403</v>
      </c>
    </row>
    <row r="6007" spans="1:37" x14ac:dyDescent="0.2">
      <c r="A6007" t="str">
        <f>"20200111160019461"</f>
        <v>20200111160019461</v>
      </c>
      <c r="B6007" t="str">
        <f>"1578729619457375"</f>
        <v>1578729619457375</v>
      </c>
      <c r="C6007" t="s">
        <v>37</v>
      </c>
      <c r="D6007">
        <v>4.9912609999999997</v>
      </c>
      <c r="E6007">
        <v>0.61065979999999997</v>
      </c>
      <c r="F6007" t="s">
        <v>38</v>
      </c>
      <c r="G6007">
        <v>-222.16630000000001</v>
      </c>
      <c r="H6007">
        <v>1.023244</v>
      </c>
      <c r="I6007">
        <v>-60.178469999999997</v>
      </c>
      <c r="J6007">
        <v>-222.91919999999999</v>
      </c>
      <c r="K6007">
        <v>1.1039829999999999</v>
      </c>
      <c r="L6007">
        <v>-60.043790000000001</v>
      </c>
      <c r="M6007">
        <v>0.99969019999999997</v>
      </c>
      <c r="N6007">
        <v>0</v>
      </c>
      <c r="O6007">
        <v>2.053632E-2</v>
      </c>
      <c r="P6007">
        <v>0.99160890000000002</v>
      </c>
      <c r="Q6007">
        <v>-7.7437089999999997E-3</v>
      </c>
      <c r="R6007">
        <v>0.1290425</v>
      </c>
      <c r="S6007">
        <v>3.0844119999999999</v>
      </c>
      <c r="T6007">
        <v>-0.28721869999999999</v>
      </c>
      <c r="U6007">
        <v>-0.47140500000000002</v>
      </c>
      <c r="V6007">
        <v>-0.1086433</v>
      </c>
      <c r="W6007">
        <v>6.3407639999999996E-3</v>
      </c>
      <c r="X6007">
        <v>0.99406059999999996</v>
      </c>
      <c r="Y6007">
        <v>0.17054259999999999</v>
      </c>
      <c r="Z6007">
        <v>-9.7759170000000003E-3</v>
      </c>
      <c r="AA6007">
        <v>0.98530180000000001</v>
      </c>
      <c r="AB6007">
        <v>24</v>
      </c>
      <c r="AC6007">
        <v>0.75289999999998203</v>
      </c>
      <c r="AD6007">
        <v>-8.0738999999999894E-2</v>
      </c>
      <c r="AE6007">
        <v>-0.134679999999995</v>
      </c>
      <c r="AF6007">
        <v>0.14846057816574401</v>
      </c>
      <c r="AG6007">
        <v>-8.0738999999999894E-2</v>
      </c>
      <c r="AH6007">
        <v>0.74171000096613804</v>
      </c>
      <c r="AI6007">
        <v>96.092571241809296</v>
      </c>
      <c r="AJ6007">
        <v>78.681260164464007</v>
      </c>
      <c r="AK6007">
        <v>0.76071877518797704</v>
      </c>
    </row>
    <row r="6008" spans="1:37" x14ac:dyDescent="0.2">
      <c r="A6008" t="str">
        <f>"20200111160019472"</f>
        <v>20200111160019472</v>
      </c>
      <c r="B6008" t="str">
        <f>"1578729619467134"</f>
        <v>1578729619467134</v>
      </c>
      <c r="C6008" t="s">
        <v>37</v>
      </c>
      <c r="D6008">
        <v>4.999403</v>
      </c>
      <c r="E6008">
        <v>0.61107659999999997</v>
      </c>
      <c r="F6008" t="s">
        <v>38</v>
      </c>
      <c r="G6008">
        <v>-222.16139999999999</v>
      </c>
      <c r="H6008">
        <v>1.0338129999999901</v>
      </c>
      <c r="I6008">
        <v>-60.160319999999999</v>
      </c>
      <c r="J6008">
        <v>-222.80510000000001</v>
      </c>
      <c r="K6008">
        <v>1.1039920000000001</v>
      </c>
      <c r="L6008">
        <v>-60.041780000000003</v>
      </c>
      <c r="M6008">
        <v>0.99969529999999995</v>
      </c>
      <c r="N6008">
        <v>0</v>
      </c>
      <c r="O6008">
        <v>2.0261649999999999E-2</v>
      </c>
      <c r="P6008">
        <v>0.99159379999999997</v>
      </c>
      <c r="Q6008">
        <v>-7.6074749999999998E-3</v>
      </c>
      <c r="R6008">
        <v>0.12916659999999999</v>
      </c>
      <c r="S6008">
        <v>3.0847929999999999</v>
      </c>
      <c r="T6008">
        <v>-0.28557519999999997</v>
      </c>
      <c r="U6008">
        <v>-0.47372439999999999</v>
      </c>
      <c r="V6008">
        <v>-0.10904079999999999</v>
      </c>
      <c r="W6008">
        <v>6.5176660000000001E-3</v>
      </c>
      <c r="X6008">
        <v>0.99401589999999995</v>
      </c>
      <c r="Y6008">
        <v>0.17098629999999901</v>
      </c>
      <c r="Z6008">
        <v>-9.7136180000000003E-3</v>
      </c>
      <c r="AA6008">
        <v>0.98522549999999898</v>
      </c>
      <c r="AB6008">
        <v>24</v>
      </c>
      <c r="AC6008">
        <v>0.64370000000002303</v>
      </c>
      <c r="AD6008">
        <v>-7.01790000000002E-2</v>
      </c>
      <c r="AE6008">
        <v>-0.118539999999995</v>
      </c>
      <c r="AF6008">
        <v>0.13006410638470001</v>
      </c>
      <c r="AG6008">
        <v>-7.01790000000002E-2</v>
      </c>
      <c r="AH6008">
        <v>0.63387842840552999</v>
      </c>
      <c r="AI6008">
        <v>96.189770767730494</v>
      </c>
      <c r="AJ6008">
        <v>78.404549165077995</v>
      </c>
      <c r="AK6008">
        <v>0.65087911766203899</v>
      </c>
    </row>
    <row r="6009" spans="1:37" x14ac:dyDescent="0.2">
      <c r="A6009" t="str">
        <f>"20200111160019484"</f>
        <v>20200111160019484</v>
      </c>
      <c r="B6009" t="str">
        <f>"1578729619476894"</f>
        <v>1578729619476894</v>
      </c>
      <c r="C6009" t="s">
        <v>37</v>
      </c>
      <c r="D6009">
        <v>5.0598830000000001</v>
      </c>
      <c r="E6009">
        <v>0.6106722</v>
      </c>
      <c r="F6009" t="s">
        <v>38</v>
      </c>
      <c r="G6009">
        <v>-221.95400000000001</v>
      </c>
      <c r="H6009">
        <v>1.0260609999999999</v>
      </c>
      <c r="I6009">
        <v>-60.173299999999998</v>
      </c>
      <c r="J6009">
        <v>-222.6747</v>
      </c>
      <c r="K6009">
        <v>1.1040030000000001</v>
      </c>
      <c r="L6009">
        <v>-60.039459999999998</v>
      </c>
      <c r="M6009">
        <v>0.99970079999999995</v>
      </c>
      <c r="N6009">
        <v>0</v>
      </c>
      <c r="O6009">
        <v>1.9951050000000001E-2</v>
      </c>
      <c r="P6009">
        <v>0.9915969</v>
      </c>
      <c r="Q6009">
        <v>-7.2423259999999899E-3</v>
      </c>
      <c r="R6009">
        <v>0.12916330000000001</v>
      </c>
      <c r="S6009">
        <v>3.0853730000000001</v>
      </c>
      <c r="T6009">
        <v>-0.28250629999999999</v>
      </c>
      <c r="U6009">
        <v>-0.47689819999999999</v>
      </c>
      <c r="V6009">
        <v>-0.1093462</v>
      </c>
      <c r="W6009">
        <v>6.9267840000000001E-3</v>
      </c>
      <c r="X6009">
        <v>0.99397959999999996</v>
      </c>
      <c r="Y6009">
        <v>0.17165849999999999</v>
      </c>
      <c r="Z6009">
        <v>-9.6094389999999991E-3</v>
      </c>
      <c r="AA6009">
        <v>0.98510959999999903</v>
      </c>
      <c r="AB6009">
        <v>24</v>
      </c>
      <c r="AC6009">
        <v>0.72069999999999301</v>
      </c>
      <c r="AD6009">
        <v>-7.79419999999999E-2</v>
      </c>
      <c r="AE6009">
        <v>-0.13383999999999899</v>
      </c>
      <c r="AF6009">
        <v>0.14653677269674001</v>
      </c>
      <c r="AG6009">
        <v>-7.79419999999999E-2</v>
      </c>
      <c r="AH6009">
        <v>0.70986032888512596</v>
      </c>
      <c r="AI6009">
        <v>96.137535190124495</v>
      </c>
      <c r="AJ6009">
        <v>78.336243728698093</v>
      </c>
      <c r="AK6009">
        <v>0.729005944860037</v>
      </c>
    </row>
    <row r="6010" spans="1:37" x14ac:dyDescent="0.2">
      <c r="A6010" t="str">
        <f>"20200111160019496"</f>
        <v>20200111160019496</v>
      </c>
      <c r="B6010" t="str">
        <f>"1578729619486655"</f>
        <v>1578729619486655</v>
      </c>
      <c r="C6010" t="s">
        <v>37</v>
      </c>
      <c r="D6010">
        <v>5.0089990000000002</v>
      </c>
      <c r="E6010">
        <v>0.61095109999999997</v>
      </c>
      <c r="F6010" t="s">
        <v>38</v>
      </c>
      <c r="G6010">
        <v>-221.9485</v>
      </c>
      <c r="H6010">
        <v>1.0371680000000001</v>
      </c>
      <c r="I6010">
        <v>-60.150880000000001</v>
      </c>
      <c r="J6010">
        <v>-222.5591</v>
      </c>
      <c r="K6010">
        <v>1.104026</v>
      </c>
      <c r="L6010">
        <v>-60.037480000000002</v>
      </c>
      <c r="M6010">
        <v>0.99970539999999997</v>
      </c>
      <c r="N6010">
        <v>0</v>
      </c>
      <c r="O6010">
        <v>1.9693530000000001E-2</v>
      </c>
      <c r="P6010">
        <v>0.99158349999999995</v>
      </c>
      <c r="Q6010">
        <v>-7.1371269999999896E-3</v>
      </c>
      <c r="R6010">
        <v>0.1292711</v>
      </c>
      <c r="S6010">
        <v>3.0850219999999999</v>
      </c>
      <c r="T6010">
        <v>-0.28396250000000001</v>
      </c>
      <c r="U6010">
        <v>-0.47348019999999902</v>
      </c>
      <c r="V6010">
        <v>-0.1097101</v>
      </c>
      <c r="W6010">
        <v>7.0641100000000002E-3</v>
      </c>
      <c r="X6010">
        <v>0.99393849999999995</v>
      </c>
      <c r="Y6010">
        <v>0.17035349999999999</v>
      </c>
      <c r="Z6010">
        <v>-9.5775329999999992E-3</v>
      </c>
      <c r="AA6010">
        <v>0.98533649999999995</v>
      </c>
      <c r="AB6010">
        <v>24</v>
      </c>
      <c r="AC6010">
        <v>0.61060000000000503</v>
      </c>
      <c r="AD6010">
        <v>-6.6857999999999806E-2</v>
      </c>
      <c r="AE6010">
        <v>-0.113400000000005</v>
      </c>
      <c r="AF6010">
        <v>0.123967358229434</v>
      </c>
      <c r="AG6010">
        <v>-6.6857999999999806E-2</v>
      </c>
      <c r="AH6010">
        <v>0.60127953395655498</v>
      </c>
      <c r="AI6010">
        <v>96.215154955550702</v>
      </c>
      <c r="AJ6010">
        <v>78.3504138268584</v>
      </c>
      <c r="AK6010">
        <v>0.617555646096283</v>
      </c>
    </row>
    <row r="6011" spans="1:37" x14ac:dyDescent="0.2">
      <c r="A6011" t="str">
        <f>"20200111160019508"</f>
        <v>20200111160019508</v>
      </c>
      <c r="B6011" t="str">
        <f>"1578729619496415"</f>
        <v>1578729619496415</v>
      </c>
      <c r="C6011" t="s">
        <v>37</v>
      </c>
      <c r="D6011">
        <v>4.9466510000000001</v>
      </c>
      <c r="E6011">
        <v>0.61114609999999903</v>
      </c>
      <c r="F6011" t="s">
        <v>38</v>
      </c>
      <c r="G6011">
        <v>-221.74209999999999</v>
      </c>
      <c r="H6011">
        <v>1.0294620000000001</v>
      </c>
      <c r="I6011">
        <v>-60.163490000000003</v>
      </c>
      <c r="J6011">
        <v>-222.43170000000001</v>
      </c>
      <c r="K6011">
        <v>1.1040459999999901</v>
      </c>
      <c r="L6011">
        <v>-60.03528</v>
      </c>
      <c r="M6011">
        <v>0.99971030000000005</v>
      </c>
      <c r="N6011">
        <v>0</v>
      </c>
      <c r="O6011">
        <v>1.9416920000000001E-2</v>
      </c>
      <c r="P6011">
        <v>0.99157960000000001</v>
      </c>
      <c r="Q6011">
        <v>-7.2936900000000002E-3</v>
      </c>
      <c r="R6011">
        <v>0.1292942</v>
      </c>
      <c r="S6011">
        <v>3.0854339999999998</v>
      </c>
      <c r="T6011">
        <v>-0.28155380000000002</v>
      </c>
      <c r="U6011">
        <v>-0.47552489999999997</v>
      </c>
      <c r="V6011">
        <v>-0.110008799999999</v>
      </c>
      <c r="W6011">
        <v>6.9410879999999998E-3</v>
      </c>
      <c r="X6011">
        <v>0.99390639999999997</v>
      </c>
      <c r="Y6011">
        <v>0.17071220000000001</v>
      </c>
      <c r="Z6011">
        <v>-9.486085E-3</v>
      </c>
      <c r="AA6011">
        <v>0.98527529999999997</v>
      </c>
      <c r="AB6011">
        <v>24</v>
      </c>
      <c r="AC6011">
        <v>0.68960000000001198</v>
      </c>
      <c r="AD6011">
        <v>-7.4583999999999706E-2</v>
      </c>
      <c r="AE6011">
        <v>-0.12820999999999499</v>
      </c>
      <c r="AF6011">
        <v>0.139994204261743</v>
      </c>
      <c r="AG6011">
        <v>-7.4583999999999706E-2</v>
      </c>
      <c r="AH6011">
        <v>0.67929958545306401</v>
      </c>
      <c r="AI6011">
        <v>96.137749303957804</v>
      </c>
      <c r="AJ6011">
        <v>78.355167150522902</v>
      </c>
      <c r="AK6011">
        <v>0.69757370727370704</v>
      </c>
    </row>
    <row r="6012" spans="1:37" x14ac:dyDescent="0.2">
      <c r="A6012" t="str">
        <f>"20200111160019520"</f>
        <v>20200111160019520</v>
      </c>
      <c r="B6012" t="str">
        <f>"1578729619516910"</f>
        <v>1578729619516910</v>
      </c>
      <c r="C6012" t="s">
        <v>37</v>
      </c>
      <c r="D6012">
        <v>5.0032399999999999</v>
      </c>
      <c r="E6012">
        <v>0.61136590000000002</v>
      </c>
      <c r="F6012" t="s">
        <v>38</v>
      </c>
      <c r="G6012">
        <v>-221.53440000000001</v>
      </c>
      <c r="H6012">
        <v>1.0225469999999901</v>
      </c>
      <c r="I6012">
        <v>-60.174140000000001</v>
      </c>
      <c r="J6012">
        <v>-222.30860000000001</v>
      </c>
      <c r="K6012">
        <v>1.1040650000000001</v>
      </c>
      <c r="L6012">
        <v>-60.033169999999998</v>
      </c>
      <c r="M6012">
        <v>0.99971449999999995</v>
      </c>
      <c r="N6012">
        <v>0</v>
      </c>
      <c r="O6012">
        <v>1.9171130000000002E-2</v>
      </c>
      <c r="P6012">
        <v>0.99157419999999996</v>
      </c>
      <c r="Q6012">
        <v>-7.3715169999999898E-3</v>
      </c>
      <c r="R6012">
        <v>0.1293301</v>
      </c>
      <c r="S6012">
        <v>3.0856479999999999</v>
      </c>
      <c r="T6012">
        <v>-0.28020790000000001</v>
      </c>
      <c r="U6012">
        <v>-0.47711179999999997</v>
      </c>
      <c r="V6012">
        <v>-0.1102894</v>
      </c>
      <c r="W6012">
        <v>6.8905449999999997E-3</v>
      </c>
      <c r="X6012">
        <v>0.99387559999999997</v>
      </c>
      <c r="Y6012">
        <v>0.17096220000000001</v>
      </c>
      <c r="Z6012">
        <v>-9.4290169999999996E-3</v>
      </c>
      <c r="AA6012">
        <v>0.98523249999999996</v>
      </c>
      <c r="AB6012">
        <v>24</v>
      </c>
      <c r="AC6012">
        <v>0.77420000000000699</v>
      </c>
      <c r="AD6012">
        <v>-8.1518000000000201E-2</v>
      </c>
      <c r="AE6012">
        <v>-0.14097000000000201</v>
      </c>
      <c r="AF6012">
        <v>0.154133893187964</v>
      </c>
      <c r="AG6012">
        <v>-8.1518000000000201E-2</v>
      </c>
      <c r="AH6012">
        <v>0.76316542173778401</v>
      </c>
      <c r="AI6012">
        <v>95.977179824766495</v>
      </c>
      <c r="AJ6012">
        <v>78.581766827357995</v>
      </c>
      <c r="AK6012">
        <v>0.78283069835660501</v>
      </c>
    </row>
    <row r="6013" spans="1:37" x14ac:dyDescent="0.2">
      <c r="A6013" t="str">
        <f>"20200111160019532"</f>
        <v>20200111160019532</v>
      </c>
      <c r="B6013" t="str">
        <f>"1578729619526670"</f>
        <v>1578729619526670</v>
      </c>
      <c r="C6013" t="s">
        <v>37</v>
      </c>
      <c r="D6013">
        <v>4.9776150000000001</v>
      </c>
      <c r="E6013">
        <v>0.61149779999999998</v>
      </c>
      <c r="F6013" t="s">
        <v>38</v>
      </c>
      <c r="G6013">
        <v>-221.52959999999999</v>
      </c>
      <c r="H6013">
        <v>1.033258</v>
      </c>
      <c r="I6013">
        <v>-60.154150000000001</v>
      </c>
      <c r="J6013">
        <v>-222.1814</v>
      </c>
      <c r="K6013">
        <v>1.1040920000000001</v>
      </c>
      <c r="L6013">
        <v>-60.031009999999903</v>
      </c>
      <c r="M6013">
        <v>0.99971849999999995</v>
      </c>
      <c r="N6013">
        <v>0</v>
      </c>
      <c r="O6013">
        <v>1.893628E-2</v>
      </c>
      <c r="P6013">
        <v>0.99157289999999998</v>
      </c>
      <c r="Q6013">
        <v>-7.8000069999999899E-3</v>
      </c>
      <c r="R6013">
        <v>0.12931589999999901</v>
      </c>
      <c r="S6013">
        <v>3.085861</v>
      </c>
      <c r="T6013">
        <v>-0.28045199999999998</v>
      </c>
      <c r="U6013">
        <v>-0.4787903</v>
      </c>
      <c r="V6013">
        <v>-0.1105096</v>
      </c>
      <c r="W6013">
        <v>6.4871490000000002E-3</v>
      </c>
      <c r="X6013">
        <v>0.99385389999999996</v>
      </c>
      <c r="Y6013">
        <v>0.17124249999999999</v>
      </c>
      <c r="Z6013">
        <v>-9.4276159999999998E-3</v>
      </c>
      <c r="AA6013">
        <v>0.98518379999999905</v>
      </c>
      <c r="AB6013">
        <v>24</v>
      </c>
      <c r="AC6013">
        <v>0.65180000000000804</v>
      </c>
      <c r="AD6013">
        <v>-7.0833999999999994E-2</v>
      </c>
      <c r="AE6013">
        <v>-0.12314000000000599</v>
      </c>
      <c r="AF6013">
        <v>0.133934570194231</v>
      </c>
      <c r="AG6013">
        <v>-7.0833999999999994E-2</v>
      </c>
      <c r="AH6013">
        <v>0.64202989848098502</v>
      </c>
      <c r="AI6013">
        <v>96.164230780877901</v>
      </c>
      <c r="AJ6013">
        <v>78.216458487360597</v>
      </c>
      <c r="AK6013">
        <v>0.65966530543345803</v>
      </c>
    </row>
    <row r="6014" spans="1:37" x14ac:dyDescent="0.2">
      <c r="A6014" t="str">
        <f>"20200111160019544"</f>
        <v>20200111160019544</v>
      </c>
      <c r="B6014" t="str">
        <f>"1578729619536431"</f>
        <v>1578729619536431</v>
      </c>
      <c r="C6014" t="s">
        <v>37</v>
      </c>
      <c r="D6014">
        <v>5.004486</v>
      </c>
      <c r="E6014">
        <v>0.61156759999999999</v>
      </c>
      <c r="F6014" t="s">
        <v>38</v>
      </c>
      <c r="G6014">
        <v>-221.3235</v>
      </c>
      <c r="H6014">
        <v>1.0257559999999999</v>
      </c>
      <c r="I6014">
        <v>-60.164609999999897</v>
      </c>
      <c r="J6014">
        <v>-222.05009999999999</v>
      </c>
      <c r="K6014">
        <v>1.104123</v>
      </c>
      <c r="L6014">
        <v>-60.02881</v>
      </c>
      <c r="M6014">
        <v>0.99972240000000001</v>
      </c>
      <c r="N6014">
        <v>0</v>
      </c>
      <c r="O6014">
        <v>1.8709679999999999E-2</v>
      </c>
      <c r="P6014">
        <v>0.99159699999999995</v>
      </c>
      <c r="Q6014">
        <v>-8.2055870000000003E-3</v>
      </c>
      <c r="R6014">
        <v>0.12910539999999901</v>
      </c>
      <c r="S6014">
        <v>3.0858919999999999</v>
      </c>
      <c r="T6014">
        <v>-0.28168359999999998</v>
      </c>
      <c r="U6014">
        <v>-0.4799194</v>
      </c>
      <c r="V6014">
        <v>-0.1105246</v>
      </c>
      <c r="W6014">
        <v>6.103781E-3</v>
      </c>
      <c r="X6014">
        <v>0.99385460000000003</v>
      </c>
      <c r="Y6014">
        <v>0.1713635</v>
      </c>
      <c r="Z6014">
        <v>-9.4534400000000005E-3</v>
      </c>
      <c r="AA6014">
        <v>0.98516250000000005</v>
      </c>
      <c r="AB6014">
        <v>23</v>
      </c>
      <c r="AC6014">
        <v>0.72659999999999003</v>
      </c>
      <c r="AD6014">
        <v>-7.8367000000000006E-2</v>
      </c>
      <c r="AE6014">
        <v>-0.13579999999999601</v>
      </c>
      <c r="AF6014">
        <v>0.14771179904578399</v>
      </c>
      <c r="AG6014">
        <v>-7.8367000000000006E-2</v>
      </c>
      <c r="AH6014">
        <v>0.71588524021812705</v>
      </c>
      <c r="AI6014">
        <v>96.119322129175501</v>
      </c>
      <c r="AJ6014">
        <v>78.341517393867306</v>
      </c>
      <c r="AK6014">
        <v>0.735154296340916</v>
      </c>
    </row>
    <row r="6015" spans="1:37" x14ac:dyDescent="0.2">
      <c r="A6015" t="str">
        <f>"20200111160019555"</f>
        <v>20200111160019555</v>
      </c>
      <c r="B6015" t="str">
        <f>"1578729619547167"</f>
        <v>1578729619547167</v>
      </c>
      <c r="C6015" t="s">
        <v>37</v>
      </c>
      <c r="D6015">
        <v>4.999295</v>
      </c>
      <c r="E6015">
        <v>0.61180780000000001</v>
      </c>
      <c r="F6015" t="s">
        <v>38</v>
      </c>
      <c r="G6015">
        <v>-221.31790000000001</v>
      </c>
      <c r="H6015">
        <v>1.037021</v>
      </c>
      <c r="I6015">
        <v>-60.143140000000002</v>
      </c>
      <c r="J6015">
        <v>-221.93209999999999</v>
      </c>
      <c r="K6015">
        <v>1.104158</v>
      </c>
      <c r="L6015">
        <v>-60.026789999999998</v>
      </c>
      <c r="M6015">
        <v>0.99972519999999998</v>
      </c>
      <c r="N6015">
        <v>0</v>
      </c>
      <c r="O6015">
        <v>1.8547089999999999E-2</v>
      </c>
      <c r="P6015">
        <v>0.99162320000000004</v>
      </c>
      <c r="Q6015">
        <v>-8.3350560000000004E-3</v>
      </c>
      <c r="R6015">
        <v>0.12889619999999999</v>
      </c>
      <c r="S6015">
        <v>3.0857239999999999</v>
      </c>
      <c r="T6015">
        <v>-0.28272439999999999</v>
      </c>
      <c r="U6015">
        <v>-0.48107909999999998</v>
      </c>
      <c r="V6015">
        <v>-0.1104772</v>
      </c>
      <c r="W6015">
        <v>5.9893409999999996E-3</v>
      </c>
      <c r="X6015">
        <v>0.99386059999999998</v>
      </c>
      <c r="Y6015">
        <v>0.171567</v>
      </c>
      <c r="Z6015">
        <v>-9.4829270000000004E-3</v>
      </c>
      <c r="AA6015">
        <v>0.98512679999999997</v>
      </c>
      <c r="AB6015">
        <v>23</v>
      </c>
      <c r="AC6015">
        <v>0.61419999999998198</v>
      </c>
      <c r="AD6015">
        <v>-6.7137000000000002E-2</v>
      </c>
      <c r="AE6015">
        <v>-0.116349999999997</v>
      </c>
      <c r="AF6015">
        <v>0.12626637669004001</v>
      </c>
      <c r="AG6015">
        <v>-6.7137000000000002E-2</v>
      </c>
      <c r="AH6015">
        <v>0.60495835836364098</v>
      </c>
      <c r="AI6015">
        <v>96.200115399862497</v>
      </c>
      <c r="AJ6015">
        <v>78.210528173235801</v>
      </c>
      <c r="AK6015">
        <v>0.62163107226510395</v>
      </c>
    </row>
    <row r="6016" spans="1:37" x14ac:dyDescent="0.2">
      <c r="A6016" t="str">
        <f>"20200111160019596"</f>
        <v>20200111160019596</v>
      </c>
      <c r="B6016" t="str">
        <f>"1578729619587183"</f>
        <v>1578729619587183</v>
      </c>
      <c r="C6016" t="s">
        <v>37</v>
      </c>
      <c r="D6016">
        <v>5.167516</v>
      </c>
      <c r="E6016">
        <v>0.61168069999999997</v>
      </c>
      <c r="F6016" t="s">
        <v>38</v>
      </c>
      <c r="G6016">
        <v>-221.11279999999999</v>
      </c>
      <c r="H6016">
        <v>1.029023</v>
      </c>
      <c r="I6016">
        <v>-60.155279999999998</v>
      </c>
      <c r="J6016">
        <v>-221.4949</v>
      </c>
      <c r="K6016">
        <v>1.1043179999999999</v>
      </c>
      <c r="L6016">
        <v>-60.019259999999903</v>
      </c>
      <c r="M6016">
        <v>0.99973109999999998</v>
      </c>
      <c r="N6016">
        <v>0</v>
      </c>
      <c r="O6016">
        <v>1.8164389999999999E-2</v>
      </c>
      <c r="P6016">
        <v>0.99170809999999998</v>
      </c>
      <c r="Q6016">
        <v>-8.1746600000000003E-3</v>
      </c>
      <c r="R6016">
        <v>0.1282518</v>
      </c>
      <c r="S6016">
        <v>3.0858310000000002</v>
      </c>
      <c r="T6016">
        <v>-0.28294959999999902</v>
      </c>
      <c r="U6016">
        <v>-0.483581499999999</v>
      </c>
      <c r="V6016">
        <v>-0.11021359999999999</v>
      </c>
      <c r="W6016">
        <v>6.1853180000000004E-3</v>
      </c>
      <c r="X6016">
        <v>0.99388869999999896</v>
      </c>
      <c r="Y6016">
        <v>0.17196349999999999</v>
      </c>
      <c r="Z6016">
        <v>-9.4727419999999993E-3</v>
      </c>
      <c r="AA6016">
        <v>0.98505779999999998</v>
      </c>
      <c r="AB6016">
        <v>23</v>
      </c>
      <c r="AC6016">
        <v>0.38210000000000799</v>
      </c>
      <c r="AD6016">
        <v>-7.5295000000000098E-2</v>
      </c>
      <c r="AE6016">
        <v>-0.13602000000000899</v>
      </c>
      <c r="AF6016">
        <v>0.13817680896342999</v>
      </c>
      <c r="AG6016">
        <v>-7.5295000000000098E-2</v>
      </c>
      <c r="AH6016">
        <v>0.36692054121894302</v>
      </c>
      <c r="AI6016">
        <v>100.87084045802</v>
      </c>
      <c r="AJ6016">
        <v>69.364373658038204</v>
      </c>
      <c r="AK6016">
        <v>0.399240342561619</v>
      </c>
    </row>
    <row r="6017" spans="1:37" x14ac:dyDescent="0.2">
      <c r="A6017" t="str">
        <f>"20200111160019607"</f>
        <v>20200111160019607</v>
      </c>
      <c r="B6017" t="str">
        <f>"1578729619596943"</f>
        <v>1578729619596943</v>
      </c>
      <c r="C6017" t="s">
        <v>37</v>
      </c>
      <c r="D6017">
        <v>5.0463769999999997</v>
      </c>
      <c r="E6017">
        <v>0.61173040000000001</v>
      </c>
      <c r="F6017" t="s">
        <v>38</v>
      </c>
      <c r="G6017">
        <v>-220.69470000000001</v>
      </c>
      <c r="H6017">
        <v>1.030834</v>
      </c>
      <c r="I6017">
        <v>-60.1449</v>
      </c>
      <c r="J6017">
        <v>-221.3843</v>
      </c>
      <c r="K6017">
        <v>1.1043620000000001</v>
      </c>
      <c r="L6017">
        <v>-60.017330000000001</v>
      </c>
      <c r="M6017">
        <v>0.99973140000000005</v>
      </c>
      <c r="N6017">
        <v>0</v>
      </c>
      <c r="O6017">
        <v>1.813211E-2</v>
      </c>
      <c r="P6017">
        <v>0.99171880000000001</v>
      </c>
      <c r="Q6017">
        <v>-7.8145060000000006E-3</v>
      </c>
      <c r="R6017">
        <v>0.12819120000000001</v>
      </c>
      <c r="S6017">
        <v>3.0854029999999999</v>
      </c>
      <c r="T6017">
        <v>-0.2833734</v>
      </c>
      <c r="U6017">
        <v>-0.48443599999999998</v>
      </c>
      <c r="V6017">
        <v>-0.1101854</v>
      </c>
      <c r="W6017">
        <v>6.5500899999999997E-3</v>
      </c>
      <c r="X6017">
        <v>0.99388949999999998</v>
      </c>
      <c r="Y6017">
        <v>0.17221539999999999</v>
      </c>
      <c r="Z6017">
        <v>-9.4964960000000001E-3</v>
      </c>
      <c r="AA6017">
        <v>0.98501349999999999</v>
      </c>
      <c r="AB6017">
        <v>23</v>
      </c>
      <c r="AC6017">
        <v>0.689599999999984</v>
      </c>
      <c r="AD6017">
        <v>-7.3527999999999996E-2</v>
      </c>
      <c r="AE6017">
        <v>-0.12756999999999799</v>
      </c>
      <c r="AF6017">
        <v>0.13853141937886701</v>
      </c>
      <c r="AG6017">
        <v>-7.3527999999999996E-2</v>
      </c>
      <c r="AH6017">
        <v>0.67970161710756205</v>
      </c>
      <c r="AI6017">
        <v>96.050629946123806</v>
      </c>
      <c r="AJ6017">
        <v>78.480205297194203</v>
      </c>
      <c r="AK6017">
        <v>0.69756118673400902</v>
      </c>
    </row>
    <row r="6018" spans="1:37" x14ac:dyDescent="0.2">
      <c r="A6018" t="str">
        <f>"20200111160019633"</f>
        <v>20200111160019633</v>
      </c>
      <c r="B6018" t="str">
        <f>"1578729619627198"</f>
        <v>1578729619627198</v>
      </c>
      <c r="C6018" t="s">
        <v>37</v>
      </c>
      <c r="D6018">
        <v>5.0508379999999997</v>
      </c>
      <c r="E6018">
        <v>0.61195619999999995</v>
      </c>
      <c r="F6018" t="s">
        <v>38</v>
      </c>
      <c r="G6018">
        <v>-220.49029999999999</v>
      </c>
      <c r="H6018">
        <v>1.0224959999999901</v>
      </c>
      <c r="I6018">
        <v>-60.15795</v>
      </c>
      <c r="J6018">
        <v>-221.13200000000001</v>
      </c>
      <c r="K6018">
        <v>1.1044700000000001</v>
      </c>
      <c r="L6018">
        <v>-60.012729999999998</v>
      </c>
      <c r="M6018">
        <v>0.9997296</v>
      </c>
      <c r="N6018">
        <v>0</v>
      </c>
      <c r="O6018">
        <v>1.820743E-2</v>
      </c>
      <c r="P6018">
        <v>0.99171480000000001</v>
      </c>
      <c r="Q6018">
        <v>-8.0503899999999993E-3</v>
      </c>
      <c r="R6018">
        <v>0.1282075</v>
      </c>
      <c r="S6018">
        <v>3.08552599999999</v>
      </c>
      <c r="T6018">
        <v>-0.28255799999999998</v>
      </c>
      <c r="U6018">
        <v>-0.48495479999999902</v>
      </c>
      <c r="V6018">
        <v>-0.1101287</v>
      </c>
      <c r="W6018">
        <v>6.3169230000000003E-3</v>
      </c>
      <c r="X6018">
        <v>0.99389729999999998</v>
      </c>
      <c r="Y6018">
        <v>0.17244849999999901</v>
      </c>
      <c r="Z6018">
        <v>-9.4862309999999995E-3</v>
      </c>
      <c r="AA6018">
        <v>0.98497279999999998</v>
      </c>
      <c r="AB6018">
        <v>23</v>
      </c>
      <c r="AC6018">
        <v>0.64170000000001404</v>
      </c>
      <c r="AD6018">
        <v>-8.1974000000000199E-2</v>
      </c>
      <c r="AE6018">
        <v>-0.14521999999999399</v>
      </c>
      <c r="AF6018">
        <v>0.15448269923607899</v>
      </c>
      <c r="AG6018">
        <v>-8.1974000000000199E-2</v>
      </c>
      <c r="AH6018">
        <v>0.62918197162413902</v>
      </c>
      <c r="AI6018">
        <v>97.211233424731901</v>
      </c>
      <c r="AJ6018">
        <v>76.205085693830796</v>
      </c>
      <c r="AK6018">
        <v>0.65303491059521701</v>
      </c>
    </row>
    <row r="6019" spans="1:37" x14ac:dyDescent="0.2">
      <c r="A6019" t="str">
        <f>"20200111160019645"</f>
        <v>20200111160019645</v>
      </c>
      <c r="B6019" t="str">
        <f>"1578729619636959"</f>
        <v>1578729619636959</v>
      </c>
      <c r="C6019" t="s">
        <v>37</v>
      </c>
      <c r="D6019">
        <v>5.0647419999999999</v>
      </c>
      <c r="E6019">
        <v>0.61199499999999996</v>
      </c>
      <c r="F6019" t="s">
        <v>38</v>
      </c>
      <c r="G6019">
        <v>-220.28120000000001</v>
      </c>
      <c r="H6019">
        <v>1.026259</v>
      </c>
      <c r="I6019">
        <v>-60.146979999999999</v>
      </c>
      <c r="J6019">
        <v>-220.9982</v>
      </c>
      <c r="K6019">
        <v>1.1045339999999999</v>
      </c>
      <c r="L6019">
        <v>-60.010219999999997</v>
      </c>
      <c r="M6019">
        <v>0.99972739999999904</v>
      </c>
      <c r="N6019">
        <v>0</v>
      </c>
      <c r="O6019">
        <v>1.8310730000000001E-2</v>
      </c>
      <c r="P6019">
        <v>0.99168060000000002</v>
      </c>
      <c r="Q6019">
        <v>-8.4156509999999997E-3</v>
      </c>
      <c r="R6019">
        <v>0.12844729999999999</v>
      </c>
      <c r="S6019">
        <v>3.0856779999999899</v>
      </c>
      <c r="T6019">
        <v>-0.28364459999999903</v>
      </c>
      <c r="U6019">
        <v>-0.48666379999999998</v>
      </c>
      <c r="V6019">
        <v>-0.1102673</v>
      </c>
      <c r="W6019">
        <v>5.9492879999999996E-3</v>
      </c>
      <c r="X6019">
        <v>0.99388410000000005</v>
      </c>
      <c r="Y6019">
        <v>0.17306629999999901</v>
      </c>
      <c r="Z6019">
        <v>-9.5592779999999992E-3</v>
      </c>
      <c r="AA6019">
        <v>0.98486379999999996</v>
      </c>
      <c r="AB6019">
        <v>23</v>
      </c>
      <c r="AC6019">
        <v>0.71699999999998398</v>
      </c>
      <c r="AD6019">
        <v>-7.8274999999999803E-2</v>
      </c>
      <c r="AE6019">
        <v>-0.13676000000000901</v>
      </c>
      <c r="AF6019">
        <v>0.148163396448143</v>
      </c>
      <c r="AG6019">
        <v>-7.8274999999999803E-2</v>
      </c>
      <c r="AH6019">
        <v>0.70625359128642695</v>
      </c>
      <c r="AI6019">
        <v>96.190673107353007</v>
      </c>
      <c r="AJ6019">
        <v>78.151865289972704</v>
      </c>
      <c r="AK6019">
        <v>0.725860525774081</v>
      </c>
    </row>
    <row r="6020" spans="1:37" x14ac:dyDescent="0.2">
      <c r="A6020" t="str">
        <f>"20200111160019657"</f>
        <v>20200111160019657</v>
      </c>
      <c r="B6020" t="str">
        <f>"1578729619646719"</f>
        <v>1578729619646719</v>
      </c>
      <c r="C6020" t="s">
        <v>37</v>
      </c>
      <c r="D6020">
        <v>5.111834</v>
      </c>
      <c r="E6020">
        <v>0.61194399999999904</v>
      </c>
      <c r="F6020" t="s">
        <v>38</v>
      </c>
      <c r="G6020">
        <v>-220.0771</v>
      </c>
      <c r="H6020">
        <v>1.0192669999999999</v>
      </c>
      <c r="I6020">
        <v>-60.15551</v>
      </c>
      <c r="J6020">
        <v>-220.87090000000001</v>
      </c>
      <c r="K6020">
        <v>1.1046039999999999</v>
      </c>
      <c r="L6020">
        <v>-60.0077199999999</v>
      </c>
      <c r="M6020">
        <v>0.9997239</v>
      </c>
      <c r="N6020">
        <v>0</v>
      </c>
      <c r="O6020">
        <v>1.850156E-2</v>
      </c>
      <c r="P6020">
        <v>0.99163849999999998</v>
      </c>
      <c r="Q6020">
        <v>-8.5503530000000001E-3</v>
      </c>
      <c r="R6020">
        <v>0.12876460000000001</v>
      </c>
      <c r="S6020">
        <v>3.085709</v>
      </c>
      <c r="T6020">
        <v>-0.2856667</v>
      </c>
      <c r="U6020">
        <v>-0.48623660000000002</v>
      </c>
      <c r="V6020">
        <v>-0.1103968</v>
      </c>
      <c r="W6020">
        <v>5.8081460000000001E-3</v>
      </c>
      <c r="X6020">
        <v>0.99387060000000005</v>
      </c>
      <c r="Y6020">
        <v>0.1731075</v>
      </c>
      <c r="Z6020">
        <v>-9.6465769999999999E-3</v>
      </c>
      <c r="AA6020">
        <v>0.984855699999999</v>
      </c>
      <c r="AB6020">
        <v>23</v>
      </c>
      <c r="AC6020">
        <v>0.79380000000000395</v>
      </c>
      <c r="AD6020">
        <v>-8.5337000000000204E-2</v>
      </c>
      <c r="AE6020">
        <v>-0.147790000000007</v>
      </c>
      <c r="AF6020">
        <v>0.16065822298890101</v>
      </c>
      <c r="AG6020">
        <v>-8.5337000000000204E-2</v>
      </c>
      <c r="AH6020">
        <v>0.78219236861280705</v>
      </c>
      <c r="AI6020">
        <v>96.099979505217703</v>
      </c>
      <c r="AJ6020">
        <v>78.393168925877603</v>
      </c>
      <c r="AK6020">
        <v>0.80306809779685895</v>
      </c>
    </row>
    <row r="6021" spans="1:37" x14ac:dyDescent="0.2">
      <c r="A6021" t="str">
        <f>"20200111160019669"</f>
        <v>20200111160019669</v>
      </c>
      <c r="B6021" t="str">
        <f>"1578729619656478"</f>
        <v>1578729619656478</v>
      </c>
      <c r="C6021" t="s">
        <v>37</v>
      </c>
      <c r="D6021">
        <v>5.112946</v>
      </c>
      <c r="E6021">
        <v>0.61189510000000003</v>
      </c>
      <c r="F6021" t="s">
        <v>38</v>
      </c>
      <c r="G6021">
        <v>-220.0727</v>
      </c>
      <c r="H6021">
        <v>1.0302420000000001</v>
      </c>
      <c r="I6021">
        <v>-60.133290000000002</v>
      </c>
      <c r="J6021">
        <v>-220.75640000000001</v>
      </c>
      <c r="K6021">
        <v>1.1046639999999901</v>
      </c>
      <c r="L6021">
        <v>-60.005400000000002</v>
      </c>
      <c r="M6021">
        <v>0.99972000000000005</v>
      </c>
      <c r="N6021">
        <v>0</v>
      </c>
      <c r="O6021">
        <v>1.870024E-2</v>
      </c>
      <c r="P6021">
        <v>0.99156060000000001</v>
      </c>
      <c r="Q6021">
        <v>-9.0095959999999999E-3</v>
      </c>
      <c r="R6021">
        <v>0.12933169999999999</v>
      </c>
      <c r="S6021">
        <v>3.085785</v>
      </c>
      <c r="T6021">
        <v>-0.28748379999999901</v>
      </c>
      <c r="U6021">
        <v>-0.48480220000000002</v>
      </c>
      <c r="V6021">
        <v>-0.11076809999999999</v>
      </c>
      <c r="W6021">
        <v>5.3422829999999998E-3</v>
      </c>
      <c r="X6021">
        <v>0.99383189999999999</v>
      </c>
      <c r="Y6021">
        <v>0.17284279999999999</v>
      </c>
      <c r="Z6021">
        <v>-9.7139289999999996E-3</v>
      </c>
      <c r="AA6021">
        <v>0.98490149999999999</v>
      </c>
      <c r="AB6021">
        <v>23</v>
      </c>
      <c r="AC6021">
        <v>0.68370000000001596</v>
      </c>
      <c r="AD6021">
        <v>-7.4421999999999697E-2</v>
      </c>
      <c r="AE6021">
        <v>-0.12789</v>
      </c>
      <c r="AF6021">
        <v>0.139062323270496</v>
      </c>
      <c r="AG6021">
        <v>-7.4421999999999697E-2</v>
      </c>
      <c r="AH6021">
        <v>0.673478509664172</v>
      </c>
      <c r="AI6021">
        <v>96.176565642468105</v>
      </c>
      <c r="AJ6021">
        <v>78.333317262036999</v>
      </c>
      <c r="AK6021">
        <v>0.69170099524061901</v>
      </c>
    </row>
    <row r="6022" spans="1:37" x14ac:dyDescent="0.2">
      <c r="A6022" t="str">
        <f>"20200111160019709"</f>
        <v>20200111160019709</v>
      </c>
      <c r="B6022" t="str">
        <f>"1578729619696495"</f>
        <v>1578729619696495</v>
      </c>
      <c r="C6022" t="s">
        <v>37</v>
      </c>
      <c r="D6022">
        <v>5.0740860000000003</v>
      </c>
      <c r="E6022">
        <v>0.61194689999999996</v>
      </c>
      <c r="F6022" t="s">
        <v>38</v>
      </c>
      <c r="G6022">
        <v>-219.87010000000001</v>
      </c>
      <c r="H6022">
        <v>1.021506</v>
      </c>
      <c r="I6022">
        <v>-60.144129999999997</v>
      </c>
      <c r="J6022">
        <v>-220.34379999999999</v>
      </c>
      <c r="K6022">
        <v>1.1049180000000001</v>
      </c>
      <c r="L6022">
        <v>-59.996429999999997</v>
      </c>
      <c r="M6022">
        <v>0.99969759999999996</v>
      </c>
      <c r="N6022">
        <v>0</v>
      </c>
      <c r="O6022">
        <v>1.983971E-2</v>
      </c>
      <c r="P6022">
        <v>0.99116949999999904</v>
      </c>
      <c r="Q6022">
        <v>-8.2388930000000006E-3</v>
      </c>
      <c r="R6022">
        <v>0.13234499999999999</v>
      </c>
      <c r="S6022">
        <v>3.0858310000000002</v>
      </c>
      <c r="T6022">
        <v>-0.28951389999999999</v>
      </c>
      <c r="U6022">
        <v>-0.48269649999999997</v>
      </c>
      <c r="V6022">
        <v>-0.1126593</v>
      </c>
      <c r="W6022">
        <v>6.0746929999999999E-3</v>
      </c>
      <c r="X6022">
        <v>0.99361509999999997</v>
      </c>
      <c r="Y6022">
        <v>0.17328869999999999</v>
      </c>
      <c r="Z6022">
        <v>-9.9094500000000002E-3</v>
      </c>
      <c r="AA6022">
        <v>0.98482119999999995</v>
      </c>
      <c r="AB6022">
        <v>23</v>
      </c>
      <c r="AC6022">
        <v>0.47369999999997903</v>
      </c>
      <c r="AD6022">
        <v>-8.3412E-2</v>
      </c>
      <c r="AE6022">
        <v>-0.1477</v>
      </c>
      <c r="AF6022">
        <v>0.15275332978645101</v>
      </c>
      <c r="AG6022">
        <v>-8.3412E-2</v>
      </c>
      <c r="AH6022">
        <v>0.45774081389889298</v>
      </c>
      <c r="AI6022">
        <v>99.806930929291497</v>
      </c>
      <c r="AJ6022">
        <v>71.5455577079683</v>
      </c>
      <c r="AK6022">
        <v>0.48971195024592701</v>
      </c>
    </row>
    <row r="6023" spans="1:37" x14ac:dyDescent="0.2">
      <c r="A6023" t="str">
        <f>"20200111160019720"</f>
        <v>20200111160019720</v>
      </c>
      <c r="B6023" t="str">
        <f>"1578729619716990"</f>
        <v>1578729619716990</v>
      </c>
      <c r="C6023" t="s">
        <v>37</v>
      </c>
      <c r="D6023">
        <v>5.0692389999999996</v>
      </c>
      <c r="E6023">
        <v>0.61200219999999905</v>
      </c>
      <c r="F6023" t="s">
        <v>38</v>
      </c>
      <c r="G6023">
        <v>-219.45750000000001</v>
      </c>
      <c r="H6023">
        <v>1.0230330000000001</v>
      </c>
      <c r="I6023">
        <v>-60.132659999999902</v>
      </c>
      <c r="J6023">
        <v>-220.2199</v>
      </c>
      <c r="K6023">
        <v>1.104997</v>
      </c>
      <c r="L6023">
        <v>-59.993469999999903</v>
      </c>
      <c r="M6023">
        <v>0.99968799999999902</v>
      </c>
      <c r="N6023">
        <v>0</v>
      </c>
      <c r="O6023">
        <v>2.0308590000000001E-2</v>
      </c>
      <c r="P6023">
        <v>0.99101019999999895</v>
      </c>
      <c r="Q6023">
        <v>-7.7755919999999996E-3</v>
      </c>
      <c r="R6023">
        <v>0.13355999999999901</v>
      </c>
      <c r="S6023">
        <v>3.0877379999999999</v>
      </c>
      <c r="T6023">
        <v>-0.28525879999999998</v>
      </c>
      <c r="U6023">
        <v>-0.47439579999999998</v>
      </c>
      <c r="V6023">
        <v>-0.11341320000000001</v>
      </c>
      <c r="W6023">
        <v>6.5238639999999999E-3</v>
      </c>
      <c r="X6023">
        <v>0.99352649999999998</v>
      </c>
      <c r="Y6023">
        <v>0.1711037</v>
      </c>
      <c r="Z6023">
        <v>-9.7033290000000001E-3</v>
      </c>
      <c r="AA6023">
        <v>0.9852052</v>
      </c>
      <c r="AB6023">
        <v>23</v>
      </c>
      <c r="AC6023">
        <v>0.76239999999998498</v>
      </c>
      <c r="AD6023">
        <v>-8.1963999999999898E-2</v>
      </c>
      <c r="AE6023">
        <v>-0.13918999999999901</v>
      </c>
      <c r="AF6023">
        <v>0.15293558936096099</v>
      </c>
      <c r="AG6023">
        <v>-8.1963999999999898E-2</v>
      </c>
      <c r="AH6023">
        <v>0.75101547242509603</v>
      </c>
      <c r="AI6023">
        <v>96.104165680717401</v>
      </c>
      <c r="AJ6023">
        <v>78.489761401042202</v>
      </c>
      <c r="AK6023">
        <v>0.77079934588132304</v>
      </c>
    </row>
    <row r="6024" spans="1:37" x14ac:dyDescent="0.2">
      <c r="A6024" t="str">
        <f>"20200111160019829"</f>
        <v>20200111160019829</v>
      </c>
      <c r="B6024" t="str">
        <f>"1578729619827277"</f>
        <v>1578729619827277</v>
      </c>
      <c r="C6024" t="s">
        <v>37</v>
      </c>
      <c r="D6024">
        <v>5.006818</v>
      </c>
      <c r="E6024">
        <v>0.61283679999999996</v>
      </c>
      <c r="F6024" t="s">
        <v>38</v>
      </c>
      <c r="G6024">
        <v>-218.4332</v>
      </c>
      <c r="H6024">
        <v>1.03047</v>
      </c>
      <c r="I6024">
        <v>-60.080629999999999</v>
      </c>
      <c r="J6024">
        <v>-219.1104</v>
      </c>
      <c r="K6024">
        <v>1.1057090000000001</v>
      </c>
      <c r="L6024">
        <v>-59.960359999999902</v>
      </c>
      <c r="M6024">
        <v>0.99951769999999995</v>
      </c>
      <c r="N6024">
        <v>0</v>
      </c>
      <c r="O6024">
        <v>2.7408140000000001E-2</v>
      </c>
      <c r="P6024">
        <v>0.9899403</v>
      </c>
      <c r="Q6024">
        <v>-1.220982E-2</v>
      </c>
      <c r="R6024">
        <v>0.1409589</v>
      </c>
      <c r="S6024">
        <v>3.09101899999999</v>
      </c>
      <c r="T6024">
        <v>-0.29376530000000001</v>
      </c>
      <c r="U6024">
        <v>-0.45367429999999997</v>
      </c>
      <c r="V6024">
        <v>-0.1137773</v>
      </c>
      <c r="W6024">
        <v>1.952472E-3</v>
      </c>
      <c r="X6024">
        <v>0.99350430000000001</v>
      </c>
      <c r="Y6024">
        <v>0.1714041</v>
      </c>
      <c r="Z6024">
        <v>-1.0670199999999999E-2</v>
      </c>
      <c r="AA6024">
        <v>0.98514299999999999</v>
      </c>
      <c r="AB6024">
        <v>23</v>
      </c>
      <c r="AC6024">
        <v>0.67719999999999902</v>
      </c>
      <c r="AD6024">
        <v>-7.5239E-2</v>
      </c>
      <c r="AE6024">
        <v>-0.12027000000001201</v>
      </c>
      <c r="AF6024">
        <v>0.13714642268528299</v>
      </c>
      <c r="AG6024">
        <v>-7.5239E-2</v>
      </c>
      <c r="AH6024">
        <v>0.66568294682473395</v>
      </c>
      <c r="AI6024">
        <v>96.316940809517007</v>
      </c>
      <c r="AJ6024">
        <v>78.358600337381603</v>
      </c>
      <c r="AK6024">
        <v>0.68381564333497902</v>
      </c>
    </row>
    <row r="6025" spans="1:37" x14ac:dyDescent="0.2">
      <c r="A6025" t="str">
        <f>"20200111160019842"</f>
        <v>20200111160019842</v>
      </c>
      <c r="B6025" t="str">
        <f>"1578729619837039"</f>
        <v>1578729619837039</v>
      </c>
      <c r="C6025" t="s">
        <v>37</v>
      </c>
      <c r="D6025">
        <v>4.9913439999999998</v>
      </c>
      <c r="E6025">
        <v>0.61301079999999997</v>
      </c>
      <c r="F6025" t="s">
        <v>38</v>
      </c>
      <c r="G6025">
        <v>-218.23330000000001</v>
      </c>
      <c r="H6025">
        <v>1.0224839999999999</v>
      </c>
      <c r="I6025">
        <v>-60.089689999999997</v>
      </c>
      <c r="J6025">
        <v>-218.9854</v>
      </c>
      <c r="K6025">
        <v>1.1057760000000001</v>
      </c>
      <c r="L6025">
        <v>-59.9557199999999</v>
      </c>
      <c r="M6025">
        <v>0.99948680000000001</v>
      </c>
      <c r="N6025">
        <v>0</v>
      </c>
      <c r="O6025">
        <v>2.851128E-2</v>
      </c>
      <c r="P6025">
        <v>0.98983319999999997</v>
      </c>
      <c r="Q6025">
        <v>-1.172814E-2</v>
      </c>
      <c r="R6025">
        <v>0.1417496</v>
      </c>
      <c r="S6025">
        <v>3.0917970000000001</v>
      </c>
      <c r="T6025">
        <v>-0.29332129999999901</v>
      </c>
      <c r="U6025">
        <v>-0.45602419999999999</v>
      </c>
      <c r="V6025">
        <v>-0.1134759</v>
      </c>
      <c r="W6025">
        <v>2.4226320000000001E-3</v>
      </c>
      <c r="X6025">
        <v>0.99353780000000003</v>
      </c>
      <c r="Y6025">
        <v>0.17317869999999999</v>
      </c>
      <c r="Z6025">
        <v>-1.083841E-2</v>
      </c>
      <c r="AA6025">
        <v>0.98483080000000001</v>
      </c>
      <c r="AB6025">
        <v>23</v>
      </c>
      <c r="AC6025">
        <v>0.752099999999984</v>
      </c>
      <c r="AD6025">
        <v>-8.3292000000000102E-2</v>
      </c>
      <c r="AE6025">
        <v>-0.133970000000012</v>
      </c>
      <c r="AF6025">
        <v>0.153535991141074</v>
      </c>
      <c r="AG6025">
        <v>-8.3292000000000102E-2</v>
      </c>
      <c r="AH6025">
        <v>0.739187054725717</v>
      </c>
      <c r="AI6025">
        <v>96.295740202868799</v>
      </c>
      <c r="AJ6025">
        <v>78.2659850877249</v>
      </c>
      <c r="AK6025">
        <v>0.75954483719774701</v>
      </c>
    </row>
    <row r="6026" spans="1:37" x14ac:dyDescent="0.2">
      <c r="A6026" t="str">
        <f>"20200111160019853"</f>
        <v>20200111160019853</v>
      </c>
      <c r="B6026" t="str">
        <f>"1578729619846798"</f>
        <v>1578729619846798</v>
      </c>
      <c r="C6026" t="s">
        <v>37</v>
      </c>
      <c r="D6026">
        <v>4.9995859999999999</v>
      </c>
      <c r="E6026">
        <v>0.6132514</v>
      </c>
      <c r="F6026" t="s">
        <v>38</v>
      </c>
      <c r="G6026">
        <v>-218.22829999999999</v>
      </c>
      <c r="H6026">
        <v>1.0344420000000001</v>
      </c>
      <c r="I6026">
        <v>-60.06709</v>
      </c>
      <c r="J6026">
        <v>-218.8621</v>
      </c>
      <c r="K6026">
        <v>1.1058349999999999</v>
      </c>
      <c r="L6026">
        <v>-59.95093</v>
      </c>
      <c r="M6026">
        <v>0.99945339999999905</v>
      </c>
      <c r="N6026">
        <v>0</v>
      </c>
      <c r="O6026">
        <v>2.96563E-2</v>
      </c>
      <c r="P6026">
        <v>0.98972859999999996</v>
      </c>
      <c r="Q6026">
        <v>-1.0953589999999999E-2</v>
      </c>
      <c r="R6026">
        <v>0.14253929999999901</v>
      </c>
      <c r="S6026">
        <v>3.0925289999999999</v>
      </c>
      <c r="T6026">
        <v>-0.29133829999999999</v>
      </c>
      <c r="U6026">
        <v>-0.45510859999999898</v>
      </c>
      <c r="V6026">
        <v>-0.1131327</v>
      </c>
      <c r="W6026">
        <v>3.1874759999999999E-3</v>
      </c>
      <c r="X6026">
        <v>0.99357479999999998</v>
      </c>
      <c r="Y6026">
        <v>0.17399149999999999</v>
      </c>
      <c r="Z6026">
        <v>-1.0908320000000001E-2</v>
      </c>
      <c r="AA6026">
        <v>0.98468670000000003</v>
      </c>
      <c r="AB6026">
        <v>23</v>
      </c>
      <c r="AC6026">
        <v>0.63380000000000702</v>
      </c>
      <c r="AD6026">
        <v>-7.1392999999999998E-2</v>
      </c>
      <c r="AE6026">
        <v>-0.116159999999993</v>
      </c>
      <c r="AF6026">
        <v>0.133271024246262</v>
      </c>
      <c r="AG6026">
        <v>-7.1392999999999998E-2</v>
      </c>
      <c r="AH6026">
        <v>0.62243488363162403</v>
      </c>
      <c r="AI6026">
        <v>96.399406107636594</v>
      </c>
      <c r="AJ6026">
        <v>77.914737700983594</v>
      </c>
      <c r="AK6026">
        <v>0.64053361403923303</v>
      </c>
    </row>
    <row r="6027" spans="1:37" x14ac:dyDescent="0.2">
      <c r="A6027" t="str">
        <f>"20200111160019864"</f>
        <v>20200111160019864</v>
      </c>
      <c r="B6027" t="str">
        <f>"1578729619856558"</f>
        <v>1578729619856558</v>
      </c>
      <c r="C6027" t="s">
        <v>37</v>
      </c>
      <c r="D6027">
        <v>4.9736570000000002</v>
      </c>
      <c r="E6027">
        <v>0.61348599999999998</v>
      </c>
      <c r="F6027" t="s">
        <v>38</v>
      </c>
      <c r="G6027">
        <v>-218.02780000000001</v>
      </c>
      <c r="H6027">
        <v>1.028089</v>
      </c>
      <c r="I6027">
        <v>-60.073700000000002</v>
      </c>
      <c r="J6027">
        <v>-218.7534</v>
      </c>
      <c r="K6027">
        <v>1.1058870000000001</v>
      </c>
      <c r="L6027">
        <v>-59.946619999999903</v>
      </c>
      <c r="M6027">
        <v>0.99942240000000004</v>
      </c>
      <c r="N6027">
        <v>0</v>
      </c>
      <c r="O6027">
        <v>3.0685210000000001E-2</v>
      </c>
      <c r="P6027">
        <v>0.9896026</v>
      </c>
      <c r="Q6027">
        <v>-1.0012790000000001E-2</v>
      </c>
      <c r="R6027">
        <v>0.14347969999999999</v>
      </c>
      <c r="S6027">
        <v>3.093445</v>
      </c>
      <c r="T6027">
        <v>-0.28833330000000001</v>
      </c>
      <c r="U6027">
        <v>-0.45468140000000001</v>
      </c>
      <c r="V6027">
        <v>-0.113057399999999</v>
      </c>
      <c r="W6027">
        <v>4.1192099999999999E-3</v>
      </c>
      <c r="X6027">
        <v>0.99357989999999996</v>
      </c>
      <c r="Y6027">
        <v>0.17484059999999901</v>
      </c>
      <c r="Z6027">
        <v>-1.092779E-2</v>
      </c>
      <c r="AA6027">
        <v>0.98453609999999903</v>
      </c>
      <c r="AB6027">
        <v>23</v>
      </c>
      <c r="AC6027">
        <v>0.72559999999998503</v>
      </c>
      <c r="AD6027">
        <v>-7.7798000000000006E-2</v>
      </c>
      <c r="AE6027">
        <v>-0.12708000000000599</v>
      </c>
      <c r="AF6027">
        <v>0.147640956327318</v>
      </c>
      <c r="AG6027">
        <v>-7.7798000000000006E-2</v>
      </c>
      <c r="AH6027">
        <v>0.713401241742461</v>
      </c>
      <c r="AI6027">
        <v>96.095477016555606</v>
      </c>
      <c r="AJ6027">
        <v>78.3074963234683</v>
      </c>
      <c r="AK6027">
        <v>0.73266070763275504</v>
      </c>
    </row>
    <row r="6028" spans="1:37" x14ac:dyDescent="0.2">
      <c r="A6028" t="str">
        <f>"20200111160019875"</f>
        <v>20200111160019875</v>
      </c>
      <c r="B6028" t="str">
        <f>"1578729619867295"</f>
        <v>1578729619867295</v>
      </c>
      <c r="C6028" t="s">
        <v>37</v>
      </c>
      <c r="D6028">
        <v>4.9870869999999998</v>
      </c>
      <c r="E6028">
        <v>0.61369929999999995</v>
      </c>
      <c r="F6028" t="s">
        <v>38</v>
      </c>
      <c r="G6028">
        <v>-218.02279999999999</v>
      </c>
      <c r="H6028">
        <v>1.0385930000000001</v>
      </c>
      <c r="I6028">
        <v>-60.053909999999902</v>
      </c>
      <c r="J6028">
        <v>-218.6508</v>
      </c>
      <c r="K6028">
        <v>1.1059239999999999</v>
      </c>
      <c r="L6028">
        <v>-59.94229</v>
      </c>
      <c r="M6028">
        <v>0.99939049999999996</v>
      </c>
      <c r="N6028">
        <v>0</v>
      </c>
      <c r="O6028">
        <v>3.1708399999999998E-2</v>
      </c>
      <c r="P6028">
        <v>0.98944650000000001</v>
      </c>
      <c r="Q6028">
        <v>-8.7953559999999903E-3</v>
      </c>
      <c r="R6028">
        <v>0.14463239999999999</v>
      </c>
      <c r="S6028">
        <v>3.094452</v>
      </c>
      <c r="T6028">
        <v>-0.28513159999999999</v>
      </c>
      <c r="U6028">
        <v>-0.45379639999999999</v>
      </c>
      <c r="V6028">
        <v>-0.11320180000000001</v>
      </c>
      <c r="W6028">
        <v>5.3294090000000002E-3</v>
      </c>
      <c r="X6028">
        <v>0.99355780000000005</v>
      </c>
      <c r="Y6028">
        <v>0.17553920000000001</v>
      </c>
      <c r="Z6028">
        <v>-1.0929319999999999E-2</v>
      </c>
      <c r="AA6028">
        <v>0.98441179999999995</v>
      </c>
      <c r="AB6028">
        <v>23</v>
      </c>
      <c r="AC6028">
        <v>0.62800000000001399</v>
      </c>
      <c r="AD6028">
        <v>-6.7330999999999794E-2</v>
      </c>
      <c r="AE6028">
        <v>-0.111619999999994</v>
      </c>
      <c r="AF6028">
        <v>0.13002993230220999</v>
      </c>
      <c r="AG6028">
        <v>-6.7330999999999794E-2</v>
      </c>
      <c r="AH6028">
        <v>0.61726626576369104</v>
      </c>
      <c r="AI6028">
        <v>96.0925018376021</v>
      </c>
      <c r="AJ6028">
        <v>78.104308029910598</v>
      </c>
      <c r="AK6028">
        <v>0.63439647674413202</v>
      </c>
    </row>
    <row r="6029" spans="1:37" x14ac:dyDescent="0.2">
      <c r="A6029" t="str">
        <f>"20200111160019885"</f>
        <v>20200111160019885</v>
      </c>
      <c r="B6029" t="str">
        <f>"1578729619877054"</f>
        <v>1578729619877054</v>
      </c>
      <c r="C6029" t="s">
        <v>37</v>
      </c>
      <c r="D6029">
        <v>11.6491899999999</v>
      </c>
      <c r="E6029">
        <v>0.61369929999999995</v>
      </c>
      <c r="F6029" t="s">
        <v>38</v>
      </c>
      <c r="G6029">
        <v>-217.82329999999999</v>
      </c>
      <c r="H6029">
        <v>1.031091</v>
      </c>
      <c r="I6029">
        <v>-60.063339999999997</v>
      </c>
      <c r="J6029">
        <v>-218.5394</v>
      </c>
      <c r="K6029">
        <v>1.105961</v>
      </c>
      <c r="L6029">
        <v>-59.93759</v>
      </c>
      <c r="M6029">
        <v>0.99935439999999998</v>
      </c>
      <c r="N6029">
        <v>0</v>
      </c>
      <c r="O6029">
        <v>3.2826080000000001E-2</v>
      </c>
      <c r="P6029">
        <v>0.98925260000000004</v>
      </c>
      <c r="Q6029">
        <v>-7.859418E-3</v>
      </c>
      <c r="R6029">
        <v>0.14600589999999999</v>
      </c>
      <c r="S6029">
        <v>3.095596</v>
      </c>
      <c r="T6029">
        <v>-0.28002369999999999</v>
      </c>
      <c r="U6029">
        <v>-0.45205689999999998</v>
      </c>
      <c r="V6029">
        <v>-0.11347349999999901</v>
      </c>
      <c r="W6029">
        <v>6.2573180000000004E-3</v>
      </c>
      <c r="X6029">
        <v>0.99352129999999905</v>
      </c>
      <c r="Y6029">
        <v>0.17607059999999999</v>
      </c>
      <c r="Z6029">
        <v>-1.0855160000000001E-2</v>
      </c>
      <c r="AA6029">
        <v>0.98431769999999996</v>
      </c>
      <c r="AB6029">
        <v>23</v>
      </c>
      <c r="AC6029">
        <v>0.71610000000001095</v>
      </c>
      <c r="AD6029">
        <v>-7.4869999999999895E-2</v>
      </c>
      <c r="AE6029">
        <v>-0.125750000000003</v>
      </c>
      <c r="AF6029">
        <v>0.14762602100400399</v>
      </c>
      <c r="AG6029">
        <v>-7.4869999999999895E-2</v>
      </c>
      <c r="AH6029">
        <v>0.70411904856735197</v>
      </c>
      <c r="AI6029">
        <v>95.941312713153096</v>
      </c>
      <c r="AJ6029">
        <v>78.158847075095807</v>
      </c>
      <c r="AK6029">
        <v>0.72331362045302805</v>
      </c>
    </row>
    <row r="6030" spans="1:37" x14ac:dyDescent="0.2">
      <c r="A6030" t="str">
        <f>"20200111160019896"</f>
        <v>20200111160019896</v>
      </c>
      <c r="B6030" t="str">
        <f>"1578729619886817"</f>
        <v>1578729619886817</v>
      </c>
      <c r="C6030" t="s">
        <v>37</v>
      </c>
      <c r="D6030">
        <v>5.0272759999999996</v>
      </c>
      <c r="E6030">
        <v>0.61395319999999998</v>
      </c>
      <c r="F6030" t="s">
        <v>38</v>
      </c>
      <c r="G6030">
        <v>-217.6233</v>
      </c>
      <c r="H6030">
        <v>1.0242309999999999</v>
      </c>
      <c r="I6030">
        <v>-60.07029</v>
      </c>
      <c r="J6030">
        <v>-218.428</v>
      </c>
      <c r="K6030">
        <v>1.105985</v>
      </c>
      <c r="L6030">
        <v>-59.932589999999998</v>
      </c>
      <c r="M6030">
        <v>0.99931569999999903</v>
      </c>
      <c r="N6030">
        <v>0</v>
      </c>
      <c r="O6030">
        <v>3.398205E-2</v>
      </c>
      <c r="P6030">
        <v>0.98899009999999998</v>
      </c>
      <c r="Q6030">
        <v>-7.0830880000000004E-3</v>
      </c>
      <c r="R6030">
        <v>0.1478131</v>
      </c>
      <c r="S6030">
        <v>3.096527</v>
      </c>
      <c r="T6030">
        <v>-0.27633069999999998</v>
      </c>
      <c r="U6030">
        <v>-0.4480286</v>
      </c>
      <c r="V6030">
        <v>-0.1141423</v>
      </c>
      <c r="W6030">
        <v>7.02548699999999E-3</v>
      </c>
      <c r="X6030">
        <v>0.99343959999999998</v>
      </c>
      <c r="Y6030">
        <v>0.175931</v>
      </c>
      <c r="Z6030">
        <v>-1.0806690000000001E-2</v>
      </c>
      <c r="AA6030">
        <v>0.98434319999999897</v>
      </c>
      <c r="AB6030">
        <v>23</v>
      </c>
      <c r="AC6030">
        <v>0.80469999999999597</v>
      </c>
      <c r="AD6030">
        <v>-8.1754000000000104E-2</v>
      </c>
      <c r="AE6030">
        <v>-0.13769999999999499</v>
      </c>
      <c r="AF6030">
        <v>0.16333083995213299</v>
      </c>
      <c r="AG6030">
        <v>-8.1754000000000104E-2</v>
      </c>
      <c r="AH6030">
        <v>0.79161695411381505</v>
      </c>
      <c r="AI6030">
        <v>95.775498142149203</v>
      </c>
      <c r="AJ6030">
        <v>78.342004870994302</v>
      </c>
      <c r="AK6030">
        <v>0.81241496898808097</v>
      </c>
    </row>
    <row r="6031" spans="1:37" x14ac:dyDescent="0.2">
      <c r="A6031" t="str">
        <f>"20200111160019908"</f>
        <v>20200111160019908</v>
      </c>
      <c r="B6031" t="str">
        <f>"1578729619896575"</f>
        <v>1578729619896575</v>
      </c>
      <c r="C6031" t="s">
        <v>37</v>
      </c>
      <c r="D6031">
        <v>5.0621859999999996</v>
      </c>
      <c r="E6031">
        <v>0.61413999999999902</v>
      </c>
      <c r="F6031" t="s">
        <v>38</v>
      </c>
      <c r="G6031">
        <v>-217.61949999999999</v>
      </c>
      <c r="H6031">
        <v>1.0347139999999999</v>
      </c>
      <c r="I6031">
        <v>-60.048749999999998</v>
      </c>
      <c r="J6031">
        <v>-218.3193</v>
      </c>
      <c r="K6031">
        <v>1.106004</v>
      </c>
      <c r="L6031">
        <v>-59.9276699999999</v>
      </c>
      <c r="M6031">
        <v>0.99927639999999995</v>
      </c>
      <c r="N6031">
        <v>0</v>
      </c>
      <c r="O6031">
        <v>3.5116750000000002E-2</v>
      </c>
      <c r="P6031">
        <v>0.98868630000000002</v>
      </c>
      <c r="Q6031">
        <v>-6.6207540000000004E-3</v>
      </c>
      <c r="R6031">
        <v>0.14985309999999999</v>
      </c>
      <c r="S6031">
        <v>3.0978699999999999</v>
      </c>
      <c r="T6031">
        <v>-0.27319169999999998</v>
      </c>
      <c r="U6031">
        <v>-0.444518999999999</v>
      </c>
      <c r="V6031">
        <v>-0.115065599999999</v>
      </c>
      <c r="W6031">
        <v>7.4794229999999998E-3</v>
      </c>
      <c r="X6031">
        <v>0.99332969999999898</v>
      </c>
      <c r="Y6031">
        <v>0.17591029999999999</v>
      </c>
      <c r="Z6031">
        <v>-1.0779220000000001E-2</v>
      </c>
      <c r="AA6031">
        <v>0.98434719999999998</v>
      </c>
      <c r="AB6031">
        <v>23</v>
      </c>
      <c r="AC6031">
        <v>0.69980000000000997</v>
      </c>
      <c r="AD6031">
        <v>-7.1290000000000006E-2</v>
      </c>
      <c r="AE6031">
        <v>-0.121080000000006</v>
      </c>
      <c r="AF6031">
        <v>0.14413033564027899</v>
      </c>
      <c r="AG6031">
        <v>-7.1290000000000006E-2</v>
      </c>
      <c r="AH6031">
        <v>0.68818160156326202</v>
      </c>
      <c r="AI6031">
        <v>95.7895480294343</v>
      </c>
      <c r="AJ6031">
        <v>78.171147696991099</v>
      </c>
      <c r="AK6031">
        <v>0.70671757759514897</v>
      </c>
    </row>
    <row r="6032" spans="1:37" x14ac:dyDescent="0.2">
      <c r="A6032" t="str">
        <f>"20200111160019919"</f>
        <v>20200111160019919</v>
      </c>
      <c r="B6032" t="str">
        <f>"1578729619907310"</f>
        <v>1578729619907310</v>
      </c>
      <c r="C6032" t="s">
        <v>37</v>
      </c>
      <c r="D6032">
        <v>5.014138</v>
      </c>
      <c r="E6032">
        <v>0.61436840000000004</v>
      </c>
      <c r="F6032" t="s">
        <v>38</v>
      </c>
      <c r="G6032">
        <v>-217.42019999999999</v>
      </c>
      <c r="H6032">
        <v>1.027488</v>
      </c>
      <c r="I6032">
        <v>-60.055459999999997</v>
      </c>
      <c r="J6032">
        <v>-218.2063</v>
      </c>
      <c r="K6032">
        <v>1.1060140000000001</v>
      </c>
      <c r="L6032">
        <v>-59.922359999999998</v>
      </c>
      <c r="M6032">
        <v>0.999233499999999</v>
      </c>
      <c r="N6032">
        <v>0</v>
      </c>
      <c r="O6032">
        <v>3.6314699999999998E-2</v>
      </c>
      <c r="P6032">
        <v>0.988261099999999</v>
      </c>
      <c r="Q6032">
        <v>-6.2388590000000002E-3</v>
      </c>
      <c r="R6032">
        <v>0.1526479</v>
      </c>
      <c r="S6032">
        <v>3.0991819999999999</v>
      </c>
      <c r="T6032">
        <v>-0.27072350000000001</v>
      </c>
      <c r="U6032">
        <v>-0.43997190000000003</v>
      </c>
      <c r="V6032">
        <v>-0.1166851</v>
      </c>
      <c r="W6032">
        <v>7.8508689999999999E-3</v>
      </c>
      <c r="X6032">
        <v>0.99313799999999997</v>
      </c>
      <c r="Y6032">
        <v>0.175627799999999</v>
      </c>
      <c r="Z6032">
        <v>-1.077058E-2</v>
      </c>
      <c r="AA6032">
        <v>0.98439769999999904</v>
      </c>
      <c r="AB6032">
        <v>23</v>
      </c>
      <c r="AC6032">
        <v>0.78610000000000402</v>
      </c>
      <c r="AD6032">
        <v>-7.8526000000000096E-2</v>
      </c>
      <c r="AE6032">
        <v>-0.133099999999998</v>
      </c>
      <c r="AF6032">
        <v>0.160010040467543</v>
      </c>
      <c r="AG6032">
        <v>-7.8526000000000096E-2</v>
      </c>
      <c r="AH6032">
        <v>0.773246466995681</v>
      </c>
      <c r="AI6032">
        <v>95.679206591182904</v>
      </c>
      <c r="AJ6032">
        <v>78.308640358875294</v>
      </c>
      <c r="AK6032">
        <v>0.79352356262919399</v>
      </c>
    </row>
    <row r="6033" spans="1:37" x14ac:dyDescent="0.2">
      <c r="A6033" t="str">
        <f>"20200111160019930"</f>
        <v>20200111160019930</v>
      </c>
      <c r="B6033" t="str">
        <f>"1578729619926830"</f>
        <v>1578729619926830</v>
      </c>
      <c r="C6033" t="s">
        <v>37</v>
      </c>
      <c r="D6033">
        <v>6.5426769999999896</v>
      </c>
      <c r="E6033">
        <v>0.61436840000000004</v>
      </c>
      <c r="F6033" t="s">
        <v>38</v>
      </c>
      <c r="G6033">
        <v>-217.4171</v>
      </c>
      <c r="H6033">
        <v>1.0375859999999999</v>
      </c>
      <c r="I6033">
        <v>-60.032780000000002</v>
      </c>
      <c r="J6033">
        <v>-218.09569999999999</v>
      </c>
      <c r="K6033">
        <v>1.106023</v>
      </c>
      <c r="L6033">
        <v>-59.917019999999901</v>
      </c>
      <c r="M6033">
        <v>0.99918989999999996</v>
      </c>
      <c r="N6033">
        <v>0</v>
      </c>
      <c r="O6033">
        <v>3.7493510000000001E-2</v>
      </c>
      <c r="P6033">
        <v>0.98783670000000001</v>
      </c>
      <c r="Q6033">
        <v>-6.1073469999999999E-3</v>
      </c>
      <c r="R6033">
        <v>0.1553755</v>
      </c>
      <c r="S6033">
        <v>3.1008450000000001</v>
      </c>
      <c r="T6033">
        <v>-0.2689165</v>
      </c>
      <c r="U6033">
        <v>-0.433197</v>
      </c>
      <c r="V6033">
        <v>-0.11825519999999901</v>
      </c>
      <c r="W6033">
        <v>7.9729350000000004E-3</v>
      </c>
      <c r="X6033">
        <v>0.99295119999999903</v>
      </c>
      <c r="Y6033">
        <v>0.17461689999999999</v>
      </c>
      <c r="Z6033">
        <v>-1.0752970000000001E-2</v>
      </c>
      <c r="AA6033">
        <v>0.9845777</v>
      </c>
      <c r="AB6033">
        <v>23</v>
      </c>
      <c r="AC6033">
        <v>0.67859999999998799</v>
      </c>
      <c r="AD6033">
        <v>-6.8436999999999804E-2</v>
      </c>
      <c r="AE6033">
        <v>-0.115760000000008</v>
      </c>
      <c r="AF6033">
        <v>0.13974329606948899</v>
      </c>
      <c r="AG6033">
        <v>-6.8436999999999804E-2</v>
      </c>
      <c r="AH6033">
        <v>0.66718810132672002</v>
      </c>
      <c r="AI6033">
        <v>95.733097394168894</v>
      </c>
      <c r="AJ6033">
        <v>78.170344326229298</v>
      </c>
      <c r="AK6033">
        <v>0.68509252974858703</v>
      </c>
    </row>
    <row r="6034" spans="1:37" x14ac:dyDescent="0.2">
      <c r="A6034" t="str">
        <f>"20200111160019954"</f>
        <v>20200111160019954</v>
      </c>
      <c r="B6034" t="str">
        <f>"1578729619947326"</f>
        <v>1578729619947326</v>
      </c>
      <c r="C6034" t="s">
        <v>37</v>
      </c>
      <c r="D6034">
        <v>6.0609970000000004</v>
      </c>
      <c r="E6034">
        <v>0.61436840000000004</v>
      </c>
      <c r="F6034" t="s">
        <v>38</v>
      </c>
      <c r="G6034">
        <v>-217.21860000000001</v>
      </c>
      <c r="H6034">
        <v>1.030365</v>
      </c>
      <c r="I6034">
        <v>-60.037430000000001</v>
      </c>
      <c r="J6034">
        <v>-217.86330000000001</v>
      </c>
      <c r="K6034">
        <v>1.10602</v>
      </c>
      <c r="L6034">
        <v>-59.905359999999902</v>
      </c>
      <c r="M6034">
        <v>0.99909349999999997</v>
      </c>
      <c r="N6034">
        <v>0</v>
      </c>
      <c r="O6034">
        <v>3.9983159999999997E-2</v>
      </c>
      <c r="P6034">
        <v>0.98677979999999998</v>
      </c>
      <c r="Q6034">
        <v>-5.50797599999999E-3</v>
      </c>
      <c r="R6034">
        <v>0.16197400000000001</v>
      </c>
      <c r="S6034">
        <v>3.102112</v>
      </c>
      <c r="T6034">
        <v>-0.2677619</v>
      </c>
      <c r="U6034">
        <v>-0.4248962</v>
      </c>
      <c r="V6034">
        <v>-0.12241769999999901</v>
      </c>
      <c r="W6034">
        <v>8.5517949999999992E-3</v>
      </c>
      <c r="X6034">
        <v>0.99244179999999904</v>
      </c>
      <c r="Y6034">
        <v>0.17442839999999901</v>
      </c>
      <c r="Z6034">
        <v>-1.091017E-2</v>
      </c>
      <c r="AA6034">
        <v>0.98460939999999997</v>
      </c>
      <c r="AB6034">
        <v>23</v>
      </c>
      <c r="AC6034">
        <v>0.64470000000000005</v>
      </c>
      <c r="AD6034">
        <v>-7.5655E-2</v>
      </c>
      <c r="AE6034">
        <v>-0.13207000000001301</v>
      </c>
      <c r="AF6034">
        <v>0.155686677779549</v>
      </c>
      <c r="AG6034">
        <v>-7.5655E-2</v>
      </c>
      <c r="AH6034">
        <v>0.63056948634822096</v>
      </c>
      <c r="AI6034">
        <v>96.643934566662097</v>
      </c>
      <c r="AJ6034">
        <v>76.1311264539886</v>
      </c>
      <c r="AK6034">
        <v>0.65389593803333301</v>
      </c>
    </row>
    <row r="6035" spans="1:37" x14ac:dyDescent="0.2">
      <c r="A6035" t="str">
        <f>"20200111160019964"</f>
        <v>20200111160019964</v>
      </c>
      <c r="B6035" t="str">
        <f>"1578729619957085"</f>
        <v>1578729619957085</v>
      </c>
      <c r="C6035" t="s">
        <v>37</v>
      </c>
      <c r="D6035">
        <v>4.9018189999999997</v>
      </c>
      <c r="E6035">
        <v>0.61436840000000004</v>
      </c>
      <c r="F6035" t="s">
        <v>38</v>
      </c>
      <c r="G6035">
        <v>-217.01759999999999</v>
      </c>
      <c r="H6035">
        <v>1.0339</v>
      </c>
      <c r="I6035">
        <v>-60.015659999999997</v>
      </c>
      <c r="J6035">
        <v>-217.74350000000001</v>
      </c>
      <c r="K6035">
        <v>1.1060140000000001</v>
      </c>
      <c r="L6035">
        <v>-59.899169999999998</v>
      </c>
      <c r="M6035">
        <v>0.99904119999999996</v>
      </c>
      <c r="N6035">
        <v>0</v>
      </c>
      <c r="O6035">
        <v>4.1267529999999997E-2</v>
      </c>
      <c r="P6035">
        <v>0.9862628</v>
      </c>
      <c r="Q6035">
        <v>-5.0321350000000001E-3</v>
      </c>
      <c r="R6035">
        <v>0.16510810000000001</v>
      </c>
      <c r="S6035">
        <v>3.1050719999999998</v>
      </c>
      <c r="T6035">
        <v>-0.26492280000000001</v>
      </c>
      <c r="U6035">
        <v>-0.40435789999999999</v>
      </c>
      <c r="V6035">
        <v>-0.1242962</v>
      </c>
      <c r="W6035">
        <v>9.0195559999999998E-3</v>
      </c>
      <c r="X6035">
        <v>0.99220419999999998</v>
      </c>
      <c r="Y6035">
        <v>0.16919809999999999</v>
      </c>
      <c r="Z6035">
        <v>-1.067653E-2</v>
      </c>
      <c r="AA6035">
        <v>0.98552419999999996</v>
      </c>
      <c r="AB6035">
        <v>23</v>
      </c>
      <c r="AC6035">
        <v>0.72590000000002397</v>
      </c>
      <c r="AD6035">
        <v>-7.2113999999999998E-2</v>
      </c>
      <c r="AE6035">
        <v>-0.116489999999998</v>
      </c>
      <c r="AF6035">
        <v>0.14495535738106199</v>
      </c>
      <c r="AG6035">
        <v>-7.2113999999999998E-2</v>
      </c>
      <c r="AH6035">
        <v>0.71360775045152602</v>
      </c>
      <c r="AI6035">
        <v>95.655732729753396</v>
      </c>
      <c r="AJ6035">
        <v>78.517716937491301</v>
      </c>
      <c r="AK6035">
        <v>0.73174347016830898</v>
      </c>
    </row>
    <row r="6036" spans="1:37" x14ac:dyDescent="0.2">
      <c r="A6036" t="str">
        <f>"20200111160019975"</f>
        <v>20200111160019975</v>
      </c>
      <c r="B6036" t="str">
        <f>"1578729619966847"</f>
        <v>1578729619966847</v>
      </c>
      <c r="C6036" t="s">
        <v>37</v>
      </c>
      <c r="D6036">
        <v>5.1218490000000001</v>
      </c>
      <c r="E6036">
        <v>0.46242169999999999</v>
      </c>
      <c r="F6036" t="s">
        <v>38</v>
      </c>
      <c r="G6036">
        <v>-216.81970000000001</v>
      </c>
      <c r="H6036">
        <v>1.0276889999999901</v>
      </c>
      <c r="I6036">
        <v>-60.0167199999999</v>
      </c>
      <c r="J6036">
        <v>-217.63339999999999</v>
      </c>
      <c r="K6036">
        <v>1.1060049999999999</v>
      </c>
      <c r="L6036">
        <v>-59.893250000000002</v>
      </c>
      <c r="M6036">
        <v>0.99899210000000005</v>
      </c>
      <c r="N6036">
        <v>0</v>
      </c>
      <c r="O6036">
        <v>4.2443069999999999E-2</v>
      </c>
      <c r="P6036">
        <v>0.98575809999999997</v>
      </c>
      <c r="Q6036">
        <v>-4.69721299999999E-3</v>
      </c>
      <c r="R6036">
        <v>0.1681049</v>
      </c>
      <c r="S6036">
        <v>3.1064910000000001</v>
      </c>
      <c r="T6036">
        <v>-0.26349590000000001</v>
      </c>
      <c r="U6036">
        <v>-0.39450069999999998</v>
      </c>
      <c r="V6036">
        <v>-0.12614549999999999</v>
      </c>
      <c r="W6036">
        <v>9.3471289999999992E-3</v>
      </c>
      <c r="X6036">
        <v>0.99196770000000001</v>
      </c>
      <c r="Y6036">
        <v>0.16723460000000001</v>
      </c>
      <c r="Z6036">
        <v>-1.0632920000000001E-2</v>
      </c>
      <c r="AA6036">
        <v>0.98585979999999995</v>
      </c>
      <c r="AB6036">
        <v>23</v>
      </c>
      <c r="AC6036">
        <v>0.81369999999998199</v>
      </c>
      <c r="AD6036">
        <v>-7.8315999999999997E-2</v>
      </c>
      <c r="AE6036">
        <v>-0.12346999999999</v>
      </c>
      <c r="AF6036">
        <v>0.156481395124109</v>
      </c>
      <c r="AG6036">
        <v>-7.8315999999999997E-2</v>
      </c>
      <c r="AH6036">
        <v>0.800477317590638</v>
      </c>
      <c r="AI6036">
        <v>95.484678647672297</v>
      </c>
      <c r="AJ6036">
        <v>78.939016955967404</v>
      </c>
      <c r="AK6036">
        <v>0.81938010645431902</v>
      </c>
    </row>
    <row r="6037" spans="1:37" x14ac:dyDescent="0.2">
      <c r="A6037" t="str">
        <f>"20200111160019987"</f>
        <v>20200111160019987</v>
      </c>
      <c r="B6037" t="str">
        <f>"1578729619976607"</f>
        <v>1578729619976607</v>
      </c>
      <c r="C6037" t="s">
        <v>37</v>
      </c>
      <c r="D6037">
        <v>5.0693859999999997</v>
      </c>
      <c r="E6037">
        <v>0.46055629999999997</v>
      </c>
      <c r="F6037" t="s">
        <v>75</v>
      </c>
      <c r="G6037">
        <v>-205.38509999999999</v>
      </c>
      <c r="H6037" s="1">
        <v>-3.809926E-6</v>
      </c>
      <c r="I6037">
        <v>-56.473179999999999</v>
      </c>
      <c r="J6037">
        <v>-217.5247</v>
      </c>
      <c r="K6037">
        <v>1.105996</v>
      </c>
      <c r="L6037">
        <v>-59.887360000000001</v>
      </c>
      <c r="M6037">
        <v>0.998942</v>
      </c>
      <c r="N6037">
        <v>0</v>
      </c>
      <c r="O6037">
        <v>4.3602700000000001E-2</v>
      </c>
      <c r="P6037">
        <v>0.98531999999999997</v>
      </c>
      <c r="Q6037">
        <v>-4.3420589999999997E-3</v>
      </c>
      <c r="R6037">
        <v>0.17066190000000001</v>
      </c>
      <c r="S6037">
        <v>2.9038089999999999</v>
      </c>
      <c r="T6037">
        <v>-0.26221050000000001</v>
      </c>
      <c r="U6037">
        <v>0.81082149999999997</v>
      </c>
      <c r="V6037">
        <v>-0.12756819999999999</v>
      </c>
      <c r="W6037">
        <v>9.6975869999999902E-3</v>
      </c>
      <c r="X6037">
        <v>0.99178239999999995</v>
      </c>
      <c r="Y6037">
        <v>-0.22599629999999901</v>
      </c>
      <c r="Z6037">
        <v>6.1431649999999999E-3</v>
      </c>
      <c r="AA6037">
        <v>0.9741088</v>
      </c>
      <c r="AB6037">
        <v>23</v>
      </c>
      <c r="AC6037">
        <v>12.1396</v>
      </c>
      <c r="AD6037">
        <v>-1.105999809926</v>
      </c>
      <c r="AE6037">
        <v>3.4141799999999898</v>
      </c>
      <c r="AF6037">
        <v>-2.8595605448845398</v>
      </c>
      <c r="AG6037">
        <v>-1.105999809926</v>
      </c>
      <c r="AH6037">
        <v>12.183221917373899</v>
      </c>
      <c r="AI6037">
        <v>95.050609775250393</v>
      </c>
      <c r="AJ6037">
        <v>103.208966801957</v>
      </c>
      <c r="AK6037">
        <v>12.5630895235764</v>
      </c>
    </row>
    <row r="6038" spans="1:37" x14ac:dyDescent="0.2">
      <c r="A6038" t="str">
        <f>"20200111160019998"</f>
        <v>20200111160019998</v>
      </c>
      <c r="B6038" t="str">
        <f>"1578729619987343"</f>
        <v>1578729619987343</v>
      </c>
      <c r="C6038" t="s">
        <v>37</v>
      </c>
      <c r="D6038">
        <v>4.9128220000000002</v>
      </c>
      <c r="E6038">
        <v>0.45940059999999899</v>
      </c>
      <c r="F6038" t="s">
        <v>75</v>
      </c>
      <c r="G6038">
        <v>-205.92339999999999</v>
      </c>
      <c r="H6038" s="1">
        <v>-3.4982440000000002E-6</v>
      </c>
      <c r="I6038">
        <v>-56.550959999999897</v>
      </c>
      <c r="J6038">
        <v>-217.4101</v>
      </c>
      <c r="K6038">
        <v>1.105985</v>
      </c>
      <c r="L6038">
        <v>-59.880980000000001</v>
      </c>
      <c r="M6038">
        <v>0.9988882</v>
      </c>
      <c r="N6038">
        <v>0</v>
      </c>
      <c r="O6038">
        <v>4.4817490000000001E-2</v>
      </c>
      <c r="P6038">
        <v>0.98482369999999997</v>
      </c>
      <c r="Q6038">
        <v>-4.0397250000000001E-3</v>
      </c>
      <c r="R6038">
        <v>0.17351069999999999</v>
      </c>
      <c r="S6038">
        <v>2.8990629999999999</v>
      </c>
      <c r="T6038">
        <v>-0.27638049999999997</v>
      </c>
      <c r="U6038">
        <v>0.83374020000000004</v>
      </c>
      <c r="V6038">
        <v>-0.1292314</v>
      </c>
      <c r="W6038">
        <v>9.9941660000000005E-3</v>
      </c>
      <c r="X6038">
        <v>0.99156409999999995</v>
      </c>
      <c r="Y6038">
        <v>-0.23225019999999999</v>
      </c>
      <c r="Z6038">
        <v>6.6560059999999999E-3</v>
      </c>
      <c r="AA6038">
        <v>0.97263330000000003</v>
      </c>
      <c r="AB6038">
        <v>22</v>
      </c>
      <c r="AC6038">
        <v>11.486700000000001</v>
      </c>
      <c r="AD6038">
        <v>-1.105988498244</v>
      </c>
      <c r="AE6038">
        <v>3.33002000000001</v>
      </c>
      <c r="AF6038">
        <v>-2.7879706351803</v>
      </c>
      <c r="AG6038">
        <v>-1.105988498244</v>
      </c>
      <c r="AH6038">
        <v>11.525846480104899</v>
      </c>
      <c r="AI6038">
        <v>95.328418777952095</v>
      </c>
      <c r="AJ6038">
        <v>103.598003683122</v>
      </c>
      <c r="AK6038">
        <v>11.9097072971514</v>
      </c>
    </row>
    <row r="6039" spans="1:37" x14ac:dyDescent="0.2">
      <c r="A6039" t="str">
        <f>"20200111160020009"</f>
        <v>20200111160020009</v>
      </c>
      <c r="B6039" t="str">
        <f>"1578729620006863"</f>
        <v>1578729620006863</v>
      </c>
      <c r="C6039" t="s">
        <v>37</v>
      </c>
      <c r="D6039">
        <v>4.9372419999999897</v>
      </c>
      <c r="E6039">
        <v>0.4597019</v>
      </c>
      <c r="F6039" t="s">
        <v>75</v>
      </c>
      <c r="G6039">
        <v>-205.42349999999999</v>
      </c>
      <c r="H6039" s="1">
        <v>-3.8146689999999999E-6</v>
      </c>
      <c r="I6039">
        <v>-56.357100000000003</v>
      </c>
      <c r="J6039">
        <v>-217.2979</v>
      </c>
      <c r="K6039">
        <v>1.105977</v>
      </c>
      <c r="L6039">
        <v>-59.874600000000001</v>
      </c>
      <c r="M6039">
        <v>0.99883440000000001</v>
      </c>
      <c r="N6039">
        <v>0</v>
      </c>
      <c r="O6039">
        <v>4.600249E-2</v>
      </c>
      <c r="P6039">
        <v>0.98440439999999996</v>
      </c>
      <c r="Q6039">
        <v>-3.6214809999999902E-3</v>
      </c>
      <c r="R6039">
        <v>0.1758836</v>
      </c>
      <c r="S6039">
        <v>2.8951720000000001</v>
      </c>
      <c r="T6039">
        <v>-0.26713330000000002</v>
      </c>
      <c r="U6039">
        <v>0.85113530000000004</v>
      </c>
      <c r="V6039">
        <v>-0.13044539999999999</v>
      </c>
      <c r="W6039">
        <v>1.0408519999999999E-2</v>
      </c>
      <c r="X6039">
        <v>0.99140079999999997</v>
      </c>
      <c r="Y6039">
        <v>-0.23686650000000001</v>
      </c>
      <c r="Z6039">
        <v>6.5390569999999896E-3</v>
      </c>
      <c r="AA6039">
        <v>0.97152019999999994</v>
      </c>
      <c r="AB6039">
        <v>22</v>
      </c>
      <c r="AC6039">
        <v>11.8744</v>
      </c>
      <c r="AD6039">
        <v>-1.105980814669</v>
      </c>
      <c r="AE6039">
        <v>3.5174999999999899</v>
      </c>
      <c r="AF6039">
        <v>-2.9439860449295598</v>
      </c>
      <c r="AG6039">
        <v>-1.105980814669</v>
      </c>
      <c r="AH6039">
        <v>11.9285245632016</v>
      </c>
      <c r="AI6039">
        <v>95.143692904623506</v>
      </c>
      <c r="AJ6039">
        <v>103.86367109976101</v>
      </c>
      <c r="AK6039">
        <v>12.336123607116599</v>
      </c>
    </row>
    <row r="6040" spans="1:37" x14ac:dyDescent="0.2">
      <c r="A6040" t="str">
        <f>"20200111160020020"</f>
        <v>20200111160020020</v>
      </c>
      <c r="B6040" t="str">
        <f>"1578729620016622"</f>
        <v>1578729620016622</v>
      </c>
      <c r="C6040" t="s">
        <v>37</v>
      </c>
      <c r="D6040">
        <v>4.9230070000000001</v>
      </c>
      <c r="E6040">
        <v>0.459449</v>
      </c>
      <c r="F6040" t="s">
        <v>75</v>
      </c>
      <c r="G6040">
        <v>-205.3228</v>
      </c>
      <c r="H6040" s="1">
        <v>-3.8753260000000003E-6</v>
      </c>
      <c r="I6040">
        <v>-56.33175</v>
      </c>
      <c r="J6040">
        <v>-217.19200000000001</v>
      </c>
      <c r="K6040">
        <v>1.1059669999999999</v>
      </c>
      <c r="L6040">
        <v>-59.868469999999903</v>
      </c>
      <c r="M6040">
        <v>0.99878250000000002</v>
      </c>
      <c r="N6040">
        <v>0</v>
      </c>
      <c r="O6040">
        <v>4.7115089999999998E-2</v>
      </c>
      <c r="P6040">
        <v>0.98394369999999998</v>
      </c>
      <c r="Q6040">
        <v>-3.3259000000000001E-3</v>
      </c>
      <c r="R6040">
        <v>0.1784482</v>
      </c>
      <c r="S6040">
        <v>2.8936000000000002</v>
      </c>
      <c r="T6040">
        <v>-0.26724389999999998</v>
      </c>
      <c r="U6040">
        <v>0.85607909999999898</v>
      </c>
      <c r="V6040">
        <v>-0.13192499999999999</v>
      </c>
      <c r="W6040">
        <v>1.0698890000000001E-2</v>
      </c>
      <c r="X6040">
        <v>0.99120189999999997</v>
      </c>
      <c r="Y6040">
        <v>-0.23745540000000001</v>
      </c>
      <c r="Z6040">
        <v>6.4702309999999999E-3</v>
      </c>
      <c r="AA6040">
        <v>0.97137689999999999</v>
      </c>
      <c r="AB6040">
        <v>22</v>
      </c>
      <c r="AC6040">
        <v>11.869199999999999</v>
      </c>
      <c r="AD6040">
        <v>-1.105970875326</v>
      </c>
      <c r="AE6040">
        <v>3.5367199999999901</v>
      </c>
      <c r="AF6040">
        <v>-2.9499887908500599</v>
      </c>
      <c r="AG6040">
        <v>-1.105970875326</v>
      </c>
      <c r="AH6040">
        <v>11.9275510597131</v>
      </c>
      <c r="AI6040">
        <v>95.143440949370003</v>
      </c>
      <c r="AJ6040">
        <v>103.891935078125</v>
      </c>
      <c r="AK6040">
        <v>12.336615408015</v>
      </c>
    </row>
    <row r="6041" spans="1:37" x14ac:dyDescent="0.2">
      <c r="A6041" t="str">
        <f>"20200111160020032"</f>
        <v>20200111160020032</v>
      </c>
      <c r="B6041" t="str">
        <f>"1578729620027359"</f>
        <v>1578729620027359</v>
      </c>
      <c r="C6041" t="s">
        <v>37</v>
      </c>
      <c r="D6041">
        <v>5.1502290000000004</v>
      </c>
      <c r="E6041">
        <v>0.46051540000000002</v>
      </c>
      <c r="F6041" t="s">
        <v>75</v>
      </c>
      <c r="G6041">
        <v>-205.21080000000001</v>
      </c>
      <c r="H6041" s="1">
        <v>-3.9479809999999998E-6</v>
      </c>
      <c r="I6041">
        <v>-56.280439999999999</v>
      </c>
      <c r="J6041">
        <v>-217.07560000000001</v>
      </c>
      <c r="K6041">
        <v>1.1059589999999999</v>
      </c>
      <c r="L6041">
        <v>-59.861569999999901</v>
      </c>
      <c r="M6041">
        <v>0.99872450000000002</v>
      </c>
      <c r="N6041">
        <v>0</v>
      </c>
      <c r="O6041">
        <v>4.8332109999999998E-2</v>
      </c>
      <c r="P6041">
        <v>0.98344709999999902</v>
      </c>
      <c r="Q6041">
        <v>-2.9264970000000001E-3</v>
      </c>
      <c r="R6041">
        <v>0.18117230000000001</v>
      </c>
      <c r="S6041">
        <v>2.8910369999999999</v>
      </c>
      <c r="T6041">
        <v>-0.26686870000000001</v>
      </c>
      <c r="U6041">
        <v>0.86578369999999905</v>
      </c>
      <c r="V6041">
        <v>-0.1334632</v>
      </c>
      <c r="W6041">
        <v>1.1091780000000001E-2</v>
      </c>
      <c r="X6041">
        <v>0.99099169999999903</v>
      </c>
      <c r="Y6041">
        <v>-0.2394994</v>
      </c>
      <c r="Z6041">
        <v>6.4466100000000002E-3</v>
      </c>
      <c r="AA6041">
        <v>0.97087509999999999</v>
      </c>
      <c r="AB6041">
        <v>22</v>
      </c>
      <c r="AC6041">
        <v>11.864800000000001</v>
      </c>
      <c r="AD6041">
        <v>-1.10596294798099</v>
      </c>
      <c r="AE6041">
        <v>3.5811299999999799</v>
      </c>
      <c r="AF6041">
        <v>-2.97970348879221</v>
      </c>
      <c r="AG6041">
        <v>-1.10596294798099</v>
      </c>
      <c r="AH6041">
        <v>11.9290378550899</v>
      </c>
      <c r="AI6041">
        <v>95.139821661950194</v>
      </c>
      <c r="AJ6041">
        <v>104.024688552662</v>
      </c>
      <c r="AK6041">
        <v>12.345190604911499</v>
      </c>
    </row>
    <row r="6042" spans="1:37" x14ac:dyDescent="0.2">
      <c r="A6042" t="str">
        <f>"20200111160020043"</f>
        <v>20200111160020043</v>
      </c>
      <c r="B6042" t="str">
        <f>"1578729620037119"</f>
        <v>1578729620037119</v>
      </c>
      <c r="C6042" t="s">
        <v>37</v>
      </c>
      <c r="D6042">
        <v>4.8914849999999896</v>
      </c>
      <c r="E6042">
        <v>0.460503</v>
      </c>
      <c r="F6042" t="s">
        <v>75</v>
      </c>
      <c r="G6042">
        <v>-204.14949999999999</v>
      </c>
      <c r="H6042" s="1">
        <v>-4.5615170000000001E-6</v>
      </c>
      <c r="I6042">
        <v>-55.994880000000002</v>
      </c>
      <c r="J6042">
        <v>-216.95869999999999</v>
      </c>
      <c r="K6042">
        <v>1.105947</v>
      </c>
      <c r="L6042">
        <v>-59.854550000000003</v>
      </c>
      <c r="M6042">
        <v>0.99866489999999997</v>
      </c>
      <c r="N6042">
        <v>0</v>
      </c>
      <c r="O6042">
        <v>4.9549610000000001E-2</v>
      </c>
      <c r="P6042">
        <v>0.9829601</v>
      </c>
      <c r="Q6042">
        <v>-2.798554E-3</v>
      </c>
      <c r="R6042">
        <v>0.18379909999999999</v>
      </c>
      <c r="S6042">
        <v>2.8904719999999999</v>
      </c>
      <c r="T6042">
        <v>-0.24731149999999999</v>
      </c>
      <c r="U6042">
        <v>0.86465449999999999</v>
      </c>
      <c r="V6042">
        <v>-0.13490269999999999</v>
      </c>
      <c r="W6042">
        <v>1.121432E-2</v>
      </c>
      <c r="X6042">
        <v>0.99079539999999999</v>
      </c>
      <c r="Y6042">
        <v>-0.23813289999999901</v>
      </c>
      <c r="Z6042">
        <v>5.8188519999999898E-3</v>
      </c>
      <c r="AA6042">
        <v>0.9712151</v>
      </c>
      <c r="AB6042">
        <v>22</v>
      </c>
      <c r="AC6042">
        <v>12.809200000000001</v>
      </c>
      <c r="AD6042">
        <v>-1.1059515615169999</v>
      </c>
      <c r="AE6042">
        <v>3.8596699999999999</v>
      </c>
      <c r="AF6042">
        <v>-3.19831167190687</v>
      </c>
      <c r="AG6042">
        <v>-1.1059515615169999</v>
      </c>
      <c r="AH6042">
        <v>12.896590732039501</v>
      </c>
      <c r="AI6042">
        <v>94.757988876979098</v>
      </c>
      <c r="AJ6042">
        <v>103.92816268433801</v>
      </c>
      <c r="AK6042">
        <v>13.333205875437599</v>
      </c>
    </row>
    <row r="6043" spans="1:37" x14ac:dyDescent="0.2">
      <c r="A6043" t="str">
        <f>"20200111160020054"</f>
        <v>20200111160020054</v>
      </c>
      <c r="B6043" t="str">
        <f>"1578729620046879"</f>
        <v>1578729620046879</v>
      </c>
      <c r="C6043" t="s">
        <v>37</v>
      </c>
      <c r="D6043">
        <v>4.9146070000000002</v>
      </c>
      <c r="E6043">
        <v>0.46071129999999999</v>
      </c>
      <c r="F6043" t="s">
        <v>75</v>
      </c>
      <c r="G6043">
        <v>-204.03649999999999</v>
      </c>
      <c r="H6043" s="1">
        <v>-4.628628E-6</v>
      </c>
      <c r="I6043">
        <v>-55.951859999999897</v>
      </c>
      <c r="J6043">
        <v>-216.85669999999999</v>
      </c>
      <c r="K6043">
        <v>1.1059379999999901</v>
      </c>
      <c r="L6043">
        <v>-59.8482699999999</v>
      </c>
      <c r="M6043">
        <v>0.9986119</v>
      </c>
      <c r="N6043">
        <v>0</v>
      </c>
      <c r="O6043">
        <v>5.0605160000000003E-2</v>
      </c>
      <c r="P6043">
        <v>0.98244200000000004</v>
      </c>
      <c r="Q6043">
        <v>-2.6361329999999902E-3</v>
      </c>
      <c r="R6043">
        <v>0.18655060000000001</v>
      </c>
      <c r="S6043">
        <v>2.8881990000000002</v>
      </c>
      <c r="T6043">
        <v>-0.24718889999999999</v>
      </c>
      <c r="U6043">
        <v>0.8722839</v>
      </c>
      <c r="V6043">
        <v>-0.13662949999999999</v>
      </c>
      <c r="W6043">
        <v>1.136881E-2</v>
      </c>
      <c r="X6043">
        <v>0.99055700000000002</v>
      </c>
      <c r="Y6043">
        <v>-0.23966759999999901</v>
      </c>
      <c r="Z6043">
        <v>5.79457699999999E-3</v>
      </c>
      <c r="AA6043">
        <v>0.97083770000000003</v>
      </c>
      <c r="AB6043">
        <v>22</v>
      </c>
      <c r="AC6043">
        <v>12.8202</v>
      </c>
      <c r="AD6043">
        <v>-1.1059426286280001</v>
      </c>
      <c r="AE6043">
        <v>3.8964099999999902</v>
      </c>
      <c r="AF6043">
        <v>-3.2206385796685701</v>
      </c>
      <c r="AG6043">
        <v>-1.1059426286280001</v>
      </c>
      <c r="AH6043">
        <v>12.9130004236979</v>
      </c>
      <c r="AI6043">
        <v>94.750365827560103</v>
      </c>
      <c r="AJ6043">
        <v>104.00445288645</v>
      </c>
      <c r="AK6043">
        <v>13.354445024076799</v>
      </c>
    </row>
    <row r="6044" spans="1:37" x14ac:dyDescent="0.2">
      <c r="A6044" t="str">
        <f>"20200111160020065"</f>
        <v>20200111160020065</v>
      </c>
      <c r="B6044" t="str">
        <f>"1578729620056638"</f>
        <v>1578729620056638</v>
      </c>
      <c r="C6044" t="s">
        <v>37</v>
      </c>
      <c r="D6044">
        <v>5.0678679999999998</v>
      </c>
      <c r="E6044">
        <v>0.46147440000000001</v>
      </c>
      <c r="F6044" t="s">
        <v>75</v>
      </c>
      <c r="G6044">
        <v>-203.8903</v>
      </c>
      <c r="H6044" s="1">
        <v>-4.7144530000000001E-6</v>
      </c>
      <c r="I6044">
        <v>-55.900829999999999</v>
      </c>
      <c r="J6044">
        <v>-216.7465</v>
      </c>
      <c r="K6044">
        <v>1.1059299999999901</v>
      </c>
      <c r="L6044">
        <v>-59.841430000000003</v>
      </c>
      <c r="M6044">
        <v>0.99855360000000004</v>
      </c>
      <c r="N6044">
        <v>0</v>
      </c>
      <c r="O6044">
        <v>5.1744140000000001E-2</v>
      </c>
      <c r="P6044">
        <v>0.98187619999999898</v>
      </c>
      <c r="Q6044">
        <v>-2.4949310000000001E-3</v>
      </c>
      <c r="R6044">
        <v>0.18950739999999999</v>
      </c>
      <c r="S6044">
        <v>2.8860929999999998</v>
      </c>
      <c r="T6044">
        <v>-0.24616370000000001</v>
      </c>
      <c r="U6044">
        <v>0.87863159999999896</v>
      </c>
      <c r="V6044">
        <v>-0.1384821</v>
      </c>
      <c r="W6044">
        <v>1.150136E-2</v>
      </c>
      <c r="X6044">
        <v>0.99029820000000002</v>
      </c>
      <c r="Y6044">
        <v>-0.24071689999999901</v>
      </c>
      <c r="Z6044">
        <v>5.7221980000000004E-3</v>
      </c>
      <c r="AA6044">
        <v>0.97057850000000001</v>
      </c>
      <c r="AB6044">
        <v>22</v>
      </c>
      <c r="AC6044">
        <v>12.856199999999999</v>
      </c>
      <c r="AD6044">
        <v>-1.1059347144529901</v>
      </c>
      <c r="AE6044">
        <v>3.9405999999999901</v>
      </c>
      <c r="AF6044">
        <v>-3.2480445760707402</v>
      </c>
      <c r="AG6044">
        <v>-1.1059347144529901</v>
      </c>
      <c r="AH6044">
        <v>12.9552625942231</v>
      </c>
      <c r="AI6044">
        <v>94.733462358689593</v>
      </c>
      <c r="AJ6044">
        <v>104.07465183598001</v>
      </c>
      <c r="AK6044">
        <v>13.401929489668699</v>
      </c>
    </row>
    <row r="6045" spans="1:37" x14ac:dyDescent="0.2">
      <c r="A6045" t="str">
        <f>"20200111160020075"</f>
        <v>20200111160020075</v>
      </c>
      <c r="B6045" t="str">
        <f>"1578729620067374"</f>
        <v>1578729620067374</v>
      </c>
      <c r="C6045" t="s">
        <v>37</v>
      </c>
      <c r="D6045">
        <v>5.1732860000000001</v>
      </c>
      <c r="E6045">
        <v>0.46253179999999999</v>
      </c>
      <c r="F6045" t="s">
        <v>75</v>
      </c>
      <c r="G6045">
        <v>-203.5136</v>
      </c>
      <c r="H6045" s="1">
        <v>-4.9287369999999901E-6</v>
      </c>
      <c r="I6045">
        <v>-55.800139999999999</v>
      </c>
      <c r="J6045">
        <v>-216.64279999999999</v>
      </c>
      <c r="K6045">
        <v>1.1059209999999999</v>
      </c>
      <c r="L6045">
        <v>-59.83484</v>
      </c>
      <c r="M6045">
        <v>0.99849769999999904</v>
      </c>
      <c r="N6045">
        <v>0</v>
      </c>
      <c r="O6045">
        <v>5.2811690000000001E-2</v>
      </c>
      <c r="P6045">
        <v>0.98131689999999905</v>
      </c>
      <c r="Q6045">
        <v>-1.9958599999999999E-3</v>
      </c>
      <c r="R6045">
        <v>0.1923888</v>
      </c>
      <c r="S6045">
        <v>2.8847200000000002</v>
      </c>
      <c r="T6045">
        <v>-0.24108840000000001</v>
      </c>
      <c r="U6045">
        <v>0.88098140000000003</v>
      </c>
      <c r="V6045">
        <v>-0.14033109999999999</v>
      </c>
      <c r="W6045">
        <v>1.199104E-2</v>
      </c>
      <c r="X6045">
        <v>0.99003200000000002</v>
      </c>
      <c r="Y6045">
        <v>-0.24056050000000001</v>
      </c>
      <c r="Z6045">
        <v>5.5134789999999999E-3</v>
      </c>
      <c r="AA6045">
        <v>0.97061849999999905</v>
      </c>
      <c r="AB6045">
        <v>22</v>
      </c>
      <c r="AC6045">
        <v>13.1291999999999</v>
      </c>
      <c r="AD6045">
        <v>-1.105925928737</v>
      </c>
      <c r="AE6045">
        <v>4.0347</v>
      </c>
      <c r="AF6045">
        <v>-3.3141331971137298</v>
      </c>
      <c r="AG6045">
        <v>-1.105925928737</v>
      </c>
      <c r="AH6045">
        <v>13.238151592302099</v>
      </c>
      <c r="AI6045">
        <v>94.633117533932605</v>
      </c>
      <c r="AJ6045">
        <v>104.054960829774</v>
      </c>
      <c r="AK6045">
        <v>13.6914282888541</v>
      </c>
    </row>
    <row r="6046" spans="1:37" x14ac:dyDescent="0.2">
      <c r="A6046" t="str">
        <f>"20200111160020086"</f>
        <v>20200111160020086</v>
      </c>
      <c r="B6046" t="str">
        <f>"1578729620077134"</f>
        <v>1578729620077134</v>
      </c>
      <c r="C6046" t="s">
        <v>37</v>
      </c>
      <c r="D6046">
        <v>4.8762619999999997</v>
      </c>
      <c r="E6046">
        <v>0.4632231</v>
      </c>
      <c r="F6046" t="s">
        <v>75</v>
      </c>
      <c r="G6046">
        <v>-202.7056</v>
      </c>
      <c r="H6046" s="1">
        <v>-5.3891459999999998E-6</v>
      </c>
      <c r="I6046">
        <v>-55.580289999999998</v>
      </c>
      <c r="J6046">
        <v>-216.53649999999999</v>
      </c>
      <c r="K6046">
        <v>1.105915</v>
      </c>
      <c r="L6046">
        <v>-59.827969999999901</v>
      </c>
      <c r="M6046">
        <v>0.99843919999999997</v>
      </c>
      <c r="N6046">
        <v>0</v>
      </c>
      <c r="O6046">
        <v>5.3906599999999999E-2</v>
      </c>
      <c r="P6046">
        <v>0.9807323</v>
      </c>
      <c r="Q6046">
        <v>-1.6076789999999899E-3</v>
      </c>
      <c r="R6046">
        <v>0.19535050000000001</v>
      </c>
      <c r="S6046">
        <v>2.8840479999999999</v>
      </c>
      <c r="T6046">
        <v>-0.22885140000000001</v>
      </c>
      <c r="U6046">
        <v>0.88040160000000001</v>
      </c>
      <c r="V6046">
        <v>-0.14223549999999999</v>
      </c>
      <c r="W6046">
        <v>1.2369140000000001E-2</v>
      </c>
      <c r="X6046">
        <v>0.98975559999999996</v>
      </c>
      <c r="Y6046">
        <v>-0.23944570000000001</v>
      </c>
      <c r="Z6046">
        <v>5.1081959999999997E-3</v>
      </c>
      <c r="AA6046">
        <v>0.97089629999999905</v>
      </c>
      <c r="AB6046">
        <v>22</v>
      </c>
      <c r="AC6046">
        <v>13.8308999999999</v>
      </c>
      <c r="AD6046">
        <v>-1.1059203891460001</v>
      </c>
      <c r="AE6046">
        <v>4.2476799999999804</v>
      </c>
      <c r="AF6046">
        <v>-3.4755401533330401</v>
      </c>
      <c r="AG6046">
        <v>-1.1059203891460001</v>
      </c>
      <c r="AH6046">
        <v>13.958236013459199</v>
      </c>
      <c r="AI6046">
        <v>94.396432555356299</v>
      </c>
      <c r="AJ6046">
        <v>103.982071070041</v>
      </c>
      <c r="AK6046">
        <v>14.426877412385201</v>
      </c>
    </row>
    <row r="6047" spans="1:37" x14ac:dyDescent="0.2">
      <c r="A6047" t="str">
        <f>"20200111160020097"</f>
        <v>20200111160020097</v>
      </c>
      <c r="B6047" t="str">
        <f>"1578729620086895"</f>
        <v>1578729620086895</v>
      </c>
      <c r="C6047" t="s">
        <v>37</v>
      </c>
      <c r="D6047">
        <v>5.0522879999999999</v>
      </c>
      <c r="E6047">
        <v>0.46396209999999999</v>
      </c>
      <c r="F6047" t="s">
        <v>75</v>
      </c>
      <c r="G6047">
        <v>-202.298</v>
      </c>
      <c r="H6047" s="1">
        <v>-5.60686699999999E-6</v>
      </c>
      <c r="I6047">
        <v>-55.464659999999903</v>
      </c>
      <c r="J6047">
        <v>-216.42490000000001</v>
      </c>
      <c r="K6047">
        <v>1.1059060000000001</v>
      </c>
      <c r="L6047">
        <v>-59.820619999999998</v>
      </c>
      <c r="M6047">
        <v>0.998376499999999</v>
      </c>
      <c r="N6047">
        <v>0</v>
      </c>
      <c r="O6047">
        <v>5.5053610000000003E-2</v>
      </c>
      <c r="P6047">
        <v>0.98012219999999906</v>
      </c>
      <c r="Q6047">
        <v>-1.146663E-3</v>
      </c>
      <c r="R6047">
        <v>0.19839189999999901</v>
      </c>
      <c r="S6047">
        <v>2.8826139999999998</v>
      </c>
      <c r="T6047">
        <v>-0.22389600000000001</v>
      </c>
      <c r="U6047">
        <v>0.88336179999999997</v>
      </c>
      <c r="V6047">
        <v>-0.1441704</v>
      </c>
      <c r="W6047">
        <v>1.281972E-2</v>
      </c>
      <c r="X6047">
        <v>0.98946979999999995</v>
      </c>
      <c r="Y6047">
        <v>-0.239402799999999</v>
      </c>
      <c r="Z6047">
        <v>4.911416E-3</v>
      </c>
      <c r="AA6047">
        <v>0.97090789999999905</v>
      </c>
      <c r="AB6047">
        <v>22</v>
      </c>
      <c r="AC6047">
        <v>14.126899999999999</v>
      </c>
      <c r="AD6047">
        <v>-1.1059116068670001</v>
      </c>
      <c r="AE6047">
        <v>4.3559599999999996</v>
      </c>
      <c r="AF6047">
        <v>-3.5516562676097401</v>
      </c>
      <c r="AG6047">
        <v>-1.1059116068670001</v>
      </c>
      <c r="AH6047">
        <v>14.265473330758301</v>
      </c>
      <c r="AI6047">
        <v>94.302098460763403</v>
      </c>
      <c r="AJ6047">
        <v>103.980616369507</v>
      </c>
      <c r="AK6047">
        <v>14.7424907012361</v>
      </c>
    </row>
    <row r="6048" spans="1:37" x14ac:dyDescent="0.2">
      <c r="A6048" t="str">
        <f>"20200111160020109"</f>
        <v>20200111160020109</v>
      </c>
      <c r="B6048" t="str">
        <f>"1578729620107390"</f>
        <v>1578729620107390</v>
      </c>
      <c r="C6048" t="s">
        <v>37</v>
      </c>
      <c r="D6048">
        <v>4.9295819999999999</v>
      </c>
      <c r="E6048">
        <v>0.46431889999999998</v>
      </c>
      <c r="F6048" t="s">
        <v>75</v>
      </c>
      <c r="G6048">
        <v>-201.88130000000001</v>
      </c>
      <c r="H6048" s="1">
        <v>-5.7828739999999999E-6</v>
      </c>
      <c r="I6048">
        <v>-55.347290000000001</v>
      </c>
      <c r="J6048">
        <v>-216.3151</v>
      </c>
      <c r="K6048">
        <v>1.105904</v>
      </c>
      <c r="L6048">
        <v>-59.81326</v>
      </c>
      <c r="M6048">
        <v>0.99831380000000003</v>
      </c>
      <c r="N6048">
        <v>0</v>
      </c>
      <c r="O6048">
        <v>5.6182459999999997E-2</v>
      </c>
      <c r="P6048">
        <v>0.97950459999999995</v>
      </c>
      <c r="Q6048">
        <v>-8.8364439999999997E-4</v>
      </c>
      <c r="R6048">
        <v>0.20142009999999999</v>
      </c>
      <c r="S6048">
        <v>2.881195</v>
      </c>
      <c r="T6048">
        <v>-0.219089799999999</v>
      </c>
      <c r="U6048">
        <v>0.88619999999999999</v>
      </c>
      <c r="V6048">
        <v>-0.1461093</v>
      </c>
      <c r="W6048">
        <v>1.3071940000000001E-2</v>
      </c>
      <c r="X6048">
        <v>0.98918209999999995</v>
      </c>
      <c r="Y6048">
        <v>-0.23933739999999901</v>
      </c>
      <c r="Z6048">
        <v>4.7221059999999898E-3</v>
      </c>
      <c r="AA6048">
        <v>0.97092500000000004</v>
      </c>
      <c r="AB6048">
        <v>22</v>
      </c>
      <c r="AC6048">
        <v>14.4337999999999</v>
      </c>
      <c r="AD6048">
        <v>-1.1059097828740001</v>
      </c>
      <c r="AE6048">
        <v>4.4659699999999898</v>
      </c>
      <c r="AF6048">
        <v>-3.6284618247292402</v>
      </c>
      <c r="AG6048">
        <v>-1.1059097828740001</v>
      </c>
      <c r="AH6048">
        <v>14.583798565650399</v>
      </c>
      <c r="AI6048">
        <v>94.208694339070604</v>
      </c>
      <c r="AJ6048">
        <v>103.97156183185299</v>
      </c>
      <c r="AK6048">
        <v>15.069039526952</v>
      </c>
    </row>
    <row r="6049" spans="1:37" x14ac:dyDescent="0.2">
      <c r="A6049" t="str">
        <f>"20200111160020124"</f>
        <v>20200111160020124</v>
      </c>
      <c r="B6049" t="str">
        <f>"1578729620117152"</f>
        <v>1578729620117152</v>
      </c>
      <c r="C6049" t="s">
        <v>37</v>
      </c>
      <c r="D6049">
        <v>4.9854659999999997</v>
      </c>
      <c r="E6049">
        <v>0.46464259999999902</v>
      </c>
      <c r="F6049" t="s">
        <v>75</v>
      </c>
      <c r="G6049">
        <v>-201.8168</v>
      </c>
      <c r="H6049" s="1">
        <v>-5.81154599999999E-6</v>
      </c>
      <c r="I6049">
        <v>-55.320050000000002</v>
      </c>
      <c r="J6049">
        <v>-216.15620000000001</v>
      </c>
      <c r="K6049">
        <v>1.105898</v>
      </c>
      <c r="L6049">
        <v>-59.802459999999897</v>
      </c>
      <c r="M6049">
        <v>0.99822040000000001</v>
      </c>
      <c r="N6049">
        <v>0</v>
      </c>
      <c r="O6049">
        <v>5.7818090000000003E-2</v>
      </c>
      <c r="P6049">
        <v>0.97876939999999901</v>
      </c>
      <c r="Q6049">
        <v>-4.6929159999999998E-4</v>
      </c>
      <c r="R6049">
        <v>0.20496449999999999</v>
      </c>
      <c r="S6049">
        <v>2.879105</v>
      </c>
      <c r="T6049">
        <v>-0.21961439999999999</v>
      </c>
      <c r="U6049">
        <v>0.89227289999999904</v>
      </c>
      <c r="V6049">
        <v>-0.14807089999999901</v>
      </c>
      <c r="W6049">
        <v>1.347484E-2</v>
      </c>
      <c r="X6049">
        <v>0.98888489999999996</v>
      </c>
      <c r="Y6049">
        <v>-0.2398149</v>
      </c>
      <c r="Z6049">
        <v>4.6319780000000001E-3</v>
      </c>
      <c r="AA6049">
        <v>0.97080759999999899</v>
      </c>
      <c r="AB6049">
        <v>22</v>
      </c>
      <c r="AC6049">
        <v>14.339399999999999</v>
      </c>
      <c r="AD6049">
        <v>-1.105903811546</v>
      </c>
      <c r="AE6049">
        <v>4.48240999999999</v>
      </c>
      <c r="AF6049">
        <v>-3.62609667166477</v>
      </c>
      <c r="AG6049">
        <v>-1.105903811546</v>
      </c>
      <c r="AH6049">
        <v>14.4960514136553</v>
      </c>
      <c r="AI6049">
        <v>94.232724875073501</v>
      </c>
      <c r="AJ6049">
        <v>104.043995028026</v>
      </c>
      <c r="AK6049">
        <v>14.9835612222191</v>
      </c>
    </row>
    <row r="6050" spans="1:37" x14ac:dyDescent="0.2">
      <c r="A6050" t="str">
        <f>"20200111160020137"</f>
        <v>20200111160020137</v>
      </c>
      <c r="B6050" t="str">
        <f>"1578729620126911"</f>
        <v>1578729620126911</v>
      </c>
      <c r="C6050" t="s">
        <v>37</v>
      </c>
      <c r="D6050">
        <v>4.9399839999999999</v>
      </c>
      <c r="E6050">
        <v>0.46497539999999998</v>
      </c>
      <c r="F6050" t="s">
        <v>75</v>
      </c>
      <c r="G6050">
        <v>-201.6138</v>
      </c>
      <c r="H6050" s="1">
        <v>-5.8989749999999997E-6</v>
      </c>
      <c r="I6050">
        <v>-55.252319999999997</v>
      </c>
      <c r="J6050">
        <v>-216.03450000000001</v>
      </c>
      <c r="K6050">
        <v>1.1058969999999999</v>
      </c>
      <c r="L6050">
        <v>-59.793909999999997</v>
      </c>
      <c r="M6050">
        <v>0.9981468</v>
      </c>
      <c r="N6050">
        <v>0</v>
      </c>
      <c r="O6050">
        <v>5.9075120000000002E-2</v>
      </c>
      <c r="P6050">
        <v>0.97807789999999994</v>
      </c>
      <c r="Q6050" s="1">
        <v>-9.7891319999999997E-5</v>
      </c>
      <c r="R6050">
        <v>0.208239799999999</v>
      </c>
      <c r="S6050">
        <v>2.8765109999999998</v>
      </c>
      <c r="T6050">
        <v>-0.21874930000000001</v>
      </c>
      <c r="U6050">
        <v>0.90002439999999995</v>
      </c>
      <c r="V6050">
        <v>-0.15013650000000001</v>
      </c>
      <c r="W6050">
        <v>1.383386E-2</v>
      </c>
      <c r="X6050">
        <v>0.98856849999999996</v>
      </c>
      <c r="Y6050">
        <v>-0.24122750000000001</v>
      </c>
      <c r="Z6050">
        <v>4.5757009999999997E-3</v>
      </c>
      <c r="AA6050">
        <v>0.97045780000000004</v>
      </c>
      <c r="AB6050">
        <v>22</v>
      </c>
      <c r="AC6050">
        <v>14.4207</v>
      </c>
      <c r="AD6050">
        <v>-1.1059028989749999</v>
      </c>
      <c r="AE6050">
        <v>4.5415899999999896</v>
      </c>
      <c r="AF6050">
        <v>-3.6620675067878601</v>
      </c>
      <c r="AG6050">
        <v>-1.1059028989749999</v>
      </c>
      <c r="AH6050">
        <v>14.585792381477299</v>
      </c>
      <c r="AI6050">
        <v>94.205856560967902</v>
      </c>
      <c r="AJ6050">
        <v>104.093975755888</v>
      </c>
      <c r="AK6050">
        <v>15.0790947686456</v>
      </c>
    </row>
    <row r="6051" spans="1:37" x14ac:dyDescent="0.2">
      <c r="A6051" t="str">
        <f>"20200111160020150"</f>
        <v>20200111160020150</v>
      </c>
      <c r="B6051" t="str">
        <f>"1578729620147406"</f>
        <v>1578729620147406</v>
      </c>
      <c r="C6051" t="s">
        <v>37</v>
      </c>
      <c r="D6051">
        <v>4.9253669999999996</v>
      </c>
      <c r="E6051">
        <v>0.46596349999999997</v>
      </c>
      <c r="F6051" t="s">
        <v>75</v>
      </c>
      <c r="G6051">
        <v>-201.47309999999999</v>
      </c>
      <c r="H6051" s="1">
        <v>-5.9606659999999999E-6</v>
      </c>
      <c r="I6051">
        <v>-55.198300000000003</v>
      </c>
      <c r="J6051">
        <v>-215.91749999999999</v>
      </c>
      <c r="K6051">
        <v>1.105899</v>
      </c>
      <c r="L6051">
        <v>-59.785640000000001</v>
      </c>
      <c r="M6051">
        <v>0.99807459999999903</v>
      </c>
      <c r="N6051">
        <v>0</v>
      </c>
      <c r="O6051">
        <v>6.0286270000000003E-2</v>
      </c>
      <c r="P6051">
        <v>0.97735839999999996</v>
      </c>
      <c r="Q6051" s="1">
        <v>-2.1960589999999899E-5</v>
      </c>
      <c r="R6051">
        <v>0.211590999999999</v>
      </c>
      <c r="S6051">
        <v>2.8740999999999999</v>
      </c>
      <c r="T6051">
        <v>-0.21828069999999999</v>
      </c>
      <c r="U6051">
        <v>0.90707399999999905</v>
      </c>
      <c r="V6051">
        <v>-0.15232560000000001</v>
      </c>
      <c r="W6051">
        <v>1.389584E-2</v>
      </c>
      <c r="X6051">
        <v>0.98823269999999996</v>
      </c>
      <c r="Y6051">
        <v>-0.24244979999999999</v>
      </c>
      <c r="Z6051">
        <v>4.5241109999999999E-3</v>
      </c>
      <c r="AA6051">
        <v>0.97015339999999906</v>
      </c>
      <c r="AB6051">
        <v>22</v>
      </c>
      <c r="AC6051">
        <v>14.4444</v>
      </c>
      <c r="AD6051">
        <v>-1.1059049606659901</v>
      </c>
      <c r="AE6051">
        <v>4.5873399999999904</v>
      </c>
      <c r="AF6051">
        <v>-3.6884624744222601</v>
      </c>
      <c r="AG6051">
        <v>-1.1059049606659901</v>
      </c>
      <c r="AH6051">
        <v>14.6168728528469</v>
      </c>
      <c r="AI6051">
        <v>94.195694354046594</v>
      </c>
      <c r="AJ6051">
        <v>104.162509631727</v>
      </c>
      <c r="AK6051">
        <v>15.115579816981599</v>
      </c>
    </row>
    <row r="6052" spans="1:37" x14ac:dyDescent="0.2">
      <c r="A6052" t="str">
        <f>"20200111160020164"</f>
        <v>20200111160020164</v>
      </c>
      <c r="B6052" t="str">
        <f>"1578729620157166"</f>
        <v>1578729620157166</v>
      </c>
      <c r="C6052" t="s">
        <v>37</v>
      </c>
      <c r="D6052">
        <v>5.0317559999999997</v>
      </c>
      <c r="E6052">
        <v>0.4663233</v>
      </c>
      <c r="F6052" t="s">
        <v>75</v>
      </c>
      <c r="G6052">
        <v>-201.31460000000001</v>
      </c>
      <c r="H6052" s="1">
        <v>-6.0259950000000001E-6</v>
      </c>
      <c r="I6052">
        <v>-55.163959999999904</v>
      </c>
      <c r="J6052">
        <v>-215.76490000000001</v>
      </c>
      <c r="K6052">
        <v>1.105904</v>
      </c>
      <c r="L6052">
        <v>-59.7746</v>
      </c>
      <c r="M6052">
        <v>0.99797769999999997</v>
      </c>
      <c r="N6052">
        <v>0</v>
      </c>
      <c r="O6052">
        <v>6.1870059999999998E-2</v>
      </c>
      <c r="P6052">
        <v>0.97598490000000004</v>
      </c>
      <c r="Q6052">
        <v>7.7948160000000004E-4</v>
      </c>
      <c r="R6052">
        <v>0.21783730000000001</v>
      </c>
      <c r="S6052">
        <v>2.872681</v>
      </c>
      <c r="T6052">
        <v>-0.2175541</v>
      </c>
      <c r="U6052">
        <v>0.90917969999999904</v>
      </c>
      <c r="V6052">
        <v>-0.15707869999999999</v>
      </c>
      <c r="W6052">
        <v>1.4668240000000001E-2</v>
      </c>
      <c r="X6052">
        <v>0.98747719999999894</v>
      </c>
      <c r="Y6052">
        <v>-0.24170329999999901</v>
      </c>
      <c r="Z6052">
        <v>4.366974E-3</v>
      </c>
      <c r="AA6052">
        <v>0.97034039999999999</v>
      </c>
      <c r="AB6052">
        <v>22</v>
      </c>
      <c r="AC6052">
        <v>14.4503</v>
      </c>
      <c r="AD6052">
        <v>-1.1059100259950001</v>
      </c>
      <c r="AE6052">
        <v>4.6106400000000001</v>
      </c>
      <c r="AF6052">
        <v>-3.6880635580868302</v>
      </c>
      <c r="AG6052">
        <v>-1.1059100259950001</v>
      </c>
      <c r="AH6052">
        <v>14.630128229326001</v>
      </c>
      <c r="AI6052">
        <v>94.192179077383997</v>
      </c>
      <c r="AJ6052">
        <v>104.148724671469</v>
      </c>
      <c r="AK6052">
        <v>15.1283013521216</v>
      </c>
    </row>
    <row r="6053" spans="1:37" x14ac:dyDescent="0.2">
      <c r="A6053" t="str">
        <f>"20200111160020175"</f>
        <v>20200111160020175</v>
      </c>
      <c r="B6053" t="str">
        <f>"1578729620166928"</f>
        <v>1578729620166928</v>
      </c>
      <c r="C6053" t="s">
        <v>37</v>
      </c>
      <c r="D6053">
        <v>4.914466</v>
      </c>
      <c r="E6053">
        <v>0.46643970000000001</v>
      </c>
      <c r="F6053" t="s">
        <v>75</v>
      </c>
      <c r="G6053">
        <v>-201.01920000000001</v>
      </c>
      <c r="H6053" s="1">
        <v>-6.1604369999999897E-6</v>
      </c>
      <c r="I6053">
        <v>-55.01905</v>
      </c>
      <c r="J6053">
        <v>-215.654</v>
      </c>
      <c r="K6053">
        <v>1.105909</v>
      </c>
      <c r="L6053">
        <v>-59.766330000000004</v>
      </c>
      <c r="M6053">
        <v>0.99790509999999999</v>
      </c>
      <c r="N6053">
        <v>0</v>
      </c>
      <c r="O6053">
        <v>6.3031260000000006E-2</v>
      </c>
      <c r="P6053">
        <v>0.97520450000000003</v>
      </c>
      <c r="Q6053">
        <v>1.3857609999999999E-3</v>
      </c>
      <c r="R6053">
        <v>0.22130179999999999</v>
      </c>
      <c r="S6053">
        <v>2.8675839999999999</v>
      </c>
      <c r="T6053">
        <v>-0.215064899999999</v>
      </c>
      <c r="U6053">
        <v>0.92480469999999904</v>
      </c>
      <c r="V6053">
        <v>-0.15943869999999999</v>
      </c>
      <c r="W6053">
        <v>1.5258499999999999E-2</v>
      </c>
      <c r="X6053">
        <v>0.98708989999999996</v>
      </c>
      <c r="Y6053">
        <v>-0.24586729999999901</v>
      </c>
      <c r="Z6053">
        <v>4.38893099999999E-3</v>
      </c>
      <c r="AA6053">
        <v>0.96929349999999903</v>
      </c>
      <c r="AB6053">
        <v>22</v>
      </c>
      <c r="AC6053">
        <v>14.6348</v>
      </c>
      <c r="AD6053">
        <v>-1.1059151604370001</v>
      </c>
      <c r="AE6053">
        <v>4.7472799999999999</v>
      </c>
      <c r="AF6053">
        <v>-3.7956789595263101</v>
      </c>
      <c r="AG6053">
        <v>-1.1059151604370001</v>
      </c>
      <c r="AH6053">
        <v>14.8283374279853</v>
      </c>
      <c r="AI6053">
        <v>94.132535085314302</v>
      </c>
      <c r="AJ6053">
        <v>104.357975148309</v>
      </c>
      <c r="AK6053">
        <v>15.346329137095401</v>
      </c>
    </row>
    <row r="6054" spans="1:37" x14ac:dyDescent="0.2">
      <c r="A6054" t="str">
        <f>"20200111160020187"</f>
        <v>20200111160020187</v>
      </c>
      <c r="B6054" t="str">
        <f>"1578729620176686"</f>
        <v>1578729620176686</v>
      </c>
      <c r="C6054" t="s">
        <v>37</v>
      </c>
      <c r="D6054">
        <v>4.9696989999999897</v>
      </c>
      <c r="E6054">
        <v>0.46688570000000001</v>
      </c>
      <c r="F6054" t="s">
        <v>75</v>
      </c>
      <c r="G6054">
        <v>-200.9025</v>
      </c>
      <c r="H6054" s="1">
        <v>-6.214601E-6</v>
      </c>
      <c r="I6054">
        <v>-54.955019999999998</v>
      </c>
      <c r="J6054">
        <v>-215.5461</v>
      </c>
      <c r="K6054">
        <v>1.1059139999999901</v>
      </c>
      <c r="L6054">
        <v>-59.758269999999897</v>
      </c>
      <c r="M6054">
        <v>0.99783290000000002</v>
      </c>
      <c r="N6054">
        <v>0</v>
      </c>
      <c r="O6054">
        <v>6.4163730000000002E-2</v>
      </c>
      <c r="P6054">
        <v>0.97442299999999904</v>
      </c>
      <c r="Q6054">
        <v>2.1205270000000001E-3</v>
      </c>
      <c r="R6054">
        <v>0.22471250000000001</v>
      </c>
      <c r="S6054">
        <v>2.864563</v>
      </c>
      <c r="T6054">
        <v>-0.2147549</v>
      </c>
      <c r="U6054">
        <v>0.93429569999999995</v>
      </c>
      <c r="V6054">
        <v>-0.16177429999999901</v>
      </c>
      <c r="W6054">
        <v>1.5976529999999999E-2</v>
      </c>
      <c r="X6054">
        <v>0.98669839999999998</v>
      </c>
      <c r="Y6054">
        <v>-0.24796959999999901</v>
      </c>
      <c r="Z6054">
        <v>4.3795500000000003E-3</v>
      </c>
      <c r="AA6054">
        <v>0.96875789999999995</v>
      </c>
      <c r="AB6054">
        <v>22</v>
      </c>
      <c r="AC6054">
        <v>14.6435999999999</v>
      </c>
      <c r="AD6054">
        <v>-1.1059202146009901</v>
      </c>
      <c r="AE6054">
        <v>4.8032499999999896</v>
      </c>
      <c r="AF6054">
        <v>-3.8339192818554402</v>
      </c>
      <c r="AG6054">
        <v>-1.1059202146009901</v>
      </c>
      <c r="AH6054">
        <v>14.8451992670733</v>
      </c>
      <c r="AI6054">
        <v>94.125609700672697</v>
      </c>
      <c r="AJ6054">
        <v>104.48078785660699</v>
      </c>
      <c r="AK6054">
        <v>15.372115594802199</v>
      </c>
    </row>
    <row r="6055" spans="1:37" x14ac:dyDescent="0.2">
      <c r="A6055" t="str">
        <f>"20200111160020202"</f>
        <v>20200111160020202</v>
      </c>
      <c r="B6055" t="str">
        <f>"1578729620197182"</f>
        <v>1578729620197182</v>
      </c>
      <c r="C6055" t="s">
        <v>37</v>
      </c>
      <c r="D6055">
        <v>4.952801</v>
      </c>
      <c r="E6055">
        <v>0.467346599999999</v>
      </c>
      <c r="F6055" t="s">
        <v>75</v>
      </c>
      <c r="G6055">
        <v>-200.696</v>
      </c>
      <c r="H6055" s="1">
        <v>-6.3049119999999999E-6</v>
      </c>
      <c r="I6055">
        <v>-54.87715</v>
      </c>
      <c r="J6055">
        <v>-215.399</v>
      </c>
      <c r="K6055">
        <v>1.1059139999999901</v>
      </c>
      <c r="L6055">
        <v>-59.747009999999896</v>
      </c>
      <c r="M6055">
        <v>0.9977319</v>
      </c>
      <c r="N6055">
        <v>0</v>
      </c>
      <c r="O6055">
        <v>6.571697E-2</v>
      </c>
      <c r="P6055">
        <v>0.97348780000000001</v>
      </c>
      <c r="Q6055">
        <v>2.701279E-3</v>
      </c>
      <c r="R6055">
        <v>0.2287236</v>
      </c>
      <c r="S6055">
        <v>2.862228</v>
      </c>
      <c r="T6055">
        <v>-0.21315719999999999</v>
      </c>
      <c r="U6055">
        <v>0.94079590000000002</v>
      </c>
      <c r="V6055">
        <v>-0.1643039</v>
      </c>
      <c r="W6055">
        <v>1.6538170000000001E-2</v>
      </c>
      <c r="X6055">
        <v>0.98627109999999996</v>
      </c>
      <c r="Y6055">
        <v>-0.2486901</v>
      </c>
      <c r="Z6055">
        <v>4.2633000000000002E-3</v>
      </c>
      <c r="AA6055">
        <v>0.96857369999999898</v>
      </c>
      <c r="AB6055">
        <v>22</v>
      </c>
      <c r="AC6055">
        <v>14.702999999999999</v>
      </c>
      <c r="AD6055">
        <v>-1.1059203049120001</v>
      </c>
      <c r="AE6055">
        <v>4.8698599999999903</v>
      </c>
      <c r="AF6055">
        <v>-3.8732442791521402</v>
      </c>
      <c r="AG6055">
        <v>-1.1059203049120001</v>
      </c>
      <c r="AH6055">
        <v>14.915233323474</v>
      </c>
      <c r="AI6055">
        <v>94.104890824037298</v>
      </c>
      <c r="AJ6055">
        <v>104.557244445371</v>
      </c>
      <c r="AK6055">
        <v>15.449571711231</v>
      </c>
    </row>
    <row r="6056" spans="1:37" x14ac:dyDescent="0.2">
      <c r="A6056" t="str">
        <f>"20200111160020214"</f>
        <v>20200111160020214</v>
      </c>
      <c r="B6056" t="str">
        <f>"1578729620206942"</f>
        <v>1578729620206942</v>
      </c>
      <c r="C6056" t="s">
        <v>37</v>
      </c>
      <c r="D6056">
        <v>5.0219760000000004</v>
      </c>
      <c r="E6056">
        <v>0.46780690000000003</v>
      </c>
      <c r="F6056" t="s">
        <v>75</v>
      </c>
      <c r="G6056">
        <v>-200.7413</v>
      </c>
      <c r="H6056" s="1">
        <v>-6.2871920000000003E-6</v>
      </c>
      <c r="I6056">
        <v>-54.880839999999999</v>
      </c>
      <c r="J6056">
        <v>-215.28450000000001</v>
      </c>
      <c r="K6056">
        <v>1.1059219999999901</v>
      </c>
      <c r="L6056">
        <v>-59.738039999999998</v>
      </c>
      <c r="M6056">
        <v>0.99765099999999995</v>
      </c>
      <c r="N6056">
        <v>0</v>
      </c>
      <c r="O6056">
        <v>6.6934359999999998E-2</v>
      </c>
      <c r="P6056">
        <v>0.97266969999999997</v>
      </c>
      <c r="Q6056">
        <v>3.2279209999999999E-3</v>
      </c>
      <c r="R6056">
        <v>0.2321714</v>
      </c>
      <c r="S6056">
        <v>2.859283</v>
      </c>
      <c r="T6056">
        <v>-0.21573289999999901</v>
      </c>
      <c r="U6056">
        <v>0.94924929999999996</v>
      </c>
      <c r="V6056">
        <v>-0.16659669999999999</v>
      </c>
      <c r="W6056">
        <v>1.7047360000000001E-2</v>
      </c>
      <c r="X6056">
        <v>0.98587780000000003</v>
      </c>
      <c r="Y6056">
        <v>-0.25037289999999901</v>
      </c>
      <c r="Z6056">
        <v>4.2900880000000001E-3</v>
      </c>
      <c r="AA6056">
        <v>0.96813989999999905</v>
      </c>
      <c r="AB6056">
        <v>22</v>
      </c>
      <c r="AC6056">
        <v>14.543200000000001</v>
      </c>
      <c r="AD6056">
        <v>-1.10592828719199</v>
      </c>
      <c r="AE6056">
        <v>4.8571999999999997</v>
      </c>
      <c r="AF6056">
        <v>-3.8527181978081302</v>
      </c>
      <c r="AG6056">
        <v>-1.10592828719199</v>
      </c>
      <c r="AH6056">
        <v>14.7589438376922</v>
      </c>
      <c r="AI6056">
        <v>94.146868611855794</v>
      </c>
      <c r="AJ6056">
        <v>104.630174687256</v>
      </c>
      <c r="AK6056">
        <v>15.293558712487</v>
      </c>
    </row>
    <row r="6057" spans="1:37" x14ac:dyDescent="0.2">
      <c r="A6057" t="str">
        <f>"20200111160020226"</f>
        <v>20200111160020226</v>
      </c>
      <c r="B6057" t="str">
        <f>"1578729620216702"</f>
        <v>1578729620216702</v>
      </c>
      <c r="C6057" t="s">
        <v>37</v>
      </c>
      <c r="D6057">
        <v>4.7047720000000002</v>
      </c>
      <c r="E6057">
        <v>0.46780690000000003</v>
      </c>
      <c r="F6057" t="s">
        <v>75</v>
      </c>
      <c r="G6057">
        <v>-200.5838</v>
      </c>
      <c r="H6057" s="1">
        <v>-6.356277E-6</v>
      </c>
      <c r="I6057">
        <v>-54.820030000000003</v>
      </c>
      <c r="J6057">
        <v>-215.167</v>
      </c>
      <c r="K6057">
        <v>1.1059299999999901</v>
      </c>
      <c r="L6057">
        <v>-59.728760000000001</v>
      </c>
      <c r="M6057">
        <v>0.99756599999999995</v>
      </c>
      <c r="N6057">
        <v>0</v>
      </c>
      <c r="O6057">
        <v>6.8188819999999997E-2</v>
      </c>
      <c r="P6057">
        <v>0.97176989999999996</v>
      </c>
      <c r="Q6057">
        <v>3.6299150000000001E-3</v>
      </c>
      <c r="R6057">
        <v>0.23590259999999999</v>
      </c>
      <c r="S6057">
        <v>2.8568880000000001</v>
      </c>
      <c r="T6057">
        <v>-0.21492269999999999</v>
      </c>
      <c r="U6057">
        <v>0.95574950000000003</v>
      </c>
      <c r="V6057">
        <v>-0.1691425</v>
      </c>
      <c r="W6057">
        <v>1.7429730000000001E-2</v>
      </c>
      <c r="X6057">
        <v>0.98543749999999997</v>
      </c>
      <c r="Y6057">
        <v>-0.25138460000000001</v>
      </c>
      <c r="Z6057">
        <v>4.2219090000000003E-3</v>
      </c>
      <c r="AA6057">
        <v>0.96787800000000002</v>
      </c>
      <c r="AB6057">
        <v>22</v>
      </c>
      <c r="AC6057">
        <v>14.5832</v>
      </c>
      <c r="AD6057">
        <v>-1.1059363562769999</v>
      </c>
      <c r="AE6057">
        <v>4.9087299999999896</v>
      </c>
      <c r="AF6057">
        <v>-3.8827277675695799</v>
      </c>
      <c r="AG6057">
        <v>-1.1059363562769999</v>
      </c>
      <c r="AH6057">
        <v>14.807512024675299</v>
      </c>
      <c r="AI6057">
        <v>94.132163935985304</v>
      </c>
      <c r="AJ6057">
        <v>104.692939306301</v>
      </c>
      <c r="AK6057">
        <v>15.3479992996512</v>
      </c>
    </row>
    <row r="6058" spans="1:37" x14ac:dyDescent="0.2">
      <c r="A6058" t="str">
        <f>"20200111160020237"</f>
        <v>20200111160020237</v>
      </c>
      <c r="B6058" t="str">
        <f>"1578729620227439"</f>
        <v>1578729620227439</v>
      </c>
      <c r="C6058" t="s">
        <v>37</v>
      </c>
      <c r="D6058">
        <v>5.2670139999999996</v>
      </c>
      <c r="E6058">
        <v>0.46631739999999999</v>
      </c>
      <c r="F6058" t="s">
        <v>75</v>
      </c>
      <c r="G6058">
        <v>-200.41200000000001</v>
      </c>
      <c r="H6058" s="1">
        <v>-6.4353040000000001E-6</v>
      </c>
      <c r="I6058">
        <v>-54.730379999999997</v>
      </c>
      <c r="J6058">
        <v>-215.05549999999999</v>
      </c>
      <c r="K6058">
        <v>1.1059379999999901</v>
      </c>
      <c r="L6058">
        <v>-59.719729999999998</v>
      </c>
      <c r="M6058">
        <v>0.99748329999999996</v>
      </c>
      <c r="N6058">
        <v>0</v>
      </c>
      <c r="O6058">
        <v>6.9388640000000001E-2</v>
      </c>
      <c r="P6058">
        <v>0.970898699999999</v>
      </c>
      <c r="Q6058">
        <v>4.4016740000000004E-3</v>
      </c>
      <c r="R6058">
        <v>0.23945</v>
      </c>
      <c r="S6058">
        <v>2.8533019999999998</v>
      </c>
      <c r="T6058">
        <v>-0.21386529999999901</v>
      </c>
      <c r="U6058">
        <v>0.96658330000000003</v>
      </c>
      <c r="V6058">
        <v>-0.17155870000000001</v>
      </c>
      <c r="W6058">
        <v>1.8182529999999999E-2</v>
      </c>
      <c r="X6058">
        <v>0.9850061</v>
      </c>
      <c r="Y6058">
        <v>-0.25388709999999998</v>
      </c>
      <c r="Z6058">
        <v>4.2082580000000003E-3</v>
      </c>
      <c r="AA6058">
        <v>0.96722469999999905</v>
      </c>
      <c r="AB6058">
        <v>22</v>
      </c>
      <c r="AC6058">
        <v>14.6434999999999</v>
      </c>
      <c r="AD6058">
        <v>-1.10594443530399</v>
      </c>
      <c r="AE6058">
        <v>4.98935</v>
      </c>
      <c r="AF6058">
        <v>-3.9409801916800502</v>
      </c>
      <c r="AG6058">
        <v>-1.10594443530399</v>
      </c>
      <c r="AH6058">
        <v>14.8783997928813</v>
      </c>
      <c r="AI6058">
        <v>94.109882329458898</v>
      </c>
      <c r="AJ6058">
        <v>104.835765295295</v>
      </c>
      <c r="AK6058">
        <v>15.4311768301061</v>
      </c>
    </row>
    <row r="6059" spans="1:37" x14ac:dyDescent="0.2">
      <c r="A6059" t="str">
        <f>"20200111160020247"</f>
        <v>20200111160020247</v>
      </c>
      <c r="B6059" t="str">
        <f>"1578729620237199"</f>
        <v>1578729620237199</v>
      </c>
      <c r="C6059" t="s">
        <v>37</v>
      </c>
      <c r="D6059">
        <v>5.1233510000000004</v>
      </c>
      <c r="E6059">
        <v>0.46631739999999999</v>
      </c>
      <c r="F6059" t="s">
        <v>75</v>
      </c>
      <c r="G6059">
        <v>-201.7587</v>
      </c>
      <c r="H6059" s="1">
        <v>-5.8681629999999996E-6</v>
      </c>
      <c r="I6059">
        <v>-55.09836</v>
      </c>
      <c r="J6059">
        <v>-214.95529999999999</v>
      </c>
      <c r="K6059">
        <v>1.105942</v>
      </c>
      <c r="L6059">
        <v>-59.711550000000003</v>
      </c>
      <c r="M6059">
        <v>0.9974075</v>
      </c>
      <c r="N6059">
        <v>0</v>
      </c>
      <c r="O6059">
        <v>7.0470179999999993E-2</v>
      </c>
      <c r="P6059">
        <v>0.96999009999999997</v>
      </c>
      <c r="Q6059">
        <v>4.6467449999999999E-3</v>
      </c>
      <c r="R6059">
        <v>0.24310039999999999</v>
      </c>
      <c r="S6059">
        <v>2.8469540000000002</v>
      </c>
      <c r="T6059">
        <v>-0.23679159999999999</v>
      </c>
      <c r="U6059">
        <v>0.9894714</v>
      </c>
      <c r="V6059">
        <v>-0.1741965</v>
      </c>
      <c r="W6059">
        <v>1.8408520000000001E-2</v>
      </c>
      <c r="X6059">
        <v>0.98453889999999999</v>
      </c>
      <c r="Y6059">
        <v>-0.2603221</v>
      </c>
      <c r="Z6059">
        <v>4.8353019999999997E-3</v>
      </c>
      <c r="AA6059">
        <v>0.96550970000000003</v>
      </c>
      <c r="AB6059">
        <v>22</v>
      </c>
      <c r="AC6059">
        <v>13.196599999999901</v>
      </c>
      <c r="AD6059">
        <v>-1.1059478681629999</v>
      </c>
      <c r="AE6059">
        <v>4.6131900000000003</v>
      </c>
      <c r="AF6059">
        <v>-3.64881684625156</v>
      </c>
      <c r="AG6059">
        <v>-1.1059478681629999</v>
      </c>
      <c r="AH6059">
        <v>13.4050155741783</v>
      </c>
      <c r="AI6059">
        <v>94.551498481614104</v>
      </c>
      <c r="AJ6059">
        <v>105.226882949299</v>
      </c>
      <c r="AK6059">
        <v>13.9366935680076</v>
      </c>
    </row>
    <row r="6060" spans="1:37" x14ac:dyDescent="0.2">
      <c r="A6060" t="str">
        <f>"20200111160020259"</f>
        <v>20200111160020259</v>
      </c>
      <c r="B6060" t="str">
        <f>"1578729620256718"</f>
        <v>1578729620256718</v>
      </c>
      <c r="C6060" t="s">
        <v>37</v>
      </c>
      <c r="D6060">
        <v>4.5814069999999996</v>
      </c>
      <c r="E6060">
        <v>0.36511779999999999</v>
      </c>
      <c r="F6060" t="s">
        <v>75</v>
      </c>
      <c r="G6060">
        <v>-201.64670000000001</v>
      </c>
      <c r="H6060" s="1">
        <v>-5.9211010000000002E-6</v>
      </c>
      <c r="I6060">
        <v>-55.030769999999997</v>
      </c>
      <c r="J6060">
        <v>-214.84289999999999</v>
      </c>
      <c r="K6060">
        <v>1.1059459999999901</v>
      </c>
      <c r="L6060">
        <v>-59.702210000000001</v>
      </c>
      <c r="M6060">
        <v>0.99732049999999905</v>
      </c>
      <c r="N6060">
        <v>0</v>
      </c>
      <c r="O6060">
        <v>7.1689939999999994E-2</v>
      </c>
      <c r="P6060">
        <v>0.9690261</v>
      </c>
      <c r="Q6060">
        <v>4.9048529999999998E-3</v>
      </c>
      <c r="R6060">
        <v>0.246909499999999</v>
      </c>
      <c r="S6060">
        <v>2.8433229999999998</v>
      </c>
      <c r="T6060">
        <v>-0.23628189999999999</v>
      </c>
      <c r="U6060">
        <v>1.0000309999999999</v>
      </c>
      <c r="V6060">
        <v>-0.17686160000000001</v>
      </c>
      <c r="W6060">
        <v>1.864642E-2</v>
      </c>
      <c r="X6060">
        <v>0.98405909999999996</v>
      </c>
      <c r="Y6060">
        <v>-0.26271600000000001</v>
      </c>
      <c r="Z6060">
        <v>4.8269849999999998E-3</v>
      </c>
      <c r="AA6060">
        <v>0.96486109999999903</v>
      </c>
      <c r="AB6060">
        <v>22</v>
      </c>
      <c r="AC6060">
        <v>13.1961999999999</v>
      </c>
      <c r="AD6060">
        <v>-1.1059519211009901</v>
      </c>
      <c r="AE6060">
        <v>4.6714399999999996</v>
      </c>
      <c r="AF6060">
        <v>-3.6902491086825</v>
      </c>
      <c r="AG6060">
        <v>-1.1059519211009901</v>
      </c>
      <c r="AH6060">
        <v>13.413447069928299</v>
      </c>
      <c r="AI6060">
        <v>94.545302594575503</v>
      </c>
      <c r="AJ6060">
        <v>105.38241104507</v>
      </c>
      <c r="AK6060">
        <v>13.9557024342628</v>
      </c>
    </row>
    <row r="6061" spans="1:37" x14ac:dyDescent="0.2">
      <c r="A6061" t="str">
        <f>"20200111160020271"</f>
        <v>20200111160020271</v>
      </c>
      <c r="B6061" t="str">
        <f>"1578729620267454"</f>
        <v>1578729620267454</v>
      </c>
      <c r="C6061" t="s">
        <v>37</v>
      </c>
      <c r="D6061">
        <v>4.5598809999999999</v>
      </c>
      <c r="E6061">
        <v>0.35269719999999999</v>
      </c>
      <c r="F6061" t="s">
        <v>38</v>
      </c>
      <c r="G6061">
        <v>-214.10589999999999</v>
      </c>
      <c r="H6061">
        <v>1.0462069999999899</v>
      </c>
      <c r="I6061">
        <v>-59.201830000000001</v>
      </c>
      <c r="J6061">
        <v>-214.73830000000001</v>
      </c>
      <c r="K6061">
        <v>1.105942</v>
      </c>
      <c r="L6061">
        <v>-59.693359999999998</v>
      </c>
      <c r="M6061">
        <v>0.99723809999999902</v>
      </c>
      <c r="N6061">
        <v>0</v>
      </c>
      <c r="O6061">
        <v>7.2828499999999893E-2</v>
      </c>
      <c r="P6061">
        <v>0.96813930000000004</v>
      </c>
      <c r="Q6061">
        <v>5.0119589999999999E-3</v>
      </c>
      <c r="R6061">
        <v>0.25036199999999997</v>
      </c>
      <c r="S6061">
        <v>2.6401209999999899</v>
      </c>
      <c r="T6061">
        <v>-0.2140137</v>
      </c>
      <c r="U6061">
        <v>1.7929079999999999</v>
      </c>
      <c r="V6061">
        <v>-0.17924589999999899</v>
      </c>
      <c r="W6061">
        <v>1.873557E-2</v>
      </c>
      <c r="X6061">
        <v>0.98362590000000005</v>
      </c>
      <c r="Y6061">
        <v>-0.49910739999999998</v>
      </c>
      <c r="Z6061">
        <v>1.2988120000000001E-2</v>
      </c>
      <c r="AA6061">
        <v>0.86644279999999996</v>
      </c>
      <c r="AB6061">
        <v>22</v>
      </c>
      <c r="AC6061">
        <v>0.63240000000001795</v>
      </c>
      <c r="AD6061">
        <v>-5.9735000000000101E-2</v>
      </c>
      <c r="AE6061">
        <v>0.49152999999998997</v>
      </c>
      <c r="AF6061">
        <v>-0.44170600557110801</v>
      </c>
      <c r="AG6061">
        <v>-5.9735000000000101E-2</v>
      </c>
      <c r="AH6061">
        <v>0.662834721429994</v>
      </c>
      <c r="AI6061">
        <v>94.288833692568502</v>
      </c>
      <c r="AJ6061">
        <v>123.679066372534</v>
      </c>
      <c r="AK6061">
        <v>0.79876300209496498</v>
      </c>
    </row>
    <row r="6062" spans="1:37" x14ac:dyDescent="0.2">
      <c r="A6062" t="str">
        <f>"20200111160020282"</f>
        <v>20200111160020282</v>
      </c>
      <c r="B6062" t="str">
        <f>"1578729620277214"</f>
        <v>1578729620277214</v>
      </c>
      <c r="C6062" t="s">
        <v>37</v>
      </c>
      <c r="D6062">
        <v>4.6284320000000001</v>
      </c>
      <c r="E6062">
        <v>0.34606589999999998</v>
      </c>
      <c r="F6062" t="s">
        <v>38</v>
      </c>
      <c r="G6062">
        <v>-213.93520000000001</v>
      </c>
      <c r="H6062">
        <v>1.046632</v>
      </c>
      <c r="I6062">
        <v>-59.109439999999999</v>
      </c>
      <c r="J6062">
        <v>-214.6216</v>
      </c>
      <c r="K6062">
        <v>1.105944</v>
      </c>
      <c r="L6062">
        <v>-59.683409999999903</v>
      </c>
      <c r="M6062">
        <v>0.99714419999999904</v>
      </c>
      <c r="N6062">
        <v>0</v>
      </c>
      <c r="O6062">
        <v>7.4102829999999995E-2</v>
      </c>
      <c r="P6062">
        <v>0.96707310000000002</v>
      </c>
      <c r="Q6062">
        <v>4.6460870000000001E-3</v>
      </c>
      <c r="R6062">
        <v>0.25445639999999897</v>
      </c>
      <c r="S6062">
        <v>2.6091000000000002</v>
      </c>
      <c r="T6062">
        <v>-0.1926892</v>
      </c>
      <c r="U6062">
        <v>1.8972169999999999</v>
      </c>
      <c r="V6062">
        <v>-0.1821497</v>
      </c>
      <c r="W6062">
        <v>1.8348920000000001E-2</v>
      </c>
      <c r="X6062">
        <v>0.98309959999999996</v>
      </c>
      <c r="Y6062">
        <v>-0.52575740000000004</v>
      </c>
      <c r="Z6062">
        <v>1.2487409999999999E-2</v>
      </c>
      <c r="AA6062">
        <v>0.85054300000000005</v>
      </c>
      <c r="AB6062">
        <v>22</v>
      </c>
      <c r="AC6062">
        <v>0.68639999999999102</v>
      </c>
      <c r="AD6062">
        <v>-5.9311999999999997E-2</v>
      </c>
      <c r="AE6062">
        <v>0.57396999999999498</v>
      </c>
      <c r="AF6062">
        <v>-0.51924038372998105</v>
      </c>
      <c r="AG6062">
        <v>-5.9311999999999997E-2</v>
      </c>
      <c r="AH6062">
        <v>0.72386892654921298</v>
      </c>
      <c r="AI6062">
        <v>93.809120860934499</v>
      </c>
      <c r="AJ6062">
        <v>125.652355063991</v>
      </c>
      <c r="AK6062">
        <v>0.89281280919550399</v>
      </c>
    </row>
    <row r="6063" spans="1:37" x14ac:dyDescent="0.2">
      <c r="A6063" t="str">
        <f>"20200111160020296"</f>
        <v>20200111160020296</v>
      </c>
      <c r="B6063" t="str">
        <f>"1578729620286974"</f>
        <v>1578729620286974</v>
      </c>
      <c r="C6063" t="s">
        <v>37</v>
      </c>
      <c r="D6063">
        <v>4.5881040000000004</v>
      </c>
      <c r="E6063">
        <v>0.34219060000000001</v>
      </c>
      <c r="F6063" t="s">
        <v>38</v>
      </c>
      <c r="G6063">
        <v>-213.9221</v>
      </c>
      <c r="H6063">
        <v>1.0553159999999999</v>
      </c>
      <c r="I6063">
        <v>-59.153880000000001</v>
      </c>
      <c r="J6063">
        <v>-214.4845</v>
      </c>
      <c r="K6063">
        <v>1.1059429999999999</v>
      </c>
      <c r="L6063">
        <v>-59.671480000000003</v>
      </c>
      <c r="M6063">
        <v>0.99703159999999902</v>
      </c>
      <c r="N6063">
        <v>0</v>
      </c>
      <c r="O6063">
        <v>7.5605290000000006E-2</v>
      </c>
      <c r="P6063">
        <v>0.96600540000000001</v>
      </c>
      <c r="Q6063">
        <v>4.4954460000000002E-3</v>
      </c>
      <c r="R6063">
        <v>0.25848310000000002</v>
      </c>
      <c r="S6063">
        <v>2.5875849999999998</v>
      </c>
      <c r="T6063">
        <v>-0.18728359999999999</v>
      </c>
      <c r="U6063">
        <v>1.9590449999999999</v>
      </c>
      <c r="V6063">
        <v>-0.18476310000000001</v>
      </c>
      <c r="W6063">
        <v>1.8178719999999999E-2</v>
      </c>
      <c r="X6063">
        <v>0.98261489999999996</v>
      </c>
      <c r="Y6063">
        <v>-0.54083749999999997</v>
      </c>
      <c r="Z6063">
        <v>1.2531520000000001E-2</v>
      </c>
      <c r="AA6063">
        <v>0.84103379999999905</v>
      </c>
      <c r="AB6063">
        <v>22</v>
      </c>
      <c r="AC6063">
        <v>0.56239999999999601</v>
      </c>
      <c r="AD6063">
        <v>-5.06270000000002E-2</v>
      </c>
      <c r="AE6063">
        <v>0.51759999999999395</v>
      </c>
      <c r="AF6063">
        <v>-0.47152457056333302</v>
      </c>
      <c r="AG6063">
        <v>-5.06270000000002E-2</v>
      </c>
      <c r="AH6063">
        <v>0.59730683256497097</v>
      </c>
      <c r="AI6063">
        <v>93.806137516774498</v>
      </c>
      <c r="AJ6063">
        <v>128.288186179386</v>
      </c>
      <c r="AK6063">
        <v>0.76267553127311905</v>
      </c>
    </row>
    <row r="6064" spans="1:37" x14ac:dyDescent="0.2">
      <c r="A6064" t="str">
        <f>"20200111160020310"</f>
        <v>20200111160020310</v>
      </c>
      <c r="B6064" t="str">
        <f>"1578729620307471"</f>
        <v>1578729620307471</v>
      </c>
      <c r="C6064" t="s">
        <v>37</v>
      </c>
      <c r="D6064">
        <v>4.4756650000000002</v>
      </c>
      <c r="E6064">
        <v>0.3376808</v>
      </c>
      <c r="F6064" t="s">
        <v>38</v>
      </c>
      <c r="G6064">
        <v>-213.7422</v>
      </c>
      <c r="H6064">
        <v>1.0532950000000001</v>
      </c>
      <c r="I6064">
        <v>-59.09451</v>
      </c>
      <c r="J6064">
        <v>-214.35810000000001</v>
      </c>
      <c r="K6064">
        <v>1.105934</v>
      </c>
      <c r="L6064">
        <v>-59.660249999999998</v>
      </c>
      <c r="M6064">
        <v>0.99692530000000001</v>
      </c>
      <c r="N6064">
        <v>0</v>
      </c>
      <c r="O6064">
        <v>7.6992930000000001E-2</v>
      </c>
      <c r="P6064">
        <v>0.96426730000000005</v>
      </c>
      <c r="Q6064">
        <v>3.7235929999999999E-3</v>
      </c>
      <c r="R6064">
        <v>0.2649048</v>
      </c>
      <c r="S6064">
        <v>2.5715029999999999</v>
      </c>
      <c r="T6064">
        <v>-0.18238889999999999</v>
      </c>
      <c r="U6064">
        <v>1.999115</v>
      </c>
      <c r="V6064">
        <v>-0.18992899999999999</v>
      </c>
      <c r="W6064">
        <v>1.7372990000000001E-2</v>
      </c>
      <c r="X6064">
        <v>0.98164409999999902</v>
      </c>
      <c r="Y6064">
        <v>-0.55041509999999905</v>
      </c>
      <c r="Z6064">
        <v>1.242852E-2</v>
      </c>
      <c r="AA6064">
        <v>0.83479859999999995</v>
      </c>
      <c r="AB6064">
        <v>22</v>
      </c>
      <c r="AC6064">
        <v>0.61590000000001</v>
      </c>
      <c r="AD6064">
        <v>-5.2638999999999797E-2</v>
      </c>
      <c r="AE6064">
        <v>0.56573999999999802</v>
      </c>
      <c r="AF6064">
        <v>-0.51459661785339705</v>
      </c>
      <c r="AG6064">
        <v>-5.2638999999999797E-2</v>
      </c>
      <c r="AH6064">
        <v>0.65503886114531595</v>
      </c>
      <c r="AI6064">
        <v>93.615840320795698</v>
      </c>
      <c r="AJ6064">
        <v>128.15307431457299</v>
      </c>
      <c r="AK6064">
        <v>0.834659483285074</v>
      </c>
    </row>
    <row r="6065" spans="1:37" x14ac:dyDescent="0.2">
      <c r="A6065" t="str">
        <f>"20200111160020321"</f>
        <v>20200111160020321</v>
      </c>
      <c r="B6065" t="str">
        <f>"1578729620317230"</f>
        <v>1578729620317230</v>
      </c>
      <c r="C6065" t="s">
        <v>37</v>
      </c>
      <c r="D6065">
        <v>4.5347369999999998</v>
      </c>
      <c r="E6065">
        <v>0.33622429999999998</v>
      </c>
      <c r="F6065" t="s">
        <v>38</v>
      </c>
      <c r="G6065">
        <v>-213.56639999999999</v>
      </c>
      <c r="H6065">
        <v>1.0505519999999999</v>
      </c>
      <c r="I6065">
        <v>-59.023229999999998</v>
      </c>
      <c r="J6065">
        <v>-214.2482</v>
      </c>
      <c r="K6065">
        <v>1.1059299999999901</v>
      </c>
      <c r="L6065">
        <v>-59.650419999999997</v>
      </c>
      <c r="M6065">
        <v>0.99683120000000003</v>
      </c>
      <c r="N6065">
        <v>0</v>
      </c>
      <c r="O6065">
        <v>7.8202049999999995E-2</v>
      </c>
      <c r="P6065">
        <v>0.96350029999999998</v>
      </c>
      <c r="Q6065">
        <v>3.111918E-3</v>
      </c>
      <c r="R6065">
        <v>0.26768909999999901</v>
      </c>
      <c r="S6065">
        <v>2.5485690000000001</v>
      </c>
      <c r="T6065">
        <v>-0.17827029999999999</v>
      </c>
      <c r="U6065">
        <v>2.0504150000000001</v>
      </c>
      <c r="V6065">
        <v>-0.1915714</v>
      </c>
      <c r="W6065">
        <v>1.674985E-2</v>
      </c>
      <c r="X6065">
        <v>0.98133579999999998</v>
      </c>
      <c r="Y6065">
        <v>-0.56328140000000004</v>
      </c>
      <c r="Z6065">
        <v>1.2489139999999999E-2</v>
      </c>
      <c r="AA6065">
        <v>0.82617070000000004</v>
      </c>
      <c r="AB6065">
        <v>22</v>
      </c>
      <c r="AC6065">
        <v>0.68180000000000895</v>
      </c>
      <c r="AD6065">
        <v>-5.5377999999999698E-2</v>
      </c>
      <c r="AE6065">
        <v>0.62718999999999103</v>
      </c>
      <c r="AF6065">
        <v>-0.56990854368316302</v>
      </c>
      <c r="AG6065">
        <v>-5.5377999999999698E-2</v>
      </c>
      <c r="AH6065">
        <v>0.72616944423179397</v>
      </c>
      <c r="AI6065">
        <v>93.433127152002299</v>
      </c>
      <c r="AJ6065">
        <v>128.125348483593</v>
      </c>
      <c r="AK6065">
        <v>0.92476187896289097</v>
      </c>
    </row>
    <row r="6066" spans="1:37" x14ac:dyDescent="0.2">
      <c r="A6066" t="str">
        <f>"20200111160020332"</f>
        <v>20200111160020332</v>
      </c>
      <c r="B6066" t="str">
        <f>"1578729620326990"</f>
        <v>1578729620326990</v>
      </c>
      <c r="C6066" t="s">
        <v>37</v>
      </c>
      <c r="D6066">
        <v>4.4610969999999996</v>
      </c>
      <c r="E6066">
        <v>0.3349298</v>
      </c>
      <c r="F6066" t="s">
        <v>38</v>
      </c>
      <c r="G6066">
        <v>-213.54920000000001</v>
      </c>
      <c r="H6066">
        <v>1.0563209999999901</v>
      </c>
      <c r="I6066">
        <v>-59.080930000000002</v>
      </c>
      <c r="J6066">
        <v>-214.14250000000001</v>
      </c>
      <c r="K6066">
        <v>1.1059289999999999</v>
      </c>
      <c r="L6066">
        <v>-59.640749999999997</v>
      </c>
      <c r="M6066">
        <v>0.99673929999999999</v>
      </c>
      <c r="N6066">
        <v>0</v>
      </c>
      <c r="O6066">
        <v>7.9366640000000002E-2</v>
      </c>
      <c r="P6066">
        <v>0.96239010000000003</v>
      </c>
      <c r="Q6066">
        <v>2.4983000000000002E-3</v>
      </c>
      <c r="R6066">
        <v>0.27166030000000002</v>
      </c>
      <c r="S6066">
        <v>2.5395050000000001</v>
      </c>
      <c r="T6066">
        <v>-0.18021489999999901</v>
      </c>
      <c r="U6066">
        <v>2.0686650000000002</v>
      </c>
      <c r="V6066">
        <v>-0.19446959999999999</v>
      </c>
      <c r="W6066">
        <v>1.6117179999999998E-2</v>
      </c>
      <c r="X6066">
        <v>0.98077610000000004</v>
      </c>
      <c r="Y6066">
        <v>-0.56730939999999996</v>
      </c>
      <c r="Z6066">
        <v>1.2689249999999999E-2</v>
      </c>
      <c r="AA6066">
        <v>0.82340689999999905</v>
      </c>
      <c r="AB6066">
        <v>22</v>
      </c>
      <c r="AC6066">
        <v>0.59329999999999905</v>
      </c>
      <c r="AD6066">
        <v>-4.9608000000000298E-2</v>
      </c>
      <c r="AE6066">
        <v>0.55981999999999399</v>
      </c>
      <c r="AF6066">
        <v>-0.50907766380126296</v>
      </c>
      <c r="AG6066">
        <v>-4.9608000000000298E-2</v>
      </c>
      <c r="AH6066">
        <v>0.63352073235529105</v>
      </c>
      <c r="AI6066">
        <v>93.492984144853295</v>
      </c>
      <c r="AJ6066">
        <v>128.784281881147</v>
      </c>
      <c r="AK6066">
        <v>0.81422941470407195</v>
      </c>
    </row>
    <row r="6067" spans="1:37" x14ac:dyDescent="0.2">
      <c r="A6067" t="str">
        <f>"20200111160020343"</f>
        <v>20200111160020343</v>
      </c>
      <c r="B6067" t="str">
        <f>"1578729620336750"</f>
        <v>1578729620336750</v>
      </c>
      <c r="C6067" t="s">
        <v>37</v>
      </c>
      <c r="D6067">
        <v>4.4584580000000003</v>
      </c>
      <c r="E6067">
        <v>0.33422029999999903</v>
      </c>
      <c r="F6067" t="s">
        <v>38</v>
      </c>
      <c r="G6067">
        <v>-213.37469999999999</v>
      </c>
      <c r="H6067">
        <v>1.0509770000000001</v>
      </c>
      <c r="I6067">
        <v>-59.006659999999997</v>
      </c>
      <c r="J6067">
        <v>-214.0317</v>
      </c>
      <c r="K6067">
        <v>1.105923</v>
      </c>
      <c r="L6067">
        <v>-59.630580000000002</v>
      </c>
      <c r="M6067">
        <v>0.99664149999999996</v>
      </c>
      <c r="N6067">
        <v>0</v>
      </c>
      <c r="O6067">
        <v>8.0586889999999994E-2</v>
      </c>
      <c r="P6067">
        <v>0.96142629999999996</v>
      </c>
      <c r="Q6067">
        <v>1.9242999999999899E-3</v>
      </c>
      <c r="R6067">
        <v>0.27505639999999998</v>
      </c>
      <c r="S6067">
        <v>2.5280909999999999</v>
      </c>
      <c r="T6067">
        <v>-0.1809627</v>
      </c>
      <c r="U6067">
        <v>2.0888059999999999</v>
      </c>
      <c r="V6067">
        <v>-0.19672879999999901</v>
      </c>
      <c r="W6067">
        <v>1.552836E-2</v>
      </c>
      <c r="X6067">
        <v>0.98033490000000001</v>
      </c>
      <c r="Y6067">
        <v>-0.57201150000000001</v>
      </c>
      <c r="Z6067">
        <v>1.283023E-2</v>
      </c>
      <c r="AA6067">
        <v>0.82014519999999902</v>
      </c>
      <c r="AB6067">
        <v>22</v>
      </c>
      <c r="AC6067">
        <v>0.65700000000001002</v>
      </c>
      <c r="AD6067">
        <v>-5.4945999999999898E-2</v>
      </c>
      <c r="AE6067">
        <v>0.62392000000000503</v>
      </c>
      <c r="AF6067">
        <v>-0.56685445530463197</v>
      </c>
      <c r="AG6067">
        <v>-5.4945999999999898E-2</v>
      </c>
      <c r="AH6067">
        <v>0.70256402805553697</v>
      </c>
      <c r="AI6067">
        <v>93.483098208888094</v>
      </c>
      <c r="AJ6067">
        <v>128.897863667325</v>
      </c>
      <c r="AK6067">
        <v>0.90439993914878902</v>
      </c>
    </row>
    <row r="6068" spans="1:37" x14ac:dyDescent="0.2">
      <c r="A6068" t="str">
        <f>"20200111160020355"</f>
        <v>20200111160020355</v>
      </c>
      <c r="B6068" t="str">
        <f>"1578729620346511"</f>
        <v>1578729620346511</v>
      </c>
      <c r="C6068" t="s">
        <v>37</v>
      </c>
      <c r="D6068">
        <v>4.4966179999999998</v>
      </c>
      <c r="E6068">
        <v>0.33367819999999998</v>
      </c>
      <c r="F6068" t="s">
        <v>38</v>
      </c>
      <c r="G6068">
        <v>-213.35650000000001</v>
      </c>
      <c r="H6068">
        <v>1.0572269999999999</v>
      </c>
      <c r="I6068">
        <v>-59.0672</v>
      </c>
      <c r="J6068">
        <v>-213.92019999999999</v>
      </c>
      <c r="K6068">
        <v>1.105917</v>
      </c>
      <c r="L6068">
        <v>-59.620089999999998</v>
      </c>
      <c r="M6068">
        <v>0.99654140000000002</v>
      </c>
      <c r="N6068">
        <v>0</v>
      </c>
      <c r="O6068">
        <v>8.1814100000000001E-2</v>
      </c>
      <c r="P6068">
        <v>0.96062459999999905</v>
      </c>
      <c r="Q6068">
        <v>9.7263419999999996E-4</v>
      </c>
      <c r="R6068">
        <v>0.2778484</v>
      </c>
      <c r="S6068">
        <v>2.519104</v>
      </c>
      <c r="T6068">
        <v>-0.1817058</v>
      </c>
      <c r="U6068">
        <v>2.1029659999999999</v>
      </c>
      <c r="V6068">
        <v>-0.19836609999999999</v>
      </c>
      <c r="W6068">
        <v>1.4565730000000001E-2</v>
      </c>
      <c r="X6068">
        <v>0.98001970000000005</v>
      </c>
      <c r="Y6068">
        <v>-0.57514699999999996</v>
      </c>
      <c r="Z6068">
        <v>1.2920920000000001E-2</v>
      </c>
      <c r="AA6068">
        <v>0.81794800000000001</v>
      </c>
      <c r="AB6068">
        <v>22</v>
      </c>
      <c r="AC6068">
        <v>0.56369999999998299</v>
      </c>
      <c r="AD6068">
        <v>-4.86899999999999E-2</v>
      </c>
      <c r="AE6068">
        <v>0.55289000000000499</v>
      </c>
      <c r="AF6068">
        <v>-0.50299990142604201</v>
      </c>
      <c r="AG6068">
        <v>-4.86899999999999E-2</v>
      </c>
      <c r="AH6068">
        <v>0.604749218514815</v>
      </c>
      <c r="AI6068">
        <v>93.5420760283303</v>
      </c>
      <c r="AJ6068">
        <v>129.751976085819</v>
      </c>
      <c r="AK6068">
        <v>0.78809976159677098</v>
      </c>
    </row>
    <row r="6069" spans="1:37" x14ac:dyDescent="0.2">
      <c r="A6069" t="str">
        <f>"20200111160020367"</f>
        <v>20200111160020367</v>
      </c>
      <c r="B6069" t="str">
        <f>"1578729620357246"</f>
        <v>1578729620357246</v>
      </c>
      <c r="C6069" t="s">
        <v>37</v>
      </c>
      <c r="D6069">
        <v>4.4625870000000001</v>
      </c>
      <c r="E6069">
        <v>0.33338319999999999</v>
      </c>
      <c r="F6069" t="s">
        <v>38</v>
      </c>
      <c r="G6069">
        <v>-213.18099999999899</v>
      </c>
      <c r="H6069">
        <v>1.0516379999999901</v>
      </c>
      <c r="I6069">
        <v>-58.99776</v>
      </c>
      <c r="J6069">
        <v>-213.80680000000001</v>
      </c>
      <c r="K6069">
        <v>1.1059129999999999</v>
      </c>
      <c r="L6069">
        <v>-59.609380000000002</v>
      </c>
      <c r="M6069">
        <v>0.99643809999999999</v>
      </c>
      <c r="N6069">
        <v>0</v>
      </c>
      <c r="O6069">
        <v>8.3063070000000003E-2</v>
      </c>
      <c r="P6069">
        <v>0.95977869999999998</v>
      </c>
      <c r="Q6069">
        <v>2.05185299999999E-4</v>
      </c>
      <c r="R6069">
        <v>0.2807578</v>
      </c>
      <c r="S6069">
        <v>2.511612</v>
      </c>
      <c r="T6069">
        <v>-0.1844208</v>
      </c>
      <c r="U6069">
        <v>2.1144099999999999</v>
      </c>
      <c r="V6069">
        <v>-0.20010410000000001</v>
      </c>
      <c r="W6069">
        <v>1.3786659999999999E-2</v>
      </c>
      <c r="X6069">
        <v>0.97967760000000004</v>
      </c>
      <c r="Y6069">
        <v>-0.5774802</v>
      </c>
      <c r="Z6069">
        <v>1.3123299999999999E-2</v>
      </c>
      <c r="AA6069">
        <v>0.81629929999999995</v>
      </c>
      <c r="AB6069">
        <v>22</v>
      </c>
      <c r="AC6069">
        <v>0.625800000000026</v>
      </c>
      <c r="AD6069">
        <v>-5.4274999999999997E-2</v>
      </c>
      <c r="AE6069">
        <v>0.61162000000000205</v>
      </c>
      <c r="AF6069">
        <v>-0.55538296327228598</v>
      </c>
      <c r="AG6069">
        <v>-5.4274999999999997E-2</v>
      </c>
      <c r="AH6069">
        <v>0.67186062703458105</v>
      </c>
      <c r="AI6069">
        <v>93.562862989340999</v>
      </c>
      <c r="AJ6069">
        <v>129.57829921759199</v>
      </c>
      <c r="AK6069">
        <v>0.87338005111028605</v>
      </c>
    </row>
    <row r="6070" spans="1:37" x14ac:dyDescent="0.2">
      <c r="A6070" t="str">
        <f>"20200111160020377"</f>
        <v>20200111160020377</v>
      </c>
      <c r="B6070" t="str">
        <f>"1578729620367007"</f>
        <v>1578729620367007</v>
      </c>
      <c r="C6070" t="s">
        <v>37</v>
      </c>
      <c r="D6070">
        <v>4.4567050000000004</v>
      </c>
      <c r="E6070">
        <v>0.33300990000000003</v>
      </c>
      <c r="F6070" t="s">
        <v>75</v>
      </c>
      <c r="G6070">
        <v>-199.0051</v>
      </c>
      <c r="H6070" s="1">
        <v>-4.6026199999999902E-6</v>
      </c>
      <c r="I6070">
        <v>-47.05424</v>
      </c>
      <c r="J6070">
        <v>-213.70310000000001</v>
      </c>
      <c r="K6070">
        <v>1.105904</v>
      </c>
      <c r="L6070">
        <v>-59.599400000000003</v>
      </c>
      <c r="M6070">
        <v>0.99634249999999902</v>
      </c>
      <c r="N6070">
        <v>0</v>
      </c>
      <c r="O6070">
        <v>8.4203799999999995E-2</v>
      </c>
      <c r="P6070">
        <v>0.95907679999999995</v>
      </c>
      <c r="Q6070">
        <v>-6.5896469999999997E-4</v>
      </c>
      <c r="R6070">
        <v>0.28314609999999901</v>
      </c>
      <c r="S6070">
        <v>2.5043790000000001</v>
      </c>
      <c r="T6070">
        <v>-0.1871158</v>
      </c>
      <c r="U6070">
        <v>2.1242679999999998</v>
      </c>
      <c r="V6070">
        <v>-0.20141800000000001</v>
      </c>
      <c r="W6070">
        <v>1.29146E-2</v>
      </c>
      <c r="X6070">
        <v>0.97942019999999996</v>
      </c>
      <c r="Y6070">
        <v>-0.5795515</v>
      </c>
      <c r="Z6070">
        <v>1.332417E-2</v>
      </c>
      <c r="AA6070">
        <v>0.81482670000000001</v>
      </c>
      <c r="AB6070">
        <v>22</v>
      </c>
      <c r="AC6070">
        <v>14.698</v>
      </c>
      <c r="AD6070">
        <v>-1.10590860262</v>
      </c>
      <c r="AE6070">
        <v>12.545159999999999</v>
      </c>
      <c r="AF6070">
        <v>-11.226070198502899</v>
      </c>
      <c r="AG6070">
        <v>-1.10590860262</v>
      </c>
      <c r="AH6070">
        <v>15.650990024870101</v>
      </c>
      <c r="AI6070">
        <v>93.286178356725401</v>
      </c>
      <c r="AJ6070">
        <v>125.650943623435</v>
      </c>
      <c r="AK6070">
        <v>19.292516028181701</v>
      </c>
    </row>
    <row r="6071" spans="1:37" x14ac:dyDescent="0.2">
      <c r="A6071" t="str">
        <f>"20200111160020390"</f>
        <v>20200111160020390</v>
      </c>
      <c r="B6071" t="str">
        <f>"1578729620386526"</f>
        <v>1578729620386526</v>
      </c>
      <c r="C6071" t="s">
        <v>37</v>
      </c>
      <c r="D6071">
        <v>4.3673580000000003</v>
      </c>
      <c r="E6071">
        <v>0.3323796</v>
      </c>
      <c r="F6071" t="s">
        <v>38</v>
      </c>
      <c r="G6071">
        <v>-212.98759999999999</v>
      </c>
      <c r="H6071">
        <v>1.0516399999999999</v>
      </c>
      <c r="I6071">
        <v>-58.988659999999904</v>
      </c>
      <c r="J6071">
        <v>-213.59280000000001</v>
      </c>
      <c r="K6071">
        <v>1.105896</v>
      </c>
      <c r="L6071">
        <v>-59.588679999999997</v>
      </c>
      <c r="M6071">
        <v>0.9962394</v>
      </c>
      <c r="N6071">
        <v>0</v>
      </c>
      <c r="O6071">
        <v>8.5416350000000002E-2</v>
      </c>
      <c r="P6071">
        <v>0.9583313</v>
      </c>
      <c r="Q6071">
        <v>-1.4481419999999999E-3</v>
      </c>
      <c r="R6071">
        <v>0.28565559999999901</v>
      </c>
      <c r="S6071">
        <v>2.4981080000000002</v>
      </c>
      <c r="T6071">
        <v>-0.18947890000000001</v>
      </c>
      <c r="U6071">
        <v>2.1331479999999998</v>
      </c>
      <c r="V6071">
        <v>-0.202787299999999</v>
      </c>
      <c r="W6071">
        <v>1.211596E-2</v>
      </c>
      <c r="X6071">
        <v>0.97914789999999996</v>
      </c>
      <c r="Y6071">
        <v>-0.58122369999999901</v>
      </c>
      <c r="Z6071">
        <v>1.3481440000000001E-2</v>
      </c>
      <c r="AA6071">
        <v>0.81363209999999997</v>
      </c>
      <c r="AB6071">
        <v>22</v>
      </c>
      <c r="AC6071">
        <v>0.60520000000002405</v>
      </c>
      <c r="AD6071">
        <v>-5.4255999999999999E-2</v>
      </c>
      <c r="AE6071">
        <v>0.60002000000000699</v>
      </c>
      <c r="AF6071">
        <v>-0.54392267740473199</v>
      </c>
      <c r="AG6071">
        <v>-5.4255999999999999E-2</v>
      </c>
      <c r="AH6071">
        <v>0.651603664178387</v>
      </c>
      <c r="AI6071">
        <v>93.657474178911002</v>
      </c>
      <c r="AJ6071">
        <v>129.85326035449799</v>
      </c>
      <c r="AK6071">
        <v>0.85051921066007297</v>
      </c>
    </row>
    <row r="6072" spans="1:37" x14ac:dyDescent="0.2">
      <c r="A6072" t="str">
        <f>"20200111160020401"</f>
        <v>20200111160020401</v>
      </c>
      <c r="B6072" t="str">
        <f>"1578729620397262"</f>
        <v>1578729620397262</v>
      </c>
      <c r="C6072" t="s">
        <v>37</v>
      </c>
      <c r="D6072">
        <v>4.4492789999999998</v>
      </c>
      <c r="E6072">
        <v>0.33232529999999999</v>
      </c>
      <c r="F6072" t="s">
        <v>38</v>
      </c>
      <c r="G6072">
        <v>-212.8134</v>
      </c>
      <c r="H6072">
        <v>1.0471059999999901</v>
      </c>
      <c r="I6072">
        <v>-58.917759999999902</v>
      </c>
      <c r="J6072">
        <v>-213.4795</v>
      </c>
      <c r="K6072">
        <v>1.1058870000000001</v>
      </c>
      <c r="L6072">
        <v>-59.577550000000002</v>
      </c>
      <c r="M6072">
        <v>0.99613180000000001</v>
      </c>
      <c r="N6072">
        <v>0</v>
      </c>
      <c r="O6072">
        <v>8.6660249999999994E-2</v>
      </c>
      <c r="P6072">
        <v>0.95772199999999996</v>
      </c>
      <c r="Q6072">
        <v>-2.4193629999999999E-3</v>
      </c>
      <c r="R6072">
        <v>0.28768549999999998</v>
      </c>
      <c r="S6072">
        <v>2.4909059999999998</v>
      </c>
      <c r="T6072">
        <v>-0.18790589999999999</v>
      </c>
      <c r="U6072">
        <v>2.1445919999999998</v>
      </c>
      <c r="V6072">
        <v>-0.2036365</v>
      </c>
      <c r="W6072">
        <v>1.113899E-2</v>
      </c>
      <c r="X6072">
        <v>0.97898320000000005</v>
      </c>
      <c r="Y6072">
        <v>-0.58352899999999996</v>
      </c>
      <c r="Z6072">
        <v>1.337762E-2</v>
      </c>
      <c r="AA6072">
        <v>0.81198219999999899</v>
      </c>
      <c r="AB6072">
        <v>22</v>
      </c>
      <c r="AC6072">
        <v>0.66610000000000003</v>
      </c>
      <c r="AD6072">
        <v>-5.8781000000000097E-2</v>
      </c>
      <c r="AE6072">
        <v>0.65979000000000798</v>
      </c>
      <c r="AF6072">
        <v>-0.59722921915652505</v>
      </c>
      <c r="AG6072">
        <v>-5.8781000000000097E-2</v>
      </c>
      <c r="AH6072">
        <v>0.71795503651693404</v>
      </c>
      <c r="AI6072">
        <v>93.601582928044905</v>
      </c>
      <c r="AJ6072">
        <v>129.755298055597</v>
      </c>
      <c r="AK6072">
        <v>0.93573360559260998</v>
      </c>
    </row>
    <row r="6073" spans="1:37" x14ac:dyDescent="0.2">
      <c r="A6073" t="str">
        <f>"20200111160020412"</f>
        <v>20200111160020412</v>
      </c>
      <c r="B6073" t="str">
        <f>"1578729620407024"</f>
        <v>1578729620407024</v>
      </c>
      <c r="C6073" t="s">
        <v>37</v>
      </c>
      <c r="D6073">
        <v>4.4351320000000003</v>
      </c>
      <c r="E6073">
        <v>0.3323238</v>
      </c>
      <c r="F6073" t="s">
        <v>38</v>
      </c>
      <c r="G6073">
        <v>-212.79310000000001</v>
      </c>
      <c r="H6073">
        <v>1.0532729999999999</v>
      </c>
      <c r="I6073">
        <v>-58.98395</v>
      </c>
      <c r="J6073">
        <v>-213.37200000000001</v>
      </c>
      <c r="K6073">
        <v>1.105882</v>
      </c>
      <c r="L6073">
        <v>-59.566800000000001</v>
      </c>
      <c r="M6073">
        <v>0.99602849999999998</v>
      </c>
      <c r="N6073">
        <v>0</v>
      </c>
      <c r="O6073">
        <v>8.7839790000000001E-2</v>
      </c>
      <c r="P6073">
        <v>0.95699439999999902</v>
      </c>
      <c r="Q6073">
        <v>-3.4429669999999999E-3</v>
      </c>
      <c r="R6073">
        <v>0.29008600000000001</v>
      </c>
      <c r="S6073">
        <v>2.4860989999999998</v>
      </c>
      <c r="T6073">
        <v>-0.19056529999999999</v>
      </c>
      <c r="U6073">
        <v>2.1501459999999999</v>
      </c>
      <c r="V6073">
        <v>-0.2049279</v>
      </c>
      <c r="W6073">
        <v>1.0106220000000001E-2</v>
      </c>
      <c r="X6073">
        <v>0.97872490000000001</v>
      </c>
      <c r="Y6073">
        <v>-0.58435930000000003</v>
      </c>
      <c r="Z6073">
        <v>1.3529090000000001E-2</v>
      </c>
      <c r="AA6073">
        <v>0.81138219999999905</v>
      </c>
      <c r="AB6073">
        <v>22</v>
      </c>
      <c r="AC6073">
        <v>0.57890000000000397</v>
      </c>
      <c r="AD6073">
        <v>-5.26090000000001E-2</v>
      </c>
      <c r="AE6073">
        <v>0.58284999999999998</v>
      </c>
      <c r="AF6073">
        <v>-0.527577010481597</v>
      </c>
      <c r="AG6073">
        <v>-5.26090000000001E-2</v>
      </c>
      <c r="AH6073">
        <v>0.62530015586698995</v>
      </c>
      <c r="AI6073">
        <v>93.6792769171267</v>
      </c>
      <c r="AJ6073">
        <v>130.15492933166999</v>
      </c>
      <c r="AK6073">
        <v>0.81982040337928996</v>
      </c>
    </row>
    <row r="6074" spans="1:37" x14ac:dyDescent="0.2">
      <c r="A6074" t="str">
        <f>"20200111160020424"</f>
        <v>20200111160020424</v>
      </c>
      <c r="B6074" t="str">
        <f>"1578729620416782"</f>
        <v>1578729620416782</v>
      </c>
      <c r="C6074" t="s">
        <v>37</v>
      </c>
      <c r="D6074">
        <v>4.4011849999999999</v>
      </c>
      <c r="E6074">
        <v>0.33233269999999998</v>
      </c>
      <c r="F6074" t="s">
        <v>38</v>
      </c>
      <c r="G6074">
        <v>-212.61940000000001</v>
      </c>
      <c r="H6074">
        <v>1.0472980000000001</v>
      </c>
      <c r="I6074">
        <v>-58.912869999999998</v>
      </c>
      <c r="J6074">
        <v>-213.2568</v>
      </c>
      <c r="K6074">
        <v>1.105874</v>
      </c>
      <c r="L6074">
        <v>-59.555239999999998</v>
      </c>
      <c r="M6074">
        <v>0.99591640000000003</v>
      </c>
      <c r="N6074">
        <v>0</v>
      </c>
      <c r="O6074">
        <v>8.9102529999999999E-2</v>
      </c>
      <c r="P6074">
        <v>0.9563739</v>
      </c>
      <c r="Q6074">
        <v>-4.5121279999999998E-3</v>
      </c>
      <c r="R6074">
        <v>0.29211090000000001</v>
      </c>
      <c r="S6074">
        <v>2.4805450000000002</v>
      </c>
      <c r="T6074">
        <v>-0.19310050000000001</v>
      </c>
      <c r="U6074">
        <v>2.1561279999999998</v>
      </c>
      <c r="V6074">
        <v>-0.20575589999999899</v>
      </c>
      <c r="W6074">
        <v>9.0314750000000006E-3</v>
      </c>
      <c r="X6074">
        <v>0.97856160000000003</v>
      </c>
      <c r="Y6074">
        <v>-0.58532209999999996</v>
      </c>
      <c r="Z6074">
        <v>1.367208E-2</v>
      </c>
      <c r="AA6074">
        <v>0.81068549999999995</v>
      </c>
      <c r="AB6074">
        <v>22</v>
      </c>
      <c r="AC6074">
        <v>0.63739999999998498</v>
      </c>
      <c r="AD6074">
        <v>-5.8575999999999899E-2</v>
      </c>
      <c r="AE6074">
        <v>0.64237000000000599</v>
      </c>
      <c r="AF6074">
        <v>-0.58058189918268999</v>
      </c>
      <c r="AG6074">
        <v>-5.8575999999999899E-2</v>
      </c>
      <c r="AH6074">
        <v>0.68921928879621097</v>
      </c>
      <c r="AI6074">
        <v>93.719010898841105</v>
      </c>
      <c r="AJ6074">
        <v>130.10998770918599</v>
      </c>
      <c r="AK6074">
        <v>0.903066839986573</v>
      </c>
    </row>
    <row r="6075" spans="1:37" x14ac:dyDescent="0.2">
      <c r="A6075" t="str">
        <f>"20200111160020436"</f>
        <v>20200111160020436</v>
      </c>
      <c r="B6075" t="str">
        <f>"1578729620426542"</f>
        <v>1578729620426542</v>
      </c>
      <c r="C6075" t="s">
        <v>37</v>
      </c>
      <c r="D6075">
        <v>4.3473220000000001</v>
      </c>
      <c r="E6075">
        <v>0.33228959999999902</v>
      </c>
      <c r="F6075" t="s">
        <v>38</v>
      </c>
      <c r="G6075">
        <v>-212.5984</v>
      </c>
      <c r="H6075">
        <v>1.05382</v>
      </c>
      <c r="I6075">
        <v>-58.98068</v>
      </c>
      <c r="J6075">
        <v>-213.1447</v>
      </c>
      <c r="K6075">
        <v>1.1058649999999901</v>
      </c>
      <c r="L6075">
        <v>-59.543729999999996</v>
      </c>
      <c r="M6075">
        <v>0.99580559999999996</v>
      </c>
      <c r="N6075">
        <v>0</v>
      </c>
      <c r="O6075">
        <v>9.0333220000000006E-2</v>
      </c>
      <c r="P6075">
        <v>0.95575509999999997</v>
      </c>
      <c r="Q6075">
        <v>-5.6564579999999996E-3</v>
      </c>
      <c r="R6075">
        <v>0.29410969999999997</v>
      </c>
      <c r="S6075">
        <v>2.4758149999999999</v>
      </c>
      <c r="T6075">
        <v>-0.195736299999999</v>
      </c>
      <c r="U6075">
        <v>2.1612239999999998</v>
      </c>
      <c r="V6075">
        <v>-0.20658850000000001</v>
      </c>
      <c r="W6075">
        <v>7.8804319999999997E-3</v>
      </c>
      <c r="X6075">
        <v>0.97839619999999905</v>
      </c>
      <c r="Y6075">
        <v>-0.58601199999999998</v>
      </c>
      <c r="Z6075">
        <v>1.381187E-2</v>
      </c>
      <c r="AA6075">
        <v>0.81018469999999998</v>
      </c>
      <c r="AB6075">
        <v>22</v>
      </c>
      <c r="AC6075">
        <v>0.54630000000000201</v>
      </c>
      <c r="AD6075">
        <v>-5.2044999999999897E-2</v>
      </c>
      <c r="AE6075">
        <v>0.56304999999999605</v>
      </c>
      <c r="AF6075">
        <v>-0.50915250693595104</v>
      </c>
      <c r="AG6075">
        <v>-5.2044999999999897E-2</v>
      </c>
      <c r="AH6075">
        <v>0.59232668958212997</v>
      </c>
      <c r="AI6075">
        <v>93.812099232046606</v>
      </c>
      <c r="AJ6075">
        <v>130.68171338978499</v>
      </c>
      <c r="AK6075">
        <v>0.78281279022221495</v>
      </c>
    </row>
    <row r="6076" spans="1:37" x14ac:dyDescent="0.2">
      <c r="A6076" t="str">
        <f>"20200111160020450"</f>
        <v>20200111160020450</v>
      </c>
      <c r="B6076" t="str">
        <f>"1578729620447038"</f>
        <v>1578729620447038</v>
      </c>
      <c r="C6076" t="s">
        <v>37</v>
      </c>
      <c r="D6076">
        <v>4.3088809999999897</v>
      </c>
      <c r="E6076">
        <v>0.33224730000000002</v>
      </c>
      <c r="F6076" t="s">
        <v>38</v>
      </c>
      <c r="G6076">
        <v>-212.42420000000001</v>
      </c>
      <c r="H6076">
        <v>1.0483089999999999</v>
      </c>
      <c r="I6076">
        <v>-58.912119999999902</v>
      </c>
      <c r="J6076">
        <v>-213.01230000000001</v>
      </c>
      <c r="K6076">
        <v>1.105858</v>
      </c>
      <c r="L6076">
        <v>-59.530059999999999</v>
      </c>
      <c r="M6076">
        <v>0.99567260000000002</v>
      </c>
      <c r="N6076">
        <v>0</v>
      </c>
      <c r="O6076">
        <v>9.1787350000000004E-2</v>
      </c>
      <c r="P6076">
        <v>0.95507839999999999</v>
      </c>
      <c r="Q6076">
        <v>-7.1521349999999996E-3</v>
      </c>
      <c r="R6076">
        <v>0.29626760000000002</v>
      </c>
      <c r="S6076">
        <v>2.4710999999999999</v>
      </c>
      <c r="T6076">
        <v>-0.19742660000000001</v>
      </c>
      <c r="U6076">
        <v>2.16629</v>
      </c>
      <c r="V6076">
        <v>-0.20736559999999901</v>
      </c>
      <c r="W6076">
        <v>6.3779559999999997E-3</v>
      </c>
      <c r="X6076">
        <v>0.97824279999999997</v>
      </c>
      <c r="Y6076">
        <v>-0.58652069999999901</v>
      </c>
      <c r="Z6076">
        <v>1.386274E-2</v>
      </c>
      <c r="AA6076">
        <v>0.80981559999999997</v>
      </c>
      <c r="AB6076">
        <v>22</v>
      </c>
      <c r="AC6076">
        <v>0.58809999999999696</v>
      </c>
      <c r="AD6076">
        <v>-5.7549000000000003E-2</v>
      </c>
      <c r="AE6076">
        <v>0.61794000000000404</v>
      </c>
      <c r="AF6076">
        <v>-0.55880189158438798</v>
      </c>
      <c r="AG6076">
        <v>-5.7549000000000003E-2</v>
      </c>
      <c r="AH6076">
        <v>0.63943183382734103</v>
      </c>
      <c r="AI6076">
        <v>93.876942071169196</v>
      </c>
      <c r="AJ6076">
        <v>131.1503324638</v>
      </c>
      <c r="AK6076">
        <v>0.85114306174173104</v>
      </c>
    </row>
    <row r="6077" spans="1:37" x14ac:dyDescent="0.2">
      <c r="A6077" t="str">
        <f>"20200111160020474"</f>
        <v>20200111160020474</v>
      </c>
      <c r="B6077" t="str">
        <f>"1578729620466559"</f>
        <v>1578729620466559</v>
      </c>
      <c r="C6077" t="s">
        <v>37</v>
      </c>
      <c r="D6077">
        <v>4.326314</v>
      </c>
      <c r="E6077">
        <v>0.33227519999999999</v>
      </c>
      <c r="F6077" t="s">
        <v>38</v>
      </c>
      <c r="G6077">
        <v>-212.2467</v>
      </c>
      <c r="H6077">
        <v>1.044842</v>
      </c>
      <c r="I6077">
        <v>-58.856009999999998</v>
      </c>
      <c r="J6077">
        <v>-212.79320000000001</v>
      </c>
      <c r="K6077">
        <v>1.105847</v>
      </c>
      <c r="L6077">
        <v>-59.506900000000002</v>
      </c>
      <c r="M6077">
        <v>0.99544690000000002</v>
      </c>
      <c r="N6077">
        <v>0</v>
      </c>
      <c r="O6077">
        <v>9.4204579999999996E-2</v>
      </c>
      <c r="P6077">
        <v>0.95391419999999905</v>
      </c>
      <c r="Q6077">
        <v>-1.0029059999999999E-2</v>
      </c>
      <c r="R6077">
        <v>0.29991190000000001</v>
      </c>
      <c r="S6077">
        <v>2.465897</v>
      </c>
      <c r="T6077">
        <v>-0.19654440000000001</v>
      </c>
      <c r="U6077">
        <v>2.171875</v>
      </c>
      <c r="V6077">
        <v>-0.20871779999999901</v>
      </c>
      <c r="W6077">
        <v>3.4874059999999902E-3</v>
      </c>
      <c r="X6077">
        <v>0.97796970000000005</v>
      </c>
      <c r="Y6077">
        <v>-0.5864471</v>
      </c>
      <c r="Z6077">
        <v>1.3649909999999999E-2</v>
      </c>
      <c r="AA6077">
        <v>0.8098725</v>
      </c>
      <c r="AB6077">
        <v>21</v>
      </c>
      <c r="AC6077">
        <v>0.54650000000000798</v>
      </c>
      <c r="AD6077">
        <v>-6.10049999999999E-2</v>
      </c>
      <c r="AE6077">
        <v>0.65089000000000397</v>
      </c>
      <c r="AF6077">
        <v>-0.59344892721083498</v>
      </c>
      <c r="AG6077">
        <v>-6.10049999999999E-2</v>
      </c>
      <c r="AH6077">
        <v>0.60228923679128199</v>
      </c>
      <c r="AI6077">
        <v>94.126703051032806</v>
      </c>
      <c r="AJ6077">
        <v>134.576409605723</v>
      </c>
      <c r="AK6077">
        <v>0.84773555073933105</v>
      </c>
    </row>
    <row r="6078" spans="1:37" x14ac:dyDescent="0.2">
      <c r="A6078" t="str">
        <f>"20200111160020489"</f>
        <v>20200111160020489</v>
      </c>
      <c r="B6078" t="str">
        <f>"1578729620487054"</f>
        <v>1578729620487054</v>
      </c>
      <c r="C6078" t="s">
        <v>37</v>
      </c>
      <c r="D6078">
        <v>4.3376099999999997</v>
      </c>
      <c r="E6078">
        <v>0.33239000000000002</v>
      </c>
      <c r="F6078" t="s">
        <v>38</v>
      </c>
      <c r="G6078">
        <v>-212.05359999999999</v>
      </c>
      <c r="H6078">
        <v>1.0443770000000001</v>
      </c>
      <c r="I6078">
        <v>-58.8506199999999</v>
      </c>
      <c r="J6078">
        <v>-212.6429</v>
      </c>
      <c r="K6078">
        <v>1.1058459999999899</v>
      </c>
      <c r="L6078">
        <v>-59.490719999999897</v>
      </c>
      <c r="M6078">
        <v>0.99528760000000005</v>
      </c>
      <c r="N6078">
        <v>0</v>
      </c>
      <c r="O6078">
        <v>9.5874870000000001E-2</v>
      </c>
      <c r="P6078">
        <v>0.95286999999999999</v>
      </c>
      <c r="Q6078">
        <v>-1.251771E-2</v>
      </c>
      <c r="R6078">
        <v>0.30312099999999997</v>
      </c>
      <c r="S6078">
        <v>2.4571839999999998</v>
      </c>
      <c r="T6078">
        <v>-0.20422879999999999</v>
      </c>
      <c r="U6078">
        <v>2.1806640000000002</v>
      </c>
      <c r="V6078">
        <v>-0.21036299999999999</v>
      </c>
      <c r="W6078">
        <v>9.8258679999999998E-4</v>
      </c>
      <c r="X6078">
        <v>0.97762289999999996</v>
      </c>
      <c r="Y6078">
        <v>-0.5880628</v>
      </c>
      <c r="Z6078">
        <v>1.414719E-2</v>
      </c>
      <c r="AA6078">
        <v>0.80869150000000001</v>
      </c>
      <c r="AB6078">
        <v>21</v>
      </c>
      <c r="AC6078">
        <v>0.58930000000000804</v>
      </c>
      <c r="AD6078">
        <v>-6.1468999999999697E-2</v>
      </c>
      <c r="AE6078">
        <v>0.640100000000003</v>
      </c>
      <c r="AF6078">
        <v>-0.57776188623962099</v>
      </c>
      <c r="AG6078">
        <v>-6.1468999999999697E-2</v>
      </c>
      <c r="AH6078">
        <v>0.64474260818749696</v>
      </c>
      <c r="AI6078">
        <v>94.061292073546696</v>
      </c>
      <c r="AJ6078">
        <v>131.863913850275</v>
      </c>
      <c r="AK6078">
        <v>0.867917199947426</v>
      </c>
    </row>
    <row r="6079" spans="1:37" x14ac:dyDescent="0.2">
      <c r="A6079" t="str">
        <f>"20200111160020500"</f>
        <v>20200111160020500</v>
      </c>
      <c r="B6079" t="str">
        <f>"1578729620496815"</f>
        <v>1578729620496815</v>
      </c>
      <c r="C6079" t="s">
        <v>37</v>
      </c>
      <c r="D6079">
        <v>4.31351</v>
      </c>
      <c r="E6079">
        <v>0.33247209999999899</v>
      </c>
      <c r="F6079" t="s">
        <v>75</v>
      </c>
      <c r="G6079">
        <v>-200.5898</v>
      </c>
      <c r="H6079">
        <v>7.9986799999999997E-2</v>
      </c>
      <c r="I6079">
        <v>-48.726009999999903</v>
      </c>
      <c r="J6079">
        <v>-212.53989999999999</v>
      </c>
      <c r="K6079">
        <v>1.105845</v>
      </c>
      <c r="L6079">
        <v>-59.479459999999897</v>
      </c>
      <c r="M6079">
        <v>0.99517599999999995</v>
      </c>
      <c r="N6079">
        <v>0</v>
      </c>
      <c r="O6079">
        <v>9.7026390000000004E-2</v>
      </c>
      <c r="P6079">
        <v>0.95232269999999897</v>
      </c>
      <c r="Q6079">
        <v>-1.3398480000000001E-2</v>
      </c>
      <c r="R6079">
        <v>0.30479849999999997</v>
      </c>
      <c r="S6079">
        <v>2.449646</v>
      </c>
      <c r="T6079">
        <v>-0.20849429999999899</v>
      </c>
      <c r="U6079">
        <v>2.187805</v>
      </c>
      <c r="V6079">
        <v>-0.21095129999999901</v>
      </c>
      <c r="W6079" s="1">
        <v>9.3193030000000002E-5</v>
      </c>
      <c r="X6079">
        <v>0.97749660000000005</v>
      </c>
      <c r="Y6079">
        <v>-0.58963160000000003</v>
      </c>
      <c r="Z6079">
        <v>1.4438579999999999E-2</v>
      </c>
      <c r="AA6079">
        <v>0.80754329999999996</v>
      </c>
      <c r="AB6079">
        <v>21</v>
      </c>
      <c r="AC6079">
        <v>11.9500999999999</v>
      </c>
      <c r="AD6079">
        <v>-1.0258582000000001</v>
      </c>
      <c r="AE6079">
        <v>10.753450000000001</v>
      </c>
      <c r="AF6079">
        <v>-9.5044029460024806</v>
      </c>
      <c r="AG6079">
        <v>-1.0258582000000001</v>
      </c>
      <c r="AH6079">
        <v>12.8847164532981</v>
      </c>
      <c r="AI6079">
        <v>93.666067066403201</v>
      </c>
      <c r="AJ6079">
        <v>126.414317348415</v>
      </c>
      <c r="AK6079">
        <v>16.043752007818401</v>
      </c>
    </row>
    <row r="6080" spans="1:37" x14ac:dyDescent="0.2">
      <c r="A6080" t="str">
        <f>"20200111160020511"</f>
        <v>20200111160020511</v>
      </c>
      <c r="B6080" t="str">
        <f>"1578729620506574"</f>
        <v>1578729620506574</v>
      </c>
      <c r="C6080" t="s">
        <v>37</v>
      </c>
      <c r="D6080">
        <v>4.5019599999999897</v>
      </c>
      <c r="E6080">
        <v>0.33283160000000001</v>
      </c>
      <c r="F6080" t="s">
        <v>38</v>
      </c>
      <c r="G6080">
        <v>-211.8544</v>
      </c>
      <c r="H6080">
        <v>1.047137</v>
      </c>
      <c r="I6080">
        <v>-58.865269999999903</v>
      </c>
      <c r="J6080">
        <v>-212.44149999999999</v>
      </c>
      <c r="K6080">
        <v>1.1058490000000001</v>
      </c>
      <c r="L6080">
        <v>-59.468600000000002</v>
      </c>
      <c r="M6080">
        <v>0.99506719999999904</v>
      </c>
      <c r="N6080">
        <v>0</v>
      </c>
      <c r="O6080">
        <v>9.8135319999999998E-2</v>
      </c>
      <c r="P6080">
        <v>0.95169899999999996</v>
      </c>
      <c r="Q6080">
        <v>-1.4091340000000001E-2</v>
      </c>
      <c r="R6080">
        <v>0.30670959999999903</v>
      </c>
      <c r="S6080">
        <v>2.4458470000000001</v>
      </c>
      <c r="T6080">
        <v>-0.20947299999999999</v>
      </c>
      <c r="U6080">
        <v>2.1915279999999999</v>
      </c>
      <c r="V6080">
        <v>-0.21182329999999899</v>
      </c>
      <c r="W6080">
        <v>-6.1082789999999997E-4</v>
      </c>
      <c r="X6080">
        <v>0.97730779999999995</v>
      </c>
      <c r="Y6080">
        <v>-0.59002889999999997</v>
      </c>
      <c r="Z6080">
        <v>1.4452110000000001E-2</v>
      </c>
      <c r="AA6080">
        <v>0.80725279999999999</v>
      </c>
      <c r="AB6080">
        <v>21</v>
      </c>
      <c r="AC6080">
        <v>0.58709999999999196</v>
      </c>
      <c r="AD6080">
        <v>-5.8712000000000097E-2</v>
      </c>
      <c r="AE6080">
        <v>0.60333000000000603</v>
      </c>
      <c r="AF6080">
        <v>-0.54016845129917102</v>
      </c>
      <c r="AG6080">
        <v>-5.8712000000000097E-2</v>
      </c>
      <c r="AH6080">
        <v>0.64036499065633101</v>
      </c>
      <c r="AI6080">
        <v>94.008834080735497</v>
      </c>
      <c r="AJ6080">
        <v>130.14870733852601</v>
      </c>
      <c r="AK6080">
        <v>0.839819251971058</v>
      </c>
    </row>
    <row r="6081" spans="1:37" x14ac:dyDescent="0.2">
      <c r="A6081" t="str">
        <f>"20200111160020525"</f>
        <v>20200111160020525</v>
      </c>
      <c r="B6081" t="str">
        <f>"1578729620517310"</f>
        <v>1578729620517310</v>
      </c>
      <c r="C6081" t="s">
        <v>37</v>
      </c>
      <c r="D6081">
        <v>4.3548119999999999</v>
      </c>
      <c r="E6081">
        <v>0.33297369999999998</v>
      </c>
      <c r="F6081" t="s">
        <v>38</v>
      </c>
      <c r="G6081">
        <v>-211.68459999999999</v>
      </c>
      <c r="H6081">
        <v>1.0398769999999999</v>
      </c>
      <c r="I6081">
        <v>-58.788739999999997</v>
      </c>
      <c r="J6081">
        <v>-212.30330000000001</v>
      </c>
      <c r="K6081">
        <v>1.105861</v>
      </c>
      <c r="L6081">
        <v>-59.453189999999999</v>
      </c>
      <c r="M6081">
        <v>0.99491149999999995</v>
      </c>
      <c r="N6081">
        <v>0</v>
      </c>
      <c r="O6081">
        <v>9.9702719999999995E-2</v>
      </c>
      <c r="P6081">
        <v>0.9509109</v>
      </c>
      <c r="Q6081">
        <v>-1.473881E-2</v>
      </c>
      <c r="R6081">
        <v>0.30911420000000001</v>
      </c>
      <c r="S6081">
        <v>2.4421689999999998</v>
      </c>
      <c r="T6081">
        <v>-0.212862</v>
      </c>
      <c r="U6081">
        <v>2.1936040000000001</v>
      </c>
      <c r="V6081">
        <v>-0.21275229999999901</v>
      </c>
      <c r="W6081">
        <v>-1.273211E-3</v>
      </c>
      <c r="X6081">
        <v>0.97710529999999995</v>
      </c>
      <c r="Y6081">
        <v>-0.58971240000000003</v>
      </c>
      <c r="Z6081">
        <v>1.4572760000000001E-2</v>
      </c>
      <c r="AA6081">
        <v>0.80748180000000003</v>
      </c>
      <c r="AB6081">
        <v>21</v>
      </c>
      <c r="AC6081">
        <v>0.61870000000001801</v>
      </c>
      <c r="AD6081">
        <v>-6.5984000000000001E-2</v>
      </c>
      <c r="AE6081">
        <v>0.66444999999999499</v>
      </c>
      <c r="AF6081">
        <v>-0.59629630713953996</v>
      </c>
      <c r="AG6081">
        <v>-6.5984000000000001E-2</v>
      </c>
      <c r="AH6081">
        <v>0.67828824215984296</v>
      </c>
      <c r="AI6081">
        <v>94.178687744976003</v>
      </c>
      <c r="AJ6081">
        <v>131.319327864039</v>
      </c>
      <c r="AK6081">
        <v>0.905537472232122</v>
      </c>
    </row>
    <row r="6082" spans="1:37" x14ac:dyDescent="0.2">
      <c r="A6082" t="str">
        <f>"20200111160020535"</f>
        <v>20200111160020535</v>
      </c>
      <c r="B6082" t="str">
        <f>"1578729620527070"</f>
        <v>1578729620527070</v>
      </c>
      <c r="C6082" t="s">
        <v>37</v>
      </c>
      <c r="D6082">
        <v>4.3110119999999998</v>
      </c>
      <c r="E6082">
        <v>0.33297749999999998</v>
      </c>
      <c r="F6082" t="s">
        <v>75</v>
      </c>
      <c r="G6082">
        <v>-200.6035</v>
      </c>
      <c r="H6082">
        <v>7.9986740000000001E-2</v>
      </c>
      <c r="I6082">
        <v>-48.89752</v>
      </c>
      <c r="J6082">
        <v>-212.2056</v>
      </c>
      <c r="K6082">
        <v>1.105869</v>
      </c>
      <c r="L6082">
        <v>-59.442050000000002</v>
      </c>
      <c r="M6082">
        <v>0.99479759999999995</v>
      </c>
      <c r="N6082">
        <v>0</v>
      </c>
      <c r="O6082">
        <v>0.100832</v>
      </c>
      <c r="P6082">
        <v>0.95026529999999998</v>
      </c>
      <c r="Q6082">
        <v>-1.510878E-2</v>
      </c>
      <c r="R6082">
        <v>0.31107459999999998</v>
      </c>
      <c r="S6082">
        <v>2.43689</v>
      </c>
      <c r="T6082">
        <v>-0.21367349999999999</v>
      </c>
      <c r="U6082">
        <v>2.1985779999999999</v>
      </c>
      <c r="V6082">
        <v>-0.2136574</v>
      </c>
      <c r="W6082">
        <v>-1.657452E-3</v>
      </c>
      <c r="X6082">
        <v>0.97690730000000003</v>
      </c>
      <c r="Y6082">
        <v>-0.59056619999999904</v>
      </c>
      <c r="Z6082">
        <v>1.4592880000000001E-2</v>
      </c>
      <c r="AA6082">
        <v>0.8068573</v>
      </c>
      <c r="AB6082">
        <v>21</v>
      </c>
      <c r="AC6082">
        <v>11.6021</v>
      </c>
      <c r="AD6082">
        <v>-1.0258822599999999</v>
      </c>
      <c r="AE6082">
        <v>10.54453</v>
      </c>
      <c r="AF6082">
        <v>-9.2810528448258793</v>
      </c>
      <c r="AG6082">
        <v>-1.0258822599999999</v>
      </c>
      <c r="AH6082">
        <v>12.5525482907143</v>
      </c>
      <c r="AI6082">
        <v>93.759797541120093</v>
      </c>
      <c r="AJ6082">
        <v>126.47833198849</v>
      </c>
      <c r="AK6082">
        <v>15.6447066099223</v>
      </c>
    </row>
    <row r="6083" spans="1:37" x14ac:dyDescent="0.2">
      <c r="A6083" t="str">
        <f>"20200111160020547"</f>
        <v>20200111160020547</v>
      </c>
      <c r="B6083" t="str">
        <f>"1578729620536831"</f>
        <v>1578729620536831</v>
      </c>
      <c r="C6083" t="s">
        <v>37</v>
      </c>
      <c r="D6083">
        <v>4.4851169999999998</v>
      </c>
      <c r="E6083">
        <v>0.33316659999999998</v>
      </c>
      <c r="F6083" t="s">
        <v>38</v>
      </c>
      <c r="G6083">
        <v>-211.48920000000001</v>
      </c>
      <c r="H6083">
        <v>1.0430779999999999</v>
      </c>
      <c r="I6083">
        <v>-58.793169999999897</v>
      </c>
      <c r="J6083">
        <v>-212.10120000000001</v>
      </c>
      <c r="K6083">
        <v>1.1058829999999999</v>
      </c>
      <c r="L6083">
        <v>-59.430079999999997</v>
      </c>
      <c r="M6083">
        <v>0.99467410000000001</v>
      </c>
      <c r="N6083">
        <v>0</v>
      </c>
      <c r="O6083">
        <v>0.1020438</v>
      </c>
      <c r="P6083">
        <v>0.94956810000000003</v>
      </c>
      <c r="Q6083">
        <v>-1.5153130000000001E-2</v>
      </c>
      <c r="R6083">
        <v>0.3131948</v>
      </c>
      <c r="S6083">
        <v>2.4323429999999999</v>
      </c>
      <c r="T6083">
        <v>-0.21318139999999999</v>
      </c>
      <c r="U6083">
        <v>2.2033689999999999</v>
      </c>
      <c r="V6083">
        <v>-0.21464710000000001</v>
      </c>
      <c r="W6083">
        <v>-1.717557E-3</v>
      </c>
      <c r="X6083">
        <v>0.97669019999999995</v>
      </c>
      <c r="Y6083">
        <v>-0.59121199999999996</v>
      </c>
      <c r="Z6083">
        <v>1.450735E-2</v>
      </c>
      <c r="AA6083">
        <v>0.80638580000000004</v>
      </c>
      <c r="AB6083">
        <v>21</v>
      </c>
      <c r="AC6083">
        <v>0.61199999999999399</v>
      </c>
      <c r="AD6083">
        <v>-6.2804999999999694E-2</v>
      </c>
      <c r="AE6083">
        <v>0.63691000000000697</v>
      </c>
      <c r="AF6083">
        <v>-0.56825425203328095</v>
      </c>
      <c r="AG6083">
        <v>-6.2804999999999694E-2</v>
      </c>
      <c r="AH6083">
        <v>0.67041475429330399</v>
      </c>
      <c r="AI6083">
        <v>94.087585043908604</v>
      </c>
      <c r="AJ6083">
        <v>130.285142857637</v>
      </c>
      <c r="AK6083">
        <v>0.88108643489334004</v>
      </c>
    </row>
    <row r="6084" spans="1:37" x14ac:dyDescent="0.2">
      <c r="A6084" t="str">
        <f>"20200111160020558"</f>
        <v>20200111160020558</v>
      </c>
      <c r="B6084" t="str">
        <f>"1578729620546590"</f>
        <v>1578729620546590</v>
      </c>
      <c r="C6084" t="s">
        <v>37</v>
      </c>
      <c r="D6084">
        <v>4.4576440000000002</v>
      </c>
      <c r="E6084">
        <v>0.3333277</v>
      </c>
      <c r="F6084" t="s">
        <v>75</v>
      </c>
      <c r="G6084">
        <v>-199.54640000000001</v>
      </c>
      <c r="H6084" s="1">
        <v>-4.2148340000000004E-6</v>
      </c>
      <c r="I6084">
        <v>-48.016350000000003</v>
      </c>
      <c r="J6084">
        <v>-211.9879</v>
      </c>
      <c r="K6084">
        <v>1.1059030000000001</v>
      </c>
      <c r="L6084">
        <v>-59.416930000000001</v>
      </c>
      <c r="M6084">
        <v>0.99453609999999903</v>
      </c>
      <c r="N6084">
        <v>0</v>
      </c>
      <c r="O6084">
        <v>0.1033806</v>
      </c>
      <c r="P6084">
        <v>0.94886309999999996</v>
      </c>
      <c r="Q6084">
        <v>-1.4900999999999999E-2</v>
      </c>
      <c r="R6084">
        <v>0.31533600000000001</v>
      </c>
      <c r="S6084">
        <v>2.427902</v>
      </c>
      <c r="T6084">
        <v>-0.2138621</v>
      </c>
      <c r="U6084">
        <v>2.2072449999999999</v>
      </c>
      <c r="V6084">
        <v>-0.21553800000000001</v>
      </c>
      <c r="W6084">
        <v>-1.4827950000000001E-3</v>
      </c>
      <c r="X6084">
        <v>0.97649430000000004</v>
      </c>
      <c r="Y6084">
        <v>-0.59156200000000003</v>
      </c>
      <c r="Z6084">
        <v>1.4482180000000001E-2</v>
      </c>
      <c r="AA6084">
        <v>0.80612950000000005</v>
      </c>
      <c r="AB6084">
        <v>21</v>
      </c>
      <c r="AC6084">
        <v>12.4414999999999</v>
      </c>
      <c r="AD6084">
        <v>-1.1059072148339999</v>
      </c>
      <c r="AE6084">
        <v>11.40058</v>
      </c>
      <c r="AF6084">
        <v>-10.010143798845601</v>
      </c>
      <c r="AG6084">
        <v>-1.1059072148339999</v>
      </c>
      <c r="AH6084">
        <v>13.495583528234899</v>
      </c>
      <c r="AI6084">
        <v>93.765598354658195</v>
      </c>
      <c r="AJ6084">
        <v>126.56561381184601</v>
      </c>
      <c r="AK6084">
        <v>16.8391444084596</v>
      </c>
    </row>
    <row r="6085" spans="1:37" x14ac:dyDescent="0.2">
      <c r="A6085" t="str">
        <f>"20200111160020571"</f>
        <v>20200111160020571</v>
      </c>
      <c r="B6085" t="str">
        <f>"1578729620567086"</f>
        <v>1578729620567086</v>
      </c>
      <c r="C6085" t="s">
        <v>37</v>
      </c>
      <c r="D6085">
        <v>4.4089539999999996</v>
      </c>
      <c r="E6085">
        <v>0.33385799999999999</v>
      </c>
      <c r="F6085" t="s">
        <v>38</v>
      </c>
      <c r="G6085">
        <v>-211.29740000000001</v>
      </c>
      <c r="H6085">
        <v>1.045121</v>
      </c>
      <c r="I6085">
        <v>-58.786740000000002</v>
      </c>
      <c r="J6085">
        <v>-211.87450000000001</v>
      </c>
      <c r="K6085">
        <v>1.1059289999999999</v>
      </c>
      <c r="L6085">
        <v>-59.403590000000001</v>
      </c>
      <c r="M6085">
        <v>0.99439409999999895</v>
      </c>
      <c r="N6085">
        <v>0</v>
      </c>
      <c r="O6085">
        <v>0.1047386</v>
      </c>
      <c r="P6085">
        <v>0.94816710000000004</v>
      </c>
      <c r="Q6085">
        <v>-1.4727219999999999E-2</v>
      </c>
      <c r="R6085">
        <v>0.31743090000000002</v>
      </c>
      <c r="S6085">
        <v>2.4233859999999998</v>
      </c>
      <c r="T6085">
        <v>-0.213311</v>
      </c>
      <c r="U6085">
        <v>2.211487</v>
      </c>
      <c r="V6085">
        <v>-0.21636079999999899</v>
      </c>
      <c r="W6085">
        <v>-1.327207E-3</v>
      </c>
      <c r="X6085">
        <v>0.97631259999999997</v>
      </c>
      <c r="Y6085">
        <v>-0.5919856</v>
      </c>
      <c r="Z6085">
        <v>1.437457E-2</v>
      </c>
      <c r="AA6085">
        <v>0.80582030000000004</v>
      </c>
      <c r="AB6085">
        <v>21</v>
      </c>
      <c r="AC6085">
        <v>0.57710000000000095</v>
      </c>
      <c r="AD6085">
        <v>-6.0808000000000202E-2</v>
      </c>
      <c r="AE6085">
        <v>0.61684999999999901</v>
      </c>
      <c r="AF6085">
        <v>-0.55015457316689098</v>
      </c>
      <c r="AG6085">
        <v>-6.0808000000000202E-2</v>
      </c>
      <c r="AH6085">
        <v>0.63524809401914395</v>
      </c>
      <c r="AI6085">
        <v>94.138663408232304</v>
      </c>
      <c r="AJ6085">
        <v>130.894094861094</v>
      </c>
      <c r="AK6085">
        <v>0.84256026977029896</v>
      </c>
    </row>
    <row r="6086" spans="1:37" x14ac:dyDescent="0.2">
      <c r="A6086" t="str">
        <f>"20200111160020582"</f>
        <v>20200111160020582</v>
      </c>
      <c r="B6086" t="str">
        <f>"1578729620576846"</f>
        <v>1578729620576846</v>
      </c>
      <c r="C6086" t="s">
        <v>37</v>
      </c>
      <c r="D6086">
        <v>4.4764730000000004</v>
      </c>
      <c r="E6086">
        <v>0.3340534</v>
      </c>
      <c r="F6086" t="s">
        <v>38</v>
      </c>
      <c r="G6086">
        <v>-211.12610000000001</v>
      </c>
      <c r="H6086">
        <v>1.040459</v>
      </c>
      <c r="I6086">
        <v>-58.719250000000002</v>
      </c>
      <c r="J6086">
        <v>-211.76429999999999</v>
      </c>
      <c r="K6086">
        <v>1.1059540000000001</v>
      </c>
      <c r="L6086">
        <v>-59.390439999999998</v>
      </c>
      <c r="M6086">
        <v>0.99425229999999998</v>
      </c>
      <c r="N6086">
        <v>0</v>
      </c>
      <c r="O6086">
        <v>0.106076</v>
      </c>
      <c r="P6086">
        <v>0.94744519999999899</v>
      </c>
      <c r="Q6086">
        <v>-1.468883E-2</v>
      </c>
      <c r="R6086">
        <v>0.3195809</v>
      </c>
      <c r="S6086">
        <v>2.4199220000000001</v>
      </c>
      <c r="T6086">
        <v>-0.21168299999999901</v>
      </c>
      <c r="U6086">
        <v>2.2127379999999999</v>
      </c>
      <c r="V6086">
        <v>-0.217262399999999</v>
      </c>
      <c r="W6086">
        <v>-1.308376E-3</v>
      </c>
      <c r="X6086">
        <v>0.97611239999999999</v>
      </c>
      <c r="Y6086">
        <v>-0.59172080000000005</v>
      </c>
      <c r="Z6086">
        <v>1.417149E-2</v>
      </c>
      <c r="AA6086">
        <v>0.80601849999999997</v>
      </c>
      <c r="AB6086">
        <v>21</v>
      </c>
      <c r="AC6086">
        <v>0.638199999999983</v>
      </c>
      <c r="AD6086">
        <v>-6.5494999999999998E-2</v>
      </c>
      <c r="AE6086">
        <v>0.67119000000000195</v>
      </c>
      <c r="AF6086">
        <v>-0.59671354525893405</v>
      </c>
      <c r="AG6086">
        <v>-6.5494999999999998E-2</v>
      </c>
      <c r="AH6086">
        <v>0.70229120580088</v>
      </c>
      <c r="AI6086">
        <v>94.065142188375106</v>
      </c>
      <c r="AJ6086">
        <v>130.35345259393301</v>
      </c>
      <c r="AK6086">
        <v>0.92388829837039299</v>
      </c>
    </row>
    <row r="6087" spans="1:37" x14ac:dyDescent="0.2">
      <c r="A6087" t="str">
        <f>"20200111160020595"</f>
        <v>20200111160020595</v>
      </c>
      <c r="B6087" t="str">
        <f>"1578729620586607"</f>
        <v>1578729620586607</v>
      </c>
      <c r="C6087" t="s">
        <v>37</v>
      </c>
      <c r="D6087">
        <v>4.4006299999999996</v>
      </c>
      <c r="E6087">
        <v>0.33429320000000001</v>
      </c>
      <c r="F6087" t="s">
        <v>38</v>
      </c>
      <c r="G6087">
        <v>-211.1045</v>
      </c>
      <c r="H6087">
        <v>1.0482229999999999</v>
      </c>
      <c r="I6087">
        <v>-58.784889999999997</v>
      </c>
      <c r="J6087">
        <v>-211.64660000000001</v>
      </c>
      <c r="K6087">
        <v>1.1059859999999999</v>
      </c>
      <c r="L6087">
        <v>-59.376159999999999</v>
      </c>
      <c r="M6087">
        <v>0.99409459999999905</v>
      </c>
      <c r="N6087">
        <v>0</v>
      </c>
      <c r="O6087">
        <v>0.107544499999999</v>
      </c>
      <c r="P6087">
        <v>0.94675100000000001</v>
      </c>
      <c r="Q6087">
        <v>-1.446649E-2</v>
      </c>
      <c r="R6087">
        <v>0.32164159999999897</v>
      </c>
      <c r="S6087">
        <v>2.4154049999999998</v>
      </c>
      <c r="T6087">
        <v>-0.211334299999999</v>
      </c>
      <c r="U6087">
        <v>2.2167970000000001</v>
      </c>
      <c r="V6087">
        <v>-0.21794479999999999</v>
      </c>
      <c r="W6087">
        <v>-1.107299E-3</v>
      </c>
      <c r="X6087">
        <v>0.97596050000000001</v>
      </c>
      <c r="Y6087">
        <v>-0.59202119999999903</v>
      </c>
      <c r="Z6087">
        <v>1.406599E-2</v>
      </c>
      <c r="AA6087">
        <v>0.80579959999999995</v>
      </c>
      <c r="AB6087">
        <v>21</v>
      </c>
      <c r="AC6087">
        <v>0.54210000000000402</v>
      </c>
      <c r="AD6087">
        <v>-5.7763000000000203E-2</v>
      </c>
      <c r="AE6087">
        <v>0.59126999999999397</v>
      </c>
      <c r="AF6087">
        <v>-0.52680247228305199</v>
      </c>
      <c r="AG6087">
        <v>-5.7763000000000203E-2</v>
      </c>
      <c r="AH6087">
        <v>0.599441570092624</v>
      </c>
      <c r="AI6087">
        <v>94.139965406391397</v>
      </c>
      <c r="AJ6087">
        <v>131.30971886927</v>
      </c>
      <c r="AK6087">
        <v>0.80011724448835997</v>
      </c>
    </row>
    <row r="6088" spans="1:37" x14ac:dyDescent="0.2">
      <c r="A6088" t="str">
        <f>"20200111160020607"</f>
        <v>20200111160020607</v>
      </c>
      <c r="B6088" t="str">
        <f>"1578729620597343"</f>
        <v>1578729620597343</v>
      </c>
      <c r="C6088" t="s">
        <v>37</v>
      </c>
      <c r="D6088">
        <v>4.4765160000000002</v>
      </c>
      <c r="E6088">
        <v>0.3344683</v>
      </c>
      <c r="F6088" t="s">
        <v>38</v>
      </c>
      <c r="G6088">
        <v>-210.93299999999999</v>
      </c>
      <c r="H6088">
        <v>1.0438419999999999</v>
      </c>
      <c r="I6088">
        <v>-58.719019999999901</v>
      </c>
      <c r="J6088">
        <v>-211.5351</v>
      </c>
      <c r="K6088">
        <v>1.106007</v>
      </c>
      <c r="L6088">
        <v>-59.362519999999897</v>
      </c>
      <c r="M6088">
        <v>0.99393050000000005</v>
      </c>
      <c r="N6088">
        <v>0</v>
      </c>
      <c r="O6088">
        <v>0.1090569</v>
      </c>
      <c r="P6088">
        <v>0.94606380000000001</v>
      </c>
      <c r="Q6088">
        <v>-1.409177E-2</v>
      </c>
      <c r="R6088">
        <v>0.32367420000000002</v>
      </c>
      <c r="S6088">
        <v>2.4112550000000001</v>
      </c>
      <c r="T6088">
        <v>-0.20997370000000001</v>
      </c>
      <c r="U6088">
        <v>2.2202449999999998</v>
      </c>
      <c r="V6088">
        <v>-0.218556799999999</v>
      </c>
      <c r="W6088">
        <v>-7.9248709999999996E-4</v>
      </c>
      <c r="X6088">
        <v>0.97582389999999997</v>
      </c>
      <c r="Y6088">
        <v>-0.59212509999999996</v>
      </c>
      <c r="Z6088">
        <v>1.388288E-2</v>
      </c>
      <c r="AA6088">
        <v>0.80572650000000001</v>
      </c>
      <c r="AB6088">
        <v>21</v>
      </c>
      <c r="AC6088">
        <v>0.60210000000000696</v>
      </c>
      <c r="AD6088">
        <v>-6.2164999999999998E-2</v>
      </c>
      <c r="AE6088">
        <v>0.64350000000000296</v>
      </c>
      <c r="AF6088">
        <v>-0.57114896311039398</v>
      </c>
      <c r="AG6088">
        <v>-6.2164999999999998E-2</v>
      </c>
      <c r="AH6088">
        <v>0.66538248910043096</v>
      </c>
      <c r="AI6088">
        <v>94.055038371109205</v>
      </c>
      <c r="AJ6088">
        <v>130.64202964857799</v>
      </c>
      <c r="AK6088">
        <v>0.879095832141504</v>
      </c>
    </row>
    <row r="6089" spans="1:37" x14ac:dyDescent="0.2">
      <c r="A6089" t="str">
        <f>"20200111160020623"</f>
        <v>20200111160020623</v>
      </c>
      <c r="B6089" t="str">
        <f>"1578729620616862"</f>
        <v>1578729620616862</v>
      </c>
      <c r="C6089" t="s">
        <v>37</v>
      </c>
      <c r="D6089">
        <v>4.5428300000000004</v>
      </c>
      <c r="E6089">
        <v>0.33495039999999998</v>
      </c>
      <c r="F6089" t="s">
        <v>75</v>
      </c>
      <c r="G6089">
        <v>-198.7808</v>
      </c>
      <c r="H6089" s="1">
        <v>-4.2996420000000002E-6</v>
      </c>
      <c r="I6089">
        <v>-47.576990000000002</v>
      </c>
      <c r="J6089">
        <v>-211.3853</v>
      </c>
      <c r="K6089">
        <v>1.1059639999999999</v>
      </c>
      <c r="L6089">
        <v>-59.343959999999903</v>
      </c>
      <c r="M6089">
        <v>0.99364490000000005</v>
      </c>
      <c r="N6089">
        <v>0</v>
      </c>
      <c r="O6089">
        <v>0.1116636</v>
      </c>
      <c r="P6089">
        <v>0.94447239999999999</v>
      </c>
      <c r="Q6089">
        <v>-1.1349140000000001E-2</v>
      </c>
      <c r="R6089">
        <v>0.32839479999999999</v>
      </c>
      <c r="S6089">
        <v>2.4069669999999999</v>
      </c>
      <c r="T6089">
        <v>-0.2087252</v>
      </c>
      <c r="U6089">
        <v>2.2241520000000001</v>
      </c>
      <c r="V6089">
        <v>-0.22087499999999999</v>
      </c>
      <c r="W6089">
        <v>1.662555E-3</v>
      </c>
      <c r="X6089">
        <v>0.97530069999999902</v>
      </c>
      <c r="Y6089">
        <v>-0.5914509</v>
      </c>
      <c r="Z6089">
        <v>1.36013E-2</v>
      </c>
      <c r="AA6089">
        <v>0.80622629999999995</v>
      </c>
      <c r="AB6089">
        <v>21</v>
      </c>
      <c r="AC6089">
        <v>12.6045</v>
      </c>
      <c r="AD6089">
        <v>-1.1059682996419999</v>
      </c>
      <c r="AE6089">
        <v>11.766969999999899</v>
      </c>
      <c r="AF6089">
        <v>-10.2436200965584</v>
      </c>
      <c r="AG6089">
        <v>-1.1059682996419999</v>
      </c>
      <c r="AH6089">
        <v>13.7830305759999</v>
      </c>
      <c r="AI6089">
        <v>93.684901220568094</v>
      </c>
      <c r="AJ6089">
        <v>126.61992365229899</v>
      </c>
      <c r="AK6089">
        <v>17.208336654696701</v>
      </c>
    </row>
    <row r="6090" spans="1:37" x14ac:dyDescent="0.2">
      <c r="A6090" t="str">
        <f>"20200111160020635"</f>
        <v>20200111160020635</v>
      </c>
      <c r="B6090" t="str">
        <f>"1578729620626623"</f>
        <v>1578729620626623</v>
      </c>
      <c r="C6090" t="s">
        <v>37</v>
      </c>
      <c r="D6090">
        <v>4.4623400000000002</v>
      </c>
      <c r="E6090">
        <v>0.3352175</v>
      </c>
      <c r="F6090" t="s">
        <v>38</v>
      </c>
      <c r="G6090">
        <v>-210.73330000000001</v>
      </c>
      <c r="H6090">
        <v>1.0514950000000001</v>
      </c>
      <c r="I6090">
        <v>-58.737090000000002</v>
      </c>
      <c r="J6090">
        <v>-211.2816</v>
      </c>
      <c r="K6090">
        <v>1.1060410000000001</v>
      </c>
      <c r="L6090">
        <v>-59.330779999999997</v>
      </c>
      <c r="M6090">
        <v>0.99350699999999903</v>
      </c>
      <c r="N6090">
        <v>0</v>
      </c>
      <c r="O6090">
        <v>0.11289970000000001</v>
      </c>
      <c r="P6090">
        <v>0.94349130000000003</v>
      </c>
      <c r="Q6090">
        <v>-7.9000770000000001E-3</v>
      </c>
      <c r="R6090">
        <v>0.33130349999999997</v>
      </c>
      <c r="S6090">
        <v>2.3976899999999999</v>
      </c>
      <c r="T6090">
        <v>-0.2003424</v>
      </c>
      <c r="U6090">
        <v>2.2325740000000001</v>
      </c>
      <c r="V6090">
        <v>-0.2226757</v>
      </c>
      <c r="W6090">
        <v>4.9179039999999999E-3</v>
      </c>
      <c r="X6090">
        <v>0.97488019999999997</v>
      </c>
      <c r="Y6090">
        <v>-0.59358919999999904</v>
      </c>
      <c r="Z6090">
        <v>1.3070999999999999E-2</v>
      </c>
      <c r="AA6090">
        <v>0.80466199999999999</v>
      </c>
      <c r="AB6090">
        <v>21</v>
      </c>
      <c r="AC6090">
        <v>0.54829999999998302</v>
      </c>
      <c r="AD6090">
        <v>-5.45459999999999E-2</v>
      </c>
      <c r="AE6090">
        <v>0.59369000000000205</v>
      </c>
      <c r="AF6090">
        <v>-0.52559002764512397</v>
      </c>
      <c r="AG6090">
        <v>-5.45459999999999E-2</v>
      </c>
      <c r="AH6090">
        <v>0.60905312862869998</v>
      </c>
      <c r="AI6090">
        <v>93.8788702468201</v>
      </c>
      <c r="AJ6090">
        <v>130.79296261060799</v>
      </c>
      <c r="AK6090">
        <v>0.80632862827038998</v>
      </c>
    </row>
    <row r="6091" spans="1:37" x14ac:dyDescent="0.2">
      <c r="A6091" t="str">
        <f>"20200111160020646"</f>
        <v>20200111160020646</v>
      </c>
      <c r="B6091" t="str">
        <f>"1578729620637359"</f>
        <v>1578729620637359</v>
      </c>
      <c r="C6091" t="s">
        <v>37</v>
      </c>
      <c r="D6091">
        <v>4.7034070000000003</v>
      </c>
      <c r="E6091">
        <v>0.3352175</v>
      </c>
      <c r="F6091" t="s">
        <v>38</v>
      </c>
      <c r="G6091">
        <v>-210.56460000000001</v>
      </c>
      <c r="H6091">
        <v>1.0491189999999999</v>
      </c>
      <c r="I6091">
        <v>-58.659950000000002</v>
      </c>
      <c r="J6091">
        <v>-211.1738</v>
      </c>
      <c r="K6091">
        <v>1.106134</v>
      </c>
      <c r="L6091">
        <v>-59.316989999999997</v>
      </c>
      <c r="M6091">
        <v>0.99337279999999994</v>
      </c>
      <c r="N6091">
        <v>0</v>
      </c>
      <c r="O6091">
        <v>0.114083899999999</v>
      </c>
      <c r="P6091">
        <v>0.94223829999999997</v>
      </c>
      <c r="Q6091">
        <v>-3.7454319999999999E-3</v>
      </c>
      <c r="R6091">
        <v>0.3349222</v>
      </c>
      <c r="S6091">
        <v>2.3921359999999998</v>
      </c>
      <c r="T6091">
        <v>-0.1899055</v>
      </c>
      <c r="U6091">
        <v>2.2382200000000001</v>
      </c>
      <c r="V6091">
        <v>-0.225271</v>
      </c>
      <c r="W6091">
        <v>8.9003509999999904E-3</v>
      </c>
      <c r="X6091">
        <v>0.97425550000000005</v>
      </c>
      <c r="Y6091">
        <v>-0.59466280000000005</v>
      </c>
      <c r="Z6091">
        <v>1.236307E-2</v>
      </c>
      <c r="AA6091">
        <v>0.80388009999999999</v>
      </c>
      <c r="AB6091">
        <v>21</v>
      </c>
      <c r="AC6091">
        <v>0.60919999999998697</v>
      </c>
      <c r="AD6091">
        <v>-5.7014999999999802E-2</v>
      </c>
      <c r="AE6091">
        <v>0.65704000000000196</v>
      </c>
      <c r="AF6091">
        <v>-0.58089064723013495</v>
      </c>
      <c r="AG6091">
        <v>-5.7014999999999802E-2</v>
      </c>
      <c r="AH6091">
        <v>0.6774438074054</v>
      </c>
      <c r="AI6091">
        <v>93.655662193936095</v>
      </c>
      <c r="AJ6091">
        <v>130.61223983188401</v>
      </c>
      <c r="AK6091">
        <v>0.89421181297071295</v>
      </c>
    </row>
    <row r="6092" spans="1:37" x14ac:dyDescent="0.2">
      <c r="A6092" t="str">
        <f>"20200111160020659"</f>
        <v>20200111160020659</v>
      </c>
      <c r="B6092" t="str">
        <f>"1578729620656878"</f>
        <v>1578729620656878</v>
      </c>
      <c r="C6092" t="s">
        <v>37</v>
      </c>
      <c r="D6092">
        <v>4.7501749999999996</v>
      </c>
      <c r="E6092">
        <v>0.38010899999999997</v>
      </c>
      <c r="F6092" t="s">
        <v>75</v>
      </c>
      <c r="G6092">
        <v>-196.30840000000001</v>
      </c>
      <c r="H6092" s="1">
        <v>-5.0005199999999902E-6</v>
      </c>
      <c r="I6092">
        <v>-45.303600000000003</v>
      </c>
      <c r="J6092">
        <v>-211.04669999999999</v>
      </c>
      <c r="K6092">
        <v>1.106239</v>
      </c>
      <c r="L6092">
        <v>-59.300259999999902</v>
      </c>
      <c r="M6092">
        <v>0.99322409999999905</v>
      </c>
      <c r="N6092">
        <v>0</v>
      </c>
      <c r="O6092">
        <v>0.11533879999999901</v>
      </c>
      <c r="P6092">
        <v>0.94077690000000003</v>
      </c>
      <c r="Q6092">
        <v>-8.7856220000000001E-4</v>
      </c>
      <c r="R6092">
        <v>0.33902529999999997</v>
      </c>
      <c r="S6092">
        <v>2.384277</v>
      </c>
      <c r="T6092">
        <v>-0.17741479999999901</v>
      </c>
      <c r="U6092">
        <v>2.24762</v>
      </c>
      <c r="V6092">
        <v>-0.2283</v>
      </c>
      <c r="W6092">
        <v>1.1952890000000001E-2</v>
      </c>
      <c r="X6092">
        <v>0.97351749999999904</v>
      </c>
      <c r="Y6092">
        <v>-0.59674450000000001</v>
      </c>
      <c r="Z6092">
        <v>1.1555019999999999E-2</v>
      </c>
      <c r="AA6092">
        <v>0.80234810000000001</v>
      </c>
      <c r="AB6092">
        <v>21</v>
      </c>
      <c r="AC6092">
        <v>14.738299999999899</v>
      </c>
      <c r="AD6092">
        <v>-1.10624400052</v>
      </c>
      <c r="AE6092">
        <v>13.996659999999901</v>
      </c>
      <c r="AF6092">
        <v>-12.1671179299143</v>
      </c>
      <c r="AG6092">
        <v>-1.10624400052</v>
      </c>
      <c r="AH6092">
        <v>16.206433917900899</v>
      </c>
      <c r="AI6092">
        <v>93.124547477988401</v>
      </c>
      <c r="AJ6092">
        <v>126.897700983745</v>
      </c>
      <c r="AK6092">
        <v>20.295591512553099</v>
      </c>
    </row>
    <row r="6093" spans="1:37" x14ac:dyDescent="0.2">
      <c r="A6093" t="str">
        <f>"20200111160020672"</f>
        <v>20200111160020672</v>
      </c>
      <c r="B6093" t="str">
        <f>"1578729620666638"</f>
        <v>1578729620666638</v>
      </c>
      <c r="C6093" t="s">
        <v>37</v>
      </c>
      <c r="D6093">
        <v>4.7949859999999997</v>
      </c>
      <c r="E6093">
        <v>0.38281189999999998</v>
      </c>
      <c r="F6093" t="s">
        <v>38</v>
      </c>
      <c r="G6093">
        <v>-210.33789999999999</v>
      </c>
      <c r="H6093">
        <v>1.0665180000000001</v>
      </c>
      <c r="I6093">
        <v>-58.755290000000002</v>
      </c>
      <c r="J6093">
        <v>-210.93049999999999</v>
      </c>
      <c r="K6093">
        <v>1.1062780000000001</v>
      </c>
      <c r="L6093">
        <v>-59.284790000000001</v>
      </c>
      <c r="M6093">
        <v>0.99306879999999997</v>
      </c>
      <c r="N6093">
        <v>0</v>
      </c>
      <c r="O6093">
        <v>0.1166288</v>
      </c>
      <c r="P6093">
        <v>0.93915859999999995</v>
      </c>
      <c r="Q6093">
        <v>7.7339819999999997E-4</v>
      </c>
      <c r="R6093">
        <v>0.34348319999999999</v>
      </c>
      <c r="S6093">
        <v>2.4966740000000001</v>
      </c>
      <c r="T6093">
        <v>-0.13992679999999999</v>
      </c>
      <c r="U6093">
        <v>1.92041</v>
      </c>
      <c r="V6093">
        <v>-0.23166020000000001</v>
      </c>
      <c r="W6093">
        <v>1.38844E-2</v>
      </c>
      <c r="X6093">
        <v>0.972697699999999</v>
      </c>
      <c r="Y6093">
        <v>-0.51269039999999999</v>
      </c>
      <c r="Z6093">
        <v>6.9863080000000001E-3</v>
      </c>
      <c r="AA6093">
        <v>0.85854519999999901</v>
      </c>
      <c r="AB6093">
        <v>21</v>
      </c>
      <c r="AC6093">
        <v>0.59260000000000401</v>
      </c>
      <c r="AD6093">
        <v>-3.9759999999999997E-2</v>
      </c>
      <c r="AE6093">
        <v>0.52949999999999797</v>
      </c>
      <c r="AF6093">
        <v>-0.45562364245642401</v>
      </c>
      <c r="AG6093">
        <v>-3.9759999999999997E-2</v>
      </c>
      <c r="AH6093">
        <v>0.64869270317380101</v>
      </c>
      <c r="AI6093">
        <v>92.871367725519804</v>
      </c>
      <c r="AJ6093">
        <v>125.083133421517</v>
      </c>
      <c r="AK6093">
        <v>0.79371026471640904</v>
      </c>
    </row>
    <row r="6094" spans="1:37" x14ac:dyDescent="0.2">
      <c r="A6094" t="str">
        <f>"20200111160020684"</f>
        <v>20200111160020684</v>
      </c>
      <c r="B6094" t="str">
        <f>"1578729620677374"</f>
        <v>1578729620677374</v>
      </c>
      <c r="C6094" t="s">
        <v>37</v>
      </c>
      <c r="D6094">
        <v>4.7179839999999897</v>
      </c>
      <c r="E6094">
        <v>0.38521739999999999</v>
      </c>
      <c r="F6094" t="s">
        <v>38</v>
      </c>
      <c r="G6094">
        <v>-210.16550000000001</v>
      </c>
      <c r="H6094">
        <v>1.0646389999999999</v>
      </c>
      <c r="I6094">
        <v>-58.698549999999997</v>
      </c>
      <c r="J6094">
        <v>-210.81110000000001</v>
      </c>
      <c r="K6094">
        <v>1.106268</v>
      </c>
      <c r="L6094">
        <v>-59.268650000000001</v>
      </c>
      <c r="M6094">
        <v>0.99289240000000001</v>
      </c>
      <c r="N6094">
        <v>0</v>
      </c>
      <c r="O6094">
        <v>0.11807139999999899</v>
      </c>
      <c r="P6094">
        <v>0.93728020000000001</v>
      </c>
      <c r="Q6094">
        <v>1.5314320000000001E-3</v>
      </c>
      <c r="R6094">
        <v>0.34857359999999998</v>
      </c>
      <c r="S6094">
        <v>2.495117</v>
      </c>
      <c r="T6094">
        <v>-0.13580929999999999</v>
      </c>
      <c r="U6094">
        <v>1.9121699999999999</v>
      </c>
      <c r="V6094">
        <v>-0.23552689999999901</v>
      </c>
      <c r="W6094">
        <v>1.5008189999999999E-2</v>
      </c>
      <c r="X6094">
        <v>0.9717519</v>
      </c>
      <c r="Y6094">
        <v>-0.50994050000000002</v>
      </c>
      <c r="Z6094">
        <v>6.6561839999999999E-3</v>
      </c>
      <c r="AA6094">
        <v>0.8601839</v>
      </c>
      <c r="AB6094">
        <v>21</v>
      </c>
      <c r="AC6094">
        <v>0.64560000000000095</v>
      </c>
      <c r="AD6094">
        <v>-4.1629000000000103E-2</v>
      </c>
      <c r="AE6094">
        <v>0.57010000000000305</v>
      </c>
      <c r="AF6094">
        <v>-0.48873414081560801</v>
      </c>
      <c r="AG6094">
        <v>-4.1629000000000103E-2</v>
      </c>
      <c r="AH6094">
        <v>0.70675205692085896</v>
      </c>
      <c r="AI6094">
        <v>92.773609025693403</v>
      </c>
      <c r="AJ6094">
        <v>124.664685988904</v>
      </c>
      <c r="AK6094">
        <v>0.86028629188290295</v>
      </c>
    </row>
    <row r="6095" spans="1:37" x14ac:dyDescent="0.2">
      <c r="A6095" t="str">
        <f>"20200111160020711"</f>
        <v>20200111160020711</v>
      </c>
      <c r="B6095" t="str">
        <f>"1578729620707346"</f>
        <v>1578729620707346</v>
      </c>
      <c r="C6095" t="s">
        <v>37</v>
      </c>
      <c r="D6095">
        <v>4.7307879999999898</v>
      </c>
      <c r="E6095">
        <v>0.38797490000000001</v>
      </c>
      <c r="F6095" t="s">
        <v>38</v>
      </c>
      <c r="G6095">
        <v>-209.99469999999999</v>
      </c>
      <c r="H6095">
        <v>1.0622929999999999</v>
      </c>
      <c r="I6095">
        <v>-58.643549999999998</v>
      </c>
      <c r="J6095">
        <v>-210.57579999999999</v>
      </c>
      <c r="K6095">
        <v>1.1061239999999899</v>
      </c>
      <c r="L6095">
        <v>-59.23621</v>
      </c>
      <c r="M6095">
        <v>0.99241840000000003</v>
      </c>
      <c r="N6095">
        <v>0</v>
      </c>
      <c r="O6095">
        <v>0.1219397</v>
      </c>
      <c r="P6095">
        <v>0.93296849999999998</v>
      </c>
      <c r="Q6095">
        <v>1.687306E-3</v>
      </c>
      <c r="R6095">
        <v>0.35995389999999999</v>
      </c>
      <c r="S6095">
        <v>2.4914399999999999</v>
      </c>
      <c r="T6095">
        <v>-0.13420589999999999</v>
      </c>
      <c r="U6095">
        <v>1.90786699999999</v>
      </c>
      <c r="V6095">
        <v>-0.2435572</v>
      </c>
      <c r="W6095">
        <v>1.553885E-2</v>
      </c>
      <c r="X6095">
        <v>0.96976209999999996</v>
      </c>
      <c r="Y6095">
        <v>-0.50627489999999997</v>
      </c>
      <c r="Z6095">
        <v>6.3213009999999997E-3</v>
      </c>
      <c r="AA6095">
        <v>0.86234900000000003</v>
      </c>
      <c r="AB6095">
        <v>21</v>
      </c>
      <c r="AC6095">
        <v>0.58109999999999196</v>
      </c>
      <c r="AD6095">
        <v>-4.3830999999999898E-2</v>
      </c>
      <c r="AE6095">
        <v>0.59266000000000196</v>
      </c>
      <c r="AF6095">
        <v>-0.51592995187757096</v>
      </c>
      <c r="AG6095">
        <v>-4.3830999999999898E-2</v>
      </c>
      <c r="AH6095">
        <v>0.64723494181621199</v>
      </c>
      <c r="AI6095">
        <v>93.031255807293604</v>
      </c>
      <c r="AJ6095">
        <v>128.55937650093301</v>
      </c>
      <c r="AK6095">
        <v>0.82886545453000304</v>
      </c>
    </row>
    <row r="6096" spans="1:37" x14ac:dyDescent="0.2">
      <c r="A6096" t="str">
        <f>"20200111160020724"</f>
        <v>20200111160020724</v>
      </c>
      <c r="B6096" t="str">
        <f>"1578729620717106"</f>
        <v>1578729620717106</v>
      </c>
      <c r="C6096" t="s">
        <v>37</v>
      </c>
      <c r="D6096">
        <v>4.715662</v>
      </c>
      <c r="E6096">
        <v>0.3890942</v>
      </c>
      <c r="F6096" t="s">
        <v>38</v>
      </c>
      <c r="G6096">
        <v>-209.80539999999999</v>
      </c>
      <c r="H6096">
        <v>1.061974</v>
      </c>
      <c r="I6096">
        <v>-58.63926</v>
      </c>
      <c r="J6096">
        <v>-210.45349999999999</v>
      </c>
      <c r="K6096">
        <v>1.1060639999999999</v>
      </c>
      <c r="L6096">
        <v>-59.219019999999901</v>
      </c>
      <c r="M6096">
        <v>0.99214049999999998</v>
      </c>
      <c r="N6096">
        <v>0</v>
      </c>
      <c r="O6096">
        <v>0.12417539999999901</v>
      </c>
      <c r="P6096">
        <v>0.92864380000000002</v>
      </c>
      <c r="Q6096">
        <v>1.8456289999999899E-3</v>
      </c>
      <c r="R6096">
        <v>0.37096780000000001</v>
      </c>
      <c r="S6096">
        <v>2.4756930000000001</v>
      </c>
      <c r="T6096">
        <v>-0.14187130000000001</v>
      </c>
      <c r="U6096">
        <v>1.918274</v>
      </c>
      <c r="V6096">
        <v>-0.2528377</v>
      </c>
      <c r="W6096">
        <v>1.5655659999999998E-2</v>
      </c>
      <c r="X6096">
        <v>0.96738199999999996</v>
      </c>
      <c r="Y6096">
        <v>-0.50919720000000002</v>
      </c>
      <c r="Z6096">
        <v>6.6723299999999998E-3</v>
      </c>
      <c r="AA6096">
        <v>0.8606241</v>
      </c>
      <c r="AB6096">
        <v>21</v>
      </c>
      <c r="AC6096">
        <v>0.64809999999999901</v>
      </c>
      <c r="AD6096">
        <v>-4.40899999999999E-2</v>
      </c>
      <c r="AE6096">
        <v>0.57975999999999295</v>
      </c>
      <c r="AF6096">
        <v>-0.4935153756756</v>
      </c>
      <c r="AG6096">
        <v>-4.40899999999999E-2</v>
      </c>
      <c r="AH6096">
        <v>0.71324955417398495</v>
      </c>
      <c r="AI6096">
        <v>92.910037826475104</v>
      </c>
      <c r="AJ6096">
        <v>124.68033812249</v>
      </c>
      <c r="AK6096">
        <v>0.86846202027355102</v>
      </c>
    </row>
    <row r="6097" spans="1:37" x14ac:dyDescent="0.2">
      <c r="A6097" t="str">
        <f>"20200111160020736"</f>
        <v>20200111160020736</v>
      </c>
      <c r="B6097" t="str">
        <f>"1578729620726866"</f>
        <v>1578729620726866</v>
      </c>
      <c r="C6097" t="s">
        <v>37</v>
      </c>
      <c r="D6097">
        <v>4.8028389999999996</v>
      </c>
      <c r="E6097">
        <v>0.39013520000000002</v>
      </c>
      <c r="F6097" t="s">
        <v>38</v>
      </c>
      <c r="G6097">
        <v>-209.7774</v>
      </c>
      <c r="H6097">
        <v>1.0663290000000001</v>
      </c>
      <c r="I6097">
        <v>-58.685159999999897</v>
      </c>
      <c r="J6097">
        <v>-210.34599999999901</v>
      </c>
      <c r="K6097">
        <v>1.1060760000000001</v>
      </c>
      <c r="L6097">
        <v>-59.203490000000002</v>
      </c>
      <c r="M6097">
        <v>0.99189509999999903</v>
      </c>
      <c r="N6097">
        <v>0</v>
      </c>
      <c r="O6097">
        <v>0.1261292</v>
      </c>
      <c r="P6097">
        <v>0.92582880000000001</v>
      </c>
      <c r="Q6097">
        <v>2.0646639999999999E-3</v>
      </c>
      <c r="R6097">
        <v>0.37793789999999999</v>
      </c>
      <c r="S6097">
        <v>2.4561000000000002</v>
      </c>
      <c r="T6097">
        <v>-0.14433779999999999</v>
      </c>
      <c r="U6097">
        <v>1.93936199999999</v>
      </c>
      <c r="V6097">
        <v>-0.25820510000000002</v>
      </c>
      <c r="W6097">
        <v>1.5724789999999999E-2</v>
      </c>
      <c r="X6097">
        <v>0.96596209999999905</v>
      </c>
      <c r="Y6097">
        <v>-0.51535370000000003</v>
      </c>
      <c r="Z6097">
        <v>6.8767259999999997E-3</v>
      </c>
      <c r="AA6097">
        <v>0.85694999999999999</v>
      </c>
      <c r="AB6097">
        <v>21</v>
      </c>
      <c r="AC6097">
        <v>0.56859999999997501</v>
      </c>
      <c r="AD6097">
        <v>-3.97469999999999E-2</v>
      </c>
      <c r="AE6097">
        <v>0.51833000000000595</v>
      </c>
      <c r="AF6097">
        <v>-0.441286353013781</v>
      </c>
      <c r="AG6097">
        <v>-3.97469999999999E-2</v>
      </c>
      <c r="AH6097">
        <v>0.627766882787688</v>
      </c>
      <c r="AI6097">
        <v>92.965145077424197</v>
      </c>
      <c r="AJ6097">
        <v>125.105155793265</v>
      </c>
      <c r="AK6097">
        <v>0.76837798542785896</v>
      </c>
    </row>
    <row r="6098" spans="1:37" x14ac:dyDescent="0.2">
      <c r="A6098" t="str">
        <f>"20200111160020748"</f>
        <v>20200111160020748</v>
      </c>
      <c r="B6098" t="str">
        <f>"1578729620736626"</f>
        <v>1578729620736626</v>
      </c>
      <c r="C6098" t="s">
        <v>37</v>
      </c>
      <c r="D6098">
        <v>4.8523180000000004</v>
      </c>
      <c r="E6098">
        <v>0.39130419999999999</v>
      </c>
      <c r="F6098" t="s">
        <v>38</v>
      </c>
      <c r="G6098">
        <v>-209.61959999999999</v>
      </c>
      <c r="H6098">
        <v>1.0617729999999901</v>
      </c>
      <c r="I6098">
        <v>-58.623950000000001</v>
      </c>
      <c r="J6098">
        <v>-210.23929999999999</v>
      </c>
      <c r="K6098">
        <v>1.106101</v>
      </c>
      <c r="L6098">
        <v>-59.187959999999997</v>
      </c>
      <c r="M6098">
        <v>0.99165000000000003</v>
      </c>
      <c r="N6098">
        <v>0</v>
      </c>
      <c r="O6098">
        <v>0.1280493</v>
      </c>
      <c r="P6098">
        <v>0.92281630000000003</v>
      </c>
      <c r="Q6098">
        <v>2.0603010000000001E-3</v>
      </c>
      <c r="R6098">
        <v>0.38523499999999999</v>
      </c>
      <c r="S6098">
        <v>2.4445039999999998</v>
      </c>
      <c r="T6098">
        <v>-0.149093899999999</v>
      </c>
      <c r="U6098">
        <v>1.9502869999999899</v>
      </c>
      <c r="V6098">
        <v>-0.26396019999999998</v>
      </c>
      <c r="W6098">
        <v>1.555458E-2</v>
      </c>
      <c r="X6098">
        <v>0.96440820000000005</v>
      </c>
      <c r="Y6098">
        <v>-0.51798230000000001</v>
      </c>
      <c r="Z6098">
        <v>7.09173599999999E-3</v>
      </c>
      <c r="AA6098">
        <v>0.85536190000000001</v>
      </c>
      <c r="AB6098">
        <v>21</v>
      </c>
      <c r="AC6098">
        <v>0.61969999999999403</v>
      </c>
      <c r="AD6098">
        <v>-4.4328000000000103E-2</v>
      </c>
      <c r="AE6098">
        <v>0.56400999999999601</v>
      </c>
      <c r="AF6098">
        <v>-0.478664871278351</v>
      </c>
      <c r="AG6098">
        <v>-4.4328000000000103E-2</v>
      </c>
      <c r="AH6098">
        <v>0.68491006993280801</v>
      </c>
      <c r="AI6098">
        <v>93.036666785616404</v>
      </c>
      <c r="AJ6098">
        <v>124.948644142749</v>
      </c>
      <c r="AK6098">
        <v>0.83677167403974895</v>
      </c>
    </row>
    <row r="6099" spans="1:37" x14ac:dyDescent="0.2">
      <c r="A6099" t="str">
        <f>"20200111160020761"</f>
        <v>20200111160020761</v>
      </c>
      <c r="B6099" t="str">
        <f>"1578729620757122"</f>
        <v>1578729620757122</v>
      </c>
      <c r="C6099" t="s">
        <v>37</v>
      </c>
      <c r="D6099">
        <v>4.9474429999999998</v>
      </c>
      <c r="E6099">
        <v>0.39247909999999903</v>
      </c>
      <c r="F6099" t="s">
        <v>38</v>
      </c>
      <c r="G6099">
        <v>-209.45320000000001</v>
      </c>
      <c r="H6099">
        <v>1.056735</v>
      </c>
      <c r="I6099">
        <v>-58.554159999999897</v>
      </c>
      <c r="J6099">
        <v>-210.1198</v>
      </c>
      <c r="K6099">
        <v>1.1061780000000001</v>
      </c>
      <c r="L6099">
        <v>-59.170169999999999</v>
      </c>
      <c r="M6099">
        <v>0.99137940000000002</v>
      </c>
      <c r="N6099">
        <v>0</v>
      </c>
      <c r="O6099">
        <v>0.1301359</v>
      </c>
      <c r="P6099">
        <v>0.91964290000000004</v>
      </c>
      <c r="Q6099">
        <v>2.157356E-3</v>
      </c>
      <c r="R6099">
        <v>0.39275009999999999</v>
      </c>
      <c r="S6099">
        <v>2.4325709999999998</v>
      </c>
      <c r="T6099">
        <v>-0.1527607</v>
      </c>
      <c r="U6099">
        <v>1.9611209999999999</v>
      </c>
      <c r="V6099">
        <v>-0.2697987</v>
      </c>
      <c r="W6099">
        <v>1.545589E-2</v>
      </c>
      <c r="X6099">
        <v>0.96279269999999995</v>
      </c>
      <c r="Y6099">
        <v>-0.52051229999999904</v>
      </c>
      <c r="Z6099">
        <v>7.2435310000000001E-3</v>
      </c>
      <c r="AA6099">
        <v>0.85382349999999996</v>
      </c>
      <c r="AB6099">
        <v>21</v>
      </c>
      <c r="AC6099">
        <v>0.66659999999998798</v>
      </c>
      <c r="AD6099">
        <v>-4.9443000000000098E-2</v>
      </c>
      <c r="AE6099">
        <v>0.61601000000000194</v>
      </c>
      <c r="AF6099">
        <v>-0.52246135089920298</v>
      </c>
      <c r="AG6099">
        <v>-4.9443000000000098E-2</v>
      </c>
      <c r="AH6099">
        <v>0.73891168146177899</v>
      </c>
      <c r="AI6099">
        <v>93.127270897052298</v>
      </c>
      <c r="AJ6099">
        <v>125.262936555084</v>
      </c>
      <c r="AK6099">
        <v>0.90631172696434503</v>
      </c>
    </row>
    <row r="6100" spans="1:37" x14ac:dyDescent="0.2">
      <c r="A6100" t="str">
        <f>"20200111160020772"</f>
        <v>20200111160020772</v>
      </c>
      <c r="B6100" t="str">
        <f>"1578729620766882"</f>
        <v>1578729620766882</v>
      </c>
      <c r="C6100" t="s">
        <v>37</v>
      </c>
      <c r="D6100">
        <v>4.8152299999999997</v>
      </c>
      <c r="E6100">
        <v>0.408385099999999</v>
      </c>
      <c r="F6100" t="s">
        <v>38</v>
      </c>
      <c r="G6100">
        <v>-209.4331</v>
      </c>
      <c r="H6100">
        <v>1.061955</v>
      </c>
      <c r="I6100">
        <v>-58.610529999999997</v>
      </c>
      <c r="J6100">
        <v>-210.01390000000001</v>
      </c>
      <c r="K6100">
        <v>1.1062529999999999</v>
      </c>
      <c r="L6100">
        <v>-59.154019999999903</v>
      </c>
      <c r="M6100">
        <v>0.99113549999999995</v>
      </c>
      <c r="N6100">
        <v>0</v>
      </c>
      <c r="O6100">
        <v>0.13198399999999999</v>
      </c>
      <c r="P6100">
        <v>0.91648549999999995</v>
      </c>
      <c r="Q6100">
        <v>1.526279E-3</v>
      </c>
      <c r="R6100">
        <v>0.40006529999999901</v>
      </c>
      <c r="S6100">
        <v>2.4201969999999999</v>
      </c>
      <c r="T6100">
        <v>-0.15586610000000001</v>
      </c>
      <c r="U6100">
        <v>1.97235099999999</v>
      </c>
      <c r="V6100">
        <v>-0.2756711</v>
      </c>
      <c r="W6100">
        <v>1.466776E-2</v>
      </c>
      <c r="X6100">
        <v>0.96114009999999905</v>
      </c>
      <c r="Y6100">
        <v>-0.52341119999999997</v>
      </c>
      <c r="Z6100">
        <v>7.3917280000000002E-3</v>
      </c>
      <c r="AA6100">
        <v>0.85204820000000003</v>
      </c>
      <c r="AB6100">
        <v>21</v>
      </c>
      <c r="AC6100">
        <v>0.58080000000000997</v>
      </c>
      <c r="AD6100">
        <v>-4.4298000000000101E-2</v>
      </c>
      <c r="AE6100">
        <v>0.54348999999999104</v>
      </c>
      <c r="AF6100">
        <v>-0.46064056606005099</v>
      </c>
      <c r="AG6100">
        <v>-4.4298000000000101E-2</v>
      </c>
      <c r="AH6100">
        <v>0.64545630849366198</v>
      </c>
      <c r="AI6100">
        <v>93.197408242995493</v>
      </c>
      <c r="AJ6100">
        <v>125.514179742989</v>
      </c>
      <c r="AK6100">
        <v>0.79420771217509001</v>
      </c>
    </row>
    <row r="6101" spans="1:37" x14ac:dyDescent="0.2">
      <c r="A6101" t="str">
        <f>"20200111160020784"</f>
        <v>20200111160020784</v>
      </c>
      <c r="B6101" t="str">
        <f>"1578729620776643"</f>
        <v>1578729620776643</v>
      </c>
      <c r="C6101" t="s">
        <v>37</v>
      </c>
      <c r="D6101">
        <v>4.8163010000000002</v>
      </c>
      <c r="E6101">
        <v>0.409547099999999</v>
      </c>
      <c r="F6101" t="s">
        <v>38</v>
      </c>
      <c r="G6101">
        <v>-209.25540000000001</v>
      </c>
      <c r="H6101">
        <v>1.0387420000000001</v>
      </c>
      <c r="I6101">
        <v>-58.574190000000002</v>
      </c>
      <c r="J6101">
        <v>-209.90209999999999</v>
      </c>
      <c r="K6101">
        <v>1.1063339999999999</v>
      </c>
      <c r="L6101">
        <v>-59.136780000000002</v>
      </c>
      <c r="M6101">
        <v>0.99087429999999999</v>
      </c>
      <c r="N6101">
        <v>0</v>
      </c>
      <c r="O6101">
        <v>0.13393469999999999</v>
      </c>
      <c r="P6101">
        <v>0.91306659999999995</v>
      </c>
      <c r="Q6101">
        <v>1.4207689999999999E-3</v>
      </c>
      <c r="R6101">
        <v>0.40780809999999901</v>
      </c>
      <c r="S6101">
        <v>2.4544220000000001</v>
      </c>
      <c r="T6101">
        <v>-0.21847569999999999</v>
      </c>
      <c r="U6101">
        <v>1.87686199999999</v>
      </c>
      <c r="V6101">
        <v>-0.28191169999999999</v>
      </c>
      <c r="W6101">
        <v>1.4406489999999999E-2</v>
      </c>
      <c r="X6101">
        <v>0.95933219999999997</v>
      </c>
      <c r="Y6101">
        <v>-0.49468019999999902</v>
      </c>
      <c r="Z6101">
        <v>9.0646839999999999E-3</v>
      </c>
      <c r="AA6101">
        <v>0.86902789999999996</v>
      </c>
      <c r="AB6101">
        <v>21</v>
      </c>
      <c r="AC6101">
        <v>0.64669999999998096</v>
      </c>
      <c r="AD6101">
        <v>-6.7591999999999805E-2</v>
      </c>
      <c r="AE6101">
        <v>0.56259000000000003</v>
      </c>
      <c r="AF6101">
        <v>-0.46798445313857701</v>
      </c>
      <c r="AG6101">
        <v>-6.7591999999999805E-2</v>
      </c>
      <c r="AH6101">
        <v>0.71180483162584196</v>
      </c>
      <c r="AI6101">
        <v>94.536675870679204</v>
      </c>
      <c r="AJ6101">
        <v>123.323389801948</v>
      </c>
      <c r="AK6101">
        <v>0.85454329625204295</v>
      </c>
    </row>
    <row r="6102" spans="1:37" x14ac:dyDescent="0.2">
      <c r="A6102" t="str">
        <f>"20200111160020795"</f>
        <v>20200111160020795</v>
      </c>
      <c r="B6102" t="str">
        <f>"1578729620787081"</f>
        <v>1578729620787081</v>
      </c>
      <c r="C6102" t="s">
        <v>37</v>
      </c>
      <c r="D6102">
        <v>4.8924539999999999</v>
      </c>
      <c r="E6102">
        <v>0.41051270000000001</v>
      </c>
      <c r="F6102" t="s">
        <v>38</v>
      </c>
      <c r="G6102">
        <v>-209.23689999999999</v>
      </c>
      <c r="H6102">
        <v>1.046557</v>
      </c>
      <c r="I6102">
        <v>-58.622489999999999</v>
      </c>
      <c r="J6102">
        <v>-209.79650000000001</v>
      </c>
      <c r="K6102">
        <v>1.1064020000000001</v>
      </c>
      <c r="L6102">
        <v>-59.12003</v>
      </c>
      <c r="M6102">
        <v>0.99060899999999996</v>
      </c>
      <c r="N6102">
        <v>0</v>
      </c>
      <c r="O6102">
        <v>0.1358847</v>
      </c>
      <c r="P6102">
        <v>0.9096476</v>
      </c>
      <c r="Q6102">
        <v>1.3817629999999901E-3</v>
      </c>
      <c r="R6102">
        <v>0.4153789</v>
      </c>
      <c r="S6102">
        <v>2.442291</v>
      </c>
      <c r="T6102">
        <v>-0.2195077</v>
      </c>
      <c r="U6102">
        <v>1.8889769999999999</v>
      </c>
      <c r="V6102">
        <v>-0.28798979999999902</v>
      </c>
      <c r="W6102">
        <v>1.424342E-2</v>
      </c>
      <c r="X6102">
        <v>0.95752760000000003</v>
      </c>
      <c r="Y6102">
        <v>-0.49773610000000001</v>
      </c>
      <c r="Z6102">
        <v>9.1030629999999998E-3</v>
      </c>
      <c r="AA6102">
        <v>0.86728079999999996</v>
      </c>
      <c r="AB6102">
        <v>21</v>
      </c>
      <c r="AC6102">
        <v>0.55960000000001697</v>
      </c>
      <c r="AD6102">
        <v>-5.98450000000001E-2</v>
      </c>
      <c r="AE6102">
        <v>0.49754000000000698</v>
      </c>
      <c r="AF6102">
        <v>-0.41422843372512003</v>
      </c>
      <c r="AG6102">
        <v>-5.98450000000001E-2</v>
      </c>
      <c r="AH6102">
        <v>0.61807622244161198</v>
      </c>
      <c r="AI6102">
        <v>94.5985108260803</v>
      </c>
      <c r="AJ6102">
        <v>123.829593515499</v>
      </c>
      <c r="AK6102">
        <v>0.74644814694596096</v>
      </c>
    </row>
    <row r="6103" spans="1:37" x14ac:dyDescent="0.2">
      <c r="A6103" t="str">
        <f>"20200111160020807"</f>
        <v>20200111160020807</v>
      </c>
      <c r="B6103" t="str">
        <f>"1578729620796841"</f>
        <v>1578729620796841</v>
      </c>
      <c r="C6103" t="s">
        <v>37</v>
      </c>
      <c r="D6103">
        <v>4.887238</v>
      </c>
      <c r="E6103">
        <v>0.41208640000000002</v>
      </c>
      <c r="F6103" t="s">
        <v>38</v>
      </c>
      <c r="G6103">
        <v>-209.07230000000001</v>
      </c>
      <c r="H6103">
        <v>1.0399769999999999</v>
      </c>
      <c r="I6103">
        <v>-58.55303</v>
      </c>
      <c r="J6103">
        <v>-209.6953</v>
      </c>
      <c r="K6103">
        <v>1.10646</v>
      </c>
      <c r="L6103">
        <v>-59.103819999999899</v>
      </c>
      <c r="M6103">
        <v>0.99034500000000003</v>
      </c>
      <c r="N6103">
        <v>0</v>
      </c>
      <c r="O6103">
        <v>0.13779649999999999</v>
      </c>
      <c r="P6103">
        <v>0.90606679999999995</v>
      </c>
      <c r="Q6103">
        <v>2.1870409999999998E-3</v>
      </c>
      <c r="R6103">
        <v>0.42312909999999998</v>
      </c>
      <c r="S6103">
        <v>2.429764</v>
      </c>
      <c r="T6103">
        <v>-0.22283939999999899</v>
      </c>
      <c r="U6103">
        <v>1.9020999999999999</v>
      </c>
      <c r="V6103">
        <v>-0.29431649999999998</v>
      </c>
      <c r="W6103">
        <v>1.492332E-2</v>
      </c>
      <c r="X6103">
        <v>0.95559150000000004</v>
      </c>
      <c r="Y6103">
        <v>-0.50109649999999994</v>
      </c>
      <c r="Z6103">
        <v>9.251904E-3</v>
      </c>
      <c r="AA6103">
        <v>0.86534199999999994</v>
      </c>
      <c r="AB6103">
        <v>21</v>
      </c>
      <c r="AC6103">
        <v>0.62299999999999001</v>
      </c>
      <c r="AD6103">
        <v>-6.6482999999999806E-2</v>
      </c>
      <c r="AE6103">
        <v>0.55078999999998401</v>
      </c>
      <c r="AF6103">
        <v>-0.45675796669042901</v>
      </c>
      <c r="AG6103">
        <v>-6.6482999999999806E-2</v>
      </c>
      <c r="AH6103">
        <v>0.68855997934041102</v>
      </c>
      <c r="AI6103">
        <v>94.600130397591798</v>
      </c>
      <c r="AJ6103">
        <v>123.558404623934</v>
      </c>
      <c r="AK6103">
        <v>0.82895275774524302</v>
      </c>
    </row>
    <row r="6104" spans="1:37" x14ac:dyDescent="0.2">
      <c r="A6104" t="str">
        <f>"20200111160020818"</f>
        <v>20200111160020818</v>
      </c>
      <c r="B6104" t="str">
        <f>"1578729620806601"</f>
        <v>1578729620806601</v>
      </c>
      <c r="C6104" t="s">
        <v>37</v>
      </c>
      <c r="D6104">
        <v>4.959517</v>
      </c>
      <c r="E6104">
        <v>0.41330689999999998</v>
      </c>
      <c r="F6104" t="s">
        <v>38</v>
      </c>
      <c r="G6104">
        <v>-208.90790000000001</v>
      </c>
      <c r="H6104">
        <v>1.034454</v>
      </c>
      <c r="I6104">
        <v>-58.481940000000002</v>
      </c>
      <c r="J6104">
        <v>-209.59479999999999</v>
      </c>
      <c r="K6104">
        <v>1.106506</v>
      </c>
      <c r="L6104">
        <v>-59.0873699999999</v>
      </c>
      <c r="M6104">
        <v>0.99006130000000003</v>
      </c>
      <c r="N6104">
        <v>0</v>
      </c>
      <c r="O6104">
        <v>0.13982429999999901</v>
      </c>
      <c r="P6104">
        <v>0.90237000000000001</v>
      </c>
      <c r="Q6104">
        <v>3.1991570000000002E-3</v>
      </c>
      <c r="R6104">
        <v>0.43095040000000001</v>
      </c>
      <c r="S6104">
        <v>2.41893</v>
      </c>
      <c r="T6104">
        <v>-0.2212442</v>
      </c>
      <c r="U6104">
        <v>1.9113770000000001</v>
      </c>
      <c r="V6104">
        <v>-0.3006277</v>
      </c>
      <c r="W6104">
        <v>1.5814419999999999E-2</v>
      </c>
      <c r="X6104">
        <v>0.95361039999999997</v>
      </c>
      <c r="Y6104">
        <v>-0.50325819999999999</v>
      </c>
      <c r="Z6104">
        <v>9.1384009999999904E-3</v>
      </c>
      <c r="AA6104">
        <v>0.86408779999999996</v>
      </c>
      <c r="AB6104">
        <v>21</v>
      </c>
      <c r="AC6104">
        <v>0.68689999999997997</v>
      </c>
      <c r="AD6104">
        <v>-7.2052000000000005E-2</v>
      </c>
      <c r="AE6104">
        <v>0.60542999999999103</v>
      </c>
      <c r="AF6104">
        <v>-0.50032666366081202</v>
      </c>
      <c r="AG6104">
        <v>-7.2052000000000005E-2</v>
      </c>
      <c r="AH6104">
        <v>0.76010722594358104</v>
      </c>
      <c r="AI6104">
        <v>94.527149697606802</v>
      </c>
      <c r="AJ6104">
        <v>123.354179320657</v>
      </c>
      <c r="AK6104">
        <v>0.91284240480249701</v>
      </c>
    </row>
    <row r="6105" spans="1:37" x14ac:dyDescent="0.2">
      <c r="A6105" t="str">
        <f>"20200111160020830"</f>
        <v>20200111160020830</v>
      </c>
      <c r="B6105" t="str">
        <f>"1578729620827097"</f>
        <v>1578729620827097</v>
      </c>
      <c r="C6105" t="s">
        <v>37</v>
      </c>
      <c r="D6105">
        <v>4.935219</v>
      </c>
      <c r="E6105">
        <v>0.41604920000000001</v>
      </c>
      <c r="F6105" t="s">
        <v>38</v>
      </c>
      <c r="G6105">
        <v>-208.89179999999999</v>
      </c>
      <c r="H6105">
        <v>1.0408740000000001</v>
      </c>
      <c r="I6105">
        <v>-58.525669999999998</v>
      </c>
      <c r="J6105">
        <v>-209.49619999999999</v>
      </c>
      <c r="K6105">
        <v>1.106552</v>
      </c>
      <c r="L6105">
        <v>-59.071040000000004</v>
      </c>
      <c r="M6105">
        <v>0.98976960000000003</v>
      </c>
      <c r="N6105">
        <v>0</v>
      </c>
      <c r="O6105">
        <v>0.1418777</v>
      </c>
      <c r="P6105">
        <v>0.89850319999999995</v>
      </c>
      <c r="Q6105">
        <v>4.2774049999999997E-3</v>
      </c>
      <c r="R6105">
        <v>0.43894640000000001</v>
      </c>
      <c r="S6105">
        <v>2.4066619999999999</v>
      </c>
      <c r="T6105">
        <v>-0.2246948</v>
      </c>
      <c r="U6105">
        <v>1.9237059999999999</v>
      </c>
      <c r="V6105">
        <v>-0.3071197</v>
      </c>
      <c r="W6105">
        <v>1.6768450000000001E-2</v>
      </c>
      <c r="X6105">
        <v>0.95152309999999996</v>
      </c>
      <c r="Y6105">
        <v>-0.50627540000000004</v>
      </c>
      <c r="Z6105">
        <v>9.2663669999999993E-3</v>
      </c>
      <c r="AA6105">
        <v>0.86232209999999998</v>
      </c>
      <c r="AB6105">
        <v>21</v>
      </c>
      <c r="AC6105">
        <v>0.60439999999999805</v>
      </c>
      <c r="AD6105">
        <v>-6.5677999999999903E-2</v>
      </c>
      <c r="AE6105">
        <v>0.54537000000000502</v>
      </c>
      <c r="AF6105">
        <v>-0.451154773345325</v>
      </c>
      <c r="AG6105">
        <v>-6.5677999999999903E-2</v>
      </c>
      <c r="AH6105">
        <v>0.67129983817233296</v>
      </c>
      <c r="AI6105">
        <v>94.642380315506401</v>
      </c>
      <c r="AJ6105">
        <v>123.90352799340999</v>
      </c>
      <c r="AK6105">
        <v>0.81147871316903497</v>
      </c>
    </row>
    <row r="6106" spans="1:37" x14ac:dyDescent="0.2">
      <c r="A6106" t="str">
        <f>"20200111160020840"</f>
        <v>20200111160020840</v>
      </c>
      <c r="B6106" t="str">
        <f>"1578729620836857"</f>
        <v>1578729620836857</v>
      </c>
      <c r="C6106" t="s">
        <v>37</v>
      </c>
      <c r="D6106">
        <v>4.953379</v>
      </c>
      <c r="E6106">
        <v>0.41604920000000001</v>
      </c>
      <c r="F6106" t="s">
        <v>38</v>
      </c>
      <c r="G6106">
        <v>-208.72799999999901</v>
      </c>
      <c r="H6106">
        <v>1.033782</v>
      </c>
      <c r="I6106">
        <v>-58.454569999999997</v>
      </c>
      <c r="J6106">
        <v>-209.39519999999999</v>
      </c>
      <c r="K6106">
        <v>1.1065959999999999</v>
      </c>
      <c r="L6106">
        <v>-59.054139999999997</v>
      </c>
      <c r="M6106">
        <v>0.98945369999999999</v>
      </c>
      <c r="N6106">
        <v>0</v>
      </c>
      <c r="O6106">
        <v>0.1440671</v>
      </c>
      <c r="P6106">
        <v>0.89467669999999999</v>
      </c>
      <c r="Q6106">
        <v>4.7046309999999999E-3</v>
      </c>
      <c r="R6106">
        <v>0.44668950000000002</v>
      </c>
      <c r="S6106">
        <v>2.399292</v>
      </c>
      <c r="T6106">
        <v>-0.22728809999999999</v>
      </c>
      <c r="U6106">
        <v>1.9255369999999901</v>
      </c>
      <c r="V6106">
        <v>-0.31323069999999997</v>
      </c>
      <c r="W6106">
        <v>1.7072629999999998E-2</v>
      </c>
      <c r="X6106">
        <v>0.94952359999999902</v>
      </c>
      <c r="Y6106">
        <v>-0.50604059999999995</v>
      </c>
      <c r="Z6106">
        <v>9.2084519999999902E-3</v>
      </c>
      <c r="AA6106">
        <v>0.86246049999999996</v>
      </c>
      <c r="AB6106">
        <v>21</v>
      </c>
      <c r="AC6106">
        <v>0.66720000000000801</v>
      </c>
      <c r="AD6106">
        <v>-7.2813999999999907E-2</v>
      </c>
      <c r="AE6106">
        <v>0.59957000000000704</v>
      </c>
      <c r="AF6106">
        <v>-0.49392683331092602</v>
      </c>
      <c r="AG6106">
        <v>-7.2813999999999907E-2</v>
      </c>
      <c r="AH6106">
        <v>0.74173879642878604</v>
      </c>
      <c r="AI6106">
        <v>94.671165354368696</v>
      </c>
      <c r="AJ6106">
        <v>123.659804801763</v>
      </c>
      <c r="AK6106">
        <v>0.89411522601294702</v>
      </c>
    </row>
    <row r="6107" spans="1:37" x14ac:dyDescent="0.2">
      <c r="A6107" t="str">
        <f>"20200111160020857"</f>
        <v>20200111160020857</v>
      </c>
      <c r="B6107" t="str">
        <f>"1578729620846617"</f>
        <v>1578729620846617</v>
      </c>
      <c r="C6107" t="s">
        <v>37</v>
      </c>
      <c r="D6107">
        <v>4.9653279999999897</v>
      </c>
      <c r="E6107">
        <v>0.430606499999999</v>
      </c>
      <c r="F6107" t="s">
        <v>38</v>
      </c>
      <c r="G6107">
        <v>-208.7124</v>
      </c>
      <c r="H6107">
        <v>1.041801</v>
      </c>
      <c r="I6107">
        <v>-58.496389999999998</v>
      </c>
      <c r="J6107">
        <v>-209.24719999999999</v>
      </c>
      <c r="K6107">
        <v>1.1066719999999901</v>
      </c>
      <c r="L6107">
        <v>-59.028689999999997</v>
      </c>
      <c r="M6107">
        <v>0.98896519999999999</v>
      </c>
      <c r="N6107">
        <v>0</v>
      </c>
      <c r="O6107">
        <v>0.14738799999999999</v>
      </c>
      <c r="P6107">
        <v>0.88752260000000005</v>
      </c>
      <c r="Q6107">
        <v>4.7576959999999996E-3</v>
      </c>
      <c r="R6107">
        <v>0.46073959999999903</v>
      </c>
      <c r="S6107">
        <v>2.3826450000000001</v>
      </c>
      <c r="T6107">
        <v>-0.22609369999999901</v>
      </c>
      <c r="U6107">
        <v>1.946259</v>
      </c>
      <c r="V6107">
        <v>-0.32499359999999999</v>
      </c>
      <c r="W6107">
        <v>1.6906239999999999E-2</v>
      </c>
      <c r="X6107">
        <v>0.94556509999999905</v>
      </c>
      <c r="Y6107">
        <v>-0.51059469999999996</v>
      </c>
      <c r="Z6107">
        <v>9.11264E-3</v>
      </c>
      <c r="AA6107">
        <v>0.85977320000000002</v>
      </c>
      <c r="AB6107">
        <v>21</v>
      </c>
      <c r="AC6107">
        <v>0.53479999999998995</v>
      </c>
      <c r="AD6107">
        <v>-6.4870999999999901E-2</v>
      </c>
      <c r="AE6107">
        <v>0.532299999999999</v>
      </c>
      <c r="AF6107">
        <v>-0.444368903545248</v>
      </c>
      <c r="AG6107">
        <v>-6.4870999999999901E-2</v>
      </c>
      <c r="AH6107">
        <v>0.60296477165328199</v>
      </c>
      <c r="AI6107">
        <v>94.949914910764093</v>
      </c>
      <c r="AJ6107">
        <v>126.389221234665</v>
      </c>
      <c r="AK6107">
        <v>0.75182344000030998</v>
      </c>
    </row>
    <row r="6108" spans="1:37" x14ac:dyDescent="0.2">
      <c r="A6108" t="str">
        <f>"20200111160020871"</f>
        <v>20200111160020871</v>
      </c>
      <c r="B6108" t="str">
        <f>"1578729620867113"</f>
        <v>1578729620867113</v>
      </c>
      <c r="C6108" t="s">
        <v>37</v>
      </c>
      <c r="D6108">
        <v>4.9994930000000002</v>
      </c>
      <c r="E6108">
        <v>0.43328119999999998</v>
      </c>
      <c r="F6108" t="s">
        <v>38</v>
      </c>
      <c r="G6108">
        <v>-208.5324</v>
      </c>
      <c r="H6108">
        <v>1.0307170000000001</v>
      </c>
      <c r="I6108">
        <v>-58.46978</v>
      </c>
      <c r="J6108">
        <v>-209.1327</v>
      </c>
      <c r="K6108">
        <v>1.106743</v>
      </c>
      <c r="L6108">
        <v>-59.008669999999903</v>
      </c>
      <c r="M6108">
        <v>0.98856999999999995</v>
      </c>
      <c r="N6108">
        <v>0</v>
      </c>
      <c r="O6108">
        <v>0.15001929999999999</v>
      </c>
      <c r="P6108">
        <v>0.88371239999999995</v>
      </c>
      <c r="Q6108">
        <v>4.2510270000000001E-3</v>
      </c>
      <c r="R6108">
        <v>0.46801120000000002</v>
      </c>
      <c r="S6108">
        <v>2.4048769999999999</v>
      </c>
      <c r="T6108">
        <v>-0.2556001</v>
      </c>
      <c r="U6108">
        <v>1.88137799999999</v>
      </c>
      <c r="V6108">
        <v>-0.3302349</v>
      </c>
      <c r="W6108">
        <v>1.6266880000000001E-2</v>
      </c>
      <c r="X6108">
        <v>0.943758599999999</v>
      </c>
      <c r="Y6108">
        <v>-0.48986190000000002</v>
      </c>
      <c r="Z6108">
        <v>9.0865570000000003E-3</v>
      </c>
      <c r="AA6108">
        <v>0.87175270000000005</v>
      </c>
      <c r="AB6108">
        <v>21</v>
      </c>
      <c r="AC6108">
        <v>0.60030000000000405</v>
      </c>
      <c r="AD6108">
        <v>-7.6025999999999899E-2</v>
      </c>
      <c r="AE6108">
        <v>0.53888999999998699</v>
      </c>
      <c r="AF6108">
        <v>-0.43882582293394201</v>
      </c>
      <c r="AG6108">
        <v>-7.6025999999999899E-2</v>
      </c>
      <c r="AH6108">
        <v>0.66842106451363703</v>
      </c>
      <c r="AI6108">
        <v>95.431379937757598</v>
      </c>
      <c r="AJ6108">
        <v>123.285341843735</v>
      </c>
      <c r="AK6108">
        <v>0.80320282309961799</v>
      </c>
    </row>
    <row r="6109" spans="1:37" x14ac:dyDescent="0.2">
      <c r="A6109" t="str">
        <f>"20200111160020882"</f>
        <v>20200111160020882</v>
      </c>
      <c r="B6109" t="str">
        <f>"1578729620876873"</f>
        <v>1578729620876873</v>
      </c>
      <c r="C6109" t="s">
        <v>37</v>
      </c>
      <c r="D6109">
        <v>5.0601449999999897</v>
      </c>
      <c r="E6109">
        <v>0.43457839999999998</v>
      </c>
      <c r="F6109" t="s">
        <v>38</v>
      </c>
      <c r="G6109">
        <v>-208.3664</v>
      </c>
      <c r="H6109">
        <v>1.0210049999999999</v>
      </c>
      <c r="I6109">
        <v>-58.407359999999997</v>
      </c>
      <c r="J6109">
        <v>-209.02250000000001</v>
      </c>
      <c r="K6109">
        <v>1.1068229999999999</v>
      </c>
      <c r="L6109">
        <v>-58.989040000000003</v>
      </c>
      <c r="M6109">
        <v>0.98817520000000003</v>
      </c>
      <c r="N6109">
        <v>0</v>
      </c>
      <c r="O6109">
        <v>0.15260090000000001</v>
      </c>
      <c r="P6109">
        <v>0.87983630000000002</v>
      </c>
      <c r="Q6109">
        <v>3.7658589999999999E-3</v>
      </c>
      <c r="R6109">
        <v>0.47526199999999902</v>
      </c>
      <c r="S6109">
        <v>2.3992</v>
      </c>
      <c r="T6109">
        <v>-0.26840599999999998</v>
      </c>
      <c r="U6109">
        <v>1.8822939999999999</v>
      </c>
      <c r="V6109">
        <v>-0.33552480000000001</v>
      </c>
      <c r="W6109">
        <v>1.5646119999999999E-2</v>
      </c>
      <c r="X6109">
        <v>0.9419014</v>
      </c>
      <c r="Y6109">
        <v>-0.4886839</v>
      </c>
      <c r="Z6109">
        <v>9.2538550000000001E-3</v>
      </c>
      <c r="AA6109">
        <v>0.87241179999999996</v>
      </c>
      <c r="AB6109">
        <v>21</v>
      </c>
      <c r="AC6109">
        <v>0.65610000000000901</v>
      </c>
      <c r="AD6109">
        <v>-8.5817999999999894E-2</v>
      </c>
      <c r="AE6109">
        <v>0.58168000000000497</v>
      </c>
      <c r="AF6109">
        <v>-0.47022872215844502</v>
      </c>
      <c r="AG6109">
        <v>-8.5817999999999894E-2</v>
      </c>
      <c r="AH6109">
        <v>0.73019401404113304</v>
      </c>
      <c r="AI6109">
        <v>95.643154616848904</v>
      </c>
      <c r="AJ6109">
        <v>122.78063544665601</v>
      </c>
      <c r="AK6109">
        <v>0.87273310834886197</v>
      </c>
    </row>
    <row r="6110" spans="1:37" x14ac:dyDescent="0.2">
      <c r="A6110" t="str">
        <f>"20200111160020893"</f>
        <v>20200111160020893</v>
      </c>
      <c r="B6110" t="str">
        <f>"1578729620887393"</f>
        <v>1578729620887393</v>
      </c>
      <c r="C6110" t="s">
        <v>37</v>
      </c>
      <c r="D6110">
        <v>5.0449299999999999</v>
      </c>
      <c r="E6110">
        <v>0.4359692</v>
      </c>
      <c r="F6110" t="s">
        <v>38</v>
      </c>
      <c r="G6110">
        <v>-208.34739999999999</v>
      </c>
      <c r="H6110">
        <v>1.029701</v>
      </c>
      <c r="I6110">
        <v>-58.453999999999901</v>
      </c>
      <c r="J6110">
        <v>-208.92779999999999</v>
      </c>
      <c r="K6110">
        <v>1.1068990000000001</v>
      </c>
      <c r="L6110">
        <v>-58.971800000000002</v>
      </c>
      <c r="M6110">
        <v>0.98782219999999998</v>
      </c>
      <c r="N6110">
        <v>0</v>
      </c>
      <c r="O6110">
        <v>0.1548706</v>
      </c>
      <c r="P6110">
        <v>0.87622049999999996</v>
      </c>
      <c r="Q6110">
        <v>2.5073090000000001E-3</v>
      </c>
      <c r="R6110">
        <v>0.4819039</v>
      </c>
      <c r="S6110">
        <v>2.388458</v>
      </c>
      <c r="T6110">
        <v>-0.27285549999999997</v>
      </c>
      <c r="U6110">
        <v>1.89279199999999</v>
      </c>
      <c r="V6110">
        <v>-0.34047529999999998</v>
      </c>
      <c r="W6110">
        <v>1.426202E-2</v>
      </c>
      <c r="X6110">
        <v>0.94014529999999996</v>
      </c>
      <c r="Y6110">
        <v>-0.4908959</v>
      </c>
      <c r="Z6110">
        <v>9.3212690000000001E-3</v>
      </c>
      <c r="AA6110">
        <v>0.87116839999999995</v>
      </c>
      <c r="AB6110">
        <v>21</v>
      </c>
      <c r="AC6110">
        <v>0.58039999999999703</v>
      </c>
      <c r="AD6110">
        <v>-7.71980000000001E-2</v>
      </c>
      <c r="AE6110">
        <v>0.51780000000000803</v>
      </c>
      <c r="AF6110">
        <v>-0.41754122485052497</v>
      </c>
      <c r="AG6110">
        <v>-7.71980000000001E-2</v>
      </c>
      <c r="AH6110">
        <v>0.64722105658185602</v>
      </c>
      <c r="AI6110">
        <v>95.723570402470997</v>
      </c>
      <c r="AJ6110">
        <v>122.827244911422</v>
      </c>
      <c r="AK6110">
        <v>0.77407706446878499</v>
      </c>
    </row>
    <row r="6111" spans="1:37" x14ac:dyDescent="0.2">
      <c r="A6111" t="str">
        <f>"20200111160020904"</f>
        <v>20200111160020904</v>
      </c>
      <c r="B6111" t="str">
        <f>"1578729620897152"</f>
        <v>1578729620897152</v>
      </c>
      <c r="C6111" t="s">
        <v>37</v>
      </c>
      <c r="D6111">
        <v>5.0498419999999999</v>
      </c>
      <c r="E6111">
        <v>0.4371372</v>
      </c>
      <c r="F6111" t="s">
        <v>38</v>
      </c>
      <c r="G6111">
        <v>-208.18719999999999</v>
      </c>
      <c r="H6111">
        <v>1.0206580000000001</v>
      </c>
      <c r="I6111">
        <v>-58.380130000000001</v>
      </c>
      <c r="J6111">
        <v>-208.82079999999999</v>
      </c>
      <c r="K6111">
        <v>1.1069879999999901</v>
      </c>
      <c r="L6111">
        <v>-58.952150000000003</v>
      </c>
      <c r="M6111">
        <v>0.98741429999999997</v>
      </c>
      <c r="N6111">
        <v>0</v>
      </c>
      <c r="O6111">
        <v>0.1574525</v>
      </c>
      <c r="P6111">
        <v>0.87242219999999904</v>
      </c>
      <c r="Q6111">
        <v>1.713249E-3</v>
      </c>
      <c r="R6111">
        <v>0.48875029999999903</v>
      </c>
      <c r="S6111">
        <v>2.3792110000000002</v>
      </c>
      <c r="T6111">
        <v>-0.27705940000000001</v>
      </c>
      <c r="U6111">
        <v>1.9007259999999999</v>
      </c>
      <c r="V6111">
        <v>-0.34537180000000001</v>
      </c>
      <c r="W6111">
        <v>1.333085E-2</v>
      </c>
      <c r="X6111">
        <v>0.93837119999999996</v>
      </c>
      <c r="Y6111">
        <v>-0.49200339999999998</v>
      </c>
      <c r="Z6111">
        <v>9.2881979999999992E-3</v>
      </c>
      <c r="AA6111">
        <v>0.87054379999999998</v>
      </c>
      <c r="AB6111">
        <v>21</v>
      </c>
      <c r="AC6111">
        <v>0.63360000000000105</v>
      </c>
      <c r="AD6111">
        <v>-8.6329999999999796E-2</v>
      </c>
      <c r="AE6111">
        <v>0.57202000000000197</v>
      </c>
      <c r="AF6111">
        <v>-0.46040129043537598</v>
      </c>
      <c r="AG6111">
        <v>-8.6329999999999796E-2</v>
      </c>
      <c r="AH6111">
        <v>0.70852407455931798</v>
      </c>
      <c r="AI6111">
        <v>95.833622360579596</v>
      </c>
      <c r="AJ6111">
        <v>123.01594460845</v>
      </c>
      <c r="AK6111">
        <v>0.84936951991739096</v>
      </c>
    </row>
    <row r="6112" spans="1:37" x14ac:dyDescent="0.2">
      <c r="A6112" t="str">
        <f>"20200111160020915"</f>
        <v>20200111160020915</v>
      </c>
      <c r="B6112" t="str">
        <f>"1578729620906913"</f>
        <v>1578729620906913</v>
      </c>
      <c r="C6112" t="s">
        <v>37</v>
      </c>
      <c r="D6112">
        <v>5.1291289999999998</v>
      </c>
      <c r="E6112">
        <v>0.4371372</v>
      </c>
      <c r="F6112" t="s">
        <v>38</v>
      </c>
      <c r="G6112">
        <v>-208.1609</v>
      </c>
      <c r="H6112">
        <v>1.028097</v>
      </c>
      <c r="I6112">
        <v>-58.419789999999999</v>
      </c>
      <c r="J6112">
        <v>-208.72799999999901</v>
      </c>
      <c r="K6112">
        <v>1.107062</v>
      </c>
      <c r="L6112">
        <v>-58.934569999999901</v>
      </c>
      <c r="M6112">
        <v>0.98706459999999996</v>
      </c>
      <c r="N6112">
        <v>0</v>
      </c>
      <c r="O6112">
        <v>0.1596368</v>
      </c>
      <c r="P6112">
        <v>0.86907259999999997</v>
      </c>
      <c r="Q6112">
        <v>5.1697159999999995E-4</v>
      </c>
      <c r="R6112">
        <v>0.49468450000000003</v>
      </c>
      <c r="S6112">
        <v>2.3687130000000001</v>
      </c>
      <c r="T6112">
        <v>-0.28318979999999999</v>
      </c>
      <c r="U6112">
        <v>1.91091899999999</v>
      </c>
      <c r="V6112">
        <v>-0.34968050000000001</v>
      </c>
      <c r="W6112">
        <v>1.195242E-2</v>
      </c>
      <c r="X6112">
        <v>0.93679279999999998</v>
      </c>
      <c r="Y6112">
        <v>-0.49416539999999998</v>
      </c>
      <c r="Z6112">
        <v>9.4089880000000001E-3</v>
      </c>
      <c r="AA6112">
        <v>0.86931709999999995</v>
      </c>
      <c r="AB6112">
        <v>21</v>
      </c>
      <c r="AC6112">
        <v>0.56709999999998195</v>
      </c>
      <c r="AD6112">
        <v>-7.8964999999999896E-2</v>
      </c>
      <c r="AE6112">
        <v>0.51477999999999402</v>
      </c>
      <c r="AF6112">
        <v>-0.41324421928462901</v>
      </c>
      <c r="AG6112">
        <v>-7.8964999999999896E-2</v>
      </c>
      <c r="AH6112">
        <v>0.63525994364775595</v>
      </c>
      <c r="AI6112">
        <v>95.948584991501093</v>
      </c>
      <c r="AJ6112">
        <v>123.044485362996</v>
      </c>
      <c r="AK6112">
        <v>0.76194583272074801</v>
      </c>
    </row>
    <row r="6113" spans="1:37" x14ac:dyDescent="0.2">
      <c r="A6113" t="str">
        <f>"20200111160020926"</f>
        <v>20200111160020926</v>
      </c>
      <c r="B6113" t="str">
        <f>"1578729620916673"</f>
        <v>1578729620916673</v>
      </c>
      <c r="C6113" t="s">
        <v>37</v>
      </c>
      <c r="D6113">
        <v>7.1462500000000002</v>
      </c>
      <c r="E6113">
        <v>0.43725199999999997</v>
      </c>
      <c r="F6113" t="s">
        <v>38</v>
      </c>
      <c r="G6113">
        <v>-208.00980000000001</v>
      </c>
      <c r="H6113">
        <v>1.019412</v>
      </c>
      <c r="I6113">
        <v>-58.34713</v>
      </c>
      <c r="J6113">
        <v>-208.62610000000001</v>
      </c>
      <c r="K6113">
        <v>1.107135</v>
      </c>
      <c r="L6113">
        <v>-58.915129999999998</v>
      </c>
      <c r="M6113">
        <v>0.98666919999999902</v>
      </c>
      <c r="N6113">
        <v>0</v>
      </c>
      <c r="O6113">
        <v>0.1620693</v>
      </c>
      <c r="P6113">
        <v>0.8655081</v>
      </c>
      <c r="Q6113" s="1">
        <v>-8.257013E-5</v>
      </c>
      <c r="R6113">
        <v>0.50089499999999998</v>
      </c>
      <c r="S6113">
        <v>2.355515</v>
      </c>
      <c r="T6113">
        <v>-0.28748579999999901</v>
      </c>
      <c r="U6113">
        <v>1.92654399999999</v>
      </c>
      <c r="V6113">
        <v>-0.35407309999999997</v>
      </c>
      <c r="W6113">
        <v>1.116807E-2</v>
      </c>
      <c r="X6113">
        <v>0.93515099999999995</v>
      </c>
      <c r="Y6113">
        <v>-0.497809</v>
      </c>
      <c r="Z6113">
        <v>9.5221719999999902E-3</v>
      </c>
      <c r="AA6113">
        <v>0.86723439999999996</v>
      </c>
      <c r="AB6113">
        <v>20</v>
      </c>
      <c r="AC6113">
        <v>0.61629999999999496</v>
      </c>
      <c r="AD6113">
        <v>-8.7722999999999995E-2</v>
      </c>
      <c r="AE6113">
        <v>0.56799999999999695</v>
      </c>
      <c r="AF6113">
        <v>-0.45560374126545999</v>
      </c>
      <c r="AG6113">
        <v>-8.7722999999999995E-2</v>
      </c>
      <c r="AH6113">
        <v>0.69262799089180305</v>
      </c>
      <c r="AI6113">
        <v>96.040143958165203</v>
      </c>
      <c r="AJ6113">
        <v>123.336517495992</v>
      </c>
      <c r="AK6113">
        <v>0.83366877568426401</v>
      </c>
    </row>
    <row r="6114" spans="1:37" x14ac:dyDescent="0.2">
      <c r="A6114" t="str">
        <f>"20200111160020937"</f>
        <v>20200111160020937</v>
      </c>
      <c r="B6114" t="str">
        <f>"1578729620927410"</f>
        <v>1578729620927410</v>
      </c>
      <c r="C6114" t="s">
        <v>37</v>
      </c>
      <c r="D6114">
        <v>4.2371650000000001</v>
      </c>
      <c r="E6114">
        <v>0.43725199999999997</v>
      </c>
      <c r="F6114" t="s">
        <v>38</v>
      </c>
      <c r="G6114">
        <v>-207.8501</v>
      </c>
      <c r="H6114">
        <v>1.0136969999999901</v>
      </c>
      <c r="I6114">
        <v>-58.271859999999997</v>
      </c>
      <c r="J6114">
        <v>-208.52950000000001</v>
      </c>
      <c r="K6114">
        <v>1.107156</v>
      </c>
      <c r="L6114">
        <v>-58.896269999999902</v>
      </c>
      <c r="M6114">
        <v>0.98625759999999996</v>
      </c>
      <c r="N6114">
        <v>0</v>
      </c>
      <c r="O6114">
        <v>0.16455929999999999</v>
      </c>
      <c r="P6114">
        <v>0.86198920000000001</v>
      </c>
      <c r="Q6114">
        <v>-4.555238E-4</v>
      </c>
      <c r="R6114">
        <v>0.50692669999999995</v>
      </c>
      <c r="S6114">
        <v>2.34223899999999</v>
      </c>
      <c r="T6114">
        <v>-0.2820492</v>
      </c>
      <c r="U6114">
        <v>1.9420169999999899</v>
      </c>
      <c r="V6114">
        <v>-0.35823769999999999</v>
      </c>
      <c r="W6114">
        <v>1.068936E-2</v>
      </c>
      <c r="X6114">
        <v>0.93356930000000005</v>
      </c>
      <c r="Y6114">
        <v>-0.50147189999999997</v>
      </c>
      <c r="Z6114">
        <v>9.3102700000000007E-3</v>
      </c>
      <c r="AA6114">
        <v>0.86512389999999995</v>
      </c>
      <c r="AB6114">
        <v>21</v>
      </c>
      <c r="AC6114">
        <v>0.67940000000001499</v>
      </c>
      <c r="AD6114">
        <v>-9.3459000000000098E-2</v>
      </c>
      <c r="AE6114">
        <v>0.62440999999999702</v>
      </c>
      <c r="AF6114">
        <v>-0.49896353453768</v>
      </c>
      <c r="AG6114">
        <v>-9.3459000000000098E-2</v>
      </c>
      <c r="AH6114">
        <v>0.76505137320888605</v>
      </c>
      <c r="AI6114">
        <v>95.842276325639702</v>
      </c>
      <c r="AJ6114">
        <v>123.11223449142599</v>
      </c>
      <c r="AK6114">
        <v>0.91815183773063302</v>
      </c>
    </row>
    <row r="6115" spans="1:37" x14ac:dyDescent="0.2">
      <c r="A6115" t="str">
        <f>"20200111160020948"</f>
        <v>20200111160020948</v>
      </c>
      <c r="B6115" t="str">
        <f>"1578729620937170"</f>
        <v>1578729620937170</v>
      </c>
      <c r="C6115" t="s">
        <v>37</v>
      </c>
      <c r="D6115">
        <v>5.1234000000000002</v>
      </c>
      <c r="E6115">
        <v>0.38337789999999999</v>
      </c>
      <c r="F6115" t="s">
        <v>38</v>
      </c>
      <c r="G6115">
        <v>-207.83420000000001</v>
      </c>
      <c r="H6115">
        <v>1.0224959999999901</v>
      </c>
      <c r="I6115">
        <v>-58.311709999999998</v>
      </c>
      <c r="J6115">
        <v>-208.43109999999999</v>
      </c>
      <c r="K6115">
        <v>1.10717</v>
      </c>
      <c r="L6115">
        <v>-58.876769999999901</v>
      </c>
      <c r="M6115">
        <v>0.98581450000000004</v>
      </c>
      <c r="N6115">
        <v>0</v>
      </c>
      <c r="O6115">
        <v>0.16719349999999999</v>
      </c>
      <c r="P6115">
        <v>0.85832120000000001</v>
      </c>
      <c r="Q6115">
        <v>-7.4134299999999999E-4</v>
      </c>
      <c r="R6115">
        <v>0.51311229999999997</v>
      </c>
      <c r="S6115">
        <v>2.328659</v>
      </c>
      <c r="T6115">
        <v>-0.28353889999999998</v>
      </c>
      <c r="U6115">
        <v>1.9580379999999999</v>
      </c>
      <c r="V6115">
        <v>-0.36245149999999998</v>
      </c>
      <c r="W6115">
        <v>1.032221E-2</v>
      </c>
      <c r="X6115">
        <v>0.93194549999999998</v>
      </c>
      <c r="Y6115">
        <v>-0.50510670000000002</v>
      </c>
      <c r="Z6115">
        <v>9.3105759999999992E-3</v>
      </c>
      <c r="AA6115">
        <v>0.86300669999999902</v>
      </c>
      <c r="AB6115">
        <v>21</v>
      </c>
      <c r="AC6115">
        <v>0.59689999999997601</v>
      </c>
      <c r="AD6115">
        <v>-8.4674000000000096E-2</v>
      </c>
      <c r="AE6115">
        <v>0.56505999999999501</v>
      </c>
      <c r="AF6115">
        <v>-0.45249381974667002</v>
      </c>
      <c r="AG6115">
        <v>-8.4674000000000096E-2</v>
      </c>
      <c r="AH6115">
        <v>0.67580874771503197</v>
      </c>
      <c r="AI6115">
        <v>95.943694210108006</v>
      </c>
      <c r="AJ6115">
        <v>123.80464205165499</v>
      </c>
      <c r="AK6115">
        <v>0.81770276181085</v>
      </c>
    </row>
    <row r="6116" spans="1:37" x14ac:dyDescent="0.2">
      <c r="A6116" t="str">
        <f>"20200111160020961"</f>
        <v>20200111160020961</v>
      </c>
      <c r="B6116" t="str">
        <f>"1578729620957665"</f>
        <v>1578729620957665</v>
      </c>
      <c r="C6116" t="s">
        <v>37</v>
      </c>
      <c r="D6116">
        <v>4.8453400000000002</v>
      </c>
      <c r="E6116">
        <v>0.37061569999999999</v>
      </c>
      <c r="F6116" t="s">
        <v>75</v>
      </c>
      <c r="G6116">
        <v>-194.20920000000001</v>
      </c>
      <c r="H6116" s="1">
        <v>-5.706672E-6</v>
      </c>
      <c r="I6116">
        <v>-42.985469999999999</v>
      </c>
      <c r="J6116">
        <v>-208.3134</v>
      </c>
      <c r="K6116">
        <v>1.1071629999999999</v>
      </c>
      <c r="L6116">
        <v>-58.853059999999999</v>
      </c>
      <c r="M6116">
        <v>0.98523700000000003</v>
      </c>
      <c r="N6116">
        <v>0</v>
      </c>
      <c r="O6116">
        <v>0.17056170000000001</v>
      </c>
      <c r="P6116">
        <v>0.85416409999999998</v>
      </c>
      <c r="Q6116">
        <v>-1.2875230000000001E-3</v>
      </c>
      <c r="R6116">
        <v>0.52000210000000002</v>
      </c>
      <c r="S6116">
        <v>2.095367</v>
      </c>
      <c r="T6116">
        <v>-0.1631254</v>
      </c>
      <c r="U6116">
        <v>2.3413390000000001</v>
      </c>
      <c r="V6116">
        <v>-0.36675799999999997</v>
      </c>
      <c r="W6116">
        <v>9.7533749999999999E-3</v>
      </c>
      <c r="X6116">
        <v>0.93026520000000001</v>
      </c>
      <c r="Y6116">
        <v>-0.6199055</v>
      </c>
      <c r="Z6116">
        <v>8.9088250000000004E-3</v>
      </c>
      <c r="AA6116">
        <v>0.78462589999999999</v>
      </c>
      <c r="AB6116">
        <v>20</v>
      </c>
      <c r="AC6116">
        <v>14.104199999999899</v>
      </c>
      <c r="AD6116">
        <v>-1.107168706672</v>
      </c>
      <c r="AE6116">
        <v>15.86759</v>
      </c>
      <c r="AF6116">
        <v>-13.1932517389887</v>
      </c>
      <c r="AG6116">
        <v>-1.107168706672</v>
      </c>
      <c r="AH6116">
        <v>16.5591454855875</v>
      </c>
      <c r="AI6116">
        <v>92.993453769073199</v>
      </c>
      <c r="AJ6116">
        <v>128.545560963047</v>
      </c>
      <c r="AK6116">
        <v>21.201250274599701</v>
      </c>
    </row>
    <row r="6117" spans="1:37" x14ac:dyDescent="0.2">
      <c r="A6117" t="str">
        <f>"20200111160020987"</f>
        <v>20200111160020987</v>
      </c>
      <c r="B6117" t="str">
        <f>"1578729620977184"</f>
        <v>1578729620977184</v>
      </c>
      <c r="C6117" t="s">
        <v>37</v>
      </c>
      <c r="D6117">
        <v>5.6432399999999996</v>
      </c>
      <c r="E6117">
        <v>0.37061569999999999</v>
      </c>
      <c r="F6117" t="s">
        <v>75</v>
      </c>
      <c r="G6117">
        <v>-198.58869999999999</v>
      </c>
      <c r="H6117" s="1">
        <v>-4.5103410000000003E-6</v>
      </c>
      <c r="I6117">
        <v>-47.090309999999903</v>
      </c>
      <c r="J6117">
        <v>-208.09020000000001</v>
      </c>
      <c r="K6117">
        <v>1.107213</v>
      </c>
      <c r="L6117">
        <v>-58.806730000000002</v>
      </c>
      <c r="M6117">
        <v>0.98405330000000002</v>
      </c>
      <c r="N6117">
        <v>0</v>
      </c>
      <c r="O6117">
        <v>0.17726040000000001</v>
      </c>
      <c r="P6117">
        <v>0.84562569999999904</v>
      </c>
      <c r="Q6117">
        <v>-3.063475E-3</v>
      </c>
      <c r="R6117">
        <v>0.53376780000000001</v>
      </c>
      <c r="S6117">
        <v>2.0225219999999999</v>
      </c>
      <c r="T6117">
        <v>-0.23026529999999901</v>
      </c>
      <c r="U6117">
        <v>2.4463810000000001</v>
      </c>
      <c r="V6117">
        <v>-0.37546889999999999</v>
      </c>
      <c r="W6117">
        <v>7.8508689999999999E-3</v>
      </c>
      <c r="X6117">
        <v>0.92680169999999995</v>
      </c>
      <c r="Y6117">
        <v>-0.644374</v>
      </c>
      <c r="Z6117">
        <v>1.319735E-2</v>
      </c>
      <c r="AA6117">
        <v>0.76459659999999996</v>
      </c>
      <c r="AB6117">
        <v>20</v>
      </c>
      <c r="AC6117">
        <v>9.5015000000000196</v>
      </c>
      <c r="AD6117">
        <v>-1.107217510341</v>
      </c>
      <c r="AE6117">
        <v>11.716419999999999</v>
      </c>
      <c r="AF6117">
        <v>-9.7936518516840607</v>
      </c>
      <c r="AG6117">
        <v>-1.107217510341</v>
      </c>
      <c r="AH6117">
        <v>11.366846290445499</v>
      </c>
      <c r="AI6117">
        <v>94.220474396090907</v>
      </c>
      <c r="AJ6117">
        <v>130.748120978418</v>
      </c>
      <c r="AK6117">
        <v>15.0448244189759</v>
      </c>
    </row>
    <row r="6118" spans="1:37" x14ac:dyDescent="0.2">
      <c r="A6118" t="str">
        <f>"20200111160020999"</f>
        <v>20200111160020999</v>
      </c>
      <c r="B6118" t="str">
        <f>"1578729620996704"</f>
        <v>1578729620996704</v>
      </c>
      <c r="C6118" t="s">
        <v>37</v>
      </c>
      <c r="D6118">
        <v>4.8859300000000001</v>
      </c>
      <c r="E6118">
        <v>0.2937323</v>
      </c>
      <c r="F6118" t="s">
        <v>75</v>
      </c>
      <c r="G6118">
        <v>-198.79400000000001</v>
      </c>
      <c r="H6118" s="1">
        <v>-4.4994329999999999E-6</v>
      </c>
      <c r="I6118">
        <v>-47.184629999999999</v>
      </c>
      <c r="J6118">
        <v>-207.98079999999999</v>
      </c>
      <c r="K6118">
        <v>1.107283</v>
      </c>
      <c r="L6118">
        <v>-58.783329999999999</v>
      </c>
      <c r="M6118">
        <v>0.98345380000000004</v>
      </c>
      <c r="N6118">
        <v>0</v>
      </c>
      <c r="O6118">
        <v>0.18055860000000001</v>
      </c>
      <c r="P6118">
        <v>0.84126759999999901</v>
      </c>
      <c r="Q6118">
        <v>-4.2258560000000001E-3</v>
      </c>
      <c r="R6118">
        <v>0.54060259999999905</v>
      </c>
      <c r="S6118">
        <v>1.9824219999999999</v>
      </c>
      <c r="T6118">
        <v>-0.2361152</v>
      </c>
      <c r="U6118">
        <v>2.478424</v>
      </c>
      <c r="V6118">
        <v>-0.37986110000000001</v>
      </c>
      <c r="W6118">
        <v>6.5467529999999998E-3</v>
      </c>
      <c r="X6118">
        <v>0.92502039999999996</v>
      </c>
      <c r="Y6118">
        <v>-0.65403610000000001</v>
      </c>
      <c r="Z6118">
        <v>1.380024E-2</v>
      </c>
      <c r="AA6118">
        <v>0.75633739999999905</v>
      </c>
      <c r="AB6118">
        <v>20</v>
      </c>
      <c r="AC6118">
        <v>9.1867999999999697</v>
      </c>
      <c r="AD6118">
        <v>-1.107287499433</v>
      </c>
      <c r="AE6118">
        <v>11.598699999999999</v>
      </c>
      <c r="AF6118">
        <v>-9.69479373454522</v>
      </c>
      <c r="AG6118">
        <v>-1.107287499433</v>
      </c>
      <c r="AH6118">
        <v>11.068260306812</v>
      </c>
      <c r="AI6118">
        <v>94.303688550149204</v>
      </c>
      <c r="AJ6118">
        <v>131.215423978063</v>
      </c>
      <c r="AK6118">
        <v>14.7553887573702</v>
      </c>
    </row>
    <row r="6119" spans="1:37" x14ac:dyDescent="0.2">
      <c r="A6119" t="str">
        <f>"20200111160021027"</f>
        <v>20200111160021027</v>
      </c>
      <c r="B6119" t="str">
        <f>"1578729621017201"</f>
        <v>1578729621017201</v>
      </c>
      <c r="C6119" t="s">
        <v>37</v>
      </c>
      <c r="D6119">
        <v>4.9171079999999998</v>
      </c>
      <c r="E6119">
        <v>0.29509400000000002</v>
      </c>
      <c r="F6119" t="s">
        <v>75</v>
      </c>
      <c r="G6119">
        <v>-198.5472</v>
      </c>
      <c r="H6119" s="1">
        <v>-6.7936899999999898E-6</v>
      </c>
      <c r="I6119">
        <v>-41.382249999999999</v>
      </c>
      <c r="J6119">
        <v>-207.73779999999999</v>
      </c>
      <c r="K6119">
        <v>1.107445</v>
      </c>
      <c r="L6119">
        <v>-58.72974</v>
      </c>
      <c r="M6119">
        <v>0.98210779999999998</v>
      </c>
      <c r="N6119">
        <v>0</v>
      </c>
      <c r="O6119">
        <v>0.1877479</v>
      </c>
      <c r="P6119">
        <v>0.82892980000000005</v>
      </c>
      <c r="Q6119">
        <v>-6.0589600000000004E-3</v>
      </c>
      <c r="R6119">
        <v>0.55931999999999904</v>
      </c>
      <c r="S6119">
        <v>1.6313629999999999</v>
      </c>
      <c r="T6119">
        <v>-0.19148470000000001</v>
      </c>
      <c r="U6119">
        <v>3.0091860000000001</v>
      </c>
      <c r="V6119">
        <v>-0.39377199999999901</v>
      </c>
      <c r="W6119">
        <v>4.2689360000000001E-3</v>
      </c>
      <c r="X6119">
        <v>0.91919819999999997</v>
      </c>
      <c r="Y6119">
        <v>-0.77314019999999894</v>
      </c>
      <c r="Z6119">
        <v>1.548691E-2</v>
      </c>
      <c r="AA6119">
        <v>0.63404609999999995</v>
      </c>
      <c r="AB6119">
        <v>20</v>
      </c>
      <c r="AC6119">
        <v>9.1905999999999892</v>
      </c>
      <c r="AD6119">
        <v>-1.1074517936899999</v>
      </c>
      <c r="AE6119">
        <v>17.347490000000001</v>
      </c>
      <c r="AF6119">
        <v>-15.264659562432</v>
      </c>
      <c r="AG6119">
        <v>-1.1074517936899999</v>
      </c>
      <c r="AH6119">
        <v>12.245467173510701</v>
      </c>
      <c r="AI6119">
        <v>93.238970905359807</v>
      </c>
      <c r="AJ6119">
        <v>141.26305481736</v>
      </c>
      <c r="AK6119">
        <v>19.600707827265399</v>
      </c>
    </row>
    <row r="6120" spans="1:37" x14ac:dyDescent="0.2">
      <c r="A6120" t="str">
        <f>"20200111160021039"</f>
        <v>20200111160021039</v>
      </c>
      <c r="B6120" t="str">
        <f>"1578729621036722"</f>
        <v>1578729621036722</v>
      </c>
      <c r="C6120" t="s">
        <v>37</v>
      </c>
      <c r="D6120">
        <v>4.1228819999999997</v>
      </c>
      <c r="E6120">
        <v>0.29366149999999902</v>
      </c>
      <c r="F6120" t="s">
        <v>75</v>
      </c>
      <c r="G6120">
        <v>-199.0453</v>
      </c>
      <c r="H6120" s="1">
        <v>-6.6697639999999999E-6</v>
      </c>
      <c r="I6120">
        <v>-41.919809999999998</v>
      </c>
      <c r="J6120">
        <v>-207.63570000000001</v>
      </c>
      <c r="K6120">
        <v>1.107507</v>
      </c>
      <c r="L6120">
        <v>-58.706509999999902</v>
      </c>
      <c r="M6120">
        <v>0.98153199999999996</v>
      </c>
      <c r="N6120">
        <v>0</v>
      </c>
      <c r="O6120">
        <v>0.19073809999999999</v>
      </c>
      <c r="P6120">
        <v>0.82398530000000003</v>
      </c>
      <c r="Q6120">
        <v>-6.3797009999999998E-3</v>
      </c>
      <c r="R6120">
        <v>0.56657539999999995</v>
      </c>
      <c r="S6120">
        <v>1.56958</v>
      </c>
      <c r="T6120">
        <v>-0.1999686</v>
      </c>
      <c r="U6120">
        <v>3.0353089999999998</v>
      </c>
      <c r="V6120">
        <v>-0.39903349999999999</v>
      </c>
      <c r="W6120">
        <v>3.7792279999999999E-3</v>
      </c>
      <c r="X6120">
        <v>0.91692859999999998</v>
      </c>
      <c r="Y6120">
        <v>-0.78338929999999996</v>
      </c>
      <c r="Z6120">
        <v>1.6585800000000001E-2</v>
      </c>
      <c r="AA6120">
        <v>0.62131009999999998</v>
      </c>
      <c r="AB6120">
        <v>20</v>
      </c>
      <c r="AC6120">
        <v>8.5904000000000096</v>
      </c>
      <c r="AD6120">
        <v>-1.107513669764</v>
      </c>
      <c r="AE6120">
        <v>16.7866999999999</v>
      </c>
      <c r="AF6120">
        <v>-14.7887407933143</v>
      </c>
      <c r="AG6120">
        <v>-1.107513669764</v>
      </c>
      <c r="AH6120">
        <v>11.5948642417816</v>
      </c>
      <c r="AI6120">
        <v>93.372806775983705</v>
      </c>
      <c r="AJ6120">
        <v>141.90237470623899</v>
      </c>
      <c r="AK6120">
        <v>18.824832471124399</v>
      </c>
    </row>
    <row r="6121" spans="1:37" x14ac:dyDescent="0.2">
      <c r="A6121" t="str">
        <f>"20200111160021054"</f>
        <v>20200111160021054</v>
      </c>
      <c r="B6121" t="str">
        <f>"1578729621047457"</f>
        <v>1578729621047457</v>
      </c>
      <c r="C6121" t="s">
        <v>37</v>
      </c>
      <c r="D6121">
        <v>4.1187329999999998</v>
      </c>
      <c r="E6121">
        <v>0.29163689999999998</v>
      </c>
      <c r="F6121" t="s">
        <v>39</v>
      </c>
      <c r="G6121">
        <v>-195.85560000000001</v>
      </c>
      <c r="H6121" s="1">
        <v>-3.6696279999999999E-6</v>
      </c>
      <c r="I6121">
        <v>-35.282049999999998</v>
      </c>
      <c r="J6121">
        <v>-207.51259999999999</v>
      </c>
      <c r="K6121">
        <v>1.1075649999999999</v>
      </c>
      <c r="L6121">
        <v>-58.677979999999998</v>
      </c>
      <c r="M6121">
        <v>0.98081450000000003</v>
      </c>
      <c r="N6121">
        <v>0</v>
      </c>
      <c r="O6121">
        <v>0.1943956</v>
      </c>
      <c r="P6121">
        <v>0.81833180000000005</v>
      </c>
      <c r="Q6121">
        <v>-6.7987550000000001E-3</v>
      </c>
      <c r="R6121">
        <v>0.57470580000000004</v>
      </c>
      <c r="S6121">
        <v>1.5375209999999999</v>
      </c>
      <c r="T6121">
        <v>-0.14455000000000001</v>
      </c>
      <c r="U6121">
        <v>3.057312</v>
      </c>
      <c r="V6121">
        <v>-0.40468340000000003</v>
      </c>
      <c r="W6121">
        <v>3.2013039999999999E-3</v>
      </c>
      <c r="X6121">
        <v>0.91445119999999902</v>
      </c>
      <c r="Y6121">
        <v>-0.78850120000000001</v>
      </c>
      <c r="Z6121">
        <v>1.201554E-2</v>
      </c>
      <c r="AA6121">
        <v>0.61491589999999996</v>
      </c>
      <c r="AB6121">
        <v>20</v>
      </c>
      <c r="AC6121">
        <v>11.656999999999901</v>
      </c>
      <c r="AD6121">
        <v>-1.1075686696279901</v>
      </c>
      <c r="AE6121">
        <v>23.39593</v>
      </c>
      <c r="AF6121">
        <v>-20.646135688781602</v>
      </c>
      <c r="AG6121">
        <v>-1.1075686696279901</v>
      </c>
      <c r="AH6121">
        <v>15.954480419038701</v>
      </c>
      <c r="AI6121">
        <v>92.430637608929004</v>
      </c>
      <c r="AJ6121">
        <v>142.304633071708</v>
      </c>
      <c r="AK6121">
        <v>26.1158012069133</v>
      </c>
    </row>
    <row r="6122" spans="1:37" x14ac:dyDescent="0.2">
      <c r="A6122" t="str">
        <f>"20200111160021066"</f>
        <v>20200111160021066</v>
      </c>
      <c r="B6122" t="str">
        <f>"1578729621057217"</f>
        <v>1578729621057217</v>
      </c>
      <c r="C6122" t="s">
        <v>37</v>
      </c>
      <c r="D6122">
        <v>4.2239040000000001</v>
      </c>
      <c r="E6122">
        <v>0.29087669999999999</v>
      </c>
      <c r="F6122" t="s">
        <v>39</v>
      </c>
      <c r="G6122">
        <v>-191.95859999999999</v>
      </c>
      <c r="H6122" s="1">
        <v>-2.1328900000000001E-6</v>
      </c>
      <c r="I6122">
        <v>-26.653839999999999</v>
      </c>
      <c r="J6122">
        <v>-207.40360000000001</v>
      </c>
      <c r="K6122">
        <v>1.1076010000000001</v>
      </c>
      <c r="L6122">
        <v>-58.652340000000002</v>
      </c>
      <c r="M6122">
        <v>0.980159</v>
      </c>
      <c r="N6122">
        <v>0</v>
      </c>
      <c r="O6122">
        <v>0.19767570000000001</v>
      </c>
      <c r="P6122">
        <v>0.81266369999999999</v>
      </c>
      <c r="Q6122">
        <v>-6.6025629999999997E-3</v>
      </c>
      <c r="R6122">
        <v>0.58269550000000003</v>
      </c>
      <c r="S6122">
        <v>1.4984440000000001</v>
      </c>
      <c r="T6122">
        <v>-0.1067009</v>
      </c>
      <c r="U6122">
        <v>3.0851439999999899</v>
      </c>
      <c r="V6122">
        <v>-0.41057589999999999</v>
      </c>
      <c r="W6122">
        <v>3.267584E-3</v>
      </c>
      <c r="X6122">
        <v>0.91182059999999998</v>
      </c>
      <c r="Y6122">
        <v>-0.79512109999999903</v>
      </c>
      <c r="Z6122">
        <v>8.943332E-3</v>
      </c>
      <c r="AA6122">
        <v>0.60638479999999995</v>
      </c>
      <c r="AB6122">
        <v>20</v>
      </c>
      <c r="AC6122">
        <v>15.445</v>
      </c>
      <c r="AD6122">
        <v>-1.10760313288999</v>
      </c>
      <c r="AE6122">
        <v>31.9985</v>
      </c>
      <c r="AF6122">
        <v>-28.286040312921099</v>
      </c>
      <c r="AG6122">
        <v>-1.10760313288999</v>
      </c>
      <c r="AH6122">
        <v>21.445324735542101</v>
      </c>
      <c r="AI6122">
        <v>91.787229385997193</v>
      </c>
      <c r="AJ6122">
        <v>142.832076176962</v>
      </c>
      <c r="AK6122">
        <v>35.513783441039301</v>
      </c>
    </row>
    <row r="6123" spans="1:37" x14ac:dyDescent="0.2">
      <c r="A6123" t="str">
        <f>"20200111160021081"</f>
        <v>20200111160021081</v>
      </c>
      <c r="B6123" t="str">
        <f>"1578729621076737"</f>
        <v>1578729621076737</v>
      </c>
      <c r="C6123" t="s">
        <v>37</v>
      </c>
      <c r="D6123">
        <v>4.9335339999999999</v>
      </c>
      <c r="E6123">
        <v>0.29570419999999997</v>
      </c>
      <c r="F6123" t="s">
        <v>39</v>
      </c>
      <c r="G6123">
        <v>-187.03649999999999</v>
      </c>
      <c r="H6123" s="1">
        <v>-2.6183649999999999E-6</v>
      </c>
      <c r="I6123">
        <v>-15.48911</v>
      </c>
      <c r="J6123">
        <v>-207.274</v>
      </c>
      <c r="K6123">
        <v>1.1076189999999999</v>
      </c>
      <c r="L6123">
        <v>-58.621189999999999</v>
      </c>
      <c r="M6123">
        <v>0.97933719999999902</v>
      </c>
      <c r="N6123">
        <v>0</v>
      </c>
      <c r="O6123">
        <v>0.20170779999999999</v>
      </c>
      <c r="P6123">
        <v>0.80187699999999995</v>
      </c>
      <c r="Q6123">
        <v>-6.7252559999999998E-3</v>
      </c>
      <c r="R6123">
        <v>0.59745139999999997</v>
      </c>
      <c r="S6123">
        <v>1.4649049999999999</v>
      </c>
      <c r="T6123">
        <v>-7.9664589999999993E-2</v>
      </c>
      <c r="U6123">
        <v>3.1045229999999999</v>
      </c>
      <c r="V6123">
        <v>-0.42344619999999999</v>
      </c>
      <c r="W6123">
        <v>2.9504890000000001E-3</v>
      </c>
      <c r="X6123">
        <v>0.90591650000000001</v>
      </c>
      <c r="Y6123">
        <v>-0.79954729999999996</v>
      </c>
      <c r="Z6123">
        <v>6.6725129999999997E-3</v>
      </c>
      <c r="AA6123">
        <v>0.60056609999999999</v>
      </c>
      <c r="AB6123">
        <v>20</v>
      </c>
      <c r="AC6123">
        <v>20.237500000000001</v>
      </c>
      <c r="AD6123">
        <v>-1.1076216183650001</v>
      </c>
      <c r="AE6123">
        <v>43.132080000000002</v>
      </c>
      <c r="AF6123">
        <v>-38.142231362694297</v>
      </c>
      <c r="AG6123">
        <v>-1.1076216183650001</v>
      </c>
      <c r="AH6123">
        <v>28.507038683439401</v>
      </c>
      <c r="AI6123">
        <v>91.332489864442493</v>
      </c>
      <c r="AJ6123">
        <v>143.22600977431301</v>
      </c>
      <c r="AK6123">
        <v>47.630955202198997</v>
      </c>
    </row>
    <row r="6124" spans="1:37" x14ac:dyDescent="0.2">
      <c r="A6124" t="str">
        <f>"20200111160021093"</f>
        <v>20200111160021093</v>
      </c>
      <c r="B6124" t="str">
        <f>"1578729621087473"</f>
        <v>1578729621087473</v>
      </c>
      <c r="C6124" t="s">
        <v>37</v>
      </c>
      <c r="D6124">
        <v>4.8827419999999897</v>
      </c>
      <c r="E6124">
        <v>0.2974098</v>
      </c>
      <c r="F6124" t="s">
        <v>39</v>
      </c>
      <c r="G6124">
        <v>-192.3843</v>
      </c>
      <c r="H6124" s="1">
        <v>-2.3742480000000001E-6</v>
      </c>
      <c r="I6124">
        <v>-26.355250000000002</v>
      </c>
      <c r="J6124">
        <v>-207.17689999999999</v>
      </c>
      <c r="K6124">
        <v>1.1076280000000001</v>
      </c>
      <c r="L6124">
        <v>-58.597439999999999</v>
      </c>
      <c r="M6124">
        <v>0.97869470000000003</v>
      </c>
      <c r="N6124">
        <v>0</v>
      </c>
      <c r="O6124">
        <v>0.20480200000000001</v>
      </c>
      <c r="P6124">
        <v>0.79534689999999997</v>
      </c>
      <c r="Q6124">
        <v>-6.7849449999999997E-3</v>
      </c>
      <c r="R6124">
        <v>0.60611660000000001</v>
      </c>
      <c r="S6124">
        <v>1.430588</v>
      </c>
      <c r="T6124">
        <v>-0.10641869999999901</v>
      </c>
      <c r="U6124">
        <v>3.1000669999999899</v>
      </c>
      <c r="V6124">
        <v>-0.43039899999999998</v>
      </c>
      <c r="W6124">
        <v>2.7945639999999998E-3</v>
      </c>
      <c r="X6124">
        <v>0.90263439999999995</v>
      </c>
      <c r="Y6124">
        <v>-0.80264239999999998</v>
      </c>
      <c r="Z6124">
        <v>8.9538569999999904E-3</v>
      </c>
      <c r="AA6124">
        <v>0.59639330000000002</v>
      </c>
      <c r="AB6124">
        <v>20</v>
      </c>
      <c r="AC6124">
        <v>14.792599999999901</v>
      </c>
      <c r="AD6124">
        <v>-1.107630374248</v>
      </c>
      <c r="AE6124">
        <v>32.242189999999901</v>
      </c>
      <c r="AF6124">
        <v>-28.500955653814</v>
      </c>
      <c r="AG6124">
        <v>-1.107630374248</v>
      </c>
      <c r="AH6124">
        <v>21.0624132313046</v>
      </c>
      <c r="AI6124">
        <v>91.790166670328802</v>
      </c>
      <c r="AJ6124">
        <v>143.53532977888301</v>
      </c>
      <c r="AK6124">
        <v>35.456403784829398</v>
      </c>
    </row>
    <row r="6125" spans="1:37" x14ac:dyDescent="0.2">
      <c r="A6125" t="str">
        <f>"20200111160021104"</f>
        <v>20200111160021104</v>
      </c>
      <c r="B6125" t="str">
        <f>"1578729621097232"</f>
        <v>1578729621097232</v>
      </c>
      <c r="C6125" t="s">
        <v>37</v>
      </c>
      <c r="D6125">
        <v>4.9208449999999999</v>
      </c>
      <c r="E6125">
        <v>0.29920249999999998</v>
      </c>
      <c r="F6125" t="s">
        <v>39</v>
      </c>
      <c r="G6125">
        <v>-193.6395</v>
      </c>
      <c r="H6125" s="1">
        <v>-1.7115940000000001E-6</v>
      </c>
      <c r="I6125">
        <v>-28.678429999999999</v>
      </c>
      <c r="J6125">
        <v>-207.07299999999901</v>
      </c>
      <c r="K6125">
        <v>1.1076349999999999</v>
      </c>
      <c r="L6125">
        <v>-58.571840000000002</v>
      </c>
      <c r="M6125">
        <v>0.97798949999999996</v>
      </c>
      <c r="N6125">
        <v>0</v>
      </c>
      <c r="O6125">
        <v>0.20814369999999999</v>
      </c>
      <c r="P6125">
        <v>0.78818120000000003</v>
      </c>
      <c r="Q6125">
        <v>-7.0140769999999996E-3</v>
      </c>
      <c r="R6125">
        <v>0.61540340000000004</v>
      </c>
      <c r="S6125">
        <v>1.4048309999999999</v>
      </c>
      <c r="T6125">
        <v>-0.11494360000000001</v>
      </c>
      <c r="U6125">
        <v>3.1048279999999999</v>
      </c>
      <c r="V6125">
        <v>-0.43788519999999997</v>
      </c>
      <c r="W6125">
        <v>2.4679319999999999E-3</v>
      </c>
      <c r="X6125">
        <v>0.89902749999999998</v>
      </c>
      <c r="Y6125">
        <v>-0.80499509999999996</v>
      </c>
      <c r="Z6125">
        <v>9.646277E-3</v>
      </c>
      <c r="AA6125">
        <v>0.59320309999999998</v>
      </c>
      <c r="AB6125">
        <v>20</v>
      </c>
      <c r="AC6125">
        <v>13.433499999999899</v>
      </c>
      <c r="AD6125">
        <v>-1.107636711594</v>
      </c>
      <c r="AE6125">
        <v>29.893409999999999</v>
      </c>
      <c r="AF6125">
        <v>-26.411986462045402</v>
      </c>
      <c r="AG6125">
        <v>-1.107636711594</v>
      </c>
      <c r="AH6125">
        <v>19.3399155730473</v>
      </c>
      <c r="AI6125">
        <v>91.937906542822205</v>
      </c>
      <c r="AJ6125">
        <v>143.78691613164301</v>
      </c>
      <c r="AK6125">
        <v>32.754422942997202</v>
      </c>
    </row>
    <row r="6126" spans="1:37" x14ac:dyDescent="0.2">
      <c r="A6126" t="str">
        <f>"20200111160021117"</f>
        <v>20200111160021117</v>
      </c>
      <c r="B6126" t="str">
        <f>"1578729621106993"</f>
        <v>1578729621106993</v>
      </c>
      <c r="C6126" t="s">
        <v>37</v>
      </c>
      <c r="D6126">
        <v>4.9448319999999999</v>
      </c>
      <c r="E6126">
        <v>0.30108849999999998</v>
      </c>
      <c r="F6126" t="s">
        <v>39</v>
      </c>
      <c r="G6126">
        <v>-194.62090000000001</v>
      </c>
      <c r="H6126" s="1">
        <v>-5.0957080000000004E-6</v>
      </c>
      <c r="I6126">
        <v>-30.447879999999898</v>
      </c>
      <c r="J6126">
        <v>-206.96889999999999</v>
      </c>
      <c r="K6126">
        <v>1.1076489999999899</v>
      </c>
      <c r="L6126">
        <v>-58.5456199999999</v>
      </c>
      <c r="M6126">
        <v>0.97725879999999998</v>
      </c>
      <c r="N6126">
        <v>0</v>
      </c>
      <c r="O6126">
        <v>0.21154679999999901</v>
      </c>
      <c r="P6126">
        <v>0.78068329999999997</v>
      </c>
      <c r="Q6126">
        <v>-7.2433419999999998E-3</v>
      </c>
      <c r="R6126">
        <v>0.62488500000000002</v>
      </c>
      <c r="S6126">
        <v>1.376938</v>
      </c>
      <c r="T6126">
        <v>-0.12248189999999901</v>
      </c>
      <c r="U6126">
        <v>3.1099239999999999</v>
      </c>
      <c r="V6126">
        <v>-0.44560369999999999</v>
      </c>
      <c r="W6126">
        <v>2.1279479999999902E-3</v>
      </c>
      <c r="X6126">
        <v>0.89522780000000002</v>
      </c>
      <c r="Y6126">
        <v>-0.80767630000000001</v>
      </c>
      <c r="Z6126">
        <v>1.0263629999999999E-2</v>
      </c>
      <c r="AA6126">
        <v>0.58953679999999997</v>
      </c>
      <c r="AB6126">
        <v>20</v>
      </c>
      <c r="AC6126">
        <v>12.3479999999999</v>
      </c>
      <c r="AD6126">
        <v>-1.1076540957080001</v>
      </c>
      <c r="AE6126">
        <v>28.097739999999899</v>
      </c>
      <c r="AF6126">
        <v>-24.816908706550201</v>
      </c>
      <c r="AG6126">
        <v>-1.1076540957080001</v>
      </c>
      <c r="AH6126">
        <v>17.989667310880002</v>
      </c>
      <c r="AI6126">
        <v>92.069606687044399</v>
      </c>
      <c r="AJ6126">
        <v>144.061810061404</v>
      </c>
      <c r="AK6126">
        <v>30.6713870782058</v>
      </c>
    </row>
    <row r="6127" spans="1:37" x14ac:dyDescent="0.2">
      <c r="A6127" t="str">
        <f>"20200111160021131"</f>
        <v>20200111160021131</v>
      </c>
      <c r="B6127" t="str">
        <f>"1578729621126513"</f>
        <v>1578729621126513</v>
      </c>
      <c r="C6127" t="s">
        <v>37</v>
      </c>
      <c r="D6127">
        <v>4.9779799999999996</v>
      </c>
      <c r="E6127">
        <v>0.302734</v>
      </c>
      <c r="F6127" t="s">
        <v>39</v>
      </c>
      <c r="G6127">
        <v>-195.55189999999999</v>
      </c>
      <c r="H6127" s="1">
        <v>-4.6708939999999999E-6</v>
      </c>
      <c r="I6127">
        <v>-32.1815</v>
      </c>
      <c r="J6127">
        <v>-206.84819999999999</v>
      </c>
      <c r="K6127">
        <v>1.1076709999999901</v>
      </c>
      <c r="L6127">
        <v>-58.514859999999999</v>
      </c>
      <c r="M6127">
        <v>0.97639509999999996</v>
      </c>
      <c r="N6127">
        <v>0</v>
      </c>
      <c r="O6127">
        <v>0.2154982</v>
      </c>
      <c r="P6127">
        <v>0.77307040000000005</v>
      </c>
      <c r="Q6127">
        <v>-7.6570240000000001E-3</v>
      </c>
      <c r="R6127">
        <v>0.63427419999999901</v>
      </c>
      <c r="S6127">
        <v>1.3487089999999999</v>
      </c>
      <c r="T6127">
        <v>-0.1308491</v>
      </c>
      <c r="U6127">
        <v>3.1144409999999998</v>
      </c>
      <c r="V6127">
        <v>-0.45278420000000003</v>
      </c>
      <c r="W6127">
        <v>1.602951E-3</v>
      </c>
      <c r="X6127">
        <v>0.89161869999999999</v>
      </c>
      <c r="Y6127">
        <v>-0.81003459999999905</v>
      </c>
      <c r="Z6127">
        <v>1.091373E-2</v>
      </c>
      <c r="AA6127">
        <v>0.58628049999999998</v>
      </c>
      <c r="AB6127">
        <v>20</v>
      </c>
      <c r="AC6127">
        <v>11.2963</v>
      </c>
      <c r="AD6127">
        <v>-1.1076756708939901</v>
      </c>
      <c r="AE6127">
        <v>26.333359999999999</v>
      </c>
      <c r="AF6127">
        <v>-23.245175764722699</v>
      </c>
      <c r="AG6127">
        <v>-1.1076756708939901</v>
      </c>
      <c r="AH6127">
        <v>16.681296262824802</v>
      </c>
      <c r="AI6127">
        <v>92.217080813397601</v>
      </c>
      <c r="AJ6127">
        <v>144.33587011778101</v>
      </c>
      <c r="AK6127">
        <v>28.632687382306202</v>
      </c>
    </row>
    <row r="6128" spans="1:37" x14ac:dyDescent="0.2">
      <c r="A6128" t="str">
        <f>"20200111160021156"</f>
        <v>20200111160021156</v>
      </c>
      <c r="B6128" t="str">
        <f>"1578729621147008"</f>
        <v>1578729621147008</v>
      </c>
      <c r="C6128" t="s">
        <v>37</v>
      </c>
      <c r="D6128">
        <v>4.9485679999999999</v>
      </c>
      <c r="E6128">
        <v>0.33021659999999903</v>
      </c>
      <c r="F6128" t="s">
        <v>39</v>
      </c>
      <c r="G6128">
        <v>-196.17019999999999</v>
      </c>
      <c r="H6128" s="1">
        <v>-4.4159759999999999E-6</v>
      </c>
      <c r="I6128">
        <v>-33.252850000000002</v>
      </c>
      <c r="J6128">
        <v>-206.62870000000001</v>
      </c>
      <c r="K6128">
        <v>1.107728</v>
      </c>
      <c r="L6128">
        <v>-58.457430000000002</v>
      </c>
      <c r="M6128">
        <v>0.97478189999999998</v>
      </c>
      <c r="N6128">
        <v>0</v>
      </c>
      <c r="O6128">
        <v>0.2226813</v>
      </c>
      <c r="P6128">
        <v>0.75826569999999904</v>
      </c>
      <c r="Q6128">
        <v>-8.7819089999999992E-3</v>
      </c>
      <c r="R6128">
        <v>0.65188659999999998</v>
      </c>
      <c r="S6128">
        <v>1.319016</v>
      </c>
      <c r="T6128">
        <v>-0.13682659999999999</v>
      </c>
      <c r="U6128">
        <v>3.120514</v>
      </c>
      <c r="V6128">
        <v>-0.46666390000000002</v>
      </c>
      <c r="W6128">
        <v>2.25845999999999E-4</v>
      </c>
      <c r="X6128">
        <v>0.88443479999999997</v>
      </c>
      <c r="Y6128">
        <v>-0.8108166</v>
      </c>
      <c r="Z6128">
        <v>1.114247E-2</v>
      </c>
      <c r="AA6128">
        <v>0.585194199999999</v>
      </c>
      <c r="AB6128">
        <v>20</v>
      </c>
      <c r="AC6128">
        <v>10.458500000000001</v>
      </c>
      <c r="AD6128">
        <v>-1.107732415976</v>
      </c>
      <c r="AE6128">
        <v>25.20458</v>
      </c>
      <c r="AF6128">
        <v>-22.205836308820899</v>
      </c>
      <c r="AG6128">
        <v>-1.107732415976</v>
      </c>
      <c r="AH6128">
        <v>15.783023145694299</v>
      </c>
      <c r="AI6128">
        <v>92.328396741400198</v>
      </c>
      <c r="AJ6128">
        <v>144.59630278728301</v>
      </c>
      <c r="AK6128">
        <v>27.265913828388001</v>
      </c>
    </row>
    <row r="6129" spans="1:37" x14ac:dyDescent="0.2">
      <c r="A6129" t="str">
        <f>"20200111160021171"</f>
        <v>20200111160021171</v>
      </c>
      <c r="B6129" t="str">
        <f>"1578729621166529"</f>
        <v>1578729621166529</v>
      </c>
      <c r="C6129" t="s">
        <v>37</v>
      </c>
      <c r="D6129">
        <v>4.9460930000000003</v>
      </c>
      <c r="E6129">
        <v>0.33270319999999998</v>
      </c>
      <c r="F6129" t="s">
        <v>75</v>
      </c>
      <c r="G6129">
        <v>-200.1266</v>
      </c>
      <c r="H6129">
        <v>7.9987130000000004E-2</v>
      </c>
      <c r="I6129">
        <v>-44.471260000000001</v>
      </c>
      <c r="J6129">
        <v>-206.50810000000001</v>
      </c>
      <c r="K6129">
        <v>1.1077629999999901</v>
      </c>
      <c r="L6129">
        <v>-58.425109999999997</v>
      </c>
      <c r="M6129">
        <v>0.97387459999999904</v>
      </c>
      <c r="N6129">
        <v>0</v>
      </c>
      <c r="O6129">
        <v>0.22661599999999901</v>
      </c>
      <c r="P6129">
        <v>0.74698100000000001</v>
      </c>
      <c r="Q6129">
        <v>-1.002104E-2</v>
      </c>
      <c r="R6129">
        <v>0.66476979999999997</v>
      </c>
      <c r="S6129">
        <v>1.3876949999999999</v>
      </c>
      <c r="T6129">
        <v>-0.21934219999999999</v>
      </c>
      <c r="U6129">
        <v>2.9849549999999998</v>
      </c>
      <c r="V6129">
        <v>-0.4781822</v>
      </c>
      <c r="W6129">
        <v>-1.225222E-3</v>
      </c>
      <c r="X6129">
        <v>0.87825980000000003</v>
      </c>
      <c r="Y6129">
        <v>-0.78651850000000001</v>
      </c>
      <c r="Z6129">
        <v>1.6448999999999998E-2</v>
      </c>
      <c r="AA6129">
        <v>0.61734769999999894</v>
      </c>
      <c r="AB6129">
        <v>20</v>
      </c>
      <c r="AC6129">
        <v>6.3815000000000097</v>
      </c>
      <c r="AD6129">
        <v>-1.0277758699999999</v>
      </c>
      <c r="AE6129">
        <v>13.9538499999999</v>
      </c>
      <c r="AF6129">
        <v>-12.090200976709101</v>
      </c>
      <c r="AG6129">
        <v>-1.0277758699999999</v>
      </c>
      <c r="AH6129">
        <v>9.3360591055712394</v>
      </c>
      <c r="AI6129">
        <v>93.849258395066897</v>
      </c>
      <c r="AJ6129">
        <v>142.324662570584</v>
      </c>
      <c r="AK6129">
        <v>15.3098426679993</v>
      </c>
    </row>
    <row r="6130" spans="1:37" x14ac:dyDescent="0.2">
      <c r="A6130" t="str">
        <f>"20200111160021183"</f>
        <v>20200111160021183</v>
      </c>
      <c r="B6130" t="str">
        <f>"1578729621177265"</f>
        <v>1578729621177265</v>
      </c>
      <c r="C6130" t="s">
        <v>37</v>
      </c>
      <c r="D6130">
        <v>4.8666109999999998</v>
      </c>
      <c r="E6130">
        <v>0.33384449999999999</v>
      </c>
      <c r="F6130" t="s">
        <v>75</v>
      </c>
      <c r="G6130">
        <v>-200.102</v>
      </c>
      <c r="H6130">
        <v>7.9987089999999997E-2</v>
      </c>
      <c r="I6130">
        <v>-44.210359999999902</v>
      </c>
      <c r="J6130">
        <v>-206.40199999999999</v>
      </c>
      <c r="K6130">
        <v>1.1077950000000001</v>
      </c>
      <c r="L6130">
        <v>-58.396299999999997</v>
      </c>
      <c r="M6130">
        <v>0.97306309999999996</v>
      </c>
      <c r="N6130">
        <v>0</v>
      </c>
      <c r="O6130">
        <v>0.23007539999999899</v>
      </c>
      <c r="P6130">
        <v>0.74073330000000004</v>
      </c>
      <c r="Q6130">
        <v>-1.088516E-2</v>
      </c>
      <c r="R6130">
        <v>0.67171110000000001</v>
      </c>
      <c r="S6130">
        <v>1.349121</v>
      </c>
      <c r="T6130">
        <v>-0.21644939999999999</v>
      </c>
      <c r="U6130">
        <v>2.9936219999999998</v>
      </c>
      <c r="V6130">
        <v>-0.4832436</v>
      </c>
      <c r="W6130">
        <v>-2.1950450000000001E-3</v>
      </c>
      <c r="X6130">
        <v>0.87548320000000002</v>
      </c>
      <c r="Y6130">
        <v>-0.79157569999999999</v>
      </c>
      <c r="Z6130">
        <v>1.6345910000000002E-2</v>
      </c>
      <c r="AA6130">
        <v>0.61085239999999996</v>
      </c>
      <c r="AB6130">
        <v>20</v>
      </c>
      <c r="AC6130">
        <v>6.3000000000000096</v>
      </c>
      <c r="AD6130">
        <v>-1.0278079099999999</v>
      </c>
      <c r="AE6130">
        <v>14.18594</v>
      </c>
      <c r="AF6130">
        <v>-12.3017205518418</v>
      </c>
      <c r="AG6130">
        <v>-1.0278079099999999</v>
      </c>
      <c r="AH6130">
        <v>9.3541221786192796</v>
      </c>
      <c r="AI6130">
        <v>93.804953042139005</v>
      </c>
      <c r="AJ6130">
        <v>142.75095469489199</v>
      </c>
      <c r="AK6130">
        <v>15.488328488510399</v>
      </c>
    </row>
    <row r="6131" spans="1:37" x14ac:dyDescent="0.2">
      <c r="A6131" t="str">
        <f>"20200111160021195"</f>
        <v>20200111160021195</v>
      </c>
      <c r="B6131" t="str">
        <f>"1578729621186962"</f>
        <v>1578729621186962</v>
      </c>
      <c r="C6131" t="s">
        <v>37</v>
      </c>
      <c r="D6131">
        <v>4.9121550000000003</v>
      </c>
      <c r="E6131">
        <v>0.33384449999999999</v>
      </c>
      <c r="F6131" t="s">
        <v>75</v>
      </c>
      <c r="G6131">
        <v>-200.02780000000001</v>
      </c>
      <c r="H6131">
        <v>7.9987030000000001E-2</v>
      </c>
      <c r="I6131">
        <v>-43.990450000000003</v>
      </c>
      <c r="J6131">
        <v>-206.29560000000001</v>
      </c>
      <c r="K6131">
        <v>1.1078170000000001</v>
      </c>
      <c r="L6131">
        <v>-58.366790000000002</v>
      </c>
      <c r="M6131">
        <v>0.97223230000000005</v>
      </c>
      <c r="N6131">
        <v>0</v>
      </c>
      <c r="O6131">
        <v>0.23356189999999999</v>
      </c>
      <c r="P6131">
        <v>0.73463639999999997</v>
      </c>
      <c r="Q6131">
        <v>-1.2147639999999999E-2</v>
      </c>
      <c r="R6131">
        <v>0.67835239999999997</v>
      </c>
      <c r="S6131">
        <v>1.3271029999999999</v>
      </c>
      <c r="T6131">
        <v>-0.21398719999999999</v>
      </c>
      <c r="U6131">
        <v>2.9992679999999998</v>
      </c>
      <c r="V6131">
        <v>-0.48797239999999997</v>
      </c>
      <c r="W6131">
        <v>-3.5501729999999998E-3</v>
      </c>
      <c r="X6131">
        <v>0.87285179999999996</v>
      </c>
      <c r="Y6131">
        <v>-0.79357679999999997</v>
      </c>
      <c r="Z6131">
        <v>1.6054189999999999E-2</v>
      </c>
      <c r="AA6131">
        <v>0.60825839999999998</v>
      </c>
      <c r="AB6131">
        <v>20</v>
      </c>
      <c r="AC6131">
        <v>6.2677999999999896</v>
      </c>
      <c r="AD6131">
        <v>-1.02782997</v>
      </c>
      <c r="AE6131">
        <v>14.3763399999999</v>
      </c>
      <c r="AF6131">
        <v>-12.4610358972583</v>
      </c>
      <c r="AG6131">
        <v>-1.02782997</v>
      </c>
      <c r="AH6131">
        <v>9.4121049158810806</v>
      </c>
      <c r="AI6131">
        <v>93.765677288722102</v>
      </c>
      <c r="AJ6131">
        <v>142.93541602603301</v>
      </c>
      <c r="AK6131">
        <v>15.649970256442799</v>
      </c>
    </row>
    <row r="6132" spans="1:37" x14ac:dyDescent="0.2">
      <c r="A6132" t="str">
        <f>"20200111160021208"</f>
        <v>20200111160021208</v>
      </c>
      <c r="B6132" t="str">
        <f>"1578729621196721"</f>
        <v>1578729621196721</v>
      </c>
      <c r="C6132" t="s">
        <v>37</v>
      </c>
      <c r="D6132">
        <v>4.9270319999999996</v>
      </c>
      <c r="E6132">
        <v>0.34579379999999998</v>
      </c>
      <c r="F6132" t="s">
        <v>75</v>
      </c>
      <c r="G6132">
        <v>-200.1404</v>
      </c>
      <c r="H6132">
        <v>7.9987050000000004E-2</v>
      </c>
      <c r="I6132">
        <v>-44.109839999999998</v>
      </c>
      <c r="J6132">
        <v>-206.19239999999999</v>
      </c>
      <c r="K6132">
        <v>1.1078319999999999</v>
      </c>
      <c r="L6132">
        <v>-58.337919999999997</v>
      </c>
      <c r="M6132">
        <v>0.97141139999999904</v>
      </c>
      <c r="N6132">
        <v>0</v>
      </c>
      <c r="O6132">
        <v>0.23695250000000001</v>
      </c>
      <c r="P6132">
        <v>0.72858809999999996</v>
      </c>
      <c r="Q6132">
        <v>-1.338288E-2</v>
      </c>
      <c r="R6132">
        <v>0.68482140000000002</v>
      </c>
      <c r="S6132">
        <v>1.2998959999999999</v>
      </c>
      <c r="T6132">
        <v>-0.21706309999999901</v>
      </c>
      <c r="U6132">
        <v>3.01086399999999</v>
      </c>
      <c r="V6132">
        <v>-0.49263170000000001</v>
      </c>
      <c r="W6132">
        <v>-4.8731870000000002E-3</v>
      </c>
      <c r="X6132">
        <v>0.8702242</v>
      </c>
      <c r="Y6132">
        <v>-0.79689189999999999</v>
      </c>
      <c r="Z6132">
        <v>1.6253960000000001E-2</v>
      </c>
      <c r="AA6132">
        <v>0.60390330000000003</v>
      </c>
      <c r="AB6132">
        <v>20</v>
      </c>
      <c r="AC6132">
        <v>6.0519999999999898</v>
      </c>
      <c r="AD6132">
        <v>-1.02784495</v>
      </c>
      <c r="AE6132">
        <v>14.228079999999901</v>
      </c>
      <c r="AF6132">
        <v>-12.3340982483018</v>
      </c>
      <c r="AG6132">
        <v>-1.02784495</v>
      </c>
      <c r="AH6132">
        <v>9.2106448408594499</v>
      </c>
      <c r="AI6132">
        <v>93.819997661276005</v>
      </c>
      <c r="AJ6132">
        <v>143.24899546827399</v>
      </c>
      <c r="AK6132">
        <v>15.4279753443041</v>
      </c>
    </row>
    <row r="6133" spans="1:37" x14ac:dyDescent="0.2">
      <c r="A6133" t="str">
        <f>"20200111160021220"</f>
        <v>20200111160021220</v>
      </c>
      <c r="B6133" t="str">
        <f>"1578729621217216"</f>
        <v>1578729621217216</v>
      </c>
      <c r="C6133" t="s">
        <v>37</v>
      </c>
      <c r="D6133">
        <v>4.855721</v>
      </c>
      <c r="E6133">
        <v>0.32857189999999997</v>
      </c>
      <c r="F6133" t="s">
        <v>75</v>
      </c>
      <c r="G6133">
        <v>-200.1327</v>
      </c>
      <c r="H6133">
        <v>7.9987240000000001E-2</v>
      </c>
      <c r="I6133">
        <v>-44.962150000000001</v>
      </c>
      <c r="J6133">
        <v>-206.09119999999999</v>
      </c>
      <c r="K6133">
        <v>1.107837</v>
      </c>
      <c r="L6133">
        <v>-58.309139999999999</v>
      </c>
      <c r="M6133">
        <v>0.97058960000000005</v>
      </c>
      <c r="N6133">
        <v>0</v>
      </c>
      <c r="O6133">
        <v>0.2402965</v>
      </c>
      <c r="P6133">
        <v>0.72349929999999996</v>
      </c>
      <c r="Q6133">
        <v>-1.520756E-2</v>
      </c>
      <c r="R6133">
        <v>0.69015760000000004</v>
      </c>
      <c r="S6133">
        <v>1.337799</v>
      </c>
      <c r="T6133">
        <v>-0.226917799999999</v>
      </c>
      <c r="U6133">
        <v>2.9529719999999999</v>
      </c>
      <c r="V6133">
        <v>-0.49601889999999998</v>
      </c>
      <c r="W6133">
        <v>-6.7568319999999999E-3</v>
      </c>
      <c r="X6133">
        <v>0.86828539999999998</v>
      </c>
      <c r="Y6133">
        <v>-0.78380419999999995</v>
      </c>
      <c r="Z6133">
        <v>1.6024690000000001E-2</v>
      </c>
      <c r="AA6133">
        <v>0.6208013</v>
      </c>
      <c r="AB6133">
        <v>20</v>
      </c>
      <c r="AC6133">
        <v>5.9584999999999804</v>
      </c>
      <c r="AD6133">
        <v>-1.0278497600000001</v>
      </c>
      <c r="AE6133">
        <v>13.3469899999999</v>
      </c>
      <c r="AF6133">
        <v>-11.4671678228761</v>
      </c>
      <c r="AG6133">
        <v>-1.0278497600000001</v>
      </c>
      <c r="AH6133">
        <v>8.9472088512320607</v>
      </c>
      <c r="AI6133">
        <v>94.042275554419405</v>
      </c>
      <c r="AJ6133">
        <v>142.037016187278</v>
      </c>
      <c r="AK6133">
        <v>14.5809793647307</v>
      </c>
    </row>
    <row r="6134" spans="1:37" x14ac:dyDescent="0.2">
      <c r="A6134" t="str">
        <f>"20200111160021250"</f>
        <v>20200111160021250</v>
      </c>
      <c r="B6134" t="str">
        <f>"1578729621246497"</f>
        <v>1578729621246497</v>
      </c>
      <c r="C6134" t="s">
        <v>37</v>
      </c>
      <c r="D6134">
        <v>4.9939780000000003</v>
      </c>
      <c r="E6134">
        <v>0.31913379999999902</v>
      </c>
      <c r="F6134" t="s">
        <v>39</v>
      </c>
      <c r="G6134">
        <v>-189.64060000000001</v>
      </c>
      <c r="H6134" s="1">
        <v>-1.4116419999999899E-6</v>
      </c>
      <c r="I6134">
        <v>-17.225259999999999</v>
      </c>
      <c r="J6134">
        <v>-205.83850000000001</v>
      </c>
      <c r="K6134">
        <v>1.1078379999999901</v>
      </c>
      <c r="L6134">
        <v>-58.235599999999998</v>
      </c>
      <c r="M6134">
        <v>0.96846299999999996</v>
      </c>
      <c r="N6134">
        <v>0</v>
      </c>
      <c r="O6134">
        <v>0.24872820000000001</v>
      </c>
      <c r="P6134">
        <v>0.71163699999999996</v>
      </c>
      <c r="Q6134">
        <v>-2.0853119999999999E-2</v>
      </c>
      <c r="R6134">
        <v>0.70223780000000002</v>
      </c>
      <c r="S6134">
        <v>1.2254179999999999</v>
      </c>
      <c r="T6134">
        <v>-8.2523579999999999E-2</v>
      </c>
      <c r="U6134">
        <v>3.0603639999999999</v>
      </c>
      <c r="V6134">
        <v>-0.50305270000000002</v>
      </c>
      <c r="W6134">
        <v>-1.2511670000000001E-2</v>
      </c>
      <c r="X6134">
        <v>0.86416519999999997</v>
      </c>
      <c r="Y6134">
        <v>-0.806536699999999</v>
      </c>
      <c r="Z6134">
        <v>6.0625169999999999E-3</v>
      </c>
      <c r="AA6134">
        <v>0.59115299999999904</v>
      </c>
      <c r="AB6134">
        <v>20</v>
      </c>
      <c r="AC6134">
        <v>16.197900000000001</v>
      </c>
      <c r="AD6134">
        <v>-1.1078394116419901</v>
      </c>
      <c r="AE6134">
        <v>41.010339999999999</v>
      </c>
      <c r="AF6134">
        <v>-35.669419611040198</v>
      </c>
      <c r="AG6134">
        <v>-1.1078394116419901</v>
      </c>
      <c r="AH6134">
        <v>25.8739282272686</v>
      </c>
      <c r="AI6134">
        <v>91.440155334719904</v>
      </c>
      <c r="AJ6134">
        <v>144.04357260042201</v>
      </c>
      <c r="AK6134">
        <v>44.079416573501597</v>
      </c>
    </row>
    <row r="6135" spans="1:37" x14ac:dyDescent="0.2">
      <c r="A6135" t="str">
        <f>"20200111160021276"</f>
        <v>20200111160021276</v>
      </c>
      <c r="B6135" t="str">
        <f>"1578729621266992"</f>
        <v>1578729621266992</v>
      </c>
      <c r="C6135" t="s">
        <v>37</v>
      </c>
      <c r="D6135">
        <v>4.913761</v>
      </c>
      <c r="E6135">
        <v>0.3157954</v>
      </c>
      <c r="F6135" t="s">
        <v>39</v>
      </c>
      <c r="G6135">
        <v>-196.86</v>
      </c>
      <c r="H6135" s="1">
        <v>-4.5930150000000001E-6</v>
      </c>
      <c r="I6135">
        <v>-33.092170000000003</v>
      </c>
      <c r="J6135">
        <v>-205.6164</v>
      </c>
      <c r="K6135">
        <v>1.107831</v>
      </c>
      <c r="L6135">
        <v>-58.168909999999997</v>
      </c>
      <c r="M6135">
        <v>0.96651019999999899</v>
      </c>
      <c r="N6135">
        <v>0</v>
      </c>
      <c r="O6135">
        <v>0.25621139999999998</v>
      </c>
      <c r="P6135">
        <v>0.70467389999999996</v>
      </c>
      <c r="Q6135">
        <v>-2.3934509999999999E-2</v>
      </c>
      <c r="R6135">
        <v>0.70912759999999997</v>
      </c>
      <c r="S6135">
        <v>1.119095</v>
      </c>
      <c r="T6135">
        <v>-0.13808299999999901</v>
      </c>
      <c r="U6135">
        <v>3.1339109999999999</v>
      </c>
      <c r="V6135">
        <v>-0.50477309999999997</v>
      </c>
      <c r="W6135">
        <v>-1.5614609999999999E-2</v>
      </c>
      <c r="X6135">
        <v>0.86311079999999996</v>
      </c>
      <c r="Y6135">
        <v>-0.82370689999999902</v>
      </c>
      <c r="Z6135">
        <v>1.045019E-2</v>
      </c>
      <c r="AA6135">
        <v>0.56691959999999997</v>
      </c>
      <c r="AB6135">
        <v>20</v>
      </c>
      <c r="AC6135">
        <v>8.7563999999999798</v>
      </c>
      <c r="AD6135">
        <v>-1.1078355930149999</v>
      </c>
      <c r="AE6135">
        <v>25.076739999999901</v>
      </c>
      <c r="AF6135">
        <v>-21.957589585400399</v>
      </c>
      <c r="AG6135">
        <v>-1.1078355930149999</v>
      </c>
      <c r="AH6135">
        <v>14.863831279195299</v>
      </c>
      <c r="AI6135">
        <v>92.392469383300806</v>
      </c>
      <c r="AJ6135">
        <v>145.90460658713499</v>
      </c>
      <c r="AK6135">
        <v>26.5385855010854</v>
      </c>
    </row>
    <row r="6136" spans="1:37" x14ac:dyDescent="0.2">
      <c r="A6136" t="str">
        <f>"20200111160021290"</f>
        <v>20200111160021290</v>
      </c>
      <c r="B6136" t="str">
        <f>"1578729621287082"</f>
        <v>1578729621287082</v>
      </c>
      <c r="C6136" t="s">
        <v>37</v>
      </c>
      <c r="D6136">
        <v>4.8129109999999997</v>
      </c>
      <c r="E6136">
        <v>0.31266240000000001</v>
      </c>
      <c r="F6136" t="s">
        <v>39</v>
      </c>
      <c r="G6136">
        <v>-198.37469999999999</v>
      </c>
      <c r="H6136" s="1">
        <v>-3.6229929999999999E-6</v>
      </c>
      <c r="I6136">
        <v>-36.732199999999999</v>
      </c>
      <c r="J6136">
        <v>-205.512</v>
      </c>
      <c r="K6136">
        <v>1.1078319999999999</v>
      </c>
      <c r="L6136">
        <v>-58.13693</v>
      </c>
      <c r="M6136">
        <v>0.96556549999999997</v>
      </c>
      <c r="N6136">
        <v>0</v>
      </c>
      <c r="O6136">
        <v>0.25974920000000001</v>
      </c>
      <c r="P6136">
        <v>0.70129319999999995</v>
      </c>
      <c r="Q6136">
        <v>-2.539342E-2</v>
      </c>
      <c r="R6136">
        <v>0.71242050000000001</v>
      </c>
      <c r="S6136">
        <v>1.068573</v>
      </c>
      <c r="T6136">
        <v>-0.1634708</v>
      </c>
      <c r="U6136">
        <v>3.1631770000000001</v>
      </c>
      <c r="V6136">
        <v>-0.50565530000000003</v>
      </c>
      <c r="W6136">
        <v>-1.7091309999999998E-2</v>
      </c>
      <c r="X6136">
        <v>0.86256619999999995</v>
      </c>
      <c r="Y6136">
        <v>-0.83112569999999997</v>
      </c>
      <c r="Z6136">
        <v>1.253286E-2</v>
      </c>
      <c r="AA6136">
        <v>0.55594339999999998</v>
      </c>
      <c r="AB6136">
        <v>20</v>
      </c>
      <c r="AC6136">
        <v>7.1372999999999998</v>
      </c>
      <c r="AD6136">
        <v>-1.107835622993</v>
      </c>
      <c r="AE6136">
        <v>21.404730000000001</v>
      </c>
      <c r="AF6136">
        <v>-18.770520425521699</v>
      </c>
      <c r="AG6136">
        <v>-1.107835622993</v>
      </c>
      <c r="AH6136">
        <v>12.422774594335401</v>
      </c>
      <c r="AI6136">
        <v>92.8176711406186</v>
      </c>
      <c r="AJ6136">
        <v>146.502466166951</v>
      </c>
      <c r="AK6136">
        <v>22.5363054965574</v>
      </c>
    </row>
    <row r="6137" spans="1:37" x14ac:dyDescent="0.2">
      <c r="A6137" t="str">
        <f>"20200111160021306"</f>
        <v>20200111160021306</v>
      </c>
      <c r="B6137" t="str">
        <f>"1578729621296845"</f>
        <v>1578729621296845</v>
      </c>
      <c r="C6137" t="s">
        <v>37</v>
      </c>
      <c r="D6137">
        <v>4.8054750000000004</v>
      </c>
      <c r="E6137">
        <v>0.31223139999999999</v>
      </c>
      <c r="F6137" t="s">
        <v>39</v>
      </c>
      <c r="G6137">
        <v>-198.8364</v>
      </c>
      <c r="H6137" s="1">
        <v>-3.410568E-6</v>
      </c>
      <c r="I6137">
        <v>-37.597059999999999</v>
      </c>
      <c r="J6137">
        <v>-205.3733</v>
      </c>
      <c r="K6137">
        <v>1.107834</v>
      </c>
      <c r="L6137">
        <v>-58.093780000000002</v>
      </c>
      <c r="M6137">
        <v>0.96428139999999996</v>
      </c>
      <c r="N6137">
        <v>0</v>
      </c>
      <c r="O6137">
        <v>0.26447609999999999</v>
      </c>
      <c r="P6137">
        <v>0.69606140000000005</v>
      </c>
      <c r="Q6137">
        <v>-2.8363449999999998E-2</v>
      </c>
      <c r="R6137">
        <v>0.71742189999999995</v>
      </c>
      <c r="S6137">
        <v>1.0353699999999999</v>
      </c>
      <c r="T6137">
        <v>-0.17182169999999999</v>
      </c>
      <c r="U6137">
        <v>3.1856689999999999</v>
      </c>
      <c r="V6137">
        <v>-0.507606</v>
      </c>
      <c r="W6137">
        <v>-2.0108049999999999E-2</v>
      </c>
      <c r="X6137">
        <v>0.86135459999999997</v>
      </c>
      <c r="Y6137">
        <v>-0.83473889999999995</v>
      </c>
      <c r="Z6137">
        <v>1.3060459999999999E-2</v>
      </c>
      <c r="AA6137">
        <v>0.55049110000000001</v>
      </c>
      <c r="AB6137">
        <v>20</v>
      </c>
      <c r="AC6137">
        <v>6.5369000000000002</v>
      </c>
      <c r="AD6137">
        <v>-1.107837410568</v>
      </c>
      <c r="AE6137">
        <v>20.49672</v>
      </c>
      <c r="AF6137">
        <v>-17.989977147513699</v>
      </c>
      <c r="AG6137">
        <v>-1.107837410568</v>
      </c>
      <c r="AH6137">
        <v>11.6945472700999</v>
      </c>
      <c r="AI6137">
        <v>92.955593722561105</v>
      </c>
      <c r="AJ6137">
        <v>146.97375449080101</v>
      </c>
      <c r="AK6137">
        <v>21.485553689605499</v>
      </c>
    </row>
    <row r="6138" spans="1:37" x14ac:dyDescent="0.2">
      <c r="A6138" t="str">
        <f>"20200111160021318"</f>
        <v>20200111160021318</v>
      </c>
      <c r="B6138" t="str">
        <f>"1578729621307578"</f>
        <v>1578729621307578</v>
      </c>
      <c r="C6138" t="s">
        <v>37</v>
      </c>
      <c r="D6138">
        <v>4.8395890000000001</v>
      </c>
      <c r="E6138">
        <v>0.31201079999999998</v>
      </c>
      <c r="F6138" t="s">
        <v>39</v>
      </c>
      <c r="G6138">
        <v>-199.21690000000001</v>
      </c>
      <c r="H6138" s="1">
        <v>-3.1312920000000002E-6</v>
      </c>
      <c r="I6138">
        <v>-38.616050000000001</v>
      </c>
      <c r="J6138">
        <v>-205.26910000000001</v>
      </c>
      <c r="K6138">
        <v>1.1078520000000001</v>
      </c>
      <c r="L6138">
        <v>-58.06073</v>
      </c>
      <c r="M6138">
        <v>0.96329299999999995</v>
      </c>
      <c r="N6138">
        <v>0</v>
      </c>
      <c r="O6138">
        <v>0.26805390000000001</v>
      </c>
      <c r="P6138">
        <v>0.69267449999999997</v>
      </c>
      <c r="Q6138">
        <v>-2.9746669999999999E-2</v>
      </c>
      <c r="R6138">
        <v>0.72063669999999902</v>
      </c>
      <c r="S6138">
        <v>1.009781</v>
      </c>
      <c r="T6138">
        <v>-0.18170890000000001</v>
      </c>
      <c r="U6138">
        <v>3.194763</v>
      </c>
      <c r="V6138">
        <v>-0.50839869999999998</v>
      </c>
      <c r="W6138">
        <v>-2.1522369999999999E-2</v>
      </c>
      <c r="X6138">
        <v>0.86085279999999997</v>
      </c>
      <c r="Y6138">
        <v>-0.83706939999999996</v>
      </c>
      <c r="Z6138">
        <v>1.372873E-2</v>
      </c>
      <c r="AA6138">
        <v>0.54692450000000004</v>
      </c>
      <c r="AB6138">
        <v>20</v>
      </c>
      <c r="AC6138">
        <v>6.0521999999999903</v>
      </c>
      <c r="AD6138">
        <v>-1.107855131292</v>
      </c>
      <c r="AE6138">
        <v>19.444680000000002</v>
      </c>
      <c r="AF6138">
        <v>-17.0599492006004</v>
      </c>
      <c r="AG6138">
        <v>-1.107855131292</v>
      </c>
      <c r="AH6138">
        <v>11.010858560939299</v>
      </c>
      <c r="AI6138">
        <v>93.1230476358174</v>
      </c>
      <c r="AJ6138">
        <v>147.16093097076799</v>
      </c>
      <c r="AK6138">
        <v>20.3349014250871</v>
      </c>
    </row>
    <row r="6139" spans="1:37" x14ac:dyDescent="0.2">
      <c r="A6139" t="str">
        <f>"20200111160021331"</f>
        <v>20200111160021331</v>
      </c>
      <c r="B6139" t="str">
        <f>"1578729621327098"</f>
        <v>1578729621327098</v>
      </c>
      <c r="C6139" t="s">
        <v>37</v>
      </c>
      <c r="D6139">
        <v>4.8798729999999999</v>
      </c>
      <c r="E6139">
        <v>0.3126311</v>
      </c>
      <c r="F6139" t="s">
        <v>39</v>
      </c>
      <c r="G6139">
        <v>-199.40039999999999</v>
      </c>
      <c r="H6139" s="1">
        <v>-2.9821659999999999E-6</v>
      </c>
      <c r="I6139">
        <v>-39.149920000000002</v>
      </c>
      <c r="J6139">
        <v>-205.1669</v>
      </c>
      <c r="K6139">
        <v>1.1078749999999999</v>
      </c>
      <c r="L6139">
        <v>-58.027949999999997</v>
      </c>
      <c r="M6139">
        <v>0.962304099999999</v>
      </c>
      <c r="N6139">
        <v>0</v>
      </c>
      <c r="O6139">
        <v>0.2715822</v>
      </c>
      <c r="P6139">
        <v>0.68926969999999899</v>
      </c>
      <c r="Q6139">
        <v>-3.0679049999999999E-2</v>
      </c>
      <c r="R6139">
        <v>0.72385509999999997</v>
      </c>
      <c r="S6139">
        <v>0.99324040000000002</v>
      </c>
      <c r="T6139">
        <v>-0.18749730000000001</v>
      </c>
      <c r="U6139">
        <v>3.2005309999999998</v>
      </c>
      <c r="V6139">
        <v>-0.50925529999999997</v>
      </c>
      <c r="W6139">
        <v>-2.2489430000000001E-2</v>
      </c>
      <c r="X6139">
        <v>0.86032160000000002</v>
      </c>
      <c r="Y6139">
        <v>-0.83787819999999902</v>
      </c>
      <c r="Z6139">
        <v>1.398775E-2</v>
      </c>
      <c r="AA6139">
        <v>0.545678</v>
      </c>
      <c r="AB6139">
        <v>20</v>
      </c>
      <c r="AC6139">
        <v>5.7664999999999997</v>
      </c>
      <c r="AD6139">
        <v>-1.1078779821660001</v>
      </c>
      <c r="AE6139">
        <v>18.8780299999999</v>
      </c>
      <c r="AF6139">
        <v>-16.549968261363901</v>
      </c>
      <c r="AG6139">
        <v>-1.1078779821660001</v>
      </c>
      <c r="AH6139">
        <v>10.643676670056999</v>
      </c>
      <c r="AI6139">
        <v>93.222512511260902</v>
      </c>
      <c r="AJ6139">
        <v>147.25396880849601</v>
      </c>
      <c r="AK6139">
        <v>19.708290035724399</v>
      </c>
    </row>
    <row r="6140" spans="1:37" x14ac:dyDescent="0.2">
      <c r="A6140" t="str">
        <f>"20200111160021350"</f>
        <v>20200111160021350</v>
      </c>
      <c r="B6140" t="str">
        <f>"1578729621347594"</f>
        <v>1578729621347594</v>
      </c>
      <c r="C6140" t="s">
        <v>37</v>
      </c>
      <c r="D6140">
        <v>4.8453460000000002</v>
      </c>
      <c r="E6140">
        <v>0.31304569999999998</v>
      </c>
      <c r="F6140" t="s">
        <v>39</v>
      </c>
      <c r="G6140">
        <v>-199.4419</v>
      </c>
      <c r="H6140" s="1">
        <v>-2.9192049999999999E-6</v>
      </c>
      <c r="I6140">
        <v>-39.356540000000003</v>
      </c>
      <c r="J6140">
        <v>-205.0119</v>
      </c>
      <c r="K6140">
        <v>1.1079239999999999</v>
      </c>
      <c r="L6140">
        <v>-57.977419999999903</v>
      </c>
      <c r="M6140">
        <v>0.96076289999999998</v>
      </c>
      <c r="N6140">
        <v>0</v>
      </c>
      <c r="O6140">
        <v>0.27698529999999999</v>
      </c>
      <c r="P6140">
        <v>0.68449689999999996</v>
      </c>
      <c r="Q6140">
        <v>-3.204278E-2</v>
      </c>
      <c r="R6140">
        <v>0.72831129999999999</v>
      </c>
      <c r="S6140">
        <v>0.98168949999999999</v>
      </c>
      <c r="T6140">
        <v>-0.18997039999999901</v>
      </c>
      <c r="U6140">
        <v>3.20162999999999</v>
      </c>
      <c r="V6140">
        <v>-0.51000479999999904</v>
      </c>
      <c r="W6140">
        <v>-2.3904539999999998E-2</v>
      </c>
      <c r="X6140">
        <v>0.85983940000000003</v>
      </c>
      <c r="Y6140">
        <v>-0.83665219999999996</v>
      </c>
      <c r="Z6140">
        <v>1.3749040000000001E-2</v>
      </c>
      <c r="AA6140">
        <v>0.54756199999999999</v>
      </c>
      <c r="AB6140">
        <v>20</v>
      </c>
      <c r="AC6140">
        <v>5.5699999999999896</v>
      </c>
      <c r="AD6140">
        <v>-1.1079269192049901</v>
      </c>
      <c r="AE6140">
        <v>18.62088</v>
      </c>
      <c r="AF6140">
        <v>-16.296237238865199</v>
      </c>
      <c r="AG6140">
        <v>-1.1079269192049901</v>
      </c>
      <c r="AH6140">
        <v>10.4762414077797</v>
      </c>
      <c r="AI6140">
        <v>93.2731106713657</v>
      </c>
      <c r="AJ6140">
        <v>147.264552572253</v>
      </c>
      <c r="AK6140">
        <v>19.404805699562001</v>
      </c>
    </row>
    <row r="6141" spans="1:37" x14ac:dyDescent="0.2">
      <c r="A6141" t="str">
        <f>"20200111160021376"</f>
        <v>20200111160021376</v>
      </c>
      <c r="B6141" t="str">
        <f>"1578729621367115"</f>
        <v>1578729621367115</v>
      </c>
      <c r="C6141" t="s">
        <v>37</v>
      </c>
      <c r="D6141">
        <v>4.7635079999999999</v>
      </c>
      <c r="E6141">
        <v>0.31357819999999997</v>
      </c>
      <c r="F6141" t="s">
        <v>39</v>
      </c>
      <c r="G6141">
        <v>-199.33420000000001</v>
      </c>
      <c r="H6141" s="1">
        <v>-2.9956039999999999E-6</v>
      </c>
      <c r="I6141">
        <v>-39.075920000000004</v>
      </c>
      <c r="J6141">
        <v>-204.79470000000001</v>
      </c>
      <c r="K6141">
        <v>1.108004</v>
      </c>
      <c r="L6141">
        <v>-57.90466</v>
      </c>
      <c r="M6141">
        <v>0.95850159999999995</v>
      </c>
      <c r="N6141">
        <v>0</v>
      </c>
      <c r="O6141">
        <v>0.28471160000000001</v>
      </c>
      <c r="P6141">
        <v>0.67885139999999999</v>
      </c>
      <c r="Q6141">
        <v>-3.2637199999999998E-2</v>
      </c>
      <c r="R6141">
        <v>0.73355009999999998</v>
      </c>
      <c r="S6141">
        <v>0.96298220000000001</v>
      </c>
      <c r="T6141">
        <v>-0.1879112</v>
      </c>
      <c r="U6141">
        <v>3.2058110000000002</v>
      </c>
      <c r="V6141">
        <v>-0.50968950000000002</v>
      </c>
      <c r="W6141">
        <v>-2.4568429999999999E-2</v>
      </c>
      <c r="X6141">
        <v>0.86000759999999898</v>
      </c>
      <c r="Y6141">
        <v>-0.83540159999999997</v>
      </c>
      <c r="Z6141">
        <v>1.3024050000000001E-2</v>
      </c>
      <c r="AA6141">
        <v>0.54948580000000002</v>
      </c>
      <c r="AB6141">
        <v>20</v>
      </c>
      <c r="AC6141">
        <v>5.4604999999999899</v>
      </c>
      <c r="AD6141">
        <v>-1.108006995604</v>
      </c>
      <c r="AE6141">
        <v>18.82874</v>
      </c>
      <c r="AF6141">
        <v>-16.441954645767499</v>
      </c>
      <c r="AG6141">
        <v>-1.108006995604</v>
      </c>
      <c r="AH6141">
        <v>10.5620544099345</v>
      </c>
      <c r="AI6141">
        <v>93.245103072273693</v>
      </c>
      <c r="AJ6141">
        <v>147.28394538998501</v>
      </c>
      <c r="AK6141">
        <v>19.573516429967299</v>
      </c>
    </row>
    <row r="6142" spans="1:37" x14ac:dyDescent="0.2">
      <c r="A6142" t="str">
        <f>"20200111160021420"</f>
        <v>20200111160021420</v>
      </c>
      <c r="B6142" t="str">
        <f>"1578729621417660"</f>
        <v>1578729621417660</v>
      </c>
      <c r="C6142" t="s">
        <v>37</v>
      </c>
      <c r="D6142">
        <v>4.8358089999999896</v>
      </c>
      <c r="E6142">
        <v>0.31487579999999998</v>
      </c>
      <c r="F6142" t="s">
        <v>39</v>
      </c>
      <c r="G6142">
        <v>-199.03989999999999</v>
      </c>
      <c r="H6142" s="1">
        <v>-3.215263E-6</v>
      </c>
      <c r="I6142">
        <v>-38.277029999999897</v>
      </c>
      <c r="J6142">
        <v>-204.4451</v>
      </c>
      <c r="K6142">
        <v>1.10819</v>
      </c>
      <c r="L6142">
        <v>-57.783050000000003</v>
      </c>
      <c r="M6142">
        <v>0.95457139999999996</v>
      </c>
      <c r="N6142">
        <v>0</v>
      </c>
      <c r="O6142">
        <v>0.29762159999999999</v>
      </c>
      <c r="P6142">
        <v>0.67214269999999998</v>
      </c>
      <c r="Q6142">
        <v>-3.2449489999999998E-2</v>
      </c>
      <c r="R6142">
        <v>0.73971030000000004</v>
      </c>
      <c r="S6142">
        <v>0.941329999999999</v>
      </c>
      <c r="T6142">
        <v>-0.1812395</v>
      </c>
      <c r="U6142">
        <v>3.2105410000000001</v>
      </c>
      <c r="V6142">
        <v>-0.50591179999999902</v>
      </c>
      <c r="W6142">
        <v>-2.449482E-2</v>
      </c>
      <c r="X6142">
        <v>0.86223729999999998</v>
      </c>
      <c r="Y6142">
        <v>-0.83167869999999999</v>
      </c>
      <c r="Z6142">
        <v>1.152887E-2</v>
      </c>
      <c r="AA6142">
        <v>0.55513749999999995</v>
      </c>
      <c r="AB6142">
        <v>19</v>
      </c>
      <c r="AC6142">
        <v>5.4051999999999998</v>
      </c>
      <c r="AD6142">
        <v>-1.1081932152630001</v>
      </c>
      <c r="AE6142">
        <v>19.506019999999999</v>
      </c>
      <c r="AF6142">
        <v>-16.962167406761601</v>
      </c>
      <c r="AG6142">
        <v>-1.1081932152630001</v>
      </c>
      <c r="AH6142">
        <v>10.933466765252399</v>
      </c>
      <c r="AI6142">
        <v>93.143174533109899</v>
      </c>
      <c r="AJ6142">
        <v>147.194998333359</v>
      </c>
      <c r="AK6142">
        <v>20.210984905348798</v>
      </c>
    </row>
    <row r="6143" spans="1:37" x14ac:dyDescent="0.2">
      <c r="A6143" t="str">
        <f>"20200111160021434"</f>
        <v>20200111160021434</v>
      </c>
      <c r="B6143" t="str">
        <f>"1578729621427421"</f>
        <v>1578729621427421</v>
      </c>
      <c r="C6143" t="s">
        <v>37</v>
      </c>
      <c r="D6143">
        <v>4.8463449999999897</v>
      </c>
      <c r="E6143">
        <v>0.31535809999999997</v>
      </c>
      <c r="F6143" t="s">
        <v>39</v>
      </c>
      <c r="G6143">
        <v>-198.4813</v>
      </c>
      <c r="H6143" s="1">
        <v>-3.5670209999999998E-6</v>
      </c>
      <c r="I6143">
        <v>-36.952210000000001</v>
      </c>
      <c r="J6143">
        <v>-204.33189999999999</v>
      </c>
      <c r="K6143">
        <v>1.1082639999999999</v>
      </c>
      <c r="L6143">
        <v>-57.742309999999897</v>
      </c>
      <c r="M6143">
        <v>0.95321109999999898</v>
      </c>
      <c r="N6143">
        <v>0</v>
      </c>
      <c r="O6143">
        <v>0.30194929999999998</v>
      </c>
      <c r="P6143">
        <v>0.66969789999999996</v>
      </c>
      <c r="Q6143">
        <v>-3.1967559999999999E-2</v>
      </c>
      <c r="R6143">
        <v>0.74194539999999998</v>
      </c>
      <c r="S6143">
        <v>0.91970830000000003</v>
      </c>
      <c r="T6143">
        <v>-0.1709003</v>
      </c>
      <c r="U6143">
        <v>3.2124329999999999</v>
      </c>
      <c r="V6143">
        <v>-0.50486640000000005</v>
      </c>
      <c r="W6143">
        <v>-2.4062179999999999E-2</v>
      </c>
      <c r="X6143">
        <v>0.86286209999999997</v>
      </c>
      <c r="Y6143">
        <v>-0.83277199999999996</v>
      </c>
      <c r="Z6143">
        <v>1.0688339999999999E-2</v>
      </c>
      <c r="AA6143">
        <v>0.55351300000000003</v>
      </c>
      <c r="AB6143">
        <v>19</v>
      </c>
      <c r="AC6143">
        <v>5.8505999999999796</v>
      </c>
      <c r="AD6143">
        <v>-1.1082675670209901</v>
      </c>
      <c r="AE6143">
        <v>20.790099999999899</v>
      </c>
      <c r="AF6143">
        <v>-18.005301461601199</v>
      </c>
      <c r="AG6143">
        <v>-1.1082675670209901</v>
      </c>
      <c r="AH6143">
        <v>11.8245529419855</v>
      </c>
      <c r="AI6143">
        <v>92.945237962905097</v>
      </c>
      <c r="AJ6143">
        <v>146.70604573473199</v>
      </c>
      <c r="AK6143">
        <v>21.569404025171199</v>
      </c>
    </row>
    <row r="6144" spans="1:37" x14ac:dyDescent="0.2">
      <c r="A6144" t="str">
        <f>"20200111160021496"</f>
        <v>20200111160021496</v>
      </c>
      <c r="B6144" t="str">
        <f>"1578729621486973"</f>
        <v>1578729621486973</v>
      </c>
      <c r="C6144" t="s">
        <v>37</v>
      </c>
      <c r="D6144">
        <v>4.7573129999999999</v>
      </c>
      <c r="E6144">
        <v>0.31658950000000002</v>
      </c>
      <c r="F6144" t="s">
        <v>39</v>
      </c>
      <c r="G6144">
        <v>-198.3158</v>
      </c>
      <c r="H6144" s="1">
        <v>-3.67676999999999E-6</v>
      </c>
      <c r="I6144">
        <v>-36.543430000000001</v>
      </c>
      <c r="J6144">
        <v>-203.83609999999999</v>
      </c>
      <c r="K6144">
        <v>1.1085929999999999</v>
      </c>
      <c r="L6144">
        <v>-57.555759999999999</v>
      </c>
      <c r="M6144">
        <v>0.94668850000000004</v>
      </c>
      <c r="N6144">
        <v>0</v>
      </c>
      <c r="O6144">
        <v>0.3218143</v>
      </c>
      <c r="P6144">
        <v>0.66083249999999905</v>
      </c>
      <c r="Q6144">
        <v>-2.6923949999999999E-2</v>
      </c>
      <c r="R6144">
        <v>0.75005040000000001</v>
      </c>
      <c r="S6144">
        <v>0.91186520000000004</v>
      </c>
      <c r="T6144">
        <v>-0.1679795</v>
      </c>
      <c r="U6144">
        <v>3.213104</v>
      </c>
      <c r="V6144">
        <v>-0.49728499999999998</v>
      </c>
      <c r="W6144">
        <v>-1.9179140000000001E-2</v>
      </c>
      <c r="X6144">
        <v>0.86737520000000001</v>
      </c>
      <c r="Y6144">
        <v>-0.82240460000000004</v>
      </c>
      <c r="Z6144">
        <v>8.7717549999999991E-3</v>
      </c>
      <c r="AA6144">
        <v>0.56883539999999999</v>
      </c>
      <c r="AB6144">
        <v>19</v>
      </c>
      <c r="AC6144">
        <v>5.52029999999999</v>
      </c>
      <c r="AD6144">
        <v>-1.10859667677</v>
      </c>
      <c r="AE6144">
        <v>21.012329999999999</v>
      </c>
      <c r="AF6144">
        <v>-18.0705278849458</v>
      </c>
      <c r="AG6144">
        <v>-1.10859667677</v>
      </c>
      <c r="AH6144">
        <v>11.958233142592301</v>
      </c>
      <c r="AI6144">
        <v>92.928733756827498</v>
      </c>
      <c r="AJ6144">
        <v>146.50526609793701</v>
      </c>
      <c r="AK6144">
        <v>21.697287953219998</v>
      </c>
    </row>
    <row r="6145" spans="1:37" x14ac:dyDescent="0.2">
      <c r="A6145" t="str">
        <f>"20200111160021509"</f>
        <v>20200111160021509</v>
      </c>
      <c r="B6145" t="str">
        <f>"1578729621496717"</f>
        <v>1578729621496717</v>
      </c>
      <c r="C6145" t="s">
        <v>37</v>
      </c>
      <c r="D6145">
        <v>4.7570430000000004</v>
      </c>
      <c r="E6145">
        <v>0.31712760000000001</v>
      </c>
      <c r="F6145" t="s">
        <v>39</v>
      </c>
      <c r="G6145">
        <v>-197.3845</v>
      </c>
      <c r="H6145" s="1">
        <v>-4.3772229999999998E-6</v>
      </c>
      <c r="I6145">
        <v>-33.999690000000001</v>
      </c>
      <c r="J6145">
        <v>-203.73609999999999</v>
      </c>
      <c r="K6145">
        <v>1.1086559999999901</v>
      </c>
      <c r="L6145">
        <v>-57.516449999999999</v>
      </c>
      <c r="M6145">
        <v>0.94525210000000004</v>
      </c>
      <c r="N6145">
        <v>0</v>
      </c>
      <c r="O6145">
        <v>0.32600879999999999</v>
      </c>
      <c r="P6145">
        <v>0.65875859999999997</v>
      </c>
      <c r="Q6145">
        <v>-2.6244170000000001E-2</v>
      </c>
      <c r="R6145">
        <v>0.75189649999999997</v>
      </c>
      <c r="S6145">
        <v>0.88130189999999997</v>
      </c>
      <c r="T6145">
        <v>-0.1514365</v>
      </c>
      <c r="U6145">
        <v>3.2178040000000001</v>
      </c>
      <c r="V6145">
        <v>-0.49586149999999901</v>
      </c>
      <c r="W6145">
        <v>-1.8528469999999998E-2</v>
      </c>
      <c r="X6145">
        <v>0.86820390000000003</v>
      </c>
      <c r="Y6145">
        <v>-0.82520579999999999</v>
      </c>
      <c r="Z6145">
        <v>7.8277099999999999E-3</v>
      </c>
      <c r="AA6145">
        <v>0.564778</v>
      </c>
      <c r="AB6145">
        <v>19</v>
      </c>
      <c r="AC6145">
        <v>6.3515999999999897</v>
      </c>
      <c r="AD6145">
        <v>-1.1086603772229999</v>
      </c>
      <c r="AE6145">
        <v>23.516760000000001</v>
      </c>
      <c r="AF6145">
        <v>-20.119099457715699</v>
      </c>
      <c r="AG6145">
        <v>-1.1086603772229999</v>
      </c>
      <c r="AH6145">
        <v>13.643753948310399</v>
      </c>
      <c r="AI6145">
        <v>92.611272731226506</v>
      </c>
      <c r="AJ6145">
        <v>145.85686794196499</v>
      </c>
      <c r="AK6145">
        <v>24.3343237552128</v>
      </c>
    </row>
    <row r="6146" spans="1:37" x14ac:dyDescent="0.2">
      <c r="A6146" t="str">
        <f>"20200111160021522"</f>
        <v>20200111160021522</v>
      </c>
      <c r="B6146" t="str">
        <f>"1578729621517213"</f>
        <v>1578729621517213</v>
      </c>
      <c r="C6146" t="s">
        <v>37</v>
      </c>
      <c r="D6146">
        <v>4.7594830000000004</v>
      </c>
      <c r="E6146">
        <v>0.31809309999999902</v>
      </c>
      <c r="F6146" t="s">
        <v>39</v>
      </c>
      <c r="G6146">
        <v>-197.1378</v>
      </c>
      <c r="H6146" s="1">
        <v>-4.581956E-6</v>
      </c>
      <c r="I6146">
        <v>-33.269480000000001</v>
      </c>
      <c r="J6146">
        <v>-203.63069999999999</v>
      </c>
      <c r="K6146">
        <v>1.1087229999999999</v>
      </c>
      <c r="L6146">
        <v>-57.474400000000003</v>
      </c>
      <c r="M6146">
        <v>0.94368989999999997</v>
      </c>
      <c r="N6146">
        <v>0</v>
      </c>
      <c r="O6146">
        <v>0.3305033</v>
      </c>
      <c r="P6146">
        <v>0.65651329999999997</v>
      </c>
      <c r="Q6146">
        <v>-2.5324409999999999E-2</v>
      </c>
      <c r="R6146">
        <v>0.75388929999999998</v>
      </c>
      <c r="S6146">
        <v>0.87561039999999901</v>
      </c>
      <c r="T6146">
        <v>-0.1471229</v>
      </c>
      <c r="U6146">
        <v>3.217651</v>
      </c>
      <c r="V6146">
        <v>-0.4943555</v>
      </c>
      <c r="W6146">
        <v>-1.763752E-2</v>
      </c>
      <c r="X6146">
        <v>0.86908090000000005</v>
      </c>
      <c r="Y6146">
        <v>-0.82346909999999895</v>
      </c>
      <c r="Z6146">
        <v>7.29232199999999E-3</v>
      </c>
      <c r="AA6146">
        <v>0.56731430000000005</v>
      </c>
      <c r="AB6146">
        <v>19</v>
      </c>
      <c r="AC6146">
        <v>6.4928999999999899</v>
      </c>
      <c r="AD6146">
        <v>-1.1087275819560001</v>
      </c>
      <c r="AE6146">
        <v>24.204920000000001</v>
      </c>
      <c r="AF6146">
        <v>-20.657824643702</v>
      </c>
      <c r="AG6146">
        <v>-1.1087275819560001</v>
      </c>
      <c r="AH6146">
        <v>14.1010222832673</v>
      </c>
      <c r="AI6146">
        <v>92.538167364435694</v>
      </c>
      <c r="AJ6146">
        <v>145.68257153490899</v>
      </c>
      <c r="AK6146">
        <v>25.036250224307398</v>
      </c>
    </row>
    <row r="6147" spans="1:37" x14ac:dyDescent="0.2">
      <c r="A6147" t="str">
        <f>"20200111160021554"</f>
        <v>20200111160021554</v>
      </c>
      <c r="B6147" t="str">
        <f>"1578729621547468"</f>
        <v>1578729621547468</v>
      </c>
      <c r="C6147" t="s">
        <v>37</v>
      </c>
      <c r="D6147">
        <v>4.8918919999999897</v>
      </c>
      <c r="E6147">
        <v>0.31809309999999902</v>
      </c>
      <c r="F6147" t="s">
        <v>39</v>
      </c>
      <c r="G6147">
        <v>-196.8245</v>
      </c>
      <c r="H6147" s="1">
        <v>-4.8286340000000003E-6</v>
      </c>
      <c r="I6147">
        <v>-32.381279999999997</v>
      </c>
      <c r="J6147">
        <v>-203.387</v>
      </c>
      <c r="K6147">
        <v>1.108873</v>
      </c>
      <c r="L6147">
        <v>-57.374389999999998</v>
      </c>
      <c r="M6147">
        <v>0.93987719999999897</v>
      </c>
      <c r="N6147">
        <v>0</v>
      </c>
      <c r="O6147">
        <v>0.34119339999999998</v>
      </c>
      <c r="P6147">
        <v>0.65166499999999905</v>
      </c>
      <c r="Q6147">
        <v>-2.268792E-2</v>
      </c>
      <c r="R6147">
        <v>0.75816759999999905</v>
      </c>
      <c r="S6147">
        <v>0.87207029999999996</v>
      </c>
      <c r="T6147">
        <v>-0.14205989999999999</v>
      </c>
      <c r="U6147">
        <v>3.2151489999999998</v>
      </c>
      <c r="V6147">
        <v>-0.49016179999999898</v>
      </c>
      <c r="W6147">
        <v>-1.504337E-2</v>
      </c>
      <c r="X6147">
        <v>0.87150159999999999</v>
      </c>
      <c r="Y6147">
        <v>-0.81750040000000002</v>
      </c>
      <c r="Z6147">
        <v>6.2408569999999998E-3</v>
      </c>
      <c r="AA6147">
        <v>0.57589409999999996</v>
      </c>
      <c r="AB6147">
        <v>19</v>
      </c>
      <c r="AC6147">
        <v>6.5625</v>
      </c>
      <c r="AD6147">
        <v>-1.108877828634</v>
      </c>
      <c r="AE6147">
        <v>24.993110000000001</v>
      </c>
      <c r="AF6147">
        <v>-21.214621681485301</v>
      </c>
      <c r="AG6147">
        <v>-1.108877828634</v>
      </c>
      <c r="AH6147">
        <v>14.670014890795001</v>
      </c>
      <c r="AI6147">
        <v>92.461728590220901</v>
      </c>
      <c r="AJ6147">
        <v>145.33595177651199</v>
      </c>
      <c r="AK6147">
        <v>25.816644244044099</v>
      </c>
    </row>
    <row r="6148" spans="1:37" x14ac:dyDescent="0.2">
      <c r="A6148" t="str">
        <f>"20200111160021567"</f>
        <v>20200111160021567</v>
      </c>
      <c r="B6148" t="str">
        <f>"1578729621557229"</f>
        <v>1578729621557229</v>
      </c>
      <c r="C6148" t="s">
        <v>37</v>
      </c>
      <c r="D6148">
        <v>4.8561969999999999</v>
      </c>
      <c r="E6148">
        <v>0.29098239999999997</v>
      </c>
      <c r="F6148" t="s">
        <v>39</v>
      </c>
      <c r="G6148">
        <v>-196.22620000000001</v>
      </c>
      <c r="H6148" s="1">
        <v>-1.7133340000000001E-6</v>
      </c>
      <c r="I6148">
        <v>-30.27872</v>
      </c>
      <c r="J6148">
        <v>-203.2818</v>
      </c>
      <c r="K6148">
        <v>1.10893</v>
      </c>
      <c r="L6148">
        <v>-57.330199999999998</v>
      </c>
      <c r="M6148">
        <v>0.93815300000000001</v>
      </c>
      <c r="N6148">
        <v>0</v>
      </c>
      <c r="O6148">
        <v>0.34590559999999998</v>
      </c>
      <c r="P6148">
        <v>0.64901359999999997</v>
      </c>
      <c r="Q6148">
        <v>-2.1752239999999999E-2</v>
      </c>
      <c r="R6148">
        <v>0.76046569999999902</v>
      </c>
      <c r="S6148">
        <v>0.85130309999999898</v>
      </c>
      <c r="T6148">
        <v>-0.1318279</v>
      </c>
      <c r="U6148">
        <v>3.2212519999999998</v>
      </c>
      <c r="V6148">
        <v>-0.4888653</v>
      </c>
      <c r="W6148">
        <v>-1.413214E-2</v>
      </c>
      <c r="X6148">
        <v>0.87224480000000004</v>
      </c>
      <c r="Y6148">
        <v>-0.81840459999999904</v>
      </c>
      <c r="Z6148">
        <v>5.6057879999999996E-3</v>
      </c>
      <c r="AA6148">
        <v>0.57461509999999905</v>
      </c>
      <c r="AB6148">
        <v>19</v>
      </c>
      <c r="AC6148">
        <v>7.0555999999999903</v>
      </c>
      <c r="AD6148">
        <v>-1.108931713334</v>
      </c>
      <c r="AE6148">
        <v>27.051479999999898</v>
      </c>
      <c r="AF6148">
        <v>-22.904321087736701</v>
      </c>
      <c r="AG6148">
        <v>-1.108931713334</v>
      </c>
      <c r="AH6148">
        <v>15.9531335625617</v>
      </c>
      <c r="AI6148">
        <v>92.275095332150997</v>
      </c>
      <c r="AJ6148">
        <v>145.14232722278999</v>
      </c>
      <c r="AK6148">
        <v>27.9345686292077</v>
      </c>
    </row>
    <row r="6149" spans="1:37" x14ac:dyDescent="0.2">
      <c r="A6149" t="str">
        <f>"20200111160021587"</f>
        <v>20200111160021587</v>
      </c>
      <c r="B6149" t="str">
        <f>"1578729621576748"</f>
        <v>1578729621576748</v>
      </c>
      <c r="C6149" t="s">
        <v>37</v>
      </c>
      <c r="D6149">
        <v>4.8093760000000003</v>
      </c>
      <c r="E6149">
        <v>0.2896012</v>
      </c>
      <c r="F6149" t="s">
        <v>39</v>
      </c>
      <c r="G6149">
        <v>-197.56129999999999</v>
      </c>
      <c r="H6149" s="1">
        <v>-2.69034899999999E-6</v>
      </c>
      <c r="I6149">
        <v>-28.829359999999902</v>
      </c>
      <c r="J6149">
        <v>-203.13460000000001</v>
      </c>
      <c r="K6149">
        <v>1.109005</v>
      </c>
      <c r="L6149">
        <v>-57.267060000000001</v>
      </c>
      <c r="M6149">
        <v>0.93564999999999998</v>
      </c>
      <c r="N6149">
        <v>0</v>
      </c>
      <c r="O6149">
        <v>0.35261929999999903</v>
      </c>
      <c r="P6149">
        <v>0.64583979999999996</v>
      </c>
      <c r="Q6149">
        <v>-2.0335099999999998E-2</v>
      </c>
      <c r="R6149">
        <v>0.76320219999999905</v>
      </c>
      <c r="S6149">
        <v>0.67535400000000001</v>
      </c>
      <c r="T6149">
        <v>-0.13092039999999999</v>
      </c>
      <c r="U6149">
        <v>3.3648069999999999</v>
      </c>
      <c r="V6149">
        <v>-0.48629739999999999</v>
      </c>
      <c r="W6149">
        <v>-1.2727459999999999E-2</v>
      </c>
      <c r="X6149">
        <v>0.8737007</v>
      </c>
      <c r="Y6149">
        <v>-0.8477538</v>
      </c>
      <c r="Z6149">
        <v>6.3203879999999997E-3</v>
      </c>
      <c r="AA6149">
        <v>0.53035239999999995</v>
      </c>
      <c r="AB6149">
        <v>19</v>
      </c>
      <c r="AC6149">
        <v>5.5733000000000104</v>
      </c>
      <c r="AD6149">
        <v>-1.109007690349</v>
      </c>
      <c r="AE6149">
        <v>28.4377</v>
      </c>
      <c r="AF6149">
        <v>-24.609134117543601</v>
      </c>
      <c r="AG6149">
        <v>-1.109007690349</v>
      </c>
      <c r="AH6149">
        <v>15.221713745537301</v>
      </c>
      <c r="AI6149">
        <v>92.194833259175198</v>
      </c>
      <c r="AJ6149">
        <v>148.26158510367401</v>
      </c>
      <c r="AK6149">
        <v>28.957554272133901</v>
      </c>
    </row>
    <row r="6150" spans="1:37" x14ac:dyDescent="0.2">
      <c r="A6150" t="str">
        <f>"20200111160021599"</f>
        <v>20200111160021599</v>
      </c>
      <c r="B6150" t="str">
        <f>"1578729621596778"</f>
        <v>1578729621596778</v>
      </c>
      <c r="C6150" t="s">
        <v>37</v>
      </c>
      <c r="D6150">
        <v>4.8885129999999997</v>
      </c>
      <c r="E6150">
        <v>0.28983130000000001</v>
      </c>
      <c r="F6150" t="s">
        <v>39</v>
      </c>
      <c r="G6150">
        <v>-196.4622</v>
      </c>
      <c r="H6150" s="1">
        <v>-4.6079759999999999E-6</v>
      </c>
      <c r="I6150">
        <v>-22.840889999999899</v>
      </c>
      <c r="J6150">
        <v>-203.0301</v>
      </c>
      <c r="K6150">
        <v>1.1090500000000001</v>
      </c>
      <c r="L6150">
        <v>-57.22128</v>
      </c>
      <c r="M6150">
        <v>0.93381039999999904</v>
      </c>
      <c r="N6150">
        <v>0</v>
      </c>
      <c r="O6150">
        <v>0.35746220000000001</v>
      </c>
      <c r="P6150">
        <v>0.64313229999999999</v>
      </c>
      <c r="Q6150">
        <v>-1.9666659999999999E-2</v>
      </c>
      <c r="R6150">
        <v>0.76550249999999997</v>
      </c>
      <c r="S6150">
        <v>0.6540222</v>
      </c>
      <c r="T6150">
        <v>-0.108705</v>
      </c>
      <c r="U6150">
        <v>3.3744510000000001</v>
      </c>
      <c r="V6150">
        <v>-0.4848884</v>
      </c>
      <c r="W6150">
        <v>-1.2067609999999999E-2</v>
      </c>
      <c r="X6150">
        <v>0.87449279999999996</v>
      </c>
      <c r="Y6150">
        <v>-0.84862139999999997</v>
      </c>
      <c r="Z6150">
        <v>5.0861539999999998E-3</v>
      </c>
      <c r="AA6150">
        <v>0.52897640000000001</v>
      </c>
      <c r="AB6150">
        <v>19</v>
      </c>
      <c r="AC6150">
        <v>6.5678999999999998</v>
      </c>
      <c r="AD6150">
        <v>-1.109054607976</v>
      </c>
      <c r="AE6150">
        <v>34.380389999999998</v>
      </c>
      <c r="AF6150">
        <v>-29.730399196587001</v>
      </c>
      <c r="AG6150">
        <v>-1.109054607976</v>
      </c>
      <c r="AH6150">
        <v>18.4064006801635</v>
      </c>
      <c r="AI6150">
        <v>91.816650661501001</v>
      </c>
      <c r="AJ6150">
        <v>148.237917604898</v>
      </c>
      <c r="AK6150">
        <v>34.984599819214999</v>
      </c>
    </row>
    <row r="6151" spans="1:37" x14ac:dyDescent="0.2">
      <c r="A6151" t="str">
        <f>"20200111160021613"</f>
        <v>20200111160021613</v>
      </c>
      <c r="B6151" t="str">
        <f>"1578729621607514"</f>
        <v>1578729621607514</v>
      </c>
      <c r="C6151" t="s">
        <v>37</v>
      </c>
      <c r="D6151">
        <v>4.884093</v>
      </c>
      <c r="E6151">
        <v>0.28976039999999997</v>
      </c>
      <c r="F6151" t="s">
        <v>39</v>
      </c>
      <c r="G6151">
        <v>-196.34360000000001</v>
      </c>
      <c r="H6151" s="1">
        <v>-4.824549E-6</v>
      </c>
      <c r="I6151">
        <v>-22.14264</v>
      </c>
      <c r="J6151">
        <v>-202.92930000000001</v>
      </c>
      <c r="K6151">
        <v>1.109089</v>
      </c>
      <c r="L6151">
        <v>-57.176450000000003</v>
      </c>
      <c r="M6151">
        <v>0.93199089999999996</v>
      </c>
      <c r="N6151">
        <v>0</v>
      </c>
      <c r="O6151">
        <v>0.36217880000000002</v>
      </c>
      <c r="P6151">
        <v>0.64042010000000005</v>
      </c>
      <c r="Q6151">
        <v>-1.906215E-2</v>
      </c>
      <c r="R6151">
        <v>0.76778819999999903</v>
      </c>
      <c r="S6151">
        <v>0.64344789999999996</v>
      </c>
      <c r="T6151">
        <v>-0.1067251</v>
      </c>
      <c r="U6151">
        <v>3.3756409999999999</v>
      </c>
      <c r="V6151">
        <v>-0.48358069999999997</v>
      </c>
      <c r="W6151">
        <v>-1.1465360000000001E-2</v>
      </c>
      <c r="X6151">
        <v>0.87522469999999997</v>
      </c>
      <c r="Y6151">
        <v>-0.84758860000000003</v>
      </c>
      <c r="Z6151">
        <v>4.7799770000000004E-3</v>
      </c>
      <c r="AA6151">
        <v>0.5306324</v>
      </c>
      <c r="AB6151">
        <v>19</v>
      </c>
      <c r="AC6151">
        <v>6.5857000000000001</v>
      </c>
      <c r="AD6151">
        <v>-1.1090938245490001</v>
      </c>
      <c r="AE6151">
        <v>35.033809999999903</v>
      </c>
      <c r="AF6151">
        <v>-30.240040433019502</v>
      </c>
      <c r="AG6151">
        <v>-1.1090938245490001</v>
      </c>
      <c r="AH6151">
        <v>18.810173619747498</v>
      </c>
      <c r="AI6151">
        <v>91.783785145012601</v>
      </c>
      <c r="AJ6151">
        <v>148.11720140994001</v>
      </c>
      <c r="AK6151">
        <v>35.630222650263498</v>
      </c>
    </row>
    <row r="6152" spans="1:37" x14ac:dyDescent="0.2">
      <c r="A6152" t="str">
        <f>"20200111160021629"</f>
        <v>20200111160021629</v>
      </c>
      <c r="B6152" t="str">
        <f>"1578729621627034"</f>
        <v>1578729621627034</v>
      </c>
      <c r="C6152" t="s">
        <v>37</v>
      </c>
      <c r="D6152">
        <v>4.8135820000000002</v>
      </c>
      <c r="E6152">
        <v>0.28971659999999999</v>
      </c>
      <c r="F6152" t="s">
        <v>39</v>
      </c>
      <c r="G6152">
        <v>-196.3639</v>
      </c>
      <c r="H6152" s="1">
        <v>-4.872502E-6</v>
      </c>
      <c r="I6152">
        <v>-22.0123</v>
      </c>
      <c r="J6152">
        <v>-202.80670000000001</v>
      </c>
      <c r="K6152">
        <v>1.1091359999999999</v>
      </c>
      <c r="L6152">
        <v>-57.121189999999999</v>
      </c>
      <c r="M6152">
        <v>0.92972089999999996</v>
      </c>
      <c r="N6152">
        <v>0</v>
      </c>
      <c r="O6152">
        <v>0.36796620000000002</v>
      </c>
      <c r="P6152">
        <v>0.63818069999999905</v>
      </c>
      <c r="Q6152">
        <v>-1.6975090000000002E-2</v>
      </c>
      <c r="R6152">
        <v>0.76969949999999998</v>
      </c>
      <c r="S6152">
        <v>0.63079830000000003</v>
      </c>
      <c r="T6152">
        <v>-0.10656069999999999</v>
      </c>
      <c r="U6152">
        <v>3.3785400000000001</v>
      </c>
      <c r="V6152">
        <v>-0.4807555</v>
      </c>
      <c r="W6152">
        <v>-9.3490510000000006E-3</v>
      </c>
      <c r="X6152">
        <v>0.8768049</v>
      </c>
      <c r="Y6152">
        <v>-0.84629370000000004</v>
      </c>
      <c r="Z6152">
        <v>4.5076389999999999E-3</v>
      </c>
      <c r="AA6152">
        <v>0.53269739999999999</v>
      </c>
      <c r="AB6152">
        <v>19</v>
      </c>
      <c r="AC6152">
        <v>6.4428000000000001</v>
      </c>
      <c r="AD6152">
        <v>-1.109140872502</v>
      </c>
      <c r="AE6152">
        <v>35.108890000000002</v>
      </c>
      <c r="AF6152">
        <v>-30.244863755088598</v>
      </c>
      <c r="AG6152">
        <v>-1.109140872502</v>
      </c>
      <c r="AH6152">
        <v>18.892729211363999</v>
      </c>
      <c r="AI6152">
        <v>91.7814729951928</v>
      </c>
      <c r="AJ6152">
        <v>148.00866474154401</v>
      </c>
      <c r="AK6152">
        <v>35.677965105830502</v>
      </c>
    </row>
    <row r="6153" spans="1:37" x14ac:dyDescent="0.2">
      <c r="A6153" t="str">
        <f>"20200111160021642"</f>
        <v>20200111160021642</v>
      </c>
      <c r="B6153" t="str">
        <f>"1578729621636793"</f>
        <v>1578729621636793</v>
      </c>
      <c r="C6153" t="s">
        <v>37</v>
      </c>
      <c r="D6153">
        <v>4.8056019999999897</v>
      </c>
      <c r="E6153">
        <v>0.28951650000000001</v>
      </c>
      <c r="F6153" t="s">
        <v>39</v>
      </c>
      <c r="G6153">
        <v>-196.06219999999999</v>
      </c>
      <c r="H6153" s="1">
        <v>-5.3673999999999996E-6</v>
      </c>
      <c r="I6153">
        <v>-20.400770000000001</v>
      </c>
      <c r="J6153">
        <v>-202.7039</v>
      </c>
      <c r="K6153">
        <v>1.1091660000000001</v>
      </c>
      <c r="L6153">
        <v>-57.074039999999997</v>
      </c>
      <c r="M6153">
        <v>0.92776619999999999</v>
      </c>
      <c r="N6153">
        <v>0</v>
      </c>
      <c r="O6153">
        <v>0.372867</v>
      </c>
      <c r="P6153">
        <v>0.63546099999999905</v>
      </c>
      <c r="Q6153">
        <v>-1.56222999999999E-2</v>
      </c>
      <c r="R6153">
        <v>0.77197499999999997</v>
      </c>
      <c r="S6153">
        <v>0.62091059999999998</v>
      </c>
      <c r="T6153">
        <v>-0.1021098</v>
      </c>
      <c r="U6153">
        <v>3.3805540000000001</v>
      </c>
      <c r="V6153">
        <v>-0.47926369999999902</v>
      </c>
      <c r="W6153">
        <v>-7.9829129999999995E-3</v>
      </c>
      <c r="X6153">
        <v>0.87763469999999999</v>
      </c>
      <c r="Y6153">
        <v>-0.84506320000000001</v>
      </c>
      <c r="Z6153">
        <v>4.1000409999999996E-3</v>
      </c>
      <c r="AA6153">
        <v>0.53465069999999904</v>
      </c>
      <c r="AB6153">
        <v>19</v>
      </c>
      <c r="AC6153">
        <v>6.6417000000000099</v>
      </c>
      <c r="AD6153">
        <v>-1.1091713674000001</v>
      </c>
      <c r="AE6153">
        <v>36.673270000000002</v>
      </c>
      <c r="AF6153">
        <v>-31.523301751913898</v>
      </c>
      <c r="AG6153">
        <v>-1.1091713674000001</v>
      </c>
      <c r="AH6153">
        <v>19.820824928190198</v>
      </c>
      <c r="AI6153">
        <v>91.706160367692107</v>
      </c>
      <c r="AJ6153">
        <v>147.839656590613</v>
      </c>
      <c r="AK6153">
        <v>37.253374549139103</v>
      </c>
    </row>
    <row r="6154" spans="1:37" x14ac:dyDescent="0.2">
      <c r="A6154" t="str">
        <f>"20200111160021657"</f>
        <v>20200111160021657</v>
      </c>
      <c r="B6154" t="str">
        <f>"1578729621647532"</f>
        <v>1578729621647532</v>
      </c>
      <c r="C6154" t="s">
        <v>37</v>
      </c>
      <c r="D6154">
        <v>4.7869140000000003</v>
      </c>
      <c r="E6154">
        <v>0.28962880000000002</v>
      </c>
      <c r="F6154" t="s">
        <v>39</v>
      </c>
      <c r="G6154">
        <v>-195.87530000000001</v>
      </c>
      <c r="H6154" s="1">
        <v>-2.1538009999999998E-6</v>
      </c>
      <c r="I6154">
        <v>-19.034329999999901</v>
      </c>
      <c r="J6154">
        <v>-202.5975</v>
      </c>
      <c r="K6154">
        <v>1.109191</v>
      </c>
      <c r="L6154">
        <v>-57.024290000000001</v>
      </c>
      <c r="M6154">
        <v>0.92568760000000005</v>
      </c>
      <c r="N6154">
        <v>0</v>
      </c>
      <c r="O6154">
        <v>0.37799759999999999</v>
      </c>
      <c r="P6154">
        <v>0.63266099999999903</v>
      </c>
      <c r="Q6154">
        <v>-1.3770610000000001E-2</v>
      </c>
      <c r="R6154">
        <v>0.77430639999999995</v>
      </c>
      <c r="S6154">
        <v>0.60748290000000005</v>
      </c>
      <c r="T6154">
        <v>-9.8673109999999994E-2</v>
      </c>
      <c r="U6154">
        <v>3.384064</v>
      </c>
      <c r="V6154">
        <v>-0.4776358</v>
      </c>
      <c r="W6154">
        <v>-6.1091139999999997E-3</v>
      </c>
      <c r="X6154">
        <v>0.87853669999999995</v>
      </c>
      <c r="Y6154">
        <v>-0.84426880000000004</v>
      </c>
      <c r="Z6154">
        <v>3.7550629999999999E-3</v>
      </c>
      <c r="AA6154">
        <v>0.53590680000000002</v>
      </c>
      <c r="AB6154">
        <v>19</v>
      </c>
      <c r="AC6154">
        <v>6.7221999999999804</v>
      </c>
      <c r="AD6154">
        <v>-1.109193153801</v>
      </c>
      <c r="AE6154">
        <v>37.989960000000004</v>
      </c>
      <c r="AF6154">
        <v>-32.602504728210398</v>
      </c>
      <c r="AG6154">
        <v>-1.109193153801</v>
      </c>
      <c r="AH6154">
        <v>20.5680370402706</v>
      </c>
      <c r="AI6154">
        <v>91.648182685504295</v>
      </c>
      <c r="AJ6154">
        <v>147.75328275200999</v>
      </c>
      <c r="AK6154">
        <v>38.564203242065901</v>
      </c>
    </row>
    <row r="6155" spans="1:37" x14ac:dyDescent="0.2">
      <c r="A6155" t="str">
        <f>"20200111160021676"</f>
        <v>20200111160021676</v>
      </c>
      <c r="B6155" t="str">
        <f>"1578729621667049"</f>
        <v>1578729621667049</v>
      </c>
      <c r="C6155" t="s">
        <v>37</v>
      </c>
      <c r="D6155">
        <v>4.8552289999999996</v>
      </c>
      <c r="E6155">
        <v>0.2898464</v>
      </c>
      <c r="F6155" t="s">
        <v>39</v>
      </c>
      <c r="G6155">
        <v>-195.4599</v>
      </c>
      <c r="H6155" s="1">
        <v>-3.1370089999999998E-6</v>
      </c>
      <c r="I6155">
        <v>-16.48479</v>
      </c>
      <c r="J6155">
        <v>-202.45359999999999</v>
      </c>
      <c r="K6155">
        <v>1.1092229999999901</v>
      </c>
      <c r="L6155">
        <v>-56.955959999999997</v>
      </c>
      <c r="M6155">
        <v>0.92280130000000005</v>
      </c>
      <c r="N6155">
        <v>0</v>
      </c>
      <c r="O6155">
        <v>0.3849899</v>
      </c>
      <c r="P6155">
        <v>0.6295172</v>
      </c>
      <c r="Q6155">
        <v>-1.051944E-2</v>
      </c>
      <c r="R6155">
        <v>0.77691540000000003</v>
      </c>
      <c r="S6155">
        <v>0.59611510000000001</v>
      </c>
      <c r="T6155">
        <v>-9.2636700000000002E-2</v>
      </c>
      <c r="U6155">
        <v>3.385742</v>
      </c>
      <c r="V6155">
        <v>-0.47463169999999999</v>
      </c>
      <c r="W6155">
        <v>-2.806575E-3</v>
      </c>
      <c r="X6155">
        <v>0.88017999999999996</v>
      </c>
      <c r="Y6155">
        <v>-0.842020199999999</v>
      </c>
      <c r="Z6155">
        <v>3.2268940000000001E-3</v>
      </c>
      <c r="AA6155">
        <v>0.53943629999999998</v>
      </c>
      <c r="AB6155">
        <v>19</v>
      </c>
      <c r="AC6155">
        <v>6.9936999999999898</v>
      </c>
      <c r="AD6155">
        <v>-1.10922613700899</v>
      </c>
      <c r="AE6155">
        <v>40.471170000000001</v>
      </c>
      <c r="AF6155">
        <v>-34.632904890059002</v>
      </c>
      <c r="AG6155">
        <v>-1.10922613700899</v>
      </c>
      <c r="AH6155">
        <v>22.021154924744199</v>
      </c>
      <c r="AI6155">
        <v>91.548168927824804</v>
      </c>
      <c r="AJ6155">
        <v>147.549968530135</v>
      </c>
      <c r="AK6155">
        <v>41.056056166739701</v>
      </c>
    </row>
    <row r="6156" spans="1:37" x14ac:dyDescent="0.2">
      <c r="A6156" t="str">
        <f>"20200111160021691"</f>
        <v>20200111160021691</v>
      </c>
      <c r="B6156" t="str">
        <f>"1578729621687079"</f>
        <v>1578729621687079</v>
      </c>
      <c r="C6156" t="s">
        <v>37</v>
      </c>
      <c r="D6156">
        <v>4.8847800000000001</v>
      </c>
      <c r="E6156">
        <v>0.29009759999999901</v>
      </c>
      <c r="F6156" t="s">
        <v>39</v>
      </c>
      <c r="G6156">
        <v>-194.68199999999999</v>
      </c>
      <c r="H6156" s="1">
        <v>-4.6321629999999999E-6</v>
      </c>
      <c r="I6156">
        <v>-11.84187</v>
      </c>
      <c r="J6156">
        <v>-202.34190000000001</v>
      </c>
      <c r="K6156">
        <v>1.1092409999999999</v>
      </c>
      <c r="L6156">
        <v>-56.901980000000002</v>
      </c>
      <c r="M6156">
        <v>0.92050119999999902</v>
      </c>
      <c r="N6156">
        <v>0</v>
      </c>
      <c r="O6156">
        <v>0.39045730000000001</v>
      </c>
      <c r="P6156">
        <v>0.62623879999999998</v>
      </c>
      <c r="Q6156">
        <v>-8.8842279999999992E-3</v>
      </c>
      <c r="R6156">
        <v>0.77958079999999996</v>
      </c>
      <c r="S6156">
        <v>0.58354189999999995</v>
      </c>
      <c r="T6156">
        <v>-8.3287840000000002E-2</v>
      </c>
      <c r="U6156">
        <v>3.387451</v>
      </c>
      <c r="V6156">
        <v>-0.473155199999999</v>
      </c>
      <c r="W6156">
        <v>-1.143505E-3</v>
      </c>
      <c r="X6156">
        <v>0.88097829999999999</v>
      </c>
      <c r="Y6156">
        <v>-0.84083660000000005</v>
      </c>
      <c r="Z6156">
        <v>2.706983E-3</v>
      </c>
      <c r="AA6156">
        <v>0.54128229999999999</v>
      </c>
      <c r="AB6156">
        <v>19</v>
      </c>
      <c r="AC6156">
        <v>7.6598999999999897</v>
      </c>
      <c r="AD6156">
        <v>-1.109245632163</v>
      </c>
      <c r="AE6156">
        <v>45.060110000000002</v>
      </c>
      <c r="AF6156">
        <v>-38.468610849440701</v>
      </c>
      <c r="AG6156">
        <v>-1.109245632163</v>
      </c>
      <c r="AH6156">
        <v>24.633206879441499</v>
      </c>
      <c r="AI6156">
        <v>91.391048936465793</v>
      </c>
      <c r="AJ6156">
        <v>147.36671033605001</v>
      </c>
      <c r="AK6156">
        <v>45.6930993446882</v>
      </c>
    </row>
    <row r="6157" spans="1:37" x14ac:dyDescent="0.2">
      <c r="A6157" t="str">
        <f>"20200111160021709"</f>
        <v>20200111160021709</v>
      </c>
      <c r="B6157" t="str">
        <f>"1578729621707575"</f>
        <v>1578729621707575</v>
      </c>
      <c r="C6157" t="s">
        <v>37</v>
      </c>
      <c r="D6157">
        <v>4.8681390000000002</v>
      </c>
      <c r="E6157">
        <v>0.29028159999999997</v>
      </c>
      <c r="F6157" t="s">
        <v>39</v>
      </c>
      <c r="G6157">
        <v>-194.5198</v>
      </c>
      <c r="H6157" s="1">
        <v>-5.0731349999999997E-6</v>
      </c>
      <c r="I6157">
        <v>-10.461510000000001</v>
      </c>
      <c r="J6157">
        <v>-202.20939999999999</v>
      </c>
      <c r="K6157">
        <v>1.1092569999999999</v>
      </c>
      <c r="L6157">
        <v>-56.836790000000001</v>
      </c>
      <c r="M6157">
        <v>0.91770569999999896</v>
      </c>
      <c r="N6157">
        <v>0</v>
      </c>
      <c r="O6157">
        <v>0.39698270000000002</v>
      </c>
      <c r="P6157">
        <v>0.62275579999999997</v>
      </c>
      <c r="Q6157">
        <v>-5.5808630000000001E-3</v>
      </c>
      <c r="R6157">
        <v>0.78239639999999999</v>
      </c>
      <c r="S6157">
        <v>0.57078549999999995</v>
      </c>
      <c r="T6157">
        <v>-8.0942509999999995E-2</v>
      </c>
      <c r="U6157">
        <v>3.3887939999999999</v>
      </c>
      <c r="V6157">
        <v>-0.47089319999999901</v>
      </c>
      <c r="W6157">
        <v>2.20901E-3</v>
      </c>
      <c r="X6157">
        <v>0.88218750000000001</v>
      </c>
      <c r="Y6157">
        <v>-0.83901340000000002</v>
      </c>
      <c r="Z6157">
        <v>2.394686E-3</v>
      </c>
      <c r="AA6157">
        <v>0.54410550000000002</v>
      </c>
      <c r="AB6157">
        <v>19</v>
      </c>
      <c r="AC6157">
        <v>7.68959999999998</v>
      </c>
      <c r="AD6157">
        <v>-1.109262073135</v>
      </c>
      <c r="AE6157">
        <v>46.375279999999997</v>
      </c>
      <c r="AF6157">
        <v>-39.488598369109297</v>
      </c>
      <c r="AG6157">
        <v>-1.109262073135</v>
      </c>
      <c r="AH6157">
        <v>25.455613748379701</v>
      </c>
      <c r="AI6157">
        <v>91.352513879278703</v>
      </c>
      <c r="AJ6157">
        <v>147.19287699086701</v>
      </c>
      <c r="AK6157">
        <v>46.9954054649006</v>
      </c>
    </row>
    <row r="6158" spans="1:37" x14ac:dyDescent="0.2">
      <c r="A6158" t="str">
        <f>"20200111160021730"</f>
        <v>20200111160021730</v>
      </c>
      <c r="B6158" t="str">
        <f>"1578729621727094"</f>
        <v>1578729621727094</v>
      </c>
      <c r="C6158" t="s">
        <v>37</v>
      </c>
      <c r="D6158">
        <v>4.9018709999999999</v>
      </c>
      <c r="E6158">
        <v>0.29062579999999999</v>
      </c>
      <c r="F6158" t="s">
        <v>39</v>
      </c>
      <c r="G6158">
        <v>-193.61539999999999</v>
      </c>
      <c r="H6158" s="1">
        <v>-3.491143E-6</v>
      </c>
      <c r="I6158">
        <v>-4.5152919999999996</v>
      </c>
      <c r="J6158">
        <v>-202.05609999999999</v>
      </c>
      <c r="K6158">
        <v>1.1092679999999999</v>
      </c>
      <c r="L6158">
        <v>-56.759769999999897</v>
      </c>
      <c r="M6158">
        <v>0.91438459999999999</v>
      </c>
      <c r="N6158">
        <v>0</v>
      </c>
      <c r="O6158">
        <v>0.40457340000000003</v>
      </c>
      <c r="P6158">
        <v>0.61821309999999996</v>
      </c>
      <c r="Q6158">
        <v>-2.5553820000000001E-3</v>
      </c>
      <c r="R6158">
        <v>0.78600649999999905</v>
      </c>
      <c r="S6158">
        <v>0.5569153</v>
      </c>
      <c r="T6158">
        <v>-7.1882840000000003E-2</v>
      </c>
      <c r="U6158">
        <v>3.3905639999999999</v>
      </c>
      <c r="V6158">
        <v>-0.46874110000000002</v>
      </c>
      <c r="W6158">
        <v>5.2907850000000001E-3</v>
      </c>
      <c r="X6158">
        <v>0.88331979999999999</v>
      </c>
      <c r="Y6158">
        <v>-0.83673369999999903</v>
      </c>
      <c r="Z6158">
        <v>1.8787539999999901E-3</v>
      </c>
      <c r="AA6158">
        <v>0.54760690000000001</v>
      </c>
      <c r="AB6158">
        <v>19</v>
      </c>
      <c r="AC6158">
        <v>8.4406999999999908</v>
      </c>
      <c r="AD6158">
        <v>-1.1092714911429999</v>
      </c>
      <c r="AE6158">
        <v>52.244478000000001</v>
      </c>
      <c r="AF6158">
        <v>-44.342087943014199</v>
      </c>
      <c r="AG6158">
        <v>-1.1092714911429999</v>
      </c>
      <c r="AH6158">
        <v>28.845290589967899</v>
      </c>
      <c r="AI6158">
        <v>91.201301197447506</v>
      </c>
      <c r="AJ6158">
        <v>146.95530574075201</v>
      </c>
      <c r="AK6158">
        <v>52.910320690832798</v>
      </c>
    </row>
    <row r="6159" spans="1:37" x14ac:dyDescent="0.2">
      <c r="A6159" t="str">
        <f>"20200111160021742"</f>
        <v>20200111160021742</v>
      </c>
      <c r="B6159" t="str">
        <f>"1578729621736856"</f>
        <v>1578729621736856</v>
      </c>
      <c r="C6159" t="s">
        <v>37</v>
      </c>
      <c r="D6159">
        <v>4.9254360000000004</v>
      </c>
      <c r="E6159">
        <v>0.29086050000000002</v>
      </c>
      <c r="F6159" t="s">
        <v>39</v>
      </c>
      <c r="G6159">
        <v>-192.9006</v>
      </c>
      <c r="H6159" s="1">
        <v>-1.3076169999999901E-6</v>
      </c>
      <c r="I6159">
        <v>0.83816639999999998</v>
      </c>
      <c r="J6159">
        <v>-201.96369999999999</v>
      </c>
      <c r="K6159">
        <v>1.1092649999999999</v>
      </c>
      <c r="L6159">
        <v>-56.712619999999902</v>
      </c>
      <c r="M6159">
        <v>0.91234230000000005</v>
      </c>
      <c r="N6159">
        <v>0</v>
      </c>
      <c r="O6159">
        <v>0.40915820000000003</v>
      </c>
      <c r="P6159">
        <v>0.61520269999999899</v>
      </c>
      <c r="Q6159">
        <v>-1.5342719999999999E-3</v>
      </c>
      <c r="R6159">
        <v>0.78836759999999995</v>
      </c>
      <c r="S6159">
        <v>0.53924559999999999</v>
      </c>
      <c r="T6159">
        <v>-6.5334799999999998E-2</v>
      </c>
      <c r="U6159">
        <v>3.3924559999999899</v>
      </c>
      <c r="V6159">
        <v>-0.46769880000000003</v>
      </c>
      <c r="W6159">
        <v>6.3460089999999997E-3</v>
      </c>
      <c r="X6159">
        <v>0.88386520000000002</v>
      </c>
      <c r="Y6159">
        <v>-0.83682780000000001</v>
      </c>
      <c r="Z6159">
        <v>1.6018149999999999E-3</v>
      </c>
      <c r="AA6159">
        <v>0.54746399999999995</v>
      </c>
      <c r="AB6159">
        <v>19</v>
      </c>
      <c r="AC6159">
        <v>9.0630999999999897</v>
      </c>
      <c r="AD6159">
        <v>-1.109266307617</v>
      </c>
      <c r="AE6159">
        <v>57.5507863999999</v>
      </c>
      <c r="AF6159">
        <v>-48.7854848809176</v>
      </c>
      <c r="AG6159">
        <v>-1.109266307617</v>
      </c>
      <c r="AH6159">
        <v>31.808012447794301</v>
      </c>
      <c r="AI6159">
        <v>91.091170316603296</v>
      </c>
      <c r="AJ6159">
        <v>146.895751531027</v>
      </c>
      <c r="AK6159">
        <v>58.249494956492903</v>
      </c>
    </row>
    <row r="6160" spans="1:37" x14ac:dyDescent="0.2">
      <c r="A6160" t="str">
        <f>"20200111160021755"</f>
        <v>20200111160021755</v>
      </c>
      <c r="B6160" t="str">
        <f>"1578729621747591"</f>
        <v>1578729621747591</v>
      </c>
      <c r="C6160" t="s">
        <v>37</v>
      </c>
      <c r="D6160">
        <v>4.906606</v>
      </c>
      <c r="E6160">
        <v>0.29103179999999901</v>
      </c>
      <c r="F6160" t="s">
        <v>39</v>
      </c>
      <c r="G6160">
        <v>-192.9588</v>
      </c>
      <c r="H6160" s="1">
        <v>-1.473333E-6</v>
      </c>
      <c r="I6160">
        <v>1.1883410000000001</v>
      </c>
      <c r="J6160">
        <v>-201.87180000000001</v>
      </c>
      <c r="K6160">
        <v>1.109253</v>
      </c>
      <c r="L6160">
        <v>-56.664949999999997</v>
      </c>
      <c r="M6160">
        <v>0.91028019999999998</v>
      </c>
      <c r="N6160">
        <v>0</v>
      </c>
      <c r="O6160">
        <v>0.41372550000000002</v>
      </c>
      <c r="P6160">
        <v>0.61212929999999999</v>
      </c>
      <c r="Q6160">
        <v>-5.7126210000000004E-4</v>
      </c>
      <c r="R6160">
        <v>0.7907575</v>
      </c>
      <c r="S6160">
        <v>0.52774049999999995</v>
      </c>
      <c r="T6160">
        <v>-6.5010189999999995E-2</v>
      </c>
      <c r="U6160">
        <v>3.3933719999999998</v>
      </c>
      <c r="V6160">
        <v>-0.46672129999999901</v>
      </c>
      <c r="W6160">
        <v>7.3463900000000004E-3</v>
      </c>
      <c r="X6160">
        <v>0.88437399999999999</v>
      </c>
      <c r="Y6160">
        <v>-0.83591870000000001</v>
      </c>
      <c r="Z6160">
        <v>1.4682269999999999E-3</v>
      </c>
      <c r="AA6160">
        <v>0.54885139999999999</v>
      </c>
      <c r="AB6160">
        <v>19</v>
      </c>
      <c r="AC6160">
        <v>8.9130000000000091</v>
      </c>
      <c r="AD6160">
        <v>-1.1092544733330001</v>
      </c>
      <c r="AE6160">
        <v>57.853290999999999</v>
      </c>
      <c r="AF6160">
        <v>-48.963003947383299</v>
      </c>
      <c r="AG6160">
        <v>-1.1092544733330001</v>
      </c>
      <c r="AH6160">
        <v>32.040747914809302</v>
      </c>
      <c r="AI6160">
        <v>91.086015095363607</v>
      </c>
      <c r="AJ6160">
        <v>146.79979030326001</v>
      </c>
      <c r="AK6160">
        <v>58.525342613080298</v>
      </c>
    </row>
    <row r="6161" spans="1:37" x14ac:dyDescent="0.2">
      <c r="A6161" t="str">
        <f>"20200111160021782"</f>
        <v>20200111160021782</v>
      </c>
      <c r="B6161" t="str">
        <f>"1578729621776870"</f>
        <v>1578729621776870</v>
      </c>
      <c r="C6161" t="s">
        <v>37</v>
      </c>
      <c r="D6161">
        <v>5.5413069999999998</v>
      </c>
      <c r="E6161">
        <v>0.48966130000000002</v>
      </c>
      <c r="F6161" t="s">
        <v>39</v>
      </c>
      <c r="G6161">
        <v>-192.89080000000001</v>
      </c>
      <c r="H6161" s="1">
        <v>-2.0033579999999999E-6</v>
      </c>
      <c r="I6161">
        <v>2.4660609999999998</v>
      </c>
      <c r="J6161">
        <v>-201.6782</v>
      </c>
      <c r="K6161">
        <v>1.109221</v>
      </c>
      <c r="L6161">
        <v>-56.562959999999997</v>
      </c>
      <c r="M6161">
        <v>0.90584469999999995</v>
      </c>
      <c r="N6161">
        <v>0</v>
      </c>
      <c r="O6161">
        <v>0.42334880000000003</v>
      </c>
      <c r="P6161">
        <v>0.60524389999999995</v>
      </c>
      <c r="Q6161">
        <v>5.4751430000000002E-4</v>
      </c>
      <c r="R6161">
        <v>0.79603999999999997</v>
      </c>
      <c r="S6161">
        <v>0.51559449999999996</v>
      </c>
      <c r="T6161">
        <v>-6.3681840000000003E-2</v>
      </c>
      <c r="U6161">
        <v>3.3946839999999998</v>
      </c>
      <c r="V6161">
        <v>-0.46503469999999902</v>
      </c>
      <c r="W6161">
        <v>8.54655E-3</v>
      </c>
      <c r="X6161">
        <v>0.88525119999999902</v>
      </c>
      <c r="Y6161">
        <v>-0.83203729999999998</v>
      </c>
      <c r="Z6161">
        <v>1.1394039999999999E-3</v>
      </c>
      <c r="AA6161">
        <v>0.5547185</v>
      </c>
      <c r="AB6161">
        <v>19</v>
      </c>
      <c r="AC6161">
        <v>8.7873999999999892</v>
      </c>
      <c r="AD6161">
        <v>-1.1092230033579999</v>
      </c>
      <c r="AE6161">
        <v>59.029020999999901</v>
      </c>
      <c r="AF6161">
        <v>-49.739310748577203</v>
      </c>
      <c r="AG6161">
        <v>-1.1092230033579999</v>
      </c>
      <c r="AH6161">
        <v>32.942149420026801</v>
      </c>
      <c r="AI6161">
        <v>91.065163383736007</v>
      </c>
      <c r="AJ6161">
        <v>146.48364828955999</v>
      </c>
      <c r="AK6161">
        <v>59.669209964822599</v>
      </c>
    </row>
    <row r="6162" spans="1:37" x14ac:dyDescent="0.2">
      <c r="A6162" t="str">
        <f>"20200111160021797"</f>
        <v>20200111160021797</v>
      </c>
      <c r="B6162" t="str">
        <f>"1578729621787139"</f>
        <v>1578729621787139</v>
      </c>
      <c r="C6162" t="s">
        <v>37</v>
      </c>
      <c r="D6162">
        <v>5.5574770000000004</v>
      </c>
      <c r="E6162">
        <v>0.4903189</v>
      </c>
      <c r="F6162" t="s">
        <v>93</v>
      </c>
      <c r="G6162">
        <v>-157.3501</v>
      </c>
      <c r="H6162">
        <v>5.8080930000000004</v>
      </c>
      <c r="I6162">
        <v>4.886145</v>
      </c>
      <c r="J6162">
        <v>-201.56309999999999</v>
      </c>
      <c r="K6162">
        <v>1.1091899999999999</v>
      </c>
      <c r="L6162">
        <v>-56.500889999999998</v>
      </c>
      <c r="M6162">
        <v>0.90314490000000003</v>
      </c>
      <c r="N6162">
        <v>0</v>
      </c>
      <c r="O6162">
        <v>0.42907820000000002</v>
      </c>
      <c r="P6162">
        <v>0.6013927</v>
      </c>
      <c r="Q6162">
        <v>6.5189040000000005E-4</v>
      </c>
      <c r="R6162">
        <v>0.79895329999999998</v>
      </c>
      <c r="S6162">
        <v>1.7556149999999999</v>
      </c>
      <c r="T6162">
        <v>0.1860986</v>
      </c>
      <c r="U6162">
        <v>2.4336849999999899</v>
      </c>
      <c r="V6162">
        <v>-0.46370209999999901</v>
      </c>
      <c r="W6162">
        <v>8.7096229999999997E-3</v>
      </c>
      <c r="X6162">
        <v>0.88594839999999997</v>
      </c>
      <c r="Y6162">
        <v>-0.4813462</v>
      </c>
      <c r="Z6162">
        <v>1.223083E-2</v>
      </c>
      <c r="AA6162">
        <v>0.87644519999999904</v>
      </c>
      <c r="AB6162">
        <v>19</v>
      </c>
      <c r="AC6162">
        <v>44.213000000000001</v>
      </c>
      <c r="AD6162">
        <v>4.6989029999999996</v>
      </c>
      <c r="AE6162">
        <v>61.387034999999997</v>
      </c>
      <c r="AF6162">
        <v>-36.334410664726697</v>
      </c>
      <c r="AG6162">
        <v>4.6989029999999996</v>
      </c>
      <c r="AH6162">
        <v>66.023199688664505</v>
      </c>
      <c r="AI6162">
        <v>86.432108300971606</v>
      </c>
      <c r="AJ6162">
        <v>118.82521698394601</v>
      </c>
      <c r="AK6162">
        <v>75.507165122825796</v>
      </c>
    </row>
    <row r="6163" spans="1:37" x14ac:dyDescent="0.2">
      <c r="A6163" t="str">
        <f>"20200111160021845"</f>
        <v>20200111160021845</v>
      </c>
      <c r="B6163" t="str">
        <f>"1578729621836916"</f>
        <v>1578729621836916</v>
      </c>
      <c r="C6163" t="s">
        <v>37</v>
      </c>
      <c r="D6163">
        <v>4.9431059999999896</v>
      </c>
      <c r="E6163">
        <v>0.49070779999999897</v>
      </c>
      <c r="F6163" t="s">
        <v>93</v>
      </c>
      <c r="G6163">
        <v>-157.3501</v>
      </c>
      <c r="H6163">
        <v>5.7633159999999997</v>
      </c>
      <c r="I6163">
        <v>5.1840519999999897</v>
      </c>
      <c r="J6163">
        <v>-201.2244</v>
      </c>
      <c r="K6163">
        <v>1.109086</v>
      </c>
      <c r="L6163">
        <v>-56.313229999999997</v>
      </c>
      <c r="M6163">
        <v>0.89495709999999995</v>
      </c>
      <c r="N6163">
        <v>0</v>
      </c>
      <c r="O6163">
        <v>0.44590459999999899</v>
      </c>
      <c r="P6163">
        <v>0.58764959999999999</v>
      </c>
      <c r="Q6163">
        <v>-2.0154040000000002E-3</v>
      </c>
      <c r="R6163">
        <v>0.80911309999999903</v>
      </c>
      <c r="S6163">
        <v>1.7481229999999901</v>
      </c>
      <c r="T6163">
        <v>0.1840174</v>
      </c>
      <c r="U6163">
        <v>2.4389340000000002</v>
      </c>
      <c r="V6163">
        <v>-0.4622308</v>
      </c>
      <c r="W6163">
        <v>6.1662440000000004E-3</v>
      </c>
      <c r="X6163">
        <v>0.88673819999999903</v>
      </c>
      <c r="Y6163">
        <v>-0.467605099999999</v>
      </c>
      <c r="Z6163">
        <v>1.3709209999999999E-2</v>
      </c>
      <c r="AA6163">
        <v>0.88383109999999998</v>
      </c>
      <c r="AB6163">
        <v>19</v>
      </c>
      <c r="AC6163">
        <v>43.874299999999998</v>
      </c>
      <c r="AD6163">
        <v>4.6542300000000001</v>
      </c>
      <c r="AE6163">
        <v>61.497281999999998</v>
      </c>
      <c r="AF6163">
        <v>-35.343440373276898</v>
      </c>
      <c r="AG6163">
        <v>4.6542300000000001</v>
      </c>
      <c r="AH6163">
        <v>66.442703355739695</v>
      </c>
      <c r="AI6163">
        <v>86.461134265689594</v>
      </c>
      <c r="AJ6163">
        <v>118.010236613846</v>
      </c>
      <c r="AK6163">
        <v>75.401946019523294</v>
      </c>
    </row>
    <row r="6164" spans="1:37" x14ac:dyDescent="0.2">
      <c r="A6164" t="str">
        <f>"20200111160021888"</f>
        <v>20200111160021888</v>
      </c>
      <c r="B6164" t="str">
        <f>"1578729621876932"</f>
        <v>1578729621876932</v>
      </c>
      <c r="C6164" t="s">
        <v>37</v>
      </c>
      <c r="D6164">
        <v>4.8833989999999998</v>
      </c>
      <c r="E6164">
        <v>0.30095870000000002</v>
      </c>
      <c r="F6164" t="s">
        <v>93</v>
      </c>
      <c r="G6164">
        <v>-157.3501</v>
      </c>
      <c r="H6164">
        <v>5.5833009999999996</v>
      </c>
      <c r="I6164">
        <v>7.0496749999999997</v>
      </c>
      <c r="J6164">
        <v>-200.9263</v>
      </c>
      <c r="K6164">
        <v>1.109019</v>
      </c>
      <c r="L6164">
        <v>-56.140929999999997</v>
      </c>
      <c r="M6164">
        <v>0.88744279999999998</v>
      </c>
      <c r="N6164">
        <v>0</v>
      </c>
      <c r="O6164">
        <v>0.4606789</v>
      </c>
      <c r="P6164">
        <v>0.57509759999999999</v>
      </c>
      <c r="Q6164">
        <v>-1.7921720000000001E-3</v>
      </c>
      <c r="R6164">
        <v>0.81808289999999995</v>
      </c>
      <c r="S6164">
        <v>1.708466</v>
      </c>
      <c r="T6164">
        <v>0.17422560000000001</v>
      </c>
      <c r="U6164">
        <v>2.467346</v>
      </c>
      <c r="V6164">
        <v>-0.46121229999999902</v>
      </c>
      <c r="W6164">
        <v>6.4718909999999996E-3</v>
      </c>
      <c r="X6164">
        <v>0.8872662</v>
      </c>
      <c r="Y6164">
        <v>-0.46734769999999998</v>
      </c>
      <c r="Z6164">
        <v>1.39524E-2</v>
      </c>
      <c r="AA6164">
        <v>0.88396350000000001</v>
      </c>
      <c r="AB6164">
        <v>19</v>
      </c>
      <c r="AC6164">
        <v>43.5762</v>
      </c>
      <c r="AD6164">
        <v>4.4742819999999996</v>
      </c>
      <c r="AE6164">
        <v>63.190604999999998</v>
      </c>
      <c r="AF6164">
        <v>-35.885447708928801</v>
      </c>
      <c r="AG6164">
        <v>4.4742819999999996</v>
      </c>
      <c r="AH6164">
        <v>67.559878251976201</v>
      </c>
      <c r="AI6164">
        <v>86.6526930761637</v>
      </c>
      <c r="AJ6164">
        <v>117.975679356022</v>
      </c>
      <c r="AK6164">
        <v>76.629770364445406</v>
      </c>
    </row>
    <row r="6165" spans="1:37" x14ac:dyDescent="0.2">
      <c r="A6165" t="str">
        <f>"20200111160021901"</f>
        <v>20200111160021901</v>
      </c>
      <c r="B6165" t="str">
        <f>"1578729621896959"</f>
        <v>1578729621896959</v>
      </c>
      <c r="C6165" t="s">
        <v>37</v>
      </c>
      <c r="D6165">
        <v>4.8645009999999997</v>
      </c>
      <c r="E6165">
        <v>0.30164469999999999</v>
      </c>
      <c r="F6165" t="s">
        <v>39</v>
      </c>
      <c r="G6165">
        <v>-197.49350000000001</v>
      </c>
      <c r="H6165" s="1">
        <v>-2.7167249999999998E-6</v>
      </c>
      <c r="I6165">
        <v>-28.72579</v>
      </c>
      <c r="J6165">
        <v>-200.83099999999999</v>
      </c>
      <c r="K6165">
        <v>1.1090009999999999</v>
      </c>
      <c r="L6165">
        <v>-56.084469999999897</v>
      </c>
      <c r="M6165">
        <v>0.8849785</v>
      </c>
      <c r="N6165">
        <v>0</v>
      </c>
      <c r="O6165">
        <v>0.46539540000000001</v>
      </c>
      <c r="P6165">
        <v>0.57089350000000005</v>
      </c>
      <c r="Q6165">
        <v>-1.234733E-3</v>
      </c>
      <c r="R6165">
        <v>0.82102319999999995</v>
      </c>
      <c r="S6165">
        <v>0.42199709999999901</v>
      </c>
      <c r="T6165">
        <v>-0.13633219999999999</v>
      </c>
      <c r="U6165">
        <v>3.3701479999999999</v>
      </c>
      <c r="V6165">
        <v>-0.46104840000000002</v>
      </c>
      <c r="W6165">
        <v>7.0483739999999996E-3</v>
      </c>
      <c r="X6165">
        <v>0.887346999999999</v>
      </c>
      <c r="Y6165">
        <v>-0.82014969999999998</v>
      </c>
      <c r="Z6165">
        <v>-1.494884E-4</v>
      </c>
      <c r="AA6165">
        <v>0.57214900000000002</v>
      </c>
      <c r="AB6165">
        <v>18</v>
      </c>
      <c r="AC6165">
        <v>3.3374999999999702</v>
      </c>
      <c r="AD6165">
        <v>-1.109003716725</v>
      </c>
      <c r="AE6165">
        <v>27.35868</v>
      </c>
      <c r="AF6165">
        <v>-22.624451172062699</v>
      </c>
      <c r="AG6165">
        <v>-1.109003716725</v>
      </c>
      <c r="AH6165">
        <v>15.662588201041</v>
      </c>
      <c r="AI6165">
        <v>92.307918060889193</v>
      </c>
      <c r="AJ6165">
        <v>145.30569111900999</v>
      </c>
      <c r="AK6165">
        <v>27.539287377057299</v>
      </c>
    </row>
    <row r="6166" spans="1:37" x14ac:dyDescent="0.2">
      <c r="A6166" t="str">
        <f>"20200111160021915"</f>
        <v>20200111160021915</v>
      </c>
      <c r="B6166" t="str">
        <f>"1578729621906718"</f>
        <v>1578729621906718</v>
      </c>
      <c r="C6166" t="s">
        <v>37</v>
      </c>
      <c r="D6166">
        <v>4.8689499999999999</v>
      </c>
      <c r="E6166">
        <v>0.3021044</v>
      </c>
      <c r="F6166" t="s">
        <v>39</v>
      </c>
      <c r="G6166">
        <v>-197.4289</v>
      </c>
      <c r="H6166" s="1">
        <v>-2.9785129999999899E-6</v>
      </c>
      <c r="I6166">
        <v>-28.075500000000002</v>
      </c>
      <c r="J6166">
        <v>-200.73490000000001</v>
      </c>
      <c r="K6166">
        <v>1.1089879999999901</v>
      </c>
      <c r="L6166">
        <v>-56.026759999999904</v>
      </c>
      <c r="M6166">
        <v>0.88246009999999997</v>
      </c>
      <c r="N6166">
        <v>0</v>
      </c>
      <c r="O6166">
        <v>0.47015319999999999</v>
      </c>
      <c r="P6166">
        <v>0.56667019999999901</v>
      </c>
      <c r="Q6166">
        <v>-5.2998960000000001E-4</v>
      </c>
      <c r="R6166">
        <v>0.82394449999999997</v>
      </c>
      <c r="S6166">
        <v>0.40924070000000001</v>
      </c>
      <c r="T6166">
        <v>-0.1334022</v>
      </c>
      <c r="U6166">
        <v>3.3692019999999898</v>
      </c>
      <c r="V6166">
        <v>-0.46083479999999999</v>
      </c>
      <c r="W6166">
        <v>7.7712399999999996E-3</v>
      </c>
      <c r="X6166">
        <v>0.88745189999999996</v>
      </c>
      <c r="Y6166">
        <v>-0.81919569999999997</v>
      </c>
      <c r="Z6166">
        <v>-4.2170469999999998E-4</v>
      </c>
      <c r="AA6166">
        <v>0.57351379999999996</v>
      </c>
      <c r="AB6166">
        <v>18</v>
      </c>
      <c r="AC6166">
        <v>3.3060000000000098</v>
      </c>
      <c r="AD6166">
        <v>-1.1089909785130001</v>
      </c>
      <c r="AE6166">
        <v>27.951259999999898</v>
      </c>
      <c r="AF6166">
        <v>-23.078261503441102</v>
      </c>
      <c r="AG6166">
        <v>-1.1089909785130001</v>
      </c>
      <c r="AH6166">
        <v>16.035660624793699</v>
      </c>
      <c r="AI6166">
        <v>92.2598568778144</v>
      </c>
      <c r="AJ6166">
        <v>145.20694608298399</v>
      </c>
      <c r="AK6166">
        <v>28.124338688850901</v>
      </c>
    </row>
    <row r="6167" spans="1:37" x14ac:dyDescent="0.2">
      <c r="A6167" t="str">
        <f>"20200111160021946"</f>
        <v>20200111160021946</v>
      </c>
      <c r="B6167" t="str">
        <f>"1578729621936975"</f>
        <v>1578729621936975</v>
      </c>
      <c r="C6167" t="s">
        <v>37</v>
      </c>
      <c r="D6167">
        <v>4.9470619999999998</v>
      </c>
      <c r="E6167">
        <v>0.3021044</v>
      </c>
      <c r="F6167" t="s">
        <v>39</v>
      </c>
      <c r="G6167">
        <v>-197.3914</v>
      </c>
      <c r="H6167" s="1">
        <v>-3.179032E-6</v>
      </c>
      <c r="I6167">
        <v>-27.524239999999999</v>
      </c>
      <c r="J6167">
        <v>-200.52010000000001</v>
      </c>
      <c r="K6167">
        <v>1.1089770000000001</v>
      </c>
      <c r="L6167">
        <v>-55.895539999999997</v>
      </c>
      <c r="M6167">
        <v>0.87671139999999903</v>
      </c>
      <c r="N6167">
        <v>0</v>
      </c>
      <c r="O6167">
        <v>0.4807883</v>
      </c>
      <c r="P6167">
        <v>0.55796129999999999</v>
      </c>
      <c r="Q6167">
        <v>2.4225689999999999E-3</v>
      </c>
      <c r="R6167">
        <v>0.82986340000000003</v>
      </c>
      <c r="S6167">
        <v>0.39521790000000001</v>
      </c>
      <c r="T6167">
        <v>-0.13108829999999999</v>
      </c>
      <c r="U6167">
        <v>3.3691409999999999</v>
      </c>
      <c r="V6167">
        <v>-0.45947829999999901</v>
      </c>
      <c r="W6167">
        <v>1.077709E-2</v>
      </c>
      <c r="X6167">
        <v>0.88812359999999901</v>
      </c>
      <c r="Y6167">
        <v>-0.81460600000000005</v>
      </c>
      <c r="Z6167">
        <v>-1.11209E-3</v>
      </c>
      <c r="AA6167">
        <v>0.58001380000000002</v>
      </c>
      <c r="AB6167">
        <v>18</v>
      </c>
      <c r="AC6167">
        <v>3.1286999999999998</v>
      </c>
      <c r="AD6167">
        <v>-1.108980179032</v>
      </c>
      <c r="AE6167">
        <v>28.371300000000002</v>
      </c>
      <c r="AF6167">
        <v>-23.336540663234398</v>
      </c>
      <c r="AG6167">
        <v>-1.108980179032</v>
      </c>
      <c r="AH6167">
        <v>16.360659564597601</v>
      </c>
      <c r="AI6167">
        <v>92.228324425574002</v>
      </c>
      <c r="AJ6167">
        <v>144.966672467276</v>
      </c>
      <c r="AK6167">
        <v>28.521836346086399</v>
      </c>
    </row>
    <row r="6168" spans="1:37" x14ac:dyDescent="0.2">
      <c r="A6168" t="str">
        <f>"20200111160021958"</f>
        <v>20200111160021958</v>
      </c>
      <c r="B6168" t="str">
        <f>"1578729621946735"</f>
        <v>1578729621946735</v>
      </c>
      <c r="C6168" t="s">
        <v>37</v>
      </c>
      <c r="D6168">
        <v>4.8223479999999999</v>
      </c>
      <c r="E6168">
        <v>0.30862000000000001</v>
      </c>
      <c r="F6168" t="s">
        <v>39</v>
      </c>
      <c r="G6168">
        <v>-197.24270000000001</v>
      </c>
      <c r="H6168" s="1">
        <v>-3.9567590000000003E-6</v>
      </c>
      <c r="I6168">
        <v>-25.16133</v>
      </c>
      <c r="J6168">
        <v>-200.4375</v>
      </c>
      <c r="K6168">
        <v>1.10897</v>
      </c>
      <c r="L6168">
        <v>-55.844019999999901</v>
      </c>
      <c r="M6168">
        <v>0.87445550000000005</v>
      </c>
      <c r="N6168">
        <v>0</v>
      </c>
      <c r="O6168">
        <v>0.48487929999999901</v>
      </c>
      <c r="P6168">
        <v>0.55493619999999899</v>
      </c>
      <c r="Q6168">
        <v>3.6057540000000001E-3</v>
      </c>
      <c r="R6168">
        <v>0.83188510000000004</v>
      </c>
      <c r="S6168">
        <v>0.35974119999999998</v>
      </c>
      <c r="T6168">
        <v>-0.12172709999999901</v>
      </c>
      <c r="U6168">
        <v>3.373535</v>
      </c>
      <c r="V6168">
        <v>-0.45857019999999998</v>
      </c>
      <c r="W6168">
        <v>1.1986749999999999E-2</v>
      </c>
      <c r="X6168">
        <v>0.88857730000000001</v>
      </c>
      <c r="Y6168">
        <v>-0.81802149999999996</v>
      </c>
      <c r="Z6168">
        <v>-1.103489E-3</v>
      </c>
      <c r="AA6168">
        <v>0.57518669999999905</v>
      </c>
      <c r="AB6168">
        <v>18</v>
      </c>
      <c r="AC6168">
        <v>3.1947999999999799</v>
      </c>
      <c r="AD6168">
        <v>-1.108973956759</v>
      </c>
      <c r="AE6168">
        <v>30.682689999999901</v>
      </c>
      <c r="AF6168">
        <v>-25.251698084279699</v>
      </c>
      <c r="AG6168">
        <v>-1.108973956759</v>
      </c>
      <c r="AH6168">
        <v>17.6502427706892</v>
      </c>
      <c r="AI6168">
        <v>92.061495458038806</v>
      </c>
      <c r="AJ6168">
        <v>145.04750953996799</v>
      </c>
      <c r="AK6168">
        <v>30.828706577484802</v>
      </c>
    </row>
    <row r="6169" spans="1:37" x14ac:dyDescent="0.2">
      <c r="A6169" t="str">
        <f>"20200111160021977"</f>
        <v>20200111160021977</v>
      </c>
      <c r="B6169" t="str">
        <f>"1578729621967229"</f>
        <v>1578729621967229</v>
      </c>
      <c r="C6169" t="s">
        <v>37</v>
      </c>
      <c r="D6169">
        <v>5.3514549999999996</v>
      </c>
      <c r="E6169">
        <v>0.3547324</v>
      </c>
      <c r="F6169" t="s">
        <v>39</v>
      </c>
      <c r="G6169">
        <v>-196.75620000000001</v>
      </c>
      <c r="H6169" s="1">
        <v>-4.1511839999999997E-6</v>
      </c>
      <c r="I6169">
        <v>-24.33643</v>
      </c>
      <c r="J6169">
        <v>-200.30609999999999</v>
      </c>
      <c r="K6169">
        <v>1.108962</v>
      </c>
      <c r="L6169">
        <v>-55.76099</v>
      </c>
      <c r="M6169">
        <v>0.87080820000000003</v>
      </c>
      <c r="N6169">
        <v>0</v>
      </c>
      <c r="O6169">
        <v>0.4913999</v>
      </c>
      <c r="P6169">
        <v>0.55076340000000001</v>
      </c>
      <c r="Q6169">
        <v>5.5760480000000001E-3</v>
      </c>
      <c r="R6169">
        <v>0.83464280000000002</v>
      </c>
      <c r="S6169">
        <v>0.3909454</v>
      </c>
      <c r="T6169">
        <v>-0.11776969999999901</v>
      </c>
      <c r="U6169">
        <v>3.3460079999999999</v>
      </c>
      <c r="V6169">
        <v>-0.45638909999999899</v>
      </c>
      <c r="W6169">
        <v>1.401123E-2</v>
      </c>
      <c r="X6169">
        <v>0.88966999999999996</v>
      </c>
      <c r="Y6169">
        <v>-0.80782169999999998</v>
      </c>
      <c r="Z6169">
        <v>-1.706256E-3</v>
      </c>
      <c r="AA6169">
        <v>0.58942450000000002</v>
      </c>
      <c r="AB6169">
        <v>18</v>
      </c>
      <c r="AC6169">
        <v>3.5498999999999699</v>
      </c>
      <c r="AD6169">
        <v>-1.1089661511840001</v>
      </c>
      <c r="AE6169">
        <v>31.42456</v>
      </c>
      <c r="AF6169">
        <v>-25.591683188019498</v>
      </c>
      <c r="AG6169">
        <v>-1.1089661511840001</v>
      </c>
      <c r="AH6169">
        <v>18.512574924204198</v>
      </c>
      <c r="AI6169">
        <v>92.010821557436103</v>
      </c>
      <c r="AJ6169">
        <v>144.118682270157</v>
      </c>
      <c r="AK6169">
        <v>31.605054732506201</v>
      </c>
    </row>
    <row r="6170" spans="1:37" x14ac:dyDescent="0.2">
      <c r="A6170" t="str">
        <f>"20200111160021994"</f>
        <v>20200111160021994</v>
      </c>
      <c r="B6170" t="str">
        <f>"1578729621986751"</f>
        <v>1578729621986751</v>
      </c>
      <c r="C6170" t="s">
        <v>37</v>
      </c>
      <c r="D6170">
        <v>5.2526789999999997</v>
      </c>
      <c r="E6170">
        <v>0.44437669999999901</v>
      </c>
      <c r="F6170" t="s">
        <v>39</v>
      </c>
      <c r="G6170">
        <v>-186.94589999999999</v>
      </c>
      <c r="H6170" s="1">
        <v>-3.164233E-6</v>
      </c>
      <c r="I6170">
        <v>5.7458640000000001</v>
      </c>
      <c r="J6170">
        <v>-200.19980000000001</v>
      </c>
      <c r="K6170">
        <v>1.1089530000000001</v>
      </c>
      <c r="L6170">
        <v>-55.692779999999999</v>
      </c>
      <c r="M6170">
        <v>0.86780869999999999</v>
      </c>
      <c r="N6170">
        <v>0</v>
      </c>
      <c r="O6170">
        <v>0.4966778</v>
      </c>
      <c r="P6170">
        <v>0.54712959999999899</v>
      </c>
      <c r="Q6170">
        <v>6.4760540000000002E-3</v>
      </c>
      <c r="R6170">
        <v>0.83702289999999901</v>
      </c>
      <c r="S6170">
        <v>0.68293760000000003</v>
      </c>
      <c r="T6170">
        <v>-5.6687469999999997E-2</v>
      </c>
      <c r="U6170">
        <v>3.1440730000000001</v>
      </c>
      <c r="V6170">
        <v>-0.45485759999999997</v>
      </c>
      <c r="W6170">
        <v>1.49505E-2</v>
      </c>
      <c r="X6170">
        <v>0.89043869999999903</v>
      </c>
      <c r="Y6170">
        <v>-0.74265249999999905</v>
      </c>
      <c r="Z6170">
        <v>-1.9502619999999999E-3</v>
      </c>
      <c r="AA6170">
        <v>0.66967410000000005</v>
      </c>
      <c r="AB6170">
        <v>18</v>
      </c>
      <c r="AC6170">
        <v>13.2539</v>
      </c>
      <c r="AD6170">
        <v>-1.1089561642329999</v>
      </c>
      <c r="AE6170">
        <v>61.438643999999996</v>
      </c>
      <c r="AF6170">
        <v>-46.724649554295198</v>
      </c>
      <c r="AG6170">
        <v>-1.1089561642329999</v>
      </c>
      <c r="AH6170">
        <v>42.008588958660802</v>
      </c>
      <c r="AI6170">
        <v>91.011132473151605</v>
      </c>
      <c r="AJ6170">
        <v>138.04233648859301</v>
      </c>
      <c r="AK6170">
        <v>62.842216749917498</v>
      </c>
    </row>
    <row r="6171" spans="1:37" x14ac:dyDescent="0.2">
      <c r="A6171" t="str">
        <f>"20200111160022011"</f>
        <v>20200111160022011</v>
      </c>
      <c r="B6171" t="str">
        <f>"1578729622007246"</f>
        <v>1578729622007246</v>
      </c>
      <c r="C6171" t="s">
        <v>37</v>
      </c>
      <c r="D6171">
        <v>5.2286779999999897</v>
      </c>
      <c r="E6171">
        <v>0.46023649999999999</v>
      </c>
      <c r="F6171" t="s">
        <v>38</v>
      </c>
      <c r="G6171">
        <v>-199.79839999999999</v>
      </c>
      <c r="H6171">
        <v>1.0521180000000001</v>
      </c>
      <c r="I6171">
        <v>-54.817340000000002</v>
      </c>
      <c r="J6171">
        <v>-200.089</v>
      </c>
      <c r="K6171">
        <v>1.1089439999999999</v>
      </c>
      <c r="L6171">
        <v>-55.620849999999997</v>
      </c>
      <c r="M6171">
        <v>0.86463769999999995</v>
      </c>
      <c r="N6171">
        <v>0</v>
      </c>
      <c r="O6171">
        <v>0.50217800000000001</v>
      </c>
      <c r="P6171">
        <v>0.54479909999999998</v>
      </c>
      <c r="Q6171">
        <v>7.8894610000000004E-3</v>
      </c>
      <c r="R6171">
        <v>0.83852950000000004</v>
      </c>
      <c r="S6171">
        <v>1.2648619999999999</v>
      </c>
      <c r="T6171">
        <v>-0.1790969</v>
      </c>
      <c r="U6171">
        <v>2.7587280000000001</v>
      </c>
      <c r="V6171">
        <v>-0.45168140000000001</v>
      </c>
      <c r="W6171">
        <v>1.6431370000000001E-2</v>
      </c>
      <c r="X6171">
        <v>0.89202800000000004</v>
      </c>
      <c r="Y6171">
        <v>-0.57655970000000001</v>
      </c>
      <c r="Z6171">
        <v>-1.3432319999999999E-2</v>
      </c>
      <c r="AA6171">
        <v>0.81694460000000002</v>
      </c>
      <c r="AB6171">
        <v>18</v>
      </c>
      <c r="AC6171">
        <v>0.29060000000003999</v>
      </c>
      <c r="AD6171">
        <v>-5.6826000000000002E-2</v>
      </c>
      <c r="AE6171">
        <v>0.80350999999999495</v>
      </c>
      <c r="AF6171">
        <v>-0.54645517003030597</v>
      </c>
      <c r="AG6171">
        <v>-5.6826000000000002E-2</v>
      </c>
      <c r="AH6171">
        <v>0.65195677496877702</v>
      </c>
      <c r="AI6171">
        <v>93.821707369565203</v>
      </c>
      <c r="AJ6171">
        <v>129.96896450328899</v>
      </c>
      <c r="AK6171">
        <v>0.85257849114116202</v>
      </c>
    </row>
    <row r="6172" spans="1:37" x14ac:dyDescent="0.2">
      <c r="A6172" t="str">
        <f>"20200111160022026"</f>
        <v>20200111160022026</v>
      </c>
      <c r="B6172" t="str">
        <f>"1578729622017006"</f>
        <v>1578729622017006</v>
      </c>
      <c r="C6172" t="s">
        <v>37</v>
      </c>
      <c r="D6172">
        <v>5.1729250000000002</v>
      </c>
      <c r="E6172">
        <v>0.46066940000000001</v>
      </c>
      <c r="F6172" t="s">
        <v>38</v>
      </c>
      <c r="G6172">
        <v>-199.64840000000001</v>
      </c>
      <c r="H6172">
        <v>1.064114</v>
      </c>
      <c r="I6172">
        <v>-54.751640000000002</v>
      </c>
      <c r="J6172">
        <v>-199.98320000000001</v>
      </c>
      <c r="K6172">
        <v>1.108935</v>
      </c>
      <c r="L6172">
        <v>-55.551209999999998</v>
      </c>
      <c r="M6172">
        <v>0.86155949999999903</v>
      </c>
      <c r="N6172">
        <v>0</v>
      </c>
      <c r="O6172">
        <v>0.50744100000000003</v>
      </c>
      <c r="P6172">
        <v>0.54120840000000003</v>
      </c>
      <c r="Q6172">
        <v>8.4076900000000006E-3</v>
      </c>
      <c r="R6172">
        <v>0.84084650000000005</v>
      </c>
      <c r="S6172">
        <v>1.3644259999999999</v>
      </c>
      <c r="T6172">
        <v>-0.1388479</v>
      </c>
      <c r="U6172">
        <v>2.6925050000000001</v>
      </c>
      <c r="V6172">
        <v>-0.45005590000000001</v>
      </c>
      <c r="W6172">
        <v>1.6988710000000001E-2</v>
      </c>
      <c r="X6172">
        <v>0.89283880000000004</v>
      </c>
      <c r="Y6172">
        <v>-0.5391319</v>
      </c>
      <c r="Z6172">
        <v>-1.1737529999999999E-2</v>
      </c>
      <c r="AA6172">
        <v>0.84213950000000004</v>
      </c>
      <c r="AB6172">
        <v>18</v>
      </c>
      <c r="AC6172">
        <v>0.33480000000000099</v>
      </c>
      <c r="AD6172">
        <v>-4.4821E-2</v>
      </c>
      <c r="AE6172">
        <v>0.79956999999999501</v>
      </c>
      <c r="AF6172">
        <v>-0.51765869255497698</v>
      </c>
      <c r="AG6172">
        <v>-4.4821E-2</v>
      </c>
      <c r="AH6172">
        <v>0.69240949915308603</v>
      </c>
      <c r="AI6172">
        <v>92.967826803410205</v>
      </c>
      <c r="AJ6172">
        <v>126.782498576077</v>
      </c>
      <c r="AK6172">
        <v>0.86568490718976698</v>
      </c>
    </row>
    <row r="6173" spans="1:37" x14ac:dyDescent="0.2">
      <c r="A6173" t="str">
        <f>"20200111160022039"</f>
        <v>20200111160022039</v>
      </c>
      <c r="B6173" t="str">
        <f>"1578729622037503"</f>
        <v>1578729622037503</v>
      </c>
      <c r="C6173" t="s">
        <v>37</v>
      </c>
      <c r="D6173">
        <v>6.2074920000000002</v>
      </c>
      <c r="E6173">
        <v>0.45931109999999897</v>
      </c>
      <c r="F6173" t="s">
        <v>38</v>
      </c>
      <c r="G6173">
        <v>-199.5307</v>
      </c>
      <c r="H6173">
        <v>1.059223</v>
      </c>
      <c r="I6173">
        <v>-54.651139999999998</v>
      </c>
      <c r="J6173">
        <v>-199.8956</v>
      </c>
      <c r="K6173">
        <v>1.108924</v>
      </c>
      <c r="L6173">
        <v>-55.492709999999903</v>
      </c>
      <c r="M6173">
        <v>0.85897639999999997</v>
      </c>
      <c r="N6173">
        <v>0</v>
      </c>
      <c r="O6173">
        <v>0.51180170000000003</v>
      </c>
      <c r="P6173">
        <v>0.53853700000000004</v>
      </c>
      <c r="Q6173">
        <v>9.0118439999999998E-3</v>
      </c>
      <c r="R6173">
        <v>0.84255369999999996</v>
      </c>
      <c r="S6173">
        <v>1.3556820000000001</v>
      </c>
      <c r="T6173">
        <v>-0.14894869999999999</v>
      </c>
      <c r="U6173">
        <v>2.6967159999999999</v>
      </c>
      <c r="V6173">
        <v>-0.44836340000000002</v>
      </c>
      <c r="W6173">
        <v>1.7630440000000001E-2</v>
      </c>
      <c r="X6173">
        <v>0.89367750000000001</v>
      </c>
      <c r="Y6173">
        <v>-0.53756400000000004</v>
      </c>
      <c r="Z6173">
        <v>-1.288599E-2</v>
      </c>
      <c r="AA6173">
        <v>0.843124599999999</v>
      </c>
      <c r="AB6173">
        <v>18</v>
      </c>
      <c r="AC6173">
        <v>0.364900000000005</v>
      </c>
      <c r="AD6173">
        <v>-4.9701000000000002E-2</v>
      </c>
      <c r="AE6173">
        <v>0.84156999999999005</v>
      </c>
      <c r="AF6173">
        <v>-0.53462136704997498</v>
      </c>
      <c r="AG6173">
        <v>-4.9701000000000002E-2</v>
      </c>
      <c r="AH6173">
        <v>0.74206021410303002</v>
      </c>
      <c r="AI6173">
        <v>93.1105324863601</v>
      </c>
      <c r="AJ6173">
        <v>125.771071748567</v>
      </c>
      <c r="AK6173">
        <v>0.91593862068482401</v>
      </c>
    </row>
    <row r="6174" spans="1:37" x14ac:dyDescent="0.2">
      <c r="A6174" t="str">
        <f>"20200111160022056"</f>
        <v>20200111160022056</v>
      </c>
      <c r="B6174" t="str">
        <f>"1578729622047262"</f>
        <v>1578729622047262</v>
      </c>
      <c r="C6174" t="s">
        <v>37</v>
      </c>
      <c r="D6174">
        <v>5.1127469999999997</v>
      </c>
      <c r="E6174">
        <v>0.45906520000000001</v>
      </c>
      <c r="F6174" t="s">
        <v>38</v>
      </c>
      <c r="G6174">
        <v>-199.4974</v>
      </c>
      <c r="H6174">
        <v>1.061504</v>
      </c>
      <c r="I6174">
        <v>-54.686900000000001</v>
      </c>
      <c r="J6174">
        <v>-199.78899999999999</v>
      </c>
      <c r="K6174">
        <v>1.108919</v>
      </c>
      <c r="L6174">
        <v>-55.420650000000002</v>
      </c>
      <c r="M6174">
        <v>0.85578719999999997</v>
      </c>
      <c r="N6174">
        <v>0</v>
      </c>
      <c r="O6174">
        <v>0.51711679999999904</v>
      </c>
      <c r="P6174">
        <v>0.53669690000000003</v>
      </c>
      <c r="Q6174">
        <v>9.8651629999999997E-3</v>
      </c>
      <c r="R6174">
        <v>0.84371749999999901</v>
      </c>
      <c r="S6174">
        <v>1.33786</v>
      </c>
      <c r="T6174">
        <v>-0.1593146</v>
      </c>
      <c r="U6174">
        <v>2.7071839999999998</v>
      </c>
      <c r="V6174">
        <v>-0.44476929999999998</v>
      </c>
      <c r="W6174">
        <v>1.8554879999999999E-2</v>
      </c>
      <c r="X6174">
        <v>0.89545300000000005</v>
      </c>
      <c r="Y6174">
        <v>-0.53808900000000004</v>
      </c>
      <c r="Z6174">
        <v>-1.408878E-2</v>
      </c>
      <c r="AA6174">
        <v>0.84277029999999997</v>
      </c>
      <c r="AB6174">
        <v>18</v>
      </c>
      <c r="AC6174">
        <v>0.29160000000001601</v>
      </c>
      <c r="AD6174">
        <v>-4.7414999999999902E-2</v>
      </c>
      <c r="AE6174">
        <v>0.73375000000000001</v>
      </c>
      <c r="AF6174">
        <v>-0.475480050523022</v>
      </c>
      <c r="AG6174">
        <v>-4.7414999999999902E-2</v>
      </c>
      <c r="AH6174">
        <v>0.62679038396787201</v>
      </c>
      <c r="AI6174">
        <v>93.4489467947664</v>
      </c>
      <c r="AJ6174">
        <v>127.183772149558</v>
      </c>
      <c r="AK6174">
        <v>0.788159657750236</v>
      </c>
    </row>
    <row r="6175" spans="1:37" x14ac:dyDescent="0.2">
      <c r="A6175" t="str">
        <f>"20200111160022069"</f>
        <v>20200111160022069</v>
      </c>
      <c r="B6175" t="str">
        <f>"1578729622066782"</f>
        <v>1578729622066782</v>
      </c>
      <c r="C6175" t="s">
        <v>37</v>
      </c>
      <c r="D6175">
        <v>5.2338979999999999</v>
      </c>
      <c r="E6175">
        <v>0.45835109999999901</v>
      </c>
      <c r="F6175" t="s">
        <v>38</v>
      </c>
      <c r="G6175">
        <v>-199.37950000000001</v>
      </c>
      <c r="H6175">
        <v>1.05862099999999</v>
      </c>
      <c r="I6175">
        <v>-54.586480000000002</v>
      </c>
      <c r="J6175">
        <v>-199.69839999999999</v>
      </c>
      <c r="K6175">
        <v>1.10891299999999</v>
      </c>
      <c r="L6175">
        <v>-55.358800000000002</v>
      </c>
      <c r="M6175">
        <v>0.85304049999999998</v>
      </c>
      <c r="N6175">
        <v>0</v>
      </c>
      <c r="O6175">
        <v>0.52163539999999997</v>
      </c>
      <c r="P6175">
        <v>0.53388009999999997</v>
      </c>
      <c r="Q6175">
        <v>1.0427509999999999E-2</v>
      </c>
      <c r="R6175">
        <v>0.84549589999999997</v>
      </c>
      <c r="S6175">
        <v>1.3305049999999901</v>
      </c>
      <c r="T6175">
        <v>-0.16346629999999901</v>
      </c>
      <c r="U6175">
        <v>2.7112430000000001</v>
      </c>
      <c r="V6175">
        <v>-0.44301879999999999</v>
      </c>
      <c r="W6175">
        <v>1.9153199999999999E-2</v>
      </c>
      <c r="X6175">
        <v>0.89630769999999904</v>
      </c>
      <c r="Y6175">
        <v>-0.53597410000000001</v>
      </c>
      <c r="Z6175">
        <v>-1.48037999999999E-2</v>
      </c>
      <c r="AA6175">
        <v>0.84410459999999998</v>
      </c>
      <c r="AB6175">
        <v>18</v>
      </c>
      <c r="AC6175">
        <v>0.31889999999998497</v>
      </c>
      <c r="AD6175">
        <v>-5.0292000000000003E-2</v>
      </c>
      <c r="AE6175">
        <v>0.77232000000000001</v>
      </c>
      <c r="AF6175">
        <v>-0.490746668503731</v>
      </c>
      <c r="AG6175">
        <v>-5.0292000000000003E-2</v>
      </c>
      <c r="AH6175">
        <v>0.67254136350720894</v>
      </c>
      <c r="AI6175">
        <v>93.456864330915295</v>
      </c>
      <c r="AJ6175">
        <v>126.117853276048</v>
      </c>
      <c r="AK6175">
        <v>0.83407041881345201</v>
      </c>
    </row>
    <row r="6176" spans="1:37" x14ac:dyDescent="0.2">
      <c r="A6176" t="str">
        <f>"20200111160022084"</f>
        <v>20200111160022084</v>
      </c>
      <c r="B6176" t="str">
        <f>"1578729622076543"</f>
        <v>1578729622076543</v>
      </c>
      <c r="C6176" t="s">
        <v>37</v>
      </c>
      <c r="D6176">
        <v>5.128501</v>
      </c>
      <c r="E6176">
        <v>0.45822669999999999</v>
      </c>
      <c r="F6176" t="s">
        <v>38</v>
      </c>
      <c r="G6176">
        <v>-199.27119999999999</v>
      </c>
      <c r="H6176">
        <v>1.0543769999999999</v>
      </c>
      <c r="I6176">
        <v>-54.476649999999999</v>
      </c>
      <c r="J6176">
        <v>-199.5994</v>
      </c>
      <c r="K6176">
        <v>1.108908</v>
      </c>
      <c r="L6176">
        <v>-55.290369999999903</v>
      </c>
      <c r="M6176">
        <v>0.84999519999999995</v>
      </c>
      <c r="N6176">
        <v>0</v>
      </c>
      <c r="O6176">
        <v>0.52658329999999998</v>
      </c>
      <c r="P6176">
        <v>0.53077529999999995</v>
      </c>
      <c r="Q6176">
        <v>1.079574E-2</v>
      </c>
      <c r="R6176">
        <v>0.84744390000000003</v>
      </c>
      <c r="S6176">
        <v>1.316635</v>
      </c>
      <c r="T6176">
        <v>-0.16809389999999999</v>
      </c>
      <c r="U6176">
        <v>2.7189030000000001</v>
      </c>
      <c r="V6176">
        <v>-0.44109659999999901</v>
      </c>
      <c r="W6176">
        <v>1.955987E-2</v>
      </c>
      <c r="X6176">
        <v>0.89724649999999995</v>
      </c>
      <c r="Y6176">
        <v>-0.53549209999999903</v>
      </c>
      <c r="Z6176">
        <v>-1.555686E-2</v>
      </c>
      <c r="AA6176">
        <v>0.84439699999999995</v>
      </c>
      <c r="AB6176">
        <v>18</v>
      </c>
      <c r="AC6176">
        <v>0.32820000000000898</v>
      </c>
      <c r="AD6176">
        <v>-5.4530999999999802E-2</v>
      </c>
      <c r="AE6176">
        <v>0.813719999999996</v>
      </c>
      <c r="AF6176">
        <v>-0.51689352235352704</v>
      </c>
      <c r="AG6176">
        <v>-5.4530999999999802E-2</v>
      </c>
      <c r="AH6176">
        <v>0.70481457567810002</v>
      </c>
      <c r="AI6176">
        <v>93.570041074819102</v>
      </c>
      <c r="AJ6176">
        <v>126.25539718334601</v>
      </c>
      <c r="AK6176">
        <v>0.87573747750129805</v>
      </c>
    </row>
    <row r="6177" spans="1:37" x14ac:dyDescent="0.2">
      <c r="A6177" t="str">
        <f>"20200111160022099"</f>
        <v>20200111160022099</v>
      </c>
      <c r="B6177" t="str">
        <f>"1578729622097038"</f>
        <v>1578729622097038</v>
      </c>
      <c r="C6177" t="s">
        <v>37</v>
      </c>
      <c r="D6177">
        <v>5.1629370000000003</v>
      </c>
      <c r="E6177">
        <v>0.45776670000000003</v>
      </c>
      <c r="F6177" t="s">
        <v>38</v>
      </c>
      <c r="G6177">
        <v>-199.22989999999999</v>
      </c>
      <c r="H6177">
        <v>1.0607879999999901</v>
      </c>
      <c r="I6177">
        <v>-54.519559999999998</v>
      </c>
      <c r="J6177">
        <v>-199.50280000000001</v>
      </c>
      <c r="K6177">
        <v>1.108903</v>
      </c>
      <c r="L6177">
        <v>-55.222559999999902</v>
      </c>
      <c r="M6177">
        <v>0.846974</v>
      </c>
      <c r="N6177">
        <v>0</v>
      </c>
      <c r="O6177">
        <v>0.53142909999999999</v>
      </c>
      <c r="P6177">
        <v>0.52983950000000002</v>
      </c>
      <c r="Q6177">
        <v>1.110001E-2</v>
      </c>
      <c r="R6177">
        <v>0.84802540000000004</v>
      </c>
      <c r="S6177">
        <v>1.3057559999999999</v>
      </c>
      <c r="T6177">
        <v>-0.17008719999999999</v>
      </c>
      <c r="U6177">
        <v>2.724396</v>
      </c>
      <c r="V6177">
        <v>-0.43695659999999997</v>
      </c>
      <c r="W6177">
        <v>1.9937449999999999E-2</v>
      </c>
      <c r="X6177">
        <v>0.89926159999999999</v>
      </c>
      <c r="Y6177">
        <v>-0.53407890000000002</v>
      </c>
      <c r="Z6177">
        <v>-1.6104790000000001E-2</v>
      </c>
      <c r="AA6177">
        <v>0.84528119999999995</v>
      </c>
      <c r="AB6177">
        <v>18</v>
      </c>
      <c r="AC6177">
        <v>0.27290000000002101</v>
      </c>
      <c r="AD6177">
        <v>-4.8115000000000102E-2</v>
      </c>
      <c r="AE6177">
        <v>0.70299999999999496</v>
      </c>
      <c r="AF6177">
        <v>-0.44861857538389299</v>
      </c>
      <c r="AG6177">
        <v>-4.8115000000000102E-2</v>
      </c>
      <c r="AH6177">
        <v>0.60234773821687704</v>
      </c>
      <c r="AI6177">
        <v>93.665549988349795</v>
      </c>
      <c r="AJ6177">
        <v>126.67812782432</v>
      </c>
      <c r="AK6177">
        <v>0.75259316841136803</v>
      </c>
    </row>
    <row r="6178" spans="1:37" x14ac:dyDescent="0.2">
      <c r="A6178" t="str">
        <f>"20200111160022114"</f>
        <v>20200111160022114</v>
      </c>
      <c r="B6178" t="str">
        <f>"1578729622106798"</f>
        <v>1578729622106798</v>
      </c>
      <c r="C6178" t="s">
        <v>37</v>
      </c>
      <c r="D6178">
        <v>5.1526639999999997</v>
      </c>
      <c r="E6178">
        <v>0.45750940000000001</v>
      </c>
      <c r="F6178" t="s">
        <v>38</v>
      </c>
      <c r="G6178">
        <v>-199.11760000000001</v>
      </c>
      <c r="H6178">
        <v>1.056657</v>
      </c>
      <c r="I6178">
        <v>-54.413989999999998</v>
      </c>
      <c r="J6178">
        <v>-199.40770000000001</v>
      </c>
      <c r="K6178">
        <v>1.1089009999999999</v>
      </c>
      <c r="L6178">
        <v>-55.155119999999997</v>
      </c>
      <c r="M6178">
        <v>0.8439584</v>
      </c>
      <c r="N6178">
        <v>0</v>
      </c>
      <c r="O6178">
        <v>0.53620519999999905</v>
      </c>
      <c r="P6178">
        <v>0.52693380000000001</v>
      </c>
      <c r="Q6178">
        <v>1.08753999999999E-2</v>
      </c>
      <c r="R6178">
        <v>0.84983679999999995</v>
      </c>
      <c r="S6178">
        <v>1.299118</v>
      </c>
      <c r="T6178">
        <v>-0.17626539999999999</v>
      </c>
      <c r="U6178">
        <v>2.7282410000000001</v>
      </c>
      <c r="V6178">
        <v>-0.43495339999999999</v>
      </c>
      <c r="W6178">
        <v>1.9746280000000001E-2</v>
      </c>
      <c r="X6178">
        <v>0.90023639999999905</v>
      </c>
      <c r="Y6178">
        <v>-0.5314432</v>
      </c>
      <c r="Z6178">
        <v>-1.7097250000000001E-2</v>
      </c>
      <c r="AA6178">
        <v>0.84692140000000005</v>
      </c>
      <c r="AB6178">
        <v>18</v>
      </c>
      <c r="AC6178">
        <v>0.29009999999999497</v>
      </c>
      <c r="AD6178">
        <v>-5.2243999999999902E-2</v>
      </c>
      <c r="AE6178">
        <v>0.74112999999999096</v>
      </c>
      <c r="AF6178">
        <v>-0.467964595321331</v>
      </c>
      <c r="AG6178">
        <v>-5.2243999999999902E-2</v>
      </c>
      <c r="AH6178">
        <v>0.63954439631827797</v>
      </c>
      <c r="AI6178">
        <v>93.771798716583206</v>
      </c>
      <c r="AJ6178">
        <v>126.193515440784</v>
      </c>
      <c r="AK6178">
        <v>0.79418973354757505</v>
      </c>
    </row>
    <row r="6179" spans="1:37" x14ac:dyDescent="0.2">
      <c r="A6179" t="str">
        <f>"20200111160022129"</f>
        <v>20200111160022129</v>
      </c>
      <c r="B6179" t="str">
        <f>"1578729622116559"</f>
        <v>1578729622116559</v>
      </c>
      <c r="C6179" t="s">
        <v>37</v>
      </c>
      <c r="D6179">
        <v>5.1456119999999999</v>
      </c>
      <c r="E6179">
        <v>0.4575053</v>
      </c>
      <c r="F6179" t="s">
        <v>38</v>
      </c>
      <c r="G6179">
        <v>-199.00790000000001</v>
      </c>
      <c r="H6179">
        <v>1.052765</v>
      </c>
      <c r="I6179">
        <v>-54.306369999999902</v>
      </c>
      <c r="J6179">
        <v>-199.31290000000001</v>
      </c>
      <c r="K6179">
        <v>1.1089020000000001</v>
      </c>
      <c r="L6179">
        <v>-55.087069999999997</v>
      </c>
      <c r="M6179">
        <v>0.84090159999999903</v>
      </c>
      <c r="N6179">
        <v>0</v>
      </c>
      <c r="O6179">
        <v>0.54098669999999904</v>
      </c>
      <c r="P6179">
        <v>0.5238389</v>
      </c>
      <c r="Q6179">
        <v>1.021823E-2</v>
      </c>
      <c r="R6179">
        <v>0.85175610000000002</v>
      </c>
      <c r="S6179">
        <v>1.287903</v>
      </c>
      <c r="T6179">
        <v>-0.18082509999999999</v>
      </c>
      <c r="U6179">
        <v>2.7338559999999998</v>
      </c>
      <c r="V6179">
        <v>-0.43311759999999899</v>
      </c>
      <c r="W6179">
        <v>1.911649E-2</v>
      </c>
      <c r="X6179">
        <v>0.90113469999999996</v>
      </c>
      <c r="Y6179">
        <v>-0.53015239999999997</v>
      </c>
      <c r="Z6179">
        <v>-1.7916660000000001E-2</v>
      </c>
      <c r="AA6179">
        <v>0.847713099999999</v>
      </c>
      <c r="AB6179">
        <v>18</v>
      </c>
      <c r="AC6179">
        <v>0.30500000000000599</v>
      </c>
      <c r="AD6179">
        <v>-5.6137000000000097E-2</v>
      </c>
      <c r="AE6179">
        <v>0.78070000000000295</v>
      </c>
      <c r="AF6179">
        <v>-0.48934935954688802</v>
      </c>
      <c r="AG6179">
        <v>-5.6137000000000097E-2</v>
      </c>
      <c r="AH6179">
        <v>0.67586546428678596</v>
      </c>
      <c r="AI6179">
        <v>93.848868948572303</v>
      </c>
      <c r="AJ6179">
        <v>125.90580447934499</v>
      </c>
      <c r="AK6179">
        <v>0.83630633399104604</v>
      </c>
    </row>
    <row r="6180" spans="1:37" x14ac:dyDescent="0.2">
      <c r="A6180" t="str">
        <f>"20200111160022145"</f>
        <v>20200111160022145</v>
      </c>
      <c r="B6180" t="str">
        <f>"1578729622137054"</f>
        <v>1578729622137054</v>
      </c>
      <c r="C6180" t="s">
        <v>37</v>
      </c>
      <c r="D6180">
        <v>5.2886800000000003</v>
      </c>
      <c r="E6180">
        <v>0.45679500000000001</v>
      </c>
      <c r="F6180" t="s">
        <v>38</v>
      </c>
      <c r="G6180">
        <v>-198.89850000000001</v>
      </c>
      <c r="H6180">
        <v>1.0488899999999901</v>
      </c>
      <c r="I6180">
        <v>-54.199129999999997</v>
      </c>
      <c r="J6180">
        <v>-199.20760000000001</v>
      </c>
      <c r="K6180">
        <v>1.1089009999999999</v>
      </c>
      <c r="L6180">
        <v>-55.010619999999903</v>
      </c>
      <c r="M6180">
        <v>0.83745210000000003</v>
      </c>
      <c r="N6180">
        <v>0</v>
      </c>
      <c r="O6180">
        <v>0.5463114</v>
      </c>
      <c r="P6180">
        <v>0.52147390000000005</v>
      </c>
      <c r="Q6180">
        <v>8.0650940000000001E-3</v>
      </c>
      <c r="R6180">
        <v>0.85322909999999996</v>
      </c>
      <c r="S6180">
        <v>1.277679</v>
      </c>
      <c r="T6180">
        <v>-0.18507679999999899</v>
      </c>
      <c r="U6180">
        <v>2.738556</v>
      </c>
      <c r="V6180">
        <v>-0.4298942</v>
      </c>
      <c r="W6180">
        <v>1.7011120000000001E-2</v>
      </c>
      <c r="X6180">
        <v>0.90271900000000005</v>
      </c>
      <c r="Y6180">
        <v>-0.52793319999999999</v>
      </c>
      <c r="Z6180">
        <v>-1.879608E-2</v>
      </c>
      <c r="AA6180">
        <v>0.84907790000000005</v>
      </c>
      <c r="AB6180">
        <v>18</v>
      </c>
      <c r="AC6180">
        <v>0.30909999999999999</v>
      </c>
      <c r="AD6180">
        <v>-6.0011000000000002E-2</v>
      </c>
      <c r="AE6180">
        <v>0.81148999999999205</v>
      </c>
      <c r="AF6180">
        <v>-0.508346964703702</v>
      </c>
      <c r="AG6180">
        <v>-6.0011000000000002E-2</v>
      </c>
      <c r="AH6180">
        <v>0.698921186898256</v>
      </c>
      <c r="AI6180">
        <v>93.972130853506897</v>
      </c>
      <c r="AJ6180">
        <v>126.02955272073299</v>
      </c>
      <c r="AK6180">
        <v>0.86631909948917396</v>
      </c>
    </row>
    <row r="6181" spans="1:37" x14ac:dyDescent="0.2">
      <c r="A6181" t="str">
        <f>"20200111160022159"</f>
        <v>20200111160022159</v>
      </c>
      <c r="B6181" t="str">
        <f>"1578729622156574"</f>
        <v>1578729622156574</v>
      </c>
      <c r="C6181" t="s">
        <v>37</v>
      </c>
      <c r="D6181">
        <v>5.141464</v>
      </c>
      <c r="E6181">
        <v>0.45644750000000001</v>
      </c>
      <c r="F6181" t="s">
        <v>38</v>
      </c>
      <c r="G6181">
        <v>-198.7861</v>
      </c>
      <c r="H6181">
        <v>1.0432459999999999</v>
      </c>
      <c r="I6181">
        <v>-54.095559999999999</v>
      </c>
      <c r="J6181">
        <v>-199.11959999999999</v>
      </c>
      <c r="K6181">
        <v>1.108905</v>
      </c>
      <c r="L6181">
        <v>-54.945590000000003</v>
      </c>
      <c r="M6181">
        <v>0.83450650000000004</v>
      </c>
      <c r="N6181">
        <v>0</v>
      </c>
      <c r="O6181">
        <v>0.55080030000000002</v>
      </c>
      <c r="P6181">
        <v>0.51835279999999995</v>
      </c>
      <c r="Q6181">
        <v>6.861168E-3</v>
      </c>
      <c r="R6181">
        <v>0.85513939999999999</v>
      </c>
      <c r="S6181">
        <v>1.264572</v>
      </c>
      <c r="T6181">
        <v>-0.19695779999999999</v>
      </c>
      <c r="U6181">
        <v>2.7450559999999999</v>
      </c>
      <c r="V6181">
        <v>-0.42834109999999997</v>
      </c>
      <c r="W6181">
        <v>1.5823480000000001E-2</v>
      </c>
      <c r="X6181">
        <v>0.90347860000000002</v>
      </c>
      <c r="Y6181">
        <v>-0.52748039999999996</v>
      </c>
      <c r="Z6181">
        <v>-2.03594E-2</v>
      </c>
      <c r="AA6181">
        <v>0.84932319999999994</v>
      </c>
      <c r="AB6181">
        <v>18</v>
      </c>
      <c r="AC6181">
        <v>0.33349999999998597</v>
      </c>
      <c r="AD6181">
        <v>-6.5659000000000106E-2</v>
      </c>
      <c r="AE6181">
        <v>0.85003000000000295</v>
      </c>
      <c r="AF6181">
        <v>-0.52301664117647595</v>
      </c>
      <c r="AG6181">
        <v>-6.5659000000000106E-2</v>
      </c>
      <c r="AH6181">
        <v>0.74274561611058498</v>
      </c>
      <c r="AI6181">
        <v>94.134072786192206</v>
      </c>
      <c r="AJ6181">
        <v>125.151926582608</v>
      </c>
      <c r="AK6181">
        <v>0.91078458566228304</v>
      </c>
    </row>
    <row r="6182" spans="1:37" x14ac:dyDescent="0.2">
      <c r="A6182" t="str">
        <f>"20200111160022173"</f>
        <v>20200111160022173</v>
      </c>
      <c r="B6182" t="str">
        <f>"1578729622167310"</f>
        <v>1578729622167310</v>
      </c>
      <c r="C6182" t="s">
        <v>37</v>
      </c>
      <c r="D6182">
        <v>5.1558070000000003</v>
      </c>
      <c r="E6182">
        <v>0.45638440000000002</v>
      </c>
      <c r="F6182" t="s">
        <v>38</v>
      </c>
      <c r="G6182">
        <v>-198.7491</v>
      </c>
      <c r="H6182">
        <v>1.048524</v>
      </c>
      <c r="I6182">
        <v>-54.131680000000003</v>
      </c>
      <c r="J6182">
        <v>-199.03450000000001</v>
      </c>
      <c r="K6182">
        <v>1.1089039999999999</v>
      </c>
      <c r="L6182">
        <v>-54.882169999999903</v>
      </c>
      <c r="M6182">
        <v>0.83161819999999897</v>
      </c>
      <c r="N6182">
        <v>0</v>
      </c>
      <c r="O6182">
        <v>0.55515170000000003</v>
      </c>
      <c r="P6182">
        <v>0.51551999999999998</v>
      </c>
      <c r="Q6182">
        <v>5.3198769999999998E-3</v>
      </c>
      <c r="R6182">
        <v>0.85686109999999904</v>
      </c>
      <c r="S6182">
        <v>1.2519530000000001</v>
      </c>
      <c r="T6182">
        <v>-0.20408479999999901</v>
      </c>
      <c r="U6182">
        <v>2.7509459999999999</v>
      </c>
      <c r="V6182">
        <v>-0.42660529999999902</v>
      </c>
      <c r="W6182">
        <v>1.429921E-2</v>
      </c>
      <c r="X6182">
        <v>0.90432479999999904</v>
      </c>
      <c r="Y6182">
        <v>-0.52695829999999999</v>
      </c>
      <c r="Z6182">
        <v>-2.1460710000000001E-2</v>
      </c>
      <c r="AA6182">
        <v>0.84962009999999899</v>
      </c>
      <c r="AB6182">
        <v>18</v>
      </c>
      <c r="AC6182">
        <v>0.28540000000000898</v>
      </c>
      <c r="AD6182">
        <v>-6.03800000000001E-2</v>
      </c>
      <c r="AE6182">
        <v>0.750489999999992</v>
      </c>
      <c r="AF6182">
        <v>-0.46311263463989999</v>
      </c>
      <c r="AG6182">
        <v>-6.03800000000001E-2</v>
      </c>
      <c r="AH6182">
        <v>0.65037295949469898</v>
      </c>
      <c r="AI6182">
        <v>94.324779390347004</v>
      </c>
      <c r="AJ6182">
        <v>125.453618737981</v>
      </c>
      <c r="AK6182">
        <v>0.80068972967373797</v>
      </c>
    </row>
    <row r="6183" spans="1:37" x14ac:dyDescent="0.2">
      <c r="A6183" t="str">
        <f>"20200111160022190"</f>
        <v>20200111160022190</v>
      </c>
      <c r="B6183" t="str">
        <f>"1578729622186831"</f>
        <v>1578729622186831</v>
      </c>
      <c r="C6183" t="s">
        <v>37</v>
      </c>
      <c r="D6183">
        <v>5.1412719999999998</v>
      </c>
      <c r="E6183">
        <v>0.45618809999999899</v>
      </c>
      <c r="F6183" t="s">
        <v>38</v>
      </c>
      <c r="G6183">
        <v>-198.6455</v>
      </c>
      <c r="H6183">
        <v>1.0434289999999999</v>
      </c>
      <c r="I6183">
        <v>-54.019550000000002</v>
      </c>
      <c r="J6183">
        <v>-198.9265</v>
      </c>
      <c r="K6183">
        <v>1.10891299999999</v>
      </c>
      <c r="L6183">
        <v>-54.800629999999998</v>
      </c>
      <c r="M6183">
        <v>0.82787670000000002</v>
      </c>
      <c r="N6183">
        <v>0</v>
      </c>
      <c r="O6183">
        <v>0.56071590000000004</v>
      </c>
      <c r="P6183">
        <v>0.51286520000000002</v>
      </c>
      <c r="Q6183">
        <v>4.2276370000000002E-3</v>
      </c>
      <c r="R6183">
        <v>0.85845879999999997</v>
      </c>
      <c r="S6183">
        <v>1.2419129999999901</v>
      </c>
      <c r="T6183">
        <v>-0.20911149999999901</v>
      </c>
      <c r="U6183">
        <v>2.75528</v>
      </c>
      <c r="V6183">
        <v>-0.42333090000000001</v>
      </c>
      <c r="W6183">
        <v>1.3242159999999999E-2</v>
      </c>
      <c r="X6183">
        <v>0.90587830000000003</v>
      </c>
      <c r="Y6183">
        <v>-0.52433989999999997</v>
      </c>
      <c r="Z6183">
        <v>-2.2542070000000001E-2</v>
      </c>
      <c r="AA6183">
        <v>0.85121059999999904</v>
      </c>
      <c r="AB6183">
        <v>18</v>
      </c>
      <c r="AC6183">
        <v>0.28100000000000502</v>
      </c>
      <c r="AD6183">
        <v>-6.5483999999999598E-2</v>
      </c>
      <c r="AE6183">
        <v>0.78108000000000199</v>
      </c>
      <c r="AF6183">
        <v>-0.48610486387069402</v>
      </c>
      <c r="AG6183">
        <v>-6.5483999999999598E-2</v>
      </c>
      <c r="AH6183">
        <v>0.66652240741784297</v>
      </c>
      <c r="AI6183">
        <v>94.538560306773505</v>
      </c>
      <c r="AJ6183">
        <v>126.103836457163</v>
      </c>
      <c r="AK6183">
        <v>0.82754952270231097</v>
      </c>
    </row>
    <row r="6184" spans="1:37" x14ac:dyDescent="0.2">
      <c r="A6184" t="str">
        <f>"20200111160022212"</f>
        <v>20200111160022212</v>
      </c>
      <c r="B6184" t="str">
        <f>"1578729622207327"</f>
        <v>1578729622207327</v>
      </c>
      <c r="C6184" t="s">
        <v>37</v>
      </c>
      <c r="D6184">
        <v>5.2073919999999996</v>
      </c>
      <c r="E6184">
        <v>0.45609870000000002</v>
      </c>
      <c r="F6184" t="s">
        <v>38</v>
      </c>
      <c r="G6184">
        <v>-198.53229999999999</v>
      </c>
      <c r="H6184">
        <v>1.0404799999999901</v>
      </c>
      <c r="I6184">
        <v>-53.917259999999999</v>
      </c>
      <c r="J6184">
        <v>-198.79310000000001</v>
      </c>
      <c r="K6184">
        <v>1.108954</v>
      </c>
      <c r="L6184">
        <v>-54.698090000000001</v>
      </c>
      <c r="M6184">
        <v>0.82311909999999899</v>
      </c>
      <c r="N6184">
        <v>0</v>
      </c>
      <c r="O6184">
        <v>0.56767670000000003</v>
      </c>
      <c r="P6184">
        <v>0.50849250000000001</v>
      </c>
      <c r="Q6184">
        <v>4.0614020000000004E-3</v>
      </c>
      <c r="R6184">
        <v>0.86105689999999901</v>
      </c>
      <c r="S6184">
        <v>1.2314149999999999</v>
      </c>
      <c r="T6184">
        <v>-0.2138062</v>
      </c>
      <c r="U6184">
        <v>2.7600099999999999</v>
      </c>
      <c r="V6184">
        <v>-0.42029759999999999</v>
      </c>
      <c r="W6184">
        <v>1.3089109999999999E-2</v>
      </c>
      <c r="X6184">
        <v>0.90729190000000004</v>
      </c>
      <c r="Y6184">
        <v>-0.5204124</v>
      </c>
      <c r="Z6184">
        <v>-2.377742E-2</v>
      </c>
      <c r="AA6184">
        <v>0.85358389999999995</v>
      </c>
      <c r="AB6184">
        <v>18</v>
      </c>
      <c r="AC6184">
        <v>0.26080000000001702</v>
      </c>
      <c r="AD6184">
        <v>-6.8474000000000104E-2</v>
      </c>
      <c r="AE6184">
        <v>0.78083000000000102</v>
      </c>
      <c r="AF6184">
        <v>-0.49132080097462399</v>
      </c>
      <c r="AG6184">
        <v>-6.8474000000000104E-2</v>
      </c>
      <c r="AH6184">
        <v>0.65347918625557899</v>
      </c>
      <c r="AI6184">
        <v>94.787486995484699</v>
      </c>
      <c r="AJ6184">
        <v>126.937814253694</v>
      </c>
      <c r="AK6184">
        <v>0.82043882466372797</v>
      </c>
    </row>
    <row r="6185" spans="1:37" x14ac:dyDescent="0.2">
      <c r="A6185" t="str">
        <f>"20200111160022225"</f>
        <v>20200111160022225</v>
      </c>
      <c r="B6185" t="str">
        <f>"1578729622217086"</f>
        <v>1578729622217086</v>
      </c>
      <c r="C6185" t="s">
        <v>37</v>
      </c>
      <c r="D6185">
        <v>5.2278310000000001</v>
      </c>
      <c r="E6185">
        <v>0.45615259999999902</v>
      </c>
      <c r="F6185" t="s">
        <v>38</v>
      </c>
      <c r="G6185">
        <v>-198.4091</v>
      </c>
      <c r="H6185">
        <v>1.0405519999999999</v>
      </c>
      <c r="I6185">
        <v>-53.824840000000002</v>
      </c>
      <c r="J6185">
        <v>-198.70599999999999</v>
      </c>
      <c r="K6185">
        <v>1.108989</v>
      </c>
      <c r="L6185">
        <v>-54.630339999999997</v>
      </c>
      <c r="M6185">
        <v>0.81993879999999997</v>
      </c>
      <c r="N6185">
        <v>0</v>
      </c>
      <c r="O6185">
        <v>0.57226080000000001</v>
      </c>
      <c r="P6185">
        <v>0.50497409999999998</v>
      </c>
      <c r="Q6185">
        <v>4.059811E-3</v>
      </c>
      <c r="R6185">
        <v>0.86312500000000003</v>
      </c>
      <c r="S6185">
        <v>1.2163539999999999</v>
      </c>
      <c r="T6185">
        <v>-0.2167056</v>
      </c>
      <c r="U6185">
        <v>2.7668149999999998</v>
      </c>
      <c r="V6185">
        <v>-0.41893819999999998</v>
      </c>
      <c r="W6185">
        <v>1.307957E-2</v>
      </c>
      <c r="X6185">
        <v>0.90792050000000002</v>
      </c>
      <c r="Y6185">
        <v>-0.52032140000000004</v>
      </c>
      <c r="Z6185">
        <v>-2.4493020000000001E-2</v>
      </c>
      <c r="AA6185">
        <v>0.85361919999999902</v>
      </c>
      <c r="AB6185">
        <v>18</v>
      </c>
      <c r="AC6185">
        <v>0.296899999999993</v>
      </c>
      <c r="AD6185">
        <v>-6.8436999999999804E-2</v>
      </c>
      <c r="AE6185">
        <v>0.80550000000000199</v>
      </c>
      <c r="AF6185">
        <v>-0.48751172310569002</v>
      </c>
      <c r="AG6185">
        <v>-6.8436999999999804E-2</v>
      </c>
      <c r="AH6185">
        <v>0.70002391294539701</v>
      </c>
      <c r="AI6185">
        <v>94.586780074292804</v>
      </c>
      <c r="AJ6185">
        <v>124.854183811685</v>
      </c>
      <c r="AK6185">
        <v>0.85579482461035306</v>
      </c>
    </row>
    <row r="6186" spans="1:37" x14ac:dyDescent="0.2">
      <c r="A6186" t="str">
        <f>"20200111160022247"</f>
        <v>20200111160022247</v>
      </c>
      <c r="B6186" t="str">
        <f>"1578729622236606"</f>
        <v>1578729622236606</v>
      </c>
      <c r="C6186" t="s">
        <v>37</v>
      </c>
      <c r="D6186">
        <v>5.1785559999999897</v>
      </c>
      <c r="E6186">
        <v>0.45606259999999998</v>
      </c>
      <c r="F6186" t="s">
        <v>38</v>
      </c>
      <c r="G6186">
        <v>-198.30709999999999</v>
      </c>
      <c r="H6186">
        <v>1.037312</v>
      </c>
      <c r="I6186">
        <v>-53.713019999999901</v>
      </c>
      <c r="J6186">
        <v>-198.5753</v>
      </c>
      <c r="K6186">
        <v>1.1090610000000001</v>
      </c>
      <c r="L6186">
        <v>-54.52664</v>
      </c>
      <c r="M6186">
        <v>0.81500450000000002</v>
      </c>
      <c r="N6186">
        <v>0</v>
      </c>
      <c r="O6186">
        <v>0.57926630000000001</v>
      </c>
      <c r="P6186">
        <v>0.50000420000000001</v>
      </c>
      <c r="Q6186">
        <v>4.7534750000000001E-3</v>
      </c>
      <c r="R6186">
        <v>0.86600999999999995</v>
      </c>
      <c r="S6186">
        <v>1.2052</v>
      </c>
      <c r="T6186">
        <v>-0.21656739999999999</v>
      </c>
      <c r="U6186">
        <v>2.7716669999999999</v>
      </c>
      <c r="V6186">
        <v>-0.41638199999999997</v>
      </c>
      <c r="W6186">
        <v>1.3760909999999999E-2</v>
      </c>
      <c r="X6186">
        <v>0.90908559999999905</v>
      </c>
      <c r="Y6186">
        <v>-0.51645109999999905</v>
      </c>
      <c r="Z6186">
        <v>-2.5219749999999999E-2</v>
      </c>
      <c r="AA6186">
        <v>0.85594519999999996</v>
      </c>
      <c r="AB6186">
        <v>18</v>
      </c>
      <c r="AC6186">
        <v>0.26820000000000699</v>
      </c>
      <c r="AD6186">
        <v>-7.1748999999999993E-2</v>
      </c>
      <c r="AE6186">
        <v>0.813620000000007</v>
      </c>
      <c r="AF6186">
        <v>-0.50426305284164397</v>
      </c>
      <c r="AG6186">
        <v>-7.1748999999999993E-2</v>
      </c>
      <c r="AH6186">
        <v>0.68515618954411694</v>
      </c>
      <c r="AI6186">
        <v>94.820882617403996</v>
      </c>
      <c r="AJ6186">
        <v>126.352422664526</v>
      </c>
      <c r="AK6186">
        <v>0.85373775220074999</v>
      </c>
    </row>
    <row r="6187" spans="1:37" x14ac:dyDescent="0.2">
      <c r="A6187" t="str">
        <f>"20200111160022269"</f>
        <v>20200111160022269</v>
      </c>
      <c r="B6187" t="str">
        <f>"1578729622257101"</f>
        <v>1578729622257101</v>
      </c>
      <c r="C6187" t="s">
        <v>37</v>
      </c>
      <c r="D6187">
        <v>5.1522990000000002</v>
      </c>
      <c r="E6187">
        <v>0.45616210000000001</v>
      </c>
      <c r="F6187" t="s">
        <v>38</v>
      </c>
      <c r="G6187">
        <v>-198.18690000000001</v>
      </c>
      <c r="H6187">
        <v>1.039018</v>
      </c>
      <c r="I6187">
        <v>-53.61835</v>
      </c>
      <c r="J6187">
        <v>-198.44649999999999</v>
      </c>
      <c r="K6187">
        <v>1.1091409999999999</v>
      </c>
      <c r="L6187">
        <v>-54.422419999999903</v>
      </c>
      <c r="M6187">
        <v>0.80996049999999997</v>
      </c>
      <c r="N6187">
        <v>0</v>
      </c>
      <c r="O6187">
        <v>0.58629799999999999</v>
      </c>
      <c r="P6187">
        <v>0.49470009999999998</v>
      </c>
      <c r="Q6187">
        <v>5.5325719999999899E-3</v>
      </c>
      <c r="R6187">
        <v>0.86904619999999999</v>
      </c>
      <c r="S6187">
        <v>1.1884459999999999</v>
      </c>
      <c r="T6187">
        <v>-0.21431790000000001</v>
      </c>
      <c r="U6187">
        <v>2.7791440000000001</v>
      </c>
      <c r="V6187">
        <v>-0.41407829999999901</v>
      </c>
      <c r="W6187">
        <v>1.4515190000000001E-2</v>
      </c>
      <c r="X6187">
        <v>0.91012549999999903</v>
      </c>
      <c r="Y6187">
        <v>-0.51424840000000005</v>
      </c>
      <c r="Z6187">
        <v>-2.5632909999999998E-2</v>
      </c>
      <c r="AA6187">
        <v>0.85725810000000002</v>
      </c>
      <c r="AB6187">
        <v>18</v>
      </c>
      <c r="AC6187">
        <v>0.25959999999997702</v>
      </c>
      <c r="AD6187">
        <v>-7.0122999999999894E-2</v>
      </c>
      <c r="AE6187">
        <v>0.80406999999999496</v>
      </c>
      <c r="AF6187">
        <v>-0.495702322306659</v>
      </c>
      <c r="AG6187">
        <v>-7.0122999999999894E-2</v>
      </c>
      <c r="AH6187">
        <v>0.67710127879409798</v>
      </c>
      <c r="AI6187">
        <v>94.776736808000905</v>
      </c>
      <c r="AJ6187">
        <v>126.207664026453</v>
      </c>
      <c r="AK6187">
        <v>0.84208323176145605</v>
      </c>
    </row>
    <row r="6188" spans="1:37" x14ac:dyDescent="0.2">
      <c r="A6188" t="str">
        <f>"20200111160022290"</f>
        <v>20200111160022290</v>
      </c>
      <c r="B6188" t="str">
        <f>"1578729622287358"</f>
        <v>1578729622287358</v>
      </c>
      <c r="C6188" t="s">
        <v>37</v>
      </c>
      <c r="D6188">
        <v>7.3592079999999997</v>
      </c>
      <c r="E6188">
        <v>0.45621970000000001</v>
      </c>
      <c r="F6188" t="s">
        <v>38</v>
      </c>
      <c r="G6188">
        <v>-198.06799999999899</v>
      </c>
      <c r="H6188">
        <v>1.0407850000000001</v>
      </c>
      <c r="I6188">
        <v>-53.5227199999999</v>
      </c>
      <c r="J6188">
        <v>-198.31729999999999</v>
      </c>
      <c r="K6188">
        <v>1.1092280000000001</v>
      </c>
      <c r="L6188">
        <v>-54.315800000000003</v>
      </c>
      <c r="M6188">
        <v>0.80470180000000002</v>
      </c>
      <c r="N6188">
        <v>0</v>
      </c>
      <c r="O6188">
        <v>0.59349469999999904</v>
      </c>
      <c r="P6188">
        <v>0.48918999999999901</v>
      </c>
      <c r="Q6188">
        <v>6.3550500000000001E-3</v>
      </c>
      <c r="R6188">
        <v>0.87215409999999904</v>
      </c>
      <c r="S6188">
        <v>1.1720280000000001</v>
      </c>
      <c r="T6188">
        <v>-0.211693399999999</v>
      </c>
      <c r="U6188">
        <v>2.7862550000000001</v>
      </c>
      <c r="V6188">
        <v>-0.41173119999999902</v>
      </c>
      <c r="W6188">
        <v>1.531095E-2</v>
      </c>
      <c r="X6188">
        <v>0.91117669999999995</v>
      </c>
      <c r="Y6188">
        <v>-0.51168979999999997</v>
      </c>
      <c r="Z6188">
        <v>-2.601382E-2</v>
      </c>
      <c r="AA6188">
        <v>0.85877630000000005</v>
      </c>
      <c r="AB6188">
        <v>18</v>
      </c>
      <c r="AC6188">
        <v>0.24930000000000499</v>
      </c>
      <c r="AD6188">
        <v>-6.8443000000000004E-2</v>
      </c>
      <c r="AE6188">
        <v>0.79308000000001</v>
      </c>
      <c r="AF6188">
        <v>-0.48698758306765499</v>
      </c>
      <c r="AG6188">
        <v>-6.8443000000000004E-2</v>
      </c>
      <c r="AH6188">
        <v>0.66685454300023395</v>
      </c>
      <c r="AI6188">
        <v>94.738217958502503</v>
      </c>
      <c r="AJ6188">
        <v>126.139742963114</v>
      </c>
      <c r="AK6188">
        <v>0.82857488003868796</v>
      </c>
    </row>
    <row r="6189" spans="1:37" x14ac:dyDescent="0.2">
      <c r="A6189" t="str">
        <f>"20200111160022304"</f>
        <v>20200111160022304</v>
      </c>
      <c r="B6189" t="str">
        <f>"1578729622297120"</f>
        <v>1578729622297120</v>
      </c>
      <c r="C6189" t="s">
        <v>37</v>
      </c>
      <c r="D6189">
        <v>5.3211089999999999</v>
      </c>
      <c r="E6189">
        <v>0.45443539999999999</v>
      </c>
      <c r="F6189" t="s">
        <v>38</v>
      </c>
      <c r="G6189">
        <v>-197.94970000000001</v>
      </c>
      <c r="H6189">
        <v>1.042648</v>
      </c>
      <c r="I6189">
        <v>-53.4268</v>
      </c>
      <c r="J6189">
        <v>-198.22909999999999</v>
      </c>
      <c r="K6189">
        <v>1.109286</v>
      </c>
      <c r="L6189">
        <v>-54.241909999999997</v>
      </c>
      <c r="M6189">
        <v>0.80100190000000004</v>
      </c>
      <c r="N6189">
        <v>0</v>
      </c>
      <c r="O6189">
        <v>0.59847859999999997</v>
      </c>
      <c r="P6189">
        <v>0.48473670000000002</v>
      </c>
      <c r="Q6189">
        <v>6.6929190000000003E-3</v>
      </c>
      <c r="R6189">
        <v>0.87463449999999998</v>
      </c>
      <c r="S6189">
        <v>1.1548</v>
      </c>
      <c r="T6189">
        <v>-0.2092031</v>
      </c>
      <c r="U6189">
        <v>2.7935490000000001</v>
      </c>
      <c r="V6189">
        <v>-0.41072399999999998</v>
      </c>
      <c r="W6189">
        <v>1.561895E-2</v>
      </c>
      <c r="X6189">
        <v>0.91162589999999999</v>
      </c>
      <c r="Y6189">
        <v>-0.51167799999999997</v>
      </c>
      <c r="Z6189">
        <v>-2.6122869999999999E-2</v>
      </c>
      <c r="AA6189">
        <v>0.85877999999999899</v>
      </c>
      <c r="AB6189">
        <v>18</v>
      </c>
      <c r="AC6189">
        <v>0.279399999999981</v>
      </c>
      <c r="AD6189">
        <v>-6.6637999999999906E-2</v>
      </c>
      <c r="AE6189">
        <v>0.815109999999997</v>
      </c>
      <c r="AF6189">
        <v>-0.48285510474256099</v>
      </c>
      <c r="AG6189">
        <v>-6.6637999999999906E-2</v>
      </c>
      <c r="AH6189">
        <v>0.70747255762754102</v>
      </c>
      <c r="AI6189">
        <v>94.448579229040902</v>
      </c>
      <c r="AJ6189">
        <v>124.313817409913</v>
      </c>
      <c r="AK6189">
        <v>0.85913159353850099</v>
      </c>
    </row>
    <row r="6190" spans="1:37" x14ac:dyDescent="0.2">
      <c r="A6190" t="str">
        <f>"20200111160022325"</f>
        <v>20200111160022325</v>
      </c>
      <c r="B6190" t="str">
        <f>"1578729622316638"</f>
        <v>1578729622316638</v>
      </c>
      <c r="C6190" t="s">
        <v>37</v>
      </c>
      <c r="D6190">
        <v>5.1031469999999999</v>
      </c>
      <c r="E6190">
        <v>0.38121440000000001</v>
      </c>
      <c r="F6190" t="s">
        <v>38</v>
      </c>
      <c r="G6190">
        <v>-197.91390000000001</v>
      </c>
      <c r="H6190">
        <v>1.051159</v>
      </c>
      <c r="I6190">
        <v>-53.458019999999998</v>
      </c>
      <c r="J6190">
        <v>-198.11240000000001</v>
      </c>
      <c r="K6190">
        <v>1.109378</v>
      </c>
      <c r="L6190">
        <v>-54.142269999999897</v>
      </c>
      <c r="M6190">
        <v>0.79592069999999904</v>
      </c>
      <c r="N6190">
        <v>0</v>
      </c>
      <c r="O6190">
        <v>0.60521919999999996</v>
      </c>
      <c r="P6190">
        <v>0.4793944</v>
      </c>
      <c r="Q6190">
        <v>7.5793419999999898E-3</v>
      </c>
      <c r="R6190">
        <v>0.87756690000000004</v>
      </c>
      <c r="S6190">
        <v>1.1280209999999999</v>
      </c>
      <c r="T6190">
        <v>-0.20808479999999999</v>
      </c>
      <c r="U6190">
        <v>2.8064269999999998</v>
      </c>
      <c r="V6190">
        <v>-0.4085937</v>
      </c>
      <c r="W6190">
        <v>1.6479529999999999E-2</v>
      </c>
      <c r="X6190">
        <v>0.91256759999999904</v>
      </c>
      <c r="Y6190">
        <v>-0.51285530000000001</v>
      </c>
      <c r="Z6190">
        <v>-2.6486579999999999E-2</v>
      </c>
      <c r="AA6190">
        <v>0.85806640000000001</v>
      </c>
      <c r="AB6190">
        <v>18</v>
      </c>
      <c r="AC6190">
        <v>0.19849999999999501</v>
      </c>
      <c r="AD6190">
        <v>-5.8219E-2</v>
      </c>
      <c r="AE6190">
        <v>0.68424999999999803</v>
      </c>
      <c r="AF6190">
        <v>-0.42170353429424701</v>
      </c>
      <c r="AG6190">
        <v>-5.8219E-2</v>
      </c>
      <c r="AH6190">
        <v>0.56837913090470304</v>
      </c>
      <c r="AI6190">
        <v>94.702621321865905</v>
      </c>
      <c r="AJ6190">
        <v>126.57321879586</v>
      </c>
      <c r="AK6190">
        <v>0.71012545317376496</v>
      </c>
    </row>
    <row r="6191" spans="1:37" x14ac:dyDescent="0.2">
      <c r="A6191" t="str">
        <f>"20200111160022338"</f>
        <v>20200111160022338</v>
      </c>
      <c r="B6191" t="str">
        <f>"1578729622327374"</f>
        <v>1578729622327374</v>
      </c>
      <c r="C6191" t="s">
        <v>37</v>
      </c>
      <c r="D6191">
        <v>5.0155120000000002</v>
      </c>
      <c r="E6191">
        <v>0.37954179999999998</v>
      </c>
      <c r="F6191" t="s">
        <v>39</v>
      </c>
      <c r="G6191">
        <v>-194.20930000000001</v>
      </c>
      <c r="H6191" s="1">
        <v>-3.8150860000000002E-6</v>
      </c>
      <c r="I6191">
        <v>-33.996470000000002</v>
      </c>
      <c r="J6191">
        <v>-198.03460000000001</v>
      </c>
      <c r="K6191">
        <v>1.1094489999999999</v>
      </c>
      <c r="L6191">
        <v>-54.0745199999999</v>
      </c>
      <c r="M6191">
        <v>0.79239199999999999</v>
      </c>
      <c r="N6191">
        <v>0</v>
      </c>
      <c r="O6191">
        <v>0.60983160000000003</v>
      </c>
      <c r="P6191">
        <v>0.47548789999999902</v>
      </c>
      <c r="Q6191">
        <v>8.1378259999999904E-3</v>
      </c>
      <c r="R6191">
        <v>0.87968459999999904</v>
      </c>
      <c r="S6191">
        <v>0.59919739999999999</v>
      </c>
      <c r="T6191">
        <v>-0.17030670000000001</v>
      </c>
      <c r="U6191">
        <v>3.0926819999999999</v>
      </c>
      <c r="V6191">
        <v>-0.40735479999999902</v>
      </c>
      <c r="W6191">
        <v>1.7012559999999999E-2</v>
      </c>
      <c r="X6191">
        <v>0.91311149999999996</v>
      </c>
      <c r="Y6191">
        <v>-0.66184309999999902</v>
      </c>
      <c r="Z6191">
        <v>-1.6749920000000001E-2</v>
      </c>
      <c r="AA6191">
        <v>0.74945530000000005</v>
      </c>
      <c r="AB6191">
        <v>18</v>
      </c>
      <c r="AC6191">
        <v>3.8252999999999902</v>
      </c>
      <c r="AD6191">
        <v>-1.1094528150859999</v>
      </c>
      <c r="AE6191">
        <v>20.078049999999902</v>
      </c>
      <c r="AF6191">
        <v>-13.538503707202601</v>
      </c>
      <c r="AG6191">
        <v>-1.1094528150859999</v>
      </c>
      <c r="AH6191">
        <v>15.2321697592413</v>
      </c>
      <c r="AI6191">
        <v>93.116138366473507</v>
      </c>
      <c r="AJ6191">
        <v>131.631011967707</v>
      </c>
      <c r="AK6191">
        <v>20.409335210956499</v>
      </c>
    </row>
    <row r="6192" spans="1:37" x14ac:dyDescent="0.2">
      <c r="A6192" t="str">
        <f>"20200111160022358"</f>
        <v>20200111160022358</v>
      </c>
      <c r="B6192" t="str">
        <f>"1578729622346897"</f>
        <v>1578729622346897</v>
      </c>
      <c r="C6192" t="s">
        <v>37</v>
      </c>
      <c r="D6192">
        <v>4.9820669999999998</v>
      </c>
      <c r="E6192">
        <v>0.37895190000000001</v>
      </c>
      <c r="F6192" t="s">
        <v>39</v>
      </c>
      <c r="G6192">
        <v>-194.26990000000001</v>
      </c>
      <c r="H6192" s="1">
        <v>-3.9214749999999996E-6</v>
      </c>
      <c r="I6192">
        <v>-33.715470000000003</v>
      </c>
      <c r="J6192">
        <v>-197.92189999999999</v>
      </c>
      <c r="K6192">
        <v>1.1095569999999999</v>
      </c>
      <c r="L6192">
        <v>-53.97495</v>
      </c>
      <c r="M6192">
        <v>0.78711809999999904</v>
      </c>
      <c r="N6192">
        <v>0</v>
      </c>
      <c r="O6192">
        <v>0.61662299999999903</v>
      </c>
      <c r="P6192">
        <v>0.469976</v>
      </c>
      <c r="Q6192">
        <v>8.575025E-3</v>
      </c>
      <c r="R6192">
        <v>0.88263760000000002</v>
      </c>
      <c r="S6192">
        <v>0.57357789999999997</v>
      </c>
      <c r="T6192">
        <v>-0.16903260000000001</v>
      </c>
      <c r="U6192">
        <v>3.10183699999999</v>
      </c>
      <c r="V6192">
        <v>-0.4052192</v>
      </c>
      <c r="W6192">
        <v>1.7414470000000001E-2</v>
      </c>
      <c r="X6192">
        <v>0.91405369999999997</v>
      </c>
      <c r="Y6192">
        <v>-0.66179390000000005</v>
      </c>
      <c r="Z6192">
        <v>-1.707444E-2</v>
      </c>
      <c r="AA6192">
        <v>0.74949129999999997</v>
      </c>
      <c r="AB6192">
        <v>18</v>
      </c>
      <c r="AC6192">
        <v>3.6519999999999802</v>
      </c>
      <c r="AD6192">
        <v>-1.109560921475</v>
      </c>
      <c r="AE6192">
        <v>20.25948</v>
      </c>
      <c r="AF6192">
        <v>-13.6565375683911</v>
      </c>
      <c r="AG6192">
        <v>-1.109560921475</v>
      </c>
      <c r="AH6192">
        <v>15.324198275311399</v>
      </c>
      <c r="AI6192">
        <v>93.094133586514602</v>
      </c>
      <c r="AJ6192">
        <v>131.70661692726401</v>
      </c>
      <c r="AK6192">
        <v>20.556342003780699</v>
      </c>
    </row>
    <row r="6193" spans="1:37" x14ac:dyDescent="0.2">
      <c r="A6193" t="str">
        <f>"20200111160022380"</f>
        <v>20200111160022380</v>
      </c>
      <c r="B6193" t="str">
        <f>"1578729622377150"</f>
        <v>1578729622377150</v>
      </c>
      <c r="C6193" t="s">
        <v>37</v>
      </c>
      <c r="D6193">
        <v>4.9795540000000003</v>
      </c>
      <c r="E6193">
        <v>0.37988899999999998</v>
      </c>
      <c r="F6193" t="s">
        <v>39</v>
      </c>
      <c r="G6193">
        <v>-194.27799999999999</v>
      </c>
      <c r="H6193" s="1">
        <v>-4.0334820000000004E-6</v>
      </c>
      <c r="I6193">
        <v>-33.390549999999998</v>
      </c>
      <c r="J6193">
        <v>-197.79740000000001</v>
      </c>
      <c r="K6193">
        <v>1.1096709999999901</v>
      </c>
      <c r="L6193">
        <v>-53.862699999999997</v>
      </c>
      <c r="M6193">
        <v>0.78103630000000002</v>
      </c>
      <c r="N6193">
        <v>0</v>
      </c>
      <c r="O6193">
        <v>0.62430790000000003</v>
      </c>
      <c r="P6193">
        <v>0.46357189999999998</v>
      </c>
      <c r="Q6193">
        <v>7.8293449999999997E-3</v>
      </c>
      <c r="R6193">
        <v>0.886024699999999</v>
      </c>
      <c r="S6193">
        <v>0.55010990000000004</v>
      </c>
      <c r="T6193">
        <v>-0.167509299999999</v>
      </c>
      <c r="U6193">
        <v>3.107605</v>
      </c>
      <c r="V6193">
        <v>-0.40287909999999999</v>
      </c>
      <c r="W6193">
        <v>1.6630180000000001E-2</v>
      </c>
      <c r="X6193">
        <v>0.91510210000000003</v>
      </c>
      <c r="Y6193">
        <v>-0.66018379999999999</v>
      </c>
      <c r="Z6193">
        <v>-1.7492980000000002E-2</v>
      </c>
      <c r="AA6193">
        <v>0.75090029999999997</v>
      </c>
      <c r="AB6193">
        <v>18</v>
      </c>
      <c r="AC6193">
        <v>3.5194000000000099</v>
      </c>
      <c r="AD6193">
        <v>-1.10967503348199</v>
      </c>
      <c r="AE6193">
        <v>20.472149999999999</v>
      </c>
      <c r="AF6193">
        <v>-13.7545817578191</v>
      </c>
      <c r="AG6193">
        <v>-1.10967503348199</v>
      </c>
      <c r="AH6193">
        <v>15.487231110066499</v>
      </c>
      <c r="AI6193">
        <v>93.066571864055106</v>
      </c>
      <c r="AJ6193">
        <v>131.60904877627701</v>
      </c>
      <c r="AK6193">
        <v>20.743052462669901</v>
      </c>
    </row>
    <row r="6194" spans="1:37" x14ac:dyDescent="0.2">
      <c r="A6194" t="str">
        <f>"20200111160022395"</f>
        <v>20200111160022395</v>
      </c>
      <c r="B6194" t="str">
        <f>"1578729622386910"</f>
        <v>1578729622386910</v>
      </c>
      <c r="C6194" t="s">
        <v>37</v>
      </c>
      <c r="D6194">
        <v>4.961246</v>
      </c>
      <c r="E6194">
        <v>0.38005949999999999</v>
      </c>
      <c r="F6194" t="s">
        <v>39</v>
      </c>
      <c r="G6194">
        <v>-194.3389</v>
      </c>
      <c r="H6194" s="1">
        <v>-3.9243669999999998E-6</v>
      </c>
      <c r="I6194">
        <v>-33.742909999999902</v>
      </c>
      <c r="J6194">
        <v>-197.71109999999999</v>
      </c>
      <c r="K6194">
        <v>1.10975</v>
      </c>
      <c r="L6194">
        <v>-53.783140000000003</v>
      </c>
      <c r="M6194">
        <v>0.77664330000000004</v>
      </c>
      <c r="N6194">
        <v>0</v>
      </c>
      <c r="O6194">
        <v>0.62976379999999998</v>
      </c>
      <c r="P6194">
        <v>0.45860469999999998</v>
      </c>
      <c r="Q6194">
        <v>7.3120260000000001E-3</v>
      </c>
      <c r="R6194">
        <v>0.88861029999999996</v>
      </c>
      <c r="S6194">
        <v>0.53424069999999901</v>
      </c>
      <c r="T6194">
        <v>-0.17141189999999901</v>
      </c>
      <c r="U6194">
        <v>3.10791</v>
      </c>
      <c r="V6194">
        <v>-0.40159119999999998</v>
      </c>
      <c r="W6194">
        <v>1.608476E-2</v>
      </c>
      <c r="X6194">
        <v>0.91567779999999999</v>
      </c>
      <c r="Y6194">
        <v>-0.65865249999999997</v>
      </c>
      <c r="Z6194">
        <v>-1.8348610000000001E-2</v>
      </c>
      <c r="AA6194">
        <v>0.75222349999999905</v>
      </c>
      <c r="AB6194">
        <v>18</v>
      </c>
      <c r="AC6194">
        <v>3.3721999999999901</v>
      </c>
      <c r="AD6194">
        <v>-1.109753924367</v>
      </c>
      <c r="AE6194">
        <v>20.040230000000001</v>
      </c>
      <c r="AF6194">
        <v>-13.401952075766999</v>
      </c>
      <c r="AG6194">
        <v>-1.109753924367</v>
      </c>
      <c r="AH6194">
        <v>15.195989553069101</v>
      </c>
      <c r="AI6194">
        <v>93.135038896108895</v>
      </c>
      <c r="AJ6194">
        <v>131.41036224874199</v>
      </c>
      <c r="AK6194">
        <v>20.291918877000999</v>
      </c>
    </row>
    <row r="6195" spans="1:37" x14ac:dyDescent="0.2">
      <c r="A6195" t="str">
        <f>"20200111160022414"</f>
        <v>20200111160022414</v>
      </c>
      <c r="B6195" t="str">
        <f>"1578729622407406"</f>
        <v>1578729622407406</v>
      </c>
      <c r="C6195" t="s">
        <v>37</v>
      </c>
      <c r="D6195">
        <v>4.9411879999999897</v>
      </c>
      <c r="E6195">
        <v>0.38083640000000002</v>
      </c>
      <c r="F6195" t="s">
        <v>39</v>
      </c>
      <c r="G6195">
        <v>-194.41560000000001</v>
      </c>
      <c r="H6195" s="1">
        <v>-3.8562719999999999E-6</v>
      </c>
      <c r="I6195">
        <v>-33.983020000000003</v>
      </c>
      <c r="J6195">
        <v>-197.6088</v>
      </c>
      <c r="K6195">
        <v>1.1098299999999901</v>
      </c>
      <c r="L6195">
        <v>-53.687440000000002</v>
      </c>
      <c r="M6195">
        <v>0.77126850000000002</v>
      </c>
      <c r="N6195">
        <v>0</v>
      </c>
      <c r="O6195">
        <v>0.63633439999999997</v>
      </c>
      <c r="P6195">
        <v>0.45352809999999999</v>
      </c>
      <c r="Q6195">
        <v>5.9018009999999999E-3</v>
      </c>
      <c r="R6195">
        <v>0.89122239999999997</v>
      </c>
      <c r="S6195">
        <v>0.51766970000000001</v>
      </c>
      <c r="T6195">
        <v>-0.17432839999999999</v>
      </c>
      <c r="U6195">
        <v>3.1103519999999998</v>
      </c>
      <c r="V6195">
        <v>-0.39903349999999999</v>
      </c>
      <c r="W6195">
        <v>1.4667289999999999E-2</v>
      </c>
      <c r="X6195">
        <v>0.91681900000000005</v>
      </c>
      <c r="Y6195">
        <v>-0.65625789999999995</v>
      </c>
      <c r="Z6195">
        <v>-1.921378E-2</v>
      </c>
      <c r="AA6195">
        <v>0.75429199999999996</v>
      </c>
      <c r="AB6195">
        <v>17</v>
      </c>
      <c r="AC6195">
        <v>3.1931999999999898</v>
      </c>
      <c r="AD6195">
        <v>-1.10983385627199</v>
      </c>
      <c r="AE6195">
        <v>19.704419999999999</v>
      </c>
      <c r="AF6195">
        <v>-13.1263500052707</v>
      </c>
      <c r="AG6195">
        <v>-1.10983385627199</v>
      </c>
      <c r="AH6195">
        <v>14.956856043636</v>
      </c>
      <c r="AI6195">
        <v>93.192115692662597</v>
      </c>
      <c r="AJ6195">
        <v>131.270649612591</v>
      </c>
      <c r="AK6195">
        <v>19.930889050904199</v>
      </c>
    </row>
    <row r="6196" spans="1:37" x14ac:dyDescent="0.2">
      <c r="A6196" t="str">
        <f>"20200111160022428"</f>
        <v>20200111160022428</v>
      </c>
      <c r="B6196" t="str">
        <f>"1578729622417168"</f>
        <v>1578729622417168</v>
      </c>
      <c r="C6196" t="s">
        <v>37</v>
      </c>
      <c r="D6196">
        <v>5.0450749999999998</v>
      </c>
      <c r="E6196">
        <v>0.3809999</v>
      </c>
      <c r="F6196" t="s">
        <v>39</v>
      </c>
      <c r="G6196">
        <v>-194.52930000000001</v>
      </c>
      <c r="H6196" s="1">
        <v>-3.62125999999999E-6</v>
      </c>
      <c r="I6196">
        <v>-34.73283</v>
      </c>
      <c r="J6196">
        <v>-197.52699999999999</v>
      </c>
      <c r="K6196">
        <v>1.109893</v>
      </c>
      <c r="L6196">
        <v>-53.609439999999999</v>
      </c>
      <c r="M6196">
        <v>0.76682320000000004</v>
      </c>
      <c r="N6196">
        <v>0</v>
      </c>
      <c r="O6196">
        <v>0.64168380000000003</v>
      </c>
      <c r="P6196">
        <v>0.44887860000000002</v>
      </c>
      <c r="Q6196">
        <v>5.1337459999999998E-3</v>
      </c>
      <c r="R6196">
        <v>0.89357809999999904</v>
      </c>
      <c r="S6196">
        <v>0.50532529999999998</v>
      </c>
      <c r="T6196">
        <v>-0.18211079999999999</v>
      </c>
      <c r="U6196">
        <v>3.1102289999999999</v>
      </c>
      <c r="V6196">
        <v>-0.39742820000000001</v>
      </c>
      <c r="W6196">
        <v>1.3890120000000001E-2</v>
      </c>
      <c r="X6196">
        <v>0.91752819999999902</v>
      </c>
      <c r="Y6196">
        <v>-0.65390919999999997</v>
      </c>
      <c r="Z6196">
        <v>-2.0566129999999998E-2</v>
      </c>
      <c r="AA6196">
        <v>0.75629349999999995</v>
      </c>
      <c r="AB6196">
        <v>17</v>
      </c>
      <c r="AC6196">
        <v>2.9977</v>
      </c>
      <c r="AD6196">
        <v>-1.1098966212600001</v>
      </c>
      <c r="AE6196">
        <v>18.876609999999999</v>
      </c>
      <c r="AF6196">
        <v>-12.5106662506105</v>
      </c>
      <c r="AG6196">
        <v>-1.1098966212600001</v>
      </c>
      <c r="AH6196">
        <v>14.364696498809201</v>
      </c>
      <c r="AI6196">
        <v>93.334602815767099</v>
      </c>
      <c r="AJ6196">
        <v>131.05363201669499</v>
      </c>
      <c r="AK6196">
        <v>19.081224961908301</v>
      </c>
    </row>
    <row r="6197" spans="1:37" x14ac:dyDescent="0.2">
      <c r="A6197" t="str">
        <f>"20200111160022448"</f>
        <v>20200111160022448</v>
      </c>
      <c r="B6197" t="str">
        <f>"1578729622436686"</f>
        <v>1578729622436686</v>
      </c>
      <c r="C6197" t="s">
        <v>37</v>
      </c>
      <c r="D6197">
        <v>5.0020930000000003</v>
      </c>
      <c r="E6197">
        <v>0.38179039999999997</v>
      </c>
      <c r="F6197" t="s">
        <v>39</v>
      </c>
      <c r="G6197">
        <v>-194.58029999999999</v>
      </c>
      <c r="H6197" s="1">
        <v>-3.5725909999999999E-6</v>
      </c>
      <c r="I6197">
        <v>-34.902470000000001</v>
      </c>
      <c r="J6197">
        <v>-197.42080000000001</v>
      </c>
      <c r="K6197">
        <v>1.109966</v>
      </c>
      <c r="L6197">
        <v>-53.506349999999998</v>
      </c>
      <c r="M6197">
        <v>0.76084540000000001</v>
      </c>
      <c r="N6197">
        <v>0</v>
      </c>
      <c r="O6197">
        <v>0.64875989999999994</v>
      </c>
      <c r="P6197">
        <v>0.44375029999999999</v>
      </c>
      <c r="Q6197">
        <v>4.3786629999999997E-3</v>
      </c>
      <c r="R6197">
        <v>0.89613980000000004</v>
      </c>
      <c r="S6197">
        <v>0.49020390000000003</v>
      </c>
      <c r="T6197">
        <v>-0.18464239999999901</v>
      </c>
      <c r="U6197">
        <v>3.1120909999999999</v>
      </c>
      <c r="V6197">
        <v>-0.39417970000000002</v>
      </c>
      <c r="W6197">
        <v>1.315586E-2</v>
      </c>
      <c r="X6197">
        <v>0.91893919999999996</v>
      </c>
      <c r="Y6197">
        <v>-0.65055319999999905</v>
      </c>
      <c r="Z6197">
        <v>-2.1511430000000002E-2</v>
      </c>
      <c r="AA6197">
        <v>0.75915600000000005</v>
      </c>
      <c r="AB6197">
        <v>17</v>
      </c>
      <c r="AC6197">
        <v>2.84050000000002</v>
      </c>
      <c r="AD6197">
        <v>-1.1099695725909999</v>
      </c>
      <c r="AE6197">
        <v>18.60388</v>
      </c>
      <c r="AF6197">
        <v>-12.2705738797492</v>
      </c>
      <c r="AG6197">
        <v>-1.1099695725909999</v>
      </c>
      <c r="AH6197">
        <v>14.1828960724848</v>
      </c>
      <c r="AI6197">
        <v>93.387099146580695</v>
      </c>
      <c r="AJ6197">
        <v>130.865278724517</v>
      </c>
      <c r="AK6197">
        <v>18.787058226166401</v>
      </c>
    </row>
    <row r="6198" spans="1:37" x14ac:dyDescent="0.2">
      <c r="A6198" t="str">
        <f>"20200111160022463"</f>
        <v>20200111160022463</v>
      </c>
      <c r="B6198" t="str">
        <f>"1578729622457183"</f>
        <v>1578729622457183</v>
      </c>
      <c r="C6198" t="s">
        <v>37</v>
      </c>
      <c r="D6198">
        <v>4.9994620000000003</v>
      </c>
      <c r="E6198">
        <v>0.38271919999999998</v>
      </c>
      <c r="F6198" t="s">
        <v>39</v>
      </c>
      <c r="G6198">
        <v>-194.6183</v>
      </c>
      <c r="H6198" s="1">
        <v>-3.44226699999999E-6</v>
      </c>
      <c r="I6198">
        <v>-35.251280000000001</v>
      </c>
      <c r="J6198">
        <v>-197.33750000000001</v>
      </c>
      <c r="K6198">
        <v>1.1100179999999999</v>
      </c>
      <c r="L6198">
        <v>-53.42389</v>
      </c>
      <c r="M6198">
        <v>0.75599039999999995</v>
      </c>
      <c r="N6198">
        <v>0</v>
      </c>
      <c r="O6198">
        <v>0.65441019999999905</v>
      </c>
      <c r="P6198">
        <v>0.43884820000000002</v>
      </c>
      <c r="Q6198">
        <v>4.3825359999999898E-3</v>
      </c>
      <c r="R6198">
        <v>0.89855049999999903</v>
      </c>
      <c r="S6198">
        <v>0.47775269999999997</v>
      </c>
      <c r="T6198">
        <v>-0.1892219</v>
      </c>
      <c r="U6198">
        <v>3.1120299999999999</v>
      </c>
      <c r="V6198">
        <v>-0.39235429999999999</v>
      </c>
      <c r="W6198">
        <v>1.3169210000000001E-2</v>
      </c>
      <c r="X6198">
        <v>0.91971990000000003</v>
      </c>
      <c r="Y6198">
        <v>-0.64785369999999998</v>
      </c>
      <c r="Z6198">
        <v>-2.2595589999999999E-2</v>
      </c>
      <c r="AA6198">
        <v>0.76142959999999904</v>
      </c>
      <c r="AB6198">
        <v>17</v>
      </c>
      <c r="AC6198">
        <v>2.7191999999999998</v>
      </c>
      <c r="AD6198">
        <v>-1.1100214422669901</v>
      </c>
      <c r="AE6198">
        <v>18.172609999999999</v>
      </c>
      <c r="AF6198">
        <v>-11.916709043966399</v>
      </c>
      <c r="AG6198">
        <v>-1.1100214422669901</v>
      </c>
      <c r="AH6198">
        <v>13.8988840330634</v>
      </c>
      <c r="AI6198">
        <v>93.469597942264997</v>
      </c>
      <c r="AJ6198">
        <v>130.609325615383</v>
      </c>
      <c r="AK6198">
        <v>18.3417305455453</v>
      </c>
    </row>
    <row r="6199" spans="1:37" x14ac:dyDescent="0.2">
      <c r="A6199" t="str">
        <f>"20200111160022481"</f>
        <v>20200111160022481</v>
      </c>
      <c r="B6199" t="str">
        <f>"1578729622476702"</f>
        <v>1578729622476702</v>
      </c>
      <c r="C6199" t="s">
        <v>37</v>
      </c>
      <c r="D6199">
        <v>4.9766859999999999</v>
      </c>
      <c r="E6199">
        <v>0.383683</v>
      </c>
      <c r="F6199" t="s">
        <v>38</v>
      </c>
      <c r="G6199">
        <v>-197.20060000000001</v>
      </c>
      <c r="H6199">
        <v>1.0543709999999999</v>
      </c>
      <c r="I6199">
        <v>-52.513739999999999</v>
      </c>
      <c r="J6199">
        <v>-197.24440000000001</v>
      </c>
      <c r="K6199">
        <v>1.1100669999999999</v>
      </c>
      <c r="L6199">
        <v>-53.330019999999998</v>
      </c>
      <c r="M6199">
        <v>0.75038499999999997</v>
      </c>
      <c r="N6199">
        <v>0</v>
      </c>
      <c r="O6199">
        <v>0.66082980000000002</v>
      </c>
      <c r="P6199">
        <v>0.43508429999999998</v>
      </c>
      <c r="Q6199">
        <v>5.3620409999999997E-3</v>
      </c>
      <c r="R6199">
        <v>0.9003738</v>
      </c>
      <c r="S6199">
        <v>0.46742250000000002</v>
      </c>
      <c r="T6199">
        <v>-0.19020819999999999</v>
      </c>
      <c r="U6199">
        <v>3.1113279999999999</v>
      </c>
      <c r="V6199">
        <v>-0.38836999999999999</v>
      </c>
      <c r="W6199">
        <v>1.4204329999999999E-2</v>
      </c>
      <c r="X6199">
        <v>0.92139409999999899</v>
      </c>
      <c r="Y6199">
        <v>-0.64380479999999995</v>
      </c>
      <c r="Z6199">
        <v>-2.3377309999999998E-2</v>
      </c>
      <c r="AA6199">
        <v>0.76483269999999903</v>
      </c>
      <c r="AB6199">
        <v>17</v>
      </c>
      <c r="AC6199">
        <v>4.3800000000004502E-2</v>
      </c>
      <c r="AD6199">
        <v>-5.5695999999999898E-2</v>
      </c>
      <c r="AE6199">
        <v>0.81627999999999101</v>
      </c>
      <c r="AF6199">
        <v>-0.58094910899820495</v>
      </c>
      <c r="AG6199">
        <v>-5.5695999999999898E-2</v>
      </c>
      <c r="AH6199">
        <v>0.56970909868877695</v>
      </c>
      <c r="AI6199">
        <v>93.915774498128499</v>
      </c>
      <c r="AJ6199">
        <v>135.559666341894</v>
      </c>
      <c r="AK6199">
        <v>0.81558100075381001</v>
      </c>
    </row>
    <row r="6200" spans="1:37" x14ac:dyDescent="0.2">
      <c r="A6200" t="str">
        <f>"20200111160022504"</f>
        <v>20200111160022504</v>
      </c>
      <c r="B6200" t="str">
        <f>"1578729622497198"</f>
        <v>1578729622497198</v>
      </c>
      <c r="C6200" t="s">
        <v>37</v>
      </c>
      <c r="D6200">
        <v>4.962161</v>
      </c>
      <c r="E6200">
        <v>0.38448870000000002</v>
      </c>
      <c r="F6200" t="s">
        <v>38</v>
      </c>
      <c r="G6200">
        <v>-197.10679999999999</v>
      </c>
      <c r="H6200">
        <v>1.0539099999999999</v>
      </c>
      <c r="I6200">
        <v>-52.401539999999997</v>
      </c>
      <c r="J6200">
        <v>-197.1266</v>
      </c>
      <c r="K6200">
        <v>1.110134</v>
      </c>
      <c r="L6200">
        <v>-53.208709999999897</v>
      </c>
      <c r="M6200">
        <v>0.74302179999999995</v>
      </c>
      <c r="N6200">
        <v>0</v>
      </c>
      <c r="O6200">
        <v>0.66909739999999995</v>
      </c>
      <c r="P6200">
        <v>0.42957479999999998</v>
      </c>
      <c r="Q6200">
        <v>6.6942499999999997E-3</v>
      </c>
      <c r="R6200">
        <v>0.90300639999999999</v>
      </c>
      <c r="S6200">
        <v>0.46138000000000001</v>
      </c>
      <c r="T6200">
        <v>-0.18811510000000001</v>
      </c>
      <c r="U6200">
        <v>3.1101070000000002</v>
      </c>
      <c r="V6200">
        <v>-0.38380649999999999</v>
      </c>
      <c r="W6200">
        <v>1.559987E-2</v>
      </c>
      <c r="X6200">
        <v>0.92328180000000004</v>
      </c>
      <c r="Y6200">
        <v>-0.63673109999999999</v>
      </c>
      <c r="Z6200">
        <v>-2.4021529999999999E-2</v>
      </c>
      <c r="AA6200">
        <v>0.77071160000000005</v>
      </c>
      <c r="AB6200">
        <v>17</v>
      </c>
      <c r="AC6200">
        <v>1.9800000000003599E-2</v>
      </c>
      <c r="AD6200">
        <v>-5.6223999999999802E-2</v>
      </c>
      <c r="AE6200">
        <v>0.80716999999999195</v>
      </c>
      <c r="AF6200">
        <v>-0.58373291583810005</v>
      </c>
      <c r="AG6200">
        <v>-5.6223999999999802E-2</v>
      </c>
      <c r="AH6200">
        <v>0.55217274930706794</v>
      </c>
      <c r="AI6200">
        <v>94.002600552443496</v>
      </c>
      <c r="AJ6200">
        <v>136.59150474555801</v>
      </c>
      <c r="AK6200">
        <v>0.80548122280173395</v>
      </c>
    </row>
    <row r="6201" spans="1:37" x14ac:dyDescent="0.2">
      <c r="A6201" t="str">
        <f>"20200111160022527"</f>
        <v>20200111160022527</v>
      </c>
      <c r="B6201" t="str">
        <f>"1578729622516720"</f>
        <v>1578729622516720</v>
      </c>
      <c r="C6201" t="s">
        <v>37</v>
      </c>
      <c r="D6201">
        <v>5.0069169999999996</v>
      </c>
      <c r="E6201">
        <v>0.38540730000000001</v>
      </c>
      <c r="F6201" t="s">
        <v>38</v>
      </c>
      <c r="G6201">
        <v>-196.99610000000001</v>
      </c>
      <c r="H6201">
        <v>1.0560479999999901</v>
      </c>
      <c r="I6201">
        <v>-52.30444</v>
      </c>
      <c r="J6201">
        <v>-197.00559999999999</v>
      </c>
      <c r="K6201">
        <v>1.1101939999999999</v>
      </c>
      <c r="L6201">
        <v>-53.08081</v>
      </c>
      <c r="M6201">
        <v>0.73510989999999998</v>
      </c>
      <c r="N6201">
        <v>0</v>
      </c>
      <c r="O6201">
        <v>0.67777980000000004</v>
      </c>
      <c r="P6201">
        <v>0.42335149999999999</v>
      </c>
      <c r="Q6201">
        <v>6.4221119999999998E-3</v>
      </c>
      <c r="R6201">
        <v>0.90594269999999999</v>
      </c>
      <c r="S6201">
        <v>0.448349</v>
      </c>
      <c r="T6201">
        <v>-0.18602170000000001</v>
      </c>
      <c r="U6201">
        <v>3.1103209999999999</v>
      </c>
      <c r="V6201">
        <v>-0.37930829999999999</v>
      </c>
      <c r="W6201">
        <v>1.5387710000000001E-2</v>
      </c>
      <c r="X6201">
        <v>0.92514240000000003</v>
      </c>
      <c r="Y6201">
        <v>-0.63083789999999995</v>
      </c>
      <c r="Z6201">
        <v>-2.463539E-2</v>
      </c>
      <c r="AA6201">
        <v>0.77552349999999903</v>
      </c>
      <c r="AB6201">
        <v>17</v>
      </c>
      <c r="AC6201">
        <v>9.4999999999742998E-3</v>
      </c>
      <c r="AD6201">
        <v>-5.4146000000000201E-2</v>
      </c>
      <c r="AE6201">
        <v>0.77637</v>
      </c>
      <c r="AF6201">
        <v>-0.56161141770684497</v>
      </c>
      <c r="AG6201">
        <v>-5.4146000000000201E-2</v>
      </c>
      <c r="AH6201">
        <v>0.53067142613134699</v>
      </c>
      <c r="AI6201">
        <v>94.008531920751807</v>
      </c>
      <c r="AJ6201">
        <v>136.62252574944</v>
      </c>
      <c r="AK6201">
        <v>0.77456525633865803</v>
      </c>
    </row>
    <row r="6202" spans="1:37" x14ac:dyDescent="0.2">
      <c r="A6202" t="str">
        <f>"20200111160022548"</f>
        <v>20200111160022548</v>
      </c>
      <c r="B6202" t="str">
        <f>"1578729622537216"</f>
        <v>1578729622537216</v>
      </c>
      <c r="C6202" t="s">
        <v>37</v>
      </c>
      <c r="D6202">
        <v>4.9966169999999996</v>
      </c>
      <c r="E6202">
        <v>0.385822099999999</v>
      </c>
      <c r="F6202" t="s">
        <v>39</v>
      </c>
      <c r="G6202">
        <v>-194.45760000000001</v>
      </c>
      <c r="H6202" s="1">
        <v>-3.5846209999999999E-6</v>
      </c>
      <c r="I6202">
        <v>-34.80312</v>
      </c>
      <c r="J6202">
        <v>-196.8972</v>
      </c>
      <c r="K6202">
        <v>1.1102449999999999</v>
      </c>
      <c r="L6202">
        <v>-52.963290000000001</v>
      </c>
      <c r="M6202">
        <v>0.72771680000000005</v>
      </c>
      <c r="N6202">
        <v>0</v>
      </c>
      <c r="O6202">
        <v>0.68571070000000001</v>
      </c>
      <c r="P6202">
        <v>0.418560499999999</v>
      </c>
      <c r="Q6202">
        <v>4.8212929999999999E-3</v>
      </c>
      <c r="R6202">
        <v>0.90817610000000004</v>
      </c>
      <c r="S6202">
        <v>0.43357849999999998</v>
      </c>
      <c r="T6202">
        <v>-0.18891350000000001</v>
      </c>
      <c r="U6202">
        <v>3.1101679999999998</v>
      </c>
      <c r="V6202">
        <v>-0.3741449</v>
      </c>
      <c r="W6202">
        <v>1.386247E-2</v>
      </c>
      <c r="X6202">
        <v>0.9272667</v>
      </c>
      <c r="Y6202">
        <v>-0.62602369999999996</v>
      </c>
      <c r="Z6202">
        <v>-2.5821179999999999E-2</v>
      </c>
      <c r="AA6202">
        <v>0.77937639999999997</v>
      </c>
      <c r="AB6202">
        <v>17</v>
      </c>
      <c r="AC6202">
        <v>2.43959999999998</v>
      </c>
      <c r="AD6202">
        <v>-1.110248584621</v>
      </c>
      <c r="AE6202">
        <v>18.160170000000001</v>
      </c>
      <c r="AF6202">
        <v>-11.5016959319235</v>
      </c>
      <c r="AG6202">
        <v>-1.110248584621</v>
      </c>
      <c r="AH6202">
        <v>14.1775392785715</v>
      </c>
      <c r="AI6202">
        <v>93.480135171187499</v>
      </c>
      <c r="AJ6202">
        <v>129.05109962542801</v>
      </c>
      <c r="AK6202">
        <v>18.290004954223399</v>
      </c>
    </row>
    <row r="6203" spans="1:37" x14ac:dyDescent="0.2">
      <c r="A6203" t="str">
        <f>"20200111160022570"</f>
        <v>20200111160022570</v>
      </c>
      <c r="B6203" t="str">
        <f>"1578729622567471"</f>
        <v>1578729622567471</v>
      </c>
      <c r="C6203" t="s">
        <v>37</v>
      </c>
      <c r="D6203">
        <v>5.0797619999999997</v>
      </c>
      <c r="E6203">
        <v>0.39832240000000002</v>
      </c>
      <c r="F6203" t="s">
        <v>39</v>
      </c>
      <c r="G6203">
        <v>-194.5164</v>
      </c>
      <c r="H6203" s="1">
        <v>-3.3818399999999998E-6</v>
      </c>
      <c r="I6203">
        <v>-35.328899999999997</v>
      </c>
      <c r="J6203">
        <v>-196.78960000000001</v>
      </c>
      <c r="K6203">
        <v>1.1102809999999901</v>
      </c>
      <c r="L6203">
        <v>-52.84375</v>
      </c>
      <c r="M6203">
        <v>0.72009679999999998</v>
      </c>
      <c r="N6203">
        <v>0</v>
      </c>
      <c r="O6203">
        <v>0.69370790000000004</v>
      </c>
      <c r="P6203">
        <v>0.41360079999999999</v>
      </c>
      <c r="Q6203">
        <v>3.2336069999999999E-3</v>
      </c>
      <c r="R6203">
        <v>0.91045259999999995</v>
      </c>
      <c r="S6203">
        <v>0.41999819999999999</v>
      </c>
      <c r="T6203">
        <v>-0.19585239999999901</v>
      </c>
      <c r="U6203">
        <v>3.110779</v>
      </c>
      <c r="V6203">
        <v>-0.36893819999999999</v>
      </c>
      <c r="W6203">
        <v>1.236056E-2</v>
      </c>
      <c r="X6203">
        <v>0.92937179999999997</v>
      </c>
      <c r="Y6203">
        <v>-0.62075749999999996</v>
      </c>
      <c r="Z6203">
        <v>-2.761193E-2</v>
      </c>
      <c r="AA6203">
        <v>0.78351630000000005</v>
      </c>
      <c r="AB6203">
        <v>17</v>
      </c>
      <c r="AC6203">
        <v>2.2732000000000001</v>
      </c>
      <c r="AD6203">
        <v>-1.1102843818399999</v>
      </c>
      <c r="AE6203">
        <v>17.514849999999999</v>
      </c>
      <c r="AF6203">
        <v>-10.993275816549099</v>
      </c>
      <c r="AG6203">
        <v>-1.1102843818399999</v>
      </c>
      <c r="AH6203">
        <v>13.734422844282999</v>
      </c>
      <c r="AI6203">
        <v>93.611273593319396</v>
      </c>
      <c r="AJ6203">
        <v>128.67439994698799</v>
      </c>
      <c r="AK6203">
        <v>17.627229375396599</v>
      </c>
    </row>
    <row r="6204" spans="1:37" x14ac:dyDescent="0.2">
      <c r="A6204" t="str">
        <f>"20200111160022584"</f>
        <v>20200111160022584</v>
      </c>
      <c r="B6204" t="str">
        <f>"1578729622577230"</f>
        <v>1578729622577230</v>
      </c>
      <c r="C6204" t="s">
        <v>37</v>
      </c>
      <c r="D6204">
        <v>5.0466790000000001</v>
      </c>
      <c r="E6204">
        <v>0.39902480000000001</v>
      </c>
      <c r="F6204" t="s">
        <v>38</v>
      </c>
      <c r="G6204">
        <v>-196.63159999999999</v>
      </c>
      <c r="H6204">
        <v>1.032737</v>
      </c>
      <c r="I6204">
        <v>-51.85839</v>
      </c>
      <c r="J6204">
        <v>-196.7166</v>
      </c>
      <c r="K6204">
        <v>1.1103049999999901</v>
      </c>
      <c r="L6204">
        <v>-52.761139999999997</v>
      </c>
      <c r="M6204">
        <v>0.71477630000000003</v>
      </c>
      <c r="N6204">
        <v>0</v>
      </c>
      <c r="O6204">
        <v>0.69918840000000004</v>
      </c>
      <c r="P6204">
        <v>0.40930519999999998</v>
      </c>
      <c r="Q6204">
        <v>2.300912E-3</v>
      </c>
      <c r="R6204">
        <v>0.91239459999999994</v>
      </c>
      <c r="S6204">
        <v>0.49247740000000001</v>
      </c>
      <c r="T6204">
        <v>-0.24175820000000001</v>
      </c>
      <c r="U6204">
        <v>3.0722049999999999</v>
      </c>
      <c r="V6204">
        <v>-0.36620749999999902</v>
      </c>
      <c r="W6204">
        <v>1.147609E-2</v>
      </c>
      <c r="X6204">
        <v>0.93046249999999997</v>
      </c>
      <c r="Y6204">
        <v>-0.59504380000000001</v>
      </c>
      <c r="Z6204">
        <v>-3.592654E-2</v>
      </c>
      <c r="AA6204">
        <v>0.80288990000000005</v>
      </c>
      <c r="AB6204">
        <v>17</v>
      </c>
      <c r="AC6204">
        <v>8.5000000000007903E-2</v>
      </c>
      <c r="AD6204">
        <v>-7.7567999999999804E-2</v>
      </c>
      <c r="AE6204">
        <v>0.90275000000000405</v>
      </c>
      <c r="AF6204">
        <v>-0.58164427985985401</v>
      </c>
      <c r="AG6204">
        <v>-7.7567999999999804E-2</v>
      </c>
      <c r="AH6204">
        <v>0.68700052534970102</v>
      </c>
      <c r="AI6204">
        <v>94.925113051059398</v>
      </c>
      <c r="AJ6204">
        <v>130.252691596255</v>
      </c>
      <c r="AK6204">
        <v>0.90349133075445398</v>
      </c>
    </row>
    <row r="6205" spans="1:37" x14ac:dyDescent="0.2">
      <c r="A6205" t="str">
        <f>"20200111160022603"</f>
        <v>20200111160022603</v>
      </c>
      <c r="B6205" t="str">
        <f>"1578729622596750"</f>
        <v>1578729622596750</v>
      </c>
      <c r="C6205" t="s">
        <v>37</v>
      </c>
      <c r="D6205">
        <v>5.1380809999999997</v>
      </c>
      <c r="E6205">
        <v>0.39995320000000001</v>
      </c>
      <c r="F6205" t="s">
        <v>38</v>
      </c>
      <c r="G6205">
        <v>-196.57990000000001</v>
      </c>
      <c r="H6205">
        <v>1.041207</v>
      </c>
      <c r="I6205">
        <v>-51.892620000000001</v>
      </c>
      <c r="J6205">
        <v>-196.62559999999999</v>
      </c>
      <c r="K6205">
        <v>1.110317</v>
      </c>
      <c r="L6205">
        <v>-52.655880000000003</v>
      </c>
      <c r="M6205">
        <v>0.70793430000000002</v>
      </c>
      <c r="N6205">
        <v>0</v>
      </c>
      <c r="O6205">
        <v>0.70611480000000004</v>
      </c>
      <c r="P6205">
        <v>0.4055629</v>
      </c>
      <c r="Q6205">
        <v>2.0789229999999999E-3</v>
      </c>
      <c r="R6205">
        <v>0.91406480000000001</v>
      </c>
      <c r="S6205">
        <v>0.48329159999999999</v>
      </c>
      <c r="T6205">
        <v>-0.24438389999999999</v>
      </c>
      <c r="U6205">
        <v>3.071869</v>
      </c>
      <c r="V6205">
        <v>-0.36095300000000002</v>
      </c>
      <c r="W6205">
        <v>1.135594E-2</v>
      </c>
      <c r="X6205">
        <v>0.93251479999999998</v>
      </c>
      <c r="Y6205">
        <v>-0.58954600000000001</v>
      </c>
      <c r="Z6205">
        <v>-3.726459E-2</v>
      </c>
      <c r="AA6205">
        <v>0.8068748</v>
      </c>
      <c r="AB6205">
        <v>17</v>
      </c>
      <c r="AC6205">
        <v>4.5699999999982303E-2</v>
      </c>
      <c r="AD6205">
        <v>-6.9110000000000005E-2</v>
      </c>
      <c r="AE6205">
        <v>0.76326000000000205</v>
      </c>
      <c r="AF6205">
        <v>-0.50400977223371402</v>
      </c>
      <c r="AG6205">
        <v>-6.9110000000000005E-2</v>
      </c>
      <c r="AH6205">
        <v>0.566737924119599</v>
      </c>
      <c r="AI6205">
        <v>95.206545594270096</v>
      </c>
      <c r="AJ6205">
        <v>131.64724455354099</v>
      </c>
      <c r="AK6205">
        <v>0.76157331704995601</v>
      </c>
    </row>
    <row r="6206" spans="1:37" x14ac:dyDescent="0.2">
      <c r="A6206" t="str">
        <f>"20200111160022627"</f>
        <v>20200111160022627</v>
      </c>
      <c r="B6206" t="str">
        <f>"1578729622617249"</f>
        <v>1578729622617249</v>
      </c>
      <c r="C6206" t="s">
        <v>37</v>
      </c>
      <c r="D6206">
        <v>5.064781</v>
      </c>
      <c r="E6206">
        <v>0.40087339999999999</v>
      </c>
      <c r="F6206" t="s">
        <v>38</v>
      </c>
      <c r="G6206">
        <v>-196.48939999999999</v>
      </c>
      <c r="H6206">
        <v>1.0403260000000001</v>
      </c>
      <c r="I6206">
        <v>-51.780659999999997</v>
      </c>
      <c r="J6206">
        <v>-196.51339999999999</v>
      </c>
      <c r="K6206">
        <v>1.1103459999999901</v>
      </c>
      <c r="L6206">
        <v>-52.522979999999997</v>
      </c>
      <c r="M6206">
        <v>0.69917109999999905</v>
      </c>
      <c r="N6206">
        <v>0</v>
      </c>
      <c r="O6206">
        <v>0.71479230000000005</v>
      </c>
      <c r="P6206">
        <v>0.39894279999999999</v>
      </c>
      <c r="Q6206">
        <v>2.6702240000000001E-3</v>
      </c>
      <c r="R6206">
        <v>0.91697189999999995</v>
      </c>
      <c r="S6206">
        <v>0.47775269999999997</v>
      </c>
      <c r="T6206">
        <v>-0.24554570000000001</v>
      </c>
      <c r="U6206">
        <v>3.0706180000000001</v>
      </c>
      <c r="V6206">
        <v>-0.3561974</v>
      </c>
      <c r="W6206">
        <v>1.20392E-2</v>
      </c>
      <c r="X6206">
        <v>0.93433310000000003</v>
      </c>
      <c r="Y6206">
        <v>-0.58094199999999996</v>
      </c>
      <c r="Z6206">
        <v>-3.8697339999999997E-2</v>
      </c>
      <c r="AA6206">
        <v>0.81302450000000004</v>
      </c>
      <c r="AB6206">
        <v>17</v>
      </c>
      <c r="AC6206">
        <v>2.4000000000000899E-2</v>
      </c>
      <c r="AD6206">
        <v>-7.0019999999999694E-2</v>
      </c>
      <c r="AE6206">
        <v>0.74232000000000598</v>
      </c>
      <c r="AF6206">
        <v>-0.49749010193719101</v>
      </c>
      <c r="AG6206">
        <v>-7.0019999999999694E-2</v>
      </c>
      <c r="AH6206">
        <v>0.54262526421710999</v>
      </c>
      <c r="AI6206">
        <v>95.4333183842907</v>
      </c>
      <c r="AJ6206">
        <v>132.51524400126701</v>
      </c>
      <c r="AK6206">
        <v>0.73948724079064798</v>
      </c>
    </row>
    <row r="6207" spans="1:37" x14ac:dyDescent="0.2">
      <c r="A6207" t="str">
        <f>"20200111160022649"</f>
        <v>20200111160022649</v>
      </c>
      <c r="B6207" t="str">
        <f>"1578729622647503"</f>
        <v>1578729622647503</v>
      </c>
      <c r="C6207" t="s">
        <v>37</v>
      </c>
      <c r="D6207">
        <v>5.1508029999999998</v>
      </c>
      <c r="E6207">
        <v>0.40162159999999902</v>
      </c>
      <c r="F6207" t="s">
        <v>38</v>
      </c>
      <c r="G6207">
        <v>-196.3629</v>
      </c>
      <c r="H6207">
        <v>1.0315019999999999</v>
      </c>
      <c r="I6207">
        <v>-51.523780000000002</v>
      </c>
      <c r="J6207">
        <v>-196.4076</v>
      </c>
      <c r="K6207">
        <v>1.110374</v>
      </c>
      <c r="L6207">
        <v>-52.394129999999997</v>
      </c>
      <c r="M6207">
        <v>0.69054539999999998</v>
      </c>
      <c r="N6207">
        <v>0</v>
      </c>
      <c r="O6207">
        <v>0.7231284</v>
      </c>
      <c r="P6207">
        <v>0.39246370000000003</v>
      </c>
      <c r="Q6207">
        <v>3.7382740000000002E-3</v>
      </c>
      <c r="R6207">
        <v>0.91975989999999996</v>
      </c>
      <c r="S6207">
        <v>0.46273799999999998</v>
      </c>
      <c r="T6207">
        <v>-0.24233389999999999</v>
      </c>
      <c r="U6207">
        <v>3.0710139999999999</v>
      </c>
      <c r="V6207">
        <v>-0.35158879999999998</v>
      </c>
      <c r="W6207">
        <v>1.31939999999999E-2</v>
      </c>
      <c r="X6207">
        <v>0.93606160000000005</v>
      </c>
      <c r="Y6207">
        <v>-0.57508179999999998</v>
      </c>
      <c r="Z6207">
        <v>-3.9292279999999999E-2</v>
      </c>
      <c r="AA6207">
        <v>0.81715179999999998</v>
      </c>
      <c r="AB6207">
        <v>17</v>
      </c>
      <c r="AC6207">
        <v>4.4700000000005902E-2</v>
      </c>
      <c r="AD6207">
        <v>-7.8871999999999803E-2</v>
      </c>
      <c r="AE6207">
        <v>0.87034999999999396</v>
      </c>
      <c r="AF6207">
        <v>-0.56413782684059099</v>
      </c>
      <c r="AG6207">
        <v>-7.8871999999999803E-2</v>
      </c>
      <c r="AH6207">
        <v>0.65495445878412595</v>
      </c>
      <c r="AI6207">
        <v>95.213402798896595</v>
      </c>
      <c r="AJ6207">
        <v>130.73960381754401</v>
      </c>
      <c r="AK6207">
        <v>0.86800784739403902</v>
      </c>
    </row>
    <row r="6208" spans="1:37" x14ac:dyDescent="0.2">
      <c r="A6208" t="str">
        <f>"20200111160022671"</f>
        <v>20200111160022671</v>
      </c>
      <c r="B6208" t="str">
        <f>"1578729622667022"</f>
        <v>1578729622667022</v>
      </c>
      <c r="C6208" t="s">
        <v>37</v>
      </c>
      <c r="D6208">
        <v>5.0074769999999997</v>
      </c>
      <c r="E6208">
        <v>0.44830929999999902</v>
      </c>
      <c r="F6208" t="s">
        <v>38</v>
      </c>
      <c r="G6208">
        <v>-196.2654</v>
      </c>
      <c r="H6208">
        <v>1.034945</v>
      </c>
      <c r="I6208">
        <v>-51.417450000000002</v>
      </c>
      <c r="J6208">
        <v>-196.30789999999999</v>
      </c>
      <c r="K6208">
        <v>1.110403</v>
      </c>
      <c r="L6208">
        <v>-52.269620000000003</v>
      </c>
      <c r="M6208">
        <v>0.68211580000000005</v>
      </c>
      <c r="N6208">
        <v>0</v>
      </c>
      <c r="O6208">
        <v>0.73108490000000004</v>
      </c>
      <c r="P6208">
        <v>0.38664359999999998</v>
      </c>
      <c r="Q6208">
        <v>3.91289999999999E-3</v>
      </c>
      <c r="R6208">
        <v>0.92222090000000001</v>
      </c>
      <c r="S6208">
        <v>0.44685360000000002</v>
      </c>
      <c r="T6208">
        <v>-0.23722649999999901</v>
      </c>
      <c r="U6208">
        <v>3.0719910000000001</v>
      </c>
      <c r="V6208">
        <v>-0.34665009999999902</v>
      </c>
      <c r="W6208">
        <v>1.3465299999999999E-2</v>
      </c>
      <c r="X6208">
        <v>0.93789789999999995</v>
      </c>
      <c r="Y6208">
        <v>-0.56977699999999998</v>
      </c>
      <c r="Z6208">
        <v>-3.947879E-2</v>
      </c>
      <c r="AA6208">
        <v>0.82085059999999999</v>
      </c>
      <c r="AB6208">
        <v>17</v>
      </c>
      <c r="AC6208">
        <v>4.2499999999989699E-2</v>
      </c>
      <c r="AD6208">
        <v>-7.5457999999999997E-2</v>
      </c>
      <c r="AE6208">
        <v>0.85217000000000098</v>
      </c>
      <c r="AF6208">
        <v>-0.54600115549921002</v>
      </c>
      <c r="AG6208">
        <v>-7.5457999999999997E-2</v>
      </c>
      <c r="AH6208">
        <v>0.64701398688591805</v>
      </c>
      <c r="AI6208">
        <v>95.093305067864705</v>
      </c>
      <c r="AJ6208">
        <v>130.16029817285499</v>
      </c>
      <c r="AK6208">
        <v>0.849963687928187</v>
      </c>
    </row>
    <row r="6209" spans="1:37" x14ac:dyDescent="0.2">
      <c r="A6209" t="str">
        <f>"20200111160022694"</f>
        <v>20200111160022694</v>
      </c>
      <c r="B6209" t="str">
        <f>"1578729622687519"</f>
        <v>1578729622687519</v>
      </c>
      <c r="C6209" t="s">
        <v>37</v>
      </c>
      <c r="D6209">
        <v>5.2339479999999998</v>
      </c>
      <c r="E6209">
        <v>0.46559979999999901</v>
      </c>
      <c r="F6209" t="s">
        <v>38</v>
      </c>
      <c r="G6209">
        <v>-196.07050000000001</v>
      </c>
      <c r="H6209">
        <v>1.046902</v>
      </c>
      <c r="I6209">
        <v>-51.368389999999998</v>
      </c>
      <c r="J6209">
        <v>-196.20519999999999</v>
      </c>
      <c r="K6209">
        <v>1.1104209999999901</v>
      </c>
      <c r="L6209">
        <v>-52.13794</v>
      </c>
      <c r="M6209">
        <v>0.67311279999999996</v>
      </c>
      <c r="N6209">
        <v>0</v>
      </c>
      <c r="O6209">
        <v>0.73938199999999998</v>
      </c>
      <c r="P6209">
        <v>0.38069579999999997</v>
      </c>
      <c r="Q6209">
        <v>2.3879460000000002E-3</v>
      </c>
      <c r="R6209">
        <v>0.9246972</v>
      </c>
      <c r="S6209">
        <v>0.77194209999999996</v>
      </c>
      <c r="T6209">
        <v>-0.20647170000000001</v>
      </c>
      <c r="U6209">
        <v>2.93026699999999</v>
      </c>
      <c r="V6209">
        <v>-0.3411845</v>
      </c>
      <c r="W6209">
        <v>1.2050160000000001E-2</v>
      </c>
      <c r="X6209">
        <v>0.93991909999999901</v>
      </c>
      <c r="Y6209">
        <v>-0.46275529999999998</v>
      </c>
      <c r="Z6209">
        <v>-3.9060829999999998E-2</v>
      </c>
      <c r="AA6209">
        <v>0.88562510000000005</v>
      </c>
      <c r="AB6209">
        <v>17</v>
      </c>
      <c r="AC6209">
        <v>0.13469999999998</v>
      </c>
      <c r="AD6209">
        <v>-6.3518999999999798E-2</v>
      </c>
      <c r="AE6209">
        <v>0.76954999999999496</v>
      </c>
      <c r="AF6209">
        <v>-0.41570009704059302</v>
      </c>
      <c r="AG6209">
        <v>-6.3518999999999798E-2</v>
      </c>
      <c r="AH6209">
        <v>0.65540423238166501</v>
      </c>
      <c r="AI6209">
        <v>94.678761613387806</v>
      </c>
      <c r="AJ6209">
        <v>122.38553439931</v>
      </c>
      <c r="AK6209">
        <v>0.77871428769758599</v>
      </c>
    </row>
    <row r="6210" spans="1:37" x14ac:dyDescent="0.2">
      <c r="A6210" t="str">
        <f>"20200111160022716"</f>
        <v>20200111160022716</v>
      </c>
      <c r="B6210" t="str">
        <f>"1578729622707038"</f>
        <v>1578729622707038</v>
      </c>
      <c r="C6210" t="s">
        <v>37</v>
      </c>
      <c r="D6210">
        <v>5.2375759999999998</v>
      </c>
      <c r="E6210">
        <v>0.474771</v>
      </c>
      <c r="F6210" t="s">
        <v>39</v>
      </c>
      <c r="G6210">
        <v>-191.19280000000001</v>
      </c>
      <c r="H6210" s="1">
        <v>-2.3222610000000002E-6</v>
      </c>
      <c r="I6210">
        <v>-35.737429999999897</v>
      </c>
      <c r="J6210">
        <v>-196.10720000000001</v>
      </c>
      <c r="K6210">
        <v>1.1104290000000001</v>
      </c>
      <c r="L6210">
        <v>-52.008940000000003</v>
      </c>
      <c r="M6210">
        <v>0.66419609999999996</v>
      </c>
      <c r="N6210">
        <v>0</v>
      </c>
      <c r="O6210">
        <v>0.74740180000000001</v>
      </c>
      <c r="P6210">
        <v>0.3808667</v>
      </c>
      <c r="Q6210">
        <v>-1.233502E-3</v>
      </c>
      <c r="R6210">
        <v>0.92462919999999904</v>
      </c>
      <c r="S6210">
        <v>0.88085939999999996</v>
      </c>
      <c r="T6210">
        <v>-0.19513989999999901</v>
      </c>
      <c r="U6210">
        <v>2.8821409999999998</v>
      </c>
      <c r="V6210">
        <v>-0.32966440000000002</v>
      </c>
      <c r="W6210">
        <v>8.6552650000000005E-3</v>
      </c>
      <c r="X6210">
        <v>0.94405849999999902</v>
      </c>
      <c r="Y6210">
        <v>-0.41700599999999999</v>
      </c>
      <c r="Z6210">
        <v>-3.8938E-2</v>
      </c>
      <c r="AA6210">
        <v>0.90806929999999997</v>
      </c>
      <c r="AB6210">
        <v>17</v>
      </c>
      <c r="AC6210">
        <v>4.9143999999999997</v>
      </c>
      <c r="AD6210">
        <v>-1.1104313222610001</v>
      </c>
      <c r="AE6210">
        <v>16.271509999999999</v>
      </c>
      <c r="AF6210">
        <v>-7.1049539345785497</v>
      </c>
      <c r="AG6210">
        <v>-1.1104313222610001</v>
      </c>
      <c r="AH6210">
        <v>15.361724433721101</v>
      </c>
      <c r="AI6210">
        <v>93.753687703394803</v>
      </c>
      <c r="AJ6210">
        <v>114.821021829633</v>
      </c>
      <c r="AK6210">
        <v>16.961603866130201</v>
      </c>
    </row>
    <row r="6211" spans="1:37" x14ac:dyDescent="0.2">
      <c r="A6211" t="str">
        <f>"20200111160022738"</f>
        <v>20200111160022738</v>
      </c>
      <c r="B6211" t="str">
        <f>"1578729622727533"</f>
        <v>1578729622727533</v>
      </c>
      <c r="C6211" t="s">
        <v>37</v>
      </c>
      <c r="D6211">
        <v>5.1849780000000001</v>
      </c>
      <c r="E6211">
        <v>0.47880020000000001</v>
      </c>
      <c r="F6211" t="s">
        <v>39</v>
      </c>
      <c r="G6211">
        <v>-191.01599999999999</v>
      </c>
      <c r="H6211" s="1">
        <v>-1.8654589999999999E-6</v>
      </c>
      <c r="I6211">
        <v>-36.692599999999999</v>
      </c>
      <c r="J6211">
        <v>-196.0137</v>
      </c>
      <c r="K6211">
        <v>1.1104290000000001</v>
      </c>
      <c r="L6211">
        <v>-51.882539999999999</v>
      </c>
      <c r="M6211">
        <v>0.65536719999999904</v>
      </c>
      <c r="N6211">
        <v>0</v>
      </c>
      <c r="O6211">
        <v>0.75515509999999997</v>
      </c>
      <c r="P6211">
        <v>0.3773532</v>
      </c>
      <c r="Q6211">
        <v>-3.4543529999999999E-3</v>
      </c>
      <c r="R6211">
        <v>0.92606290000000002</v>
      </c>
      <c r="S6211">
        <v>0.94853209999999999</v>
      </c>
      <c r="T6211">
        <v>-0.20688129999999999</v>
      </c>
      <c r="U6211">
        <v>2.8535459999999899</v>
      </c>
      <c r="V6211">
        <v>-0.32211069999999897</v>
      </c>
      <c r="W6211">
        <v>6.5839459999999898E-3</v>
      </c>
      <c r="X6211">
        <v>0.946679099999999</v>
      </c>
      <c r="Y6211">
        <v>-0.38406079999999998</v>
      </c>
      <c r="Z6211">
        <v>-4.2872510000000003E-2</v>
      </c>
      <c r="AA6211">
        <v>0.92231189999999996</v>
      </c>
      <c r="AB6211">
        <v>17</v>
      </c>
      <c r="AC6211">
        <v>4.9977</v>
      </c>
      <c r="AD6211">
        <v>-1.110430865459</v>
      </c>
      <c r="AE6211">
        <v>15.18994</v>
      </c>
      <c r="AF6211">
        <v>-6.1520095839021103</v>
      </c>
      <c r="AG6211">
        <v>-1.110430865459</v>
      </c>
      <c r="AH6211">
        <v>14.6770457110301</v>
      </c>
      <c r="AI6211">
        <v>93.991398082412204</v>
      </c>
      <c r="AJ6211">
        <v>112.74141243913</v>
      </c>
      <c r="AK6211">
        <v>15.9529291802807</v>
      </c>
    </row>
    <row r="6212" spans="1:37" x14ac:dyDescent="0.2">
      <c r="A6212" t="str">
        <f>"20200111160022760"</f>
        <v>20200111160022760</v>
      </c>
      <c r="B6212" t="str">
        <f>"1578729622756814"</f>
        <v>1578729622756814</v>
      </c>
      <c r="C6212" t="s">
        <v>37</v>
      </c>
      <c r="D6212">
        <v>5.2902990000000001</v>
      </c>
      <c r="E6212">
        <v>0.4841085</v>
      </c>
      <c r="F6212" t="s">
        <v>39</v>
      </c>
      <c r="G6212">
        <v>-191.1566</v>
      </c>
      <c r="H6212" s="1">
        <v>-1.5157139999999999E-6</v>
      </c>
      <c r="I6212">
        <v>-37.595089999999999</v>
      </c>
      <c r="J6212">
        <v>-195.9179</v>
      </c>
      <c r="K6212">
        <v>1.1104350000000001</v>
      </c>
      <c r="L6212">
        <v>-51.749600000000001</v>
      </c>
      <c r="M6212">
        <v>0.64598480000000003</v>
      </c>
      <c r="N6212">
        <v>0</v>
      </c>
      <c r="O6212">
        <v>0.76319630000000005</v>
      </c>
      <c r="P6212">
        <v>0.3751409</v>
      </c>
      <c r="Q6212">
        <v>-3.8999529999999998E-3</v>
      </c>
      <c r="R6212">
        <v>0.92695959999999999</v>
      </c>
      <c r="S6212">
        <v>0.96704100000000004</v>
      </c>
      <c r="T6212">
        <v>-0.22108699999999901</v>
      </c>
      <c r="U6212">
        <v>2.8446349999999998</v>
      </c>
      <c r="V6212">
        <v>-0.31265009999999999</v>
      </c>
      <c r="W6212">
        <v>6.3245519999999998E-3</v>
      </c>
      <c r="X6212">
        <v>0.94984729999999995</v>
      </c>
      <c r="Y6212">
        <v>-0.36639879999999903</v>
      </c>
      <c r="Z6212">
        <v>-4.7038980000000001E-2</v>
      </c>
      <c r="AA6212">
        <v>0.92926810000000004</v>
      </c>
      <c r="AB6212">
        <v>17</v>
      </c>
      <c r="AC6212">
        <v>4.7613000000000003</v>
      </c>
      <c r="AD6212">
        <v>-1.1104365157139999</v>
      </c>
      <c r="AE6212">
        <v>14.15451</v>
      </c>
      <c r="AF6212">
        <v>-5.4801399378733704</v>
      </c>
      <c r="AG6212">
        <v>-1.1104365157139999</v>
      </c>
      <c r="AH6212">
        <v>13.8037082629514</v>
      </c>
      <c r="AI6212">
        <v>94.275939939003294</v>
      </c>
      <c r="AJ6212">
        <v>111.653320583096</v>
      </c>
      <c r="AK6212">
        <v>14.8931986088543</v>
      </c>
    </row>
    <row r="6213" spans="1:37" x14ac:dyDescent="0.2">
      <c r="A6213" t="str">
        <f>"20200111160022782"</f>
        <v>20200111160022782</v>
      </c>
      <c r="B6213" t="str">
        <f>"1578729622777310"</f>
        <v>1578729622777310</v>
      </c>
      <c r="C6213" t="s">
        <v>37</v>
      </c>
      <c r="D6213">
        <v>5.4718099999999996</v>
      </c>
      <c r="E6213">
        <v>0.48643389999999997</v>
      </c>
      <c r="F6213" t="s">
        <v>39</v>
      </c>
      <c r="G6213">
        <v>-190.65430000000001</v>
      </c>
      <c r="H6213" s="1">
        <v>-1.7041549999999999E-6</v>
      </c>
      <c r="I6213">
        <v>-36.844270000000002</v>
      </c>
      <c r="J6213">
        <v>-195.82759999999999</v>
      </c>
      <c r="K6213">
        <v>1.1104339999999999</v>
      </c>
      <c r="L6213">
        <v>-51.620909999999903</v>
      </c>
      <c r="M6213">
        <v>0.63681350000000003</v>
      </c>
      <c r="N6213">
        <v>0</v>
      </c>
      <c r="O6213">
        <v>0.77086509999999997</v>
      </c>
      <c r="P6213">
        <v>0.37526090000000001</v>
      </c>
      <c r="Q6213">
        <v>-3.485237E-3</v>
      </c>
      <c r="R6213">
        <v>0.92691270000000003</v>
      </c>
      <c r="S6213">
        <v>0.99969479999999999</v>
      </c>
      <c r="T6213">
        <v>-0.21090229999999899</v>
      </c>
      <c r="U6213">
        <v>2.8309329999999999</v>
      </c>
      <c r="V6213">
        <v>-0.30115649999999999</v>
      </c>
      <c r="W6213">
        <v>6.9634989999999997E-3</v>
      </c>
      <c r="X6213">
        <v>0.95354930000000004</v>
      </c>
      <c r="Y6213">
        <v>-0.34422989999999998</v>
      </c>
      <c r="Z6213">
        <v>-4.6121080000000002E-2</v>
      </c>
      <c r="AA6213">
        <v>0.93775189999999997</v>
      </c>
      <c r="AB6213">
        <v>17</v>
      </c>
      <c r="AC6213">
        <v>5.1732999999999798</v>
      </c>
      <c r="AD6213">
        <v>-1.1104357041549999</v>
      </c>
      <c r="AE6213">
        <v>14.776639999999899</v>
      </c>
      <c r="AF6213">
        <v>-5.3955431861234997</v>
      </c>
      <c r="AG6213">
        <v>-1.1104357041549999</v>
      </c>
      <c r="AH6213">
        <v>14.613438563956599</v>
      </c>
      <c r="AI6213">
        <v>94.077359096852604</v>
      </c>
      <c r="AJ6213">
        <v>110.26504888231599</v>
      </c>
      <c r="AK6213">
        <v>15.6172193552156</v>
      </c>
    </row>
    <row r="6214" spans="1:37" x14ac:dyDescent="0.2">
      <c r="A6214" t="str">
        <f>"20200111160022805"</f>
        <v>20200111160022805</v>
      </c>
      <c r="B6214" t="str">
        <f>"1578729622796830"</f>
        <v>1578729622796830</v>
      </c>
      <c r="C6214" t="s">
        <v>37</v>
      </c>
      <c r="D6214">
        <v>5.1402729999999996</v>
      </c>
      <c r="E6214">
        <v>0.48751800000000001</v>
      </c>
      <c r="F6214" t="s">
        <v>39</v>
      </c>
      <c r="G6214">
        <v>-190.28319999999999</v>
      </c>
      <c r="H6214" s="1">
        <v>-1.8685349999999899E-6</v>
      </c>
      <c r="I6214">
        <v>-36.230899999999998</v>
      </c>
      <c r="J6214">
        <v>-195.73269999999999</v>
      </c>
      <c r="K6214">
        <v>1.1104430000000001</v>
      </c>
      <c r="L6214">
        <v>-51.481809999999903</v>
      </c>
      <c r="M6214">
        <v>0.62681160000000002</v>
      </c>
      <c r="N6214">
        <v>0</v>
      </c>
      <c r="O6214">
        <v>0.77901949999999998</v>
      </c>
      <c r="P6214">
        <v>0.37480269999999999</v>
      </c>
      <c r="Q6214">
        <v>-2.85927599999999E-3</v>
      </c>
      <c r="R6214">
        <v>0.92710020000000004</v>
      </c>
      <c r="S6214">
        <v>1.0173490000000001</v>
      </c>
      <c r="T6214">
        <v>-0.20375379999999901</v>
      </c>
      <c r="U6214">
        <v>2.8239139999999998</v>
      </c>
      <c r="V6214">
        <v>-0.28930939999999999</v>
      </c>
      <c r="W6214">
        <v>7.8198739999999992E-3</v>
      </c>
      <c r="X6214">
        <v>0.95720369999999999</v>
      </c>
      <c r="Y6214">
        <v>-0.32611409999999902</v>
      </c>
      <c r="Z6214">
        <v>-4.5666680000000001E-2</v>
      </c>
      <c r="AA6214">
        <v>0.94422669999999997</v>
      </c>
      <c r="AB6214">
        <v>17</v>
      </c>
      <c r="AC6214">
        <v>5.4494999999999996</v>
      </c>
      <c r="AD6214">
        <v>-1.1104448685349999</v>
      </c>
      <c r="AE6214">
        <v>15.2509099999999</v>
      </c>
      <c r="AF6214">
        <v>-5.2899377699064898</v>
      </c>
      <c r="AG6214">
        <v>-1.1104448685349999</v>
      </c>
      <c r="AH6214">
        <v>15.2267846827854</v>
      </c>
      <c r="AI6214">
        <v>93.940781625591399</v>
      </c>
      <c r="AJ6214">
        <v>109.1577398979</v>
      </c>
      <c r="AK6214">
        <v>16.1577071761883</v>
      </c>
    </row>
    <row r="6215" spans="1:37" x14ac:dyDescent="0.2">
      <c r="A6215" t="str">
        <f>"20200111160022827"</f>
        <v>20200111160022827</v>
      </c>
      <c r="B6215" t="str">
        <f>"1578729622817325"</f>
        <v>1578729622817325</v>
      </c>
      <c r="C6215" t="s">
        <v>37</v>
      </c>
      <c r="D6215">
        <v>5.2604220000000002</v>
      </c>
      <c r="E6215">
        <v>0.48803739999999901</v>
      </c>
      <c r="F6215" t="s">
        <v>39</v>
      </c>
      <c r="G6215">
        <v>-189.97919999999999</v>
      </c>
      <c r="H6215" s="1">
        <v>-2.0456590000000001E-6</v>
      </c>
      <c r="I6215">
        <v>-35.629519999999999</v>
      </c>
      <c r="J6215">
        <v>-195.64449999999999</v>
      </c>
      <c r="K6215">
        <v>1.110441</v>
      </c>
      <c r="L6215">
        <v>-51.34863</v>
      </c>
      <c r="M6215">
        <v>0.61715719999999996</v>
      </c>
      <c r="N6215">
        <v>0</v>
      </c>
      <c r="O6215">
        <v>0.78668979999999999</v>
      </c>
      <c r="P6215">
        <v>0.37528899999999998</v>
      </c>
      <c r="Q6215">
        <v>-3.3540879999999999E-3</v>
      </c>
      <c r="R6215">
        <v>0.9269018</v>
      </c>
      <c r="S6215">
        <v>1.0239719999999899</v>
      </c>
      <c r="T6215">
        <v>-0.1976321</v>
      </c>
      <c r="U6215">
        <v>2.8213200000000001</v>
      </c>
      <c r="V6215">
        <v>-0.27697280000000002</v>
      </c>
      <c r="W6215">
        <v>7.5628680000000004E-3</v>
      </c>
      <c r="X6215">
        <v>0.96084799999999904</v>
      </c>
      <c r="Y6215">
        <v>-0.31217780000000001</v>
      </c>
      <c r="Z6215">
        <v>-4.521878E-2</v>
      </c>
      <c r="AA6215">
        <v>0.94894699999999998</v>
      </c>
      <c r="AB6215">
        <v>17</v>
      </c>
      <c r="AC6215">
        <v>5.6653000000000002</v>
      </c>
      <c r="AD6215">
        <v>-1.110443045659</v>
      </c>
      <c r="AE6215">
        <v>15.719110000000001</v>
      </c>
      <c r="AF6215">
        <v>-5.2218839748619601</v>
      </c>
      <c r="AG6215">
        <v>-1.110443045659</v>
      </c>
      <c r="AH6215">
        <v>15.7945574914676</v>
      </c>
      <c r="AI6215">
        <v>93.818934377413498</v>
      </c>
      <c r="AJ6215">
        <v>108.29455053319801</v>
      </c>
      <c r="AK6215">
        <v>16.672408414978602</v>
      </c>
    </row>
    <row r="6216" spans="1:37" x14ac:dyDescent="0.2">
      <c r="A6216" t="str">
        <f>"20200111160022849"</f>
        <v>20200111160022849</v>
      </c>
      <c r="B6216" t="str">
        <f>"1578729622847582"</f>
        <v>1578729622847582</v>
      </c>
      <c r="C6216" t="s">
        <v>37</v>
      </c>
      <c r="D6216">
        <v>5.1565969999999997</v>
      </c>
      <c r="E6216">
        <v>0.48809160000000001</v>
      </c>
      <c r="F6216" t="s">
        <v>39</v>
      </c>
      <c r="G6216">
        <v>-189.81979999999999</v>
      </c>
      <c r="H6216" s="1">
        <v>-2.163765E-6</v>
      </c>
      <c r="I6216">
        <v>-35.397930000000002</v>
      </c>
      <c r="J6216">
        <v>-195.5592</v>
      </c>
      <c r="K6216">
        <v>1.1104430000000001</v>
      </c>
      <c r="L6216">
        <v>-51.216000000000001</v>
      </c>
      <c r="M6216">
        <v>0.60748009999999997</v>
      </c>
      <c r="N6216">
        <v>0</v>
      </c>
      <c r="O6216">
        <v>0.79418610000000001</v>
      </c>
      <c r="P6216">
        <v>0.37619019999999997</v>
      </c>
      <c r="Q6216">
        <v>-4.1298910000000001E-3</v>
      </c>
      <c r="R6216">
        <v>0.9265333</v>
      </c>
      <c r="S6216">
        <v>1.0294490000000001</v>
      </c>
      <c r="T6216">
        <v>-0.19625719999999999</v>
      </c>
      <c r="U6216">
        <v>2.8190919999999999</v>
      </c>
      <c r="V6216">
        <v>-0.26423990000000003</v>
      </c>
      <c r="W6216">
        <v>7.0316850000000002E-3</v>
      </c>
      <c r="X6216">
        <v>0.96443129999999999</v>
      </c>
      <c r="Y6216">
        <v>-0.29865799999999998</v>
      </c>
      <c r="Z6216">
        <v>-4.5787059999999997E-2</v>
      </c>
      <c r="AA6216">
        <v>0.95326129999999998</v>
      </c>
      <c r="AB6216">
        <v>17</v>
      </c>
      <c r="AC6216">
        <v>5.7394000000000096</v>
      </c>
      <c r="AD6216">
        <v>-1.1104451637649999</v>
      </c>
      <c r="AE6216">
        <v>15.818070000000001</v>
      </c>
      <c r="AF6216">
        <v>-5.0297044192887999</v>
      </c>
      <c r="AG6216">
        <v>-1.1104451637649999</v>
      </c>
      <c r="AH6216">
        <v>15.981363026231501</v>
      </c>
      <c r="AI6216">
        <v>93.791947832092802</v>
      </c>
      <c r="AJ6216">
        <v>107.469994095481</v>
      </c>
      <c r="AK6216">
        <v>16.790919545496699</v>
      </c>
    </row>
    <row r="6217" spans="1:37" x14ac:dyDescent="0.2">
      <c r="A6217" t="str">
        <f>"20200111160022871"</f>
        <v>20200111160022871</v>
      </c>
      <c r="B6217" t="str">
        <f>"1578729622867102"</f>
        <v>1578729622867102</v>
      </c>
      <c r="C6217" t="s">
        <v>37</v>
      </c>
      <c r="D6217">
        <v>5.2157109999999998</v>
      </c>
      <c r="E6217">
        <v>0.4880717</v>
      </c>
      <c r="F6217" t="s">
        <v>39</v>
      </c>
      <c r="G6217">
        <v>-189.7987</v>
      </c>
      <c r="H6217" s="1">
        <v>-2.1283040000000001E-6</v>
      </c>
      <c r="I6217">
        <v>-35.489329999999903</v>
      </c>
      <c r="J6217">
        <v>-195.47649999999999</v>
      </c>
      <c r="K6217">
        <v>1.1104229999999999</v>
      </c>
      <c r="L6217">
        <v>-51.083979999999997</v>
      </c>
      <c r="M6217">
        <v>0.59779189999999904</v>
      </c>
      <c r="N6217">
        <v>0</v>
      </c>
      <c r="O6217">
        <v>0.80150379999999999</v>
      </c>
      <c r="P6217">
        <v>0.37669580000000003</v>
      </c>
      <c r="Q6217">
        <v>-4.2672099999999996E-3</v>
      </c>
      <c r="R6217">
        <v>0.92632719999999902</v>
      </c>
      <c r="S6217">
        <v>1.0321659999999999</v>
      </c>
      <c r="T6217">
        <v>-0.19896920000000001</v>
      </c>
      <c r="U6217">
        <v>2.8179020000000001</v>
      </c>
      <c r="V6217">
        <v>-0.2519806</v>
      </c>
      <c r="W6217">
        <v>7.1299110000000001E-3</v>
      </c>
      <c r="X6217">
        <v>0.96770599999999996</v>
      </c>
      <c r="Y6217">
        <v>-0.28613070000000002</v>
      </c>
      <c r="Z6217">
        <v>-4.7267040000000003E-2</v>
      </c>
      <c r="AA6217">
        <v>0.95702399999999999</v>
      </c>
      <c r="AB6217">
        <v>17</v>
      </c>
      <c r="AC6217">
        <v>5.6777999999999897</v>
      </c>
      <c r="AD6217">
        <v>-1.1104251283040001</v>
      </c>
      <c r="AE6217">
        <v>15.59465</v>
      </c>
      <c r="AF6217">
        <v>-4.7508728745106996</v>
      </c>
      <c r="AG6217">
        <v>-1.1104251283040001</v>
      </c>
      <c r="AH6217">
        <v>15.8243515630522</v>
      </c>
      <c r="AI6217">
        <v>93.844971860810702</v>
      </c>
      <c r="AJ6217">
        <v>106.711093617307</v>
      </c>
      <c r="AK6217">
        <v>16.559406373007601</v>
      </c>
    </row>
    <row r="6218" spans="1:37" x14ac:dyDescent="0.2">
      <c r="A6218" t="str">
        <f>"20200111160022895"</f>
        <v>20200111160022895</v>
      </c>
      <c r="B6218" t="str">
        <f>"1578729622886621"</f>
        <v>1578729622886621</v>
      </c>
      <c r="C6218" t="s">
        <v>37</v>
      </c>
      <c r="D6218">
        <v>5.2655029999999998</v>
      </c>
      <c r="E6218">
        <v>0.48781279999999999</v>
      </c>
      <c r="F6218" t="s">
        <v>39</v>
      </c>
      <c r="G6218">
        <v>-189.6482</v>
      </c>
      <c r="H6218" s="1">
        <v>-2.2800280000000001E-6</v>
      </c>
      <c r="I6218">
        <v>-35.197859999999999</v>
      </c>
      <c r="J6218">
        <v>-195.38890000000001</v>
      </c>
      <c r="K6218">
        <v>1.110411</v>
      </c>
      <c r="L6218">
        <v>-50.939880000000002</v>
      </c>
      <c r="M6218">
        <v>0.58715620000000002</v>
      </c>
      <c r="N6218">
        <v>0</v>
      </c>
      <c r="O6218">
        <v>0.80932740000000003</v>
      </c>
      <c r="P6218">
        <v>0.37559789999999998</v>
      </c>
      <c r="Q6218">
        <v>-3.6880369999999999E-3</v>
      </c>
      <c r="R6218">
        <v>0.92677540000000003</v>
      </c>
      <c r="S6218">
        <v>1.0336299999999901</v>
      </c>
      <c r="T6218">
        <v>-0.196930299999999</v>
      </c>
      <c r="U6218">
        <v>2.8173520000000001</v>
      </c>
      <c r="V6218">
        <v>-0.24034079999999999</v>
      </c>
      <c r="W6218">
        <v>7.9319290000000008E-3</v>
      </c>
      <c r="X6218">
        <v>0.97065619999999997</v>
      </c>
      <c r="Y6218">
        <v>-0.2729586</v>
      </c>
      <c r="Z6218">
        <v>-4.7667639999999997E-2</v>
      </c>
      <c r="AA6218">
        <v>0.96084409999999898</v>
      </c>
      <c r="AB6218">
        <v>16</v>
      </c>
      <c r="AC6218">
        <v>5.7407000000000004</v>
      </c>
      <c r="AD6218">
        <v>-1.110413280028</v>
      </c>
      <c r="AE6218">
        <v>15.74202</v>
      </c>
      <c r="AF6218">
        <v>-4.5773611375455898</v>
      </c>
      <c r="AG6218">
        <v>-1.110413280028</v>
      </c>
      <c r="AH6218">
        <v>16.042590503664901</v>
      </c>
      <c r="AI6218">
        <v>93.808003479999698</v>
      </c>
      <c r="AJ6218">
        <v>105.924802436165</v>
      </c>
      <c r="AK6218">
        <v>16.719747686620501</v>
      </c>
    </row>
    <row r="6219" spans="1:37" x14ac:dyDescent="0.2">
      <c r="A6219" t="str">
        <f>"20200111160022917"</f>
        <v>20200111160022917</v>
      </c>
      <c r="B6219" t="str">
        <f>"1578729622907117"</f>
        <v>1578729622907117</v>
      </c>
      <c r="C6219" t="s">
        <v>37</v>
      </c>
      <c r="D6219">
        <v>5.2225380000000001</v>
      </c>
      <c r="E6219">
        <v>0.48750539999999998</v>
      </c>
      <c r="F6219" t="s">
        <v>39</v>
      </c>
      <c r="G6219">
        <v>-189.51939999999999</v>
      </c>
      <c r="H6219" s="1">
        <v>-2.4560829999999998E-6</v>
      </c>
      <c r="I6219">
        <v>-34.840759999999896</v>
      </c>
      <c r="J6219">
        <v>-195.30690000000001</v>
      </c>
      <c r="K6219">
        <v>1.1103940000000001</v>
      </c>
      <c r="L6219">
        <v>-50.800930000000001</v>
      </c>
      <c r="M6219">
        <v>0.57683830000000003</v>
      </c>
      <c r="N6219">
        <v>0</v>
      </c>
      <c r="O6219">
        <v>0.81671359999999904</v>
      </c>
      <c r="P6219">
        <v>0.37326799999999999</v>
      </c>
      <c r="Q6219">
        <v>-4.0967720000000003E-3</v>
      </c>
      <c r="R6219">
        <v>0.9277145</v>
      </c>
      <c r="S6219">
        <v>1.0280149999999999</v>
      </c>
      <c r="T6219">
        <v>-0.19448070000000001</v>
      </c>
      <c r="U6219">
        <v>2.8196409999999998</v>
      </c>
      <c r="V6219">
        <v>-0.23044299999999901</v>
      </c>
      <c r="W6219">
        <v>7.711636E-3</v>
      </c>
      <c r="X6219">
        <v>0.97305520000000001</v>
      </c>
      <c r="Y6219">
        <v>-0.26267560000000001</v>
      </c>
      <c r="Z6219">
        <v>-4.7846369999999999E-2</v>
      </c>
      <c r="AA6219">
        <v>0.96369719999999903</v>
      </c>
      <c r="AB6219">
        <v>16</v>
      </c>
      <c r="AC6219">
        <v>5.7875000000000201</v>
      </c>
      <c r="AD6219">
        <v>-1.110396456083</v>
      </c>
      <c r="AE6219">
        <v>15.96017</v>
      </c>
      <c r="AF6219">
        <v>-4.4611528430305603</v>
      </c>
      <c r="AG6219">
        <v>-1.110396456083</v>
      </c>
      <c r="AH6219">
        <v>16.305522722849599</v>
      </c>
      <c r="AI6219">
        <v>93.758092486874801</v>
      </c>
      <c r="AJ6219">
        <v>105.30152538964801</v>
      </c>
      <c r="AK6219">
        <v>16.9412200341039</v>
      </c>
    </row>
    <row r="6220" spans="1:37" x14ac:dyDescent="0.2">
      <c r="A6220" t="str">
        <f>"20200111160022939"</f>
        <v>20200111160022939</v>
      </c>
      <c r="B6220" t="str">
        <f>"1578729622927613"</f>
        <v>1578729622927613</v>
      </c>
      <c r="C6220" t="s">
        <v>37</v>
      </c>
      <c r="D6220">
        <v>5.1653459999999898</v>
      </c>
      <c r="E6220">
        <v>0.48657460000000002</v>
      </c>
      <c r="F6220" t="s">
        <v>39</v>
      </c>
      <c r="G6220">
        <v>-189.45769999999999</v>
      </c>
      <c r="H6220" s="1">
        <v>-2.5767190000000001E-6</v>
      </c>
      <c r="I6220">
        <v>-34.585059999999999</v>
      </c>
      <c r="J6220">
        <v>-195.23159999999999</v>
      </c>
      <c r="K6220">
        <v>1.110374</v>
      </c>
      <c r="L6220">
        <v>-50.669589999999999</v>
      </c>
      <c r="M6220">
        <v>0.567048</v>
      </c>
      <c r="N6220">
        <v>0</v>
      </c>
      <c r="O6220">
        <v>0.82354110000000003</v>
      </c>
      <c r="P6220">
        <v>0.370666099999999</v>
      </c>
      <c r="Q6220">
        <v>-3.6811829999999898E-3</v>
      </c>
      <c r="R6220">
        <v>0.92875889999999905</v>
      </c>
      <c r="S6220">
        <v>1.0183409999999999</v>
      </c>
      <c r="T6220">
        <v>-0.19331789999999999</v>
      </c>
      <c r="U6220">
        <v>2.82315099999999</v>
      </c>
      <c r="V6220">
        <v>-0.2215522</v>
      </c>
      <c r="W6220">
        <v>8.2928840000000004E-3</v>
      </c>
      <c r="X6220">
        <v>0.97511329999999996</v>
      </c>
      <c r="Y6220">
        <v>-0.2544574</v>
      </c>
      <c r="Z6220">
        <v>-4.8241819999999998E-2</v>
      </c>
      <c r="AA6220">
        <v>0.96587999999999996</v>
      </c>
      <c r="AB6220">
        <v>16</v>
      </c>
      <c r="AC6220">
        <v>5.7738999999999896</v>
      </c>
      <c r="AD6220">
        <v>-1.1103765767189999</v>
      </c>
      <c r="AE6220">
        <v>16.084529999999901</v>
      </c>
      <c r="AF6220">
        <v>-4.3478181941607801</v>
      </c>
      <c r="AG6220">
        <v>-1.1103765767189999</v>
      </c>
      <c r="AH6220">
        <v>16.452846528108701</v>
      </c>
      <c r="AI6220">
        <v>93.733178010260204</v>
      </c>
      <c r="AJ6220">
        <v>104.802567114146</v>
      </c>
      <c r="AK6220">
        <v>17.053815352263602</v>
      </c>
    </row>
    <row r="6221" spans="1:37" x14ac:dyDescent="0.2">
      <c r="A6221" t="str">
        <f>"20200111160022961"</f>
        <v>20200111160022961</v>
      </c>
      <c r="B6221" t="str">
        <f>"1578729622956894"</f>
        <v>1578729622956894</v>
      </c>
      <c r="C6221" t="s">
        <v>37</v>
      </c>
      <c r="D6221">
        <v>5.1539849999999996</v>
      </c>
      <c r="E6221">
        <v>0.48566389999999998</v>
      </c>
      <c r="F6221" t="s">
        <v>39</v>
      </c>
      <c r="G6221">
        <v>-189.30599999999899</v>
      </c>
      <c r="H6221" s="1">
        <v>-2.870858E-6</v>
      </c>
      <c r="I6221">
        <v>-33.962139999999998</v>
      </c>
      <c r="J6221">
        <v>-195.15520000000001</v>
      </c>
      <c r="K6221">
        <v>1.110347</v>
      </c>
      <c r="L6221">
        <v>-50.532559999999997</v>
      </c>
      <c r="M6221">
        <v>0.55679679999999998</v>
      </c>
      <c r="N6221">
        <v>0</v>
      </c>
      <c r="O6221">
        <v>0.83050630000000003</v>
      </c>
      <c r="P6221">
        <v>0.36770140000000001</v>
      </c>
      <c r="Q6221">
        <v>-3.2188490000000002E-3</v>
      </c>
      <c r="R6221">
        <v>0.92993840000000005</v>
      </c>
      <c r="S6221">
        <v>1.003342</v>
      </c>
      <c r="T6221">
        <v>-0.18801189999999901</v>
      </c>
      <c r="U6221">
        <v>2.8289490000000002</v>
      </c>
      <c r="V6221">
        <v>-0.21257489999999901</v>
      </c>
      <c r="W6221">
        <v>8.9198999999999997E-3</v>
      </c>
      <c r="X6221">
        <v>0.97710409999999903</v>
      </c>
      <c r="Y6221">
        <v>-0.2476217</v>
      </c>
      <c r="Z6221">
        <v>-4.7558900000000001E-2</v>
      </c>
      <c r="AA6221">
        <v>0.96768880000000002</v>
      </c>
      <c r="AB6221">
        <v>16</v>
      </c>
      <c r="AC6221">
        <v>5.8492000000000202</v>
      </c>
      <c r="AD6221">
        <v>-1.110349870858</v>
      </c>
      <c r="AE6221">
        <v>16.570419999999899</v>
      </c>
      <c r="AF6221">
        <v>-4.35170177227831</v>
      </c>
      <c r="AG6221">
        <v>-1.110349870858</v>
      </c>
      <c r="AH6221">
        <v>16.9529816401093</v>
      </c>
      <c r="AI6221">
        <v>93.629931204838201</v>
      </c>
      <c r="AJ6221">
        <v>104.396562657524</v>
      </c>
      <c r="AK6221">
        <v>17.537781263331102</v>
      </c>
    </row>
    <row r="6222" spans="1:37" x14ac:dyDescent="0.2">
      <c r="A6222" t="str">
        <f>"20200111160022984"</f>
        <v>20200111160022984</v>
      </c>
      <c r="B6222" t="str">
        <f>"1578729622977390"</f>
        <v>1578729622977390</v>
      </c>
      <c r="C6222" t="s">
        <v>37</v>
      </c>
      <c r="D6222">
        <v>5.1798029999999997</v>
      </c>
      <c r="E6222">
        <v>0.48475170000000001</v>
      </c>
      <c r="F6222" t="s">
        <v>39</v>
      </c>
      <c r="G6222">
        <v>-189.1814</v>
      </c>
      <c r="H6222" s="1">
        <v>-3.1413619999999999E-6</v>
      </c>
      <c r="I6222">
        <v>-33.383099999999999</v>
      </c>
      <c r="J6222">
        <v>-195.07660000000001</v>
      </c>
      <c r="K6222">
        <v>1.110312</v>
      </c>
      <c r="L6222">
        <v>-50.387270000000001</v>
      </c>
      <c r="M6222">
        <v>0.54589509999999997</v>
      </c>
      <c r="N6222">
        <v>0</v>
      </c>
      <c r="O6222">
        <v>0.83771249999999997</v>
      </c>
      <c r="P6222">
        <v>0.36255110000000002</v>
      </c>
      <c r="Q6222">
        <v>-3.1598809999999998E-3</v>
      </c>
      <c r="R6222">
        <v>0.93195859999999997</v>
      </c>
      <c r="S6222">
        <v>0.98751829999999996</v>
      </c>
      <c r="T6222">
        <v>-0.18354899999999999</v>
      </c>
      <c r="U6222">
        <v>2.8349299999999999</v>
      </c>
      <c r="V6222">
        <v>-0.2052042</v>
      </c>
      <c r="W6222">
        <v>9.1139659999999994E-3</v>
      </c>
      <c r="X6222">
        <v>0.97867669999999996</v>
      </c>
      <c r="Y6222">
        <v>-0.2403921</v>
      </c>
      <c r="Z6222">
        <v>-4.7076840000000002E-2</v>
      </c>
      <c r="AA6222">
        <v>0.969533599999999</v>
      </c>
      <c r="AB6222">
        <v>16</v>
      </c>
      <c r="AC6222">
        <v>5.8952000000000098</v>
      </c>
      <c r="AD6222">
        <v>-1.110315141362</v>
      </c>
      <c r="AE6222">
        <v>17.004169999999998</v>
      </c>
      <c r="AF6222">
        <v>-4.3280504136598603</v>
      </c>
      <c r="AG6222">
        <v>-1.110315141362</v>
      </c>
      <c r="AH6222">
        <v>17.3986081699402</v>
      </c>
      <c r="AI6222">
        <v>93.543743102354696</v>
      </c>
      <c r="AJ6222">
        <v>103.969271605141</v>
      </c>
      <c r="AK6222">
        <v>17.963195326762701</v>
      </c>
    </row>
    <row r="6223" spans="1:37" x14ac:dyDescent="0.2">
      <c r="A6223" t="str">
        <f>"20200111160023006"</f>
        <v>20200111160023006</v>
      </c>
      <c r="B6223" t="str">
        <f>"1578729622996927"</f>
        <v>1578729622996927</v>
      </c>
      <c r="C6223" t="s">
        <v>37</v>
      </c>
      <c r="D6223">
        <v>5.1985140000000003</v>
      </c>
      <c r="E6223">
        <v>0.48381220000000003</v>
      </c>
      <c r="F6223" t="s">
        <v>39</v>
      </c>
      <c r="G6223">
        <v>-189.13640000000001</v>
      </c>
      <c r="H6223" s="1">
        <v>-3.362891E-6</v>
      </c>
      <c r="I6223">
        <v>-32.885329999999897</v>
      </c>
      <c r="J6223">
        <v>-195.0044</v>
      </c>
      <c r="K6223">
        <v>1.1102730000000001</v>
      </c>
      <c r="L6223">
        <v>-50.249270000000003</v>
      </c>
      <c r="M6223">
        <v>0.53552250000000001</v>
      </c>
      <c r="N6223">
        <v>0</v>
      </c>
      <c r="O6223">
        <v>0.84438119999999905</v>
      </c>
      <c r="P6223">
        <v>0.35767729999999998</v>
      </c>
      <c r="Q6223">
        <v>-2.7347409999999902E-3</v>
      </c>
      <c r="R6223">
        <v>0.93384120000000004</v>
      </c>
      <c r="S6223">
        <v>0.96493530000000005</v>
      </c>
      <c r="T6223">
        <v>-0.18035979999999999</v>
      </c>
      <c r="U6223">
        <v>2.8430179999999998</v>
      </c>
      <c r="V6223">
        <v>-0.19824839999999999</v>
      </c>
      <c r="W6223">
        <v>9.6646860000000005E-3</v>
      </c>
      <c r="X6223">
        <v>0.98010409999999903</v>
      </c>
      <c r="Y6223">
        <v>-0.2361567</v>
      </c>
      <c r="Z6223">
        <v>-4.6803379999999999E-2</v>
      </c>
      <c r="AA6223">
        <v>0.97058719999999998</v>
      </c>
      <c r="AB6223">
        <v>16</v>
      </c>
      <c r="AC6223">
        <v>5.8679999999999897</v>
      </c>
      <c r="AD6223">
        <v>-1.110276362891</v>
      </c>
      <c r="AE6223">
        <v>17.363939999999999</v>
      </c>
      <c r="AF6223">
        <v>-4.3285809427100599</v>
      </c>
      <c r="AG6223">
        <v>-1.110276362891</v>
      </c>
      <c r="AH6223">
        <v>17.741231642297599</v>
      </c>
      <c r="AI6223">
        <v>93.479200203375896</v>
      </c>
      <c r="AJ6223">
        <v>103.711384685601</v>
      </c>
      <c r="AK6223">
        <v>18.2953717307206</v>
      </c>
    </row>
    <row r="6224" spans="1:37" x14ac:dyDescent="0.2">
      <c r="A6224" t="str">
        <f>"20200111160023029"</f>
        <v>20200111160023029</v>
      </c>
      <c r="B6224" t="str">
        <f>"1578729623017405"</f>
        <v>1578729623017405</v>
      </c>
      <c r="C6224" t="s">
        <v>37</v>
      </c>
      <c r="D6224">
        <v>5.1677010000000001</v>
      </c>
      <c r="E6224">
        <v>0.48300589999999999</v>
      </c>
      <c r="F6224" t="s">
        <v>39</v>
      </c>
      <c r="G6224">
        <v>-189.107</v>
      </c>
      <c r="H6224" s="1">
        <v>-3.57033999999999E-6</v>
      </c>
      <c r="I6224">
        <v>-32.413899999999998</v>
      </c>
      <c r="J6224">
        <v>-194.9331</v>
      </c>
      <c r="K6224">
        <v>1.1102299999999901</v>
      </c>
      <c r="L6224">
        <v>-50.108800000000002</v>
      </c>
      <c r="M6224">
        <v>0.5249431</v>
      </c>
      <c r="N6224">
        <v>0</v>
      </c>
      <c r="O6224">
        <v>0.85099880000000006</v>
      </c>
      <c r="P6224">
        <v>0.35214040000000002</v>
      </c>
      <c r="Q6224">
        <v>-2.3673240000000001E-3</v>
      </c>
      <c r="R6224">
        <v>0.935944199999999</v>
      </c>
      <c r="S6224">
        <v>0.94268799999999997</v>
      </c>
      <c r="T6224">
        <v>-0.17747569999999999</v>
      </c>
      <c r="U6224">
        <v>2.8509519999999999</v>
      </c>
      <c r="V6224">
        <v>-0.19182189999999999</v>
      </c>
      <c r="W6224">
        <v>1.014722E-2</v>
      </c>
      <c r="X6224">
        <v>0.98137730000000001</v>
      </c>
      <c r="Y6224">
        <v>-0.2316542</v>
      </c>
      <c r="Z6224">
        <v>-4.6587959999999998E-2</v>
      </c>
      <c r="AA6224">
        <v>0.97168199999999905</v>
      </c>
      <c r="AB6224">
        <v>16</v>
      </c>
      <c r="AC6224">
        <v>5.8260999999999896</v>
      </c>
      <c r="AD6224">
        <v>-1.1102335703399999</v>
      </c>
      <c r="AE6224">
        <v>17.694900000000001</v>
      </c>
      <c r="AF6224">
        <v>-4.3159932127729599</v>
      </c>
      <c r="AG6224">
        <v>-1.1102335703399999</v>
      </c>
      <c r="AH6224">
        <v>18.0547213853073</v>
      </c>
      <c r="AI6224">
        <v>93.422644997245499</v>
      </c>
      <c r="AJ6224">
        <v>103.444291897792</v>
      </c>
      <c r="AK6224">
        <v>18.5965959329789</v>
      </c>
    </row>
    <row r="6225" spans="1:37" x14ac:dyDescent="0.2">
      <c r="A6225" t="str">
        <f>"20200111160023050"</f>
        <v>20200111160023050</v>
      </c>
      <c r="B6225" t="str">
        <f>"1578729623046686"</f>
        <v>1578729623046686</v>
      </c>
      <c r="C6225" t="s">
        <v>37</v>
      </c>
      <c r="D6225">
        <v>5.10785</v>
      </c>
      <c r="E6225">
        <v>0.48204740000000001</v>
      </c>
      <c r="F6225" t="s">
        <v>39</v>
      </c>
      <c r="G6225">
        <v>-189.06989999999999</v>
      </c>
      <c r="H6225" s="1">
        <v>-3.8069529999999999E-6</v>
      </c>
      <c r="I6225">
        <v>-31.877679999999899</v>
      </c>
      <c r="J6225">
        <v>-194.8673</v>
      </c>
      <c r="K6225">
        <v>1.11019</v>
      </c>
      <c r="L6225">
        <v>-49.975159999999903</v>
      </c>
      <c r="M6225">
        <v>0.51486330000000002</v>
      </c>
      <c r="N6225">
        <v>0</v>
      </c>
      <c r="O6225">
        <v>0.85713479999999997</v>
      </c>
      <c r="P6225">
        <v>0.34634599999999999</v>
      </c>
      <c r="Q6225">
        <v>-2.2657229999999999E-3</v>
      </c>
      <c r="R6225">
        <v>0.938104099999999</v>
      </c>
      <c r="S6225">
        <v>0.91944889999999901</v>
      </c>
      <c r="T6225">
        <v>-0.17410349999999999</v>
      </c>
      <c r="U6225">
        <v>2.8589479999999998</v>
      </c>
      <c r="V6225">
        <v>-0.186306</v>
      </c>
      <c r="W6225">
        <v>1.0346060000000001E-2</v>
      </c>
      <c r="X6225">
        <v>0.98243729999999996</v>
      </c>
      <c r="Y6225">
        <v>-0.2281135</v>
      </c>
      <c r="Z6225">
        <v>-4.6177719999999998E-2</v>
      </c>
      <c r="AA6225">
        <v>0.97253889999999998</v>
      </c>
      <c r="AB6225">
        <v>16</v>
      </c>
      <c r="AC6225">
        <v>5.7973999999999997</v>
      </c>
      <c r="AD6225">
        <v>-1.110193806953</v>
      </c>
      <c r="AE6225">
        <v>18.097479999999901</v>
      </c>
      <c r="AF6225">
        <v>-4.3342946649652401</v>
      </c>
      <c r="AG6225">
        <v>-1.110193806953</v>
      </c>
      <c r="AH6225">
        <v>18.4361064480807</v>
      </c>
      <c r="AI6225">
        <v>93.354852831771396</v>
      </c>
      <c r="AJ6225">
        <v>103.229880776879</v>
      </c>
      <c r="AK6225">
        <v>18.971258827413301</v>
      </c>
    </row>
    <row r="6226" spans="1:37" x14ac:dyDescent="0.2">
      <c r="A6226" t="str">
        <f>"20200111160023073"</f>
        <v>20200111160023073</v>
      </c>
      <c r="B6226" t="str">
        <f>"1578729623067183"</f>
        <v>1578729623067183</v>
      </c>
      <c r="C6226" t="s">
        <v>37</v>
      </c>
      <c r="D6226">
        <v>5.1950659999999997</v>
      </c>
      <c r="E6226">
        <v>0.48201809999999901</v>
      </c>
      <c r="F6226" t="s">
        <v>39</v>
      </c>
      <c r="G6226">
        <v>-189.053</v>
      </c>
      <c r="H6226" s="1">
        <v>-4.0466719999999998E-6</v>
      </c>
      <c r="I6226">
        <v>-31.325900000000001</v>
      </c>
      <c r="J6226">
        <v>-194.79910000000001</v>
      </c>
      <c r="K6226">
        <v>1.1101510000000001</v>
      </c>
      <c r="L6226">
        <v>-49.832279999999997</v>
      </c>
      <c r="M6226">
        <v>0.50407429999999998</v>
      </c>
      <c r="N6226">
        <v>0</v>
      </c>
      <c r="O6226">
        <v>0.86352410000000002</v>
      </c>
      <c r="P6226">
        <v>0.3393506</v>
      </c>
      <c r="Q6226">
        <v>-2.1053529999999999E-3</v>
      </c>
      <c r="R6226">
        <v>0.94065759999999898</v>
      </c>
      <c r="S6226">
        <v>0.89399719999999905</v>
      </c>
      <c r="T6226">
        <v>-0.17070060000000001</v>
      </c>
      <c r="U6226">
        <v>2.86746199999999</v>
      </c>
      <c r="V6226">
        <v>-0.1813005</v>
      </c>
      <c r="W6226">
        <v>1.059447E-2</v>
      </c>
      <c r="X6226">
        <v>0.98337070000000004</v>
      </c>
      <c r="Y6226">
        <v>-0.22458229999999901</v>
      </c>
      <c r="Z6226">
        <v>-4.5756819999999997E-2</v>
      </c>
      <c r="AA6226">
        <v>0.97338029999999998</v>
      </c>
      <c r="AB6226">
        <v>16</v>
      </c>
      <c r="AC6226">
        <v>5.74610000000001</v>
      </c>
      <c r="AD6226">
        <v>-1.110155046672</v>
      </c>
      <c r="AE6226">
        <v>18.50638</v>
      </c>
      <c r="AF6226">
        <v>-4.3529216272946201</v>
      </c>
      <c r="AG6226">
        <v>-1.110155046672</v>
      </c>
      <c r="AH6226">
        <v>18.8176255921483</v>
      </c>
      <c r="AI6226">
        <v>93.289611525455896</v>
      </c>
      <c r="AJ6226">
        <v>103.024656658121</v>
      </c>
      <c r="AK6226">
        <v>19.346405450297301</v>
      </c>
    </row>
    <row r="6227" spans="1:37" x14ac:dyDescent="0.2">
      <c r="A6227" t="str">
        <f>"20200111160023096"</f>
        <v>20200111160023096</v>
      </c>
      <c r="B6227" t="str">
        <f>"1578729623086702"</f>
        <v>1578729623086702</v>
      </c>
      <c r="C6227" t="s">
        <v>37</v>
      </c>
      <c r="D6227">
        <v>5.2597719999999999</v>
      </c>
      <c r="E6227">
        <v>0.48189759999999998</v>
      </c>
      <c r="F6227" t="s">
        <v>39</v>
      </c>
      <c r="G6227">
        <v>-189.0204</v>
      </c>
      <c r="H6227" s="1">
        <v>-4.2828870000000004E-6</v>
      </c>
      <c r="I6227">
        <v>-30.788740000000001</v>
      </c>
      <c r="J6227">
        <v>-194.7287</v>
      </c>
      <c r="K6227">
        <v>1.110107</v>
      </c>
      <c r="L6227">
        <v>-49.679690000000001</v>
      </c>
      <c r="M6227">
        <v>0.49253789999999997</v>
      </c>
      <c r="N6227">
        <v>0</v>
      </c>
      <c r="O6227">
        <v>0.87015599999999904</v>
      </c>
      <c r="P6227">
        <v>0.33113290000000001</v>
      </c>
      <c r="Q6227">
        <v>-1.5604569999999999E-3</v>
      </c>
      <c r="R6227">
        <v>0.94358280000000005</v>
      </c>
      <c r="S6227">
        <v>0.87217710000000004</v>
      </c>
      <c r="T6227">
        <v>-0.1675556</v>
      </c>
      <c r="U6227">
        <v>2.8742369999999999</v>
      </c>
      <c r="V6227">
        <v>-0.17679539999999999</v>
      </c>
      <c r="W6227">
        <v>1.121671E-2</v>
      </c>
      <c r="X6227">
        <v>0.98418369999999999</v>
      </c>
      <c r="Y6227">
        <v>-0.21900709999999901</v>
      </c>
      <c r="Z6227">
        <v>-4.5436919999999999E-2</v>
      </c>
      <c r="AA6227">
        <v>0.97466469999999905</v>
      </c>
      <c r="AB6227">
        <v>16</v>
      </c>
      <c r="AC6227">
        <v>5.7083000000000004</v>
      </c>
      <c r="AD6227">
        <v>-1.1101112828869999</v>
      </c>
      <c r="AE6227">
        <v>18.89095</v>
      </c>
      <c r="AF6227">
        <v>-4.3242238156910098</v>
      </c>
      <c r="AG6227">
        <v>-1.1101112828869999</v>
      </c>
      <c r="AH6227">
        <v>19.191162665840601</v>
      </c>
      <c r="AI6227">
        <v>93.229784321887607</v>
      </c>
      <c r="AJ6227">
        <v>102.698035333955</v>
      </c>
      <c r="AK6227">
        <v>19.7036033033386</v>
      </c>
    </row>
    <row r="6228" spans="1:37" x14ac:dyDescent="0.2">
      <c r="A6228" t="str">
        <f>"20200111160023119"</f>
        <v>20200111160023119</v>
      </c>
      <c r="B6228" t="str">
        <f>"1578729623107198"</f>
        <v>1578729623107198</v>
      </c>
      <c r="C6228" t="s">
        <v>37</v>
      </c>
      <c r="D6228">
        <v>5.1562599999999996</v>
      </c>
      <c r="E6228">
        <v>0.48164079999999898</v>
      </c>
      <c r="F6228" t="s">
        <v>39</v>
      </c>
      <c r="G6228">
        <v>-189.0736</v>
      </c>
      <c r="H6228" s="1">
        <v>-4.4362269999999997E-6</v>
      </c>
      <c r="I6228">
        <v>-30.409309999999898</v>
      </c>
      <c r="J6228">
        <v>-194.66319999999999</v>
      </c>
      <c r="K6228">
        <v>1.1100719999999999</v>
      </c>
      <c r="L6228">
        <v>-49.53302</v>
      </c>
      <c r="M6228">
        <v>0.48144389999999998</v>
      </c>
      <c r="N6228">
        <v>0</v>
      </c>
      <c r="O6228">
        <v>0.87634310000000004</v>
      </c>
      <c r="P6228">
        <v>0.32385940000000002</v>
      </c>
      <c r="Q6228">
        <v>-5.3563989999999995E-4</v>
      </c>
      <c r="R6228">
        <v>0.94610509999999903</v>
      </c>
      <c r="S6228">
        <v>0.84582520000000005</v>
      </c>
      <c r="T6228">
        <v>-0.16603899999999999</v>
      </c>
      <c r="U6228">
        <v>2.882263</v>
      </c>
      <c r="V6228">
        <v>-0.1718789</v>
      </c>
      <c r="W6228">
        <v>1.2321459999999999E-2</v>
      </c>
      <c r="X6228">
        <v>0.98504099999999895</v>
      </c>
      <c r="Y6228">
        <v>-0.21554659999999901</v>
      </c>
      <c r="Z6228">
        <v>-4.5481279999999999E-2</v>
      </c>
      <c r="AA6228">
        <v>0.97543380000000002</v>
      </c>
      <c r="AB6228">
        <v>16</v>
      </c>
      <c r="AC6228">
        <v>5.5895999999999901</v>
      </c>
      <c r="AD6228">
        <v>-1.1100764362269999</v>
      </c>
      <c r="AE6228">
        <v>19.123709999999999</v>
      </c>
      <c r="AF6228">
        <v>-4.2957563186436403</v>
      </c>
      <c r="AG6228">
        <v>-1.1100764362269999</v>
      </c>
      <c r="AH6228">
        <v>19.392093212307099</v>
      </c>
      <c r="AI6228">
        <v>93.198870777564295</v>
      </c>
      <c r="AJ6228">
        <v>102.490516874728</v>
      </c>
      <c r="AK6228">
        <v>19.893191578985999</v>
      </c>
    </row>
    <row r="6229" spans="1:37" x14ac:dyDescent="0.2">
      <c r="A6229" t="str">
        <f>"20200111160023141"</f>
        <v>20200111160023141</v>
      </c>
      <c r="B6229" t="str">
        <f>"1578729623137454"</f>
        <v>1578729623137454</v>
      </c>
      <c r="C6229" t="s">
        <v>37</v>
      </c>
      <c r="D6229">
        <v>5.325844</v>
      </c>
      <c r="E6229">
        <v>0.4810778</v>
      </c>
      <c r="F6229" t="s">
        <v>39</v>
      </c>
      <c r="G6229">
        <v>-189.06099999999901</v>
      </c>
      <c r="H6229" s="1">
        <v>-4.296377E-7</v>
      </c>
      <c r="I6229">
        <v>-29.82358</v>
      </c>
      <c r="J6229">
        <v>-194.60480000000001</v>
      </c>
      <c r="K6229">
        <v>1.1100399999999999</v>
      </c>
      <c r="L6229">
        <v>-49.397979999999997</v>
      </c>
      <c r="M6229">
        <v>0.47121359999999901</v>
      </c>
      <c r="N6229">
        <v>0</v>
      </c>
      <c r="O6229">
        <v>0.88188639999999996</v>
      </c>
      <c r="P6229">
        <v>0.31808799999999998</v>
      </c>
      <c r="Q6229">
        <v>3.349073E-4</v>
      </c>
      <c r="R6229">
        <v>0.94806119999999905</v>
      </c>
      <c r="S6229">
        <v>0.82135009999999997</v>
      </c>
      <c r="T6229">
        <v>-0.16275039999999999</v>
      </c>
      <c r="U6229">
        <v>2.88964799999999</v>
      </c>
      <c r="V6229">
        <v>-0.16642609999999999</v>
      </c>
      <c r="W6229">
        <v>1.3278399999999999E-2</v>
      </c>
      <c r="X6229">
        <v>0.98596450000000002</v>
      </c>
      <c r="Y6229">
        <v>-0.21247379999999999</v>
      </c>
      <c r="Z6229">
        <v>-4.4978980000000002E-2</v>
      </c>
      <c r="AA6229">
        <v>0.97613099999999997</v>
      </c>
      <c r="AB6229">
        <v>16</v>
      </c>
      <c r="AC6229">
        <v>5.5438000000000303</v>
      </c>
      <c r="AD6229">
        <v>-1.1100404296377</v>
      </c>
      <c r="AE6229">
        <v>19.574400000000001</v>
      </c>
      <c r="AF6229">
        <v>-4.3223611284312398</v>
      </c>
      <c r="AG6229">
        <v>-1.1100404296377</v>
      </c>
      <c r="AH6229">
        <v>19.818037997163501</v>
      </c>
      <c r="AI6229">
        <v>93.132395135744702</v>
      </c>
      <c r="AJ6229">
        <v>102.303670745982</v>
      </c>
      <c r="AK6229">
        <v>20.314271474434399</v>
      </c>
    </row>
    <row r="6230" spans="1:37" x14ac:dyDescent="0.2">
      <c r="A6230" t="str">
        <f>"20200111160023162"</f>
        <v>20200111160023162</v>
      </c>
      <c r="B6230" t="str">
        <f>"1578729623156974"</f>
        <v>1578729623156974</v>
      </c>
      <c r="C6230" t="s">
        <v>37</v>
      </c>
      <c r="D6230">
        <v>5.2186449999999898</v>
      </c>
      <c r="E6230">
        <v>0.43326779999999998</v>
      </c>
      <c r="F6230" t="s">
        <v>39</v>
      </c>
      <c r="G6230">
        <v>-189.01329999999999</v>
      </c>
      <c r="H6230" s="1">
        <v>-7.0372040000000003E-7</v>
      </c>
      <c r="I6230">
        <v>-29.134809999999899</v>
      </c>
      <c r="J6230">
        <v>-194.548</v>
      </c>
      <c r="K6230">
        <v>1.110012</v>
      </c>
      <c r="L6230">
        <v>-49.262149999999998</v>
      </c>
      <c r="M6230">
        <v>0.4609182</v>
      </c>
      <c r="N6230">
        <v>0</v>
      </c>
      <c r="O6230">
        <v>0.88731099999999996</v>
      </c>
      <c r="P6230">
        <v>0.312770099999999</v>
      </c>
      <c r="Q6230">
        <v>4.1176290000000001E-4</v>
      </c>
      <c r="R6230">
        <v>0.94982869999999997</v>
      </c>
      <c r="S6230">
        <v>0.79920959999999996</v>
      </c>
      <c r="T6230">
        <v>-0.1586612</v>
      </c>
      <c r="U6230">
        <v>2.896271</v>
      </c>
      <c r="V6230">
        <v>-0.16047310000000001</v>
      </c>
      <c r="W6230">
        <v>1.3446700000000001E-2</v>
      </c>
      <c r="X6230">
        <v>0.98694859999999895</v>
      </c>
      <c r="Y6230">
        <v>-0.20859520000000001</v>
      </c>
      <c r="Z6230">
        <v>-4.4238840000000001E-2</v>
      </c>
      <c r="AA6230">
        <v>0.97700100000000001</v>
      </c>
      <c r="AB6230">
        <v>16</v>
      </c>
      <c r="AC6230">
        <v>5.5347000000000097</v>
      </c>
      <c r="AD6230">
        <v>-1.1100127037204</v>
      </c>
      <c r="AE6230">
        <v>20.12734</v>
      </c>
      <c r="AF6230">
        <v>-4.3542548697056596</v>
      </c>
      <c r="AG6230">
        <v>-1.1100127037204</v>
      </c>
      <c r="AH6230">
        <v>20.3550814419213</v>
      </c>
      <c r="AI6230">
        <v>93.052464738074704</v>
      </c>
      <c r="AJ6230">
        <v>102.07444127725699</v>
      </c>
      <c r="AK6230">
        <v>20.8451674059007</v>
      </c>
    </row>
    <row r="6231" spans="1:37" x14ac:dyDescent="0.2">
      <c r="A6231" t="str">
        <f>"20200111160023186"</f>
        <v>20200111160023186</v>
      </c>
      <c r="B6231" t="str">
        <f>"1578729623177470"</f>
        <v>1578729623177470</v>
      </c>
      <c r="C6231" t="s">
        <v>37</v>
      </c>
      <c r="D6231">
        <v>5.277177</v>
      </c>
      <c r="E6231">
        <v>0.443435999999999</v>
      </c>
      <c r="F6231" t="s">
        <v>39</v>
      </c>
      <c r="G6231">
        <v>-192.53960000000001</v>
      </c>
      <c r="H6231" s="1">
        <v>-3.1739810000000001E-6</v>
      </c>
      <c r="I6231">
        <v>-34.587389999999999</v>
      </c>
      <c r="J6231">
        <v>-194.48750000000001</v>
      </c>
      <c r="K6231">
        <v>1.1099749999999999</v>
      </c>
      <c r="L6231">
        <v>-49.112580000000001</v>
      </c>
      <c r="M6231">
        <v>0.44956599999999902</v>
      </c>
      <c r="N6231">
        <v>0</v>
      </c>
      <c r="O6231">
        <v>0.89311649999999998</v>
      </c>
      <c r="P6231">
        <v>0.30661359999999999</v>
      </c>
      <c r="Q6231">
        <v>-5.9877620000000004E-4</v>
      </c>
      <c r="R6231">
        <v>0.95183390000000001</v>
      </c>
      <c r="S6231">
        <v>0.41363529999999998</v>
      </c>
      <c r="T6231">
        <v>-0.22861300000000001</v>
      </c>
      <c r="U6231">
        <v>3.0223390000000001</v>
      </c>
      <c r="V6231">
        <v>-0.1542606</v>
      </c>
      <c r="W6231">
        <v>1.2528869999999999E-2</v>
      </c>
      <c r="X6231">
        <v>0.98795069999999996</v>
      </c>
      <c r="Y6231">
        <v>-0.32459660000000001</v>
      </c>
      <c r="Z6231">
        <v>-6.1160390000000002E-2</v>
      </c>
      <c r="AA6231">
        <v>0.94387310000000002</v>
      </c>
      <c r="AB6231">
        <v>16</v>
      </c>
      <c r="AC6231">
        <v>1.9479</v>
      </c>
      <c r="AD6231">
        <v>-1.109978173981</v>
      </c>
      <c r="AE6231">
        <v>14.52519</v>
      </c>
      <c r="AF6231">
        <v>-4.7635628927218701</v>
      </c>
      <c r="AG6231">
        <v>-1.109978173981</v>
      </c>
      <c r="AH6231">
        <v>13.771015440327099</v>
      </c>
      <c r="AI6231">
        <v>94.356031896727501</v>
      </c>
      <c r="AJ6231">
        <v>109.08112963697</v>
      </c>
      <c r="AK6231">
        <v>14.613844437291601</v>
      </c>
    </row>
    <row r="6232" spans="1:37" x14ac:dyDescent="0.2">
      <c r="A6232" t="str">
        <f>"20200111160023208"</f>
        <v>20200111160023208</v>
      </c>
      <c r="B6232" t="str">
        <f>"1578729623196989"</f>
        <v>1578729623196989</v>
      </c>
      <c r="C6232" t="s">
        <v>37</v>
      </c>
      <c r="D6232">
        <v>5.3666070000000001</v>
      </c>
      <c r="E6232">
        <v>0.4458529</v>
      </c>
      <c r="F6232" t="s">
        <v>39</v>
      </c>
      <c r="G6232">
        <v>-192.48840000000001</v>
      </c>
      <c r="H6232" s="1">
        <v>-2.4223629999999999E-6</v>
      </c>
      <c r="I6232">
        <v>-36.307670000000002</v>
      </c>
      <c r="J6232">
        <v>-194.4308</v>
      </c>
      <c r="K6232">
        <v>1.1099429999999999</v>
      </c>
      <c r="L6232">
        <v>-48.966670000000001</v>
      </c>
      <c r="M6232">
        <v>0.43848239999999999</v>
      </c>
      <c r="N6232">
        <v>0</v>
      </c>
      <c r="O6232">
        <v>0.89861019999999903</v>
      </c>
      <c r="P6232">
        <v>0.30041209999999902</v>
      </c>
      <c r="Q6232">
        <v>-1.5934810000000001E-3</v>
      </c>
      <c r="R6232">
        <v>0.95380819999999999</v>
      </c>
      <c r="S6232">
        <v>0.46847529999999998</v>
      </c>
      <c r="T6232">
        <v>-0.26011459999999997</v>
      </c>
      <c r="U6232">
        <v>3.0007320000000002</v>
      </c>
      <c r="V6232">
        <v>-0.148451</v>
      </c>
      <c r="W6232">
        <v>1.1619610000000001E-2</v>
      </c>
      <c r="X6232">
        <v>0.98885149999999999</v>
      </c>
      <c r="Y6232">
        <v>-0.29505189999999998</v>
      </c>
      <c r="Z6232">
        <v>-7.106287E-2</v>
      </c>
      <c r="AA6232">
        <v>0.95283499999999999</v>
      </c>
      <c r="AB6232">
        <v>16</v>
      </c>
      <c r="AC6232">
        <v>1.9423999999999899</v>
      </c>
      <c r="AD6232">
        <v>-1.1099454223630001</v>
      </c>
      <c r="AE6232">
        <v>12.659000000000001</v>
      </c>
      <c r="AF6232">
        <v>-3.7773596774565501</v>
      </c>
      <c r="AG6232">
        <v>-1.1099454223630001</v>
      </c>
      <c r="AH6232">
        <v>12.137474190132</v>
      </c>
      <c r="AI6232">
        <v>94.990238718305605</v>
      </c>
      <c r="AJ6232">
        <v>107.28690658407599</v>
      </c>
      <c r="AK6232">
        <v>12.7600432871374</v>
      </c>
    </row>
    <row r="6233" spans="1:37" x14ac:dyDescent="0.2">
      <c r="A6233" t="str">
        <f>"20200111160023231"</f>
        <v>20200111160023231</v>
      </c>
      <c r="B6233" t="str">
        <f>"1578729623227247"</f>
        <v>1578729623227247</v>
      </c>
      <c r="C6233" t="s">
        <v>37</v>
      </c>
      <c r="D6233">
        <v>5.2679489999999998</v>
      </c>
      <c r="E6233">
        <v>0.44824920000000001</v>
      </c>
      <c r="F6233" t="s">
        <v>39</v>
      </c>
      <c r="G6233">
        <v>-192.22620000000001</v>
      </c>
      <c r="H6233" s="1">
        <v>-2.965368E-6</v>
      </c>
      <c r="I6233">
        <v>-34.879300000000001</v>
      </c>
      <c r="J6233">
        <v>-194.3767</v>
      </c>
      <c r="K6233">
        <v>1.1099250000000001</v>
      </c>
      <c r="L6233">
        <v>-48.822020000000002</v>
      </c>
      <c r="M6233">
        <v>0.42747799999999903</v>
      </c>
      <c r="N6233">
        <v>0</v>
      </c>
      <c r="O6233">
        <v>0.90389710000000001</v>
      </c>
      <c r="P6233">
        <v>0.29113939999999999</v>
      </c>
      <c r="Q6233">
        <v>-1.480026E-3</v>
      </c>
      <c r="R6233">
        <v>0.95667950000000002</v>
      </c>
      <c r="S6233">
        <v>0.46903990000000001</v>
      </c>
      <c r="T6233">
        <v>-0.23614679999999999</v>
      </c>
      <c r="U6233">
        <v>2.9971619999999999</v>
      </c>
      <c r="V6233">
        <v>-0.1459763</v>
      </c>
      <c r="W6233">
        <v>1.1767420000000001E-2</v>
      </c>
      <c r="X6233">
        <v>0.98921809999999999</v>
      </c>
      <c r="Y6233">
        <v>-0.28295389999999998</v>
      </c>
      <c r="Z6233">
        <v>-6.5379019999999996E-2</v>
      </c>
      <c r="AA6233">
        <v>0.95690269999999999</v>
      </c>
      <c r="AB6233">
        <v>16</v>
      </c>
      <c r="AC6233">
        <v>2.1504999999999899</v>
      </c>
      <c r="AD6233">
        <v>-1.1099279653680001</v>
      </c>
      <c r="AE6233">
        <v>13.94272</v>
      </c>
      <c r="AF6233">
        <v>-3.9921316039663601</v>
      </c>
      <c r="AG6233">
        <v>-1.1099279653680001</v>
      </c>
      <c r="AH6233">
        <v>13.4404533311086</v>
      </c>
      <c r="AI6233">
        <v>94.526263186854706</v>
      </c>
      <c r="AJ6233">
        <v>106.542661177746</v>
      </c>
      <c r="AK6233">
        <v>14.0646663869927</v>
      </c>
    </row>
    <row r="6234" spans="1:37" x14ac:dyDescent="0.2">
      <c r="A6234" t="str">
        <f>"20200111160023252"</f>
        <v>20200111160023252</v>
      </c>
      <c r="B6234" t="str">
        <f>"1578729623246766"</f>
        <v>1578729623246766</v>
      </c>
      <c r="C6234" t="s">
        <v>37</v>
      </c>
      <c r="D6234">
        <v>5.2095909999999996</v>
      </c>
      <c r="E6234">
        <v>0.4491599</v>
      </c>
      <c r="F6234" t="s">
        <v>39</v>
      </c>
      <c r="G6234">
        <v>-192.37979999999999</v>
      </c>
      <c r="H6234" s="1">
        <v>-2.647919E-6</v>
      </c>
      <c r="I6234">
        <v>-35.714509999999997</v>
      </c>
      <c r="J6234">
        <v>-194.32689999999999</v>
      </c>
      <c r="K6234">
        <v>1.109907</v>
      </c>
      <c r="L6234">
        <v>-48.684199999999997</v>
      </c>
      <c r="M6234">
        <v>0.41697650000000003</v>
      </c>
      <c r="N6234">
        <v>0</v>
      </c>
      <c r="O6234">
        <v>0.90878950000000003</v>
      </c>
      <c r="P6234">
        <v>0.28532779999999902</v>
      </c>
      <c r="Q6234">
        <v>-1.208532E-3</v>
      </c>
      <c r="R6234">
        <v>0.95842919999999998</v>
      </c>
      <c r="S6234">
        <v>0.45651249999999999</v>
      </c>
      <c r="T6234">
        <v>-0.25374160000000001</v>
      </c>
      <c r="U6234">
        <v>2.996521</v>
      </c>
      <c r="V6234">
        <v>-0.1405188</v>
      </c>
      <c r="W6234">
        <v>1.211691E-2</v>
      </c>
      <c r="X6234">
        <v>0.99000390000000005</v>
      </c>
      <c r="Y6234">
        <v>-0.27576689999999998</v>
      </c>
      <c r="Z6234">
        <v>-7.09452E-2</v>
      </c>
      <c r="AA6234">
        <v>0.95860279999999998</v>
      </c>
      <c r="AB6234">
        <v>16</v>
      </c>
      <c r="AC6234">
        <v>1.9471000000000001</v>
      </c>
      <c r="AD6234">
        <v>-1.109909647919</v>
      </c>
      <c r="AE6234">
        <v>12.96969</v>
      </c>
      <c r="AF6234">
        <v>-3.61309735772512</v>
      </c>
      <c r="AG6234">
        <v>-1.109909647919</v>
      </c>
      <c r="AH6234">
        <v>12.510475768254899</v>
      </c>
      <c r="AI6234">
        <v>94.8718268181496</v>
      </c>
      <c r="AJ6234">
        <v>106.10902164002501</v>
      </c>
      <c r="AK6234">
        <v>13.0689852663103</v>
      </c>
    </row>
    <row r="6235" spans="1:37" x14ac:dyDescent="0.2">
      <c r="A6235" t="str">
        <f>"20200111160023276"</f>
        <v>20200111160023276</v>
      </c>
      <c r="B6235" t="str">
        <f>"1578729623267261"</f>
        <v>1578729623267261</v>
      </c>
      <c r="C6235" t="s">
        <v>37</v>
      </c>
      <c r="D6235">
        <v>5.1385430000000003</v>
      </c>
      <c r="E6235">
        <v>0.44898850000000001</v>
      </c>
      <c r="F6235" t="s">
        <v>39</v>
      </c>
      <c r="G6235">
        <v>-192.44829999999999</v>
      </c>
      <c r="H6235" s="1">
        <v>-2.5446749999999999E-6</v>
      </c>
      <c r="I6235">
        <v>-35.997679999999903</v>
      </c>
      <c r="J6235">
        <v>-194.27289999999999</v>
      </c>
      <c r="K6235">
        <v>1.1098840000000001</v>
      </c>
      <c r="L6235">
        <v>-48.52908</v>
      </c>
      <c r="M6235">
        <v>0.4051379</v>
      </c>
      <c r="N6235">
        <v>0</v>
      </c>
      <c r="O6235">
        <v>0.91412879999999996</v>
      </c>
      <c r="P6235">
        <v>0.27776489999999998</v>
      </c>
      <c r="Q6235">
        <v>-7.3509940000000005E-4</v>
      </c>
      <c r="R6235">
        <v>0.96064879999999997</v>
      </c>
      <c r="S6235">
        <v>0.4438782</v>
      </c>
      <c r="T6235">
        <v>-0.2622563</v>
      </c>
      <c r="U6235">
        <v>2.9976500000000001</v>
      </c>
      <c r="V6235">
        <v>-0.13546629999999901</v>
      </c>
      <c r="W6235">
        <v>1.26619E-2</v>
      </c>
      <c r="X6235">
        <v>0.99070100000000005</v>
      </c>
      <c r="Y6235">
        <v>-0.26730999999999999</v>
      </c>
      <c r="Z6235">
        <v>-7.4087310000000003E-2</v>
      </c>
      <c r="AA6235">
        <v>0.96075829999999995</v>
      </c>
      <c r="AB6235">
        <v>16</v>
      </c>
      <c r="AC6235">
        <v>1.8246</v>
      </c>
      <c r="AD6235">
        <v>-1.1098865446749999</v>
      </c>
      <c r="AE6235">
        <v>12.5314</v>
      </c>
      <c r="AF6235">
        <v>-3.38343098540442</v>
      </c>
      <c r="AG6235">
        <v>-1.1098865446749999</v>
      </c>
      <c r="AH6235">
        <v>12.102972734978099</v>
      </c>
      <c r="AI6235">
        <v>95.047126023913904</v>
      </c>
      <c r="AJ6235">
        <v>105.618532405433</v>
      </c>
      <c r="AK6235">
        <v>12.615918610971899</v>
      </c>
    </row>
    <row r="6236" spans="1:37" x14ac:dyDescent="0.2">
      <c r="A6236" t="str">
        <f>"20200111160023297"</f>
        <v>20200111160023297</v>
      </c>
      <c r="B6236" t="str">
        <f>"1578729623286784"</f>
        <v>1578729623286784</v>
      </c>
      <c r="C6236" t="s">
        <v>37</v>
      </c>
      <c r="D6236">
        <v>5.2209009999999996</v>
      </c>
      <c r="E6236">
        <v>0.4483241</v>
      </c>
      <c r="F6236" t="s">
        <v>39</v>
      </c>
      <c r="G6236">
        <v>-192.43940000000001</v>
      </c>
      <c r="H6236" s="1">
        <v>-2.8079880000000001E-6</v>
      </c>
      <c r="I6236">
        <v>-35.378399999999999</v>
      </c>
      <c r="J6236">
        <v>-194.22659999999999</v>
      </c>
      <c r="K6236">
        <v>1.1098600000000001</v>
      </c>
      <c r="L6236">
        <v>-48.390320000000003</v>
      </c>
      <c r="M6236">
        <v>0.39453569999999999</v>
      </c>
      <c r="N6236">
        <v>0</v>
      </c>
      <c r="O6236">
        <v>0.91875459999999998</v>
      </c>
      <c r="P6236">
        <v>0.2707968</v>
      </c>
      <c r="Q6236">
        <v>-8.917749E-4</v>
      </c>
      <c r="R6236">
        <v>0.962636099999999</v>
      </c>
      <c r="S6236">
        <v>0.41850280000000001</v>
      </c>
      <c r="T6236">
        <v>-0.25333449999999902</v>
      </c>
      <c r="U6236">
        <v>3.0016780000000001</v>
      </c>
      <c r="V6236">
        <v>-0.13117960000000001</v>
      </c>
      <c r="W6236">
        <v>1.256463E-2</v>
      </c>
      <c r="X6236">
        <v>0.99127900000000002</v>
      </c>
      <c r="Y6236">
        <v>-0.26428379999999901</v>
      </c>
      <c r="Z6236">
        <v>-7.2132130000000003E-2</v>
      </c>
      <c r="AA6236">
        <v>0.96174369999999998</v>
      </c>
      <c r="AB6236">
        <v>16</v>
      </c>
      <c r="AC6236">
        <v>1.7871999999999799</v>
      </c>
      <c r="AD6236">
        <v>-1.109862807988</v>
      </c>
      <c r="AE6236">
        <v>13.01192</v>
      </c>
      <c r="AF6236">
        <v>-3.4673141396959699</v>
      </c>
      <c r="AG6236">
        <v>-1.109862807988</v>
      </c>
      <c r="AH6236">
        <v>12.5715721454676</v>
      </c>
      <c r="AI6236">
        <v>94.864486912413795</v>
      </c>
      <c r="AJ6236">
        <v>105.41917218541001</v>
      </c>
      <c r="AK6236">
        <v>13.0881048668089</v>
      </c>
    </row>
    <row r="6237" spans="1:37" x14ac:dyDescent="0.2">
      <c r="A6237" t="str">
        <f>"20200111160023319"</f>
        <v>20200111160023319</v>
      </c>
      <c r="B6237" t="str">
        <f>"1578729623317055"</f>
        <v>1578729623317055</v>
      </c>
      <c r="C6237" t="s">
        <v>37</v>
      </c>
      <c r="D6237">
        <v>5.1600729999999997</v>
      </c>
      <c r="E6237">
        <v>0.4476041</v>
      </c>
      <c r="F6237" t="s">
        <v>39</v>
      </c>
      <c r="G6237">
        <v>-192.41120000000001</v>
      </c>
      <c r="H6237" s="1">
        <v>-3.18890899999999E-6</v>
      </c>
      <c r="I6237">
        <v>-34.472940000000001</v>
      </c>
      <c r="J6237">
        <v>-194.1806</v>
      </c>
      <c r="K6237">
        <v>1.109828</v>
      </c>
      <c r="L6237">
        <v>-48.2468</v>
      </c>
      <c r="M6237">
        <v>0.38355089999999997</v>
      </c>
      <c r="N6237">
        <v>0</v>
      </c>
      <c r="O6237">
        <v>0.92339459999999995</v>
      </c>
      <c r="P6237">
        <v>0.26344450000000003</v>
      </c>
      <c r="Q6237">
        <v>-1.145381E-3</v>
      </c>
      <c r="R6237">
        <v>0.96467389999999997</v>
      </c>
      <c r="S6237">
        <v>0.39210509999999998</v>
      </c>
      <c r="T6237">
        <v>-0.2397118</v>
      </c>
      <c r="U6237">
        <v>3.0059200000000001</v>
      </c>
      <c r="V6237">
        <v>-0.1269151</v>
      </c>
      <c r="W6237">
        <v>1.2369140000000001E-2</v>
      </c>
      <c r="X6237">
        <v>0.99183639999999995</v>
      </c>
      <c r="Y6237">
        <v>-0.26122919999999999</v>
      </c>
      <c r="Z6237">
        <v>-6.8791989999999997E-2</v>
      </c>
      <c r="AA6237">
        <v>0.96282239999999997</v>
      </c>
      <c r="AB6237">
        <v>16</v>
      </c>
      <c r="AC6237">
        <v>1.7693999999999901</v>
      </c>
      <c r="AD6237">
        <v>-1.109831188909</v>
      </c>
      <c r="AE6237">
        <v>13.773860000000001</v>
      </c>
      <c r="AF6237">
        <v>-3.626382200338</v>
      </c>
      <c r="AG6237">
        <v>-1.109831188909</v>
      </c>
      <c r="AH6237">
        <v>13.313876175259299</v>
      </c>
      <c r="AI6237">
        <v>94.598338107029804</v>
      </c>
      <c r="AJ6237">
        <v>105.23639142222</v>
      </c>
      <c r="AK6237">
        <v>13.843470372018</v>
      </c>
    </row>
    <row r="6238" spans="1:37" x14ac:dyDescent="0.2">
      <c r="A6238" t="str">
        <f>"20200111160023342"</f>
        <v>20200111160023342</v>
      </c>
      <c r="B6238" t="str">
        <f>"1578729623336576"</f>
        <v>1578729623336576</v>
      </c>
      <c r="C6238" t="s">
        <v>37</v>
      </c>
      <c r="D6238">
        <v>4.9870330000000003</v>
      </c>
      <c r="E6238">
        <v>0.44741720000000001</v>
      </c>
      <c r="F6238" t="s">
        <v>39</v>
      </c>
      <c r="G6238">
        <v>-192.3964</v>
      </c>
      <c r="H6238" s="1">
        <v>-3.5990190000000001E-6</v>
      </c>
      <c r="I6238">
        <v>-33.507770000000001</v>
      </c>
      <c r="J6238">
        <v>-194.13640000000001</v>
      </c>
      <c r="K6238">
        <v>1.1097889999999999</v>
      </c>
      <c r="L6238">
        <v>-48.103609999999897</v>
      </c>
      <c r="M6238">
        <v>0.37257979999999902</v>
      </c>
      <c r="N6238">
        <v>0</v>
      </c>
      <c r="O6238">
        <v>0.92787580000000003</v>
      </c>
      <c r="P6238">
        <v>0.25566869999999903</v>
      </c>
      <c r="Q6238">
        <v>-1.932869E-3</v>
      </c>
      <c r="R6238">
        <v>0.96676249999999997</v>
      </c>
      <c r="S6238">
        <v>0.36437989999999998</v>
      </c>
      <c r="T6238">
        <v>-0.226657</v>
      </c>
      <c r="U6238">
        <v>3.0101009999999899</v>
      </c>
      <c r="V6238">
        <v>-0.123134199999999</v>
      </c>
      <c r="W6238">
        <v>1.1632480000000001E-2</v>
      </c>
      <c r="X6238">
        <v>0.99232180000000003</v>
      </c>
      <c r="Y6238">
        <v>-0.25866159999999999</v>
      </c>
      <c r="Z6238">
        <v>-6.5530909999999998E-2</v>
      </c>
      <c r="AA6238">
        <v>0.96374259999999901</v>
      </c>
      <c r="AB6238">
        <v>16</v>
      </c>
      <c r="AC6238">
        <v>1.74</v>
      </c>
      <c r="AD6238">
        <v>-1.1097925990189901</v>
      </c>
      <c r="AE6238">
        <v>14.5958399999999</v>
      </c>
      <c r="AF6238">
        <v>-3.8023779071944102</v>
      </c>
      <c r="AG6238">
        <v>-1.1097925990189901</v>
      </c>
      <c r="AH6238">
        <v>14.112607536921001</v>
      </c>
      <c r="AI6238">
        <v>94.342172891831098</v>
      </c>
      <c r="AJ6238">
        <v>105.07919956098701</v>
      </c>
      <c r="AK6238">
        <v>14.657946952186601</v>
      </c>
    </row>
    <row r="6239" spans="1:37" x14ac:dyDescent="0.2">
      <c r="A6239" t="str">
        <f>"20200111160023364"</f>
        <v>20200111160023364</v>
      </c>
      <c r="B6239" t="str">
        <f>"1578729623357072"</f>
        <v>1578729623357072</v>
      </c>
      <c r="C6239" t="s">
        <v>37</v>
      </c>
      <c r="D6239">
        <v>5.3825880000000002</v>
      </c>
      <c r="E6239">
        <v>0.44806970000000002</v>
      </c>
      <c r="F6239" t="s">
        <v>39</v>
      </c>
      <c r="G6239">
        <v>-192.47409999999999</v>
      </c>
      <c r="H6239" s="1">
        <v>-3.7054109999999998E-6</v>
      </c>
      <c r="I6239">
        <v>-33.307949999999998</v>
      </c>
      <c r="J6239">
        <v>-194.0933</v>
      </c>
      <c r="K6239">
        <v>1.1097569999999899</v>
      </c>
      <c r="L6239">
        <v>-47.9574</v>
      </c>
      <c r="M6239">
        <v>0.36136439999999997</v>
      </c>
      <c r="N6239">
        <v>0</v>
      </c>
      <c r="O6239">
        <v>0.93230100000000005</v>
      </c>
      <c r="P6239">
        <v>0.24734339999999899</v>
      </c>
      <c r="Q6239">
        <v>-2.812592E-3</v>
      </c>
      <c r="R6239">
        <v>0.9689238</v>
      </c>
      <c r="S6239">
        <v>0.33854679999999998</v>
      </c>
      <c r="T6239">
        <v>-0.22601070000000001</v>
      </c>
      <c r="U6239">
        <v>3.013153</v>
      </c>
      <c r="V6239">
        <v>-0.1196908</v>
      </c>
      <c r="W6239">
        <v>1.0798550000000001E-2</v>
      </c>
      <c r="X6239">
        <v>0.99275249999999904</v>
      </c>
      <c r="Y6239">
        <v>-0.2552817</v>
      </c>
      <c r="Z6239">
        <v>-6.5830130000000001E-2</v>
      </c>
      <c r="AA6239">
        <v>0.96462309999999996</v>
      </c>
      <c r="AB6239">
        <v>16</v>
      </c>
      <c r="AC6239">
        <v>1.6192</v>
      </c>
      <c r="AD6239">
        <v>-1.1097607054109999</v>
      </c>
      <c r="AE6239">
        <v>14.64945</v>
      </c>
      <c r="AF6239">
        <v>-3.76330838930574</v>
      </c>
      <c r="AG6239">
        <v>-1.1097607054109999</v>
      </c>
      <c r="AH6239">
        <v>14.1641574427093</v>
      </c>
      <c r="AI6239">
        <v>94.330331346365895</v>
      </c>
      <c r="AJ6239">
        <v>104.879286912868</v>
      </c>
      <c r="AK6239">
        <v>14.6975309123047</v>
      </c>
    </row>
    <row r="6240" spans="1:37" x14ac:dyDescent="0.2">
      <c r="A6240" t="str">
        <f>"20200111160023379"</f>
        <v>20200111160023379</v>
      </c>
      <c r="B6240" t="str">
        <f>"1578729623376592"</f>
        <v>1578729623376592</v>
      </c>
      <c r="C6240" t="s">
        <v>37</v>
      </c>
      <c r="D6240">
        <v>5.2276089999999904</v>
      </c>
      <c r="E6240">
        <v>0.44810800000000001</v>
      </c>
      <c r="F6240" t="s">
        <v>39</v>
      </c>
      <c r="G6240">
        <v>-192.4896</v>
      </c>
      <c r="H6240" s="1">
        <v>-3.927744E-6</v>
      </c>
      <c r="I6240">
        <v>-32.769030000000001</v>
      </c>
      <c r="J6240">
        <v>-194.06540000000001</v>
      </c>
      <c r="K6240">
        <v>1.1097360000000001</v>
      </c>
      <c r="L6240">
        <v>-47.858730000000001</v>
      </c>
      <c r="M6240">
        <v>0.35379369999999999</v>
      </c>
      <c r="N6240">
        <v>0</v>
      </c>
      <c r="O6240">
        <v>0.93520040000000004</v>
      </c>
      <c r="P6240">
        <v>0.2406211</v>
      </c>
      <c r="Q6240">
        <v>-3.4984529999999999E-3</v>
      </c>
      <c r="R6240">
        <v>0.97061280000000005</v>
      </c>
      <c r="S6240">
        <v>0.31828309999999999</v>
      </c>
      <c r="T6240">
        <v>-0.22024539999999901</v>
      </c>
      <c r="U6240">
        <v>3.014313</v>
      </c>
      <c r="V6240">
        <v>-0.1185137</v>
      </c>
      <c r="W6240">
        <v>1.0126720000000001E-2</v>
      </c>
      <c r="X6240">
        <v>0.99290080000000003</v>
      </c>
      <c r="Y6240">
        <v>-0.2538822</v>
      </c>
      <c r="Z6240">
        <v>-6.4481179999999999E-2</v>
      </c>
      <c r="AA6240">
        <v>0.96508340000000004</v>
      </c>
      <c r="AB6240">
        <v>16</v>
      </c>
      <c r="AC6240">
        <v>1.5758000000000101</v>
      </c>
      <c r="AD6240">
        <v>-1.1097399277440001</v>
      </c>
      <c r="AE6240">
        <v>15.089700000000001</v>
      </c>
      <c r="AF6240">
        <v>-3.84482637219558</v>
      </c>
      <c r="AG6240">
        <v>-1.1097399277440001</v>
      </c>
      <c r="AH6240">
        <v>14.593014874308301</v>
      </c>
      <c r="AI6240">
        <v>94.205758706579999</v>
      </c>
      <c r="AJ6240">
        <v>104.76030309918799</v>
      </c>
      <c r="AK6240">
        <v>15.1317644596175</v>
      </c>
    </row>
    <row r="6241" spans="1:37" x14ac:dyDescent="0.2">
      <c r="A6241" t="str">
        <f>"20200111160023399"</f>
        <v>20200111160023399</v>
      </c>
      <c r="B6241" t="str">
        <f>"1578729623387327"</f>
        <v>1578729623387327</v>
      </c>
      <c r="C6241" t="s">
        <v>37</v>
      </c>
      <c r="D6241">
        <v>5.2044519999999999</v>
      </c>
      <c r="E6241">
        <v>0.44818249999999998</v>
      </c>
      <c r="F6241" t="s">
        <v>39</v>
      </c>
      <c r="G6241">
        <v>-192.5523</v>
      </c>
      <c r="H6241" s="1">
        <v>-4.0176170000000001E-6</v>
      </c>
      <c r="I6241">
        <v>-32.537649999999999</v>
      </c>
      <c r="J6241">
        <v>-194.0317</v>
      </c>
      <c r="K6241">
        <v>1.109699</v>
      </c>
      <c r="L6241">
        <v>-47.735230000000001</v>
      </c>
      <c r="M6241">
        <v>0.3443118</v>
      </c>
      <c r="N6241">
        <v>0</v>
      </c>
      <c r="O6241">
        <v>0.93873289999999998</v>
      </c>
      <c r="P6241">
        <v>0.23319409999999999</v>
      </c>
      <c r="Q6241">
        <v>-5.3331969999999996E-3</v>
      </c>
      <c r="R6241">
        <v>0.97241559999999905</v>
      </c>
      <c r="S6241">
        <v>0.29788209999999998</v>
      </c>
      <c r="T6241">
        <v>-0.21847030000000001</v>
      </c>
      <c r="U6241">
        <v>3.0162049999999998</v>
      </c>
      <c r="V6241">
        <v>-0.1160301</v>
      </c>
      <c r="W6241">
        <v>8.3243520000000001E-3</v>
      </c>
      <c r="X6241">
        <v>0.99321079999999995</v>
      </c>
      <c r="Y6241">
        <v>-0.25061489999999997</v>
      </c>
      <c r="Z6241">
        <v>-6.4352179999999995E-2</v>
      </c>
      <c r="AA6241">
        <v>0.96594570000000002</v>
      </c>
      <c r="AB6241">
        <v>16</v>
      </c>
      <c r="AC6241">
        <v>1.4793999999999901</v>
      </c>
      <c r="AD6241">
        <v>-1.109703017617</v>
      </c>
      <c r="AE6241">
        <v>15.19758</v>
      </c>
      <c r="AF6241">
        <v>-3.8241886797035698</v>
      </c>
      <c r="AG6241">
        <v>-1.109703017617</v>
      </c>
      <c r="AH6241">
        <v>14.699902623942201</v>
      </c>
      <c r="AI6241">
        <v>94.1785327753731</v>
      </c>
      <c r="AJ6241">
        <v>104.582298978797</v>
      </c>
      <c r="AK6241">
        <v>15.2296748815812</v>
      </c>
    </row>
    <row r="6242" spans="1:37" x14ac:dyDescent="0.2">
      <c r="A6242" t="str">
        <f>"20200111160023421"</f>
        <v>20200111160023421</v>
      </c>
      <c r="B6242" t="str">
        <f>"1578729623417583"</f>
        <v>1578729623417583</v>
      </c>
      <c r="C6242" t="s">
        <v>37</v>
      </c>
      <c r="D6242">
        <v>5.3122879999999997</v>
      </c>
      <c r="E6242">
        <v>0.44818279999999899</v>
      </c>
      <c r="F6242" t="s">
        <v>39</v>
      </c>
      <c r="G6242">
        <v>-192.64769999999999</v>
      </c>
      <c r="H6242" s="1">
        <v>-4.0158900000000001E-6</v>
      </c>
      <c r="I6242">
        <v>-32.592449999999999</v>
      </c>
      <c r="J6242">
        <v>-193.9939</v>
      </c>
      <c r="K6242">
        <v>1.109656</v>
      </c>
      <c r="L6242">
        <v>-47.59122</v>
      </c>
      <c r="M6242">
        <v>0.33325279999999902</v>
      </c>
      <c r="N6242">
        <v>0</v>
      </c>
      <c r="O6242">
        <v>0.94271579999999999</v>
      </c>
      <c r="P6242">
        <v>0.22387579999999899</v>
      </c>
      <c r="Q6242">
        <v>-7.2370159999999998E-3</v>
      </c>
      <c r="R6242">
        <v>0.97459079999999998</v>
      </c>
      <c r="S6242">
        <v>0.27580260000000001</v>
      </c>
      <c r="T6242">
        <v>-0.2211496</v>
      </c>
      <c r="U6242">
        <v>3.0177610000000001</v>
      </c>
      <c r="V6242">
        <v>-0.113832999999999</v>
      </c>
      <c r="W6242">
        <v>6.4475729999999998E-3</v>
      </c>
      <c r="X6242">
        <v>0.993479</v>
      </c>
      <c r="Y6242">
        <v>-0.2462915</v>
      </c>
      <c r="Z6242">
        <v>-6.5595870000000001E-2</v>
      </c>
      <c r="AA6242">
        <v>0.96697350000000004</v>
      </c>
      <c r="AB6242">
        <v>16</v>
      </c>
      <c r="AC6242">
        <v>1.3462000000000101</v>
      </c>
      <c r="AD6242">
        <v>-1.1096600158900001</v>
      </c>
      <c r="AE6242">
        <v>14.99877</v>
      </c>
      <c r="AF6242">
        <v>-3.7095837777311602</v>
      </c>
      <c r="AG6242">
        <v>-1.1096600158900001</v>
      </c>
      <c r="AH6242">
        <v>14.511084284024401</v>
      </c>
      <c r="AI6242">
        <v>94.237148405538704</v>
      </c>
      <c r="AJ6242">
        <v>104.339866548597</v>
      </c>
      <c r="AK6242">
        <v>15.018785711665601</v>
      </c>
    </row>
    <row r="6243" spans="1:37" x14ac:dyDescent="0.2">
      <c r="A6243" t="str">
        <f>"20200111160023441"</f>
        <v>20200111160023441</v>
      </c>
      <c r="B6243" t="str">
        <f>"1578729623437104"</f>
        <v>1578729623437104</v>
      </c>
      <c r="C6243" t="s">
        <v>37</v>
      </c>
      <c r="D6243">
        <v>4.9529300000000003</v>
      </c>
      <c r="E6243">
        <v>0.44742609999999899</v>
      </c>
      <c r="F6243" t="s">
        <v>39</v>
      </c>
      <c r="G6243">
        <v>-192.75810000000001</v>
      </c>
      <c r="H6243" s="1">
        <v>-4.0607010000000002E-6</v>
      </c>
      <c r="I6243">
        <v>-32.51831</v>
      </c>
      <c r="J6243">
        <v>-193.95920000000001</v>
      </c>
      <c r="K6243">
        <v>1.109626</v>
      </c>
      <c r="L6243">
        <v>-47.452509999999997</v>
      </c>
      <c r="M6243">
        <v>0.32260820000000001</v>
      </c>
      <c r="N6243">
        <v>0</v>
      </c>
      <c r="O6243">
        <v>0.94641149999999996</v>
      </c>
      <c r="P6243">
        <v>0.21621959999999901</v>
      </c>
      <c r="Q6243">
        <v>-8.1930809999999996E-3</v>
      </c>
      <c r="R6243">
        <v>0.97631039999999902</v>
      </c>
      <c r="S6243">
        <v>0.24757390000000001</v>
      </c>
      <c r="T6243">
        <v>-0.22230749999999999</v>
      </c>
      <c r="U6243">
        <v>3.0196839999999998</v>
      </c>
      <c r="V6243">
        <v>-0.1104197</v>
      </c>
      <c r="W6243">
        <v>5.535875E-3</v>
      </c>
      <c r="X6243">
        <v>0.99386969999999997</v>
      </c>
      <c r="Y6243">
        <v>-0.24440029999999899</v>
      </c>
      <c r="Z6243">
        <v>-6.6339679999999998E-2</v>
      </c>
      <c r="AA6243">
        <v>0.96740249999999905</v>
      </c>
      <c r="AB6243">
        <v>16</v>
      </c>
      <c r="AC6243">
        <v>1.2010999999999901</v>
      </c>
      <c r="AD6243">
        <v>-1.1096300607009999</v>
      </c>
      <c r="AE6243">
        <v>14.934199999999899</v>
      </c>
      <c r="AF6243">
        <v>-3.6614984548009901</v>
      </c>
      <c r="AG6243">
        <v>-1.1096300607009999</v>
      </c>
      <c r="AH6243">
        <v>14.44382070042</v>
      </c>
      <c r="AI6243">
        <v>94.258862555243596</v>
      </c>
      <c r="AJ6243">
        <v>104.224788902556</v>
      </c>
      <c r="AK6243">
        <v>14.9419478727509</v>
      </c>
    </row>
    <row r="6244" spans="1:37" x14ac:dyDescent="0.2">
      <c r="A6244" t="str">
        <f>"20200111160023465"</f>
        <v>20200111160023465</v>
      </c>
      <c r="B6244" t="str">
        <f>"1578729623457599"</f>
        <v>1578729623457599</v>
      </c>
      <c r="C6244" t="s">
        <v>37</v>
      </c>
      <c r="D6244">
        <v>4.95181</v>
      </c>
      <c r="E6244">
        <v>0.40581079999999897</v>
      </c>
      <c r="F6244" t="s">
        <v>39</v>
      </c>
      <c r="G6244">
        <v>-192.88159999999999</v>
      </c>
      <c r="H6244" s="1">
        <v>-4.0874059999999998E-6</v>
      </c>
      <c r="I6244">
        <v>-32.504190000000001</v>
      </c>
      <c r="J6244">
        <v>-193.92320000000001</v>
      </c>
      <c r="K6244">
        <v>1.1095790000000001</v>
      </c>
      <c r="L6244">
        <v>-47.301639999999999</v>
      </c>
      <c r="M6244">
        <v>0.31105659999999902</v>
      </c>
      <c r="N6244">
        <v>0</v>
      </c>
      <c r="O6244">
        <v>0.95027109999999904</v>
      </c>
      <c r="P6244">
        <v>0.20862809999999901</v>
      </c>
      <c r="Q6244">
        <v>-6.3603940000000001E-3</v>
      </c>
      <c r="R6244">
        <v>0.97797440000000002</v>
      </c>
      <c r="S6244">
        <v>0.21789549999999999</v>
      </c>
      <c r="T6244">
        <v>-0.22437409999999999</v>
      </c>
      <c r="U6244">
        <v>3.0226439999999899</v>
      </c>
      <c r="V6244">
        <v>-0.10605969999999899</v>
      </c>
      <c r="W6244">
        <v>7.4241119999999897E-3</v>
      </c>
      <c r="X6244">
        <v>0.99433209999999905</v>
      </c>
      <c r="Y6244">
        <v>-0.24211239999999901</v>
      </c>
      <c r="Z6244">
        <v>-6.7356200000000005E-2</v>
      </c>
      <c r="AA6244">
        <v>0.96790739999999997</v>
      </c>
      <c r="AB6244">
        <v>15</v>
      </c>
      <c r="AC6244">
        <v>1.0416000000000101</v>
      </c>
      <c r="AD6244">
        <v>-1.109583087406</v>
      </c>
      <c r="AE6244">
        <v>14.7974499999999</v>
      </c>
      <c r="AF6244">
        <v>-3.5933504385572101</v>
      </c>
      <c r="AG6244">
        <v>-1.109583087406</v>
      </c>
      <c r="AH6244">
        <v>14.307181852910899</v>
      </c>
      <c r="AI6244">
        <v>94.301583582388503</v>
      </c>
      <c r="AJ6244">
        <v>104.098624095163</v>
      </c>
      <c r="AK6244">
        <v>14.793200957683201</v>
      </c>
    </row>
    <row r="6245" spans="1:37" x14ac:dyDescent="0.2">
      <c r="A6245" t="str">
        <f>"20200111160023489"</f>
        <v>20200111160023489</v>
      </c>
      <c r="B6245" t="str">
        <f>"1578729623487855"</f>
        <v>1578729623487855</v>
      </c>
      <c r="C6245" t="s">
        <v>37</v>
      </c>
      <c r="D6245">
        <v>5.055402</v>
      </c>
      <c r="E6245">
        <v>0.40744219999999998</v>
      </c>
      <c r="F6245" t="s">
        <v>39</v>
      </c>
      <c r="G6245">
        <v>-194.6377</v>
      </c>
      <c r="H6245" s="1">
        <v>-1.2827959999999999E-6</v>
      </c>
      <c r="I6245">
        <v>-30.297090000000001</v>
      </c>
      <c r="J6245">
        <v>-193.88800000000001</v>
      </c>
      <c r="K6245">
        <v>1.1095120000000001</v>
      </c>
      <c r="L6245">
        <v>-47.14481</v>
      </c>
      <c r="M6245">
        <v>0.29912919999999998</v>
      </c>
      <c r="N6245">
        <v>0</v>
      </c>
      <c r="O6245">
        <v>0.95409319999999898</v>
      </c>
      <c r="P6245">
        <v>0.20030020000000001</v>
      </c>
      <c r="Q6245">
        <v>-4.4969929999999899E-3</v>
      </c>
      <c r="R6245">
        <v>0.97972420000000005</v>
      </c>
      <c r="S6245">
        <v>-0.13000490000000001</v>
      </c>
      <c r="T6245">
        <v>-0.20188929999999999</v>
      </c>
      <c r="U6245">
        <v>3.0939939999999999</v>
      </c>
      <c r="V6245">
        <v>-0.10208639999999999</v>
      </c>
      <c r="W6245">
        <v>9.3380700000000004E-3</v>
      </c>
      <c r="X6245">
        <v>0.994731699999999</v>
      </c>
      <c r="Y6245">
        <v>-0.33886339999999998</v>
      </c>
      <c r="Z6245">
        <v>-5.8681520000000001E-2</v>
      </c>
      <c r="AA6245">
        <v>0.93900380000000006</v>
      </c>
      <c r="AB6245">
        <v>15</v>
      </c>
      <c r="AC6245">
        <v>-0.74969999999999004</v>
      </c>
      <c r="AD6245">
        <v>-1.1095132827959999</v>
      </c>
      <c r="AE6245">
        <v>16.847719999999999</v>
      </c>
      <c r="AF6245">
        <v>-5.7307796354596103</v>
      </c>
      <c r="AG6245">
        <v>-1.1095132827959999</v>
      </c>
      <c r="AH6245">
        <v>15.783527417949401</v>
      </c>
      <c r="AI6245">
        <v>93.780326735994194</v>
      </c>
      <c r="AJ6245">
        <v>109.955256604029</v>
      </c>
      <c r="AK6245">
        <v>16.828327091783599</v>
      </c>
    </row>
    <row r="6246" spans="1:37" x14ac:dyDescent="0.2">
      <c r="A6246" t="str">
        <f>"20200111160023511"</f>
        <v>20200111160023511</v>
      </c>
      <c r="B6246" t="str">
        <f>"1578729623507375"</f>
        <v>1578729623507375</v>
      </c>
      <c r="C6246" t="s">
        <v>37</v>
      </c>
      <c r="D6246">
        <v>5.0359590000000001</v>
      </c>
      <c r="E6246">
        <v>0.4079197</v>
      </c>
      <c r="F6246" t="s">
        <v>39</v>
      </c>
      <c r="G6246">
        <v>-194.69970000000001</v>
      </c>
      <c r="H6246" s="1">
        <v>-1.583578E-6</v>
      </c>
      <c r="I6246">
        <v>-29.634399999999999</v>
      </c>
      <c r="J6246">
        <v>-193.85769999999999</v>
      </c>
      <c r="K6246">
        <v>1.1094310000000001</v>
      </c>
      <c r="L6246">
        <v>-47.002690000000001</v>
      </c>
      <c r="M6246">
        <v>0.28840700000000002</v>
      </c>
      <c r="N6246">
        <v>0</v>
      </c>
      <c r="O6246">
        <v>0.95738919999999905</v>
      </c>
      <c r="P6246">
        <v>0.1931081</v>
      </c>
      <c r="Q6246">
        <v>-3.0591619999999998E-3</v>
      </c>
      <c r="R6246">
        <v>0.98117269999999901</v>
      </c>
      <c r="S6246">
        <v>-0.1432648</v>
      </c>
      <c r="T6246">
        <v>-0.19582260000000001</v>
      </c>
      <c r="U6246">
        <v>3.0904849999999899</v>
      </c>
      <c r="V6246">
        <v>-9.8238790000000006E-2</v>
      </c>
      <c r="W6246">
        <v>1.0822389999999999E-2</v>
      </c>
      <c r="X6246">
        <v>0.99510399999999999</v>
      </c>
      <c r="Y6246">
        <v>-0.33237290000000003</v>
      </c>
      <c r="Z6246">
        <v>-5.7369580000000003E-2</v>
      </c>
      <c r="AA6246">
        <v>0.94140159999999995</v>
      </c>
      <c r="AB6246">
        <v>15</v>
      </c>
      <c r="AC6246">
        <v>-0.84200000000001296</v>
      </c>
      <c r="AD6246">
        <v>-1.1094325835779999</v>
      </c>
      <c r="AE6246">
        <v>17.368289999999998</v>
      </c>
      <c r="AF6246">
        <v>-5.7923403693112796</v>
      </c>
      <c r="AG6246">
        <v>-1.1094325835779999</v>
      </c>
      <c r="AH6246">
        <v>16.320800323642299</v>
      </c>
      <c r="AI6246">
        <v>93.665455777986807</v>
      </c>
      <c r="AJ6246">
        <v>109.54004926053101</v>
      </c>
      <c r="AK6246">
        <v>17.353690409122201</v>
      </c>
    </row>
    <row r="6247" spans="1:37" x14ac:dyDescent="0.2">
      <c r="A6247" t="str">
        <f>"20200111160023533"</f>
        <v>20200111160023533</v>
      </c>
      <c r="B6247" t="str">
        <f>"1578729623526895"</f>
        <v>1578729623526895</v>
      </c>
      <c r="C6247" t="s">
        <v>37</v>
      </c>
      <c r="D6247">
        <v>5.0646769999999997</v>
      </c>
      <c r="E6247">
        <v>0.40899920000000001</v>
      </c>
      <c r="F6247" t="s">
        <v>39</v>
      </c>
      <c r="G6247">
        <v>-194.80789999999999</v>
      </c>
      <c r="H6247" s="1">
        <v>-1.9329519999999999E-6</v>
      </c>
      <c r="I6247">
        <v>-28.887090000000001</v>
      </c>
      <c r="J6247">
        <v>-193.82769999999999</v>
      </c>
      <c r="K6247">
        <v>1.109337</v>
      </c>
      <c r="L6247">
        <v>-46.85474</v>
      </c>
      <c r="M6247">
        <v>0.27734969999999998</v>
      </c>
      <c r="N6247">
        <v>0</v>
      </c>
      <c r="O6247">
        <v>0.96065129999999999</v>
      </c>
      <c r="P6247">
        <v>0.186529799999999</v>
      </c>
      <c r="Q6247">
        <v>-2.202931E-3</v>
      </c>
      <c r="R6247">
        <v>0.98244679999999995</v>
      </c>
      <c r="S6247">
        <v>-0.16201779999999999</v>
      </c>
      <c r="T6247">
        <v>-0.189167899999999</v>
      </c>
      <c r="U6247">
        <v>3.088867</v>
      </c>
      <c r="V6247">
        <v>-9.3438549999999995E-2</v>
      </c>
      <c r="W6247">
        <v>1.1732609999999999E-2</v>
      </c>
      <c r="X6247">
        <v>0.99555590000000005</v>
      </c>
      <c r="Y6247">
        <v>-0.32722570000000001</v>
      </c>
      <c r="Z6247">
        <v>-5.5801410000000003E-2</v>
      </c>
      <c r="AA6247">
        <v>0.94329719999999995</v>
      </c>
      <c r="AB6247">
        <v>15</v>
      </c>
      <c r="AC6247">
        <v>-0.98019999999999596</v>
      </c>
      <c r="AD6247">
        <v>-1.109338932952</v>
      </c>
      <c r="AE6247">
        <v>17.967649999999999</v>
      </c>
      <c r="AF6247">
        <v>-5.9031872186727998</v>
      </c>
      <c r="AG6247">
        <v>-1.109338932952</v>
      </c>
      <c r="AH6247">
        <v>16.9263792422446</v>
      </c>
      <c r="AI6247">
        <v>93.541149895772904</v>
      </c>
      <c r="AJ6247">
        <v>109.226556995045</v>
      </c>
      <c r="AK6247">
        <v>17.9605280117026</v>
      </c>
    </row>
    <row r="6248" spans="1:37" x14ac:dyDescent="0.2">
      <c r="A6248" t="str">
        <f>"20200111160023556"</f>
        <v>20200111160023556</v>
      </c>
      <c r="B6248" t="str">
        <f>"1578729623547392"</f>
        <v>1578729623547392</v>
      </c>
      <c r="C6248" t="s">
        <v>37</v>
      </c>
      <c r="D6248">
        <v>5.1288150000000003</v>
      </c>
      <c r="E6248">
        <v>0.41036459999999902</v>
      </c>
      <c r="F6248" t="s">
        <v>39</v>
      </c>
      <c r="G6248">
        <v>-194.8322</v>
      </c>
      <c r="H6248" s="1">
        <v>-1.8439089999999899E-6</v>
      </c>
      <c r="I6248">
        <v>-29.109729999999999</v>
      </c>
      <c r="J6248">
        <v>-193.79990000000001</v>
      </c>
      <c r="K6248">
        <v>1.109219</v>
      </c>
      <c r="L6248">
        <v>-46.709899999999998</v>
      </c>
      <c r="M6248">
        <v>0.26665709999999998</v>
      </c>
      <c r="N6248">
        <v>0</v>
      </c>
      <c r="O6248">
        <v>0.96367459999999905</v>
      </c>
      <c r="P6248">
        <v>0.1803825</v>
      </c>
      <c r="Q6248">
        <v>-2.0054199999999999E-3</v>
      </c>
      <c r="R6248">
        <v>0.98359449999999904</v>
      </c>
      <c r="S6248">
        <v>-0.17469789999999999</v>
      </c>
      <c r="T6248">
        <v>-0.1929438</v>
      </c>
      <c r="U6248">
        <v>3.0863339999999999</v>
      </c>
      <c r="V6248">
        <v>-8.8597919999999997E-2</v>
      </c>
      <c r="W6248">
        <v>1.198103E-2</v>
      </c>
      <c r="X6248">
        <v>0.99599539999999998</v>
      </c>
      <c r="Y6248">
        <v>-0.32061729999999999</v>
      </c>
      <c r="Z6248">
        <v>-5.7304609999999999E-2</v>
      </c>
      <c r="AA6248">
        <v>0.94547380000000003</v>
      </c>
      <c r="AB6248">
        <v>15</v>
      </c>
      <c r="AC6248">
        <v>-1.03229999999999</v>
      </c>
      <c r="AD6248">
        <v>-1.1092208439090001</v>
      </c>
      <c r="AE6248">
        <v>17.600169999999999</v>
      </c>
      <c r="AF6248">
        <v>-5.6662235967039596</v>
      </c>
      <c r="AG6248">
        <v>-1.1092208439090001</v>
      </c>
      <c r="AH6248">
        <v>16.621652432337601</v>
      </c>
      <c r="AI6248">
        <v>93.614241443793105</v>
      </c>
      <c r="AJ6248">
        <v>108.823941609586</v>
      </c>
      <c r="AK6248">
        <v>17.595902656864201</v>
      </c>
    </row>
    <row r="6249" spans="1:37" x14ac:dyDescent="0.2">
      <c r="A6249" t="str">
        <f>"20200111160023578"</f>
        <v>20200111160023578</v>
      </c>
      <c r="B6249" t="str">
        <f>"1578729623566911"</f>
        <v>1578729623566911</v>
      </c>
      <c r="C6249" t="s">
        <v>37</v>
      </c>
      <c r="D6249">
        <v>5.0332099999999897</v>
      </c>
      <c r="E6249">
        <v>0.41137299999999899</v>
      </c>
      <c r="F6249" t="s">
        <v>39</v>
      </c>
      <c r="G6249">
        <v>-194.85169999999999</v>
      </c>
      <c r="H6249" s="1">
        <v>-1.9006770000000001E-6</v>
      </c>
      <c r="I6249">
        <v>-28.9895</v>
      </c>
      <c r="J6249">
        <v>-193.77330000000001</v>
      </c>
      <c r="K6249">
        <v>1.1090789999999999</v>
      </c>
      <c r="L6249">
        <v>-46.563659999999999</v>
      </c>
      <c r="M6249">
        <v>0.25604879999999902</v>
      </c>
      <c r="N6249">
        <v>0</v>
      </c>
      <c r="O6249">
        <v>0.96654799999999996</v>
      </c>
      <c r="P6249">
        <v>0.1735854</v>
      </c>
      <c r="Q6249">
        <v>-2.2460150000000001E-3</v>
      </c>
      <c r="R6249">
        <v>0.98481629999999998</v>
      </c>
      <c r="S6249">
        <v>-0.18299869999999999</v>
      </c>
      <c r="T6249">
        <v>-0.19299639999999901</v>
      </c>
      <c r="U6249">
        <v>3.083221</v>
      </c>
      <c r="V6249">
        <v>-8.4520620000000005E-2</v>
      </c>
      <c r="W6249">
        <v>1.177695E-2</v>
      </c>
      <c r="X6249">
        <v>0.99635209999999996</v>
      </c>
      <c r="Y6249">
        <v>-0.31278600000000001</v>
      </c>
      <c r="Z6249">
        <v>-5.7724339999999999E-2</v>
      </c>
      <c r="AA6249">
        <v>0.94806789999999996</v>
      </c>
      <c r="AB6249">
        <v>15</v>
      </c>
      <c r="AC6249">
        <v>-1.07839999999998</v>
      </c>
      <c r="AD6249">
        <v>-1.1090809006769999</v>
      </c>
      <c r="AE6249">
        <v>17.574159999999999</v>
      </c>
      <c r="AF6249">
        <v>-5.5208831783722898</v>
      </c>
      <c r="AG6249">
        <v>-1.1090809006769999</v>
      </c>
      <c r="AH6249">
        <v>16.645970652794698</v>
      </c>
      <c r="AI6249">
        <v>93.618570019452804</v>
      </c>
      <c r="AJ6249">
        <v>108.34886789051799</v>
      </c>
      <c r="AK6249">
        <v>17.572664865841499</v>
      </c>
    </row>
    <row r="6250" spans="1:37" x14ac:dyDescent="0.2">
      <c r="A6250" t="str">
        <f>"20200111160023599"</f>
        <v>20200111160023599</v>
      </c>
      <c r="B6250" t="str">
        <f>"1578729623597138"</f>
        <v>1578729623597138</v>
      </c>
      <c r="C6250" t="s">
        <v>37</v>
      </c>
      <c r="D6250">
        <v>5.3665539999999998</v>
      </c>
      <c r="E6250">
        <v>0.41391990000000001</v>
      </c>
      <c r="F6250" t="s">
        <v>39</v>
      </c>
      <c r="G6250">
        <v>-194.91970000000001</v>
      </c>
      <c r="H6250" s="1">
        <v>-2.129181E-6</v>
      </c>
      <c r="I6250">
        <v>-28.499040000000001</v>
      </c>
      <c r="J6250">
        <v>-193.74930000000001</v>
      </c>
      <c r="K6250">
        <v>1.1089100000000001</v>
      </c>
      <c r="L6250">
        <v>-46.424959999999999</v>
      </c>
      <c r="M6250">
        <v>0.24621460000000001</v>
      </c>
      <c r="N6250">
        <v>0</v>
      </c>
      <c r="O6250">
        <v>0.96910049999999903</v>
      </c>
      <c r="P6250">
        <v>0.16798869999999999</v>
      </c>
      <c r="Q6250">
        <v>-2.5524020000000001E-3</v>
      </c>
      <c r="R6250">
        <v>0.98578559999999904</v>
      </c>
      <c r="S6250">
        <v>-0.1954803</v>
      </c>
      <c r="T6250">
        <v>-0.18911520000000001</v>
      </c>
      <c r="U6250">
        <v>3.080292</v>
      </c>
      <c r="V6250">
        <v>-8.0046519999999996E-2</v>
      </c>
      <c r="W6250">
        <v>1.150661E-2</v>
      </c>
      <c r="X6250">
        <v>0.99672469999999902</v>
      </c>
      <c r="Y6250">
        <v>-0.30701459999999903</v>
      </c>
      <c r="Z6250">
        <v>-5.690651E-2</v>
      </c>
      <c r="AA6250">
        <v>0.95000200000000001</v>
      </c>
      <c r="AB6250">
        <v>15</v>
      </c>
      <c r="AC6250">
        <v>-1.1704000000000001</v>
      </c>
      <c r="AD6250">
        <v>-1.108912129181</v>
      </c>
      <c r="AE6250">
        <v>17.925919999999898</v>
      </c>
      <c r="AF6250">
        <v>-5.52741369865584</v>
      </c>
      <c r="AG6250">
        <v>-1.108912129181</v>
      </c>
      <c r="AH6250">
        <v>17.020891743051799</v>
      </c>
      <c r="AI6250">
        <v>93.545777051794801</v>
      </c>
      <c r="AJ6250">
        <v>107.990837002372</v>
      </c>
      <c r="AK6250">
        <v>17.930218739185001</v>
      </c>
    </row>
    <row r="6251" spans="1:37" x14ac:dyDescent="0.2">
      <c r="A6251" t="str">
        <f>"20200111160023621"</f>
        <v>20200111160023621</v>
      </c>
      <c r="B6251" t="str">
        <f>"1578729623617634"</f>
        <v>1578729623617634</v>
      </c>
      <c r="C6251" t="s">
        <v>37</v>
      </c>
      <c r="D6251">
        <v>5.366301</v>
      </c>
      <c r="E6251">
        <v>0.41574359999999999</v>
      </c>
      <c r="F6251" t="s">
        <v>39</v>
      </c>
      <c r="G6251">
        <v>-194.87309999999999</v>
      </c>
      <c r="H6251" s="1">
        <v>-2.1471900000000001E-6</v>
      </c>
      <c r="I6251">
        <v>-28.428139999999999</v>
      </c>
      <c r="J6251">
        <v>-193.72540000000001</v>
      </c>
      <c r="K6251">
        <v>1.108711</v>
      </c>
      <c r="L6251">
        <v>-46.279910000000001</v>
      </c>
      <c r="M6251">
        <v>0.236202</v>
      </c>
      <c r="N6251">
        <v>0</v>
      </c>
      <c r="O6251">
        <v>0.97159030000000002</v>
      </c>
      <c r="P6251">
        <v>0.16176550000000001</v>
      </c>
      <c r="Q6251">
        <v>-2.1482440000000001E-3</v>
      </c>
      <c r="R6251">
        <v>0.98682689999999995</v>
      </c>
      <c r="S6251">
        <v>-0.1920471</v>
      </c>
      <c r="T6251">
        <v>-0.18950359999999999</v>
      </c>
      <c r="U6251">
        <v>3.0754999999999999</v>
      </c>
      <c r="V6251">
        <v>-7.6047959999999998E-2</v>
      </c>
      <c r="W6251">
        <v>1.1934780000000001E-2</v>
      </c>
      <c r="X6251">
        <v>0.99703280000000005</v>
      </c>
      <c r="Y6251">
        <v>-0.29621179999999903</v>
      </c>
      <c r="Z6251">
        <v>-5.7448550000000001E-2</v>
      </c>
      <c r="AA6251">
        <v>0.95339300000000005</v>
      </c>
      <c r="AB6251">
        <v>15</v>
      </c>
      <c r="AC6251">
        <v>-1.14769999999998</v>
      </c>
      <c r="AD6251">
        <v>-1.10871314719</v>
      </c>
      <c r="AE6251">
        <v>17.851769999999998</v>
      </c>
      <c r="AF6251">
        <v>-5.3119020589594497</v>
      </c>
      <c r="AG6251">
        <v>-1.10871314719</v>
      </c>
      <c r="AH6251">
        <v>17.010061961778199</v>
      </c>
      <c r="AI6251">
        <v>93.560168188028101</v>
      </c>
      <c r="AJ6251">
        <v>107.342540015618</v>
      </c>
      <c r="AK6251">
        <v>17.8546284271128</v>
      </c>
    </row>
    <row r="6252" spans="1:37" x14ac:dyDescent="0.2">
      <c r="A6252" t="str">
        <f>"20200111160023644"</f>
        <v>20200111160023644</v>
      </c>
      <c r="B6252" t="str">
        <f>"1578729623637154"</f>
        <v>1578729623637154</v>
      </c>
      <c r="C6252" t="s">
        <v>37</v>
      </c>
      <c r="D6252">
        <v>5.3786579999999997</v>
      </c>
      <c r="E6252">
        <v>0.41763050000000002</v>
      </c>
      <c r="F6252" t="s">
        <v>39</v>
      </c>
      <c r="G6252">
        <v>-194.88</v>
      </c>
      <c r="H6252" s="1">
        <v>-2.2376169999999998E-6</v>
      </c>
      <c r="I6252">
        <v>-28.2216599999999</v>
      </c>
      <c r="J6252">
        <v>-193.70169999999999</v>
      </c>
      <c r="K6252">
        <v>1.108481</v>
      </c>
      <c r="L6252">
        <v>-46.129329999999896</v>
      </c>
      <c r="M6252">
        <v>0.22614770000000001</v>
      </c>
      <c r="N6252">
        <v>0</v>
      </c>
      <c r="O6252">
        <v>0.97398069999999903</v>
      </c>
      <c r="P6252">
        <v>0.15560360000000001</v>
      </c>
      <c r="Q6252">
        <v>-1.338262E-3</v>
      </c>
      <c r="R6252">
        <v>0.98781869999999905</v>
      </c>
      <c r="S6252">
        <v>-0.19641110000000001</v>
      </c>
      <c r="T6252">
        <v>-0.1886002</v>
      </c>
      <c r="U6252">
        <v>3.0718380000000001</v>
      </c>
      <c r="V6252">
        <v>-7.1965089999999995E-2</v>
      </c>
      <c r="W6252">
        <v>1.276155E-2</v>
      </c>
      <c r="X6252">
        <v>0.99732549999999898</v>
      </c>
      <c r="Y6252">
        <v>-0.28774949999999999</v>
      </c>
      <c r="Z6252">
        <v>-5.7540000000000001E-2</v>
      </c>
      <c r="AA6252">
        <v>0.95597559999999904</v>
      </c>
      <c r="AB6252">
        <v>15</v>
      </c>
      <c r="AC6252">
        <v>-1.1782999999999999</v>
      </c>
      <c r="AD6252">
        <v>-1.108483237617</v>
      </c>
      <c r="AE6252">
        <v>17.90767</v>
      </c>
      <c r="AF6252">
        <v>-5.1782331836657303</v>
      </c>
      <c r="AG6252">
        <v>-1.108483237617</v>
      </c>
      <c r="AH6252">
        <v>17.111851408236799</v>
      </c>
      <c r="AI6252">
        <v>93.547910933760704</v>
      </c>
      <c r="AJ6252">
        <v>106.83638852505101</v>
      </c>
      <c r="AK6252">
        <v>17.912517763007799</v>
      </c>
    </row>
    <row r="6253" spans="1:37" x14ac:dyDescent="0.2">
      <c r="A6253" t="str">
        <f>"20200111160023667"</f>
        <v>20200111160023667</v>
      </c>
      <c r="B6253" t="str">
        <f>"1578729623657651"</f>
        <v>1578729623657651</v>
      </c>
      <c r="C6253" t="s">
        <v>37</v>
      </c>
      <c r="D6253">
        <v>5.3255689999999998</v>
      </c>
      <c r="E6253">
        <v>0.41886279999999998</v>
      </c>
      <c r="F6253" t="s">
        <v>39</v>
      </c>
      <c r="G6253">
        <v>-194.88640000000001</v>
      </c>
      <c r="H6253" s="1">
        <v>-2.351658E-6</v>
      </c>
      <c r="I6253">
        <v>-27.959790000000002</v>
      </c>
      <c r="J6253">
        <v>-193.67959999999999</v>
      </c>
      <c r="K6253">
        <v>1.108222</v>
      </c>
      <c r="L6253">
        <v>-45.981720000000003</v>
      </c>
      <c r="M6253">
        <v>0.216714399999999</v>
      </c>
      <c r="N6253">
        <v>0</v>
      </c>
      <c r="O6253">
        <v>0.97612399999999999</v>
      </c>
      <c r="P6253">
        <v>0.14888689999999999</v>
      </c>
      <c r="Q6253">
        <v>-1.072347E-3</v>
      </c>
      <c r="R6253">
        <v>0.9888536</v>
      </c>
      <c r="S6253">
        <v>-0.20005799999999899</v>
      </c>
      <c r="T6253">
        <v>-0.1871864</v>
      </c>
      <c r="U6253">
        <v>3.0682369999999999</v>
      </c>
      <c r="V6253">
        <v>-6.9087419999999997E-2</v>
      </c>
      <c r="W6253">
        <v>1.302474E-2</v>
      </c>
      <c r="X6253">
        <v>0.99752559999999901</v>
      </c>
      <c r="Y6253">
        <v>-0.2796787</v>
      </c>
      <c r="Z6253">
        <v>-5.7443319999999999E-2</v>
      </c>
      <c r="AA6253">
        <v>0.958373699999999</v>
      </c>
      <c r="AB6253">
        <v>15</v>
      </c>
      <c r="AC6253">
        <v>-1.2068000000000101</v>
      </c>
      <c r="AD6253">
        <v>-1.1082243516579999</v>
      </c>
      <c r="AE6253">
        <v>18.021930000000001</v>
      </c>
      <c r="AF6253">
        <v>-5.0650817479312096</v>
      </c>
      <c r="AG6253">
        <v>-1.1082243516579999</v>
      </c>
      <c r="AH6253">
        <v>17.266984468841599</v>
      </c>
      <c r="AI6253">
        <v>93.524205025950806</v>
      </c>
      <c r="AJ6253">
        <v>106.34847597129701</v>
      </c>
      <c r="AK6253">
        <v>18.028642959858399</v>
      </c>
    </row>
    <row r="6254" spans="1:37" x14ac:dyDescent="0.2">
      <c r="A6254" t="str">
        <f>"20200111160023690"</f>
        <v>20200111160023690</v>
      </c>
      <c r="B6254" t="str">
        <f>"1578729623686930"</f>
        <v>1578729623686930</v>
      </c>
      <c r="C6254" t="s">
        <v>37</v>
      </c>
      <c r="D6254">
        <v>5.3714469999999999</v>
      </c>
      <c r="E6254">
        <v>0.42088900000000001</v>
      </c>
      <c r="F6254" t="s">
        <v>39</v>
      </c>
      <c r="G6254">
        <v>-194.91810000000001</v>
      </c>
      <c r="H6254" s="1">
        <v>-2.3621140000000002E-6</v>
      </c>
      <c r="I6254">
        <v>-27.955089999999998</v>
      </c>
      <c r="J6254">
        <v>-193.65799999999999</v>
      </c>
      <c r="K6254">
        <v>1.1079459999999901</v>
      </c>
      <c r="L6254">
        <v>-45.831020000000002</v>
      </c>
      <c r="M6254">
        <v>0.20751349999999999</v>
      </c>
      <c r="N6254">
        <v>0</v>
      </c>
      <c r="O6254">
        <v>0.97812259999999995</v>
      </c>
      <c r="P6254">
        <v>0.14190029999999901</v>
      </c>
      <c r="Q6254">
        <v>-1.5387879999999999E-3</v>
      </c>
      <c r="R6254">
        <v>0.98987979999999998</v>
      </c>
      <c r="S6254">
        <v>-0.21060180000000001</v>
      </c>
      <c r="T6254">
        <v>-0.188446</v>
      </c>
      <c r="U6254">
        <v>3.0653079999999999</v>
      </c>
      <c r="V6254">
        <v>-6.6725519999999997E-2</v>
      </c>
      <c r="W6254">
        <v>1.254365E-2</v>
      </c>
      <c r="X6254">
        <v>0.99769249999999998</v>
      </c>
      <c r="Y6254">
        <v>-0.27397270000000001</v>
      </c>
      <c r="Z6254">
        <v>-5.8111080000000002E-2</v>
      </c>
      <c r="AA6254">
        <v>0.95998019999999995</v>
      </c>
      <c r="AB6254">
        <v>15</v>
      </c>
      <c r="AC6254">
        <v>-1.26010000000002</v>
      </c>
      <c r="AD6254">
        <v>-1.1079483621139901</v>
      </c>
      <c r="AE6254">
        <v>17.87593</v>
      </c>
      <c r="AF6254">
        <v>-4.9237377222981102</v>
      </c>
      <c r="AG6254">
        <v>-1.1079483621139901</v>
      </c>
      <c r="AH6254">
        <v>17.1596165062533</v>
      </c>
      <c r="AI6254">
        <v>93.551382261670895</v>
      </c>
      <c r="AJ6254">
        <v>106.01017132991301</v>
      </c>
      <c r="AK6254">
        <v>17.8863965452176</v>
      </c>
    </row>
    <row r="6255" spans="1:37" x14ac:dyDescent="0.2">
      <c r="A6255" t="str">
        <f>"20200111160023711"</f>
        <v>20200111160023711</v>
      </c>
      <c r="B6255" t="str">
        <f>"1578729623707089"</f>
        <v>1578729623707089</v>
      </c>
      <c r="C6255" t="s">
        <v>37</v>
      </c>
      <c r="D6255">
        <v>5.3455000000000004</v>
      </c>
      <c r="E6255">
        <v>0.42208580000000001</v>
      </c>
      <c r="F6255" t="s">
        <v>39</v>
      </c>
      <c r="G6255">
        <v>-194.9179</v>
      </c>
      <c r="H6255" s="1">
        <v>-2.3704100000000001E-6</v>
      </c>
      <c r="I6255">
        <v>-27.93562</v>
      </c>
      <c r="J6255">
        <v>-193.63910000000001</v>
      </c>
      <c r="K6255">
        <v>1.1077250000000001</v>
      </c>
      <c r="L6255">
        <v>-45.693820000000002</v>
      </c>
      <c r="M6255">
        <v>0.19947139999999999</v>
      </c>
      <c r="N6255">
        <v>0</v>
      </c>
      <c r="O6255">
        <v>0.97979530000000004</v>
      </c>
      <c r="P6255">
        <v>0.1358191</v>
      </c>
      <c r="Q6255">
        <v>-1.831116E-3</v>
      </c>
      <c r="R6255">
        <v>0.99073199999999995</v>
      </c>
      <c r="S6255">
        <v>-0.21553040000000001</v>
      </c>
      <c r="T6255">
        <v>-0.18953129999999899</v>
      </c>
      <c r="U6255">
        <v>3.0612789999999999</v>
      </c>
      <c r="V6255">
        <v>-6.4646179999999998E-2</v>
      </c>
      <c r="W6255">
        <v>1.2231819999999999E-2</v>
      </c>
      <c r="X6255">
        <v>0.99783330000000003</v>
      </c>
      <c r="Y6255">
        <v>-0.26768909999999901</v>
      </c>
      <c r="Z6255">
        <v>-5.8727370000000001E-2</v>
      </c>
      <c r="AA6255">
        <v>0.96171390000000001</v>
      </c>
      <c r="AB6255">
        <v>15</v>
      </c>
      <c r="AC6255">
        <v>-1.27879999999998</v>
      </c>
      <c r="AD6255">
        <v>-1.1077273704099999</v>
      </c>
      <c r="AE6255">
        <v>17.758199999999999</v>
      </c>
      <c r="AF6255">
        <v>-4.77723181500743</v>
      </c>
      <c r="AG6255">
        <v>-1.1077273704099999</v>
      </c>
      <c r="AH6255">
        <v>17.080020773197202</v>
      </c>
      <c r="AI6255">
        <v>93.573942414958793</v>
      </c>
      <c r="AJ6255">
        <v>105.626150564944</v>
      </c>
      <c r="AK6255">
        <v>17.770090414916901</v>
      </c>
    </row>
    <row r="6256" spans="1:37" x14ac:dyDescent="0.2">
      <c r="A6256" t="str">
        <f>"20200111160023733"</f>
        <v>20200111160023733</v>
      </c>
      <c r="B6256" t="str">
        <f>"1578729623727585"</f>
        <v>1578729623727585</v>
      </c>
      <c r="C6256" t="s">
        <v>37</v>
      </c>
      <c r="D6256">
        <v>5.4043409999999996</v>
      </c>
      <c r="E6256">
        <v>0.42272489999999902</v>
      </c>
      <c r="F6256" t="s">
        <v>39</v>
      </c>
      <c r="G6256">
        <v>-194.9342</v>
      </c>
      <c r="H6256" s="1">
        <v>-2.3350960000000002E-6</v>
      </c>
      <c r="I6256">
        <v>-28.028040000000001</v>
      </c>
      <c r="J6256">
        <v>-193.62020000000001</v>
      </c>
      <c r="K6256">
        <v>1.107524</v>
      </c>
      <c r="L6256">
        <v>-45.552059999999997</v>
      </c>
      <c r="M6256">
        <v>0.19152379999999999</v>
      </c>
      <c r="N6256">
        <v>0</v>
      </c>
      <c r="O6256">
        <v>0.9813809</v>
      </c>
      <c r="P6256">
        <v>0.13157060000000001</v>
      </c>
      <c r="Q6256">
        <v>-1.520127E-3</v>
      </c>
      <c r="R6256">
        <v>0.99130560000000001</v>
      </c>
      <c r="S6256">
        <v>-0.22422790000000001</v>
      </c>
      <c r="T6256">
        <v>-0.1917787</v>
      </c>
      <c r="U6256">
        <v>3.0584410000000002</v>
      </c>
      <c r="V6256">
        <v>-6.0832400000000002E-2</v>
      </c>
      <c r="W6256">
        <v>1.253221E-2</v>
      </c>
      <c r="X6256">
        <v>0.99806930000000005</v>
      </c>
      <c r="Y6256">
        <v>-0.26265630000000001</v>
      </c>
      <c r="Z6256">
        <v>-5.966188E-2</v>
      </c>
      <c r="AA6256">
        <v>0.96304319999999899</v>
      </c>
      <c r="AB6256">
        <v>15</v>
      </c>
      <c r="AC6256">
        <v>-1.3139999999999901</v>
      </c>
      <c r="AD6256">
        <v>-1.1075263350959901</v>
      </c>
      <c r="AE6256">
        <v>17.524019999999901</v>
      </c>
      <c r="AF6256">
        <v>-4.62790776968912</v>
      </c>
      <c r="AG6256">
        <v>-1.1075263350959901</v>
      </c>
      <c r="AH6256">
        <v>16.8808072279001</v>
      </c>
      <c r="AI6256">
        <v>93.620499504252194</v>
      </c>
      <c r="AJ6256">
        <v>105.331072912591</v>
      </c>
      <c r="AK6256">
        <v>17.538694294992599</v>
      </c>
    </row>
    <row r="6257" spans="1:37" x14ac:dyDescent="0.2">
      <c r="A6257" t="str">
        <f>"20200111160023768"</f>
        <v>20200111160023768</v>
      </c>
      <c r="B6257" t="str">
        <f>"1578729623756864"</f>
        <v>1578729623756864</v>
      </c>
      <c r="C6257" t="s">
        <v>37</v>
      </c>
      <c r="D6257">
        <v>5.4415019999999998</v>
      </c>
      <c r="E6257">
        <v>0.44252200000000003</v>
      </c>
      <c r="F6257" t="s">
        <v>39</v>
      </c>
      <c r="G6257">
        <v>-194.95320000000001</v>
      </c>
      <c r="H6257" s="1">
        <v>-2.366781E-6</v>
      </c>
      <c r="I6257">
        <v>-27.965949999999999</v>
      </c>
      <c r="J6257">
        <v>-193.5917</v>
      </c>
      <c r="K6257">
        <v>1.10721</v>
      </c>
      <c r="L6257">
        <v>-45.326900000000002</v>
      </c>
      <c r="M6257">
        <v>0.1797309</v>
      </c>
      <c r="N6257">
        <v>0</v>
      </c>
      <c r="O6257">
        <v>0.9836106</v>
      </c>
      <c r="P6257">
        <v>0.123099</v>
      </c>
      <c r="Q6257">
        <v>-1.8627079999999901E-3</v>
      </c>
      <c r="R6257">
        <v>0.99239270000000002</v>
      </c>
      <c r="S6257">
        <v>-0.23168949999999999</v>
      </c>
      <c r="T6257">
        <v>-0.1925067</v>
      </c>
      <c r="U6257">
        <v>3.0567630000000001</v>
      </c>
      <c r="V6257">
        <v>-5.7363829999999998E-2</v>
      </c>
      <c r="W6257">
        <v>1.2147430000000001E-2</v>
      </c>
      <c r="X6257">
        <v>0.99827949999999999</v>
      </c>
      <c r="Y6257">
        <v>-0.2534381</v>
      </c>
      <c r="Z6257">
        <v>-6.0202279999999997E-2</v>
      </c>
      <c r="AA6257">
        <v>0.96547649999999996</v>
      </c>
      <c r="AB6257">
        <v>15</v>
      </c>
      <c r="AC6257">
        <v>-1.3614999999999999</v>
      </c>
      <c r="AD6257">
        <v>-1.1072123667810001</v>
      </c>
      <c r="AE6257">
        <v>17.360949999999999</v>
      </c>
      <c r="AF6257">
        <v>-4.4419897807534001</v>
      </c>
      <c r="AG6257">
        <v>-1.1072123667810001</v>
      </c>
      <c r="AH6257">
        <v>16.7656775336545</v>
      </c>
      <c r="AI6257">
        <v>93.652681929859199</v>
      </c>
      <c r="AJ6257">
        <v>104.839305986634</v>
      </c>
      <c r="AK6257">
        <v>17.379445779424501</v>
      </c>
    </row>
    <row r="6258" spans="1:37" x14ac:dyDescent="0.2">
      <c r="A6258" t="str">
        <f>"20200111160023790"</f>
        <v>20200111160023790</v>
      </c>
      <c r="B6258" t="str">
        <f>"1578729623787121"</f>
        <v>1578729623787121</v>
      </c>
      <c r="C6258" t="s">
        <v>37</v>
      </c>
      <c r="D6258">
        <v>5.3873540000000002</v>
      </c>
      <c r="E6258">
        <v>0.4430209</v>
      </c>
      <c r="F6258" t="s">
        <v>39</v>
      </c>
      <c r="G6258">
        <v>-194.1908</v>
      </c>
      <c r="H6258" s="1">
        <v>-2.566941E-6</v>
      </c>
      <c r="I6258">
        <v>-27.026499999999999</v>
      </c>
      <c r="J6258">
        <v>-193.57419999999999</v>
      </c>
      <c r="K6258">
        <v>1.106986</v>
      </c>
      <c r="L6258">
        <v>-45.18329</v>
      </c>
      <c r="M6258">
        <v>0.17282039999999901</v>
      </c>
      <c r="N6258">
        <v>0</v>
      </c>
      <c r="O6258">
        <v>0.98484930000000004</v>
      </c>
      <c r="P6258">
        <v>0.11892759999999999</v>
      </c>
      <c r="Q6258">
        <v>-2.3811119999999999E-3</v>
      </c>
      <c r="R6258">
        <v>0.99290009999999995</v>
      </c>
      <c r="S6258">
        <v>-9.9349980000000004E-2</v>
      </c>
      <c r="T6258">
        <v>-0.18362220000000001</v>
      </c>
      <c r="U6258">
        <v>3.0349729999999999</v>
      </c>
      <c r="V6258">
        <v>-5.4539749999999998E-2</v>
      </c>
      <c r="W6258">
        <v>1.160626E-2</v>
      </c>
      <c r="X6258">
        <v>0.99844409999999895</v>
      </c>
      <c r="Y6258">
        <v>-0.2049107</v>
      </c>
      <c r="Z6258">
        <v>-5.8371390000000002E-2</v>
      </c>
      <c r="AA6258">
        <v>0.97703859999999998</v>
      </c>
      <c r="AB6258">
        <v>15</v>
      </c>
      <c r="AC6258">
        <v>-0.61660000000000503</v>
      </c>
      <c r="AD6258">
        <v>-1.106988566941</v>
      </c>
      <c r="AE6258">
        <v>18.156790000000001</v>
      </c>
      <c r="AF6258">
        <v>-3.7316505945860698</v>
      </c>
      <c r="AG6258">
        <v>-1.106988566941</v>
      </c>
      <c r="AH6258">
        <v>17.711203723021601</v>
      </c>
      <c r="AI6258">
        <v>93.499816585721106</v>
      </c>
      <c r="AJ6258">
        <v>101.89787689685799</v>
      </c>
      <c r="AK6258">
        <v>18.1338737495822</v>
      </c>
    </row>
    <row r="6259" spans="1:37" x14ac:dyDescent="0.2">
      <c r="A6259" t="str">
        <f>"20200111160023811"</f>
        <v>20200111160023811</v>
      </c>
      <c r="B6259" t="str">
        <f>"1578729623807617"</f>
        <v>1578729623807617</v>
      </c>
      <c r="C6259" t="s">
        <v>37</v>
      </c>
      <c r="D6259">
        <v>5.4339379999999897</v>
      </c>
      <c r="E6259">
        <v>0.44387739999999998</v>
      </c>
      <c r="F6259" t="s">
        <v>39</v>
      </c>
      <c r="G6259">
        <v>-194.18279999999999</v>
      </c>
      <c r="H6259" s="1">
        <v>-2.0484090000000002E-6</v>
      </c>
      <c r="I6259">
        <v>-28.2303</v>
      </c>
      <c r="J6259">
        <v>-193.55770000000001</v>
      </c>
      <c r="K6259">
        <v>1.106776</v>
      </c>
      <c r="L6259">
        <v>-45.043120000000002</v>
      </c>
      <c r="M6259">
        <v>0.16645679999999999</v>
      </c>
      <c r="N6259">
        <v>0</v>
      </c>
      <c r="O6259">
        <v>0.98594579999999998</v>
      </c>
      <c r="P6259">
        <v>0.11623840000000001</v>
      </c>
      <c r="Q6259">
        <v>-2.147323E-3</v>
      </c>
      <c r="R6259">
        <v>0.99321899999999996</v>
      </c>
      <c r="S6259">
        <v>-0.10891720000000001</v>
      </c>
      <c r="T6259">
        <v>-0.1981125</v>
      </c>
      <c r="U6259">
        <v>3.0339969999999998</v>
      </c>
      <c r="V6259">
        <v>-5.0789519999999998E-2</v>
      </c>
      <c r="W6259">
        <v>1.182368E-2</v>
      </c>
      <c r="X6259">
        <v>0.99863939999999995</v>
      </c>
      <c r="Y6259">
        <v>-0.2016656</v>
      </c>
      <c r="Z6259">
        <v>-6.3104709999999994E-2</v>
      </c>
      <c r="AA6259">
        <v>0.97741939999999905</v>
      </c>
      <c r="AB6259">
        <v>15</v>
      </c>
      <c r="AC6259">
        <v>-0.62509999999997401</v>
      </c>
      <c r="AD6259">
        <v>-1.106778048409</v>
      </c>
      <c r="AE6259">
        <v>16.812819999999999</v>
      </c>
      <c r="AF6259">
        <v>-3.40055363035958</v>
      </c>
      <c r="AG6259">
        <v>-1.106778048409</v>
      </c>
      <c r="AH6259">
        <v>16.403164265623101</v>
      </c>
      <c r="AI6259">
        <v>93.779960756916296</v>
      </c>
      <c r="AJ6259">
        <v>101.712129450744</v>
      </c>
      <c r="AK6259">
        <v>16.788463913247298</v>
      </c>
    </row>
    <row r="6260" spans="1:37" x14ac:dyDescent="0.2">
      <c r="A6260" t="str">
        <f>"20200111160023833"</f>
        <v>20200111160023833</v>
      </c>
      <c r="B6260" t="str">
        <f>"1578729623827137"</f>
        <v>1578729623827137</v>
      </c>
      <c r="C6260" t="s">
        <v>37</v>
      </c>
      <c r="D6260">
        <v>5.5428269999999999</v>
      </c>
      <c r="E6260">
        <v>0.44409340000000003</v>
      </c>
      <c r="F6260" t="s">
        <v>39</v>
      </c>
      <c r="G6260">
        <v>-194.18979999999999</v>
      </c>
      <c r="H6260" s="1">
        <v>-2.31785699999999E-6</v>
      </c>
      <c r="I6260">
        <v>-27.606509999999901</v>
      </c>
      <c r="J6260">
        <v>-193.54089999999999</v>
      </c>
      <c r="K6260">
        <v>1.106525</v>
      </c>
      <c r="L6260">
        <v>-44.897489999999998</v>
      </c>
      <c r="M6260">
        <v>0.16030700000000001</v>
      </c>
      <c r="N6260">
        <v>0</v>
      </c>
      <c r="O6260">
        <v>0.98696539999999999</v>
      </c>
      <c r="P6260">
        <v>0.1143121</v>
      </c>
      <c r="Q6260">
        <v>-1.4493289999999901E-3</v>
      </c>
      <c r="R6260">
        <v>0.99344379999999999</v>
      </c>
      <c r="S6260">
        <v>-0.1099396</v>
      </c>
      <c r="T6260">
        <v>-0.192513299999999</v>
      </c>
      <c r="U6260">
        <v>3.0329280000000001</v>
      </c>
      <c r="V6260">
        <v>-4.6495359999999999E-2</v>
      </c>
      <c r="W6260">
        <v>1.250646E-2</v>
      </c>
      <c r="X6260">
        <v>0.99884019999999996</v>
      </c>
      <c r="Y6260">
        <v>-0.19590170000000001</v>
      </c>
      <c r="Z6260">
        <v>-6.1483389999999999E-2</v>
      </c>
      <c r="AA6260">
        <v>0.97869419999999996</v>
      </c>
      <c r="AB6260">
        <v>15</v>
      </c>
      <c r="AC6260">
        <v>-0.64889999999999703</v>
      </c>
      <c r="AD6260">
        <v>-1.1065273178569901</v>
      </c>
      <c r="AE6260">
        <v>17.290980000000001</v>
      </c>
      <c r="AF6260">
        <v>-3.3987506007612298</v>
      </c>
      <c r="AG6260">
        <v>-1.1065273178569901</v>
      </c>
      <c r="AH6260">
        <v>16.894191005543998</v>
      </c>
      <c r="AI6260">
        <v>93.673974919730099</v>
      </c>
      <c r="AJ6260">
        <v>101.374852230133</v>
      </c>
      <c r="AK6260">
        <v>17.268167189460002</v>
      </c>
    </row>
    <row r="6261" spans="1:37" x14ac:dyDescent="0.2">
      <c r="A6261" t="str">
        <f>"20200111160023857"</f>
        <v>20200111160023857</v>
      </c>
      <c r="B6261" t="str">
        <f>"1578729623847633"</f>
        <v>1578729623847633</v>
      </c>
      <c r="C6261" t="s">
        <v>37</v>
      </c>
      <c r="D6261">
        <v>5.432798</v>
      </c>
      <c r="E6261">
        <v>0.445945799999999</v>
      </c>
      <c r="F6261" t="s">
        <v>39</v>
      </c>
      <c r="G6261">
        <v>-194.23240000000001</v>
      </c>
      <c r="H6261" s="1">
        <v>-2.8003440000000001E-6</v>
      </c>
      <c r="I6261">
        <v>-26.508229999999902</v>
      </c>
      <c r="J6261">
        <v>-193.52340000000001</v>
      </c>
      <c r="K6261">
        <v>1.1062270000000001</v>
      </c>
      <c r="L6261">
        <v>-44.74295</v>
      </c>
      <c r="M6261">
        <v>0.1543747</v>
      </c>
      <c r="N6261">
        <v>0</v>
      </c>
      <c r="O6261">
        <v>0.9879116</v>
      </c>
      <c r="P6261">
        <v>0.11268980000000001</v>
      </c>
      <c r="Q6261">
        <v>-6.3056989999999997E-4</v>
      </c>
      <c r="R6261">
        <v>0.99362999999999901</v>
      </c>
      <c r="S6261">
        <v>-0.1140289</v>
      </c>
      <c r="T6261">
        <v>-0.18248249999999999</v>
      </c>
      <c r="U6261">
        <v>3.032654</v>
      </c>
      <c r="V6261">
        <v>-4.2118870000000003E-2</v>
      </c>
      <c r="W6261">
        <v>1.3307960000000001E-2</v>
      </c>
      <c r="X6261">
        <v>0.99902400000000002</v>
      </c>
      <c r="Y6261">
        <v>-0.1913369</v>
      </c>
      <c r="Z6261">
        <v>-5.8407670000000002E-2</v>
      </c>
      <c r="AA6261">
        <v>0.97978500000000002</v>
      </c>
      <c r="AB6261">
        <v>15</v>
      </c>
      <c r="AC6261">
        <v>-0.70900000000000296</v>
      </c>
      <c r="AD6261">
        <v>-1.1062298003440001</v>
      </c>
      <c r="AE6261">
        <v>18.234719999999999</v>
      </c>
      <c r="AF6261">
        <v>-3.5028863173146498</v>
      </c>
      <c r="AG6261">
        <v>-1.1062298003440001</v>
      </c>
      <c r="AH6261">
        <v>17.841059904480499</v>
      </c>
      <c r="AI6261">
        <v>93.481760046663794</v>
      </c>
      <c r="AJ6261">
        <v>101.108069537284</v>
      </c>
      <c r="AK6261">
        <v>18.215306075892901</v>
      </c>
    </row>
    <row r="6262" spans="1:37" x14ac:dyDescent="0.2">
      <c r="A6262" t="str">
        <f>"20200111160023901"</f>
        <v>20200111160023901</v>
      </c>
      <c r="B6262" t="str">
        <f>"1578729623897409"</f>
        <v>1578729623897409</v>
      </c>
      <c r="C6262" t="s">
        <v>37</v>
      </c>
      <c r="D6262">
        <v>5.472315</v>
      </c>
      <c r="E6262">
        <v>0.46734779999999998</v>
      </c>
      <c r="F6262" t="s">
        <v>39</v>
      </c>
      <c r="G6262">
        <v>-194.1842</v>
      </c>
      <c r="H6262" s="1">
        <v>-3.2493270000000001E-6</v>
      </c>
      <c r="I6262">
        <v>-25.431750000000001</v>
      </c>
      <c r="J6262">
        <v>-193.49119999999999</v>
      </c>
      <c r="K6262">
        <v>1.1055979999999901</v>
      </c>
      <c r="L6262">
        <v>-44.458280000000002</v>
      </c>
      <c r="M6262">
        <v>0.14525170000000001</v>
      </c>
      <c r="N6262">
        <v>0</v>
      </c>
      <c r="O6262">
        <v>0.98929579999999995</v>
      </c>
      <c r="P6262">
        <v>0.1098922</v>
      </c>
      <c r="Q6262">
        <v>2.7210889999999999E-3</v>
      </c>
      <c r="R6262">
        <v>0.99393980000000004</v>
      </c>
      <c r="S6262">
        <v>-0.103714</v>
      </c>
      <c r="T6262">
        <v>-0.17362239999999901</v>
      </c>
      <c r="U6262">
        <v>3.0308839999999999</v>
      </c>
      <c r="V6262">
        <v>-3.569717E-2</v>
      </c>
      <c r="W6262">
        <v>1.6619220000000001E-2</v>
      </c>
      <c r="X6262">
        <v>0.99922449999999996</v>
      </c>
      <c r="Y6262">
        <v>-0.17896139999999999</v>
      </c>
      <c r="Z6262">
        <v>-5.580239E-2</v>
      </c>
      <c r="AA6262">
        <v>0.98227229999999999</v>
      </c>
      <c r="AB6262">
        <v>15</v>
      </c>
      <c r="AC6262">
        <v>-0.69300000000001205</v>
      </c>
      <c r="AD6262">
        <v>-1.10560124932699</v>
      </c>
      <c r="AE6262">
        <v>19.026530000000001</v>
      </c>
      <c r="AF6262">
        <v>-3.4379622857351602</v>
      </c>
      <c r="AG6262">
        <v>-1.10560124932699</v>
      </c>
      <c r="AH6262">
        <v>18.661112247156002</v>
      </c>
      <c r="AI6262">
        <v>93.334609385337799</v>
      </c>
      <c r="AJ6262">
        <v>100.438630438544</v>
      </c>
      <c r="AK6262">
        <v>19.007341978867199</v>
      </c>
    </row>
    <row r="6263" spans="1:37" x14ac:dyDescent="0.2">
      <c r="A6263" t="str">
        <f>"20200111160023922"</f>
        <v>20200111160023922</v>
      </c>
      <c r="B6263" t="str">
        <f>"1578729623916929"</f>
        <v>1578729623916929</v>
      </c>
      <c r="C6263" t="s">
        <v>37</v>
      </c>
      <c r="D6263">
        <v>5.378444</v>
      </c>
      <c r="E6263">
        <v>0.46717399999999998</v>
      </c>
      <c r="F6263" t="s">
        <v>39</v>
      </c>
      <c r="G6263">
        <v>-193.1354</v>
      </c>
      <c r="H6263" s="1">
        <v>-2.65336599999999E-6</v>
      </c>
      <c r="I6263">
        <v>-26.170449999999999</v>
      </c>
      <c r="J6263">
        <v>-193.47499999999999</v>
      </c>
      <c r="K6263">
        <v>1.105272</v>
      </c>
      <c r="L6263">
        <v>-44.316959999999902</v>
      </c>
      <c r="M6263">
        <v>0.1416337</v>
      </c>
      <c r="N6263">
        <v>0</v>
      </c>
      <c r="O6263">
        <v>0.98982109999999901</v>
      </c>
      <c r="P6263">
        <v>0.108704</v>
      </c>
      <c r="Q6263">
        <v>3.2887569999999998E-3</v>
      </c>
      <c r="R6263">
        <v>0.99406870000000003</v>
      </c>
      <c r="S6263">
        <v>5.8609010000000003E-2</v>
      </c>
      <c r="T6263">
        <v>-0.1821101</v>
      </c>
      <c r="U6263">
        <v>3.0122990000000001</v>
      </c>
      <c r="V6263">
        <v>-3.3225320000000003E-2</v>
      </c>
      <c r="W6263">
        <v>1.7164169999999999E-2</v>
      </c>
      <c r="X6263">
        <v>0.99930049999999904</v>
      </c>
      <c r="Y6263">
        <v>-0.122397399999999</v>
      </c>
      <c r="Z6263">
        <v>-5.920127E-2</v>
      </c>
      <c r="AA6263">
        <v>0.99071390000000004</v>
      </c>
      <c r="AB6263">
        <v>15</v>
      </c>
      <c r="AC6263">
        <v>0.33959999999999002</v>
      </c>
      <c r="AD6263">
        <v>-1.1052746533660001</v>
      </c>
      <c r="AE6263">
        <v>18.146509999999999</v>
      </c>
      <c r="AF6263">
        <v>-2.22597582940007</v>
      </c>
      <c r="AG6263">
        <v>-1.1052746533660001</v>
      </c>
      <c r="AH6263">
        <v>17.945095299846301</v>
      </c>
      <c r="AI6263">
        <v>93.497770645649297</v>
      </c>
      <c r="AJ6263">
        <v>97.071060421020107</v>
      </c>
      <c r="AK6263">
        <v>18.1163750726522</v>
      </c>
    </row>
    <row r="6264" spans="1:37" x14ac:dyDescent="0.2">
      <c r="A6264" t="str">
        <f>"20200111160023946"</f>
        <v>20200111160023946</v>
      </c>
      <c r="B6264" t="str">
        <f>"1578729623937425"</f>
        <v>1578729623937425</v>
      </c>
      <c r="C6264" t="s">
        <v>37</v>
      </c>
      <c r="D6264">
        <v>5.4880269999999998</v>
      </c>
      <c r="E6264">
        <v>0.46735690000000002</v>
      </c>
      <c r="F6264" t="s">
        <v>39</v>
      </c>
      <c r="G6264">
        <v>-193.16540000000001</v>
      </c>
      <c r="H6264" s="1">
        <v>-2.3627089999999999E-6</v>
      </c>
      <c r="I6264">
        <v>-26.866629999999901</v>
      </c>
      <c r="J6264">
        <v>-193.45769999999999</v>
      </c>
      <c r="K6264">
        <v>1.1049450000000001</v>
      </c>
      <c r="L6264">
        <v>-44.167789999999997</v>
      </c>
      <c r="M6264">
        <v>0.13848929999999901</v>
      </c>
      <c r="N6264">
        <v>0</v>
      </c>
      <c r="O6264">
        <v>0.990266599999999</v>
      </c>
      <c r="P6264">
        <v>0.10669869999999999</v>
      </c>
      <c r="Q6264">
        <v>2.0779879999999998E-3</v>
      </c>
      <c r="R6264">
        <v>0.99428919999999998</v>
      </c>
      <c r="S6264">
        <v>5.3451539999999999E-2</v>
      </c>
      <c r="T6264">
        <v>-0.19081909999999999</v>
      </c>
      <c r="U6264">
        <v>3.0126949999999999</v>
      </c>
      <c r="V6264">
        <v>-3.2052320000000002E-2</v>
      </c>
      <c r="W6264">
        <v>1.5930759999999999E-2</v>
      </c>
      <c r="X6264">
        <v>0.99935929999999995</v>
      </c>
      <c r="Y6264">
        <v>-0.120946</v>
      </c>
      <c r="Z6264">
        <v>-6.2062010000000001E-2</v>
      </c>
      <c r="AA6264">
        <v>0.99071710000000002</v>
      </c>
      <c r="AB6264">
        <v>15</v>
      </c>
      <c r="AC6264">
        <v>0.29229999999998302</v>
      </c>
      <c r="AD6264">
        <v>-1.1049473627090001</v>
      </c>
      <c r="AE6264">
        <v>17.301159999999999</v>
      </c>
      <c r="AF6264">
        <v>-2.0982179110606598</v>
      </c>
      <c r="AG6264">
        <v>-1.1049473627090001</v>
      </c>
      <c r="AH6264">
        <v>17.105148212469999</v>
      </c>
      <c r="AI6264">
        <v>93.6685991183992</v>
      </c>
      <c r="AJ6264">
        <v>96.993300497343597</v>
      </c>
      <c r="AK6264">
        <v>17.268744090037899</v>
      </c>
    </row>
    <row r="6265" spans="1:37" x14ac:dyDescent="0.2">
      <c r="A6265" t="str">
        <f>"20200111160023968"</f>
        <v>20200111160023968</v>
      </c>
      <c r="B6265" t="str">
        <f>"1578729623956947"</f>
        <v>1578729623956947</v>
      </c>
      <c r="C6265" t="s">
        <v>37</v>
      </c>
      <c r="D6265">
        <v>5.421926</v>
      </c>
      <c r="E6265">
        <v>0.46764679999999997</v>
      </c>
      <c r="F6265" t="s">
        <v>39</v>
      </c>
      <c r="G6265">
        <v>-193.1841</v>
      </c>
      <c r="H6265" s="1">
        <v>-2.18100599999999E-6</v>
      </c>
      <c r="I6265">
        <v>-27.301749999999998</v>
      </c>
      <c r="J6265">
        <v>-193.4402</v>
      </c>
      <c r="K6265">
        <v>1.104643</v>
      </c>
      <c r="L6265">
        <v>-44.020479999999999</v>
      </c>
      <c r="M6265">
        <v>0.1361067</v>
      </c>
      <c r="N6265">
        <v>0</v>
      </c>
      <c r="O6265">
        <v>0.99059750000000002</v>
      </c>
      <c r="P6265">
        <v>0.10331359999999901</v>
      </c>
      <c r="Q6265">
        <v>1.409806E-3</v>
      </c>
      <c r="R6265">
        <v>0.99464789999999903</v>
      </c>
      <c r="S6265">
        <v>4.8873899999999998E-2</v>
      </c>
      <c r="T6265">
        <v>-0.1973512</v>
      </c>
      <c r="U6265">
        <v>3.0123899999999999</v>
      </c>
      <c r="V6265">
        <v>-3.3038599999999897E-2</v>
      </c>
      <c r="W6265">
        <v>1.5242769999999999E-2</v>
      </c>
      <c r="X6265">
        <v>0.9993379</v>
      </c>
      <c r="Y6265">
        <v>-0.1200634</v>
      </c>
      <c r="Z6265">
        <v>-6.4220749999999993E-2</v>
      </c>
      <c r="AA6265">
        <v>0.99068690000000004</v>
      </c>
      <c r="AB6265">
        <v>15</v>
      </c>
      <c r="AC6265">
        <v>0.25610000000000299</v>
      </c>
      <c r="AD6265">
        <v>-1.1046451810060001</v>
      </c>
      <c r="AE6265">
        <v>16.718729999999901</v>
      </c>
      <c r="AF6265">
        <v>-2.0132459620041701</v>
      </c>
      <c r="AG6265">
        <v>-1.1046451810060001</v>
      </c>
      <c r="AH6265">
        <v>16.525851373431301</v>
      </c>
      <c r="AI6265">
        <v>93.7961767471256</v>
      </c>
      <c r="AJ6265">
        <v>96.945777234647494</v>
      </c>
      <c r="AK6265">
        <v>16.6846385605498</v>
      </c>
    </row>
    <row r="6266" spans="1:37" x14ac:dyDescent="0.2">
      <c r="A6266" t="str">
        <f>"20200111160023991"</f>
        <v>20200111160023991</v>
      </c>
      <c r="B6266" t="str">
        <f>"1578729623987201"</f>
        <v>1578729623987201</v>
      </c>
      <c r="C6266" t="s">
        <v>37</v>
      </c>
      <c r="D6266">
        <v>5.5875760000000003</v>
      </c>
      <c r="E6266">
        <v>0.46818469999999901</v>
      </c>
      <c r="F6266" t="s">
        <v>39</v>
      </c>
      <c r="G6266">
        <v>-193.2149</v>
      </c>
      <c r="H6266" s="1">
        <v>-2.0515740000000001E-6</v>
      </c>
      <c r="I6266">
        <v>-27.622579999999999</v>
      </c>
      <c r="J6266">
        <v>-193.423</v>
      </c>
      <c r="K6266">
        <v>1.1044309999999999</v>
      </c>
      <c r="L6266">
        <v>-43.878540000000001</v>
      </c>
      <c r="M6266">
        <v>0.13433010000000001</v>
      </c>
      <c r="N6266">
        <v>0</v>
      </c>
      <c r="O6266">
        <v>0.99084050000000001</v>
      </c>
      <c r="P6266">
        <v>9.9012820000000001E-2</v>
      </c>
      <c r="Q6266">
        <v>9.4380859999999996E-4</v>
      </c>
      <c r="R6266">
        <v>0.99508569999999996</v>
      </c>
      <c r="S6266">
        <v>4.1381840000000003E-2</v>
      </c>
      <c r="T6266">
        <v>-0.20291329999999999</v>
      </c>
      <c r="U6266">
        <v>3.012146</v>
      </c>
      <c r="V6266">
        <v>-3.5559069999999998E-2</v>
      </c>
      <c r="W6266">
        <v>1.476074E-2</v>
      </c>
      <c r="X6266">
        <v>0.999258599999999</v>
      </c>
      <c r="Y6266">
        <v>-0.1207469</v>
      </c>
      <c r="Z6266">
        <v>-6.6050810000000001E-2</v>
      </c>
      <c r="AA6266">
        <v>0.99048349999999996</v>
      </c>
      <c r="AB6266">
        <v>15</v>
      </c>
      <c r="AC6266">
        <v>0.20810000000000101</v>
      </c>
      <c r="AD6266">
        <v>-1.104433051574</v>
      </c>
      <c r="AE6266">
        <v>16.255960000000002</v>
      </c>
      <c r="AF6266">
        <v>-1.9685740403276799</v>
      </c>
      <c r="AG6266">
        <v>-1.104433051574</v>
      </c>
      <c r="AH6266">
        <v>16.062425018881999</v>
      </c>
      <c r="AI6266">
        <v>93.904276801210798</v>
      </c>
      <c r="AJ6266">
        <v>96.987195137222898</v>
      </c>
      <c r="AK6266">
        <v>16.220251342222401</v>
      </c>
    </row>
    <row r="6267" spans="1:37" x14ac:dyDescent="0.2">
      <c r="A6267" t="str">
        <f>"20200111160024013"</f>
        <v>20200111160024013</v>
      </c>
      <c r="B6267" t="str">
        <f>"1578729624007697"</f>
        <v>1578729624007697</v>
      </c>
      <c r="C6267" t="s">
        <v>37</v>
      </c>
      <c r="D6267">
        <v>5.4356249999999999</v>
      </c>
      <c r="E6267">
        <v>0.46874389999999999</v>
      </c>
      <c r="F6267" t="s">
        <v>39</v>
      </c>
      <c r="G6267">
        <v>-193.25</v>
      </c>
      <c r="H6267" s="1">
        <v>-1.9272739999999999E-6</v>
      </c>
      <c r="I6267">
        <v>-27.934109999999901</v>
      </c>
      <c r="J6267">
        <v>-193.40459999999999</v>
      </c>
      <c r="K6267">
        <v>1.104268</v>
      </c>
      <c r="L6267">
        <v>-43.730350000000001</v>
      </c>
      <c r="M6267">
        <v>0.13299149999999901</v>
      </c>
      <c r="N6267">
        <v>0</v>
      </c>
      <c r="O6267">
        <v>0.9910215</v>
      </c>
      <c r="P6267">
        <v>9.5518660000000005E-2</v>
      </c>
      <c r="Q6267" s="1">
        <v>-5.430728E-5</v>
      </c>
      <c r="R6267">
        <v>0.99542759999999997</v>
      </c>
      <c r="S6267">
        <v>3.2669070000000001E-2</v>
      </c>
      <c r="T6267">
        <v>-0.2086189</v>
      </c>
      <c r="U6267">
        <v>3.0117799999999999</v>
      </c>
      <c r="V6267">
        <v>-3.7712280000000001E-2</v>
      </c>
      <c r="W6267">
        <v>1.374804E-2</v>
      </c>
      <c r="X6267">
        <v>0.99919409999999897</v>
      </c>
      <c r="Y6267">
        <v>-0.1222703</v>
      </c>
      <c r="Z6267">
        <v>-6.7920949999999994E-2</v>
      </c>
      <c r="AA6267">
        <v>0.99017009999999905</v>
      </c>
      <c r="AB6267">
        <v>15</v>
      </c>
      <c r="AC6267">
        <v>0.154599999999987</v>
      </c>
      <c r="AD6267">
        <v>-1.104269927274</v>
      </c>
      <c r="AE6267">
        <v>15.796239999999999</v>
      </c>
      <c r="AF6267">
        <v>-1.93826700966151</v>
      </c>
      <c r="AG6267">
        <v>-1.104269927274</v>
      </c>
      <c r="AH6267">
        <v>15.600229373531899</v>
      </c>
      <c r="AI6267">
        <v>94.018163249359702</v>
      </c>
      <c r="AJ6267">
        <v>97.082479316979402</v>
      </c>
      <c r="AK6267">
        <v>15.7589164468828</v>
      </c>
    </row>
    <row r="6268" spans="1:37" x14ac:dyDescent="0.2">
      <c r="A6268" t="str">
        <f>"20200111160024037"</f>
        <v>20200111160024037</v>
      </c>
      <c r="B6268" t="str">
        <f>"1578729624027216"</f>
        <v>1578729624027216</v>
      </c>
      <c r="C6268" t="s">
        <v>37</v>
      </c>
      <c r="D6268">
        <v>5.4103639999999897</v>
      </c>
      <c r="E6268">
        <v>0.46912189999999998</v>
      </c>
      <c r="F6268" t="s">
        <v>39</v>
      </c>
      <c r="G6268">
        <v>-193.26689999999999</v>
      </c>
      <c r="H6268" s="1">
        <v>-1.8505529999999899E-6</v>
      </c>
      <c r="I6268">
        <v>-28.123429999999999</v>
      </c>
      <c r="J6268">
        <v>-193.38460000000001</v>
      </c>
      <c r="K6268">
        <v>1.1041099999999999</v>
      </c>
      <c r="L6268">
        <v>-43.57123</v>
      </c>
      <c r="M6268">
        <v>0.13212199999999999</v>
      </c>
      <c r="N6268">
        <v>0</v>
      </c>
      <c r="O6268">
        <v>0.99113869999999904</v>
      </c>
      <c r="P6268">
        <v>9.2173779999999997E-2</v>
      </c>
      <c r="Q6268">
        <v>-2.1375220000000002E-3</v>
      </c>
      <c r="R6268">
        <v>0.99574069999999903</v>
      </c>
      <c r="S6268">
        <v>2.656555E-2</v>
      </c>
      <c r="T6268">
        <v>-0.2130601</v>
      </c>
      <c r="U6268">
        <v>3.0112299999999999</v>
      </c>
      <c r="V6268">
        <v>-4.019081E-2</v>
      </c>
      <c r="W6268">
        <v>1.1613409999999999E-2</v>
      </c>
      <c r="X6268">
        <v>0.99912449999999997</v>
      </c>
      <c r="Y6268">
        <v>-0.123405</v>
      </c>
      <c r="Z6268">
        <v>-6.9380369999999997E-2</v>
      </c>
      <c r="AA6268">
        <v>0.98992809999999898</v>
      </c>
      <c r="AB6268">
        <v>15</v>
      </c>
      <c r="AC6268">
        <v>0.117700000000013</v>
      </c>
      <c r="AD6268">
        <v>-1.1041118505530001</v>
      </c>
      <c r="AE6268">
        <v>15.447800000000001</v>
      </c>
      <c r="AF6268">
        <v>-1.9147371249276901</v>
      </c>
      <c r="AG6268">
        <v>-1.1041118505530001</v>
      </c>
      <c r="AH6268">
        <v>15.2500029221577</v>
      </c>
      <c r="AI6268">
        <v>94.108883982555795</v>
      </c>
      <c r="AJ6268">
        <v>97.156409248957601</v>
      </c>
      <c r="AK6268">
        <v>15.4093436058102</v>
      </c>
    </row>
    <row r="6269" spans="1:37" x14ac:dyDescent="0.2">
      <c r="A6269" t="str">
        <f>"20200111160024059"</f>
        <v>20200111160024059</v>
      </c>
      <c r="B6269" t="str">
        <f>"1578729624057473"</f>
        <v>1578729624057473</v>
      </c>
      <c r="C6269" t="s">
        <v>37</v>
      </c>
      <c r="D6269">
        <v>5.4097419999999996</v>
      </c>
      <c r="E6269">
        <v>0.47076179999999901</v>
      </c>
      <c r="F6269" t="s">
        <v>39</v>
      </c>
      <c r="G6269">
        <v>-193.2901</v>
      </c>
      <c r="H6269" s="1">
        <v>-1.740988E-6</v>
      </c>
      <c r="I6269">
        <v>-28.393190000000001</v>
      </c>
      <c r="J6269">
        <v>-193.3665</v>
      </c>
      <c r="K6269">
        <v>1.1039399999999999</v>
      </c>
      <c r="L6269">
        <v>-43.431269999999998</v>
      </c>
      <c r="M6269">
        <v>0.13182079999999999</v>
      </c>
      <c r="N6269">
        <v>0</v>
      </c>
      <c r="O6269">
        <v>0.99118109999999904</v>
      </c>
      <c r="P6269">
        <v>8.9439699999999997E-2</v>
      </c>
      <c r="Q6269">
        <v>-3.2257259999999999E-3</v>
      </c>
      <c r="R6269">
        <v>0.99598699999999996</v>
      </c>
      <c r="S6269">
        <v>1.8737790000000001E-2</v>
      </c>
      <c r="T6269">
        <v>-0.219004799999999</v>
      </c>
      <c r="U6269">
        <v>3.0106199999999999</v>
      </c>
      <c r="V6269">
        <v>-4.2627680000000001E-2</v>
      </c>
      <c r="W6269">
        <v>1.0374660000000001E-2</v>
      </c>
      <c r="X6269">
        <v>0.99903709999999901</v>
      </c>
      <c r="Y6269">
        <v>-0.1256755</v>
      </c>
      <c r="Z6269">
        <v>-7.1315190000000001E-2</v>
      </c>
      <c r="AA6269">
        <v>0.98950479999999996</v>
      </c>
      <c r="AB6269">
        <v>15</v>
      </c>
      <c r="AC6269">
        <v>7.6400000000006602E-2</v>
      </c>
      <c r="AD6269">
        <v>-1.1039417409879999</v>
      </c>
      <c r="AE6269">
        <v>15.0380799999999</v>
      </c>
      <c r="AF6269">
        <v>-1.89655998543183</v>
      </c>
      <c r="AG6269">
        <v>-1.1039417409879999</v>
      </c>
      <c r="AH6269">
        <v>14.836944897770101</v>
      </c>
      <c r="AI6269">
        <v>94.221027343521001</v>
      </c>
      <c r="AJ6269">
        <v>97.284435464186899</v>
      </c>
      <c r="AK6269">
        <v>14.9983519443071</v>
      </c>
    </row>
    <row r="6270" spans="1:37" x14ac:dyDescent="0.2">
      <c r="A6270" t="str">
        <f>"20200111160024080"</f>
        <v>20200111160024080</v>
      </c>
      <c r="B6270" t="str">
        <f>"1578729624076993"</f>
        <v>1578729624076993</v>
      </c>
      <c r="C6270" t="s">
        <v>37</v>
      </c>
      <c r="D6270">
        <v>5.2557359999999997</v>
      </c>
      <c r="E6270">
        <v>0.47235059999999901</v>
      </c>
      <c r="F6270" t="s">
        <v>39</v>
      </c>
      <c r="G6270">
        <v>-193.2525</v>
      </c>
      <c r="H6270" s="1">
        <v>-1.6912260000000001E-6</v>
      </c>
      <c r="I6270">
        <v>-28.485869999999998</v>
      </c>
      <c r="J6270">
        <v>-193.34809999999999</v>
      </c>
      <c r="K6270">
        <v>1.1037410000000001</v>
      </c>
      <c r="L6270">
        <v>-43.292359999999903</v>
      </c>
      <c r="M6270">
        <v>0.13191229999999901</v>
      </c>
      <c r="N6270">
        <v>0</v>
      </c>
      <c r="O6270">
        <v>0.99117299999999997</v>
      </c>
      <c r="P6270">
        <v>8.6615780000000003E-2</v>
      </c>
      <c r="Q6270">
        <v>-3.1263839999999998E-3</v>
      </c>
      <c r="R6270">
        <v>0.99623689999999998</v>
      </c>
      <c r="S6270">
        <v>2.2949219999999999E-2</v>
      </c>
      <c r="T6270">
        <v>-0.22228249999999999</v>
      </c>
      <c r="U6270">
        <v>3.0093079999999999</v>
      </c>
      <c r="V6270">
        <v>-4.5548730000000003E-2</v>
      </c>
      <c r="W6270">
        <v>1.018489E-2</v>
      </c>
      <c r="X6270">
        <v>0.99891019999999897</v>
      </c>
      <c r="Y6270">
        <v>-0.12437960000000001</v>
      </c>
      <c r="Z6270">
        <v>-7.2412589999999999E-2</v>
      </c>
      <c r="AA6270">
        <v>0.98958889999999999</v>
      </c>
      <c r="AB6270">
        <v>15</v>
      </c>
      <c r="AC6270">
        <v>9.5599999999990304E-2</v>
      </c>
      <c r="AD6270">
        <v>-1.103742691226</v>
      </c>
      <c r="AE6270">
        <v>14.806489999999901</v>
      </c>
      <c r="AF6270">
        <v>-1.8482945237164199</v>
      </c>
      <c r="AG6270">
        <v>-1.103742691226</v>
      </c>
      <c r="AH6270">
        <v>14.608516546883701</v>
      </c>
      <c r="AI6270">
        <v>94.286713398942396</v>
      </c>
      <c r="AJ6270">
        <v>97.2108465377773</v>
      </c>
      <c r="AK6270">
        <v>14.766285798243601</v>
      </c>
    </row>
    <row r="6271" spans="1:37" x14ac:dyDescent="0.2">
      <c r="A6271" t="str">
        <f>"20200111160024101"</f>
        <v>20200111160024101</v>
      </c>
      <c r="B6271" t="str">
        <f>"1578729624097489"</f>
        <v>1578729624097489</v>
      </c>
      <c r="C6271" t="s">
        <v>37</v>
      </c>
      <c r="D6271">
        <v>5.4488659999999998</v>
      </c>
      <c r="E6271">
        <v>0.47288819999999998</v>
      </c>
      <c r="F6271" t="s">
        <v>39</v>
      </c>
      <c r="G6271">
        <v>-193.21510000000001</v>
      </c>
      <c r="H6271" s="1">
        <v>-1.7319149999999899E-6</v>
      </c>
      <c r="I6271">
        <v>-28.367840000000001</v>
      </c>
      <c r="J6271">
        <v>-193.3296</v>
      </c>
      <c r="K6271">
        <v>1.103534</v>
      </c>
      <c r="L6271">
        <v>-43.155760000000001</v>
      </c>
      <c r="M6271">
        <v>0.1323327</v>
      </c>
      <c r="N6271">
        <v>0</v>
      </c>
      <c r="O6271">
        <v>0.99112259999999996</v>
      </c>
      <c r="P6271">
        <v>8.4613270000000004E-2</v>
      </c>
      <c r="Q6271">
        <v>3.6811899999999998E-4</v>
      </c>
      <c r="R6271">
        <v>0.99641380000000002</v>
      </c>
      <c r="S6271">
        <v>2.6809690000000001E-2</v>
      </c>
      <c r="T6271">
        <v>-0.22247889999999901</v>
      </c>
      <c r="U6271">
        <v>3.0083009999999999</v>
      </c>
      <c r="V6271">
        <v>-4.7968940000000002E-2</v>
      </c>
      <c r="W6271">
        <v>1.327411E-2</v>
      </c>
      <c r="X6271">
        <v>0.9987606</v>
      </c>
      <c r="Y6271">
        <v>-0.1235274</v>
      </c>
      <c r="Z6271">
        <v>-7.2497729999999996E-2</v>
      </c>
      <c r="AA6271">
        <v>0.98968940000000005</v>
      </c>
      <c r="AB6271">
        <v>15</v>
      </c>
      <c r="AC6271">
        <v>0.114499999999992</v>
      </c>
      <c r="AD6271">
        <v>-1.1035357319150001</v>
      </c>
      <c r="AE6271">
        <v>14.78792</v>
      </c>
      <c r="AF6271">
        <v>-1.8333840024946499</v>
      </c>
      <c r="AG6271">
        <v>-1.1035357319150001</v>
      </c>
      <c r="AH6271">
        <v>14.591744330266</v>
      </c>
      <c r="AI6271">
        <v>94.291285588931203</v>
      </c>
      <c r="AJ6271">
        <v>97.161417251278706</v>
      </c>
      <c r="AK6271">
        <v>14.7478164692969</v>
      </c>
    </row>
    <row r="6272" spans="1:37" x14ac:dyDescent="0.2">
      <c r="A6272" t="str">
        <f>"20200111160024125"</f>
        <v>20200111160024125</v>
      </c>
      <c r="B6272" t="str">
        <f>"1578729624117009"</f>
        <v>1578729624117009</v>
      </c>
      <c r="C6272" t="s">
        <v>37</v>
      </c>
      <c r="D6272">
        <v>5.4741239999999998</v>
      </c>
      <c r="E6272">
        <v>0.47349750000000002</v>
      </c>
      <c r="F6272" t="s">
        <v>39</v>
      </c>
      <c r="G6272">
        <v>-193.19649999999999</v>
      </c>
      <c r="H6272" s="1">
        <v>-2.1360489999999998E-6</v>
      </c>
      <c r="I6272">
        <v>-27.414259999999999</v>
      </c>
      <c r="J6272">
        <v>-193.3074</v>
      </c>
      <c r="K6272">
        <v>1.103294</v>
      </c>
      <c r="L6272">
        <v>-42.996220000000001</v>
      </c>
      <c r="M6272">
        <v>0.13316979999999901</v>
      </c>
      <c r="N6272">
        <v>0</v>
      </c>
      <c r="O6272">
        <v>0.99101799999999995</v>
      </c>
      <c r="P6272">
        <v>8.4408570000000002E-2</v>
      </c>
      <c r="Q6272">
        <v>6.1002259999999899E-3</v>
      </c>
      <c r="R6272">
        <v>0.99641259999999998</v>
      </c>
      <c r="S6272">
        <v>2.5436400000000001E-2</v>
      </c>
      <c r="T6272">
        <v>-0.21092259999999999</v>
      </c>
      <c r="U6272">
        <v>3.0087280000000001</v>
      </c>
      <c r="V6272">
        <v>-4.8995980000000001E-2</v>
      </c>
      <c r="W6272">
        <v>1.8429020000000001E-2</v>
      </c>
      <c r="X6272">
        <v>0.99862890000000004</v>
      </c>
      <c r="Y6272">
        <v>-0.1248153</v>
      </c>
      <c r="Z6272">
        <v>-6.8723839999999994E-2</v>
      </c>
      <c r="AA6272">
        <v>0.98979709999999999</v>
      </c>
      <c r="AB6272">
        <v>15</v>
      </c>
      <c r="AC6272">
        <v>0.110900000000015</v>
      </c>
      <c r="AD6272">
        <v>-1.1032961360489999</v>
      </c>
      <c r="AE6272">
        <v>15.58196</v>
      </c>
      <c r="AF6272">
        <v>-1.9554858367402399</v>
      </c>
      <c r="AG6272">
        <v>-1.1032961360489999</v>
      </c>
      <c r="AH6272">
        <v>15.3808163737274</v>
      </c>
      <c r="AI6272">
        <v>94.070258525574005</v>
      </c>
      <c r="AJ6272">
        <v>97.245596777860399</v>
      </c>
      <c r="AK6272">
        <v>15.5438315592982</v>
      </c>
    </row>
    <row r="6273" spans="1:37" x14ac:dyDescent="0.2">
      <c r="A6273" t="str">
        <f>"20200111160024148"</f>
        <v>20200111160024148</v>
      </c>
      <c r="B6273" t="str">
        <f>"1578729624137506"</f>
        <v>1578729624137506</v>
      </c>
      <c r="C6273" t="s">
        <v>37</v>
      </c>
      <c r="D6273">
        <v>5.5007449999999896</v>
      </c>
      <c r="E6273">
        <v>0.47405150000000001</v>
      </c>
      <c r="F6273" t="s">
        <v>39</v>
      </c>
      <c r="G6273">
        <v>-193.12559999999999</v>
      </c>
      <c r="H6273" s="1">
        <v>-3.1641860000000002E-6</v>
      </c>
      <c r="I6273">
        <v>-24.973659999999999</v>
      </c>
      <c r="J6273">
        <v>-193.28599999999901</v>
      </c>
      <c r="K6273">
        <v>1.1031120000000001</v>
      </c>
      <c r="L6273">
        <v>-42.847140000000003</v>
      </c>
      <c r="M6273">
        <v>0.13428860000000001</v>
      </c>
      <c r="N6273">
        <v>0</v>
      </c>
      <c r="O6273">
        <v>0.99087449999999999</v>
      </c>
      <c r="P6273">
        <v>8.6401099999999995E-2</v>
      </c>
      <c r="Q6273">
        <v>1.2048410000000001E-2</v>
      </c>
      <c r="R6273">
        <v>0.99618759999999995</v>
      </c>
      <c r="S6273">
        <v>3.0349729999999998E-2</v>
      </c>
      <c r="T6273">
        <v>-0.18422439999999901</v>
      </c>
      <c r="U6273">
        <v>3.0093380000000001</v>
      </c>
      <c r="V6273">
        <v>-4.8098170000000003E-2</v>
      </c>
      <c r="W6273">
        <v>2.3763630000000001E-2</v>
      </c>
      <c r="X6273">
        <v>0.99855989999999994</v>
      </c>
      <c r="Y6273">
        <v>-0.12431489999999901</v>
      </c>
      <c r="Z6273">
        <v>-6.0035129999999999E-2</v>
      </c>
      <c r="AA6273">
        <v>0.99042489999999905</v>
      </c>
      <c r="AB6273">
        <v>15</v>
      </c>
      <c r="AC6273">
        <v>0.160399999999981</v>
      </c>
      <c r="AD6273">
        <v>-1.103115164186</v>
      </c>
      <c r="AE6273">
        <v>17.873480000000001</v>
      </c>
      <c r="AF6273">
        <v>-2.2329141199377802</v>
      </c>
      <c r="AG6273">
        <v>-1.103115164186</v>
      </c>
      <c r="AH6273">
        <v>17.665820614105201</v>
      </c>
      <c r="AI6273">
        <v>93.544975302242307</v>
      </c>
      <c r="AJ6273">
        <v>97.203837133258403</v>
      </c>
      <c r="AK6273">
        <v>17.840515309323902</v>
      </c>
    </row>
    <row r="6274" spans="1:37" x14ac:dyDescent="0.2">
      <c r="A6274" t="str">
        <f>"20200111160024169"</f>
        <v>20200111160024169</v>
      </c>
      <c r="B6274" t="str">
        <f>"1578729624166785"</f>
        <v>1578729624166785</v>
      </c>
      <c r="C6274" t="s">
        <v>37</v>
      </c>
      <c r="D6274">
        <v>5.4855780000000003</v>
      </c>
      <c r="E6274">
        <v>0.47554570000000002</v>
      </c>
      <c r="F6274" t="s">
        <v>39</v>
      </c>
      <c r="G6274">
        <v>-193.01089999999999</v>
      </c>
      <c r="H6274" s="1">
        <v>-4.0339959999999997E-6</v>
      </c>
      <c r="I6274">
        <v>-22.728560000000002</v>
      </c>
      <c r="J6274">
        <v>-193.2646</v>
      </c>
      <c r="K6274">
        <v>1.102978</v>
      </c>
      <c r="L6274">
        <v>-42.701509999999999</v>
      </c>
      <c r="M6274">
        <v>0.1355885</v>
      </c>
      <c r="N6274">
        <v>0</v>
      </c>
      <c r="O6274">
        <v>0.99070460000000005</v>
      </c>
      <c r="P6274">
        <v>8.9776789999999995E-2</v>
      </c>
      <c r="Q6274">
        <v>1.547376E-2</v>
      </c>
      <c r="R6274">
        <v>0.99584169999999905</v>
      </c>
      <c r="S6274">
        <v>4.1152950000000001E-2</v>
      </c>
      <c r="T6274">
        <v>-0.16503599999999999</v>
      </c>
      <c r="U6274">
        <v>3.0099179999999999</v>
      </c>
      <c r="V6274">
        <v>-4.6004999999999997E-2</v>
      </c>
      <c r="W6274">
        <v>2.6559869999999999E-2</v>
      </c>
      <c r="X6274">
        <v>0.99858809999999998</v>
      </c>
      <c r="Y6274">
        <v>-0.12205829999999999</v>
      </c>
      <c r="Z6274">
        <v>-5.378347E-2</v>
      </c>
      <c r="AA6274">
        <v>0.99106459999999996</v>
      </c>
      <c r="AB6274">
        <v>15</v>
      </c>
      <c r="AC6274">
        <v>0.25370000000000897</v>
      </c>
      <c r="AD6274">
        <v>-1.1029820339959999</v>
      </c>
      <c r="AE6274">
        <v>19.972950000000001</v>
      </c>
      <c r="AF6274">
        <v>-2.4494394124585201</v>
      </c>
      <c r="AG6274">
        <v>-1.1029820339959999</v>
      </c>
      <c r="AH6274">
        <v>19.762623478420299</v>
      </c>
      <c r="AI6274">
        <v>93.170242824917395</v>
      </c>
      <c r="AJ6274">
        <v>97.065380320074894</v>
      </c>
      <c r="AK6274">
        <v>19.944362851503499</v>
      </c>
    </row>
    <row r="6275" spans="1:37" x14ac:dyDescent="0.2">
      <c r="A6275" t="str">
        <f>"20200111160024192"</f>
        <v>20200111160024192</v>
      </c>
      <c r="B6275" t="str">
        <f>"1578729624187281"</f>
        <v>1578729624187281</v>
      </c>
      <c r="C6275" t="s">
        <v>37</v>
      </c>
      <c r="D6275">
        <v>5.5623769999999997</v>
      </c>
      <c r="E6275">
        <v>0.4763153</v>
      </c>
      <c r="F6275" t="s">
        <v>39</v>
      </c>
      <c r="G6275">
        <v>-192.8357</v>
      </c>
      <c r="H6275" s="1">
        <v>-4.1967019999999996E-6</v>
      </c>
      <c r="I6275">
        <v>-22.159109999999998</v>
      </c>
      <c r="J6275">
        <v>-193.24189999999999</v>
      </c>
      <c r="K6275">
        <v>1.1028799999999901</v>
      </c>
      <c r="L6275">
        <v>-42.549409999999902</v>
      </c>
      <c r="M6275">
        <v>0.13712260000000001</v>
      </c>
      <c r="N6275">
        <v>0</v>
      </c>
      <c r="O6275">
        <v>0.99050059999999995</v>
      </c>
      <c r="P6275">
        <v>9.5734189999999997E-2</v>
      </c>
      <c r="Q6275">
        <v>1.6727769999999999E-2</v>
      </c>
      <c r="R6275">
        <v>0.9952664</v>
      </c>
      <c r="S6275">
        <v>6.283569E-2</v>
      </c>
      <c r="T6275">
        <v>-0.1615819</v>
      </c>
      <c r="U6275">
        <v>3.009369</v>
      </c>
      <c r="V6275">
        <v>-4.1569410000000001E-2</v>
      </c>
      <c r="W6275">
        <v>2.7132819999999998E-2</v>
      </c>
      <c r="X6275">
        <v>0.99876710000000002</v>
      </c>
      <c r="Y6275">
        <v>-0.11645029999999899</v>
      </c>
      <c r="Z6275">
        <v>-5.2668630000000001E-2</v>
      </c>
      <c r="AA6275">
        <v>0.99179910000000004</v>
      </c>
      <c r="AB6275">
        <v>15</v>
      </c>
      <c r="AC6275">
        <v>0.40619999999998402</v>
      </c>
      <c r="AD6275">
        <v>-1.10288419670199</v>
      </c>
      <c r="AE6275">
        <v>20.3903</v>
      </c>
      <c r="AF6275">
        <v>-2.3867764789797699</v>
      </c>
      <c r="AG6275">
        <v>-1.10288419670199</v>
      </c>
      <c r="AH6275">
        <v>20.194319830266402</v>
      </c>
      <c r="AI6275">
        <v>93.104457276797305</v>
      </c>
      <c r="AJ6275">
        <v>96.740545896639205</v>
      </c>
      <c r="AK6275">
        <v>20.3647639053105</v>
      </c>
    </row>
    <row r="6276" spans="1:37" x14ac:dyDescent="0.2">
      <c r="A6276" t="str">
        <f>"20200111160024214"</f>
        <v>20200111160024214</v>
      </c>
      <c r="B6276" t="str">
        <f>"1578729624206800"</f>
        <v>1578729624206800</v>
      </c>
      <c r="C6276" t="s">
        <v>37</v>
      </c>
      <c r="D6276">
        <v>5.496048</v>
      </c>
      <c r="E6276">
        <v>0.4768616</v>
      </c>
      <c r="F6276" t="s">
        <v>39</v>
      </c>
      <c r="G6276">
        <v>-192.6327</v>
      </c>
      <c r="H6276" s="1">
        <v>-4.4340649999999997E-6</v>
      </c>
      <c r="I6276">
        <v>-21.355799999999999</v>
      </c>
      <c r="J6276">
        <v>-193.21889999999999</v>
      </c>
      <c r="K6276">
        <v>1.102806</v>
      </c>
      <c r="L6276">
        <v>-42.398589999999999</v>
      </c>
      <c r="M6276">
        <v>0.13877970000000001</v>
      </c>
      <c r="N6276">
        <v>0</v>
      </c>
      <c r="O6276">
        <v>0.99027659999999995</v>
      </c>
      <c r="P6276">
        <v>0.10223989999999999</v>
      </c>
      <c r="Q6276">
        <v>1.6753999999999901E-2</v>
      </c>
      <c r="R6276">
        <v>0.99461869999999997</v>
      </c>
      <c r="S6276">
        <v>8.6471560000000003E-2</v>
      </c>
      <c r="T6276">
        <v>-0.1565619</v>
      </c>
      <c r="U6276">
        <v>3.008575</v>
      </c>
      <c r="V6276">
        <v>-3.6710899999999998E-2</v>
      </c>
      <c r="W6276">
        <v>2.6465010000000001E-2</v>
      </c>
      <c r="X6276">
        <v>0.99897549999999902</v>
      </c>
      <c r="Y6276">
        <v>-0.1103143</v>
      </c>
      <c r="Z6276">
        <v>-5.1045630000000002E-2</v>
      </c>
      <c r="AA6276">
        <v>0.9925851</v>
      </c>
      <c r="AB6276">
        <v>15</v>
      </c>
      <c r="AC6276">
        <v>0.58619999999999095</v>
      </c>
      <c r="AD6276">
        <v>-1.102810434065</v>
      </c>
      <c r="AE6276">
        <v>21.04279</v>
      </c>
      <c r="AF6276">
        <v>-2.3335158463160202</v>
      </c>
      <c r="AG6276">
        <v>-1.102810434065</v>
      </c>
      <c r="AH6276">
        <v>20.863243764731099</v>
      </c>
      <c r="AI6276">
        <v>93.007066228987199</v>
      </c>
      <c r="AJ6276">
        <v>96.381904295541005</v>
      </c>
      <c r="AK6276">
        <v>21.022284068223499</v>
      </c>
    </row>
    <row r="6277" spans="1:37" x14ac:dyDescent="0.2">
      <c r="A6277" t="str">
        <f>"20200111160024237"</f>
        <v>20200111160024237</v>
      </c>
      <c r="B6277" t="str">
        <f>"1578729624227297"</f>
        <v>1578729624227297</v>
      </c>
      <c r="C6277" t="s">
        <v>37</v>
      </c>
      <c r="D6277">
        <v>5.4469539999999999</v>
      </c>
      <c r="E6277">
        <v>0.47758119999999998</v>
      </c>
      <c r="F6277" t="s">
        <v>39</v>
      </c>
      <c r="G6277">
        <v>-192.45840000000001</v>
      </c>
      <c r="H6277" s="1">
        <v>-4.362273E-6</v>
      </c>
      <c r="I6277">
        <v>-21.475899999999999</v>
      </c>
      <c r="J6277">
        <v>-193.1943</v>
      </c>
      <c r="K6277">
        <v>1.102738</v>
      </c>
      <c r="L6277">
        <v>-42.23892</v>
      </c>
      <c r="M6277">
        <v>0.1406405</v>
      </c>
      <c r="N6277">
        <v>0</v>
      </c>
      <c r="O6277">
        <v>0.99002089999999998</v>
      </c>
      <c r="P6277">
        <v>0.1095922</v>
      </c>
      <c r="Q6277">
        <v>1.45495E-2</v>
      </c>
      <c r="R6277">
        <v>0.99387009999999898</v>
      </c>
      <c r="S6277">
        <v>0.109329199999999</v>
      </c>
      <c r="T6277">
        <v>-0.15853020000000001</v>
      </c>
      <c r="U6277">
        <v>3.00766</v>
      </c>
      <c r="V6277">
        <v>-3.121372E-2</v>
      </c>
      <c r="W6277">
        <v>2.35105E-2</v>
      </c>
      <c r="X6277">
        <v>0.99923619999999902</v>
      </c>
      <c r="Y6277">
        <v>-0.1046366</v>
      </c>
      <c r="Z6277">
        <v>-5.1690590000000002E-2</v>
      </c>
      <c r="AA6277">
        <v>0.99316629999999995</v>
      </c>
      <c r="AB6277">
        <v>15</v>
      </c>
      <c r="AC6277">
        <v>0.73589999999998601</v>
      </c>
      <c r="AD6277">
        <v>-1.1027423622729999</v>
      </c>
      <c r="AE6277">
        <v>20.763020000000001</v>
      </c>
      <c r="AF6277">
        <v>-2.1854945261517802</v>
      </c>
      <c r="AG6277">
        <v>-1.1027423622729999</v>
      </c>
      <c r="AH6277">
        <v>20.602095031568801</v>
      </c>
      <c r="AI6277">
        <v>93.046812389086</v>
      </c>
      <c r="AJ6277">
        <v>96.055357509357705</v>
      </c>
      <c r="AK6277">
        <v>20.747017779217899</v>
      </c>
    </row>
    <row r="6278" spans="1:37" x14ac:dyDescent="0.2">
      <c r="A6278" t="str">
        <f>"20200111160024259"</f>
        <v>20200111160024259</v>
      </c>
      <c r="B6278" t="str">
        <f>"1578729624246819"</f>
        <v>1578729624246819</v>
      </c>
      <c r="C6278" t="s">
        <v>37</v>
      </c>
      <c r="D6278">
        <v>5.5586970000000004</v>
      </c>
      <c r="E6278">
        <v>0.4782747</v>
      </c>
      <c r="F6278" t="s">
        <v>39</v>
      </c>
      <c r="G6278">
        <v>-192.31540000000001</v>
      </c>
      <c r="H6278" s="1">
        <v>-3.9011910000000004E-6</v>
      </c>
      <c r="I6278">
        <v>-22.753150000000002</v>
      </c>
      <c r="J6278">
        <v>-193.17019999999999</v>
      </c>
      <c r="K6278">
        <v>1.102673</v>
      </c>
      <c r="L6278">
        <v>-42.08466</v>
      </c>
      <c r="M6278">
        <v>0.1424993</v>
      </c>
      <c r="N6278">
        <v>0</v>
      </c>
      <c r="O6278">
        <v>0.98976119999999901</v>
      </c>
      <c r="P6278">
        <v>0.114273499999999</v>
      </c>
      <c r="Q6278">
        <v>1.149128E-2</v>
      </c>
      <c r="R6278">
        <v>0.99338289999999996</v>
      </c>
      <c r="S6278">
        <v>0.1355896</v>
      </c>
      <c r="T6278">
        <v>-0.17011850000000001</v>
      </c>
      <c r="U6278">
        <v>3.0060419999999999</v>
      </c>
      <c r="V6278">
        <v>-2.8399000000000001E-2</v>
      </c>
      <c r="W6278">
        <v>1.9730540000000001E-2</v>
      </c>
      <c r="X6278">
        <v>0.99940189999999995</v>
      </c>
      <c r="Y6278">
        <v>-9.782892E-2</v>
      </c>
      <c r="Z6278">
        <v>-5.5474719999999998E-2</v>
      </c>
      <c r="AA6278">
        <v>0.99365590000000004</v>
      </c>
      <c r="AB6278">
        <v>16</v>
      </c>
      <c r="AC6278">
        <v>0.85479999999998302</v>
      </c>
      <c r="AD6278">
        <v>-1.102676901191</v>
      </c>
      <c r="AE6278">
        <v>19.331510000000002</v>
      </c>
      <c r="AF6278">
        <v>-1.9025643269173</v>
      </c>
      <c r="AG6278">
        <v>-1.102676901191</v>
      </c>
      <c r="AH6278">
        <v>19.193702407611202</v>
      </c>
      <c r="AI6278">
        <v>93.272023969073601</v>
      </c>
      <c r="AJ6278">
        <v>95.660917645471599</v>
      </c>
      <c r="AK6278">
        <v>19.319261359545301</v>
      </c>
    </row>
    <row r="6279" spans="1:37" x14ac:dyDescent="0.2">
      <c r="A6279" t="str">
        <f>"20200111160024281"</f>
        <v>20200111160024281</v>
      </c>
      <c r="B6279" t="str">
        <f>"1578729624277072"</f>
        <v>1578729624277072</v>
      </c>
      <c r="C6279" t="s">
        <v>37</v>
      </c>
      <c r="D6279">
        <v>5.5389349999999897</v>
      </c>
      <c r="E6279">
        <v>0.47842269999999998</v>
      </c>
      <c r="F6279" t="s">
        <v>39</v>
      </c>
      <c r="G6279">
        <v>-192.20419999999999</v>
      </c>
      <c r="H6279" s="1">
        <v>-3.6173099999999999E-6</v>
      </c>
      <c r="I6279">
        <v>-23.345970000000001</v>
      </c>
      <c r="J6279">
        <v>-193.14529999999999</v>
      </c>
      <c r="K6279">
        <v>1.1025989999999899</v>
      </c>
      <c r="L6279">
        <v>-41.927370000000003</v>
      </c>
      <c r="M6279">
        <v>0.14442179999999999</v>
      </c>
      <c r="N6279">
        <v>0</v>
      </c>
      <c r="O6279">
        <v>0.98948819999999904</v>
      </c>
      <c r="P6279">
        <v>0.11991830000000001</v>
      </c>
      <c r="Q6279">
        <v>7.4955050000000004E-3</v>
      </c>
      <c r="R6279">
        <v>0.99275550000000001</v>
      </c>
      <c r="S6279">
        <v>0.15486150000000001</v>
      </c>
      <c r="T6279">
        <v>-0.17678250000000001</v>
      </c>
      <c r="U6279">
        <v>3.0042110000000002</v>
      </c>
      <c r="V6279">
        <v>-2.4678019999999998E-2</v>
      </c>
      <c r="W6279">
        <v>1.500199E-2</v>
      </c>
      <c r="X6279">
        <v>0.99958289999999905</v>
      </c>
      <c r="Y6279">
        <v>-9.3380229999999995E-2</v>
      </c>
      <c r="Z6279">
        <v>-5.7654839999999999E-2</v>
      </c>
      <c r="AA6279">
        <v>0.99395979999999995</v>
      </c>
      <c r="AB6279">
        <v>16</v>
      </c>
      <c r="AC6279">
        <v>0.94110000000000504</v>
      </c>
      <c r="AD6279">
        <v>-1.1026026173100001</v>
      </c>
      <c r="AE6279">
        <v>18.581399999999999</v>
      </c>
      <c r="AF6279">
        <v>-1.74626738219352</v>
      </c>
      <c r="AG6279">
        <v>-1.1026026173100001</v>
      </c>
      <c r="AH6279">
        <v>18.457679431264101</v>
      </c>
      <c r="AI6279">
        <v>93.403441645830696</v>
      </c>
      <c r="AJ6279">
        <v>95.404624141685801</v>
      </c>
      <c r="AK6279">
        <v>18.572859561444002</v>
      </c>
    </row>
    <row r="6280" spans="1:37" x14ac:dyDescent="0.2">
      <c r="A6280" t="str">
        <f>"20200111160024302"</f>
        <v>20200111160024302</v>
      </c>
      <c r="B6280" t="str">
        <f>"1578729624297568"</f>
        <v>1578729624297568</v>
      </c>
      <c r="C6280" t="s">
        <v>37</v>
      </c>
      <c r="D6280">
        <v>5.5422370000000001</v>
      </c>
      <c r="E6280">
        <v>0.47847970000000001</v>
      </c>
      <c r="F6280" t="s">
        <v>39</v>
      </c>
      <c r="G6280">
        <v>-192.15389999999999</v>
      </c>
      <c r="H6280" s="1">
        <v>-3.0460999999999999E-6</v>
      </c>
      <c r="I6280">
        <v>-24.646229999999999</v>
      </c>
      <c r="J6280">
        <v>-193.12110000000001</v>
      </c>
      <c r="K6280">
        <v>1.102525</v>
      </c>
      <c r="L6280">
        <v>-41.776400000000002</v>
      </c>
      <c r="M6280">
        <v>0.14627000000000001</v>
      </c>
      <c r="N6280">
        <v>0</v>
      </c>
      <c r="O6280">
        <v>0.98922160000000003</v>
      </c>
      <c r="P6280">
        <v>0.1242346</v>
      </c>
      <c r="Q6280">
        <v>4.2075369999999999E-3</v>
      </c>
      <c r="R6280">
        <v>0.99224389999999996</v>
      </c>
      <c r="S6280">
        <v>0.17225650000000001</v>
      </c>
      <c r="T6280">
        <v>-0.19157279999999999</v>
      </c>
      <c r="U6280">
        <v>3.0025330000000001</v>
      </c>
      <c r="V6280">
        <v>-2.2211539999999998E-2</v>
      </c>
      <c r="W6280">
        <v>1.10236E-2</v>
      </c>
      <c r="X6280">
        <v>0.99969249999999898</v>
      </c>
      <c r="Y6280">
        <v>-8.9485579999999995E-2</v>
      </c>
      <c r="Z6280">
        <v>-6.2470480000000002E-2</v>
      </c>
      <c r="AA6280">
        <v>0.99402699999999999</v>
      </c>
      <c r="AB6280">
        <v>16</v>
      </c>
      <c r="AC6280">
        <v>0.96720000000001904</v>
      </c>
      <c r="AD6280">
        <v>-1.1025280461</v>
      </c>
      <c r="AE6280">
        <v>17.13017</v>
      </c>
      <c r="AF6280">
        <v>-1.5425207471420801</v>
      </c>
      <c r="AG6280">
        <v>-1.1025280461</v>
      </c>
      <c r="AH6280">
        <v>17.017128705736301</v>
      </c>
      <c r="AI6280">
        <v>93.691878908080596</v>
      </c>
      <c r="AJ6280">
        <v>95.179431687837393</v>
      </c>
      <c r="AK6280">
        <v>17.1224299600085</v>
      </c>
    </row>
    <row r="6281" spans="1:37" x14ac:dyDescent="0.2">
      <c r="A6281" t="str">
        <f>"20200111160024326"</f>
        <v>20200111160024326</v>
      </c>
      <c r="B6281" t="str">
        <f>"1578729624317089"</f>
        <v>1578729624317089</v>
      </c>
      <c r="C6281" t="s">
        <v>37</v>
      </c>
      <c r="D6281">
        <v>5.5337940000000003</v>
      </c>
      <c r="E6281">
        <v>0.47842010000000001</v>
      </c>
      <c r="F6281" t="s">
        <v>39</v>
      </c>
      <c r="G6281">
        <v>-192.11449999999999</v>
      </c>
      <c r="H6281" s="1">
        <v>-2.6770049999999999E-6</v>
      </c>
      <c r="I6281">
        <v>-25.482189999999999</v>
      </c>
      <c r="J6281">
        <v>-193.09209999999999</v>
      </c>
      <c r="K6281">
        <v>1.1024499999999999</v>
      </c>
      <c r="L6281">
        <v>-41.597380000000001</v>
      </c>
      <c r="M6281">
        <v>0.14844660000000001</v>
      </c>
      <c r="N6281">
        <v>0</v>
      </c>
      <c r="O6281">
        <v>0.98890239999999996</v>
      </c>
      <c r="P6281">
        <v>0.12715000000000001</v>
      </c>
      <c r="Q6281">
        <v>1.9805339999999999E-3</v>
      </c>
      <c r="R6281">
        <v>0.99188149999999997</v>
      </c>
      <c r="S6281">
        <v>0.18539430000000001</v>
      </c>
      <c r="T6281">
        <v>-0.20306559999999901</v>
      </c>
      <c r="U6281">
        <v>3.001099</v>
      </c>
      <c r="V6281">
        <v>-2.1482339999999999E-2</v>
      </c>
      <c r="W6281">
        <v>7.9943930000000007E-3</v>
      </c>
      <c r="X6281">
        <v>0.99973729999999905</v>
      </c>
      <c r="Y6281">
        <v>-8.7328169999999997E-2</v>
      </c>
      <c r="Z6281">
        <v>-6.6198530000000005E-2</v>
      </c>
      <c r="AA6281">
        <v>0.99397769999999996</v>
      </c>
      <c r="AB6281">
        <v>16</v>
      </c>
      <c r="AC6281">
        <v>0.97759999999999503</v>
      </c>
      <c r="AD6281">
        <v>-1.1024526770049901</v>
      </c>
      <c r="AE6281">
        <v>16.115189999999998</v>
      </c>
      <c r="AF6281">
        <v>-1.4189034186812</v>
      </c>
      <c r="AG6281">
        <v>-1.1024526770049901</v>
      </c>
      <c r="AH6281">
        <v>16.007118931444399</v>
      </c>
      <c r="AI6281">
        <v>93.924550540580896</v>
      </c>
      <c r="AJ6281">
        <v>95.065574113545097</v>
      </c>
      <c r="AK6281">
        <v>16.1076548666151</v>
      </c>
    </row>
    <row r="6282" spans="1:37" x14ac:dyDescent="0.2">
      <c r="A6282" t="str">
        <f>"20200111160024349"</f>
        <v>20200111160024349</v>
      </c>
      <c r="B6282" t="str">
        <f>"1578729624337584"</f>
        <v>1578729624337584</v>
      </c>
      <c r="C6282" t="s">
        <v>37</v>
      </c>
      <c r="D6282">
        <v>5.6321240000000001</v>
      </c>
      <c r="E6282">
        <v>0.4782515</v>
      </c>
      <c r="F6282" t="s">
        <v>39</v>
      </c>
      <c r="G6282">
        <v>-192.0855</v>
      </c>
      <c r="H6282" s="1">
        <v>-2.450245E-6</v>
      </c>
      <c r="I6282">
        <v>-25.992760000000001</v>
      </c>
      <c r="J6282">
        <v>-193.06530000000001</v>
      </c>
      <c r="K6282">
        <v>1.102392</v>
      </c>
      <c r="L6282">
        <v>-41.434480000000001</v>
      </c>
      <c r="M6282">
        <v>0.15039820000000001</v>
      </c>
      <c r="N6282">
        <v>0</v>
      </c>
      <c r="O6282">
        <v>0.98861160000000003</v>
      </c>
      <c r="P6282">
        <v>0.12768399999999999</v>
      </c>
      <c r="Q6282">
        <v>1.118827E-3</v>
      </c>
      <c r="R6282">
        <v>0.99181430000000004</v>
      </c>
      <c r="S6282">
        <v>0.19352720000000001</v>
      </c>
      <c r="T6282">
        <v>-0.21195799999999901</v>
      </c>
      <c r="U6282">
        <v>3.0001530000000001</v>
      </c>
      <c r="V6282">
        <v>-2.292129E-2</v>
      </c>
      <c r="W6282">
        <v>6.4232550000000001E-3</v>
      </c>
      <c r="X6282">
        <v>0.99971659999999996</v>
      </c>
      <c r="Y6282">
        <v>-8.6603319999999998E-2</v>
      </c>
      <c r="Z6282">
        <v>-6.9070519999999996E-2</v>
      </c>
      <c r="AA6282">
        <v>0.9938456</v>
      </c>
      <c r="AB6282">
        <v>16</v>
      </c>
      <c r="AC6282">
        <v>0.979800000000011</v>
      </c>
      <c r="AD6282">
        <v>-1.102394450245</v>
      </c>
      <c r="AE6282">
        <v>15.44172</v>
      </c>
      <c r="AF6282">
        <v>-1.34694649870712</v>
      </c>
      <c r="AG6282">
        <v>-1.102394450245</v>
      </c>
      <c r="AH6282">
        <v>15.335589166424599</v>
      </c>
      <c r="AI6282">
        <v>94.095904041419999</v>
      </c>
      <c r="AJ6282">
        <v>95.019488466640695</v>
      </c>
      <c r="AK6282">
        <v>15.4340478642406</v>
      </c>
    </row>
    <row r="6283" spans="1:37" x14ac:dyDescent="0.2">
      <c r="A6283" t="str">
        <f>"20200111160024572"</f>
        <v>20200111160024572</v>
      </c>
      <c r="B6283" t="str">
        <f>"1578729624566945"</f>
        <v>1578729624566945</v>
      </c>
      <c r="C6283" t="s">
        <v>37</v>
      </c>
      <c r="D6283">
        <v>5.662776</v>
      </c>
      <c r="E6283">
        <v>0.52691259999999995</v>
      </c>
      <c r="F6283" t="s">
        <v>39</v>
      </c>
      <c r="G6283">
        <v>-192.05840000000001</v>
      </c>
      <c r="H6283" s="1">
        <v>-2.4860730000000001E-6</v>
      </c>
      <c r="I6283">
        <v>-25.892479999999999</v>
      </c>
      <c r="J6283">
        <v>-192.75489999999999</v>
      </c>
      <c r="K6283">
        <v>1.1019369999999999</v>
      </c>
      <c r="L6283">
        <v>-39.644410000000001</v>
      </c>
      <c r="M6283">
        <v>0.16904939999999999</v>
      </c>
      <c r="N6283">
        <v>0</v>
      </c>
      <c r="O6283">
        <v>0.98560749999999997</v>
      </c>
      <c r="P6283">
        <v>0.13439519999999999</v>
      </c>
      <c r="Q6283">
        <v>1.490611E-2</v>
      </c>
      <c r="R6283">
        <v>0.99081569999999997</v>
      </c>
      <c r="S6283">
        <v>0.1943512</v>
      </c>
      <c r="T6283">
        <v>-0.2127879</v>
      </c>
      <c r="U6283">
        <v>2.9999689999999899</v>
      </c>
      <c r="V6283">
        <v>-3.5003600000000003E-2</v>
      </c>
      <c r="W6283">
        <v>1.4554289999999999E-2</v>
      </c>
      <c r="X6283">
        <v>0.99928119999999998</v>
      </c>
      <c r="Y6283">
        <v>-0.1051323</v>
      </c>
      <c r="Z6283">
        <v>-6.8961399999999895E-2</v>
      </c>
      <c r="AA6283">
        <v>0.99206430000000001</v>
      </c>
      <c r="AB6283">
        <v>19</v>
      </c>
      <c r="AC6283">
        <v>0.69649999999998602</v>
      </c>
      <c r="AD6283">
        <v>-1.1019394860730001</v>
      </c>
      <c r="AE6283">
        <v>13.75193</v>
      </c>
      <c r="AF6283">
        <v>-1.62785465624611</v>
      </c>
      <c r="AG6283">
        <v>-1.1019394860730001</v>
      </c>
      <c r="AH6283">
        <v>13.5847477402701</v>
      </c>
      <c r="AI6283">
        <v>94.604648872429905</v>
      </c>
      <c r="AJ6283">
        <v>96.833147649349598</v>
      </c>
      <c r="AK6283">
        <v>13.7262359217523</v>
      </c>
    </row>
    <row r="6284" spans="1:37" x14ac:dyDescent="0.2">
      <c r="A6284" t="str">
        <f>"20200111160024593"</f>
        <v>20200111160024593</v>
      </c>
      <c r="B6284" t="str">
        <f>"1578729624587440"</f>
        <v>1578729624587440</v>
      </c>
      <c r="C6284" t="s">
        <v>37</v>
      </c>
      <c r="D6284">
        <v>5.6783679999999999</v>
      </c>
      <c r="E6284">
        <v>0.52379100000000001</v>
      </c>
      <c r="F6284" t="s">
        <v>39</v>
      </c>
      <c r="G6284">
        <v>-188.0402</v>
      </c>
      <c r="H6284" s="1">
        <v>-1.94693099999999E-6</v>
      </c>
      <c r="I6284">
        <v>-16.639199999999999</v>
      </c>
      <c r="J6284">
        <v>-192.72139999999999</v>
      </c>
      <c r="K6284">
        <v>1.1018969999999999</v>
      </c>
      <c r="L6284">
        <v>-39.460819999999998</v>
      </c>
      <c r="M6284">
        <v>0.1707805</v>
      </c>
      <c r="N6284">
        <v>0</v>
      </c>
      <c r="O6284">
        <v>0.98530879999999998</v>
      </c>
      <c r="P6284">
        <v>0.13528389999999901</v>
      </c>
      <c r="Q6284">
        <v>1.6995099999999999E-2</v>
      </c>
      <c r="R6284">
        <v>0.99066109999999896</v>
      </c>
      <c r="S6284">
        <v>0.60415649999999999</v>
      </c>
      <c r="T6284">
        <v>-0.14120779999999999</v>
      </c>
      <c r="U6284">
        <v>2.9479980000000001</v>
      </c>
      <c r="V6284">
        <v>-3.5851710000000002E-2</v>
      </c>
      <c r="W6284">
        <v>1.6335059999999998E-2</v>
      </c>
      <c r="X6284">
        <v>0.99922359999999899</v>
      </c>
      <c r="Y6284">
        <v>3.029399E-2</v>
      </c>
      <c r="Z6284">
        <v>-4.6306199999999999E-2</v>
      </c>
      <c r="AA6284">
        <v>0.99846780000000002</v>
      </c>
      <c r="AB6284">
        <v>19</v>
      </c>
      <c r="AC6284">
        <v>4.6811999999999898</v>
      </c>
      <c r="AD6284">
        <v>-1.1018989469310001</v>
      </c>
      <c r="AE6284">
        <v>22.821619999999999</v>
      </c>
      <c r="AF6284">
        <v>0.71334424519573403</v>
      </c>
      <c r="AG6284">
        <v>-1.1018989469310001</v>
      </c>
      <c r="AH6284">
        <v>23.233830396394701</v>
      </c>
      <c r="AI6284">
        <v>92.714025931694195</v>
      </c>
      <c r="AJ6284">
        <v>88.241410115121298</v>
      </c>
      <c r="AK6284">
        <v>23.2708812937937</v>
      </c>
    </row>
    <row r="6285" spans="1:37" x14ac:dyDescent="0.2">
      <c r="A6285" t="str">
        <f>"20200111160024616"</f>
        <v>20200111160024616</v>
      </c>
      <c r="B6285" t="str">
        <f>"1578729624606961"</f>
        <v>1578729624606961</v>
      </c>
      <c r="C6285" t="s">
        <v>37</v>
      </c>
      <c r="D6285">
        <v>5.6644180000000004</v>
      </c>
      <c r="E6285">
        <v>0.52325710000000003</v>
      </c>
      <c r="F6285" t="s">
        <v>39</v>
      </c>
      <c r="G6285">
        <v>-188.5583</v>
      </c>
      <c r="H6285" s="1">
        <v>-1.1322679999999999E-6</v>
      </c>
      <c r="I6285">
        <v>-18.323979999999999</v>
      </c>
      <c r="J6285">
        <v>-192.68340000000001</v>
      </c>
      <c r="K6285">
        <v>1.1018490000000001</v>
      </c>
      <c r="L6285">
        <v>-39.254429999999999</v>
      </c>
      <c r="M6285">
        <v>0.1727175</v>
      </c>
      <c r="N6285">
        <v>0</v>
      </c>
      <c r="O6285">
        <v>0.98497089999999998</v>
      </c>
      <c r="P6285">
        <v>0.13532369999999999</v>
      </c>
      <c r="Q6285">
        <v>1.8518989999999999E-2</v>
      </c>
      <c r="R6285">
        <v>0.99062839999999996</v>
      </c>
      <c r="S6285">
        <v>0.58132930000000005</v>
      </c>
      <c r="T6285">
        <v>-0.15386849999999999</v>
      </c>
      <c r="U6285">
        <v>2.9515380000000002</v>
      </c>
      <c r="V6285">
        <v>-3.776815E-2</v>
      </c>
      <c r="W6285">
        <v>1.7567030000000001E-2</v>
      </c>
      <c r="X6285">
        <v>0.99913209999999997</v>
      </c>
      <c r="Y6285">
        <v>2.0630019999999999E-2</v>
      </c>
      <c r="Z6285">
        <v>-5.0406560000000003E-2</v>
      </c>
      <c r="AA6285">
        <v>0.99851569999999901</v>
      </c>
      <c r="AB6285">
        <v>20</v>
      </c>
      <c r="AC6285">
        <v>4.1250999999999998</v>
      </c>
      <c r="AD6285">
        <v>-1.1018501322680001</v>
      </c>
      <c r="AE6285">
        <v>20.93045</v>
      </c>
      <c r="AF6285">
        <v>0.44685660155372298</v>
      </c>
      <c r="AG6285">
        <v>-1.1018501322680001</v>
      </c>
      <c r="AH6285">
        <v>21.271625252748901</v>
      </c>
      <c r="AI6285">
        <v>92.9645643259217</v>
      </c>
      <c r="AJ6285">
        <v>88.796554950595805</v>
      </c>
      <c r="AK6285">
        <v>21.304830330929999</v>
      </c>
    </row>
    <row r="6286" spans="1:37" x14ac:dyDescent="0.2">
      <c r="A6286" t="str">
        <f>"20200111160024639"</f>
        <v>20200111160024639</v>
      </c>
      <c r="B6286" t="str">
        <f>"1578729624627456"</f>
        <v>1578729624627456</v>
      </c>
      <c r="C6286" t="s">
        <v>37</v>
      </c>
      <c r="D6286">
        <v>5.7017889999999998</v>
      </c>
      <c r="E6286">
        <v>0.52281250000000001</v>
      </c>
      <c r="F6286" t="s">
        <v>39</v>
      </c>
      <c r="G6286">
        <v>-188.76300000000001</v>
      </c>
      <c r="H6286" s="1">
        <v>-7.2993719999999899E-7</v>
      </c>
      <c r="I6286">
        <v>-19.17719</v>
      </c>
      <c r="J6286">
        <v>-192.6463</v>
      </c>
      <c r="K6286">
        <v>1.1018049999999999</v>
      </c>
      <c r="L6286">
        <v>-39.054720000000003</v>
      </c>
      <c r="M6286">
        <v>0.1745766</v>
      </c>
      <c r="N6286">
        <v>0</v>
      </c>
      <c r="O6286">
        <v>0.98464269999999998</v>
      </c>
      <c r="P6286">
        <v>0.13516429999999999</v>
      </c>
      <c r="Q6286">
        <v>1.851274E-2</v>
      </c>
      <c r="R6286">
        <v>0.99065020000000004</v>
      </c>
      <c r="S6286">
        <v>0.57655330000000005</v>
      </c>
      <c r="T6286">
        <v>-0.162042299999999</v>
      </c>
      <c r="U6286">
        <v>2.95263699999999</v>
      </c>
      <c r="V6286">
        <v>-3.9814950000000002E-2</v>
      </c>
      <c r="W6286">
        <v>1.7324840000000001E-2</v>
      </c>
      <c r="X6286">
        <v>0.99905689999999903</v>
      </c>
      <c r="Y6286">
        <v>1.7090040000000001E-2</v>
      </c>
      <c r="Z6286">
        <v>-5.3040820000000002E-2</v>
      </c>
      <c r="AA6286">
        <v>0.998446099999999</v>
      </c>
      <c r="AB6286">
        <v>20</v>
      </c>
      <c r="AC6286">
        <v>3.88329999999999</v>
      </c>
      <c r="AD6286">
        <v>-1.1018057299371999</v>
      </c>
      <c r="AE6286">
        <v>19.87753</v>
      </c>
      <c r="AF6286">
        <v>0.352468574039347</v>
      </c>
      <c r="AG6286">
        <v>-1.1018057299371999</v>
      </c>
      <c r="AH6286">
        <v>20.1904622996597</v>
      </c>
      <c r="AI6286">
        <v>93.123092255982002</v>
      </c>
      <c r="AJ6286">
        <v>88.999878740480895</v>
      </c>
      <c r="AK6286">
        <v>20.2235748035847</v>
      </c>
    </row>
    <row r="6287" spans="1:37" x14ac:dyDescent="0.2">
      <c r="A6287" t="str">
        <f>"20200111160024661"</f>
        <v>20200111160024661</v>
      </c>
      <c r="B6287" t="str">
        <f>"1578729624656738"</f>
        <v>1578729624656738</v>
      </c>
      <c r="C6287" t="s">
        <v>37</v>
      </c>
      <c r="D6287">
        <v>5.671926</v>
      </c>
      <c r="E6287">
        <v>0.52220880000000003</v>
      </c>
      <c r="F6287" t="s">
        <v>39</v>
      </c>
      <c r="G6287">
        <v>-188.8809</v>
      </c>
      <c r="H6287" s="1">
        <v>-5.4277019999999896E-7</v>
      </c>
      <c r="I6287">
        <v>-19.631969999999999</v>
      </c>
      <c r="J6287">
        <v>-192.6087</v>
      </c>
      <c r="K6287">
        <v>1.101769</v>
      </c>
      <c r="L6287">
        <v>-38.854399999999998</v>
      </c>
      <c r="M6287">
        <v>0.1764115</v>
      </c>
      <c r="N6287">
        <v>0</v>
      </c>
      <c r="O6287">
        <v>0.98431539999999995</v>
      </c>
      <c r="P6287">
        <v>0.13507469999999999</v>
      </c>
      <c r="Q6287">
        <v>1.739692E-2</v>
      </c>
      <c r="R6287">
        <v>0.99068269999999903</v>
      </c>
      <c r="S6287">
        <v>0.57255549999999999</v>
      </c>
      <c r="T6287">
        <v>-0.16753579999999901</v>
      </c>
      <c r="U6287">
        <v>2.9533390000000002</v>
      </c>
      <c r="V6287">
        <v>-4.1773270000000001E-2</v>
      </c>
      <c r="W6287">
        <v>1.6010380000000001E-2</v>
      </c>
      <c r="X6287">
        <v>0.99899879999999996</v>
      </c>
      <c r="Y6287">
        <v>1.386099E-2</v>
      </c>
      <c r="Z6287">
        <v>-5.4801830000000003E-2</v>
      </c>
      <c r="AA6287">
        <v>0.99840099999999998</v>
      </c>
      <c r="AB6287">
        <v>20</v>
      </c>
      <c r="AC6287">
        <v>3.7277999999999998</v>
      </c>
      <c r="AD6287">
        <v>-1.1017695427701999</v>
      </c>
      <c r="AE6287">
        <v>19.222429999999999</v>
      </c>
      <c r="AF6287">
        <v>0.277395266222495</v>
      </c>
      <c r="AG6287">
        <v>-1.1017695427701999</v>
      </c>
      <c r="AH6287">
        <v>19.516788906096401</v>
      </c>
      <c r="AI6287">
        <v>93.230729144543602</v>
      </c>
      <c r="AJ6287">
        <v>89.185700681800995</v>
      </c>
      <c r="AK6287">
        <v>19.549831034160501</v>
      </c>
    </row>
    <row r="6288" spans="1:37" x14ac:dyDescent="0.2">
      <c r="A6288" t="str">
        <f>"20200111160024684"</f>
        <v>20200111160024684</v>
      </c>
      <c r="B6288" t="str">
        <f>"1578729624677232"</f>
        <v>1578729624677232</v>
      </c>
      <c r="C6288" t="s">
        <v>37</v>
      </c>
      <c r="D6288">
        <v>5.8031480000000002</v>
      </c>
      <c r="E6288">
        <v>0.52240540000000002</v>
      </c>
      <c r="F6288" t="s">
        <v>39</v>
      </c>
      <c r="G6288">
        <v>-188.97559999999999</v>
      </c>
      <c r="H6288" s="1">
        <v>-4.1216309999999998E-7</v>
      </c>
      <c r="I6288">
        <v>-19.941669999999998</v>
      </c>
      <c r="J6288">
        <v>-192.5701</v>
      </c>
      <c r="K6288">
        <v>1.101742</v>
      </c>
      <c r="L6288">
        <v>-38.650239999999997</v>
      </c>
      <c r="M6288">
        <v>0.1782252</v>
      </c>
      <c r="N6288">
        <v>0</v>
      </c>
      <c r="O6288">
        <v>0.98398829999999904</v>
      </c>
      <c r="P6288">
        <v>0.1360683</v>
      </c>
      <c r="Q6288">
        <v>1.630759E-2</v>
      </c>
      <c r="R6288">
        <v>0.99056520000000003</v>
      </c>
      <c r="S6288">
        <v>0.56742859999999995</v>
      </c>
      <c r="T6288">
        <v>-0.17207999999999901</v>
      </c>
      <c r="U6288">
        <v>2.9538880000000001</v>
      </c>
      <c r="V6288">
        <v>-4.2618669999999997E-2</v>
      </c>
      <c r="W6288">
        <v>1.4749770000000001E-2</v>
      </c>
      <c r="X6288">
        <v>0.9989825</v>
      </c>
      <c r="Y6288">
        <v>1.029711E-2</v>
      </c>
      <c r="Z6288">
        <v>-5.6255520000000003E-2</v>
      </c>
      <c r="AA6288">
        <v>0.99836329999999995</v>
      </c>
      <c r="AB6288">
        <v>20</v>
      </c>
      <c r="AC6288">
        <v>3.5945000000000098</v>
      </c>
      <c r="AD6288">
        <v>-1.1017424121631001</v>
      </c>
      <c r="AE6288">
        <v>18.708570000000002</v>
      </c>
      <c r="AF6288">
        <v>0.201932228524031</v>
      </c>
      <c r="AG6288">
        <v>-1.1017424121631001</v>
      </c>
      <c r="AH6288">
        <v>18.9861712164899</v>
      </c>
      <c r="AI6288">
        <v>93.320886553178397</v>
      </c>
      <c r="AJ6288">
        <v>89.390639214105704</v>
      </c>
      <c r="AK6288">
        <v>19.019182696150299</v>
      </c>
    </row>
    <row r="6289" spans="1:37" x14ac:dyDescent="0.2">
      <c r="A6289" t="str">
        <f>"20200111160024706"</f>
        <v>20200111160024706</v>
      </c>
      <c r="B6289" t="str">
        <f>"1578729624696753"</f>
        <v>1578729624696753</v>
      </c>
      <c r="C6289" t="s">
        <v>37</v>
      </c>
      <c r="D6289">
        <v>5.6739100000000002</v>
      </c>
      <c r="E6289">
        <v>0.52252979999999905</v>
      </c>
      <c r="F6289" t="s">
        <v>39</v>
      </c>
      <c r="G6289">
        <v>-188.6824</v>
      </c>
      <c r="H6289" s="1">
        <v>-9.8525739999999996E-7</v>
      </c>
      <c r="I6289">
        <v>-18.615359999999999</v>
      </c>
      <c r="J6289">
        <v>-192.5299</v>
      </c>
      <c r="K6289">
        <v>1.1017509999999999</v>
      </c>
      <c r="L6289">
        <v>-38.439700000000002</v>
      </c>
      <c r="M6289">
        <v>0.1799953</v>
      </c>
      <c r="N6289">
        <v>0</v>
      </c>
      <c r="O6289">
        <v>0.98366580000000003</v>
      </c>
      <c r="P6289">
        <v>0.1378297</v>
      </c>
      <c r="Q6289">
        <v>1.6580460000000002E-2</v>
      </c>
      <c r="R6289">
        <v>0.99031719999999901</v>
      </c>
      <c r="S6289">
        <v>0.57292180000000004</v>
      </c>
      <c r="T6289">
        <v>-0.16236410000000001</v>
      </c>
      <c r="U6289">
        <v>2.9525450000000002</v>
      </c>
      <c r="V6289">
        <v>-4.2639549999999998E-2</v>
      </c>
      <c r="W6289">
        <v>1.4874210000000001E-2</v>
      </c>
      <c r="X6289">
        <v>0.99897979999999997</v>
      </c>
      <c r="Y6289">
        <v>1.040643E-2</v>
      </c>
      <c r="Z6289">
        <v>-5.3077149999999997E-2</v>
      </c>
      <c r="AA6289">
        <v>0.99853619999999899</v>
      </c>
      <c r="AB6289">
        <v>21</v>
      </c>
      <c r="AC6289">
        <v>3.8474999999999899</v>
      </c>
      <c r="AD6289">
        <v>-1.1017519852574</v>
      </c>
      <c r="AE6289">
        <v>19.824339999999999</v>
      </c>
      <c r="AF6289">
        <v>0.21572438234682201</v>
      </c>
      <c r="AG6289">
        <v>-1.1017519852574</v>
      </c>
      <c r="AH6289">
        <v>20.133163120644301</v>
      </c>
      <c r="AI6289">
        <v>93.132107262636794</v>
      </c>
      <c r="AJ6289">
        <v>89.386106217393504</v>
      </c>
      <c r="AK6289">
        <v>20.164440277097398</v>
      </c>
    </row>
    <row r="6290" spans="1:37" x14ac:dyDescent="0.2">
      <c r="A6290" t="str">
        <f>"20200111160024729"</f>
        <v>20200111160024729</v>
      </c>
      <c r="B6290" t="str">
        <f>"1578729624727008"</f>
        <v>1578729624727008</v>
      </c>
      <c r="C6290" t="s">
        <v>37</v>
      </c>
      <c r="D6290">
        <v>5.7067379999999996</v>
      </c>
      <c r="E6290">
        <v>0.52312939999999997</v>
      </c>
      <c r="F6290" t="s">
        <v>38</v>
      </c>
      <c r="G6290">
        <v>-192.3552</v>
      </c>
      <c r="H6290">
        <v>1.0522450000000001</v>
      </c>
      <c r="I6290">
        <v>-37.549750000000003</v>
      </c>
      <c r="J6290">
        <v>-192.48859999999999</v>
      </c>
      <c r="K6290">
        <v>1.1017870000000001</v>
      </c>
      <c r="L6290">
        <v>-38.225189999999998</v>
      </c>
      <c r="M6290">
        <v>0.1816585</v>
      </c>
      <c r="N6290">
        <v>0</v>
      </c>
      <c r="O6290">
        <v>0.98335980000000001</v>
      </c>
      <c r="P6290">
        <v>0.13946889999999901</v>
      </c>
      <c r="Q6290">
        <v>1.8196609999999998E-2</v>
      </c>
      <c r="R6290">
        <v>0.99005929999999998</v>
      </c>
      <c r="S6290">
        <v>0.57914730000000003</v>
      </c>
      <c r="T6290">
        <v>-0.16415289999999999</v>
      </c>
      <c r="U6290">
        <v>2.9514770000000001</v>
      </c>
      <c r="V6290">
        <v>-4.2668560000000001E-2</v>
      </c>
      <c r="W6290">
        <v>1.636748E-2</v>
      </c>
      <c r="X6290">
        <v>0.99895519999999904</v>
      </c>
      <c r="Y6290">
        <v>1.0805840000000001E-2</v>
      </c>
      <c r="Z6290">
        <v>-5.3643450000000002E-2</v>
      </c>
      <c r="AA6290">
        <v>0.99850169999999905</v>
      </c>
      <c r="AB6290">
        <v>21</v>
      </c>
      <c r="AC6290">
        <v>0.133399999999994</v>
      </c>
      <c r="AD6290">
        <v>-4.9541999999999899E-2</v>
      </c>
      <c r="AE6290">
        <v>0.67544000000000104</v>
      </c>
      <c r="AF6290">
        <v>8.4371090771007805E-3</v>
      </c>
      <c r="AG6290">
        <v>-4.9541999999999899E-2</v>
      </c>
      <c r="AH6290">
        <v>0.68488876026520595</v>
      </c>
      <c r="AI6290">
        <v>94.137019097747796</v>
      </c>
      <c r="AJ6290">
        <v>89.2942119682655</v>
      </c>
      <c r="AK6290">
        <v>0.68673008417513604</v>
      </c>
    </row>
    <row r="6291" spans="1:37" x14ac:dyDescent="0.2">
      <c r="A6291" t="str">
        <f>"20200111160024751"</f>
        <v>20200111160024751</v>
      </c>
      <c r="B6291" t="str">
        <f>"1578729624747505"</f>
        <v>1578729624747505</v>
      </c>
      <c r="C6291" t="s">
        <v>37</v>
      </c>
      <c r="D6291">
        <v>5.5512620000000004</v>
      </c>
      <c r="E6291">
        <v>0.52321689999999998</v>
      </c>
      <c r="F6291" t="s">
        <v>38</v>
      </c>
      <c r="G6291">
        <v>-192.3135</v>
      </c>
      <c r="H6291">
        <v>1.055215</v>
      </c>
      <c r="I6291">
        <v>-37.349109999999897</v>
      </c>
      <c r="J6291">
        <v>-192.4486</v>
      </c>
      <c r="K6291">
        <v>1.1018399999999999</v>
      </c>
      <c r="L6291">
        <v>-38.018189999999997</v>
      </c>
      <c r="M6291">
        <v>0.183136299999999</v>
      </c>
      <c r="N6291">
        <v>0</v>
      </c>
      <c r="O6291">
        <v>0.98308549999999995</v>
      </c>
      <c r="P6291">
        <v>0.14182449999999999</v>
      </c>
      <c r="Q6291">
        <v>2.06736E-2</v>
      </c>
      <c r="R6291">
        <v>0.98967590000000005</v>
      </c>
      <c r="S6291">
        <v>0.58926389999999995</v>
      </c>
      <c r="T6291">
        <v>-0.1567452</v>
      </c>
      <c r="U6291">
        <v>2.9499819999999999</v>
      </c>
      <c r="V6291">
        <v>-4.1780810000000002E-2</v>
      </c>
      <c r="W6291">
        <v>1.8745580000000001E-2</v>
      </c>
      <c r="X6291">
        <v>0.99895100000000003</v>
      </c>
      <c r="Y6291">
        <v>1.271883E-2</v>
      </c>
      <c r="Z6291">
        <v>-5.121614E-2</v>
      </c>
      <c r="AA6291">
        <v>0.99860659999999901</v>
      </c>
      <c r="AB6291">
        <v>21</v>
      </c>
      <c r="AC6291">
        <v>0.135099999999994</v>
      </c>
      <c r="AD6291">
        <v>-4.6624999999999903E-2</v>
      </c>
      <c r="AE6291">
        <v>0.669080000000008</v>
      </c>
      <c r="AF6291">
        <v>1.023428484163E-2</v>
      </c>
      <c r="AG6291">
        <v>-4.6624999999999903E-2</v>
      </c>
      <c r="AH6291">
        <v>0.67933627548515196</v>
      </c>
      <c r="AI6291">
        <v>93.925789592262205</v>
      </c>
      <c r="AJ6291">
        <v>89.136897301588803</v>
      </c>
      <c r="AK6291">
        <v>0.681011311507568</v>
      </c>
    </row>
    <row r="6292" spans="1:37" x14ac:dyDescent="0.2">
      <c r="A6292" t="str">
        <f>"20200111160024772"</f>
        <v>20200111160024772</v>
      </c>
      <c r="B6292" t="str">
        <f>"1578729624767025"</f>
        <v>1578729624767025</v>
      </c>
      <c r="C6292" t="s">
        <v>37</v>
      </c>
      <c r="D6292">
        <v>5.6699979999999996</v>
      </c>
      <c r="E6292">
        <v>0.47852230000000001</v>
      </c>
      <c r="F6292" t="s">
        <v>39</v>
      </c>
      <c r="G6292">
        <v>-188.14490000000001</v>
      </c>
      <c r="H6292" s="1">
        <v>-1.875021E-6</v>
      </c>
      <c r="I6292">
        <v>-16.763529999999999</v>
      </c>
      <c r="J6292">
        <v>-192.40809999999999</v>
      </c>
      <c r="K6292">
        <v>1.1019079999999899</v>
      </c>
      <c r="L6292">
        <v>-37.809809999999999</v>
      </c>
      <c r="M6292">
        <v>0.1844857</v>
      </c>
      <c r="N6292">
        <v>0</v>
      </c>
      <c r="O6292">
        <v>0.98283299999999996</v>
      </c>
      <c r="P6292">
        <v>0.14406910000000001</v>
      </c>
      <c r="Q6292">
        <v>2.3342809999999999E-2</v>
      </c>
      <c r="R6292">
        <v>0.98929230000000001</v>
      </c>
      <c r="S6292">
        <v>0.597091699999999</v>
      </c>
      <c r="T6292">
        <v>-0.1528717</v>
      </c>
      <c r="U6292">
        <v>2.9489139999999998</v>
      </c>
      <c r="V6292">
        <v>-4.0873630000000001E-2</v>
      </c>
      <c r="W6292">
        <v>2.1333330000000001E-2</v>
      </c>
      <c r="X6292">
        <v>0.9989365</v>
      </c>
      <c r="Y6292">
        <v>1.3976270000000001E-2</v>
      </c>
      <c r="Z6292">
        <v>-4.9939070000000002E-2</v>
      </c>
      <c r="AA6292">
        <v>0.9986545</v>
      </c>
      <c r="AB6292">
        <v>22</v>
      </c>
      <c r="AC6292">
        <v>4.2631999999999799</v>
      </c>
      <c r="AD6292">
        <v>-1.1019098750209999</v>
      </c>
      <c r="AE6292">
        <v>21.046279999999999</v>
      </c>
      <c r="AF6292">
        <v>0.306469627259569</v>
      </c>
      <c r="AG6292">
        <v>-1.1019098750209999</v>
      </c>
      <c r="AH6292">
        <v>21.415134828711199</v>
      </c>
      <c r="AI6292">
        <v>92.945239840189799</v>
      </c>
      <c r="AJ6292">
        <v>89.180102402029505</v>
      </c>
      <c r="AK6292">
        <v>21.4456552414931</v>
      </c>
    </row>
    <row r="6293" spans="1:37" x14ac:dyDescent="0.2">
      <c r="A6293" t="str">
        <f>"20200111160024807"</f>
        <v>20200111160024807</v>
      </c>
      <c r="B6293" t="str">
        <f>"1578729624797281"</f>
        <v>1578729624797281</v>
      </c>
      <c r="C6293" t="s">
        <v>37</v>
      </c>
      <c r="D6293">
        <v>5.5739140000000003</v>
      </c>
      <c r="E6293">
        <v>0.4722015</v>
      </c>
      <c r="F6293" t="s">
        <v>39</v>
      </c>
      <c r="G6293">
        <v>-190.8143</v>
      </c>
      <c r="H6293" s="1">
        <v>-9.7708599999999997E-7</v>
      </c>
      <c r="I6293">
        <v>-18.63832</v>
      </c>
      <c r="J6293">
        <v>-192.3442</v>
      </c>
      <c r="K6293">
        <v>1.1020129999999999</v>
      </c>
      <c r="L6293">
        <v>-37.481990000000003</v>
      </c>
      <c r="M6293">
        <v>0.18631879999999901</v>
      </c>
      <c r="N6293">
        <v>0</v>
      </c>
      <c r="O6293">
        <v>0.982487</v>
      </c>
      <c r="P6293">
        <v>0.14745620000000001</v>
      </c>
      <c r="Q6293">
        <v>2.6485950000000001E-2</v>
      </c>
      <c r="R6293">
        <v>0.98871390000000003</v>
      </c>
      <c r="S6293">
        <v>0.24942020000000001</v>
      </c>
      <c r="T6293">
        <v>-0.1724415</v>
      </c>
      <c r="U6293">
        <v>3.0002140000000002</v>
      </c>
      <c r="V6293">
        <v>-3.9302770000000001E-2</v>
      </c>
      <c r="W6293">
        <v>2.438191E-2</v>
      </c>
      <c r="X6293">
        <v>0.99892990000000004</v>
      </c>
      <c r="Y6293">
        <v>-0.1044108</v>
      </c>
      <c r="Z6293">
        <v>-5.5627139999999999E-2</v>
      </c>
      <c r="AA6293">
        <v>0.99297729999999995</v>
      </c>
      <c r="AB6293">
        <v>22</v>
      </c>
      <c r="AC6293">
        <v>1.52989999999999</v>
      </c>
      <c r="AD6293">
        <v>-1.102013977086</v>
      </c>
      <c r="AE6293">
        <v>18.843669999999999</v>
      </c>
      <c r="AF6293">
        <v>-2.0010287666902502</v>
      </c>
      <c r="AG6293">
        <v>-1.102013977086</v>
      </c>
      <c r="AH6293">
        <v>18.73509622321</v>
      </c>
      <c r="AI6293">
        <v>93.347312114820994</v>
      </c>
      <c r="AJ6293">
        <v>96.096445870725702</v>
      </c>
      <c r="AK6293">
        <v>18.873854440038301</v>
      </c>
    </row>
    <row r="6294" spans="1:37" x14ac:dyDescent="0.2">
      <c r="A6294" t="str">
        <f>"20200111160024850"</f>
        <v>20200111160024850</v>
      </c>
      <c r="B6294" t="str">
        <f>"1578729624847057"</f>
        <v>1578729624847057</v>
      </c>
      <c r="C6294" t="s">
        <v>37</v>
      </c>
      <c r="D6294">
        <v>5.5764649999999998</v>
      </c>
      <c r="E6294">
        <v>0.4700433</v>
      </c>
      <c r="F6294" t="s">
        <v>39</v>
      </c>
      <c r="G6294">
        <v>-190.8314</v>
      </c>
      <c r="H6294" s="1">
        <v>-2.166902E-6</v>
      </c>
      <c r="I6294">
        <v>-15.875450000000001</v>
      </c>
      <c r="J6294">
        <v>-192.25739999999999</v>
      </c>
      <c r="K6294">
        <v>1.1021529999999999</v>
      </c>
      <c r="L6294">
        <v>-37.038640000000001</v>
      </c>
      <c r="M6294">
        <v>0.18821160000000001</v>
      </c>
      <c r="N6294">
        <v>0</v>
      </c>
      <c r="O6294">
        <v>0.98212600000000005</v>
      </c>
      <c r="P6294">
        <v>0.15047929999999901</v>
      </c>
      <c r="Q6294">
        <v>2.6027410000000001E-2</v>
      </c>
      <c r="R6294">
        <v>0.98827049999999905</v>
      </c>
      <c r="S6294">
        <v>0.2105255</v>
      </c>
      <c r="T6294">
        <v>-0.15336620000000001</v>
      </c>
      <c r="U6294">
        <v>3.006958</v>
      </c>
      <c r="V6294">
        <v>-3.8186699999999997E-2</v>
      </c>
      <c r="W6294">
        <v>2.3863260000000001E-2</v>
      </c>
      <c r="X6294">
        <v>0.99898560000000003</v>
      </c>
      <c r="Y6294">
        <v>-0.11924460000000001</v>
      </c>
      <c r="Z6294">
        <v>-4.9333920000000003E-2</v>
      </c>
      <c r="AA6294">
        <v>0.99163849999999998</v>
      </c>
      <c r="AB6294">
        <v>22</v>
      </c>
      <c r="AC6294">
        <v>1.42599999999998</v>
      </c>
      <c r="AD6294">
        <v>-1.102155166902</v>
      </c>
      <c r="AE6294">
        <v>21.16319</v>
      </c>
      <c r="AF6294">
        <v>-2.5756982610388901</v>
      </c>
      <c r="AG6294">
        <v>-1.102155166902</v>
      </c>
      <c r="AH6294">
        <v>20.9966706261513</v>
      </c>
      <c r="AI6294">
        <v>92.982490448863601</v>
      </c>
      <c r="AJ6294">
        <v>96.993632137539507</v>
      </c>
      <c r="AK6294">
        <v>21.182755838816899</v>
      </c>
    </row>
    <row r="6295" spans="1:37" x14ac:dyDescent="0.2">
      <c r="A6295" t="str">
        <f>"20200111160024872"</f>
        <v>20200111160024872</v>
      </c>
      <c r="B6295" t="str">
        <f>"1578729624867552"</f>
        <v>1578729624867552</v>
      </c>
      <c r="C6295" t="s">
        <v>37</v>
      </c>
      <c r="D6295">
        <v>5.5644419999999997</v>
      </c>
      <c r="E6295">
        <v>0.46790090000000001</v>
      </c>
      <c r="F6295" t="s">
        <v>39</v>
      </c>
      <c r="G6295">
        <v>-190.8527</v>
      </c>
      <c r="H6295" s="1">
        <v>-2.0347460000000002E-6</v>
      </c>
      <c r="I6295">
        <v>-16.196719999999999</v>
      </c>
      <c r="J6295">
        <v>-192.21520000000001</v>
      </c>
      <c r="K6295">
        <v>1.102217</v>
      </c>
      <c r="L6295">
        <v>-36.823300000000003</v>
      </c>
      <c r="M6295">
        <v>0.1889276</v>
      </c>
      <c r="N6295">
        <v>0</v>
      </c>
      <c r="O6295">
        <v>0.98198850000000004</v>
      </c>
      <c r="P6295">
        <v>0.1513776</v>
      </c>
      <c r="Q6295">
        <v>2.3198170000000001E-2</v>
      </c>
      <c r="R6295">
        <v>0.98820379999999997</v>
      </c>
      <c r="S6295">
        <v>0.20278929999999901</v>
      </c>
      <c r="T6295">
        <v>-0.15911610000000001</v>
      </c>
      <c r="U6295">
        <v>3.0089109999999999</v>
      </c>
      <c r="V6295">
        <v>-3.8027640000000001E-2</v>
      </c>
      <c r="W6295">
        <v>2.1029659999999999E-2</v>
      </c>
      <c r="X6295">
        <v>0.99905540000000004</v>
      </c>
      <c r="Y6295">
        <v>-0.122556399999999</v>
      </c>
      <c r="Z6295">
        <v>-5.1128369999999999E-2</v>
      </c>
      <c r="AA6295">
        <v>0.99114369999999996</v>
      </c>
      <c r="AB6295">
        <v>23</v>
      </c>
      <c r="AC6295">
        <v>1.36250000000001</v>
      </c>
      <c r="AD6295">
        <v>-1.1022190347459999</v>
      </c>
      <c r="AE6295">
        <v>20.626580000000001</v>
      </c>
      <c r="AF6295">
        <v>-2.5517224799817502</v>
      </c>
      <c r="AG6295">
        <v>-1.1022190347459999</v>
      </c>
      <c r="AH6295">
        <v>20.454375338404802</v>
      </c>
      <c r="AI6295">
        <v>93.060817696913304</v>
      </c>
      <c r="AJ6295">
        <v>97.111020341186304</v>
      </c>
      <c r="AK6295">
        <v>20.642374982054399</v>
      </c>
    </row>
    <row r="6296" spans="1:37" x14ac:dyDescent="0.2">
      <c r="A6296" t="str">
        <f>"20200111160024894"</f>
        <v>20200111160024894</v>
      </c>
      <c r="B6296" t="str">
        <f>"1578729624887073"</f>
        <v>1578729624887073</v>
      </c>
      <c r="C6296" t="s">
        <v>37</v>
      </c>
      <c r="D6296">
        <v>5.5808949999999999</v>
      </c>
      <c r="E6296">
        <v>0.46695900000000001</v>
      </c>
      <c r="F6296" t="s">
        <v>39</v>
      </c>
      <c r="G6296">
        <v>-190.95480000000001</v>
      </c>
      <c r="H6296" s="1">
        <v>-1.822947E-6</v>
      </c>
      <c r="I6296">
        <v>-16.75375</v>
      </c>
      <c r="J6296">
        <v>-192.17070000000001</v>
      </c>
      <c r="K6296">
        <v>1.10229</v>
      </c>
      <c r="L6296">
        <v>-36.59619</v>
      </c>
      <c r="M6296">
        <v>0.18953539999999999</v>
      </c>
      <c r="N6296">
        <v>0</v>
      </c>
      <c r="O6296">
        <v>0.98187139999999995</v>
      </c>
      <c r="P6296">
        <v>0.15148310000000001</v>
      </c>
      <c r="Q6296">
        <v>2.0861649999999999E-2</v>
      </c>
      <c r="R6296">
        <v>0.98823969999999906</v>
      </c>
      <c r="S6296">
        <v>0.18907170000000001</v>
      </c>
      <c r="T6296">
        <v>-0.16534969999999999</v>
      </c>
      <c r="U6296">
        <v>3.010742</v>
      </c>
      <c r="V6296">
        <v>-3.8555829999999999E-2</v>
      </c>
      <c r="W6296">
        <v>1.8702199999999999E-2</v>
      </c>
      <c r="X6296">
        <v>0.99908140000000001</v>
      </c>
      <c r="Y6296">
        <v>-0.12771260000000001</v>
      </c>
      <c r="Z6296">
        <v>-5.3073599999999999E-2</v>
      </c>
      <c r="AA6296">
        <v>0.9903902</v>
      </c>
      <c r="AB6296">
        <v>23</v>
      </c>
      <c r="AC6296">
        <v>1.2159</v>
      </c>
      <c r="AD6296">
        <v>-1.102291822947</v>
      </c>
      <c r="AE6296">
        <v>19.84244</v>
      </c>
      <c r="AF6296">
        <v>-2.55912559186133</v>
      </c>
      <c r="AG6296">
        <v>-1.102291822947</v>
      </c>
      <c r="AH6296">
        <v>19.652805929100399</v>
      </c>
      <c r="AI6296">
        <v>93.183437003460995</v>
      </c>
      <c r="AJ6296">
        <v>97.419127342322298</v>
      </c>
      <c r="AK6296">
        <v>19.849356461727901</v>
      </c>
    </row>
    <row r="6297" spans="1:37" x14ac:dyDescent="0.2">
      <c r="A6297" t="str">
        <f>"20200111160024918"</f>
        <v>20200111160024918</v>
      </c>
      <c r="B6297" t="str">
        <f>"1578729624907569"</f>
        <v>1578729624907569</v>
      </c>
      <c r="C6297" t="s">
        <v>37</v>
      </c>
      <c r="D6297">
        <v>5.5711959999999996</v>
      </c>
      <c r="E6297">
        <v>0.46571899999999899</v>
      </c>
      <c r="F6297" t="s">
        <v>39</v>
      </c>
      <c r="G6297">
        <v>-190.98140000000001</v>
      </c>
      <c r="H6297" s="1">
        <v>-1.742644E-6</v>
      </c>
      <c r="I6297">
        <v>-16.957429999999999</v>
      </c>
      <c r="J6297">
        <v>-192.12379999999999</v>
      </c>
      <c r="K6297">
        <v>1.102376</v>
      </c>
      <c r="L6297">
        <v>-36.356870000000001</v>
      </c>
      <c r="M6297">
        <v>0.19001189999999901</v>
      </c>
      <c r="N6297">
        <v>0</v>
      </c>
      <c r="O6297">
        <v>0.98177939999999997</v>
      </c>
      <c r="P6297">
        <v>0.151031</v>
      </c>
      <c r="Q6297">
        <v>1.8709299999999901E-2</v>
      </c>
      <c r="R6297">
        <v>0.98835189999999995</v>
      </c>
      <c r="S6297">
        <v>0.18235779999999999</v>
      </c>
      <c r="T6297">
        <v>-0.1690207</v>
      </c>
      <c r="U6297">
        <v>3.0113219999999998</v>
      </c>
      <c r="V6297">
        <v>-3.9511520000000001E-2</v>
      </c>
      <c r="W6297">
        <v>1.6572969999999999E-2</v>
      </c>
      <c r="X6297">
        <v>0.99908169999999996</v>
      </c>
      <c r="Y6297">
        <v>-0.13040879999999999</v>
      </c>
      <c r="Z6297">
        <v>-5.4223939999999998E-2</v>
      </c>
      <c r="AA6297">
        <v>0.98997639999999998</v>
      </c>
      <c r="AB6297">
        <v>23</v>
      </c>
      <c r="AC6297">
        <v>1.1423999999999801</v>
      </c>
      <c r="AD6297">
        <v>-1.102377742644</v>
      </c>
      <c r="AE6297">
        <v>19.399439999999998</v>
      </c>
      <c r="AF6297">
        <v>-2.5563195739321398</v>
      </c>
      <c r="AG6297">
        <v>-1.102377742644</v>
      </c>
      <c r="AH6297">
        <v>19.201296531898102</v>
      </c>
      <c r="AI6297">
        <v>93.257161172343203</v>
      </c>
      <c r="AJ6297">
        <v>97.583345851459896</v>
      </c>
      <c r="AK6297">
        <v>19.402056462072</v>
      </c>
    </row>
    <row r="6298" spans="1:37" x14ac:dyDescent="0.2">
      <c r="A6298" t="str">
        <f>"20200111160024939"</f>
        <v>20200111160024939</v>
      </c>
      <c r="B6298" t="str">
        <f>"1578729624936849"</f>
        <v>1578729624936849</v>
      </c>
      <c r="C6298" t="s">
        <v>37</v>
      </c>
      <c r="D6298">
        <v>5.6236030000000001</v>
      </c>
      <c r="E6298">
        <v>0.46431</v>
      </c>
      <c r="F6298" t="s">
        <v>39</v>
      </c>
      <c r="G6298">
        <v>-191.0712</v>
      </c>
      <c r="H6298" s="1">
        <v>-1.386776E-6</v>
      </c>
      <c r="I6298">
        <v>-17.842649999999999</v>
      </c>
      <c r="J6298">
        <v>-192.07939999999999</v>
      </c>
      <c r="K6298">
        <v>1.1024700000000001</v>
      </c>
      <c r="L6298">
        <v>-36.129669999999997</v>
      </c>
      <c r="M6298">
        <v>0.19031400000000001</v>
      </c>
      <c r="N6298">
        <v>0</v>
      </c>
      <c r="O6298">
        <v>0.98172099999999995</v>
      </c>
      <c r="P6298">
        <v>0.1499182</v>
      </c>
      <c r="Q6298">
        <v>1.9001939999999998E-2</v>
      </c>
      <c r="R6298">
        <v>0.98851579999999994</v>
      </c>
      <c r="S6298">
        <v>0.17127989999999901</v>
      </c>
      <c r="T6298">
        <v>-0.17937510000000001</v>
      </c>
      <c r="U6298">
        <v>3.0125730000000002</v>
      </c>
      <c r="V6298">
        <v>-4.094569E-2</v>
      </c>
      <c r="W6298">
        <v>1.6899560000000001E-2</v>
      </c>
      <c r="X6298">
        <v>0.99901839999999997</v>
      </c>
      <c r="Y6298">
        <v>-0.13437579999999999</v>
      </c>
      <c r="Z6298">
        <v>-5.74958E-2</v>
      </c>
      <c r="AA6298">
        <v>0.98926099999999995</v>
      </c>
      <c r="AB6298">
        <v>23</v>
      </c>
      <c r="AC6298">
        <v>1.00819999999998</v>
      </c>
      <c r="AD6298">
        <v>-1.1024713867760001</v>
      </c>
      <c r="AE6298">
        <v>18.287019999999998</v>
      </c>
      <c r="AF6298">
        <v>-2.4815185321323998</v>
      </c>
      <c r="AG6298">
        <v>-1.1024713867760001</v>
      </c>
      <c r="AH6298">
        <v>18.079156401243399</v>
      </c>
      <c r="AI6298">
        <v>93.457254025295896</v>
      </c>
      <c r="AJ6298">
        <v>97.8154978880671</v>
      </c>
      <c r="AK6298">
        <v>18.281938452051399</v>
      </c>
    </row>
    <row r="6299" spans="1:37" x14ac:dyDescent="0.2">
      <c r="A6299" t="str">
        <f>"20200111160024962"</f>
        <v>20200111160024962</v>
      </c>
      <c r="B6299" t="str">
        <f>"1578729624957344"</f>
        <v>1578729624957344</v>
      </c>
      <c r="C6299" t="s">
        <v>37</v>
      </c>
      <c r="D6299">
        <v>5.568676</v>
      </c>
      <c r="E6299">
        <v>0.46392939999999999</v>
      </c>
      <c r="F6299" t="s">
        <v>39</v>
      </c>
      <c r="G6299">
        <v>-191.10550000000001</v>
      </c>
      <c r="H6299" s="1">
        <v>-1.548951E-6</v>
      </c>
      <c r="I6299">
        <v>-17.48593</v>
      </c>
      <c r="J6299">
        <v>-192.03290000000001</v>
      </c>
      <c r="K6299">
        <v>1.102571</v>
      </c>
      <c r="L6299">
        <v>-35.891419999999997</v>
      </c>
      <c r="M6299">
        <v>0.1904824</v>
      </c>
      <c r="N6299">
        <v>0</v>
      </c>
      <c r="O6299">
        <v>0.98168840000000002</v>
      </c>
      <c r="P6299">
        <v>0.1490388</v>
      </c>
      <c r="Q6299">
        <v>1.9837810000000001E-2</v>
      </c>
      <c r="R6299">
        <v>0.98863230000000002</v>
      </c>
      <c r="S6299">
        <v>0.1574554</v>
      </c>
      <c r="T6299">
        <v>-0.17825260000000001</v>
      </c>
      <c r="U6299">
        <v>3.0144039999999999</v>
      </c>
      <c r="V6299">
        <v>-4.200686E-2</v>
      </c>
      <c r="W6299">
        <v>1.778062E-2</v>
      </c>
      <c r="X6299">
        <v>0.99895909999999999</v>
      </c>
      <c r="Y6299">
        <v>-0.13910039999999901</v>
      </c>
      <c r="Z6299">
        <v>-5.7087430000000002E-2</v>
      </c>
      <c r="AA6299">
        <v>0.98863140000000005</v>
      </c>
      <c r="AB6299">
        <v>24</v>
      </c>
      <c r="AC6299">
        <v>0.927400000000005</v>
      </c>
      <c r="AD6299">
        <v>-1.1025725489509901</v>
      </c>
      <c r="AE6299">
        <v>18.40549</v>
      </c>
      <c r="AF6299">
        <v>-2.58625231437343</v>
      </c>
      <c r="AG6299">
        <v>-1.1025725489509901</v>
      </c>
      <c r="AH6299">
        <v>18.180074029026098</v>
      </c>
      <c r="AI6299">
        <v>93.436073925500395</v>
      </c>
      <c r="AJ6299">
        <v>98.0964310045253</v>
      </c>
      <c r="AK6299">
        <v>18.396180553587001</v>
      </c>
    </row>
    <row r="6300" spans="1:37" x14ac:dyDescent="0.2">
      <c r="A6300" t="str">
        <f>"20200111160024985"</f>
        <v>20200111160024985</v>
      </c>
      <c r="B6300" t="str">
        <f>"1578729624976865"</f>
        <v>1578729624976865</v>
      </c>
      <c r="C6300" t="s">
        <v>37</v>
      </c>
      <c r="D6300">
        <v>5.565925</v>
      </c>
      <c r="E6300">
        <v>0.4636827</v>
      </c>
      <c r="F6300" t="s">
        <v>39</v>
      </c>
      <c r="G6300">
        <v>-191.06639999999999</v>
      </c>
      <c r="H6300" s="1">
        <v>-1.876394E-6</v>
      </c>
      <c r="I6300">
        <v>-16.698350000000001</v>
      </c>
      <c r="J6300">
        <v>-191.9854</v>
      </c>
      <c r="K6300">
        <v>1.102668</v>
      </c>
      <c r="L6300">
        <v>-35.64676</v>
      </c>
      <c r="M6300">
        <v>0.19049739999999901</v>
      </c>
      <c r="N6300">
        <v>0</v>
      </c>
      <c r="O6300">
        <v>0.98168569999999999</v>
      </c>
      <c r="P6300">
        <v>0.14788199999999899</v>
      </c>
      <c r="Q6300">
        <v>1.8689540000000001E-2</v>
      </c>
      <c r="R6300">
        <v>0.98882839999999905</v>
      </c>
      <c r="S6300">
        <v>0.15184020000000001</v>
      </c>
      <c r="T6300">
        <v>-0.17320529999999901</v>
      </c>
      <c r="U6300">
        <v>3.0150759999999899</v>
      </c>
      <c r="V6300">
        <v>-4.3198970000000003E-2</v>
      </c>
      <c r="W6300">
        <v>1.6686449999999999E-2</v>
      </c>
      <c r="X6300">
        <v>0.99892709999999996</v>
      </c>
      <c r="Y6300">
        <v>-0.14095839999999901</v>
      </c>
      <c r="Z6300">
        <v>-5.5458739999999999E-2</v>
      </c>
      <c r="AA6300">
        <v>0.98846100000000003</v>
      </c>
      <c r="AB6300">
        <v>24</v>
      </c>
      <c r="AC6300">
        <v>0.91900000000001103</v>
      </c>
      <c r="AD6300">
        <v>-1.1026698763939999</v>
      </c>
      <c r="AE6300">
        <v>18.948409999999999</v>
      </c>
      <c r="AF6300">
        <v>-2.6983426217020301</v>
      </c>
      <c r="AG6300">
        <v>-1.1026698763939999</v>
      </c>
      <c r="AH6300">
        <v>18.713264178781301</v>
      </c>
      <c r="AI6300">
        <v>93.337784563159005</v>
      </c>
      <c r="AJ6300">
        <v>98.205159230293305</v>
      </c>
      <c r="AK6300">
        <v>18.938933179703099</v>
      </c>
    </row>
    <row r="6301" spans="1:37" x14ac:dyDescent="0.2">
      <c r="A6301" t="str">
        <f>"20200111160025007"</f>
        <v>20200111160025007</v>
      </c>
      <c r="B6301" t="str">
        <f>"1578729624997361"</f>
        <v>1578729624997361</v>
      </c>
      <c r="C6301" t="s">
        <v>37</v>
      </c>
      <c r="D6301">
        <v>5.6023949999999996</v>
      </c>
      <c r="E6301">
        <v>0.46330329999999897</v>
      </c>
      <c r="F6301" t="s">
        <v>39</v>
      </c>
      <c r="G6301">
        <v>-191.07149999999999</v>
      </c>
      <c r="H6301" s="1">
        <v>-1.8242409999999999E-6</v>
      </c>
      <c r="I6301">
        <v>-16.823090000000001</v>
      </c>
      <c r="J6301">
        <v>-191.9391</v>
      </c>
      <c r="K6301">
        <v>1.102759</v>
      </c>
      <c r="L6301">
        <v>-35.408110000000001</v>
      </c>
      <c r="M6301">
        <v>0.19034000000000001</v>
      </c>
      <c r="N6301">
        <v>0</v>
      </c>
      <c r="O6301">
        <v>0.98171629999999999</v>
      </c>
      <c r="P6301">
        <v>0.14712429999999899</v>
      </c>
      <c r="Q6301">
        <v>1.7632459999999999E-2</v>
      </c>
      <c r="R6301">
        <v>0.98896090000000003</v>
      </c>
      <c r="S6301">
        <v>0.14639279999999999</v>
      </c>
      <c r="T6301">
        <v>-0.17663409999999999</v>
      </c>
      <c r="U6301">
        <v>3.01532</v>
      </c>
      <c r="V6301">
        <v>-4.3810790000000002E-2</v>
      </c>
      <c r="W6301">
        <v>1.568951E-2</v>
      </c>
      <c r="X6301">
        <v>0.99891659999999904</v>
      </c>
      <c r="Y6301">
        <v>-0.14258779999999999</v>
      </c>
      <c r="Z6301">
        <v>-5.6546649999999997E-2</v>
      </c>
      <c r="AA6301">
        <v>0.98816559999999898</v>
      </c>
      <c r="AB6301">
        <v>24</v>
      </c>
      <c r="AC6301">
        <v>0.86760000000001003</v>
      </c>
      <c r="AD6301">
        <v>-1.1027608242410001</v>
      </c>
      <c r="AE6301">
        <v>18.58502</v>
      </c>
      <c r="AF6301">
        <v>-2.6763384763404501</v>
      </c>
      <c r="AG6301">
        <v>-1.1027608242410001</v>
      </c>
      <c r="AH6301">
        <v>18.345939729094098</v>
      </c>
      <c r="AI6301">
        <v>93.403924333317605</v>
      </c>
      <c r="AJ6301">
        <v>98.299863342561096</v>
      </c>
      <c r="AK6301">
        <v>18.572893517677201</v>
      </c>
    </row>
    <row r="6302" spans="1:37" x14ac:dyDescent="0.2">
      <c r="A6302" t="str">
        <f>"20200111160025028"</f>
        <v>20200111160025028</v>
      </c>
      <c r="B6302" t="str">
        <f>"1578729625016883"</f>
        <v>1578729625016883</v>
      </c>
      <c r="C6302" t="s">
        <v>37</v>
      </c>
      <c r="D6302">
        <v>5.5802180000000003</v>
      </c>
      <c r="E6302">
        <v>0.46287339999999999</v>
      </c>
      <c r="F6302" t="s">
        <v>39</v>
      </c>
      <c r="G6302">
        <v>-191.06909999999999</v>
      </c>
      <c r="H6302" s="1">
        <v>-1.8087350000000001E-6</v>
      </c>
      <c r="I6302">
        <v>-16.857779999999899</v>
      </c>
      <c r="J6302">
        <v>-191.89439999999999</v>
      </c>
      <c r="K6302">
        <v>1.1028469999999999</v>
      </c>
      <c r="L6302">
        <v>-35.176180000000002</v>
      </c>
      <c r="M6302">
        <v>0.19006410000000001</v>
      </c>
      <c r="N6302">
        <v>0</v>
      </c>
      <c r="O6302">
        <v>0.98176989999999997</v>
      </c>
      <c r="P6302">
        <v>0.146439299999999</v>
      </c>
      <c r="Q6302">
        <v>1.7307579999999999E-2</v>
      </c>
      <c r="R6302">
        <v>0.98906819999999895</v>
      </c>
      <c r="S6302">
        <v>0.1414337</v>
      </c>
      <c r="T6302">
        <v>-0.1792716</v>
      </c>
      <c r="U6302">
        <v>3.0156559999999999</v>
      </c>
      <c r="V6302">
        <v>-4.4226330000000001E-2</v>
      </c>
      <c r="W6302">
        <v>1.543014E-2</v>
      </c>
      <c r="X6302">
        <v>0.99890239999999997</v>
      </c>
      <c r="Y6302">
        <v>-0.14393819999999999</v>
      </c>
      <c r="Z6302">
        <v>-5.7382839999999997E-2</v>
      </c>
      <c r="AA6302">
        <v>0.98792150000000001</v>
      </c>
      <c r="AB6302">
        <v>24</v>
      </c>
      <c r="AC6302">
        <v>0.82529999999999804</v>
      </c>
      <c r="AD6302">
        <v>-1.1028488087349999</v>
      </c>
      <c r="AE6302">
        <v>18.3184</v>
      </c>
      <c r="AF6302">
        <v>-2.66179187149356</v>
      </c>
      <c r="AG6302">
        <v>-1.1028488087349999</v>
      </c>
      <c r="AH6302">
        <v>18.075960471614199</v>
      </c>
      <c r="AI6302">
        <v>93.454237985724305</v>
      </c>
      <c r="AJ6302">
        <v>98.376938569198799</v>
      </c>
      <c r="AK6302">
        <v>18.3041459356463</v>
      </c>
    </row>
    <row r="6303" spans="1:37" x14ac:dyDescent="0.2">
      <c r="A6303" t="str">
        <f>"20200111160025052"</f>
        <v>20200111160025052</v>
      </c>
      <c r="B6303" t="str">
        <f>"1578729625047136"</f>
        <v>1578729625047136</v>
      </c>
      <c r="C6303" t="s">
        <v>37</v>
      </c>
      <c r="D6303">
        <v>5.5961150000000002</v>
      </c>
      <c r="E6303">
        <v>0.46250979999999903</v>
      </c>
      <c r="F6303" t="s">
        <v>39</v>
      </c>
      <c r="G6303">
        <v>-191.06049999999999</v>
      </c>
      <c r="H6303" s="1">
        <v>-1.8787859999999999E-6</v>
      </c>
      <c r="I6303">
        <v>-16.689160000000001</v>
      </c>
      <c r="J6303">
        <v>-191.8433</v>
      </c>
      <c r="K6303">
        <v>1.102943</v>
      </c>
      <c r="L6303">
        <v>-34.910130000000002</v>
      </c>
      <c r="M6303">
        <v>0.1896002</v>
      </c>
      <c r="N6303">
        <v>0</v>
      </c>
      <c r="O6303">
        <v>0.98185979999999995</v>
      </c>
      <c r="P6303">
        <v>0.1452801</v>
      </c>
      <c r="Q6303">
        <v>1.7603239999999999E-2</v>
      </c>
      <c r="R6303">
        <v>0.98923399999999995</v>
      </c>
      <c r="S6303">
        <v>0.13604739999999901</v>
      </c>
      <c r="T6303">
        <v>-0.1799307</v>
      </c>
      <c r="U6303">
        <v>3.0161739999999999</v>
      </c>
      <c r="V6303">
        <v>-4.4927660000000001E-2</v>
      </c>
      <c r="W6303">
        <v>1.5806799999999999E-2</v>
      </c>
      <c r="X6303">
        <v>0.99886520000000001</v>
      </c>
      <c r="Y6303">
        <v>-0.14523939999999999</v>
      </c>
      <c r="Z6303">
        <v>-5.7587779999999998E-2</v>
      </c>
      <c r="AA6303">
        <v>0.98771919999999902</v>
      </c>
      <c r="AB6303">
        <v>25</v>
      </c>
      <c r="AC6303">
        <v>0.78280000000000804</v>
      </c>
      <c r="AD6303">
        <v>-1.1029448787859999</v>
      </c>
      <c r="AE6303">
        <v>18.220970000000001</v>
      </c>
      <c r="AF6303">
        <v>-2.6763157028097799</v>
      </c>
      <c r="AG6303">
        <v>-1.1029448787859999</v>
      </c>
      <c r="AH6303">
        <v>17.973151240516302</v>
      </c>
      <c r="AI6303">
        <v>93.473421655845698</v>
      </c>
      <c r="AJ6303">
        <v>98.469471114524694</v>
      </c>
      <c r="AK6303">
        <v>18.204760878990399</v>
      </c>
    </row>
    <row r="6304" spans="1:37" x14ac:dyDescent="0.2">
      <c r="A6304" t="str">
        <f>"20200111160025074"</f>
        <v>20200111160025074</v>
      </c>
      <c r="B6304" t="str">
        <f>"1578729625067633"</f>
        <v>1578729625067633</v>
      </c>
      <c r="C6304" t="s">
        <v>37</v>
      </c>
      <c r="D6304">
        <v>5.6600549999999998</v>
      </c>
      <c r="E6304">
        <v>0.53266999999999998</v>
      </c>
      <c r="F6304" t="s">
        <v>39</v>
      </c>
      <c r="G6304">
        <v>-191.00620000000001</v>
      </c>
      <c r="H6304" s="1">
        <v>-2.38305E-6</v>
      </c>
      <c r="I6304">
        <v>-15.480029999999999</v>
      </c>
      <c r="J6304">
        <v>-191.7971</v>
      </c>
      <c r="K6304">
        <v>1.103027</v>
      </c>
      <c r="L6304">
        <v>-34.667789999999997</v>
      </c>
      <c r="M6304">
        <v>0.18904279999999901</v>
      </c>
      <c r="N6304">
        <v>0</v>
      </c>
      <c r="O6304">
        <v>0.98196740000000005</v>
      </c>
      <c r="P6304">
        <v>0.14356529999999901</v>
      </c>
      <c r="Q6304">
        <v>1.7872079999999999E-2</v>
      </c>
      <c r="R6304">
        <v>0.98947949999999996</v>
      </c>
      <c r="S6304">
        <v>0.12995909999999999</v>
      </c>
      <c r="T6304">
        <v>-0.17123679999999999</v>
      </c>
      <c r="U6304">
        <v>3.0166019999999998</v>
      </c>
      <c r="V6304">
        <v>-4.6094780000000002E-2</v>
      </c>
      <c r="W6304">
        <v>1.6151990000000001E-2</v>
      </c>
      <c r="X6304">
        <v>0.99880650000000004</v>
      </c>
      <c r="Y6304">
        <v>-0.14666679999999899</v>
      </c>
      <c r="Z6304">
        <v>-5.4812029999999998E-2</v>
      </c>
      <c r="AA6304">
        <v>0.98766620000000005</v>
      </c>
      <c r="AB6304">
        <v>25</v>
      </c>
      <c r="AC6304">
        <v>0.79089999999999305</v>
      </c>
      <c r="AD6304">
        <v>-1.10302938305</v>
      </c>
      <c r="AE6304">
        <v>19.187760000000001</v>
      </c>
      <c r="AF6304">
        <v>-2.8413003343248402</v>
      </c>
      <c r="AG6304">
        <v>-1.10302938305</v>
      </c>
      <c r="AH6304">
        <v>18.928848624162399</v>
      </c>
      <c r="AI6304">
        <v>93.298125388173901</v>
      </c>
      <c r="AJ6304">
        <v>98.536606304831295</v>
      </c>
      <c r="AK6304">
        <v>19.172662090751999</v>
      </c>
    </row>
    <row r="6305" spans="1:37" x14ac:dyDescent="0.2">
      <c r="A6305" t="str">
        <f>"20200111160025096"</f>
        <v>20200111160025096</v>
      </c>
      <c r="B6305" t="str">
        <f>"1578729625087153"</f>
        <v>1578729625087153</v>
      </c>
      <c r="C6305" t="s">
        <v>37</v>
      </c>
      <c r="D6305">
        <v>5.5497540000000001</v>
      </c>
      <c r="E6305">
        <v>0.5339547</v>
      </c>
      <c r="F6305" t="s">
        <v>94</v>
      </c>
      <c r="G6305">
        <v>-167.40270000000001</v>
      </c>
      <c r="H6305">
        <v>2.187252</v>
      </c>
      <c r="I6305">
        <v>69.300700000000006</v>
      </c>
      <c r="J6305">
        <v>-191.75</v>
      </c>
      <c r="K6305">
        <v>1.103121</v>
      </c>
      <c r="L6305">
        <v>-34.419589999999999</v>
      </c>
      <c r="M6305">
        <v>0.18833129999999901</v>
      </c>
      <c r="N6305">
        <v>0</v>
      </c>
      <c r="O6305">
        <v>0.98210429999999904</v>
      </c>
      <c r="P6305">
        <v>0.1411126</v>
      </c>
      <c r="Q6305">
        <v>1.713011E-2</v>
      </c>
      <c r="R6305">
        <v>0.98984530000000004</v>
      </c>
      <c r="S6305">
        <v>0.68783570000000005</v>
      </c>
      <c r="T6305">
        <v>3.0571580000000001E-2</v>
      </c>
      <c r="U6305">
        <v>2.931549</v>
      </c>
      <c r="V6305">
        <v>-4.7851209999999998E-2</v>
      </c>
      <c r="W6305">
        <v>1.548831E-2</v>
      </c>
      <c r="X6305">
        <v>0.99873440000000002</v>
      </c>
      <c r="Y6305">
        <v>4.0977180000000002E-2</v>
      </c>
      <c r="Z6305">
        <v>1.0009759999999999E-2</v>
      </c>
      <c r="AA6305">
        <v>0.9991099</v>
      </c>
      <c r="AB6305">
        <v>25</v>
      </c>
      <c r="AC6305">
        <v>24.347299999999901</v>
      </c>
      <c r="AD6305">
        <v>1.084131</v>
      </c>
      <c r="AE6305">
        <v>103.72029000000001</v>
      </c>
      <c r="AF6305">
        <v>4.3773631010272398</v>
      </c>
      <c r="AG6305">
        <v>1.084131</v>
      </c>
      <c r="AH6305">
        <v>106.438611190991</v>
      </c>
      <c r="AI6305">
        <v>89.416926575397895</v>
      </c>
      <c r="AJ6305">
        <v>87.644997671119498</v>
      </c>
      <c r="AK6305">
        <v>106.534100643927</v>
      </c>
    </row>
    <row r="6306" spans="1:37" x14ac:dyDescent="0.2">
      <c r="A6306" t="str">
        <f>"20200111160025119"</f>
        <v>20200111160025119</v>
      </c>
      <c r="B6306" t="str">
        <f>"1578729625116940"</f>
        <v>1578729625116940</v>
      </c>
      <c r="C6306" t="s">
        <v>37</v>
      </c>
      <c r="D6306">
        <v>5.4977299999999998</v>
      </c>
      <c r="E6306">
        <v>0.46226250000000002</v>
      </c>
      <c r="F6306" t="s">
        <v>94</v>
      </c>
      <c r="G6306">
        <v>-167.27520000000001</v>
      </c>
      <c r="H6306">
        <v>2.890015</v>
      </c>
      <c r="I6306">
        <v>69.300929999999994</v>
      </c>
      <c r="J6306">
        <v>-191.70240000000001</v>
      </c>
      <c r="K6306">
        <v>1.1032200000000001</v>
      </c>
      <c r="L6306">
        <v>-34.166779999999903</v>
      </c>
      <c r="M6306">
        <v>0.187453799999999</v>
      </c>
      <c r="N6306">
        <v>0</v>
      </c>
      <c r="O6306">
        <v>0.98227229999999999</v>
      </c>
      <c r="P6306">
        <v>0.13812070000000001</v>
      </c>
      <c r="Q6306">
        <v>1.6802649999999999E-2</v>
      </c>
      <c r="R6306">
        <v>0.99027289999999901</v>
      </c>
      <c r="S6306">
        <v>0.69169619999999998</v>
      </c>
      <c r="T6306">
        <v>5.0500749999999997E-2</v>
      </c>
      <c r="U6306">
        <v>2.931305</v>
      </c>
      <c r="V6306">
        <v>-4.998147E-2</v>
      </c>
      <c r="W6306">
        <v>1.524086E-2</v>
      </c>
      <c r="X6306">
        <v>0.99863389999999996</v>
      </c>
      <c r="Y6306">
        <v>4.3114810000000003E-2</v>
      </c>
      <c r="Z6306">
        <v>1.6535870000000001E-2</v>
      </c>
      <c r="AA6306">
        <v>0.99893330000000002</v>
      </c>
      <c r="AB6306">
        <v>25</v>
      </c>
      <c r="AC6306">
        <v>24.427199999999999</v>
      </c>
      <c r="AD6306">
        <v>1.7867949999999999</v>
      </c>
      <c r="AE6306">
        <v>103.46771</v>
      </c>
      <c r="AF6306">
        <v>4.5974528934170804</v>
      </c>
      <c r="AG6306">
        <v>1.7867949999999999</v>
      </c>
      <c r="AH6306">
        <v>106.182559637452</v>
      </c>
      <c r="AI6306">
        <v>89.036844168913206</v>
      </c>
      <c r="AJ6306">
        <v>87.520777172347195</v>
      </c>
      <c r="AK6306">
        <v>106.297061016005</v>
      </c>
    </row>
    <row r="6307" spans="1:37" x14ac:dyDescent="0.2">
      <c r="A6307" t="str">
        <f>"20200111160025142"</f>
        <v>20200111160025142</v>
      </c>
      <c r="B6307" t="str">
        <f>"1578729625137435"</f>
        <v>1578729625137435</v>
      </c>
      <c r="C6307" t="s">
        <v>37</v>
      </c>
      <c r="D6307">
        <v>5.4839979999999997</v>
      </c>
      <c r="E6307">
        <v>0.4616866</v>
      </c>
      <c r="F6307" t="s">
        <v>39</v>
      </c>
      <c r="G6307">
        <v>-190.98570000000001</v>
      </c>
      <c r="H6307" s="1">
        <v>-3.039665E-6</v>
      </c>
      <c r="I6307">
        <v>-13.936739999999901</v>
      </c>
      <c r="J6307">
        <v>-191.65520000000001</v>
      </c>
      <c r="K6307">
        <v>1.1033329999999999</v>
      </c>
      <c r="L6307">
        <v>-33.914459999999998</v>
      </c>
      <c r="M6307">
        <v>0.1864191</v>
      </c>
      <c r="N6307">
        <v>0</v>
      </c>
      <c r="O6307">
        <v>0.98246929999999999</v>
      </c>
      <c r="P6307">
        <v>0.1357005</v>
      </c>
      <c r="Q6307">
        <v>1.5953430000000001E-2</v>
      </c>
      <c r="R6307">
        <v>0.99062139999999999</v>
      </c>
      <c r="S6307">
        <v>0.10688779999999901</v>
      </c>
      <c r="T6307">
        <v>-0.164547</v>
      </c>
      <c r="U6307">
        <v>3.017334</v>
      </c>
      <c r="V6307">
        <v>-5.1375339999999999E-2</v>
      </c>
      <c r="W6307">
        <v>1.4473710000000001E-2</v>
      </c>
      <c r="X6307">
        <v>0.99857459999999898</v>
      </c>
      <c r="Y6307">
        <v>-0.15156910000000001</v>
      </c>
      <c r="Z6307">
        <v>-5.2692570000000001E-2</v>
      </c>
      <c r="AA6307">
        <v>0.98704119999999995</v>
      </c>
      <c r="AB6307">
        <v>26</v>
      </c>
      <c r="AC6307">
        <v>0.66949999999999898</v>
      </c>
      <c r="AD6307">
        <v>-1.1033360396649901</v>
      </c>
      <c r="AE6307">
        <v>19.977720000000001</v>
      </c>
      <c r="AF6307">
        <v>-3.05715407007692</v>
      </c>
      <c r="AG6307">
        <v>-1.1033360396649901</v>
      </c>
      <c r="AH6307">
        <v>19.6923263392496</v>
      </c>
      <c r="AI6307">
        <v>93.168974810657005</v>
      </c>
      <c r="AJ6307">
        <v>98.824494209692901</v>
      </c>
      <c r="AK6307">
        <v>19.958738889922699</v>
      </c>
    </row>
    <row r="6308" spans="1:37" x14ac:dyDescent="0.2">
      <c r="A6308" t="str">
        <f>"20200111160025162"</f>
        <v>20200111160025162</v>
      </c>
      <c r="B6308" t="str">
        <f>"1578729625156956"</f>
        <v>1578729625156956</v>
      </c>
      <c r="C6308" t="s">
        <v>37</v>
      </c>
      <c r="D6308">
        <v>5.4492760000000002</v>
      </c>
      <c r="E6308">
        <v>0.46033279999999899</v>
      </c>
      <c r="F6308" t="s">
        <v>39</v>
      </c>
      <c r="G6308">
        <v>-191.01589999999999</v>
      </c>
      <c r="H6308" s="1">
        <v>-3.1886770000000001E-6</v>
      </c>
      <c r="I6308">
        <v>-13.6081</v>
      </c>
      <c r="J6308">
        <v>-191.61</v>
      </c>
      <c r="K6308">
        <v>1.1034489999999999</v>
      </c>
      <c r="L6308">
        <v>-33.670200000000001</v>
      </c>
      <c r="M6308">
        <v>0.18526049999999999</v>
      </c>
      <c r="N6308">
        <v>0</v>
      </c>
      <c r="O6308">
        <v>0.98268860000000002</v>
      </c>
      <c r="P6308">
        <v>0.13276379999999999</v>
      </c>
      <c r="Q6308">
        <v>1.548101E-2</v>
      </c>
      <c r="R6308">
        <v>0.99102679999999999</v>
      </c>
      <c r="S6308">
        <v>9.501648E-2</v>
      </c>
      <c r="T6308">
        <v>-0.1639835</v>
      </c>
      <c r="U6308">
        <v>3.0180359999999999</v>
      </c>
      <c r="V6308">
        <v>-5.3162090000000002E-2</v>
      </c>
      <c r="W6308">
        <v>1.4080840000000001E-2</v>
      </c>
      <c r="X6308">
        <v>0.9984866</v>
      </c>
      <c r="Y6308">
        <v>-0.1542888</v>
      </c>
      <c r="Z6308">
        <v>-5.2510109999999999E-2</v>
      </c>
      <c r="AA6308">
        <v>0.98662939999999999</v>
      </c>
      <c r="AB6308">
        <v>26</v>
      </c>
      <c r="AC6308">
        <v>0.59410000000002505</v>
      </c>
      <c r="AD6308">
        <v>-1.1034521886769999</v>
      </c>
      <c r="AE6308">
        <v>20.062100000000001</v>
      </c>
      <c r="AF6308">
        <v>-3.1234611647305801</v>
      </c>
      <c r="AG6308">
        <v>-1.1034521886769999</v>
      </c>
      <c r="AH6308">
        <v>19.7651355829673</v>
      </c>
      <c r="AI6308">
        <v>93.156316095565202</v>
      </c>
      <c r="AJ6308">
        <v>98.980122305015698</v>
      </c>
      <c r="AK6308">
        <v>20.040813381531098</v>
      </c>
    </row>
    <row r="6309" spans="1:37" x14ac:dyDescent="0.2">
      <c r="A6309" t="str">
        <f>"20200111160025186"</f>
        <v>20200111160025186</v>
      </c>
      <c r="B6309" t="str">
        <f>"1578729625177452"</f>
        <v>1578729625177452</v>
      </c>
      <c r="C6309" t="s">
        <v>37</v>
      </c>
      <c r="D6309">
        <v>5.4786159999999997</v>
      </c>
      <c r="E6309">
        <v>0.46083180000000001</v>
      </c>
      <c r="F6309" t="s">
        <v>39</v>
      </c>
      <c r="G6309">
        <v>-191.14179999999999</v>
      </c>
      <c r="H6309" s="1">
        <v>-2.7142059999999999E-6</v>
      </c>
      <c r="I6309">
        <v>-14.79214</v>
      </c>
      <c r="J6309">
        <v>-191.56139999999999</v>
      </c>
      <c r="K6309">
        <v>1.1035809999999999</v>
      </c>
      <c r="L6309">
        <v>-33.404879999999999</v>
      </c>
      <c r="M6309">
        <v>0.18382799999999999</v>
      </c>
      <c r="N6309">
        <v>0</v>
      </c>
      <c r="O6309">
        <v>0.98295769999999905</v>
      </c>
      <c r="P6309">
        <v>0.12983019999999901</v>
      </c>
      <c r="Q6309">
        <v>1.5514999999999999E-2</v>
      </c>
      <c r="R6309">
        <v>0.99141480000000004</v>
      </c>
      <c r="S6309">
        <v>7.4905399999999997E-2</v>
      </c>
      <c r="T6309">
        <v>-0.1765177</v>
      </c>
      <c r="U6309">
        <v>3.0198969999999998</v>
      </c>
      <c r="V6309">
        <v>-5.4666470000000002E-2</v>
      </c>
      <c r="W6309">
        <v>1.4201470000000001E-2</v>
      </c>
      <c r="X6309">
        <v>0.99840370000000001</v>
      </c>
      <c r="Y6309">
        <v>-0.1594361</v>
      </c>
      <c r="Z6309">
        <v>-5.6480559999999999E-2</v>
      </c>
      <c r="AA6309">
        <v>0.9855912</v>
      </c>
      <c r="AB6309">
        <v>26</v>
      </c>
      <c r="AC6309">
        <v>0.41960000000000203</v>
      </c>
      <c r="AD6309">
        <v>-1.1035837142059901</v>
      </c>
      <c r="AE6309">
        <v>18.612739999999999</v>
      </c>
      <c r="AF6309">
        <v>-2.9985597129400401</v>
      </c>
      <c r="AG6309">
        <v>-1.1035837142059901</v>
      </c>
      <c r="AH6309">
        <v>18.308352692530701</v>
      </c>
      <c r="AI6309">
        <v>93.404231873196096</v>
      </c>
      <c r="AJ6309">
        <v>99.301377525315999</v>
      </c>
      <c r="AK6309">
        <v>18.585075616752899</v>
      </c>
    </row>
    <row r="6310" spans="1:37" x14ac:dyDescent="0.2">
      <c r="A6310" t="str">
        <f>"20200111160025230"</f>
        <v>20200111160025230</v>
      </c>
      <c r="B6310" t="str">
        <f>"1578729625227228"</f>
        <v>1578729625227228</v>
      </c>
      <c r="C6310" t="s">
        <v>37</v>
      </c>
      <c r="D6310">
        <v>5.4294839999999898</v>
      </c>
      <c r="E6310">
        <v>0.45883170000000001</v>
      </c>
      <c r="F6310" t="s">
        <v>39</v>
      </c>
      <c r="G6310">
        <v>-191.10400000000001</v>
      </c>
      <c r="H6310" s="1">
        <v>-3.1684550000000001E-6</v>
      </c>
      <c r="I6310">
        <v>-13.709849999999999</v>
      </c>
      <c r="J6310">
        <v>-191.46780000000001</v>
      </c>
      <c r="K6310">
        <v>1.1038289999999999</v>
      </c>
      <c r="L6310">
        <v>-32.884340000000002</v>
      </c>
      <c r="M6310">
        <v>0.1805351</v>
      </c>
      <c r="N6310">
        <v>0</v>
      </c>
      <c r="O6310">
        <v>0.98356809999999995</v>
      </c>
      <c r="P6310">
        <v>0.12351760000000001</v>
      </c>
      <c r="Q6310">
        <v>1.740009E-2</v>
      </c>
      <c r="R6310">
        <v>0.99218980000000001</v>
      </c>
      <c r="S6310">
        <v>7.012939E-2</v>
      </c>
      <c r="T6310">
        <v>-0.16919029999999999</v>
      </c>
      <c r="U6310">
        <v>3.0194399999999999</v>
      </c>
      <c r="V6310">
        <v>-5.7686059999999997E-2</v>
      </c>
      <c r="W6310">
        <v>1.6256400000000001E-2</v>
      </c>
      <c r="X6310">
        <v>0.99820239999999905</v>
      </c>
      <c r="Y6310">
        <v>-0.1576813</v>
      </c>
      <c r="Z6310">
        <v>-5.4211549999999997E-2</v>
      </c>
      <c r="AA6310">
        <v>0.98600089999999996</v>
      </c>
      <c r="AB6310">
        <v>27</v>
      </c>
      <c r="AC6310">
        <v>0.36379999999999701</v>
      </c>
      <c r="AD6310">
        <v>-1.1038321684550001</v>
      </c>
      <c r="AE6310">
        <v>19.174489999999999</v>
      </c>
      <c r="AF6310">
        <v>-3.0935991070073801</v>
      </c>
      <c r="AG6310">
        <v>-1.1038321684550001</v>
      </c>
      <c r="AH6310">
        <v>18.862614537100999</v>
      </c>
      <c r="AI6310">
        <v>93.305049796985202</v>
      </c>
      <c r="AJ6310">
        <v>99.313984400633004</v>
      </c>
      <c r="AK6310">
        <v>19.146462547067198</v>
      </c>
    </row>
    <row r="6311" spans="1:37" x14ac:dyDescent="0.2">
      <c r="A6311" t="str">
        <f>"20200111160025253"</f>
        <v>20200111160025253</v>
      </c>
      <c r="B6311" t="str">
        <f>"1578729625247724"</f>
        <v>1578729625247724</v>
      </c>
      <c r="C6311" t="s">
        <v>37</v>
      </c>
      <c r="D6311">
        <v>5.4153199999999897</v>
      </c>
      <c r="E6311">
        <v>0.45812649999999999</v>
      </c>
      <c r="F6311" t="s">
        <v>39</v>
      </c>
      <c r="G6311">
        <v>-191.2304</v>
      </c>
      <c r="H6311" s="1">
        <v>-3.65844299999999E-6</v>
      </c>
      <c r="I6311">
        <v>-12.646100000000001</v>
      </c>
      <c r="J6311">
        <v>-191.41929999999999</v>
      </c>
      <c r="K6311">
        <v>1.103944</v>
      </c>
      <c r="L6311">
        <v>-32.609189999999998</v>
      </c>
      <c r="M6311">
        <v>0.1785986</v>
      </c>
      <c r="N6311">
        <v>0</v>
      </c>
      <c r="O6311">
        <v>0.98392159999999995</v>
      </c>
      <c r="P6311">
        <v>0.119301</v>
      </c>
      <c r="Q6311">
        <v>1.7639220000000001E-2</v>
      </c>
      <c r="R6311">
        <v>0.99270139999999996</v>
      </c>
      <c r="S6311">
        <v>3.5446169999999999E-2</v>
      </c>
      <c r="T6311">
        <v>-0.1648308</v>
      </c>
      <c r="U6311">
        <v>3.0220950000000002</v>
      </c>
      <c r="V6311">
        <v>-5.9966480000000003E-2</v>
      </c>
      <c r="W6311">
        <v>1.658155E-2</v>
      </c>
      <c r="X6311">
        <v>0.99806269999999997</v>
      </c>
      <c r="Y6311">
        <v>-0.1670615</v>
      </c>
      <c r="Z6311">
        <v>-5.2764180000000001E-2</v>
      </c>
      <c r="AA6311">
        <v>0.98453359999999901</v>
      </c>
      <c r="AB6311">
        <v>27</v>
      </c>
      <c r="AC6311">
        <v>0.18889999999998899</v>
      </c>
      <c r="AD6311">
        <v>-1.1039476584429999</v>
      </c>
      <c r="AE6311">
        <v>19.963090000000001</v>
      </c>
      <c r="AF6311">
        <v>-3.36921629489914</v>
      </c>
      <c r="AG6311">
        <v>-1.1039476584429999</v>
      </c>
      <c r="AH6311">
        <v>19.615880309192701</v>
      </c>
      <c r="AI6311">
        <v>93.174717412335596</v>
      </c>
      <c r="AJ6311">
        <v>99.746004133948105</v>
      </c>
      <c r="AK6311">
        <v>19.9337171440494</v>
      </c>
    </row>
    <row r="6312" spans="1:37" x14ac:dyDescent="0.2">
      <c r="A6312" t="str">
        <f>"20200111160025276"</f>
        <v>20200111160025276</v>
      </c>
      <c r="B6312" t="str">
        <f>"1578729625267244"</f>
        <v>1578729625267244</v>
      </c>
      <c r="C6312" t="s">
        <v>37</v>
      </c>
      <c r="D6312">
        <v>5.434431</v>
      </c>
      <c r="E6312">
        <v>0.45771450000000002</v>
      </c>
      <c r="F6312" t="s">
        <v>39</v>
      </c>
      <c r="G6312">
        <v>-191.3038</v>
      </c>
      <c r="H6312" s="1">
        <v>-3.8428339999999902E-6</v>
      </c>
      <c r="I6312">
        <v>-12.261799999999999</v>
      </c>
      <c r="J6312">
        <v>-191.3724</v>
      </c>
      <c r="K6312">
        <v>1.104042</v>
      </c>
      <c r="L6312">
        <v>-32.340089999999996</v>
      </c>
      <c r="M6312">
        <v>0.17659249999999899</v>
      </c>
      <c r="N6312">
        <v>0</v>
      </c>
      <c r="O6312">
        <v>0.98428369999999998</v>
      </c>
      <c r="P6312">
        <v>0.1148739</v>
      </c>
      <c r="Q6312">
        <v>1.7205020000000001E-2</v>
      </c>
      <c r="R6312">
        <v>0.99323109999999903</v>
      </c>
      <c r="S6312">
        <v>1.715088E-2</v>
      </c>
      <c r="T6312">
        <v>-0.164008399999999</v>
      </c>
      <c r="U6312">
        <v>3.0229189999999999</v>
      </c>
      <c r="V6312">
        <v>-6.2385250000000003E-2</v>
      </c>
      <c r="W6312">
        <v>1.62297E-2</v>
      </c>
      <c r="X6312">
        <v>0.99792019999999904</v>
      </c>
      <c r="Y6312">
        <v>-0.17101140000000001</v>
      </c>
      <c r="Z6312">
        <v>-5.24996E-2</v>
      </c>
      <c r="AA6312">
        <v>0.98386940000000001</v>
      </c>
      <c r="AB6312">
        <v>27</v>
      </c>
      <c r="AC6312">
        <v>6.8600000000003505E-2</v>
      </c>
      <c r="AD6312">
        <v>-1.1040458428340001</v>
      </c>
      <c r="AE6312">
        <v>20.078289999999999</v>
      </c>
      <c r="AF6312">
        <v>-3.46767012066698</v>
      </c>
      <c r="AG6312">
        <v>-1.1040458428340001</v>
      </c>
      <c r="AH6312">
        <v>19.715244779157601</v>
      </c>
      <c r="AI6312">
        <v>93.156834641081701</v>
      </c>
      <c r="AJ6312">
        <v>99.975591165521806</v>
      </c>
      <c r="AK6312">
        <v>20.048304915651801</v>
      </c>
    </row>
    <row r="6313" spans="1:37" x14ac:dyDescent="0.2">
      <c r="A6313" t="str">
        <f>"20200111160025297"</f>
        <v>20200111160025297</v>
      </c>
      <c r="B6313" t="str">
        <f>"1578729625286763"</f>
        <v>1578729625286763</v>
      </c>
      <c r="C6313" t="s">
        <v>37</v>
      </c>
      <c r="D6313">
        <v>5.3900069999999998</v>
      </c>
      <c r="E6313">
        <v>0.45747589999999999</v>
      </c>
      <c r="F6313" t="s">
        <v>39</v>
      </c>
      <c r="G6313">
        <v>-191.36779999999999</v>
      </c>
      <c r="H6313" s="1">
        <v>-4.029319E-6</v>
      </c>
      <c r="I6313">
        <v>-11.866769999999899</v>
      </c>
      <c r="J6313">
        <v>-191.32759999999999</v>
      </c>
      <c r="K6313">
        <v>1.104133</v>
      </c>
      <c r="L6313">
        <v>-32.078980000000001</v>
      </c>
      <c r="M6313">
        <v>0.17455090000000001</v>
      </c>
      <c r="N6313">
        <v>0</v>
      </c>
      <c r="O6313">
        <v>0.98464789999999902</v>
      </c>
      <c r="P6313">
        <v>0.1116176</v>
      </c>
      <c r="Q6313">
        <v>1.650623E-2</v>
      </c>
      <c r="R6313">
        <v>0.99361409999999994</v>
      </c>
      <c r="S6313">
        <v>6.866455E-4</v>
      </c>
      <c r="T6313">
        <v>-0.16302900000000001</v>
      </c>
      <c r="U6313">
        <v>3.023193</v>
      </c>
      <c r="V6313">
        <v>-6.3590209999999994E-2</v>
      </c>
      <c r="W6313">
        <v>1.5613220000000001E-2</v>
      </c>
      <c r="X6313">
        <v>0.99785389999999996</v>
      </c>
      <c r="Y6313">
        <v>-0.1743257</v>
      </c>
      <c r="Z6313">
        <v>-5.2196190000000003E-2</v>
      </c>
      <c r="AA6313">
        <v>0.9833037</v>
      </c>
      <c r="AB6313">
        <v>27</v>
      </c>
      <c r="AC6313">
        <v>-4.0199999999998598E-2</v>
      </c>
      <c r="AD6313">
        <v>-1.104137029319</v>
      </c>
      <c r="AE6313">
        <v>20.212209999999999</v>
      </c>
      <c r="AF6313">
        <v>-3.55702856891428</v>
      </c>
      <c r="AG6313">
        <v>-1.104137029319</v>
      </c>
      <c r="AH6313">
        <v>19.8357059480762</v>
      </c>
      <c r="AI6313">
        <v>93.136107859627998</v>
      </c>
      <c r="AJ6313">
        <v>100.16648209369001</v>
      </c>
      <c r="AK6313">
        <v>20.182338845587999</v>
      </c>
    </row>
    <row r="6314" spans="1:37" x14ac:dyDescent="0.2">
      <c r="A6314" t="str">
        <f>"20200111160025386"</f>
        <v>20200111160025386</v>
      </c>
      <c r="B6314" t="str">
        <f>"1578729625377160"</f>
        <v>1578729625377160</v>
      </c>
      <c r="C6314" t="s">
        <v>37</v>
      </c>
      <c r="D6314">
        <v>5.3793920000000002</v>
      </c>
      <c r="E6314">
        <v>0.45827609999999902</v>
      </c>
      <c r="F6314" t="s">
        <v>39</v>
      </c>
      <c r="G6314">
        <v>-191.4007</v>
      </c>
      <c r="H6314" s="1">
        <v>-4.0367779999999999E-6</v>
      </c>
      <c r="I6314">
        <v>-11.8697699999999</v>
      </c>
      <c r="J6314">
        <v>-191.1464</v>
      </c>
      <c r="K6314">
        <v>1.104484</v>
      </c>
      <c r="L6314">
        <v>-30.981780000000001</v>
      </c>
      <c r="M6314">
        <v>0.165187</v>
      </c>
      <c r="N6314">
        <v>0</v>
      </c>
      <c r="O6314">
        <v>0.98626229999999904</v>
      </c>
      <c r="P6314">
        <v>9.8472390000000007E-2</v>
      </c>
      <c r="Q6314">
        <v>1.8727549999999999E-2</v>
      </c>
      <c r="R6314">
        <v>0.9949635</v>
      </c>
      <c r="S6314">
        <v>-1.0925290000000001E-2</v>
      </c>
      <c r="T6314">
        <v>-0.16517660000000001</v>
      </c>
      <c r="U6314">
        <v>3.0232540000000001</v>
      </c>
      <c r="V6314">
        <v>-6.7317219999999997E-2</v>
      </c>
      <c r="W6314">
        <v>1.8168710000000001E-2</v>
      </c>
      <c r="X6314">
        <v>0.99756619999999996</v>
      </c>
      <c r="Y6314">
        <v>-0.16874310000000001</v>
      </c>
      <c r="Z6314">
        <v>-5.3038920000000003E-2</v>
      </c>
      <c r="AA6314">
        <v>0.984232</v>
      </c>
      <c r="AB6314">
        <v>28</v>
      </c>
      <c r="AC6314">
        <v>-0.25430000000000003</v>
      </c>
      <c r="AD6314">
        <v>-1.1044880367779999</v>
      </c>
      <c r="AE6314">
        <v>19.112010000000001</v>
      </c>
      <c r="AF6314">
        <v>-3.3965205804324499</v>
      </c>
      <c r="AG6314">
        <v>-1.1044880367779999</v>
      </c>
      <c r="AH6314">
        <v>18.744855853724498</v>
      </c>
      <c r="AI6314">
        <v>93.318185618490205</v>
      </c>
      <c r="AJ6314">
        <v>100.270416965123</v>
      </c>
      <c r="AK6314">
        <v>19.082082351085202</v>
      </c>
    </row>
    <row r="6315" spans="1:37" x14ac:dyDescent="0.2">
      <c r="A6315" t="str">
        <f>"20200111160025409"</f>
        <v>20200111160025409</v>
      </c>
      <c r="B6315" t="str">
        <f>"1578729625397655"</f>
        <v>1578729625397655</v>
      </c>
      <c r="C6315" t="s">
        <v>37</v>
      </c>
      <c r="D6315">
        <v>5.394215</v>
      </c>
      <c r="E6315">
        <v>0.45848709999999998</v>
      </c>
      <c r="F6315" t="s">
        <v>39</v>
      </c>
      <c r="G6315">
        <v>-191.4607</v>
      </c>
      <c r="H6315" s="1">
        <v>-7.4667290000000004E-7</v>
      </c>
      <c r="I6315">
        <v>-9.5763119999999997</v>
      </c>
      <c r="J6315">
        <v>-191.10120000000001</v>
      </c>
      <c r="K6315">
        <v>1.1045559999999901</v>
      </c>
      <c r="L6315">
        <v>-30.696349999999999</v>
      </c>
      <c r="M6315">
        <v>0.1626051</v>
      </c>
      <c r="N6315">
        <v>0</v>
      </c>
      <c r="O6315">
        <v>0.98669119999999999</v>
      </c>
      <c r="P6315">
        <v>9.48272E-2</v>
      </c>
      <c r="Q6315">
        <v>1.9882049999999998E-2</v>
      </c>
      <c r="R6315">
        <v>0.99529519999999905</v>
      </c>
      <c r="S6315">
        <v>-4.4372559999999998E-2</v>
      </c>
      <c r="T6315">
        <v>-0.15595690000000001</v>
      </c>
      <c r="U6315">
        <v>3.0225219999999999</v>
      </c>
      <c r="V6315">
        <v>-6.8364939999999999E-2</v>
      </c>
      <c r="W6315">
        <v>1.940683E-2</v>
      </c>
      <c r="X6315">
        <v>0.99747160000000001</v>
      </c>
      <c r="Y6315">
        <v>-0.17705090000000001</v>
      </c>
      <c r="Z6315">
        <v>-5.0091289999999997E-2</v>
      </c>
      <c r="AA6315">
        <v>0.98292619999999897</v>
      </c>
      <c r="AB6315">
        <v>28</v>
      </c>
      <c r="AC6315">
        <v>-0.35949999999999699</v>
      </c>
      <c r="AD6315">
        <v>-1.1045567466728901</v>
      </c>
      <c r="AE6315">
        <v>21.120038000000001</v>
      </c>
      <c r="AF6315">
        <v>-3.7786092848983799</v>
      </c>
      <c r="AG6315">
        <v>-1.1045567466728901</v>
      </c>
      <c r="AH6315">
        <v>20.7238326068505</v>
      </c>
      <c r="AI6315">
        <v>93.0015213402326</v>
      </c>
      <c r="AJ6315">
        <v>100.33331852529</v>
      </c>
      <c r="AK6315">
        <v>21.094434613217299</v>
      </c>
    </row>
    <row r="6316" spans="1:37" x14ac:dyDescent="0.2">
      <c r="A6316" t="str">
        <f>"20200111160025430"</f>
        <v>20200111160025430</v>
      </c>
      <c r="B6316" t="str">
        <f>"1578729625426905"</f>
        <v>1578729625426905</v>
      </c>
      <c r="C6316" t="s">
        <v>37</v>
      </c>
      <c r="D6316">
        <v>5.4179760000000003</v>
      </c>
      <c r="E6316">
        <v>0.45917619999999998</v>
      </c>
      <c r="F6316" t="s">
        <v>39</v>
      </c>
      <c r="G6316">
        <v>-191.48580000000001</v>
      </c>
      <c r="H6316" s="1">
        <v>-9.4387050000000001E-7</v>
      </c>
      <c r="I6316">
        <v>-9.1322050000000008</v>
      </c>
      <c r="J6316">
        <v>-191.059</v>
      </c>
      <c r="K6316">
        <v>1.1046069999999999</v>
      </c>
      <c r="L6316">
        <v>-30.42484</v>
      </c>
      <c r="M6316">
        <v>0.16012109999999999</v>
      </c>
      <c r="N6316">
        <v>0</v>
      </c>
      <c r="O6316">
        <v>0.98709740000000001</v>
      </c>
      <c r="P6316">
        <v>9.1245069999999998E-2</v>
      </c>
      <c r="Q6316">
        <v>2.0212089999999999E-2</v>
      </c>
      <c r="R6316">
        <v>0.99562340000000005</v>
      </c>
      <c r="S6316">
        <v>-5.3894039999999997E-2</v>
      </c>
      <c r="T6316">
        <v>-0.15481320000000001</v>
      </c>
      <c r="U6316">
        <v>3.0224000000000002</v>
      </c>
      <c r="V6316">
        <v>-6.9446880000000002E-2</v>
      </c>
      <c r="W6316">
        <v>1.9816360000000002E-2</v>
      </c>
      <c r="X6316">
        <v>0.99738879999999996</v>
      </c>
      <c r="Y6316">
        <v>-0.1776703</v>
      </c>
      <c r="Z6316">
        <v>-4.9753850000000002E-2</v>
      </c>
      <c r="AA6316">
        <v>0.98283149999999997</v>
      </c>
      <c r="AB6316">
        <v>29</v>
      </c>
      <c r="AC6316">
        <v>-0.42679999999998502</v>
      </c>
      <c r="AD6316">
        <v>-1.1046079438705001</v>
      </c>
      <c r="AE6316">
        <v>21.292635000000001</v>
      </c>
      <c r="AF6316">
        <v>-3.8204155785857599</v>
      </c>
      <c r="AG6316">
        <v>-1.1046079438705001</v>
      </c>
      <c r="AH6316">
        <v>20.8933573904688</v>
      </c>
      <c r="AI6316">
        <v>92.977075427296299</v>
      </c>
      <c r="AJ6316">
        <v>100.36223604310599</v>
      </c>
      <c r="AK6316">
        <v>21.268477071681001</v>
      </c>
    </row>
    <row r="6317" spans="1:37" x14ac:dyDescent="0.2">
      <c r="A6317" t="str">
        <f>"20200111160025446"</f>
        <v>20200111160025446</v>
      </c>
      <c r="B6317" t="str">
        <f>"1578729625437642"</f>
        <v>1578729625437642</v>
      </c>
      <c r="C6317" t="s">
        <v>37</v>
      </c>
      <c r="D6317">
        <v>5.5079219999999998</v>
      </c>
      <c r="E6317">
        <v>0.45950049999999998</v>
      </c>
      <c r="F6317" t="s">
        <v>39</v>
      </c>
      <c r="G6317">
        <v>-191.49870000000001</v>
      </c>
      <c r="H6317" s="1">
        <v>-1.413896E-6</v>
      </c>
      <c r="I6317">
        <v>-8.0446000000000009</v>
      </c>
      <c r="J6317">
        <v>-191.0266</v>
      </c>
      <c r="K6317">
        <v>1.1046450000000001</v>
      </c>
      <c r="L6317">
        <v>-30.213959999999901</v>
      </c>
      <c r="M6317">
        <v>0.1581796</v>
      </c>
      <c r="N6317">
        <v>0</v>
      </c>
      <c r="O6317">
        <v>0.98741039999999902</v>
      </c>
      <c r="P6317">
        <v>8.8607130000000006E-2</v>
      </c>
      <c r="Q6317">
        <v>2.0351480000000002E-2</v>
      </c>
      <c r="R6317">
        <v>0.99585869999999999</v>
      </c>
      <c r="S6317">
        <v>-5.937195E-2</v>
      </c>
      <c r="T6317">
        <v>-0.14913870000000001</v>
      </c>
      <c r="U6317">
        <v>3.0216669999999999</v>
      </c>
      <c r="V6317">
        <v>-7.0129999999999998E-2</v>
      </c>
      <c r="W6317">
        <v>2.0017549999999999E-2</v>
      </c>
      <c r="X6317">
        <v>0.99733700000000003</v>
      </c>
      <c r="Y6317">
        <v>-0.17752229999999999</v>
      </c>
      <c r="Z6317">
        <v>-4.7969209999999998E-2</v>
      </c>
      <c r="AA6317">
        <v>0.98294699999999902</v>
      </c>
      <c r="AB6317">
        <v>29</v>
      </c>
      <c r="AC6317">
        <v>-0.47210000000001101</v>
      </c>
      <c r="AD6317">
        <v>-1.1046464138959999</v>
      </c>
      <c r="AE6317">
        <v>22.169360000000001</v>
      </c>
      <c r="AF6317">
        <v>-3.9630617838792501</v>
      </c>
      <c r="AG6317">
        <v>-1.1046464138959999</v>
      </c>
      <c r="AH6317">
        <v>21.761574158652</v>
      </c>
      <c r="AI6317">
        <v>92.8589732921577</v>
      </c>
      <c r="AJ6317">
        <v>100.32118730908201</v>
      </c>
      <c r="AK6317">
        <v>22.1470587723311</v>
      </c>
    </row>
    <row r="6318" spans="1:37" x14ac:dyDescent="0.2">
      <c r="A6318" t="str">
        <f>"20200111160025465"</f>
        <v>20200111160025465</v>
      </c>
      <c r="B6318" t="str">
        <f>"1578729625457162"</f>
        <v>1578729625457162</v>
      </c>
      <c r="C6318" t="s">
        <v>37</v>
      </c>
      <c r="D6318">
        <v>5.4330160000000003</v>
      </c>
      <c r="E6318">
        <v>0.45958890000000002</v>
      </c>
      <c r="F6318" t="s">
        <v>39</v>
      </c>
      <c r="G6318">
        <v>-191.5129</v>
      </c>
      <c r="H6318" s="1">
        <v>-1.6514139999999999E-6</v>
      </c>
      <c r="I6318">
        <v>-7.499727</v>
      </c>
      <c r="J6318">
        <v>-190.98990000000001</v>
      </c>
      <c r="K6318">
        <v>1.1046899999999999</v>
      </c>
      <c r="L6318">
        <v>-29.971620000000001</v>
      </c>
      <c r="M6318">
        <v>0.15593799999999999</v>
      </c>
      <c r="N6318">
        <v>0</v>
      </c>
      <c r="O6318">
        <v>0.9877669</v>
      </c>
      <c r="P6318">
        <v>8.5477990000000004E-2</v>
      </c>
      <c r="Q6318">
        <v>2.0728799999999999E-2</v>
      </c>
      <c r="R6318">
        <v>0.99612440000000002</v>
      </c>
      <c r="S6318">
        <v>-6.4682009999999998E-2</v>
      </c>
      <c r="T6318">
        <v>-0.14693000000000001</v>
      </c>
      <c r="U6318">
        <v>3.0212400000000001</v>
      </c>
      <c r="V6318">
        <v>-7.1001980000000006E-2</v>
      </c>
      <c r="W6318">
        <v>2.0466149999999999E-2</v>
      </c>
      <c r="X6318">
        <v>0.99726619999999999</v>
      </c>
      <c r="Y6318">
        <v>-0.17701889999999901</v>
      </c>
      <c r="Z6318">
        <v>-4.7294429999999998E-2</v>
      </c>
      <c r="AA6318">
        <v>0.98307049999999996</v>
      </c>
      <c r="AB6318">
        <v>29</v>
      </c>
      <c r="AC6318">
        <v>-0.52299999999999602</v>
      </c>
      <c r="AD6318">
        <v>-1.1046916514139999</v>
      </c>
      <c r="AE6318">
        <v>22.471893000000001</v>
      </c>
      <c r="AF6318">
        <v>-4.01113590099507</v>
      </c>
      <c r="AG6318">
        <v>-1.1046916514139999</v>
      </c>
      <c r="AH6318">
        <v>22.062149023288999</v>
      </c>
      <c r="AI6318">
        <v>92.820351042168696</v>
      </c>
      <c r="AJ6318">
        <v>100.30443438410001</v>
      </c>
      <c r="AK6318">
        <v>22.451012769734199</v>
      </c>
    </row>
    <row r="6319" spans="1:37" x14ac:dyDescent="0.2">
      <c r="A6319" t="str">
        <f>"20200111160025488"</f>
        <v>20200111160025488</v>
      </c>
      <c r="B6319" t="str">
        <f>"1578729625476695"</f>
        <v>1578729625476695</v>
      </c>
      <c r="C6319" t="s">
        <v>37</v>
      </c>
      <c r="D6319">
        <v>5.4624559999999898</v>
      </c>
      <c r="E6319">
        <v>0.45987470000000003</v>
      </c>
      <c r="F6319" t="s">
        <v>39</v>
      </c>
      <c r="G6319">
        <v>-191.5385</v>
      </c>
      <c r="H6319" s="1">
        <v>-1.6694909999999901E-6</v>
      </c>
      <c r="I6319">
        <v>-7.4734449999999999</v>
      </c>
      <c r="J6319">
        <v>-190.94669999999999</v>
      </c>
      <c r="K6319">
        <v>1.10473</v>
      </c>
      <c r="L6319">
        <v>-29.680509999999899</v>
      </c>
      <c r="M6319">
        <v>0.1532386</v>
      </c>
      <c r="N6319">
        <v>0</v>
      </c>
      <c r="O6319">
        <v>0.98818919999999999</v>
      </c>
      <c r="P6319">
        <v>8.2410570000000002E-2</v>
      </c>
      <c r="Q6319">
        <v>2.1218770000000001E-2</v>
      </c>
      <c r="R6319">
        <v>0.99637260000000005</v>
      </c>
      <c r="S6319">
        <v>-7.3654170000000005E-2</v>
      </c>
      <c r="T6319">
        <v>-0.14833959999999999</v>
      </c>
      <c r="U6319">
        <v>3.0210880000000002</v>
      </c>
      <c r="V6319">
        <v>-7.1350650000000002E-2</v>
      </c>
      <c r="W6319">
        <v>2.104396E-2</v>
      </c>
      <c r="X6319">
        <v>0.99722929999999999</v>
      </c>
      <c r="Y6319">
        <v>-0.1772483</v>
      </c>
      <c r="Z6319">
        <v>-4.7777880000000002E-2</v>
      </c>
      <c r="AA6319">
        <v>0.98300580000000004</v>
      </c>
      <c r="AB6319">
        <v>29</v>
      </c>
      <c r="AC6319">
        <v>-0.59180000000000599</v>
      </c>
      <c r="AD6319">
        <v>-1.1047316694910001</v>
      </c>
      <c r="AE6319">
        <v>22.207065</v>
      </c>
      <c r="AF6319">
        <v>-3.9779525414689099</v>
      </c>
      <c r="AG6319">
        <v>-1.1047316694910001</v>
      </c>
      <c r="AH6319">
        <v>21.800183880122901</v>
      </c>
      <c r="AI6319">
        <v>92.853956881373193</v>
      </c>
      <c r="AJ6319">
        <v>100.341179311952</v>
      </c>
      <c r="AK6319">
        <v>22.187666747338</v>
      </c>
    </row>
    <row r="6320" spans="1:37" x14ac:dyDescent="0.2">
      <c r="A6320" t="str">
        <f>"20200111160025510"</f>
        <v>20200111160025510</v>
      </c>
      <c r="B6320" t="str">
        <f>"1578729625506938"</f>
        <v>1578729625506938</v>
      </c>
      <c r="C6320" t="s">
        <v>37</v>
      </c>
      <c r="D6320">
        <v>5.4932790000000002</v>
      </c>
      <c r="E6320">
        <v>0.46041679999999902</v>
      </c>
      <c r="F6320" t="s">
        <v>39</v>
      </c>
      <c r="G6320">
        <v>-191.54390000000001</v>
      </c>
      <c r="H6320" s="1">
        <v>-1.7034770000000001E-6</v>
      </c>
      <c r="I6320">
        <v>-7.3976249999999997</v>
      </c>
      <c r="J6320">
        <v>-190.9049</v>
      </c>
      <c r="K6320">
        <v>1.1047670000000001</v>
      </c>
      <c r="L6320">
        <v>-29.393979999999999</v>
      </c>
      <c r="M6320">
        <v>0.15057879999999901</v>
      </c>
      <c r="N6320">
        <v>0</v>
      </c>
      <c r="O6320">
        <v>0.98859799999999998</v>
      </c>
      <c r="P6320">
        <v>7.9825320000000005E-2</v>
      </c>
      <c r="Q6320">
        <v>2.2226470000000002E-2</v>
      </c>
      <c r="R6320">
        <v>0.99656109999999898</v>
      </c>
      <c r="S6320">
        <v>-8.0963129999999994E-2</v>
      </c>
      <c r="T6320">
        <v>-0.1497647</v>
      </c>
      <c r="U6320">
        <v>3.020813</v>
      </c>
      <c r="V6320">
        <v>-7.1258139999999998E-2</v>
      </c>
      <c r="W6320">
        <v>2.2140429999999999E-2</v>
      </c>
      <c r="X6320">
        <v>0.99721219999999999</v>
      </c>
      <c r="Y6320">
        <v>-0.17697839999999901</v>
      </c>
      <c r="Z6320">
        <v>-4.8270159999999999E-2</v>
      </c>
      <c r="AA6320">
        <v>0.98303030000000002</v>
      </c>
      <c r="AB6320">
        <v>29</v>
      </c>
      <c r="AC6320">
        <v>-0.63900000000001</v>
      </c>
      <c r="AD6320">
        <v>-1.104768703477</v>
      </c>
      <c r="AE6320">
        <v>21.996355000000001</v>
      </c>
      <c r="AF6320">
        <v>-3.9339835636746399</v>
      </c>
      <c r="AG6320">
        <v>-1.104768703477</v>
      </c>
      <c r="AH6320">
        <v>21.594904435533302</v>
      </c>
      <c r="AI6320">
        <v>92.881290323992999</v>
      </c>
      <c r="AJ6320">
        <v>100.324460174569</v>
      </c>
      <c r="AK6320">
        <v>21.978094506741499</v>
      </c>
    </row>
    <row r="6321" spans="1:37" x14ac:dyDescent="0.2">
      <c r="A6321" t="str">
        <f>"20200111160025531"</f>
        <v>20200111160025531</v>
      </c>
      <c r="B6321" t="str">
        <f>"1578729625527434"</f>
        <v>1578729625527434</v>
      </c>
      <c r="C6321" t="s">
        <v>37</v>
      </c>
      <c r="D6321">
        <v>5.4930699999999897</v>
      </c>
      <c r="E6321">
        <v>0.460953</v>
      </c>
      <c r="F6321" t="s">
        <v>39</v>
      </c>
      <c r="G6321">
        <v>-191.53049999999999</v>
      </c>
      <c r="H6321" s="1">
        <v>-1.8679609999999999E-6</v>
      </c>
      <c r="I6321">
        <v>-7.0058649999999902</v>
      </c>
      <c r="J6321">
        <v>-190.8664</v>
      </c>
      <c r="K6321">
        <v>1.1048069999999901</v>
      </c>
      <c r="L6321">
        <v>-29.125309999999999</v>
      </c>
      <c r="M6321">
        <v>0.14808460000000001</v>
      </c>
      <c r="N6321">
        <v>0</v>
      </c>
      <c r="O6321">
        <v>0.98897459999999904</v>
      </c>
      <c r="P6321">
        <v>7.7541079999999998E-2</v>
      </c>
      <c r="Q6321">
        <v>2.3524799999999998E-2</v>
      </c>
      <c r="R6321">
        <v>0.99671160000000003</v>
      </c>
      <c r="S6321">
        <v>-8.4396360000000004E-2</v>
      </c>
      <c r="T6321">
        <v>-0.1490476</v>
      </c>
      <c r="U6321">
        <v>3.0204469999999999</v>
      </c>
      <c r="V6321">
        <v>-7.1032869999999998E-2</v>
      </c>
      <c r="W6321">
        <v>2.3521940000000002E-2</v>
      </c>
      <c r="X6321">
        <v>0.99719659999999999</v>
      </c>
      <c r="Y6321">
        <v>-0.17561559999999901</v>
      </c>
      <c r="Z6321">
        <v>-4.807852E-2</v>
      </c>
      <c r="AA6321">
        <v>0.98328409999999999</v>
      </c>
      <c r="AB6321">
        <v>29</v>
      </c>
      <c r="AC6321">
        <v>-0.66409999999999003</v>
      </c>
      <c r="AD6321">
        <v>-1.104808867961</v>
      </c>
      <c r="AE6321">
        <v>22.119444999999999</v>
      </c>
      <c r="AF6321">
        <v>-3.92255063037158</v>
      </c>
      <c r="AG6321">
        <v>-1.104808867961</v>
      </c>
      <c r="AH6321">
        <v>21.7230836670606</v>
      </c>
      <c r="AI6321">
        <v>92.865225490427804</v>
      </c>
      <c r="AJ6321">
        <v>100.235638498113</v>
      </c>
      <c r="AK6321">
        <v>22.102021855221</v>
      </c>
    </row>
    <row r="6322" spans="1:37" x14ac:dyDescent="0.2">
      <c r="A6322" t="str">
        <f>"20200111160025554"</f>
        <v>20200111160025554</v>
      </c>
      <c r="B6322" t="str">
        <f>"1578729625546954"</f>
        <v>1578729625546954</v>
      </c>
      <c r="C6322" t="s">
        <v>37</v>
      </c>
      <c r="D6322">
        <v>5.5030749999999999</v>
      </c>
      <c r="E6322">
        <v>0.46135209999999999</v>
      </c>
      <c r="F6322" t="s">
        <v>39</v>
      </c>
      <c r="G6322">
        <v>-191.53649999999999</v>
      </c>
      <c r="H6322" s="1">
        <v>-2.3299860000000002E-6</v>
      </c>
      <c r="I6322">
        <v>-5.9325779999999897</v>
      </c>
      <c r="J6322">
        <v>-190.8228</v>
      </c>
      <c r="K6322">
        <v>1.104851</v>
      </c>
      <c r="L6322">
        <v>-28.814820000000001</v>
      </c>
      <c r="M6322">
        <v>0.1452031</v>
      </c>
      <c r="N6322">
        <v>0</v>
      </c>
      <c r="O6322">
        <v>0.9894018</v>
      </c>
      <c r="P6322">
        <v>7.5113460000000007E-2</v>
      </c>
      <c r="Q6322">
        <v>2.44324E-2</v>
      </c>
      <c r="R6322">
        <v>0.99687559999999997</v>
      </c>
      <c r="S6322">
        <v>-8.7249759999999996E-2</v>
      </c>
      <c r="T6322">
        <v>-0.14386460000000001</v>
      </c>
      <c r="U6322">
        <v>3.0200809999999998</v>
      </c>
      <c r="V6322">
        <v>-7.0559940000000002E-2</v>
      </c>
      <c r="W6322">
        <v>2.4527299999999998E-2</v>
      </c>
      <c r="X6322">
        <v>0.99720599999999904</v>
      </c>
      <c r="Y6322">
        <v>-0.17368159999999999</v>
      </c>
      <c r="Z6322">
        <v>-4.6454099999999998E-2</v>
      </c>
      <c r="AA6322">
        <v>0.98370559999999996</v>
      </c>
      <c r="AB6322">
        <v>30</v>
      </c>
      <c r="AC6322">
        <v>-0.71369999999998801</v>
      </c>
      <c r="AD6322">
        <v>-1.1048533299859999</v>
      </c>
      <c r="AE6322">
        <v>22.882242000000002</v>
      </c>
      <c r="AF6322">
        <v>-4.0193473175985703</v>
      </c>
      <c r="AG6322">
        <v>-1.1048533299859999</v>
      </c>
      <c r="AH6322">
        <v>22.483734454952799</v>
      </c>
      <c r="AI6322">
        <v>92.769424208614694</v>
      </c>
      <c r="AJ6322">
        <v>100.135524406863</v>
      </c>
      <c r="AK6322">
        <v>22.866879296945999</v>
      </c>
    </row>
    <row r="6323" spans="1:37" x14ac:dyDescent="0.2">
      <c r="A6323" t="str">
        <f>"20200111160025576"</f>
        <v>20200111160025576</v>
      </c>
      <c r="B6323" t="str">
        <f>"1578729625567449"</f>
        <v>1578729625567449</v>
      </c>
      <c r="C6323" t="s">
        <v>37</v>
      </c>
      <c r="D6323">
        <v>5.5367739999999896</v>
      </c>
      <c r="E6323">
        <v>0.461840799999999</v>
      </c>
      <c r="F6323" t="s">
        <v>39</v>
      </c>
      <c r="G6323">
        <v>-191.53540000000001</v>
      </c>
      <c r="H6323" s="1">
        <v>-2.5950519999999999E-6</v>
      </c>
      <c r="I6323">
        <v>-5.3140499999999999</v>
      </c>
      <c r="J6323">
        <v>-190.7826</v>
      </c>
      <c r="K6323">
        <v>1.104887</v>
      </c>
      <c r="L6323">
        <v>-28.523219999999998</v>
      </c>
      <c r="M6323">
        <v>0.1424985</v>
      </c>
      <c r="N6323">
        <v>0</v>
      </c>
      <c r="O6323">
        <v>0.98979490000000003</v>
      </c>
      <c r="P6323">
        <v>7.3183369999999998E-2</v>
      </c>
      <c r="Q6323">
        <v>2.4646499999999998E-2</v>
      </c>
      <c r="R6323">
        <v>0.99701390000000001</v>
      </c>
      <c r="S6323">
        <v>-9.1567990000000002E-2</v>
      </c>
      <c r="T6323">
        <v>-0.14197019999999999</v>
      </c>
      <c r="U6323">
        <v>3.0197750000000001</v>
      </c>
      <c r="V6323">
        <v>-6.9768159999999996E-2</v>
      </c>
      <c r="W6323">
        <v>2.4834769999999999E-2</v>
      </c>
      <c r="X6323">
        <v>0.99725409999999903</v>
      </c>
      <c r="Y6323">
        <v>-0.1723992</v>
      </c>
      <c r="Z6323">
        <v>-4.5880360000000002E-2</v>
      </c>
      <c r="AA6323">
        <v>0.98395809999999995</v>
      </c>
      <c r="AB6323">
        <v>30</v>
      </c>
      <c r="AC6323">
        <v>-0.75280000000000702</v>
      </c>
      <c r="AD6323">
        <v>-1.1048895950519999</v>
      </c>
      <c r="AE6323">
        <v>23.20917</v>
      </c>
      <c r="AF6323">
        <v>-4.0432364041318696</v>
      </c>
      <c r="AG6323">
        <v>-1.1048895950519999</v>
      </c>
      <c r="AH6323">
        <v>22.813400088209502</v>
      </c>
      <c r="AI6323">
        <v>92.730277406698505</v>
      </c>
      <c r="AJ6323">
        <v>100.050213934597</v>
      </c>
      <c r="AK6323">
        <v>23.195253075180499</v>
      </c>
    </row>
    <row r="6324" spans="1:37" x14ac:dyDescent="0.2">
      <c r="A6324" t="str">
        <f>"20200111160025600"</f>
        <v>20200111160025600</v>
      </c>
      <c r="B6324" t="str">
        <f>"1578729625597707"</f>
        <v>1578729625597707</v>
      </c>
      <c r="C6324" t="s">
        <v>37</v>
      </c>
      <c r="D6324">
        <v>5.5497759999999996</v>
      </c>
      <c r="E6324">
        <v>0.46259509999999998</v>
      </c>
      <c r="F6324" t="s">
        <v>39</v>
      </c>
      <c r="G6324">
        <v>-191.50720000000001</v>
      </c>
      <c r="H6324" s="1">
        <v>-2.6519439999999999E-6</v>
      </c>
      <c r="I6324">
        <v>-5.1639489999999997</v>
      </c>
      <c r="J6324">
        <v>-190.74010000000001</v>
      </c>
      <c r="K6324">
        <v>1.1049309999999899</v>
      </c>
      <c r="L6324">
        <v>-28.207729999999898</v>
      </c>
      <c r="M6324">
        <v>0.13957349999999999</v>
      </c>
      <c r="N6324">
        <v>0</v>
      </c>
      <c r="O6324">
        <v>0.99021150000000002</v>
      </c>
      <c r="P6324">
        <v>7.0810440000000002E-2</v>
      </c>
      <c r="Q6324">
        <v>2.4926759999999999E-2</v>
      </c>
      <c r="R6324">
        <v>0.99717829999999996</v>
      </c>
      <c r="S6324">
        <v>-9.3658450000000004E-2</v>
      </c>
      <c r="T6324">
        <v>-0.1428161</v>
      </c>
      <c r="U6324">
        <v>3.0193789999999998</v>
      </c>
      <c r="V6324">
        <v>-6.9197330000000001E-2</v>
      </c>
      <c r="W6324">
        <v>2.521373E-2</v>
      </c>
      <c r="X6324">
        <v>0.99728430000000001</v>
      </c>
      <c r="Y6324">
        <v>-0.17017260000000001</v>
      </c>
      <c r="Z6324">
        <v>-4.6197370000000001E-2</v>
      </c>
      <c r="AA6324">
        <v>0.98433079999999995</v>
      </c>
      <c r="AB6324">
        <v>30</v>
      </c>
      <c r="AC6324">
        <v>-0.767099999999999</v>
      </c>
      <c r="AD6324">
        <v>-1.1049336519439901</v>
      </c>
      <c r="AE6324">
        <v>23.043780999999999</v>
      </c>
      <c r="AF6324">
        <v>-3.9667831665042499</v>
      </c>
      <c r="AG6324">
        <v>-1.1049336519439901</v>
      </c>
      <c r="AH6324">
        <v>22.659116170805</v>
      </c>
      <c r="AI6324">
        <v>92.7499651444638</v>
      </c>
      <c r="AJ6324">
        <v>99.929773143349493</v>
      </c>
      <c r="AK6324">
        <v>23.030236488305899</v>
      </c>
    </row>
    <row r="6325" spans="1:37" x14ac:dyDescent="0.2">
      <c r="A6325" t="str">
        <f>"20200111160025624"</f>
        <v>20200111160025624</v>
      </c>
      <c r="B6325" t="str">
        <f>"1578729625617226"</f>
        <v>1578729625617226</v>
      </c>
      <c r="C6325" t="s">
        <v>37</v>
      </c>
      <c r="D6325">
        <v>5.5777760000000001</v>
      </c>
      <c r="E6325">
        <v>0.46299579999999901</v>
      </c>
      <c r="F6325" t="s">
        <v>39</v>
      </c>
      <c r="G6325">
        <v>-191.4683</v>
      </c>
      <c r="H6325" s="1">
        <v>-2.705469E-6</v>
      </c>
      <c r="I6325">
        <v>-5.0150379999999997</v>
      </c>
      <c r="J6325">
        <v>-190.6986</v>
      </c>
      <c r="K6325">
        <v>1.104965</v>
      </c>
      <c r="L6325">
        <v>-27.893859999999901</v>
      </c>
      <c r="M6325">
        <v>0.13666449999999999</v>
      </c>
      <c r="N6325">
        <v>0</v>
      </c>
      <c r="O6325">
        <v>0.99061710000000003</v>
      </c>
      <c r="P6325">
        <v>6.8576020000000001E-2</v>
      </c>
      <c r="Q6325">
        <v>2.4866559999999999E-2</v>
      </c>
      <c r="R6325">
        <v>0.997336</v>
      </c>
      <c r="S6325">
        <v>-9.47876E-2</v>
      </c>
      <c r="T6325">
        <v>-0.14382</v>
      </c>
      <c r="U6325">
        <v>3.018799</v>
      </c>
      <c r="V6325">
        <v>-6.8505339999999998E-2</v>
      </c>
      <c r="W6325">
        <v>2.5252819999999999E-2</v>
      </c>
      <c r="X6325">
        <v>0.99733109999999903</v>
      </c>
      <c r="Y6325">
        <v>-0.16765099999999999</v>
      </c>
      <c r="Z6325">
        <v>-4.6569239999999998E-2</v>
      </c>
      <c r="AA6325">
        <v>0.98474589999999995</v>
      </c>
      <c r="AB6325">
        <v>30</v>
      </c>
      <c r="AC6325">
        <v>-0.76970000000000005</v>
      </c>
      <c r="AD6325">
        <v>-1.1049677054689999</v>
      </c>
      <c r="AE6325">
        <v>22.878822</v>
      </c>
      <c r="AF6325">
        <v>-3.8801614135402001</v>
      </c>
      <c r="AG6325">
        <v>-1.1049677054689999</v>
      </c>
      <c r="AH6325">
        <v>22.506529765203599</v>
      </c>
      <c r="AI6325">
        <v>92.769906436979696</v>
      </c>
      <c r="AJ6325">
        <v>99.781727772917407</v>
      </c>
      <c r="AK6325">
        <v>22.865268165872301</v>
      </c>
    </row>
    <row r="6326" spans="1:37" x14ac:dyDescent="0.2">
      <c r="A6326" t="str">
        <f>"20200111160025644"</f>
        <v>20200111160025644</v>
      </c>
      <c r="B6326" t="str">
        <f>"1578729625637722"</f>
        <v>1578729625637722</v>
      </c>
      <c r="C6326" t="s">
        <v>37</v>
      </c>
      <c r="D6326">
        <v>5.5454889999999999</v>
      </c>
      <c r="E6326">
        <v>0.4634819</v>
      </c>
      <c r="F6326" t="s">
        <v>39</v>
      </c>
      <c r="G6326">
        <v>-191.43940000000001</v>
      </c>
      <c r="H6326" s="1">
        <v>-2.617102E-6</v>
      </c>
      <c r="I6326">
        <v>-5.2030959999999897</v>
      </c>
      <c r="J6326">
        <v>-190.6618</v>
      </c>
      <c r="K6326">
        <v>1.105003</v>
      </c>
      <c r="L6326">
        <v>-27.609100000000002</v>
      </c>
      <c r="M6326">
        <v>0.13402649999999999</v>
      </c>
      <c r="N6326">
        <v>0</v>
      </c>
      <c r="O6326">
        <v>0.99097739999999901</v>
      </c>
      <c r="P6326">
        <v>6.6821630000000007E-2</v>
      </c>
      <c r="Q6326">
        <v>2.415643E-2</v>
      </c>
      <c r="R6326">
        <v>0.99747249999999998</v>
      </c>
      <c r="S6326">
        <v>-9.8541260000000006E-2</v>
      </c>
      <c r="T6326">
        <v>-0.1469895</v>
      </c>
      <c r="U6326">
        <v>3.0184630000000001</v>
      </c>
      <c r="V6326">
        <v>-6.760468E-2</v>
      </c>
      <c r="W6326">
        <v>2.4634079999999999E-2</v>
      </c>
      <c r="X6326">
        <v>0.99740799999999996</v>
      </c>
      <c r="Y6326">
        <v>-0.16625109999999901</v>
      </c>
      <c r="Z6326">
        <v>-4.7629520000000002E-2</v>
      </c>
      <c r="AA6326">
        <v>0.98493249999999999</v>
      </c>
      <c r="AB6326">
        <v>30</v>
      </c>
      <c r="AC6326">
        <v>-0.77760000000000595</v>
      </c>
      <c r="AD6326">
        <v>-1.105005617102</v>
      </c>
      <c r="AE6326">
        <v>22.406003999999999</v>
      </c>
      <c r="AF6326">
        <v>-3.7644387513704598</v>
      </c>
      <c r="AG6326">
        <v>-1.105005617102</v>
      </c>
      <c r="AH6326">
        <v>22.0460761373308</v>
      </c>
      <c r="AI6326">
        <v>92.828538261675504</v>
      </c>
      <c r="AJ6326">
        <v>99.689984893664402</v>
      </c>
      <c r="AK6326">
        <v>22.392443135567699</v>
      </c>
    </row>
    <row r="6327" spans="1:37" x14ac:dyDescent="0.2">
      <c r="A6327" t="str">
        <f>"20200111160025668"</f>
        <v>20200111160025668</v>
      </c>
      <c r="B6327" t="str">
        <f>"1578729625657243"</f>
        <v>1578729625657243</v>
      </c>
      <c r="C6327" t="s">
        <v>37</v>
      </c>
      <c r="D6327">
        <v>5.5771259999999998</v>
      </c>
      <c r="E6327">
        <v>0.46381689999999998</v>
      </c>
      <c r="F6327" t="s">
        <v>39</v>
      </c>
      <c r="G6327">
        <v>-191.3972</v>
      </c>
      <c r="H6327" s="1">
        <v>-2.5078349999999999E-6</v>
      </c>
      <c r="I6327">
        <v>-5.4316230000000001</v>
      </c>
      <c r="J6327">
        <v>-190.62099999999899</v>
      </c>
      <c r="K6327">
        <v>1.1050389999999899</v>
      </c>
      <c r="L6327">
        <v>-27.285709999999899</v>
      </c>
      <c r="M6327">
        <v>0.13103190000000001</v>
      </c>
      <c r="N6327">
        <v>0</v>
      </c>
      <c r="O6327">
        <v>0.99137770000000003</v>
      </c>
      <c r="P6327">
        <v>6.431328E-2</v>
      </c>
      <c r="Q6327">
        <v>2.383066E-2</v>
      </c>
      <c r="R6327">
        <v>0.99764519999999901</v>
      </c>
      <c r="S6327">
        <v>-0.10006710000000001</v>
      </c>
      <c r="T6327">
        <v>-0.1503707</v>
      </c>
      <c r="U6327">
        <v>3.017944</v>
      </c>
      <c r="V6327">
        <v>-6.7100409999999999E-2</v>
      </c>
      <c r="W6327">
        <v>2.4408599999999999E-2</v>
      </c>
      <c r="X6327">
        <v>0.99744759999999999</v>
      </c>
      <c r="Y6327">
        <v>-0.16377259999999999</v>
      </c>
      <c r="Z6327">
        <v>-4.8770639999999997E-2</v>
      </c>
      <c r="AA6327">
        <v>0.98529179999999905</v>
      </c>
      <c r="AB6327">
        <v>31</v>
      </c>
      <c r="AC6327">
        <v>-0.77620000000001699</v>
      </c>
      <c r="AD6327">
        <v>-1.105041507835</v>
      </c>
      <c r="AE6327">
        <v>21.854087</v>
      </c>
      <c r="AF6327">
        <v>-3.6238378921534999</v>
      </c>
      <c r="AG6327">
        <v>-1.105041507835</v>
      </c>
      <c r="AH6327">
        <v>21.5090328305524</v>
      </c>
      <c r="AI6327">
        <v>92.9002219694584</v>
      </c>
      <c r="AJ6327">
        <v>99.563370468751899</v>
      </c>
      <c r="AK6327">
        <v>21.840142195242802</v>
      </c>
    </row>
    <row r="6328" spans="1:37" x14ac:dyDescent="0.2">
      <c r="A6328" t="str">
        <f>"20200111160025689"</f>
        <v>20200111160025689</v>
      </c>
      <c r="B6328" t="str">
        <f>"1578729625677737"</f>
        <v>1578729625677737</v>
      </c>
      <c r="C6328" t="s">
        <v>37</v>
      </c>
      <c r="D6328">
        <v>5.5042410000000004</v>
      </c>
      <c r="E6328">
        <v>0.464263599999999</v>
      </c>
      <c r="F6328" t="s">
        <v>39</v>
      </c>
      <c r="G6328">
        <v>-191.37530000000001</v>
      </c>
      <c r="H6328" s="1">
        <v>-2.4168689999999999E-6</v>
      </c>
      <c r="I6328">
        <v>-5.6301009999999998</v>
      </c>
      <c r="J6328">
        <v>-190.58510000000001</v>
      </c>
      <c r="K6328">
        <v>1.1050690000000001</v>
      </c>
      <c r="L6328">
        <v>-26.994140000000002</v>
      </c>
      <c r="M6328">
        <v>0.12833249999999999</v>
      </c>
      <c r="N6328">
        <v>0</v>
      </c>
      <c r="O6328">
        <v>0.99173060000000002</v>
      </c>
      <c r="P6328">
        <v>6.2022500000000001E-2</v>
      </c>
      <c r="Q6328">
        <v>2.331693E-2</v>
      </c>
      <c r="R6328">
        <v>0.99780239999999998</v>
      </c>
      <c r="S6328">
        <v>-0.1051025</v>
      </c>
      <c r="T6328">
        <v>-0.15397929999999899</v>
      </c>
      <c r="U6328">
        <v>3.0175480000000001</v>
      </c>
      <c r="V6328">
        <v>-6.6675899999999996E-2</v>
      </c>
      <c r="W6328">
        <v>2.3985289999999999E-2</v>
      </c>
      <c r="X6328">
        <v>0.9974864</v>
      </c>
      <c r="Y6328">
        <v>-0.1627314</v>
      </c>
      <c r="Z6328">
        <v>-4.9974530000000003E-2</v>
      </c>
      <c r="AA6328">
        <v>0.98540399999999995</v>
      </c>
      <c r="AB6328">
        <v>31</v>
      </c>
      <c r="AC6328">
        <v>-0.79019999999999802</v>
      </c>
      <c r="AD6328">
        <v>-1.1050714168689999</v>
      </c>
      <c r="AE6328">
        <v>21.364038999999998</v>
      </c>
      <c r="AF6328">
        <v>-3.5159738153759101</v>
      </c>
      <c r="AG6328">
        <v>-1.1050714168689999</v>
      </c>
      <c r="AH6328">
        <v>21.029785894536101</v>
      </c>
      <c r="AI6328">
        <v>92.966901828812496</v>
      </c>
      <c r="AJ6328">
        <v>99.491504488913094</v>
      </c>
      <c r="AK6328">
        <v>21.350296238619801</v>
      </c>
    </row>
    <row r="6329" spans="1:37" x14ac:dyDescent="0.2">
      <c r="A6329" t="str">
        <f>"20200111160025711"</f>
        <v>20200111160025711</v>
      </c>
      <c r="B6329" t="str">
        <f>"1578729625707679"</f>
        <v>1578729625707679</v>
      </c>
      <c r="C6329" t="s">
        <v>37</v>
      </c>
      <c r="D6329">
        <v>5.5102370000000001</v>
      </c>
      <c r="E6329">
        <v>0.46466089999999999</v>
      </c>
      <c r="F6329" t="s">
        <v>39</v>
      </c>
      <c r="G6329">
        <v>-191.34549999999999</v>
      </c>
      <c r="H6329" s="1">
        <v>-2.312504E-6</v>
      </c>
      <c r="I6329">
        <v>-5.854914</v>
      </c>
      <c r="J6329">
        <v>-190.548</v>
      </c>
      <c r="K6329">
        <v>1.1051010000000001</v>
      </c>
      <c r="L6329">
        <v>-26.686429999999898</v>
      </c>
      <c r="M6329">
        <v>0.12548519999999999</v>
      </c>
      <c r="N6329">
        <v>0</v>
      </c>
      <c r="O6329">
        <v>0.99209480000000005</v>
      </c>
      <c r="P6329">
        <v>5.9161180000000001E-2</v>
      </c>
      <c r="Q6329">
        <v>2.246364E-2</v>
      </c>
      <c r="R6329">
        <v>0.99799570000000004</v>
      </c>
      <c r="S6329">
        <v>-0.108535799999999</v>
      </c>
      <c r="T6329">
        <v>-0.15771779999999999</v>
      </c>
      <c r="U6329">
        <v>3.017029</v>
      </c>
      <c r="V6329">
        <v>-6.6672819999999994E-2</v>
      </c>
      <c r="W6329">
        <v>2.3224479999999999E-2</v>
      </c>
      <c r="X6329">
        <v>0.99750459999999996</v>
      </c>
      <c r="Y6329">
        <v>-0.16102249999999901</v>
      </c>
      <c r="Z6329">
        <v>-5.1228210000000003E-2</v>
      </c>
      <c r="AA6329">
        <v>0.9856203</v>
      </c>
      <c r="AB6329">
        <v>31</v>
      </c>
      <c r="AC6329">
        <v>-0.797499999999985</v>
      </c>
      <c r="AD6329">
        <v>-1.105103312504</v>
      </c>
      <c r="AE6329">
        <v>20.831516000000001</v>
      </c>
      <c r="AF6329">
        <v>-3.39570249162951</v>
      </c>
      <c r="AG6329">
        <v>-1.105103312504</v>
      </c>
      <c r="AH6329">
        <v>20.509144796196701</v>
      </c>
      <c r="AI6329">
        <v>93.042963431189506</v>
      </c>
      <c r="AJ6329">
        <v>99.401184423368207</v>
      </c>
      <c r="AK6329">
        <v>20.817710465234299</v>
      </c>
    </row>
    <row r="6330" spans="1:37" x14ac:dyDescent="0.2">
      <c r="A6330" t="str">
        <f>"20200111160025733"</f>
        <v>20200111160025733</v>
      </c>
      <c r="B6330" t="str">
        <f>"1578729625727201"</f>
        <v>1578729625727201</v>
      </c>
      <c r="C6330" t="s">
        <v>37</v>
      </c>
      <c r="D6330">
        <v>5.5561949999999998</v>
      </c>
      <c r="E6330">
        <v>0.46508090000000002</v>
      </c>
      <c r="F6330" t="s">
        <v>39</v>
      </c>
      <c r="G6330">
        <v>-191.32589999999999</v>
      </c>
      <c r="H6330" s="1">
        <v>-2.182957E-6</v>
      </c>
      <c r="I6330">
        <v>-6.1446800000000001</v>
      </c>
      <c r="J6330">
        <v>-190.51419999999999</v>
      </c>
      <c r="K6330">
        <v>1.1051340000000001</v>
      </c>
      <c r="L6330">
        <v>-26.399929999999902</v>
      </c>
      <c r="M6330">
        <v>0.1228349</v>
      </c>
      <c r="N6330">
        <v>0</v>
      </c>
      <c r="O6330">
        <v>0.99242629999999998</v>
      </c>
      <c r="P6330">
        <v>5.6636279999999997E-2</v>
      </c>
      <c r="Q6330">
        <v>2.268015E-2</v>
      </c>
      <c r="R6330">
        <v>0.99813719999999995</v>
      </c>
      <c r="S6330">
        <v>-0.1142273</v>
      </c>
      <c r="T6330">
        <v>-0.1622787</v>
      </c>
      <c r="U6330">
        <v>3.0164490000000002</v>
      </c>
      <c r="V6330">
        <v>-6.6534880000000005E-2</v>
      </c>
      <c r="W6330">
        <v>2.3528139999999999E-2</v>
      </c>
      <c r="X6330">
        <v>0.99750669999999897</v>
      </c>
      <c r="Y6330">
        <v>-0.16024730000000001</v>
      </c>
      <c r="Z6330">
        <v>-5.2743770000000002E-2</v>
      </c>
      <c r="AA6330">
        <v>0.98566679999999995</v>
      </c>
      <c r="AB6330">
        <v>31</v>
      </c>
      <c r="AC6330">
        <v>-0.81170000000000098</v>
      </c>
      <c r="AD6330">
        <v>-1.1051361829569999</v>
      </c>
      <c r="AE6330">
        <v>20.25525</v>
      </c>
      <c r="AF6330">
        <v>-3.2838468807956001</v>
      </c>
      <c r="AG6330">
        <v>-1.1051361829569999</v>
      </c>
      <c r="AH6330">
        <v>19.942882283359001</v>
      </c>
      <c r="AI6330">
        <v>93.129745151838307</v>
      </c>
      <c r="AJ6330">
        <v>99.350564926023793</v>
      </c>
      <c r="AK6330">
        <v>20.241628642164802</v>
      </c>
    </row>
    <row r="6331" spans="1:37" x14ac:dyDescent="0.2">
      <c r="A6331" t="str">
        <f>"20200111160025755"</f>
        <v>20200111160025755</v>
      </c>
      <c r="B6331" t="str">
        <f>"1578729625747695"</f>
        <v>1578729625747695</v>
      </c>
      <c r="C6331" t="s">
        <v>37</v>
      </c>
      <c r="D6331">
        <v>5.4646439999999998</v>
      </c>
      <c r="E6331">
        <v>0.46532959999999901</v>
      </c>
      <c r="F6331" t="s">
        <v>39</v>
      </c>
      <c r="G6331">
        <v>-191.31739999999999</v>
      </c>
      <c r="H6331" s="1">
        <v>-2.2433779999999998E-6</v>
      </c>
      <c r="I6331">
        <v>-5.9986079999999999</v>
      </c>
      <c r="J6331">
        <v>-190.4768</v>
      </c>
      <c r="K6331">
        <v>1.1051739999999901</v>
      </c>
      <c r="L6331">
        <v>-26.07471</v>
      </c>
      <c r="M6331">
        <v>0.119828399999999</v>
      </c>
      <c r="N6331">
        <v>0</v>
      </c>
      <c r="O6331">
        <v>0.9927937</v>
      </c>
      <c r="P6331">
        <v>5.3610819999999997E-2</v>
      </c>
      <c r="Q6331">
        <v>2.2974350000000001E-2</v>
      </c>
      <c r="R6331">
        <v>0.99829760000000001</v>
      </c>
      <c r="S6331">
        <v>-0.118743899999999</v>
      </c>
      <c r="T6331">
        <v>-0.163379</v>
      </c>
      <c r="U6331">
        <v>3.0160520000000002</v>
      </c>
      <c r="V6331">
        <v>-6.6539500000000001E-2</v>
      </c>
      <c r="W6331">
        <v>2.3919510000000001E-2</v>
      </c>
      <c r="X6331">
        <v>0.99749699999999997</v>
      </c>
      <c r="Y6331">
        <v>-0.1587353</v>
      </c>
      <c r="Z6331">
        <v>-5.3142219999999997E-2</v>
      </c>
      <c r="AA6331">
        <v>0.98588999999999904</v>
      </c>
      <c r="AB6331">
        <v>31</v>
      </c>
      <c r="AC6331">
        <v>-0.84059999999999402</v>
      </c>
      <c r="AD6331">
        <v>-1.1051762433779999</v>
      </c>
      <c r="AE6331">
        <v>20.076101999999999</v>
      </c>
      <c r="AF6331">
        <v>-3.2304599689996301</v>
      </c>
      <c r="AG6331">
        <v>-1.1051762433779999</v>
      </c>
      <c r="AH6331">
        <v>19.770908412726701</v>
      </c>
      <c r="AI6331">
        <v>93.157666267188702</v>
      </c>
      <c r="AJ6331">
        <v>99.279818124016501</v>
      </c>
      <c r="AK6331">
        <v>20.063551669748399</v>
      </c>
    </row>
    <row r="6332" spans="1:37" x14ac:dyDescent="0.2">
      <c r="A6332" t="str">
        <f>"20200111160025778"</f>
        <v>20200111160025778</v>
      </c>
      <c r="B6332" t="str">
        <f>"1578729625767214"</f>
        <v>1578729625767214</v>
      </c>
      <c r="C6332" t="s">
        <v>37</v>
      </c>
      <c r="D6332">
        <v>5.4987949999999897</v>
      </c>
      <c r="E6332">
        <v>0.48027629999999999</v>
      </c>
      <c r="F6332" t="s">
        <v>39</v>
      </c>
      <c r="G6332">
        <v>-191.3305</v>
      </c>
      <c r="H6332" s="1">
        <v>-2.4240669999999999E-6</v>
      </c>
      <c r="I6332">
        <v>-5.5855269999999999</v>
      </c>
      <c r="J6332">
        <v>-190.44030000000001</v>
      </c>
      <c r="K6332">
        <v>1.1052090000000001</v>
      </c>
      <c r="L6332">
        <v>-25.748809999999999</v>
      </c>
      <c r="M6332">
        <v>0.1168168</v>
      </c>
      <c r="N6332">
        <v>0</v>
      </c>
      <c r="O6332">
        <v>0.99315239999999905</v>
      </c>
      <c r="P6332">
        <v>5.0489760000000002E-2</v>
      </c>
      <c r="Q6332">
        <v>2.3171299999999999E-2</v>
      </c>
      <c r="R6332">
        <v>0.9984558</v>
      </c>
      <c r="S6332">
        <v>-0.1256409</v>
      </c>
      <c r="T6332">
        <v>-0.16265959999999999</v>
      </c>
      <c r="U6332">
        <v>3.0155939999999899</v>
      </c>
      <c r="V6332">
        <v>-6.663558E-2</v>
      </c>
      <c r="W6332">
        <v>2.4212210000000001E-2</v>
      </c>
      <c r="X6332">
        <v>0.99748359999999903</v>
      </c>
      <c r="Y6332">
        <v>-0.15799839999999901</v>
      </c>
      <c r="Z6332">
        <v>-5.294662E-2</v>
      </c>
      <c r="AA6332">
        <v>0.98601879999999997</v>
      </c>
      <c r="AB6332">
        <v>32</v>
      </c>
      <c r="AC6332">
        <v>-0.890199999999992</v>
      </c>
      <c r="AD6332">
        <v>-1.1052114240669999</v>
      </c>
      <c r="AE6332">
        <v>20.163283</v>
      </c>
      <c r="AF6332">
        <v>-3.2298328731955799</v>
      </c>
      <c r="AG6332">
        <v>-1.1052114240669999</v>
      </c>
      <c r="AH6332">
        <v>19.861686157974301</v>
      </c>
      <c r="AI6332">
        <v>93.143750777556505</v>
      </c>
      <c r="AJ6332">
        <v>99.236375264889304</v>
      </c>
      <c r="AK6332">
        <v>20.1529126857268</v>
      </c>
    </row>
    <row r="6333" spans="1:37" x14ac:dyDescent="0.2">
      <c r="A6333" t="str">
        <f>"20200111160025800"</f>
        <v>20200111160025800</v>
      </c>
      <c r="B6333" t="str">
        <f>"1578729625797471"</f>
        <v>1578729625797471</v>
      </c>
      <c r="C6333" t="s">
        <v>37</v>
      </c>
      <c r="D6333">
        <v>5.4653070000000001</v>
      </c>
      <c r="E6333">
        <v>0.48032809999999998</v>
      </c>
      <c r="F6333" t="s">
        <v>39</v>
      </c>
      <c r="G6333">
        <v>-190.53710000000001</v>
      </c>
      <c r="H6333" s="1">
        <v>-5.252205E-7</v>
      </c>
      <c r="I6333">
        <v>-9.5196780000000008</v>
      </c>
      <c r="J6333">
        <v>-190.40649999999999</v>
      </c>
      <c r="K6333">
        <v>1.10524</v>
      </c>
      <c r="L6333">
        <v>-25.438600000000001</v>
      </c>
      <c r="M6333">
        <v>0.1139521</v>
      </c>
      <c r="N6333">
        <v>0</v>
      </c>
      <c r="O6333">
        <v>0.99348510000000001</v>
      </c>
      <c r="P6333">
        <v>4.7988290000000003E-2</v>
      </c>
      <c r="Q6333">
        <v>2.3016129999999999E-2</v>
      </c>
      <c r="R6333">
        <v>0.99858269999999905</v>
      </c>
      <c r="S6333">
        <v>-1.794434E-2</v>
      </c>
      <c r="T6333">
        <v>-0.20500360000000001</v>
      </c>
      <c r="U6333">
        <v>3.0103149999999999</v>
      </c>
      <c r="V6333">
        <v>-6.625897E-2</v>
      </c>
      <c r="W6333">
        <v>2.4151659999999998E-2</v>
      </c>
      <c r="X6333">
        <v>0.99751009999999996</v>
      </c>
      <c r="Y6333">
        <v>-0.1198577</v>
      </c>
      <c r="Z6333">
        <v>-6.7034070000000001E-2</v>
      </c>
      <c r="AA6333">
        <v>0.9905254</v>
      </c>
      <c r="AB6333">
        <v>32</v>
      </c>
      <c r="AC6333">
        <v>-0.13060000000001501</v>
      </c>
      <c r="AD6333">
        <v>-1.1052405252205</v>
      </c>
      <c r="AE6333">
        <v>15.918922</v>
      </c>
      <c r="AF6333">
        <v>-1.93442182828563</v>
      </c>
      <c r="AG6333">
        <v>-1.1052405252205</v>
      </c>
      <c r="AH6333">
        <v>15.724553546208901</v>
      </c>
      <c r="AI6333">
        <v>93.990583823868107</v>
      </c>
      <c r="AJ6333">
        <v>97.013243176468194</v>
      </c>
      <c r="AK6333">
        <v>15.881597169552199</v>
      </c>
    </row>
    <row r="6334" spans="1:37" x14ac:dyDescent="0.2">
      <c r="A6334" t="str">
        <f>"20200111160025833"</f>
        <v>20200111160025833</v>
      </c>
      <c r="B6334" t="str">
        <f>"1578729625827290"</f>
        <v>1578729625827290</v>
      </c>
      <c r="C6334" t="s">
        <v>37</v>
      </c>
      <c r="D6334">
        <v>5.3325199999999997</v>
      </c>
      <c r="E6334">
        <v>0.4805932</v>
      </c>
      <c r="F6334" t="s">
        <v>39</v>
      </c>
      <c r="G6334">
        <v>-190.54499999999999</v>
      </c>
      <c r="H6334" s="1">
        <v>-1.032911E-6</v>
      </c>
      <c r="I6334">
        <v>-8.3411650000000002</v>
      </c>
      <c r="J6334">
        <v>-190.35769999999999</v>
      </c>
      <c r="K6334">
        <v>1.1052999999999999</v>
      </c>
      <c r="L6334">
        <v>-24.975429999999999</v>
      </c>
      <c r="M6334">
        <v>0.109680399999999</v>
      </c>
      <c r="N6334">
        <v>0</v>
      </c>
      <c r="O6334">
        <v>0.9939654</v>
      </c>
      <c r="P6334">
        <v>4.4692519999999999E-2</v>
      </c>
      <c r="Q6334">
        <v>2.2860849999999999E-2</v>
      </c>
      <c r="R6334">
        <v>0.99873919999999905</v>
      </c>
      <c r="S6334">
        <v>-2.4383539999999999E-2</v>
      </c>
      <c r="T6334">
        <v>-0.1945722</v>
      </c>
      <c r="U6334">
        <v>3.0099179999999999</v>
      </c>
      <c r="V6334">
        <v>-6.5266240000000003E-2</v>
      </c>
      <c r="W6334">
        <v>2.4155960000000001E-2</v>
      </c>
      <c r="X6334">
        <v>0.99757549999999995</v>
      </c>
      <c r="Y6334">
        <v>-0.1177115</v>
      </c>
      <c r="Z6334">
        <v>-6.3700240000000005E-2</v>
      </c>
      <c r="AA6334">
        <v>0.99100270000000001</v>
      </c>
      <c r="AB6334">
        <v>32</v>
      </c>
      <c r="AC6334">
        <v>-0.187299999999993</v>
      </c>
      <c r="AD6334">
        <v>-1.105301032911</v>
      </c>
      <c r="AE6334">
        <v>16.634264999999999</v>
      </c>
      <c r="AF6334">
        <v>-2.00178832031169</v>
      </c>
      <c r="AG6334">
        <v>-1.105301032911</v>
      </c>
      <c r="AH6334">
        <v>16.440784699629202</v>
      </c>
      <c r="AI6334">
        <v>93.818049976730904</v>
      </c>
      <c r="AJ6334">
        <v>96.9420187591776</v>
      </c>
      <c r="AK6334">
        <v>16.599043598721298</v>
      </c>
    </row>
    <row r="6335" spans="1:37" x14ac:dyDescent="0.2">
      <c r="A6335" t="str">
        <f>"20200111160025855"</f>
        <v>20200111160025855</v>
      </c>
      <c r="B6335" t="str">
        <f>"1578729625847785"</f>
        <v>1578729625847785</v>
      </c>
      <c r="C6335" t="s">
        <v>37</v>
      </c>
      <c r="D6335">
        <v>5.5258050000000001</v>
      </c>
      <c r="E6335">
        <v>0.481043099999999</v>
      </c>
      <c r="F6335" t="s">
        <v>39</v>
      </c>
      <c r="G6335">
        <v>-190.53149999999999</v>
      </c>
      <c r="H6335" s="1">
        <v>-7.4437799999999899E-7</v>
      </c>
      <c r="I6335">
        <v>-9.0053570000000001</v>
      </c>
      <c r="J6335">
        <v>-190.32409999999999</v>
      </c>
      <c r="K6335">
        <v>1.105369</v>
      </c>
      <c r="L6335">
        <v>-24.645229999999898</v>
      </c>
      <c r="M6335">
        <v>0.10665129999999901</v>
      </c>
      <c r="N6335">
        <v>0</v>
      </c>
      <c r="O6335">
        <v>0.99429460000000003</v>
      </c>
      <c r="P6335">
        <v>4.2699380000000002E-2</v>
      </c>
      <c r="Q6335">
        <v>2.2543420000000002E-2</v>
      </c>
      <c r="R6335">
        <v>0.99883359999999999</v>
      </c>
      <c r="S6335">
        <v>-3.2760619999999997E-2</v>
      </c>
      <c r="T6335">
        <v>-0.20832500000000001</v>
      </c>
      <c r="U6335">
        <v>3.0100099999999999</v>
      </c>
      <c r="V6335">
        <v>-6.4219399999999996E-2</v>
      </c>
      <c r="W6335">
        <v>2.4050129999999999E-2</v>
      </c>
      <c r="X6335">
        <v>0.99764599999999903</v>
      </c>
      <c r="Y6335">
        <v>-0.11744</v>
      </c>
      <c r="Z6335">
        <v>-6.8214269999999994E-2</v>
      </c>
      <c r="AA6335">
        <v>0.99073440000000002</v>
      </c>
      <c r="AB6335">
        <v>32</v>
      </c>
      <c r="AC6335">
        <v>-0.207400000000006</v>
      </c>
      <c r="AD6335">
        <v>-1.105369744378</v>
      </c>
      <c r="AE6335">
        <v>15.6398729999999</v>
      </c>
      <c r="AF6335">
        <v>-1.86491908394673</v>
      </c>
      <c r="AG6335">
        <v>-1.105369744378</v>
      </c>
      <c r="AH6335">
        <v>15.451382461738399</v>
      </c>
      <c r="AI6335">
        <v>94.062503463431099</v>
      </c>
      <c r="AJ6335">
        <v>96.882078384426194</v>
      </c>
      <c r="AK6335">
        <v>15.602723654553699</v>
      </c>
    </row>
    <row r="6336" spans="1:37" x14ac:dyDescent="0.2">
      <c r="A6336" t="str">
        <f>"20200111160025878"</f>
        <v>20200111160025878</v>
      </c>
      <c r="B6336" t="str">
        <f>"1578729625867304"</f>
        <v>1578729625867304</v>
      </c>
      <c r="C6336" t="s">
        <v>37</v>
      </c>
      <c r="D6336">
        <v>5.4567629999999996</v>
      </c>
      <c r="E6336">
        <v>0.4815372</v>
      </c>
      <c r="F6336" t="s">
        <v>39</v>
      </c>
      <c r="G6336">
        <v>-190.5094</v>
      </c>
      <c r="H6336" s="1">
        <v>-7.6964600000000001E-7</v>
      </c>
      <c r="I6336">
        <v>-8.9327860000000001</v>
      </c>
      <c r="J6336">
        <v>-190.29239999999999</v>
      </c>
      <c r="K6336">
        <v>1.1054919999999999</v>
      </c>
      <c r="L6336">
        <v>-24.324100000000001</v>
      </c>
      <c r="M6336">
        <v>0.1037266</v>
      </c>
      <c r="N6336">
        <v>0</v>
      </c>
      <c r="O6336">
        <v>0.99460319999999902</v>
      </c>
      <c r="P6336">
        <v>4.0428119999999998E-2</v>
      </c>
      <c r="Q6336">
        <v>2.215371E-2</v>
      </c>
      <c r="R6336">
        <v>0.99893679999999996</v>
      </c>
      <c r="S6336">
        <v>-3.5507199999999899E-2</v>
      </c>
      <c r="T6336">
        <v>-0.21173899999999901</v>
      </c>
      <c r="U6336">
        <v>3.0097959999999899</v>
      </c>
      <c r="V6336">
        <v>-6.3557219999999998E-2</v>
      </c>
      <c r="W6336">
        <v>2.403392E-2</v>
      </c>
      <c r="X6336">
        <v>0.99768880000000004</v>
      </c>
      <c r="Y6336">
        <v>-0.115423</v>
      </c>
      <c r="Z6336">
        <v>-6.9372059999999999E-2</v>
      </c>
      <c r="AA6336">
        <v>0.99089099999999997</v>
      </c>
      <c r="AB6336">
        <v>32</v>
      </c>
      <c r="AC6336">
        <v>-0.21700000000001199</v>
      </c>
      <c r="AD6336">
        <v>-1.105492769646</v>
      </c>
      <c r="AE6336">
        <v>15.391313999999999</v>
      </c>
      <c r="AF6336">
        <v>-1.8030225029024201</v>
      </c>
      <c r="AG6336">
        <v>-1.105492769646</v>
      </c>
      <c r="AH6336">
        <v>15.207343569289399</v>
      </c>
      <c r="AI6336">
        <v>94.128965634421803</v>
      </c>
      <c r="AJ6336">
        <v>96.761572963706598</v>
      </c>
      <c r="AK6336">
        <v>15.3537064855403</v>
      </c>
    </row>
    <row r="6337" spans="1:37" x14ac:dyDescent="0.2">
      <c r="A6337" t="str">
        <f>"20200111160025901"</f>
        <v>20200111160025901</v>
      </c>
      <c r="B6337" t="str">
        <f>"1578729625897561"</f>
        <v>1578729625897561</v>
      </c>
      <c r="C6337" t="s">
        <v>37</v>
      </c>
      <c r="D6337">
        <v>5.5403640000000003</v>
      </c>
      <c r="E6337">
        <v>0.48353970000000002</v>
      </c>
      <c r="F6337" t="s">
        <v>39</v>
      </c>
      <c r="G6337">
        <v>-190.488</v>
      </c>
      <c r="H6337" s="1">
        <v>-6.3728240000000002E-7</v>
      </c>
      <c r="I6337">
        <v>-9.2280580000000008</v>
      </c>
      <c r="J6337">
        <v>-190.26140000000001</v>
      </c>
      <c r="K6337">
        <v>1.1056429999999999</v>
      </c>
      <c r="L6337">
        <v>-23.999020000000002</v>
      </c>
      <c r="M6337">
        <v>0.1007816</v>
      </c>
      <c r="N6337">
        <v>0</v>
      </c>
      <c r="O6337">
        <v>0.99490429999999996</v>
      </c>
      <c r="P6337">
        <v>3.8039320000000001E-2</v>
      </c>
      <c r="Q6337">
        <v>2.1323160000000001E-2</v>
      </c>
      <c r="R6337">
        <v>0.99904869999999901</v>
      </c>
      <c r="S6337">
        <v>-3.9001460000000002E-2</v>
      </c>
      <c r="T6337">
        <v>-0.22040029999999899</v>
      </c>
      <c r="U6337">
        <v>3.009674</v>
      </c>
      <c r="V6337">
        <v>-6.2991409999999998E-2</v>
      </c>
      <c r="W6337">
        <v>2.3815590000000001E-2</v>
      </c>
      <c r="X6337">
        <v>0.99772989999999995</v>
      </c>
      <c r="Y6337">
        <v>-0.1136303</v>
      </c>
      <c r="Z6337">
        <v>-7.2238040000000003E-2</v>
      </c>
      <c r="AA6337">
        <v>0.99089340000000004</v>
      </c>
      <c r="AB6337">
        <v>32</v>
      </c>
      <c r="AC6337">
        <v>-0.22659999999999</v>
      </c>
      <c r="AD6337">
        <v>-1.1056436372823999</v>
      </c>
      <c r="AE6337">
        <v>14.770962000000001</v>
      </c>
      <c r="AF6337">
        <v>-1.7045456360681699</v>
      </c>
      <c r="AG6337">
        <v>-1.1056436372823999</v>
      </c>
      <c r="AH6337">
        <v>14.591185181185899</v>
      </c>
      <c r="AI6337">
        <v>94.304134711119602</v>
      </c>
      <c r="AJ6337">
        <v>96.663105379253395</v>
      </c>
      <c r="AK6337">
        <v>14.7319587519706</v>
      </c>
    </row>
    <row r="6338" spans="1:37" x14ac:dyDescent="0.2">
      <c r="A6338" t="str">
        <f>"20200111160025921"</f>
        <v>20200111160025921</v>
      </c>
      <c r="B6338" t="str">
        <f>"1578729625917715"</f>
        <v>1578729625917715</v>
      </c>
      <c r="C6338" t="s">
        <v>37</v>
      </c>
      <c r="D6338">
        <v>5.50969</v>
      </c>
      <c r="E6338">
        <v>0.48401149999999998</v>
      </c>
      <c r="F6338" t="s">
        <v>39</v>
      </c>
      <c r="G6338">
        <v>-190.4188</v>
      </c>
      <c r="H6338" s="1">
        <v>-1.140596E-6</v>
      </c>
      <c r="I6338">
        <v>-8.0118759999999902</v>
      </c>
      <c r="J6338">
        <v>-190.23339999999999</v>
      </c>
      <c r="K6338">
        <v>1.1058349999999999</v>
      </c>
      <c r="L6338">
        <v>-23.694949999999999</v>
      </c>
      <c r="M6338">
        <v>9.8066329999999993E-2</v>
      </c>
      <c r="N6338">
        <v>0</v>
      </c>
      <c r="O6338">
        <v>0.99517239999999996</v>
      </c>
      <c r="P6338">
        <v>3.5530850000000003E-2</v>
      </c>
      <c r="Q6338">
        <v>2.071752E-2</v>
      </c>
      <c r="R6338">
        <v>0.99915379999999998</v>
      </c>
      <c r="S6338">
        <v>-2.9617310000000001E-2</v>
      </c>
      <c r="T6338">
        <v>-0.208057299999999</v>
      </c>
      <c r="U6338">
        <v>3.0084230000000001</v>
      </c>
      <c r="V6338">
        <v>-6.2776760000000001E-2</v>
      </c>
      <c r="W6338">
        <v>2.418646E-2</v>
      </c>
      <c r="X6338">
        <v>0.99773449999999997</v>
      </c>
      <c r="Y6338">
        <v>-0.1078354</v>
      </c>
      <c r="Z6338">
        <v>-6.8292110000000003E-2</v>
      </c>
      <c r="AA6338">
        <v>0.99182039999999905</v>
      </c>
      <c r="AB6338">
        <v>33</v>
      </c>
      <c r="AC6338">
        <v>-0.185400000000015</v>
      </c>
      <c r="AD6338">
        <v>-1.105836140596</v>
      </c>
      <c r="AE6338">
        <v>15.683074</v>
      </c>
      <c r="AF6338">
        <v>-1.71397881906594</v>
      </c>
      <c r="AG6338">
        <v>-1.105836140596</v>
      </c>
      <c r="AH6338">
        <v>15.512183273638</v>
      </c>
      <c r="AI6338">
        <v>94.053033854087502</v>
      </c>
      <c r="AJ6338">
        <v>96.305173826463601</v>
      </c>
      <c r="AK6338">
        <v>15.6457159272751</v>
      </c>
    </row>
    <row r="6339" spans="1:37" x14ac:dyDescent="0.2">
      <c r="A6339" t="str">
        <f>"20200111160025945"</f>
        <v>20200111160025945</v>
      </c>
      <c r="B6339" t="str">
        <f>"1578729625937234"</f>
        <v>1578729625937234</v>
      </c>
      <c r="C6339" t="s">
        <v>37</v>
      </c>
      <c r="D6339">
        <v>5.4573499999999999</v>
      </c>
      <c r="E6339">
        <v>0.48445939999999998</v>
      </c>
      <c r="F6339" t="s">
        <v>39</v>
      </c>
      <c r="G6339">
        <v>-190.41299999999899</v>
      </c>
      <c r="H6339" s="1">
        <v>-1.3341909999999901E-6</v>
      </c>
      <c r="I6339">
        <v>-7.557016</v>
      </c>
      <c r="J6339">
        <v>-190.20419999999999</v>
      </c>
      <c r="K6339">
        <v>1.106031</v>
      </c>
      <c r="L6339">
        <v>-23.367650000000001</v>
      </c>
      <c r="M6339">
        <v>9.5039470000000001E-2</v>
      </c>
      <c r="N6339">
        <v>0</v>
      </c>
      <c r="O6339">
        <v>0.99546080000000003</v>
      </c>
      <c r="P6339">
        <v>3.2749069999999998E-2</v>
      </c>
      <c r="Q6339">
        <v>1.9668979999999999E-2</v>
      </c>
      <c r="R6339">
        <v>0.99926999999999999</v>
      </c>
      <c r="S6339">
        <v>-3.3477779999999999E-2</v>
      </c>
      <c r="T6339">
        <v>-0.206119999999999</v>
      </c>
      <c r="U6339">
        <v>3.0079959999999999</v>
      </c>
      <c r="V6339">
        <v>-6.2521099999999996E-2</v>
      </c>
      <c r="W6339">
        <v>2.4298960000000001E-2</v>
      </c>
      <c r="X6339">
        <v>0.99774779999999996</v>
      </c>
      <c r="Y6339">
        <v>-0.106086999999999</v>
      </c>
      <c r="Z6339">
        <v>-6.7704799999999996E-2</v>
      </c>
      <c r="AA6339">
        <v>0.99204919999999996</v>
      </c>
      <c r="AB6339">
        <v>33</v>
      </c>
      <c r="AC6339">
        <v>-0.20879999999999599</v>
      </c>
      <c r="AD6339">
        <v>-1.1060323341910001</v>
      </c>
      <c r="AE6339">
        <v>15.810634</v>
      </c>
      <c r="AF6339">
        <v>-1.70217962559352</v>
      </c>
      <c r="AG6339">
        <v>-1.1060323341910001</v>
      </c>
      <c r="AH6339">
        <v>15.642683731436801</v>
      </c>
      <c r="AI6339">
        <v>94.0207708460634</v>
      </c>
      <c r="AJ6339">
        <v>96.210282095941594</v>
      </c>
      <c r="AK6339">
        <v>15.7738478921226</v>
      </c>
    </row>
    <row r="6340" spans="1:37" x14ac:dyDescent="0.2">
      <c r="A6340" t="str">
        <f>"20200111160025967"</f>
        <v>20200111160025967</v>
      </c>
      <c r="B6340" t="str">
        <f>"1578729625957730"</f>
        <v>1578729625957730</v>
      </c>
      <c r="C6340" t="s">
        <v>37</v>
      </c>
      <c r="D6340">
        <v>5.5470009999999998</v>
      </c>
      <c r="E6340">
        <v>0.48481469999999999</v>
      </c>
      <c r="F6340" t="s">
        <v>39</v>
      </c>
      <c r="G6340">
        <v>-190.40770000000001</v>
      </c>
      <c r="H6340" s="1">
        <v>-1.3655140000000001E-6</v>
      </c>
      <c r="I6340">
        <v>-7.4807069999999998</v>
      </c>
      <c r="J6340">
        <v>-190.17580000000001</v>
      </c>
      <c r="K6340">
        <v>1.106166</v>
      </c>
      <c r="L6340">
        <v>-23.036379999999902</v>
      </c>
      <c r="M6340">
        <v>9.1869989999999999E-2</v>
      </c>
      <c r="N6340">
        <v>0</v>
      </c>
      <c r="O6340">
        <v>0.995753</v>
      </c>
      <c r="P6340">
        <v>2.9687870000000002E-2</v>
      </c>
      <c r="Q6340">
        <v>1.8776359999999999E-2</v>
      </c>
      <c r="R6340">
        <v>0.99938289999999996</v>
      </c>
      <c r="S6340">
        <v>-3.8528439999999997E-2</v>
      </c>
      <c r="T6340">
        <v>-0.20938389999999901</v>
      </c>
      <c r="U6340">
        <v>3.007568</v>
      </c>
      <c r="V6340">
        <v>-6.2403960000000001E-2</v>
      </c>
      <c r="W6340">
        <v>2.436522E-2</v>
      </c>
      <c r="X6340">
        <v>0.99775349999999996</v>
      </c>
      <c r="Y6340">
        <v>-0.1045883</v>
      </c>
      <c r="Z6340">
        <v>-6.8817299999999998E-2</v>
      </c>
      <c r="AA6340">
        <v>0.99213180000000001</v>
      </c>
      <c r="AB6340">
        <v>32</v>
      </c>
      <c r="AC6340">
        <v>-0.231899999999996</v>
      </c>
      <c r="AD6340">
        <v>-1.1061673655140001</v>
      </c>
      <c r="AE6340">
        <v>15.555672999999899</v>
      </c>
      <c r="AF6340">
        <v>-1.6516942086731901</v>
      </c>
      <c r="AG6340">
        <v>-1.1061673655140001</v>
      </c>
      <c r="AH6340">
        <v>15.3907721546412</v>
      </c>
      <c r="AI6340">
        <v>94.087509970152993</v>
      </c>
      <c r="AJ6340">
        <v>96.125377781648396</v>
      </c>
      <c r="AK6340">
        <v>15.5186200261354</v>
      </c>
    </row>
    <row r="6341" spans="1:37" x14ac:dyDescent="0.2">
      <c r="A6341" t="str">
        <f>"20200111160025990"</f>
        <v>20200111160025990</v>
      </c>
      <c r="B6341" t="str">
        <f>"1578729625987986"</f>
        <v>1578729625987986</v>
      </c>
      <c r="C6341" t="s">
        <v>37</v>
      </c>
      <c r="D6341">
        <v>5.500343</v>
      </c>
      <c r="E6341">
        <v>0.48569240000000002</v>
      </c>
      <c r="F6341" t="s">
        <v>39</v>
      </c>
      <c r="G6341">
        <v>-190.41120000000001</v>
      </c>
      <c r="H6341" s="1">
        <v>-1.4052009999999999E-6</v>
      </c>
      <c r="I6341">
        <v>-7.3903499999999998</v>
      </c>
      <c r="J6341">
        <v>-190.14859999999999</v>
      </c>
      <c r="K6341">
        <v>1.1062719999999999</v>
      </c>
      <c r="L6341">
        <v>-22.706119999999999</v>
      </c>
      <c r="M6341">
        <v>8.8736540000000003E-2</v>
      </c>
      <c r="N6341">
        <v>0</v>
      </c>
      <c r="O6341">
        <v>0.99603189999999997</v>
      </c>
      <c r="P6341">
        <v>2.688051E-2</v>
      </c>
      <c r="Q6341">
        <v>1.83328E-2</v>
      </c>
      <c r="R6341">
        <v>0.99947050000000004</v>
      </c>
      <c r="S6341">
        <v>-4.5242310000000001E-2</v>
      </c>
      <c r="T6341">
        <v>-0.21260799999999999</v>
      </c>
      <c r="U6341">
        <v>3.0072019999999999</v>
      </c>
      <c r="V6341">
        <v>-6.2072290000000002E-2</v>
      </c>
      <c r="W6341">
        <v>2.4729419999999998E-2</v>
      </c>
      <c r="X6341">
        <v>0.99776520000000002</v>
      </c>
      <c r="Y6341">
        <v>-0.10367460000000001</v>
      </c>
      <c r="Z6341">
        <v>-6.9912489999999994E-2</v>
      </c>
      <c r="AA6341">
        <v>0.99215109999999995</v>
      </c>
      <c r="AB6341">
        <v>32</v>
      </c>
      <c r="AC6341">
        <v>-0.26260000000001998</v>
      </c>
      <c r="AD6341">
        <v>-1.1062734052009999</v>
      </c>
      <c r="AE6341">
        <v>15.315770000000001</v>
      </c>
      <c r="AF6341">
        <v>-1.6122547443870701</v>
      </c>
      <c r="AG6341">
        <v>-1.1062734052009999</v>
      </c>
      <c r="AH6341">
        <v>15.153010920436699</v>
      </c>
      <c r="AI6341">
        <v>94.152221559673606</v>
      </c>
      <c r="AJ6341">
        <v>96.073324959657697</v>
      </c>
      <c r="AK6341">
        <v>15.2786434660518</v>
      </c>
    </row>
    <row r="6342" spans="1:37" x14ac:dyDescent="0.2">
      <c r="A6342" t="str">
        <f>"20200111160026013"</f>
        <v>20200111160026013</v>
      </c>
      <c r="B6342" t="str">
        <f>"1578729626007509"</f>
        <v>1578729626007509</v>
      </c>
      <c r="C6342" t="s">
        <v>37</v>
      </c>
      <c r="D6342">
        <v>5.5468630000000001</v>
      </c>
      <c r="E6342">
        <v>0.48599419999999999</v>
      </c>
      <c r="F6342" t="s">
        <v>39</v>
      </c>
      <c r="G6342">
        <v>-190.392</v>
      </c>
      <c r="H6342" s="1">
        <v>-1.519614E-6</v>
      </c>
      <c r="I6342">
        <v>-7.111783</v>
      </c>
      <c r="J6342">
        <v>-190.1233</v>
      </c>
      <c r="K6342">
        <v>1.1063430000000001</v>
      </c>
      <c r="L6342">
        <v>-22.385010000000001</v>
      </c>
      <c r="M6342">
        <v>8.5704680000000005E-2</v>
      </c>
      <c r="N6342">
        <v>0</v>
      </c>
      <c r="O6342">
        <v>0.99629219999999896</v>
      </c>
      <c r="P6342">
        <v>2.3770349999999999E-2</v>
      </c>
      <c r="Q6342">
        <v>1.792183E-2</v>
      </c>
      <c r="R6342">
        <v>0.99955680000000002</v>
      </c>
      <c r="S6342">
        <v>-4.6936039999999998E-2</v>
      </c>
      <c r="T6342">
        <v>-0.21330270000000001</v>
      </c>
      <c r="U6342">
        <v>3.0067750000000002</v>
      </c>
      <c r="V6342">
        <v>-6.2144129999999999E-2</v>
      </c>
      <c r="W6342">
        <v>2.5032120000000001E-2</v>
      </c>
      <c r="X6342">
        <v>0.99775319999999901</v>
      </c>
      <c r="Y6342">
        <v>-0.1012083</v>
      </c>
      <c r="Z6342">
        <v>-7.0186559999999995E-2</v>
      </c>
      <c r="AA6342">
        <v>0.9923864</v>
      </c>
      <c r="AB6342">
        <v>32</v>
      </c>
      <c r="AC6342">
        <v>-0.268699999999995</v>
      </c>
      <c r="AD6342">
        <v>-1.106344519614</v>
      </c>
      <c r="AE6342">
        <v>15.273227</v>
      </c>
      <c r="AF6342">
        <v>-1.56850777021593</v>
      </c>
      <c r="AG6342">
        <v>-1.106344519614</v>
      </c>
      <c r="AH6342">
        <v>15.1147139299448</v>
      </c>
      <c r="AI6342">
        <v>94.164103849756003</v>
      </c>
      <c r="AJ6342">
        <v>95.924580935194797</v>
      </c>
      <c r="AK6342">
        <v>15.2361016013078</v>
      </c>
    </row>
    <row r="6343" spans="1:37" x14ac:dyDescent="0.2">
      <c r="A6343" t="str">
        <f>"20200111160026034"</f>
        <v>20200111160026034</v>
      </c>
      <c r="B6343" t="str">
        <f>"1578729626027030"</f>
        <v>1578729626027030</v>
      </c>
      <c r="C6343" t="s">
        <v>37</v>
      </c>
      <c r="D6343">
        <v>5.6499389999999998</v>
      </c>
      <c r="E6343">
        <v>0.53260799999999997</v>
      </c>
      <c r="F6343" t="s">
        <v>39</v>
      </c>
      <c r="G6343">
        <v>-190.40099999999899</v>
      </c>
      <c r="H6343" s="1">
        <v>-1.5900100000000001E-6</v>
      </c>
      <c r="I6343">
        <v>-6.9532299999999996</v>
      </c>
      <c r="J6343">
        <v>-190.1003</v>
      </c>
      <c r="K6343">
        <v>1.1063689999999999</v>
      </c>
      <c r="L6343">
        <v>-22.081879999999899</v>
      </c>
      <c r="M6343">
        <v>8.2810159999999994E-2</v>
      </c>
      <c r="N6343">
        <v>0</v>
      </c>
      <c r="O6343">
        <v>0.99653219999999998</v>
      </c>
      <c r="P6343">
        <v>2.1149319999999999E-2</v>
      </c>
      <c r="Q6343">
        <v>1.750589E-2</v>
      </c>
      <c r="R6343">
        <v>0.99962309999999999</v>
      </c>
      <c r="S6343">
        <v>-5.4107669999999997E-2</v>
      </c>
      <c r="T6343">
        <v>-0.2155417</v>
      </c>
      <c r="U6343">
        <v>3.0064700000000002</v>
      </c>
      <c r="V6343">
        <v>-6.1863580000000001E-2</v>
      </c>
      <c r="W6343">
        <v>2.52328E-2</v>
      </c>
      <c r="X6343">
        <v>0.99776559999999903</v>
      </c>
      <c r="Y6343">
        <v>-0.10068580000000001</v>
      </c>
      <c r="Z6343">
        <v>-7.0953379999999996E-2</v>
      </c>
      <c r="AA6343">
        <v>0.99238499999999996</v>
      </c>
      <c r="AB6343">
        <v>32</v>
      </c>
      <c r="AC6343">
        <v>-0.30069999999997699</v>
      </c>
      <c r="AD6343">
        <v>-1.10637059001</v>
      </c>
      <c r="AE6343">
        <v>15.128649999999899</v>
      </c>
      <c r="AF6343">
        <v>-1.54425881838632</v>
      </c>
      <c r="AG6343">
        <v>-1.10637059001</v>
      </c>
      <c r="AH6343">
        <v>14.9717439422392</v>
      </c>
      <c r="AI6343">
        <v>94.204094611851403</v>
      </c>
      <c r="AJ6343">
        <v>95.888941662181296</v>
      </c>
      <c r="AK6343">
        <v>15.091782792386701</v>
      </c>
    </row>
    <row r="6344" spans="1:37" x14ac:dyDescent="0.2">
      <c r="A6344" t="str">
        <f>"20200111160026057"</f>
        <v>20200111160026057</v>
      </c>
      <c r="B6344" t="str">
        <f>"1578729626047526"</f>
        <v>1578729626047526</v>
      </c>
      <c r="C6344" t="s">
        <v>37</v>
      </c>
      <c r="D6344">
        <v>5.639221</v>
      </c>
      <c r="E6344">
        <v>0.5381321</v>
      </c>
      <c r="F6344" t="s">
        <v>38</v>
      </c>
      <c r="G6344">
        <v>-190.01140000000001</v>
      </c>
      <c r="H6344">
        <v>1.0244219999999999</v>
      </c>
      <c r="I6344">
        <v>-21.21312</v>
      </c>
      <c r="J6344">
        <v>-190.07599999999999</v>
      </c>
      <c r="K6344">
        <v>1.1063879999999999</v>
      </c>
      <c r="L6344">
        <v>-21.747620000000001</v>
      </c>
      <c r="M6344">
        <v>7.9566330000000005E-2</v>
      </c>
      <c r="N6344">
        <v>0</v>
      </c>
      <c r="O6344">
        <v>0.99679130000000005</v>
      </c>
      <c r="P6344">
        <v>1.7786360000000001E-2</v>
      </c>
      <c r="Q6344">
        <v>1.6930790000000001E-2</v>
      </c>
      <c r="R6344">
        <v>0.99969850000000005</v>
      </c>
      <c r="S6344">
        <v>0.30673220000000001</v>
      </c>
      <c r="T6344">
        <v>-0.28292420000000001</v>
      </c>
      <c r="U6344">
        <v>2.999603</v>
      </c>
      <c r="V6344">
        <v>-6.1972970000000002E-2</v>
      </c>
      <c r="W6344">
        <v>2.52614E-2</v>
      </c>
      <c r="X6344">
        <v>0.99775809999999998</v>
      </c>
      <c r="Y6344">
        <v>2.1803759999999998E-2</v>
      </c>
      <c r="Z6344">
        <v>-9.3207200000000004E-2</v>
      </c>
      <c r="AA6344">
        <v>0.99540790000000001</v>
      </c>
      <c r="AB6344">
        <v>32</v>
      </c>
      <c r="AC6344">
        <v>6.4599999999984406E-2</v>
      </c>
      <c r="AD6344">
        <v>-8.19659999999999E-2</v>
      </c>
      <c r="AE6344">
        <v>0.53450000000000097</v>
      </c>
      <c r="AF6344">
        <v>2.1370036245875999E-2</v>
      </c>
      <c r="AG6344">
        <v>-8.19659999999999E-2</v>
      </c>
      <c r="AH6344">
        <v>0.52575945848757399</v>
      </c>
      <c r="AI6344">
        <v>98.853898413335301</v>
      </c>
      <c r="AJ6344">
        <v>87.672435086794295</v>
      </c>
      <c r="AK6344">
        <v>0.53253930539848204</v>
      </c>
    </row>
    <row r="6345" spans="1:37" x14ac:dyDescent="0.2">
      <c r="A6345" t="str">
        <f>"20200111160026080"</f>
        <v>20200111160026080</v>
      </c>
      <c r="B6345" t="str">
        <f>"1578729626077781"</f>
        <v>1578729626077781</v>
      </c>
      <c r="C6345" t="s">
        <v>37</v>
      </c>
      <c r="D6345">
        <v>5.5706169999999897</v>
      </c>
      <c r="E6345">
        <v>0.54443900000000001</v>
      </c>
      <c r="F6345" t="s">
        <v>38</v>
      </c>
      <c r="G6345">
        <v>-189.98240000000001</v>
      </c>
      <c r="H6345">
        <v>1.0280479999999901</v>
      </c>
      <c r="I6345">
        <v>-20.924620000000001</v>
      </c>
      <c r="J6345">
        <v>-190.0531</v>
      </c>
      <c r="K6345">
        <v>1.106403</v>
      </c>
      <c r="L6345">
        <v>-21.418489999999998</v>
      </c>
      <c r="M6345">
        <v>7.6330590000000004E-2</v>
      </c>
      <c r="N6345">
        <v>0</v>
      </c>
      <c r="O6345">
        <v>0.99703960000000003</v>
      </c>
      <c r="P6345">
        <v>1.5152290000000001E-2</v>
      </c>
      <c r="Q6345">
        <v>1.634911E-2</v>
      </c>
      <c r="R6345">
        <v>0.99975149999999902</v>
      </c>
      <c r="S6345">
        <v>0.34053040000000001</v>
      </c>
      <c r="T6345">
        <v>-0.28563</v>
      </c>
      <c r="U6345">
        <v>2.999695</v>
      </c>
      <c r="V6345">
        <v>-6.1363590000000003E-2</v>
      </c>
      <c r="W6345">
        <v>2.52042E-2</v>
      </c>
      <c r="X6345">
        <v>0.99779719999999905</v>
      </c>
      <c r="Y6345">
        <v>3.6120069999999997E-2</v>
      </c>
      <c r="Z6345">
        <v>-9.404796E-2</v>
      </c>
      <c r="AA6345">
        <v>0.99491219999999903</v>
      </c>
      <c r="AB6345">
        <v>32</v>
      </c>
      <c r="AC6345">
        <v>7.0699999999987995E-2</v>
      </c>
      <c r="AD6345">
        <v>-7.8355000000000105E-2</v>
      </c>
      <c r="AE6345">
        <v>0.49386999999999698</v>
      </c>
      <c r="AF6345">
        <v>3.2005275437447897E-2</v>
      </c>
      <c r="AG6345">
        <v>-7.8355000000000105E-2</v>
      </c>
      <c r="AH6345">
        <v>0.48584208714067301</v>
      </c>
      <c r="AI6345">
        <v>99.142105804842998</v>
      </c>
      <c r="AJ6345">
        <v>86.231035733733606</v>
      </c>
      <c r="AK6345">
        <v>0.49315958605509502</v>
      </c>
    </row>
    <row r="6346" spans="1:37" x14ac:dyDescent="0.2">
      <c r="A6346" t="str">
        <f>"20200111160026101"</f>
        <v>20200111160026101</v>
      </c>
      <c r="B6346" t="str">
        <f>"1578729626097301"</f>
        <v>1578729626097301</v>
      </c>
      <c r="C6346" t="s">
        <v>37</v>
      </c>
      <c r="D6346">
        <v>5.6008519999999997</v>
      </c>
      <c r="E6346">
        <v>0.54628509999999997</v>
      </c>
      <c r="F6346" t="s">
        <v>38</v>
      </c>
      <c r="G6346">
        <v>-189.9528</v>
      </c>
      <c r="H6346">
        <v>1.034</v>
      </c>
      <c r="I6346">
        <v>-20.635020000000001</v>
      </c>
      <c r="J6346">
        <v>-190.03309999999999</v>
      </c>
      <c r="K6346">
        <v>1.1064240000000001</v>
      </c>
      <c r="L6346">
        <v>-21.116999999999901</v>
      </c>
      <c r="M6346">
        <v>7.3341100000000006E-2</v>
      </c>
      <c r="N6346">
        <v>0</v>
      </c>
      <c r="O6346">
        <v>0.99726000000000004</v>
      </c>
      <c r="P6346">
        <v>1.2751169999999999E-2</v>
      </c>
      <c r="Q6346">
        <v>1.628655E-2</v>
      </c>
      <c r="R6346">
        <v>0.99978609999999901</v>
      </c>
      <c r="S6346">
        <v>0.38368229999999998</v>
      </c>
      <c r="T6346">
        <v>-0.27719969999999999</v>
      </c>
      <c r="U6346">
        <v>2.9994509999999899</v>
      </c>
      <c r="V6346">
        <v>-6.0770669999999999E-2</v>
      </c>
      <c r="W6346">
        <v>2.5562669999999999E-2</v>
      </c>
      <c r="X6346">
        <v>0.99782439999999994</v>
      </c>
      <c r="Y6346">
        <v>5.3259920000000002E-2</v>
      </c>
      <c r="Z6346">
        <v>-9.1221090000000005E-2</v>
      </c>
      <c r="AA6346">
        <v>0.99440539999999999</v>
      </c>
      <c r="AB6346">
        <v>32</v>
      </c>
      <c r="AC6346">
        <v>8.0299999999994001E-2</v>
      </c>
      <c r="AD6346">
        <v>-7.2424000000000002E-2</v>
      </c>
      <c r="AE6346">
        <v>0.48197999999999602</v>
      </c>
      <c r="AF6346">
        <v>4.3771497795019099E-2</v>
      </c>
      <c r="AG6346">
        <v>-7.2424000000000002E-2</v>
      </c>
      <c r="AH6346">
        <v>0.476111585678266</v>
      </c>
      <c r="AI6346">
        <v>98.613500016943306</v>
      </c>
      <c r="AJ6346">
        <v>84.7472566685489</v>
      </c>
      <c r="AK6346">
        <v>0.48357359503212299</v>
      </c>
    </row>
    <row r="6347" spans="1:37" x14ac:dyDescent="0.2">
      <c r="A6347" t="str">
        <f>"20200111160026126"</f>
        <v>20200111160026126</v>
      </c>
      <c r="B6347" t="str">
        <f>"1578729626117330"</f>
        <v>1578729626117330</v>
      </c>
      <c r="C6347" t="s">
        <v>37</v>
      </c>
      <c r="D6347">
        <v>5.6285299999999996</v>
      </c>
      <c r="E6347">
        <v>0.54757559999999905</v>
      </c>
      <c r="F6347" t="s">
        <v>38</v>
      </c>
      <c r="G6347">
        <v>-189.9324</v>
      </c>
      <c r="H6347">
        <v>1.0364169999999999</v>
      </c>
      <c r="I6347">
        <v>-20.346440000000001</v>
      </c>
      <c r="J6347">
        <v>-190.01089999999999</v>
      </c>
      <c r="K6347">
        <v>1.1064449999999999</v>
      </c>
      <c r="L6347">
        <v>-20.766539999999999</v>
      </c>
      <c r="M6347">
        <v>6.9838140000000007E-2</v>
      </c>
      <c r="N6347">
        <v>0</v>
      </c>
      <c r="O6347">
        <v>0.99750729999999999</v>
      </c>
      <c r="P6347">
        <v>9.8709350000000008E-3</v>
      </c>
      <c r="Q6347">
        <v>1.6118819999999999E-2</v>
      </c>
      <c r="R6347">
        <v>0.99982139999999997</v>
      </c>
      <c r="S6347">
        <v>0.39118959999999903</v>
      </c>
      <c r="T6347">
        <v>-0.27267129999999901</v>
      </c>
      <c r="U6347">
        <v>3.000092</v>
      </c>
      <c r="V6347">
        <v>-6.0143149999999999E-2</v>
      </c>
      <c r="W6347">
        <v>2.5822459999999998E-2</v>
      </c>
      <c r="X6347">
        <v>0.99785569999999901</v>
      </c>
      <c r="Y6347">
        <v>5.9204239999999998E-2</v>
      </c>
      <c r="Z6347">
        <v>-8.9728769999999999E-2</v>
      </c>
      <c r="AA6347">
        <v>0.99420499999999901</v>
      </c>
      <c r="AB6347">
        <v>32</v>
      </c>
      <c r="AC6347">
        <v>7.8499999999991105E-2</v>
      </c>
      <c r="AD6347">
        <v>-7.0028000000000201E-2</v>
      </c>
      <c r="AE6347">
        <v>0.42009999999999698</v>
      </c>
      <c r="AF6347">
        <v>4.7687439983710597E-2</v>
      </c>
      <c r="AG6347">
        <v>-7.0028000000000201E-2</v>
      </c>
      <c r="AH6347">
        <v>0.41345573628794202</v>
      </c>
      <c r="AI6347">
        <v>99.550953679976402</v>
      </c>
      <c r="AJ6347">
        <v>83.420652528898401</v>
      </c>
      <c r="AK6347">
        <v>0.42204698622973802</v>
      </c>
    </row>
    <row r="6348" spans="1:37" x14ac:dyDescent="0.2">
      <c r="A6348" t="str">
        <f>"20200111160026146"</f>
        <v>20200111160026146</v>
      </c>
      <c r="B6348" t="str">
        <f>"1578729626137825"</f>
        <v>1578729626137825</v>
      </c>
      <c r="C6348" t="s">
        <v>37</v>
      </c>
      <c r="D6348">
        <v>5.7424850000000003</v>
      </c>
      <c r="E6348">
        <v>0.54851839999999996</v>
      </c>
      <c r="F6348" t="s">
        <v>38</v>
      </c>
      <c r="G6348">
        <v>-189.88210000000001</v>
      </c>
      <c r="H6348">
        <v>1.0176179999999999</v>
      </c>
      <c r="I6348">
        <v>-19.781890000000001</v>
      </c>
      <c r="J6348">
        <v>-189.99270000000001</v>
      </c>
      <c r="K6348">
        <v>1.1064719999999999</v>
      </c>
      <c r="L6348">
        <v>-20.45984</v>
      </c>
      <c r="M6348">
        <v>6.6747050000000002E-2</v>
      </c>
      <c r="N6348">
        <v>0</v>
      </c>
      <c r="O6348">
        <v>0.99771559999999904</v>
      </c>
      <c r="P6348">
        <v>7.0367329999999999E-3</v>
      </c>
      <c r="Q6348">
        <v>1.521135E-2</v>
      </c>
      <c r="R6348">
        <v>0.99985949999999901</v>
      </c>
      <c r="S6348">
        <v>0.39234920000000001</v>
      </c>
      <c r="T6348">
        <v>-0.27077410000000002</v>
      </c>
      <c r="U6348">
        <v>3.0010379999999999</v>
      </c>
      <c r="V6348">
        <v>-5.9878550000000003E-2</v>
      </c>
      <c r="W6348">
        <v>2.523328E-2</v>
      </c>
      <c r="X6348">
        <v>0.99788670000000002</v>
      </c>
      <c r="Y6348">
        <v>6.264169E-2</v>
      </c>
      <c r="Z6348">
        <v>-8.9098499999999997E-2</v>
      </c>
      <c r="AA6348">
        <v>0.99405100000000002</v>
      </c>
      <c r="AB6348">
        <v>32</v>
      </c>
      <c r="AC6348">
        <v>0.110600000000005</v>
      </c>
      <c r="AD6348">
        <v>-8.8853999999999697E-2</v>
      </c>
      <c r="AE6348">
        <v>0.67794999999999905</v>
      </c>
      <c r="AF6348">
        <v>6.4028380299335497E-2</v>
      </c>
      <c r="AG6348">
        <v>-8.8853999999999697E-2</v>
      </c>
      <c r="AH6348">
        <v>0.67256710045398704</v>
      </c>
      <c r="AI6348">
        <v>97.492374172819396</v>
      </c>
      <c r="AJ6348">
        <v>84.561831700410494</v>
      </c>
      <c r="AK6348">
        <v>0.68142583705993998</v>
      </c>
    </row>
    <row r="6349" spans="1:37" x14ac:dyDescent="0.2">
      <c r="A6349" t="str">
        <f>"20200111160026168"</f>
        <v>20200111160026168</v>
      </c>
      <c r="B6349" t="str">
        <f>"1578729626157345"</f>
        <v>1578729626157345</v>
      </c>
      <c r="C6349" t="s">
        <v>37</v>
      </c>
      <c r="D6349">
        <v>5.6013769999999896</v>
      </c>
      <c r="E6349">
        <v>0.54976550000000002</v>
      </c>
      <c r="F6349" t="s">
        <v>38</v>
      </c>
      <c r="G6349">
        <v>-189.86670000000001</v>
      </c>
      <c r="H6349">
        <v>1.018885</v>
      </c>
      <c r="I6349">
        <v>-19.493770000000001</v>
      </c>
      <c r="J6349">
        <v>-189.97540000000001</v>
      </c>
      <c r="K6349">
        <v>1.106492</v>
      </c>
      <c r="L6349">
        <v>-20.15408</v>
      </c>
      <c r="M6349">
        <v>6.3645679999999996E-2</v>
      </c>
      <c r="N6349">
        <v>0</v>
      </c>
      <c r="O6349">
        <v>0.99791529999999995</v>
      </c>
      <c r="P6349">
        <v>4.1055029999999999E-3</v>
      </c>
      <c r="Q6349">
        <v>1.466106E-2</v>
      </c>
      <c r="R6349">
        <v>0.99988410000000005</v>
      </c>
      <c r="S6349">
        <v>0.3912506</v>
      </c>
      <c r="T6349">
        <v>-0.27218700000000001</v>
      </c>
      <c r="U6349">
        <v>3.0018009999999999</v>
      </c>
      <c r="V6349">
        <v>-5.9701940000000002E-2</v>
      </c>
      <c r="W6349">
        <v>2.4961560000000001E-2</v>
      </c>
      <c r="X6349">
        <v>0.99790409999999996</v>
      </c>
      <c r="Y6349">
        <v>6.5347779999999994E-2</v>
      </c>
      <c r="Z6349">
        <v>-8.9558769999999996E-2</v>
      </c>
      <c r="AA6349">
        <v>0.99383539999999904</v>
      </c>
      <c r="AB6349">
        <v>32</v>
      </c>
      <c r="AC6349">
        <v>0.10869999999999801</v>
      </c>
      <c r="AD6349">
        <v>-8.7606999999999893E-2</v>
      </c>
      <c r="AE6349">
        <v>0.66030999999999895</v>
      </c>
      <c r="AF6349">
        <v>6.5331634177172498E-2</v>
      </c>
      <c r="AG6349">
        <v>-8.7606999999999893E-2</v>
      </c>
      <c r="AH6349">
        <v>0.65466981971109495</v>
      </c>
      <c r="AI6349">
        <v>97.584728198016705</v>
      </c>
      <c r="AJ6349">
        <v>84.301135268827196</v>
      </c>
      <c r="AK6349">
        <v>0.66372869586437</v>
      </c>
    </row>
    <row r="6350" spans="1:37" x14ac:dyDescent="0.2">
      <c r="A6350" t="str">
        <f>"20200111160026191"</f>
        <v>20200111160026191</v>
      </c>
      <c r="B6350" t="str">
        <f>"1578729626187602"</f>
        <v>1578729626187602</v>
      </c>
      <c r="C6350" t="s">
        <v>37</v>
      </c>
      <c r="D6350">
        <v>5.6328629999999897</v>
      </c>
      <c r="E6350">
        <v>0.55129329999999999</v>
      </c>
      <c r="F6350" t="s">
        <v>38</v>
      </c>
      <c r="G6350">
        <v>-189.85130000000001</v>
      </c>
      <c r="H6350">
        <v>1.0202639999999901</v>
      </c>
      <c r="I6350">
        <v>-19.205670000000001</v>
      </c>
      <c r="J6350">
        <v>-189.958</v>
      </c>
      <c r="K6350">
        <v>1.1065199999999999</v>
      </c>
      <c r="L6350">
        <v>-19.826260000000001</v>
      </c>
      <c r="M6350">
        <v>6.0303179999999998E-2</v>
      </c>
      <c r="N6350">
        <v>0</v>
      </c>
      <c r="O6350">
        <v>0.99812000000000001</v>
      </c>
      <c r="P6350">
        <v>1.2394699999999999E-3</v>
      </c>
      <c r="Q6350">
        <v>1.375443E-2</v>
      </c>
      <c r="R6350">
        <v>0.99990460000000003</v>
      </c>
      <c r="S6350">
        <v>0.39279169999999902</v>
      </c>
      <c r="T6350">
        <v>-0.2730342</v>
      </c>
      <c r="U6350">
        <v>3.0027469999999998</v>
      </c>
      <c r="V6350">
        <v>-5.9217999999999903E-2</v>
      </c>
      <c r="W6350">
        <v>2.4315170000000001E-2</v>
      </c>
      <c r="X6350">
        <v>0.99794889999999903</v>
      </c>
      <c r="Y6350">
        <v>6.9147420000000001E-2</v>
      </c>
      <c r="Z6350">
        <v>-8.9820869999999997E-2</v>
      </c>
      <c r="AA6350">
        <v>0.99355469999999901</v>
      </c>
      <c r="AB6350">
        <v>32</v>
      </c>
      <c r="AC6350">
        <v>0.106699999999989</v>
      </c>
      <c r="AD6350">
        <v>-8.6256000000000305E-2</v>
      </c>
      <c r="AE6350">
        <v>0.62058999999999997</v>
      </c>
      <c r="AF6350">
        <v>6.7807679571066301E-2</v>
      </c>
      <c r="AG6350">
        <v>-8.6256000000000305E-2</v>
      </c>
      <c r="AH6350">
        <v>0.61436742584434201</v>
      </c>
      <c r="AI6350">
        <v>97.944359130752005</v>
      </c>
      <c r="AJ6350">
        <v>83.701761265189603</v>
      </c>
      <c r="AK6350">
        <v>0.62408758430481204</v>
      </c>
    </row>
    <row r="6351" spans="1:37" x14ac:dyDescent="0.2">
      <c r="A6351" t="str">
        <f>"20200111160026212"</f>
        <v>20200111160026212</v>
      </c>
      <c r="B6351" t="str">
        <f>"1578729626207121"</f>
        <v>1578729626207121</v>
      </c>
      <c r="C6351" t="s">
        <v>37</v>
      </c>
      <c r="D6351">
        <v>5.605925</v>
      </c>
      <c r="E6351">
        <v>0.55217959999999899</v>
      </c>
      <c r="F6351" t="s">
        <v>38</v>
      </c>
      <c r="G6351">
        <v>-189.83779999999999</v>
      </c>
      <c r="H6351">
        <v>1.0237689999999999</v>
      </c>
      <c r="I6351">
        <v>-18.916519999999998</v>
      </c>
      <c r="J6351">
        <v>-189.94239999999999</v>
      </c>
      <c r="K6351">
        <v>1.1064290000000001</v>
      </c>
      <c r="L6351">
        <v>-19.51474</v>
      </c>
      <c r="M6351">
        <v>5.7144390000000003E-2</v>
      </c>
      <c r="N6351">
        <v>0</v>
      </c>
      <c r="O6351">
        <v>0.99830739999999996</v>
      </c>
      <c r="P6351">
        <v>-1.8503199999999999E-3</v>
      </c>
      <c r="Q6351">
        <v>1.410464E-2</v>
      </c>
      <c r="R6351">
        <v>0.99989879999999998</v>
      </c>
      <c r="S6351">
        <v>0.3968353</v>
      </c>
      <c r="T6351">
        <v>-0.27322579999999902</v>
      </c>
      <c r="U6351">
        <v>3.0035400000000001</v>
      </c>
      <c r="V6351">
        <v>-5.9144410000000001E-2</v>
      </c>
      <c r="W6351">
        <v>2.4523489999999998E-2</v>
      </c>
      <c r="X6351">
        <v>0.99794819999999995</v>
      </c>
      <c r="Y6351">
        <v>7.3584300000000005E-2</v>
      </c>
      <c r="Z6351">
        <v>-8.9862990000000004E-2</v>
      </c>
      <c r="AA6351">
        <v>0.99323209999999995</v>
      </c>
      <c r="AB6351">
        <v>32</v>
      </c>
      <c r="AC6351">
        <v>0.104600000000004</v>
      </c>
      <c r="AD6351">
        <v>-8.26599999999999E-2</v>
      </c>
      <c r="AE6351">
        <v>0.59821999999999698</v>
      </c>
      <c r="AF6351">
        <v>6.8964480461476296E-2</v>
      </c>
      <c r="AG6351">
        <v>-8.26599999999999E-2</v>
      </c>
      <c r="AH6351">
        <v>0.59224780569019297</v>
      </c>
      <c r="AI6351">
        <v>97.892790744385493</v>
      </c>
      <c r="AJ6351">
        <v>83.358087658462907</v>
      </c>
      <c r="AK6351">
        <v>0.60195202342891896</v>
      </c>
    </row>
    <row r="6352" spans="1:37" x14ac:dyDescent="0.2">
      <c r="A6352" t="str">
        <f>"20200111160026236"</f>
        <v>20200111160026236</v>
      </c>
      <c r="B6352" t="str">
        <f>"1578729626227617"</f>
        <v>1578729626227617</v>
      </c>
      <c r="C6352" t="s">
        <v>37</v>
      </c>
      <c r="D6352">
        <v>5.6659519999999999</v>
      </c>
      <c r="E6352">
        <v>0.55301160000000005</v>
      </c>
      <c r="F6352" t="s">
        <v>38</v>
      </c>
      <c r="G6352">
        <v>-189.82550000000001</v>
      </c>
      <c r="H6352">
        <v>1.02597</v>
      </c>
      <c r="I6352">
        <v>-18.624659999999999</v>
      </c>
      <c r="J6352">
        <v>-189.92599999999999</v>
      </c>
      <c r="K6352">
        <v>1.1060129999999999</v>
      </c>
      <c r="L6352">
        <v>-19.171970000000002</v>
      </c>
      <c r="M6352">
        <v>5.3801790000000002E-2</v>
      </c>
      <c r="N6352">
        <v>0</v>
      </c>
      <c r="O6352">
        <v>0.99850399999999995</v>
      </c>
      <c r="P6352">
        <v>-5.1354189999999996E-3</v>
      </c>
      <c r="Q6352">
        <v>1.5537530000000001E-2</v>
      </c>
      <c r="R6352">
        <v>0.99986609999999998</v>
      </c>
      <c r="S6352">
        <v>0.39437870000000003</v>
      </c>
      <c r="T6352">
        <v>-0.27169599999999999</v>
      </c>
      <c r="U6352">
        <v>3.0048520000000001</v>
      </c>
      <c r="V6352">
        <v>-5.9076280000000002E-2</v>
      </c>
      <c r="W6352">
        <v>2.4911039999999999E-2</v>
      </c>
      <c r="X6352">
        <v>0.99794259999999901</v>
      </c>
      <c r="Y6352">
        <v>7.6075030000000002E-2</v>
      </c>
      <c r="Z6352">
        <v>-8.9346679999999998E-2</v>
      </c>
      <c r="AA6352">
        <v>0.99309099999999995</v>
      </c>
      <c r="AB6352">
        <v>32</v>
      </c>
      <c r="AC6352">
        <v>0.10049999999998201</v>
      </c>
      <c r="AD6352">
        <v>-8.0042999999999795E-2</v>
      </c>
      <c r="AE6352">
        <v>0.54730999999999896</v>
      </c>
      <c r="AF6352">
        <v>6.9469388274804394E-2</v>
      </c>
      <c r="AG6352">
        <v>-8.0042999999999795E-2</v>
      </c>
      <c r="AH6352">
        <v>0.54073627854519501</v>
      </c>
      <c r="AI6352">
        <v>98.352451303209094</v>
      </c>
      <c r="AJ6352">
        <v>82.6792062486101</v>
      </c>
      <c r="AK6352">
        <v>0.55102504543004405</v>
      </c>
    </row>
    <row r="6353" spans="1:37" x14ac:dyDescent="0.2">
      <c r="A6353" t="str">
        <f>"20200111160026257"</f>
        <v>20200111160026257</v>
      </c>
      <c r="B6353" t="str">
        <f>"1578729626247140"</f>
        <v>1578729626247140</v>
      </c>
      <c r="C6353" t="s">
        <v>37</v>
      </c>
      <c r="D6353">
        <v>5.6271300000000002</v>
      </c>
      <c r="E6353">
        <v>0.55390079999999997</v>
      </c>
      <c r="F6353" t="s">
        <v>38</v>
      </c>
      <c r="G6353">
        <v>-189.81620000000001</v>
      </c>
      <c r="H6353">
        <v>1.031523</v>
      </c>
      <c r="I6353">
        <v>-18.32856</v>
      </c>
      <c r="J6353">
        <v>-189.91139999999999</v>
      </c>
      <c r="K6353">
        <v>1.105618</v>
      </c>
      <c r="L6353">
        <v>-18.851779999999899</v>
      </c>
      <c r="M6353">
        <v>5.0795750000000001E-2</v>
      </c>
      <c r="N6353">
        <v>0</v>
      </c>
      <c r="O6353">
        <v>0.99867229999999996</v>
      </c>
      <c r="P6353">
        <v>-7.8215669999999998E-3</v>
      </c>
      <c r="Q6353">
        <v>1.7661659999999999E-2</v>
      </c>
      <c r="R6353">
        <v>0.99981339999999996</v>
      </c>
      <c r="S6353">
        <v>0.39114379999999999</v>
      </c>
      <c r="T6353">
        <v>-0.26558619999999999</v>
      </c>
      <c r="U6353">
        <v>3.0065309999999998</v>
      </c>
      <c r="V6353">
        <v>-5.874886E-2</v>
      </c>
      <c r="W6353">
        <v>2.5879659999999999E-2</v>
      </c>
      <c r="X6353">
        <v>0.99793729999999903</v>
      </c>
      <c r="Y6353">
        <v>7.7978019999999995E-2</v>
      </c>
      <c r="Z6353">
        <v>-8.7325269999999997E-2</v>
      </c>
      <c r="AA6353">
        <v>0.99312319999999998</v>
      </c>
      <c r="AB6353">
        <v>33</v>
      </c>
      <c r="AC6353">
        <v>9.5199999999976997E-2</v>
      </c>
      <c r="AD6353">
        <v>-7.4094999999999994E-2</v>
      </c>
      <c r="AE6353">
        <v>0.52321999999999802</v>
      </c>
      <c r="AF6353">
        <v>6.7194405765684903E-2</v>
      </c>
      <c r="AG6353">
        <v>-7.4094999999999994E-2</v>
      </c>
      <c r="AH6353">
        <v>0.51733801202172103</v>
      </c>
      <c r="AI6353">
        <v>98.083684036855203</v>
      </c>
      <c r="AJ6353">
        <v>82.599572043938906</v>
      </c>
      <c r="AK6353">
        <v>0.52691913599127405</v>
      </c>
    </row>
    <row r="6354" spans="1:37" x14ac:dyDescent="0.2">
      <c r="A6354" t="str">
        <f>"20200111160026281"</f>
        <v>20200111160026281</v>
      </c>
      <c r="B6354" t="str">
        <f>"1578729626277394"</f>
        <v>1578729626277394</v>
      </c>
      <c r="C6354" t="s">
        <v>37</v>
      </c>
      <c r="D6354">
        <v>5.6867089999999996</v>
      </c>
      <c r="E6354">
        <v>0.55495859999999997</v>
      </c>
      <c r="F6354" t="s">
        <v>38</v>
      </c>
      <c r="G6354">
        <v>-189.8048</v>
      </c>
      <c r="H6354">
        <v>1.0350509999999999</v>
      </c>
      <c r="I6354">
        <v>-18.03134</v>
      </c>
      <c r="J6354">
        <v>-189.8963</v>
      </c>
      <c r="K6354">
        <v>1.105261</v>
      </c>
      <c r="L6354">
        <v>-18.50778</v>
      </c>
      <c r="M6354">
        <v>4.7632519999999998E-2</v>
      </c>
      <c r="N6354">
        <v>0</v>
      </c>
      <c r="O6354">
        <v>0.99883820000000001</v>
      </c>
      <c r="P6354">
        <v>-1.055481E-2</v>
      </c>
      <c r="Q6354">
        <v>1.966625E-2</v>
      </c>
      <c r="R6354">
        <v>0.9997509</v>
      </c>
      <c r="S6354">
        <v>0.39028930000000001</v>
      </c>
      <c r="T6354">
        <v>-0.25883</v>
      </c>
      <c r="U6354">
        <v>3.0081790000000002</v>
      </c>
      <c r="V6354">
        <v>-5.8310859999999999E-2</v>
      </c>
      <c r="W6354">
        <v>2.6640899999999999E-2</v>
      </c>
      <c r="X6354">
        <v>0.99794289999999997</v>
      </c>
      <c r="Y6354">
        <v>8.0813609999999994E-2</v>
      </c>
      <c r="Z6354">
        <v>-8.5086049999999996E-2</v>
      </c>
      <c r="AA6354">
        <v>0.9930909</v>
      </c>
      <c r="AB6354">
        <v>33</v>
      </c>
      <c r="AC6354">
        <v>9.1499999999996307E-2</v>
      </c>
      <c r="AD6354">
        <v>-7.0210000000000106E-2</v>
      </c>
      <c r="AE6354">
        <v>0.47643999999999997</v>
      </c>
      <c r="AF6354">
        <v>6.7292150279709001E-2</v>
      </c>
      <c r="AG6354">
        <v>-7.0210000000000106E-2</v>
      </c>
      <c r="AH6354">
        <v>0.47040567077786399</v>
      </c>
      <c r="AI6354">
        <v>98.404648487303305</v>
      </c>
      <c r="AJ6354">
        <v>81.858995144287604</v>
      </c>
      <c r="AK6354">
        <v>0.480353174954886</v>
      </c>
    </row>
    <row r="6355" spans="1:37" x14ac:dyDescent="0.2">
      <c r="A6355" t="str">
        <f>"20200111160026301"</f>
        <v>20200111160026301</v>
      </c>
      <c r="B6355" t="str">
        <f>"1578729626297890"</f>
        <v>1578729626297890</v>
      </c>
      <c r="C6355" t="s">
        <v>37</v>
      </c>
      <c r="D6355">
        <v>5.6254379999999999</v>
      </c>
      <c r="E6355">
        <v>0.55567279999999997</v>
      </c>
      <c r="F6355" t="s">
        <v>38</v>
      </c>
      <c r="G6355">
        <v>-189.7955</v>
      </c>
      <c r="H6355">
        <v>1.040311</v>
      </c>
      <c r="I6355">
        <v>-17.73086</v>
      </c>
      <c r="J6355">
        <v>-189.88339999999999</v>
      </c>
      <c r="K6355">
        <v>1.105057</v>
      </c>
      <c r="L6355">
        <v>-18.195920000000001</v>
      </c>
      <c r="M6355">
        <v>4.4843729999999998E-2</v>
      </c>
      <c r="N6355">
        <v>0</v>
      </c>
      <c r="O6355">
        <v>0.9989749</v>
      </c>
      <c r="P6355">
        <v>-1.251534E-2</v>
      </c>
      <c r="Q6355">
        <v>2.1062290000000001E-2</v>
      </c>
      <c r="R6355">
        <v>0.99969979999999903</v>
      </c>
      <c r="S6355">
        <v>0.39038089999999998</v>
      </c>
      <c r="T6355">
        <v>-0.25163560000000001</v>
      </c>
      <c r="U6355">
        <v>3.009827</v>
      </c>
      <c r="V6355">
        <v>-5.7479549999999997E-2</v>
      </c>
      <c r="W6355">
        <v>2.6929760000000001E-2</v>
      </c>
      <c r="X6355">
        <v>0.99798339999999996</v>
      </c>
      <c r="Y6355">
        <v>8.3582459999999997E-2</v>
      </c>
      <c r="Z6355">
        <v>-8.2699239999999993E-2</v>
      </c>
      <c r="AA6355">
        <v>0.99306329999999998</v>
      </c>
      <c r="AB6355">
        <v>33</v>
      </c>
      <c r="AC6355">
        <v>8.78999999999905E-2</v>
      </c>
      <c r="AD6355">
        <v>-6.4745999999999901E-2</v>
      </c>
      <c r="AE6355">
        <v>0.46506000000000097</v>
      </c>
      <c r="AF6355">
        <v>6.5726155636939898E-2</v>
      </c>
      <c r="AG6355">
        <v>-6.4745999999999901E-2</v>
      </c>
      <c r="AH6355">
        <v>0.45992695864281302</v>
      </c>
      <c r="AI6355">
        <v>97.933571197172398</v>
      </c>
      <c r="AJ6355">
        <v>81.867174646845996</v>
      </c>
      <c r="AK6355">
        <v>0.469089308487455</v>
      </c>
    </row>
    <row r="6356" spans="1:37" x14ac:dyDescent="0.2">
      <c r="A6356" t="str">
        <f>"20200111160026326"</f>
        <v>20200111160026326</v>
      </c>
      <c r="B6356" t="str">
        <f>"1578729626317412"</f>
        <v>1578729626317412</v>
      </c>
      <c r="C6356" t="s">
        <v>37</v>
      </c>
      <c r="D6356">
        <v>5.8344120000000004</v>
      </c>
      <c r="E6356">
        <v>0.57450869999999998</v>
      </c>
      <c r="F6356" t="s">
        <v>38</v>
      </c>
      <c r="G6356">
        <v>-189.78399999999999</v>
      </c>
      <c r="H6356">
        <v>1.042233</v>
      </c>
      <c r="I6356">
        <v>-17.42971</v>
      </c>
      <c r="J6356">
        <v>-189.86940000000001</v>
      </c>
      <c r="K6356">
        <v>1.1049450000000001</v>
      </c>
      <c r="L6356">
        <v>-17.837620000000001</v>
      </c>
      <c r="M6356">
        <v>4.1737070000000001E-2</v>
      </c>
      <c r="N6356">
        <v>0</v>
      </c>
      <c r="O6356">
        <v>0.99911620000000001</v>
      </c>
      <c r="P6356">
        <v>-1.499554E-2</v>
      </c>
      <c r="Q6356">
        <v>2.3077339999999998E-2</v>
      </c>
      <c r="R6356">
        <v>0.99962119999999999</v>
      </c>
      <c r="S6356">
        <v>0.39039609999999902</v>
      </c>
      <c r="T6356">
        <v>-0.2469326</v>
      </c>
      <c r="U6356">
        <v>3.0109859999999999</v>
      </c>
      <c r="V6356">
        <v>-5.6857280000000003E-2</v>
      </c>
      <c r="W6356">
        <v>2.7729119999999999E-2</v>
      </c>
      <c r="X6356">
        <v>0.99799720000000003</v>
      </c>
      <c r="Y6356">
        <v>8.6653709999999995E-2</v>
      </c>
      <c r="Z6356">
        <v>-8.1138829999999995E-2</v>
      </c>
      <c r="AA6356">
        <v>0.99292879999999994</v>
      </c>
      <c r="AB6356">
        <v>34</v>
      </c>
      <c r="AC6356">
        <v>8.5399999999992801E-2</v>
      </c>
      <c r="AD6356">
        <v>-6.2712000000000101E-2</v>
      </c>
      <c r="AE6356">
        <v>0.40791000000000099</v>
      </c>
      <c r="AF6356">
        <v>6.6788092076325703E-2</v>
      </c>
      <c r="AG6356">
        <v>-6.2712000000000101E-2</v>
      </c>
      <c r="AH6356">
        <v>0.40201592173557499</v>
      </c>
      <c r="AI6356">
        <v>98.748317228946505</v>
      </c>
      <c r="AJ6356">
        <v>80.567433452539404</v>
      </c>
      <c r="AK6356">
        <v>0.41232298688782798</v>
      </c>
    </row>
    <row r="6357" spans="1:37" x14ac:dyDescent="0.2">
      <c r="A6357" t="str">
        <f>"20200111160026347"</f>
        <v>20200111160026347</v>
      </c>
      <c r="B6357" t="str">
        <f>"1578729626337906"</f>
        <v>1578729626337906</v>
      </c>
      <c r="C6357" t="s">
        <v>37</v>
      </c>
      <c r="D6357">
        <v>5.6505219999999996</v>
      </c>
      <c r="E6357">
        <v>0.56374250000000004</v>
      </c>
      <c r="F6357" t="s">
        <v>39</v>
      </c>
      <c r="G6357">
        <v>-185.66900000000001</v>
      </c>
      <c r="H6357" s="1">
        <v>-3.3494329999999999E-6</v>
      </c>
      <c r="I6357">
        <v>5.64961</v>
      </c>
      <c r="J6357">
        <v>-189.85740000000001</v>
      </c>
      <c r="K6357">
        <v>1.1049610000000001</v>
      </c>
      <c r="L6357">
        <v>-17.50189</v>
      </c>
      <c r="M6357">
        <v>3.8909329999999999E-2</v>
      </c>
      <c r="N6357">
        <v>0</v>
      </c>
      <c r="O6357">
        <v>0.99923490000000004</v>
      </c>
      <c r="P6357">
        <v>-1.7378040000000001E-2</v>
      </c>
      <c r="Q6357">
        <v>2.5013270000000001E-2</v>
      </c>
      <c r="R6357">
        <v>0.99953599999999998</v>
      </c>
      <c r="S6357">
        <v>0.538742099999999</v>
      </c>
      <c r="T6357">
        <v>-0.14172119999999999</v>
      </c>
      <c r="U6357">
        <v>3.0124819999999999</v>
      </c>
      <c r="V6357">
        <v>-5.6421810000000003E-2</v>
      </c>
      <c r="W6357">
        <v>2.8648099999999999E-2</v>
      </c>
      <c r="X6357">
        <v>0.99799590000000005</v>
      </c>
      <c r="Y6357">
        <v>0.13741919999999999</v>
      </c>
      <c r="Z6357">
        <v>-4.6349699999999897E-2</v>
      </c>
      <c r="AA6357">
        <v>0.98942790000000003</v>
      </c>
      <c r="AB6357">
        <v>34</v>
      </c>
      <c r="AC6357">
        <v>4.1883999999999997</v>
      </c>
      <c r="AD6357">
        <v>-1.1049643494329999</v>
      </c>
      <c r="AE6357">
        <v>23.151499999999999</v>
      </c>
      <c r="AF6357">
        <v>3.2771832783210399</v>
      </c>
      <c r="AG6357">
        <v>-1.1049643494329999</v>
      </c>
      <c r="AH6357">
        <v>23.245663674527801</v>
      </c>
      <c r="AI6357">
        <v>92.694852252282502</v>
      </c>
      <c r="AJ6357">
        <v>81.975303316102199</v>
      </c>
      <c r="AK6357">
        <v>23.501526676420099</v>
      </c>
    </row>
    <row r="6358" spans="1:37" x14ac:dyDescent="0.2">
      <c r="A6358" t="str">
        <f>"20200111160026371"</f>
        <v>20200111160026371</v>
      </c>
      <c r="B6358" t="str">
        <f>"1578729626367185"</f>
        <v>1578729626367185</v>
      </c>
      <c r="C6358" t="s">
        <v>37</v>
      </c>
      <c r="D6358">
        <v>5.693988</v>
      </c>
      <c r="E6358">
        <v>0.56440630000000003</v>
      </c>
      <c r="F6358" t="s">
        <v>38</v>
      </c>
      <c r="G6358">
        <v>-189.71420000000001</v>
      </c>
      <c r="H6358">
        <v>1.028233</v>
      </c>
      <c r="I6358">
        <v>-16.52225</v>
      </c>
      <c r="J6358">
        <v>-189.8458</v>
      </c>
      <c r="K6358">
        <v>1.1050450000000001</v>
      </c>
      <c r="L6358">
        <v>-17.14658</v>
      </c>
      <c r="M6358">
        <v>3.5958270000000001E-2</v>
      </c>
      <c r="N6358">
        <v>0</v>
      </c>
      <c r="O6358">
        <v>0.99934859999999903</v>
      </c>
      <c r="P6358">
        <v>-1.9877470000000001E-2</v>
      </c>
      <c r="Q6358">
        <v>2.607137E-2</v>
      </c>
      <c r="R6358">
        <v>0.99946239999999997</v>
      </c>
      <c r="S6358">
        <v>0.4403687</v>
      </c>
      <c r="T6358">
        <v>-0.23617089999999999</v>
      </c>
      <c r="U6358">
        <v>3.0149539999999999</v>
      </c>
      <c r="V6358">
        <v>-5.5980429999999998E-2</v>
      </c>
      <c r="W6358">
        <v>2.8790130000000001E-2</v>
      </c>
      <c r="X6358">
        <v>0.99801669999999998</v>
      </c>
      <c r="Y6358">
        <v>0.1084203</v>
      </c>
      <c r="Z6358">
        <v>-7.7380439999999995E-2</v>
      </c>
      <c r="AA6358">
        <v>0.99108890000000005</v>
      </c>
      <c r="AB6358">
        <v>34</v>
      </c>
      <c r="AC6358">
        <v>0.131599999999991</v>
      </c>
      <c r="AD6358">
        <v>-7.6812000000000102E-2</v>
      </c>
      <c r="AE6358">
        <v>0.62433000000000005</v>
      </c>
      <c r="AF6358">
        <v>0.10750689248088501</v>
      </c>
      <c r="AG6358">
        <v>-7.6812000000000102E-2</v>
      </c>
      <c r="AH6358">
        <v>0.61967755037393601</v>
      </c>
      <c r="AI6358">
        <v>96.963076401589703</v>
      </c>
      <c r="AJ6358">
        <v>80.157808432893503</v>
      </c>
      <c r="AK6358">
        <v>0.63360719828008505</v>
      </c>
    </row>
    <row r="6359" spans="1:37" x14ac:dyDescent="0.2">
      <c r="A6359" t="str">
        <f>"20200111160026391"</f>
        <v>20200111160026391</v>
      </c>
      <c r="B6359" t="str">
        <f>"1578729626387682"</f>
        <v>1578729626387682</v>
      </c>
      <c r="C6359" t="s">
        <v>37</v>
      </c>
      <c r="D6359">
        <v>5.6804430000000004</v>
      </c>
      <c r="E6359">
        <v>0.565644699999999</v>
      </c>
      <c r="F6359" t="s">
        <v>38</v>
      </c>
      <c r="G6359">
        <v>-189.71</v>
      </c>
      <c r="H6359">
        <v>1.030051</v>
      </c>
      <c r="I6359">
        <v>-16.211510000000001</v>
      </c>
      <c r="J6359">
        <v>-189.83619999999999</v>
      </c>
      <c r="K6359">
        <v>1.105159</v>
      </c>
      <c r="L6359">
        <v>-16.822240000000001</v>
      </c>
      <c r="M6359">
        <v>3.327944E-2</v>
      </c>
      <c r="N6359">
        <v>0</v>
      </c>
      <c r="O6359">
        <v>0.99944319999999898</v>
      </c>
      <c r="P6359">
        <v>-2.286786E-2</v>
      </c>
      <c r="Q6359">
        <v>2.6742769999999999E-2</v>
      </c>
      <c r="R6359">
        <v>0.99938079999999996</v>
      </c>
      <c r="S6359">
        <v>0.4378204</v>
      </c>
      <c r="T6359">
        <v>-0.24201500000000001</v>
      </c>
      <c r="U6359">
        <v>3.016632</v>
      </c>
      <c r="V6359">
        <v>-5.6299759999999997E-2</v>
      </c>
      <c r="W6359">
        <v>2.8783940000000001E-2</v>
      </c>
      <c r="X6359">
        <v>0.99799889999999902</v>
      </c>
      <c r="Y6359">
        <v>0.110165</v>
      </c>
      <c r="Z6359">
        <v>-7.924805E-2</v>
      </c>
      <c r="AA6359">
        <v>0.99074889999999904</v>
      </c>
      <c r="AB6359">
        <v>35</v>
      </c>
      <c r="AC6359">
        <v>0.12619999999998299</v>
      </c>
      <c r="AD6359">
        <v>-7.5107999999999897E-2</v>
      </c>
      <c r="AE6359">
        <v>0.61073</v>
      </c>
      <c r="AF6359">
        <v>0.10429253158381201</v>
      </c>
      <c r="AG6359">
        <v>-7.5107999999999897E-2</v>
      </c>
      <c r="AH6359">
        <v>0.605804448850636</v>
      </c>
      <c r="AI6359">
        <v>96.966054930113501</v>
      </c>
      <c r="AJ6359">
        <v>80.231968794406797</v>
      </c>
      <c r="AK6359">
        <v>0.619287634347225</v>
      </c>
    </row>
    <row r="6360" spans="1:37" x14ac:dyDescent="0.2">
      <c r="A6360" t="str">
        <f>"20200111160026415"</f>
        <v>20200111160026415</v>
      </c>
      <c r="B6360" t="str">
        <f>"1578729626407201"</f>
        <v>1578729626407201</v>
      </c>
      <c r="C6360" t="s">
        <v>37</v>
      </c>
      <c r="D6360">
        <v>5.708736</v>
      </c>
      <c r="E6360">
        <v>0.56579990000000002</v>
      </c>
      <c r="F6360" t="s">
        <v>38</v>
      </c>
      <c r="G6360">
        <v>-189.702</v>
      </c>
      <c r="H6360">
        <v>1.031655</v>
      </c>
      <c r="I6360">
        <v>-15.89894</v>
      </c>
      <c r="J6360">
        <v>-189.82689999999999</v>
      </c>
      <c r="K6360">
        <v>1.1053120000000001</v>
      </c>
      <c r="L6360">
        <v>-16.464110000000002</v>
      </c>
      <c r="M6360">
        <v>3.0327670000000001E-2</v>
      </c>
      <c r="N6360">
        <v>0</v>
      </c>
      <c r="O6360">
        <v>0.99953819999999904</v>
      </c>
      <c r="P6360">
        <v>-2.5872010000000001E-2</v>
      </c>
      <c r="Q6360">
        <v>2.753152E-2</v>
      </c>
      <c r="R6360">
        <v>0.99928609999999896</v>
      </c>
      <c r="S6360">
        <v>0.4386139</v>
      </c>
      <c r="T6360">
        <v>-0.24036379999999999</v>
      </c>
      <c r="U6360">
        <v>3.0183409999999999</v>
      </c>
      <c r="V6360">
        <v>-5.6362669999999997E-2</v>
      </c>
      <c r="W6360">
        <v>2.9024649999999999E-2</v>
      </c>
      <c r="X6360">
        <v>0.9979884</v>
      </c>
      <c r="Y6360">
        <v>0.1132817</v>
      </c>
      <c r="Z6360">
        <v>-7.8662700000000002E-2</v>
      </c>
      <c r="AA6360">
        <v>0.99044409999999905</v>
      </c>
      <c r="AB6360">
        <v>35</v>
      </c>
      <c r="AC6360">
        <v>0.124899999999996</v>
      </c>
      <c r="AD6360">
        <v>-7.3657E-2</v>
      </c>
      <c r="AE6360">
        <v>0.56517000000000195</v>
      </c>
      <c r="AF6360">
        <v>0.105985864494079</v>
      </c>
      <c r="AG6360">
        <v>-7.3657E-2</v>
      </c>
      <c r="AH6360">
        <v>0.55963508518663396</v>
      </c>
      <c r="AI6360">
        <v>97.368453446592099</v>
      </c>
      <c r="AJ6360">
        <v>79.276107799229706</v>
      </c>
      <c r="AK6360">
        <v>0.57432550499991597</v>
      </c>
    </row>
    <row r="6361" spans="1:37" x14ac:dyDescent="0.2">
      <c r="A6361" t="str">
        <f>"20200111160026437"</f>
        <v>20200111160026437</v>
      </c>
      <c r="B6361" t="str">
        <f>"1578729626427698"</f>
        <v>1578729626427698</v>
      </c>
      <c r="C6361" t="s">
        <v>37</v>
      </c>
      <c r="D6361">
        <v>5.6688999999999998</v>
      </c>
      <c r="E6361">
        <v>0.5661079</v>
      </c>
      <c r="F6361" t="s">
        <v>38</v>
      </c>
      <c r="G6361">
        <v>-189.7011</v>
      </c>
      <c r="H6361">
        <v>1.0363819999999999</v>
      </c>
      <c r="I6361">
        <v>-15.58292</v>
      </c>
      <c r="J6361">
        <v>-189.81870000000001</v>
      </c>
      <c r="K6361">
        <v>1.10545</v>
      </c>
      <c r="L6361">
        <v>-16.105129999999999</v>
      </c>
      <c r="M6361">
        <v>2.736104E-2</v>
      </c>
      <c r="N6361">
        <v>0</v>
      </c>
      <c r="O6361">
        <v>0.99962439999999997</v>
      </c>
      <c r="P6361">
        <v>-2.9157019999999999E-2</v>
      </c>
      <c r="Q6361">
        <v>2.8751990000000002E-2</v>
      </c>
      <c r="R6361">
        <v>0.99916119999999997</v>
      </c>
      <c r="S6361">
        <v>0.43077089999999901</v>
      </c>
      <c r="T6361">
        <v>-0.23628679999999999</v>
      </c>
      <c r="U6361">
        <v>3.019806</v>
      </c>
      <c r="V6361">
        <v>-5.6693859999999999E-2</v>
      </c>
      <c r="W6361">
        <v>2.9886869999999999E-2</v>
      </c>
      <c r="X6361">
        <v>0.99794419999999995</v>
      </c>
      <c r="Y6361">
        <v>0.11365649999999999</v>
      </c>
      <c r="Z6361">
        <v>-7.732203E-2</v>
      </c>
      <c r="AA6361">
        <v>0.99050669999999996</v>
      </c>
      <c r="AB6361">
        <v>35</v>
      </c>
      <c r="AC6361">
        <v>0.11760000000001</v>
      </c>
      <c r="AD6361">
        <v>-6.9068000000000102E-2</v>
      </c>
      <c r="AE6361">
        <v>0.52220999999999695</v>
      </c>
      <c r="AF6361">
        <v>0.10157663244302</v>
      </c>
      <c r="AG6361">
        <v>-6.9068000000000102E-2</v>
      </c>
      <c r="AH6361">
        <v>0.51663094674054799</v>
      </c>
      <c r="AI6361">
        <v>97.473264745060604</v>
      </c>
      <c r="AJ6361">
        <v>78.8767563567406</v>
      </c>
      <c r="AK6361">
        <v>0.53103270710239603</v>
      </c>
    </row>
    <row r="6362" spans="1:37" x14ac:dyDescent="0.2">
      <c r="A6362" t="str">
        <f>"20200111160026460"</f>
        <v>20200111160026460</v>
      </c>
      <c r="B6362" t="str">
        <f>"1578729626456977"</f>
        <v>1578729626456977</v>
      </c>
      <c r="C6362" t="s">
        <v>37</v>
      </c>
      <c r="D6362">
        <v>5.6455690000000001</v>
      </c>
      <c r="E6362">
        <v>0.5797658</v>
      </c>
      <c r="F6362" t="s">
        <v>38</v>
      </c>
      <c r="G6362">
        <v>-189.7011</v>
      </c>
      <c r="H6362">
        <v>1.0400969999999901</v>
      </c>
      <c r="I6362">
        <v>-15.265650000000001</v>
      </c>
      <c r="J6362">
        <v>-189.8115</v>
      </c>
      <c r="K6362">
        <v>1.105572</v>
      </c>
      <c r="L6362">
        <v>-15.7363</v>
      </c>
      <c r="M6362">
        <v>2.4282829999999998E-2</v>
      </c>
      <c r="N6362">
        <v>0</v>
      </c>
      <c r="O6362">
        <v>0.99970419999999904</v>
      </c>
      <c r="P6362">
        <v>-3.2829520000000001E-2</v>
      </c>
      <c r="Q6362">
        <v>2.9102329999999999E-2</v>
      </c>
      <c r="R6362">
        <v>0.99903709999999901</v>
      </c>
      <c r="S6362">
        <v>0.42318729999999899</v>
      </c>
      <c r="T6362">
        <v>-0.23523620000000001</v>
      </c>
      <c r="U6362">
        <v>3.0216369999999899</v>
      </c>
      <c r="V6362">
        <v>-5.7294600000000001E-2</v>
      </c>
      <c r="W6362">
        <v>3.0034620000000001E-2</v>
      </c>
      <c r="X6362">
        <v>0.99790540000000005</v>
      </c>
      <c r="Y6362">
        <v>0.11419839999999901</v>
      </c>
      <c r="Z6362">
        <v>-7.6954510000000004E-2</v>
      </c>
      <c r="AA6362">
        <v>0.99047299999999905</v>
      </c>
      <c r="AB6362">
        <v>35</v>
      </c>
      <c r="AC6362">
        <v>0.110399999999998</v>
      </c>
      <c r="AD6362">
        <v>-6.5475000000000103E-2</v>
      </c>
      <c r="AE6362">
        <v>0.47064999999999901</v>
      </c>
      <c r="AF6362">
        <v>9.7156486948481502E-2</v>
      </c>
      <c r="AG6362">
        <v>-6.5475000000000103E-2</v>
      </c>
      <c r="AH6362">
        <v>0.464668191067446</v>
      </c>
      <c r="AI6362">
        <v>97.852938967378293</v>
      </c>
      <c r="AJ6362">
        <v>78.190283330393598</v>
      </c>
      <c r="AK6362">
        <v>0.47921069100246799</v>
      </c>
    </row>
    <row r="6363" spans="1:37" x14ac:dyDescent="0.2">
      <c r="A6363" t="str">
        <f>"20200111160026482"</f>
        <v>20200111160026482</v>
      </c>
      <c r="B6363" t="str">
        <f>"1578729626477475"</f>
        <v>1578729626477475</v>
      </c>
      <c r="C6363" t="s">
        <v>37</v>
      </c>
      <c r="D6363">
        <v>5.6107779999999998</v>
      </c>
      <c r="E6363">
        <v>0.58096049999999999</v>
      </c>
      <c r="F6363" t="s">
        <v>39</v>
      </c>
      <c r="G6363">
        <v>-186.68539999999999</v>
      </c>
      <c r="H6363" s="1">
        <v>-1.7953180000000001E-6</v>
      </c>
      <c r="I6363">
        <v>2.332074</v>
      </c>
      <c r="J6363">
        <v>-189.80590000000001</v>
      </c>
      <c r="K6363">
        <v>1.1056520000000001</v>
      </c>
      <c r="L6363">
        <v>-15.3936799999999</v>
      </c>
      <c r="M6363">
        <v>2.1374589999999999E-2</v>
      </c>
      <c r="N6363">
        <v>0</v>
      </c>
      <c r="O6363">
        <v>0.99977070000000001</v>
      </c>
      <c r="P6363">
        <v>-3.5855159999999997E-2</v>
      </c>
      <c r="Q6363">
        <v>2.8730559999999999E-2</v>
      </c>
      <c r="R6363">
        <v>0.9989439</v>
      </c>
      <c r="S6363">
        <v>0.52346800000000004</v>
      </c>
      <c r="T6363">
        <v>-0.18512419999999999</v>
      </c>
      <c r="U6363">
        <v>3.0254819999999998</v>
      </c>
      <c r="V6363">
        <v>-5.7411940000000002E-2</v>
      </c>
      <c r="W6363">
        <v>2.959469E-2</v>
      </c>
      <c r="X6363">
        <v>0.99791180000000002</v>
      </c>
      <c r="Y6363">
        <v>0.14907629999999999</v>
      </c>
      <c r="Z6363">
        <v>-6.0266019999999997E-2</v>
      </c>
      <c r="AA6363">
        <v>0.98698750000000002</v>
      </c>
      <c r="AB6363">
        <v>35</v>
      </c>
      <c r="AC6363">
        <v>3.1205000000000198</v>
      </c>
      <c r="AD6363">
        <v>-1.1056537953179999</v>
      </c>
      <c r="AE6363">
        <v>17.725753999999998</v>
      </c>
      <c r="AF6363">
        <v>2.73060141401572</v>
      </c>
      <c r="AG6363">
        <v>-1.1056537953179999</v>
      </c>
      <c r="AH6363">
        <v>17.721527050799502</v>
      </c>
      <c r="AI6363">
        <v>93.528546880227296</v>
      </c>
      <c r="AJ6363">
        <v>81.2405331747715</v>
      </c>
      <c r="AK6363">
        <v>17.964720298672699</v>
      </c>
    </row>
    <row r="6364" spans="1:37" x14ac:dyDescent="0.2">
      <c r="A6364" t="str">
        <f>"20200111160026504"</f>
        <v>20200111160026504</v>
      </c>
      <c r="B6364" t="str">
        <f>"1578729626496993"</f>
        <v>1578729626496993</v>
      </c>
      <c r="C6364" t="s">
        <v>37</v>
      </c>
      <c r="D6364">
        <v>5.6131469999999997</v>
      </c>
      <c r="E6364">
        <v>0.58194409999999996</v>
      </c>
      <c r="F6364" t="s">
        <v>38</v>
      </c>
      <c r="G6364">
        <v>-189.67089999999999</v>
      </c>
      <c r="H6364">
        <v>1.056379</v>
      </c>
      <c r="I6364">
        <v>-14.613519999999999</v>
      </c>
      <c r="J6364">
        <v>-189.8013</v>
      </c>
      <c r="K6364">
        <v>1.1057049999999999</v>
      </c>
      <c r="L6364">
        <v>-15.05151</v>
      </c>
      <c r="M6364">
        <v>1.8417599999999999E-2</v>
      </c>
      <c r="N6364">
        <v>0</v>
      </c>
      <c r="O6364">
        <v>0.99982950000000004</v>
      </c>
      <c r="P6364">
        <v>-3.8813849999999997E-2</v>
      </c>
      <c r="Q6364">
        <v>2.7885099999999999E-2</v>
      </c>
      <c r="R6364">
        <v>0.99885729999999995</v>
      </c>
      <c r="S6364">
        <v>0.52369690000000002</v>
      </c>
      <c r="T6364">
        <v>-0.1912529</v>
      </c>
      <c r="U6364">
        <v>3.027466</v>
      </c>
      <c r="V6364">
        <v>-5.7410950000000002E-2</v>
      </c>
      <c r="W6364">
        <v>2.8765349999999999E-2</v>
      </c>
      <c r="X6364">
        <v>0.99793609999999899</v>
      </c>
      <c r="Y6364">
        <v>0.15194360000000001</v>
      </c>
      <c r="Z6364">
        <v>-6.2204929999999999E-2</v>
      </c>
      <c r="AA6364">
        <v>0.98642980000000002</v>
      </c>
      <c r="AB6364">
        <v>36</v>
      </c>
      <c r="AC6364">
        <v>0.13040000000000801</v>
      </c>
      <c r="AD6364">
        <v>-4.9325999999999703E-2</v>
      </c>
      <c r="AE6364">
        <v>0.43798999999999899</v>
      </c>
      <c r="AF6364">
        <v>0.12090259122906399</v>
      </c>
      <c r="AG6364">
        <v>-4.9325999999999703E-2</v>
      </c>
      <c r="AH6364">
        <v>0.43524658628052298</v>
      </c>
      <c r="AI6364">
        <v>96.231685357496005</v>
      </c>
      <c r="AJ6364">
        <v>74.475795915091197</v>
      </c>
      <c r="AK6364">
        <v>0.45441179750392802</v>
      </c>
    </row>
    <row r="6365" spans="1:37" x14ac:dyDescent="0.2">
      <c r="A6365" t="str">
        <f>"20200111160026527"</f>
        <v>20200111160026527</v>
      </c>
      <c r="B6365" t="str">
        <f>"1578729626517489"</f>
        <v>1578729626517489</v>
      </c>
      <c r="C6365" t="s">
        <v>37</v>
      </c>
      <c r="D6365">
        <v>5.7946599999999897</v>
      </c>
      <c r="E6365">
        <v>0.58204560000000005</v>
      </c>
      <c r="F6365" t="s">
        <v>38</v>
      </c>
      <c r="G6365">
        <v>-189.67019999999999</v>
      </c>
      <c r="H6365">
        <v>1.0569120000000001</v>
      </c>
      <c r="I6365">
        <v>-14.29204</v>
      </c>
      <c r="J6365">
        <v>-189.79740000000001</v>
      </c>
      <c r="K6365">
        <v>1.105747</v>
      </c>
      <c r="L6365">
        <v>-14.676450000000001</v>
      </c>
      <c r="M6365">
        <v>1.5134740000000001E-2</v>
      </c>
      <c r="N6365">
        <v>0</v>
      </c>
      <c r="O6365">
        <v>0.99988449999999995</v>
      </c>
      <c r="P6365">
        <v>-4.1822409999999997E-2</v>
      </c>
      <c r="Q6365">
        <v>2.7564140000000001E-2</v>
      </c>
      <c r="R6365">
        <v>0.99874479999999999</v>
      </c>
      <c r="S6365">
        <v>0.52247619999999995</v>
      </c>
      <c r="T6365">
        <v>-0.1947306</v>
      </c>
      <c r="U6365">
        <v>3.029175</v>
      </c>
      <c r="V6365">
        <v>-5.7138179999999997E-2</v>
      </c>
      <c r="W6365">
        <v>2.853609E-2</v>
      </c>
      <c r="X6365">
        <v>0.99795840000000002</v>
      </c>
      <c r="Y6365">
        <v>0.154697</v>
      </c>
      <c r="Z6365">
        <v>-6.3290219999999994E-2</v>
      </c>
      <c r="AA6365">
        <v>0.98593259999999905</v>
      </c>
      <c r="AB6365">
        <v>36</v>
      </c>
      <c r="AC6365">
        <v>0.12720000000001599</v>
      </c>
      <c r="AD6365">
        <v>-4.8834999999999899E-2</v>
      </c>
      <c r="AE6365">
        <v>0.38440999999999997</v>
      </c>
      <c r="AF6365">
        <v>0.11962736016773</v>
      </c>
      <c r="AG6365">
        <v>-4.8834999999999899E-2</v>
      </c>
      <c r="AH6365">
        <v>0.380752619908589</v>
      </c>
      <c r="AI6365">
        <v>96.976140307448603</v>
      </c>
      <c r="AJ6365">
        <v>72.557981545376094</v>
      </c>
      <c r="AK6365">
        <v>0.402079743450169</v>
      </c>
    </row>
    <row r="6366" spans="1:37" x14ac:dyDescent="0.2">
      <c r="A6366" t="str">
        <f>"20200111160026616"</f>
        <v>20200111160026616</v>
      </c>
      <c r="B6366" t="str">
        <f>"1578729626607282"</f>
        <v>1578729626607282</v>
      </c>
      <c r="C6366" t="s">
        <v>37</v>
      </c>
      <c r="D6366">
        <v>5.7319909999999998</v>
      </c>
      <c r="E6366">
        <v>0.58668549999999997</v>
      </c>
      <c r="F6366" t="s">
        <v>39</v>
      </c>
      <c r="G6366">
        <v>-186.9023</v>
      </c>
      <c r="H6366" s="1">
        <v>-1.756231E-6</v>
      </c>
      <c r="I6366">
        <v>2.3868040000000001</v>
      </c>
      <c r="J6366">
        <v>-189.79320000000001</v>
      </c>
      <c r="K6366">
        <v>1.105944</v>
      </c>
      <c r="L6366">
        <v>-13.228639999999899</v>
      </c>
      <c r="M6366">
        <v>2.472349E-3</v>
      </c>
      <c r="N6366">
        <v>0</v>
      </c>
      <c r="O6366">
        <v>0.99999450000000001</v>
      </c>
      <c r="P6366">
        <v>-5.4550550000000003E-2</v>
      </c>
      <c r="Q6366">
        <v>2.5296860000000001E-2</v>
      </c>
      <c r="R6366">
        <v>0.99819049999999998</v>
      </c>
      <c r="S6366">
        <v>0.51422120000000004</v>
      </c>
      <c r="T6366">
        <v>-0.1964003</v>
      </c>
      <c r="U6366">
        <v>3.0307309999999998</v>
      </c>
      <c r="V6366">
        <v>-5.7215210000000002E-2</v>
      </c>
      <c r="W6366">
        <v>2.7075620000000002E-2</v>
      </c>
      <c r="X6366">
        <v>0.99799470000000001</v>
      </c>
      <c r="Y6366">
        <v>0.164499799999999</v>
      </c>
      <c r="Z6366">
        <v>-6.3772720000000005E-2</v>
      </c>
      <c r="AA6366">
        <v>0.98431340000000001</v>
      </c>
      <c r="AB6366">
        <v>36</v>
      </c>
      <c r="AC6366">
        <v>2.89090000000001</v>
      </c>
      <c r="AD6366">
        <v>-1.105945756231</v>
      </c>
      <c r="AE6366">
        <v>15.615443999999901</v>
      </c>
      <c r="AF6366">
        <v>2.83851800511178</v>
      </c>
      <c r="AG6366">
        <v>-1.105945756231</v>
      </c>
      <c r="AH6366">
        <v>15.5471431088116</v>
      </c>
      <c r="AI6366">
        <v>94.002931719059404</v>
      </c>
      <c r="AJ6366">
        <v>79.653190118352896</v>
      </c>
      <c r="AK6366">
        <v>15.842788874656501</v>
      </c>
    </row>
    <row r="6367" spans="1:37" x14ac:dyDescent="0.2">
      <c r="A6367" t="str">
        <f>"20200111160026639"</f>
        <v>20200111160026639</v>
      </c>
      <c r="B6367" t="str">
        <f>"1578729626627778"</f>
        <v>1578729626627778</v>
      </c>
      <c r="C6367" t="s">
        <v>37</v>
      </c>
      <c r="D6367">
        <v>5.7311500000000004</v>
      </c>
      <c r="E6367">
        <v>0.52103319999999997</v>
      </c>
      <c r="F6367" t="s">
        <v>39</v>
      </c>
      <c r="G6367">
        <v>-186.67339999999999</v>
      </c>
      <c r="H6367" s="1">
        <v>-2.9861359999999998E-6</v>
      </c>
      <c r="I6367">
        <v>5.2180369999999998</v>
      </c>
      <c r="J6367">
        <v>-189.79490000000001</v>
      </c>
      <c r="K6367">
        <v>1.106006</v>
      </c>
      <c r="L6367">
        <v>-12.847379999999999</v>
      </c>
      <c r="M6367">
        <v>-7.9077240000000005E-4</v>
      </c>
      <c r="N6367">
        <v>0</v>
      </c>
      <c r="O6367">
        <v>0.99999649999999995</v>
      </c>
      <c r="P6367">
        <v>-5.8235599999999998E-2</v>
      </c>
      <c r="Q6367">
        <v>2.4579549999999999E-2</v>
      </c>
      <c r="R6367">
        <v>0.9980002</v>
      </c>
      <c r="S6367">
        <v>0.51382450000000002</v>
      </c>
      <c r="T6367">
        <v>-0.18214820000000001</v>
      </c>
      <c r="U6367">
        <v>3.0381469999999999</v>
      </c>
      <c r="V6367">
        <v>-5.764176E-2</v>
      </c>
      <c r="W6367">
        <v>2.6668549999999999E-2</v>
      </c>
      <c r="X6367">
        <v>0.99798109999999995</v>
      </c>
      <c r="Y6367">
        <v>0.16724529999999899</v>
      </c>
      <c r="Z6367">
        <v>-5.9007280000000002E-2</v>
      </c>
      <c r="AA6367">
        <v>0.98414789999999996</v>
      </c>
      <c r="AB6367">
        <v>37</v>
      </c>
      <c r="AC6367">
        <v>3.1215000000000201</v>
      </c>
      <c r="AD6367">
        <v>-1.1060089861360001</v>
      </c>
      <c r="AE6367">
        <v>18.065417</v>
      </c>
      <c r="AF6367">
        <v>3.12441331851032</v>
      </c>
      <c r="AG6367">
        <v>-1.1060089861360001</v>
      </c>
      <c r="AH6367">
        <v>17.997440790000098</v>
      </c>
      <c r="AI6367">
        <v>93.464917825691501</v>
      </c>
      <c r="AJ6367">
        <v>80.1514254832868</v>
      </c>
      <c r="AK6367">
        <v>18.3000844110583</v>
      </c>
    </row>
    <row r="6368" spans="1:37" x14ac:dyDescent="0.2">
      <c r="A6368" t="str">
        <f>"20200111160026662"</f>
        <v>20200111160026662</v>
      </c>
      <c r="B6368" t="str">
        <f>"1578729626657057"</f>
        <v>1578729626657057</v>
      </c>
      <c r="C6368" t="s">
        <v>37</v>
      </c>
      <c r="D6368">
        <v>5.7262370000000002</v>
      </c>
      <c r="E6368">
        <v>0.52253000000000005</v>
      </c>
      <c r="F6368" t="s">
        <v>38</v>
      </c>
      <c r="G6368">
        <v>-189.8013</v>
      </c>
      <c r="H6368">
        <v>1.042225</v>
      </c>
      <c r="I6368">
        <v>-12.030469999999999</v>
      </c>
      <c r="J6368">
        <v>-189.798</v>
      </c>
      <c r="K6368">
        <v>1.106058</v>
      </c>
      <c r="L6368">
        <v>-12.46045</v>
      </c>
      <c r="M6368">
        <v>-4.056853E-3</v>
      </c>
      <c r="N6368">
        <v>0</v>
      </c>
      <c r="O6368">
        <v>0.99998770000000003</v>
      </c>
      <c r="P6368">
        <v>-6.166315E-2</v>
      </c>
      <c r="Q6368">
        <v>2.3738160000000001E-2</v>
      </c>
      <c r="R6368">
        <v>0.99781469999999906</v>
      </c>
      <c r="S6368">
        <v>-2.3468019999999999E-2</v>
      </c>
      <c r="T6368">
        <v>-0.23501939999999999</v>
      </c>
      <c r="U6368">
        <v>3.010437</v>
      </c>
      <c r="V6368">
        <v>-5.7807629999999999E-2</v>
      </c>
      <c r="W6368">
        <v>2.6181869999999999E-2</v>
      </c>
      <c r="X6368">
        <v>0.99798430000000005</v>
      </c>
      <c r="Y6368">
        <v>-3.714859E-3</v>
      </c>
      <c r="Z6368">
        <v>-7.7828999999999995E-2</v>
      </c>
      <c r="AA6368">
        <v>0.99695979999999995</v>
      </c>
      <c r="AB6368">
        <v>37</v>
      </c>
      <c r="AC6368">
        <v>-3.2999999999958601E-3</v>
      </c>
      <c r="AD6368">
        <v>-6.3833000000000001E-2</v>
      </c>
      <c r="AE6368">
        <v>0.42997999999999997</v>
      </c>
      <c r="AF6368">
        <v>-1.5220572816453501E-3</v>
      </c>
      <c r="AG6368">
        <v>-6.3833000000000001E-2</v>
      </c>
      <c r="AH6368">
        <v>0.42071814310358902</v>
      </c>
      <c r="AI6368">
        <v>98.627284546788701</v>
      </c>
      <c r="AJ6368">
        <v>90.207281476649797</v>
      </c>
      <c r="AK6368">
        <v>0.42553580869757701</v>
      </c>
    </row>
    <row r="6369" spans="1:37" x14ac:dyDescent="0.2">
      <c r="A6369" t="str">
        <f>"20200111160026685"</f>
        <v>20200111160026685</v>
      </c>
      <c r="B6369" t="str">
        <f>"1578729626677554"</f>
        <v>1578729626677554</v>
      </c>
      <c r="C6369" t="s">
        <v>37</v>
      </c>
      <c r="D6369">
        <v>5.7393049999999999</v>
      </c>
      <c r="E6369">
        <v>0.52401299999999995</v>
      </c>
      <c r="F6369" t="s">
        <v>38</v>
      </c>
      <c r="G6369">
        <v>-189.80340000000001</v>
      </c>
      <c r="H6369">
        <v>1.044672</v>
      </c>
      <c r="I6369">
        <v>-11.699759999999999</v>
      </c>
      <c r="J6369">
        <v>-189.80189999999999</v>
      </c>
      <c r="K6369">
        <v>1.1060989999999999</v>
      </c>
      <c r="L6369">
        <v>-12.09482</v>
      </c>
      <c r="M6369">
        <v>-7.0954290000000003E-3</v>
      </c>
      <c r="N6369">
        <v>0</v>
      </c>
      <c r="O6369">
        <v>0.99996960000000001</v>
      </c>
      <c r="P6369">
        <v>-6.4837619999999999E-2</v>
      </c>
      <c r="Q6369">
        <v>2.367267E-2</v>
      </c>
      <c r="R6369">
        <v>0.99761499999999903</v>
      </c>
      <c r="S6369">
        <v>-2.207947E-2</v>
      </c>
      <c r="T6369">
        <v>-0.2430369</v>
      </c>
      <c r="U6369">
        <v>3.0109859999999999</v>
      </c>
      <c r="V6369">
        <v>-5.7952780000000002E-2</v>
      </c>
      <c r="W6369">
        <v>2.6478359999999999E-2</v>
      </c>
      <c r="X6369">
        <v>0.99796810000000002</v>
      </c>
      <c r="Y6369">
        <v>-2.135424E-4</v>
      </c>
      <c r="Z6369">
        <v>-8.0450939999999999E-2</v>
      </c>
      <c r="AA6369">
        <v>0.99675849999999899</v>
      </c>
      <c r="AB6369">
        <v>37</v>
      </c>
      <c r="AC6369">
        <v>-1.5000000000213701E-3</v>
      </c>
      <c r="AD6369">
        <v>-6.1426999999999898E-2</v>
      </c>
      <c r="AE6369">
        <v>0.39505999999999902</v>
      </c>
      <c r="AF6369">
        <v>1.27241066574644E-3</v>
      </c>
      <c r="AG6369">
        <v>-6.1426999999999898E-2</v>
      </c>
      <c r="AH6369">
        <v>0.38573512753975597</v>
      </c>
      <c r="AI6369">
        <v>99.048133314964403</v>
      </c>
      <c r="AJ6369">
        <v>89.811001147354702</v>
      </c>
      <c r="AK6369">
        <v>0.39059759852822201</v>
      </c>
    </row>
    <row r="6370" spans="1:37" x14ac:dyDescent="0.2">
      <c r="A6370" t="str">
        <f>"20200111160026839"</f>
        <v>20200111160026839</v>
      </c>
      <c r="B6370" t="str">
        <f>"1578729626826881"</f>
        <v>1578729626826881</v>
      </c>
      <c r="C6370" t="s">
        <v>37</v>
      </c>
      <c r="D6370">
        <v>5.6981199999999896</v>
      </c>
      <c r="E6370">
        <v>0.55420570000000002</v>
      </c>
      <c r="F6370" t="s">
        <v>38</v>
      </c>
      <c r="G6370">
        <v>-189.86160000000001</v>
      </c>
      <c r="H6370">
        <v>1.0377620000000001</v>
      </c>
      <c r="I6370">
        <v>-9.0448259999999898</v>
      </c>
      <c r="J6370">
        <v>-189.8595</v>
      </c>
      <c r="K6370">
        <v>1.106087</v>
      </c>
      <c r="L6370">
        <v>-9.5275569999999998</v>
      </c>
      <c r="M6370">
        <v>-2.6935549999999999E-2</v>
      </c>
      <c r="N6370">
        <v>0</v>
      </c>
      <c r="O6370">
        <v>0.99962090000000003</v>
      </c>
      <c r="P6370">
        <v>-8.3201650000000002E-2</v>
      </c>
      <c r="Q6370">
        <v>1.859953E-2</v>
      </c>
      <c r="R6370">
        <v>0.996359199999999</v>
      </c>
      <c r="S6370">
        <v>-4.7683719999999999E-2</v>
      </c>
      <c r="T6370">
        <v>-0.2400032</v>
      </c>
      <c r="U6370">
        <v>3.0112000000000001</v>
      </c>
      <c r="V6370">
        <v>-5.6499279999999999E-2</v>
      </c>
      <c r="W6370">
        <v>2.390664E-2</v>
      </c>
      <c r="X6370">
        <v>0.99811640000000001</v>
      </c>
      <c r="Y6370">
        <v>1.11548999999999E-2</v>
      </c>
      <c r="Z6370">
        <v>-7.9400970000000001E-2</v>
      </c>
      <c r="AA6370">
        <v>0.99678029999999995</v>
      </c>
      <c r="AB6370">
        <v>37</v>
      </c>
      <c r="AC6370">
        <v>-2.1000000000128598E-3</v>
      </c>
      <c r="AD6370">
        <v>-6.83249999999999E-2</v>
      </c>
      <c r="AE6370">
        <v>0.48273100000000102</v>
      </c>
      <c r="AF6370">
        <v>1.0689459140809101E-2</v>
      </c>
      <c r="AG6370">
        <v>-6.83249999999999E-2</v>
      </c>
      <c r="AH6370">
        <v>0.47313422948857498</v>
      </c>
      <c r="AI6370">
        <v>98.215171021179998</v>
      </c>
      <c r="AJ6370">
        <v>88.705744205179798</v>
      </c>
      <c r="AK6370">
        <v>0.47816165600711902</v>
      </c>
    </row>
    <row r="6371" spans="1:37" x14ac:dyDescent="0.2">
      <c r="A6371" t="str">
        <f>"20200111160026874"</f>
        <v>20200111160026874</v>
      </c>
      <c r="B6371" t="str">
        <f>"1578729626866897"</f>
        <v>1578729626866897</v>
      </c>
      <c r="C6371" t="s">
        <v>37</v>
      </c>
      <c r="D6371">
        <v>5.7377330000000004</v>
      </c>
      <c r="E6371">
        <v>0.55094679999999996</v>
      </c>
      <c r="F6371" t="s">
        <v>39</v>
      </c>
      <c r="G6371">
        <v>-188.65790000000001</v>
      </c>
      <c r="H6371" s="1">
        <v>-1.1673189999999999E-6</v>
      </c>
      <c r="I6371">
        <v>11.7988699999999</v>
      </c>
      <c r="J6371">
        <v>-189.87899999999999</v>
      </c>
      <c r="K6371">
        <v>1.1060159999999899</v>
      </c>
      <c r="L6371">
        <v>-8.9501949999999901</v>
      </c>
      <c r="M6371">
        <v>-3.0958739999999998E-2</v>
      </c>
      <c r="N6371">
        <v>0</v>
      </c>
      <c r="O6371">
        <v>0.99950169999999905</v>
      </c>
      <c r="P6371">
        <v>-8.7475629999999999E-2</v>
      </c>
      <c r="Q6371">
        <v>1.752097E-2</v>
      </c>
      <c r="R6371">
        <v>0.99601260000000003</v>
      </c>
      <c r="S6371">
        <v>0.17062379999999999</v>
      </c>
      <c r="T6371">
        <v>-0.15705339999999901</v>
      </c>
      <c r="U6371">
        <v>3.0281370000000001</v>
      </c>
      <c r="V6371">
        <v>-5.6753779999999997E-2</v>
      </c>
      <c r="W6371">
        <v>2.3291220000000001E-2</v>
      </c>
      <c r="X6371">
        <v>0.99811649999999996</v>
      </c>
      <c r="Y6371">
        <v>8.7065110000000001E-2</v>
      </c>
      <c r="Z6371">
        <v>-5.1618619999999997E-2</v>
      </c>
      <c r="AA6371">
        <v>0.99486439999999998</v>
      </c>
      <c r="AB6371">
        <v>38</v>
      </c>
      <c r="AC6371">
        <v>1.2211000000000001</v>
      </c>
      <c r="AD6371">
        <v>-1.10601716731899</v>
      </c>
      <c r="AE6371">
        <v>20.749064999999899</v>
      </c>
      <c r="AF6371">
        <v>1.85763175613086</v>
      </c>
      <c r="AG6371">
        <v>-1.10601716731899</v>
      </c>
      <c r="AH6371">
        <v>20.642862982314799</v>
      </c>
      <c r="AI6371">
        <v>93.054579697704099</v>
      </c>
      <c r="AJ6371">
        <v>84.857857440627896</v>
      </c>
      <c r="AK6371">
        <v>20.755766953365299</v>
      </c>
    </row>
    <row r="6372" spans="1:37" x14ac:dyDescent="0.2">
      <c r="A6372" t="str">
        <f>"20200111160026896"</f>
        <v>20200111160026896</v>
      </c>
      <c r="B6372" t="str">
        <f>"1578729626887394"</f>
        <v>1578729626887394</v>
      </c>
      <c r="C6372" t="s">
        <v>37</v>
      </c>
      <c r="D6372">
        <v>5.7747549999999999</v>
      </c>
      <c r="E6372">
        <v>0.54880909999999905</v>
      </c>
      <c r="F6372" t="s">
        <v>38</v>
      </c>
      <c r="G6372">
        <v>-189.83940000000001</v>
      </c>
      <c r="H6372">
        <v>1.0477289999999999</v>
      </c>
      <c r="I6372">
        <v>-8.0302310000000006</v>
      </c>
      <c r="J6372">
        <v>-189.89269999999999</v>
      </c>
      <c r="K6372">
        <v>1.1059680000000001</v>
      </c>
      <c r="L6372">
        <v>-8.5766600000000004</v>
      </c>
      <c r="M6372">
        <v>-3.3463329999999999E-2</v>
      </c>
      <c r="N6372">
        <v>0</v>
      </c>
      <c r="O6372">
        <v>0.99941930000000001</v>
      </c>
      <c r="P6372">
        <v>-8.9838390000000004E-2</v>
      </c>
      <c r="Q6372">
        <v>1.7696150000000001E-2</v>
      </c>
      <c r="R6372">
        <v>0.99579910000000005</v>
      </c>
      <c r="S6372">
        <v>0.13006589999999901</v>
      </c>
      <c r="T6372">
        <v>-0.19178110000000001</v>
      </c>
      <c r="U6372">
        <v>3.02679399999999</v>
      </c>
      <c r="V6372">
        <v>-5.6619910000000002E-2</v>
      </c>
      <c r="W6372">
        <v>2.3747899999999999E-2</v>
      </c>
      <c r="X6372">
        <v>0.99811329999999998</v>
      </c>
      <c r="Y6372">
        <v>7.6255420000000004E-2</v>
      </c>
      <c r="Z6372">
        <v>-6.3060149999999995E-2</v>
      </c>
      <c r="AA6372">
        <v>0.99509219999999898</v>
      </c>
      <c r="AB6372">
        <v>38</v>
      </c>
      <c r="AC6372">
        <v>5.3299999999978802E-2</v>
      </c>
      <c r="AD6372">
        <v>-5.8238999999999902E-2</v>
      </c>
      <c r="AE6372">
        <v>0.54642899999999905</v>
      </c>
      <c r="AF6372">
        <v>7.0759638614175405E-2</v>
      </c>
      <c r="AG6372">
        <v>-5.8238999999999902E-2</v>
      </c>
      <c r="AH6372">
        <v>0.53828232096250395</v>
      </c>
      <c r="AI6372">
        <v>96.122778262610794</v>
      </c>
      <c r="AJ6372">
        <v>82.511150886065295</v>
      </c>
      <c r="AK6372">
        <v>0.54602798887839898</v>
      </c>
    </row>
    <row r="6373" spans="1:37" x14ac:dyDescent="0.2">
      <c r="A6373" t="str">
        <f>"20200111160026919"</f>
        <v>20200111160026919</v>
      </c>
      <c r="B6373" t="str">
        <f>"1578729626906913"</f>
        <v>1578729626906913</v>
      </c>
      <c r="C6373" t="s">
        <v>37</v>
      </c>
      <c r="D6373">
        <v>5.7809099999999898</v>
      </c>
      <c r="E6373">
        <v>0.54837749999999996</v>
      </c>
      <c r="F6373" t="s">
        <v>38</v>
      </c>
      <c r="G6373">
        <v>-189.86179999999999</v>
      </c>
      <c r="H6373">
        <v>1.045982</v>
      </c>
      <c r="I6373">
        <v>-7.6940439999999999</v>
      </c>
      <c r="J6373">
        <v>-189.90780000000001</v>
      </c>
      <c r="K6373">
        <v>1.1059270000000001</v>
      </c>
      <c r="L6373">
        <v>-8.1900329999999997</v>
      </c>
      <c r="M6373">
        <v>-3.5974930000000002E-2</v>
      </c>
      <c r="N6373">
        <v>0</v>
      </c>
      <c r="O6373">
        <v>0.9993303</v>
      </c>
      <c r="P6373">
        <v>-9.2381749999999999E-2</v>
      </c>
      <c r="Q6373">
        <v>1.8579740000000001E-2</v>
      </c>
      <c r="R6373">
        <v>0.9955503</v>
      </c>
      <c r="S6373">
        <v>0.10513309999999999</v>
      </c>
      <c r="T6373">
        <v>-0.20571710000000001</v>
      </c>
      <c r="U6373">
        <v>3.0257869999999998</v>
      </c>
      <c r="V6373">
        <v>-5.6664949999999999E-2</v>
      </c>
      <c r="W6373">
        <v>2.490293E-2</v>
      </c>
      <c r="X6373">
        <v>0.99808259999999904</v>
      </c>
      <c r="Y6373">
        <v>7.0576570000000005E-2</v>
      </c>
      <c r="Z6373">
        <v>-6.7660600000000001E-2</v>
      </c>
      <c r="AA6373">
        <v>0.99520900000000001</v>
      </c>
      <c r="AB6373">
        <v>38</v>
      </c>
      <c r="AC6373">
        <v>4.6000000000020601E-2</v>
      </c>
      <c r="AD6373">
        <v>-5.9945000000000102E-2</v>
      </c>
      <c r="AE6373">
        <v>0.49598899999999901</v>
      </c>
      <c r="AF6373">
        <v>6.2902804227625495E-2</v>
      </c>
      <c r="AG6373">
        <v>-5.9945000000000102E-2</v>
      </c>
      <c r="AH6373">
        <v>0.48696065765803098</v>
      </c>
      <c r="AI6373">
        <v>96.960563400554094</v>
      </c>
      <c r="AJ6373">
        <v>82.639615412464593</v>
      </c>
      <c r="AK6373">
        <v>0.49465224947577102</v>
      </c>
    </row>
    <row r="6374" spans="1:37" x14ac:dyDescent="0.2">
      <c r="A6374" t="str">
        <f>"20200111160026940"</f>
        <v>20200111160026940</v>
      </c>
      <c r="B6374" t="str">
        <f>"1578729626937170"</f>
        <v>1578729626937170</v>
      </c>
      <c r="C6374" t="s">
        <v>37</v>
      </c>
      <c r="D6374">
        <v>5.7397799999999997</v>
      </c>
      <c r="E6374">
        <v>0.54759829999999998</v>
      </c>
      <c r="F6374" t="s">
        <v>38</v>
      </c>
      <c r="G6374">
        <v>-189.88200000000001</v>
      </c>
      <c r="H6374">
        <v>1.04789</v>
      </c>
      <c r="I6374">
        <v>-7.3555119999999903</v>
      </c>
      <c r="J6374">
        <v>-189.92250000000001</v>
      </c>
      <c r="K6374">
        <v>1.1058889999999999</v>
      </c>
      <c r="L6374">
        <v>-7.8345640000000003</v>
      </c>
      <c r="M6374">
        <v>-3.8196180000000003E-2</v>
      </c>
      <c r="N6374">
        <v>0</v>
      </c>
      <c r="O6374">
        <v>0.99924619999999997</v>
      </c>
      <c r="P6374">
        <v>-9.4441349999999993E-2</v>
      </c>
      <c r="Q6374">
        <v>1.940335E-2</v>
      </c>
      <c r="R6374">
        <v>0.99534129999999998</v>
      </c>
      <c r="S6374">
        <v>9.3521119999999999E-2</v>
      </c>
      <c r="T6374">
        <v>-0.2104558</v>
      </c>
      <c r="U6374">
        <v>3.0260009999999999</v>
      </c>
      <c r="V6374">
        <v>-5.6514929999999998E-2</v>
      </c>
      <c r="W6374">
        <v>2.596975E-2</v>
      </c>
      <c r="X6374">
        <v>0.9980639</v>
      </c>
      <c r="Y6374">
        <v>6.8973190000000004E-2</v>
      </c>
      <c r="Z6374">
        <v>-6.9206539999999997E-2</v>
      </c>
      <c r="AA6374">
        <v>0.99521510000000002</v>
      </c>
      <c r="AB6374">
        <v>38</v>
      </c>
      <c r="AC6374">
        <v>4.0500000000008599E-2</v>
      </c>
      <c r="AD6374">
        <v>-5.7998999999999898E-2</v>
      </c>
      <c r="AE6374">
        <v>0.47905200000000098</v>
      </c>
      <c r="AF6374">
        <v>5.7925787921931003E-2</v>
      </c>
      <c r="AG6374">
        <v>-5.7998999999999898E-2</v>
      </c>
      <c r="AH6374">
        <v>0.47031051298526999</v>
      </c>
      <c r="AI6374">
        <v>96.9780554102487</v>
      </c>
      <c r="AJ6374">
        <v>82.978527944006899</v>
      </c>
      <c r="AK6374">
        <v>0.47740052317927401</v>
      </c>
    </row>
    <row r="6375" spans="1:37" x14ac:dyDescent="0.2">
      <c r="A6375" t="str">
        <f>"20200111160026961"</f>
        <v>20200111160026961</v>
      </c>
      <c r="B6375" t="str">
        <f>"1578729626957666"</f>
        <v>1578729626957666</v>
      </c>
      <c r="C6375" t="s">
        <v>37</v>
      </c>
      <c r="D6375">
        <v>5.7558150000000001</v>
      </c>
      <c r="E6375">
        <v>0.54748809999999903</v>
      </c>
      <c r="F6375" t="s">
        <v>38</v>
      </c>
      <c r="G6375">
        <v>-189.9007</v>
      </c>
      <c r="H6375">
        <v>1.0472709999999901</v>
      </c>
      <c r="I6375">
        <v>-7.0176509999999999</v>
      </c>
      <c r="J6375">
        <v>-189.93860000000001</v>
      </c>
      <c r="K6375">
        <v>1.105839</v>
      </c>
      <c r="L6375">
        <v>-7.4632569999999996</v>
      </c>
      <c r="M6375">
        <v>-4.0419549999999999E-2</v>
      </c>
      <c r="N6375">
        <v>0</v>
      </c>
      <c r="O6375">
        <v>0.99915710000000002</v>
      </c>
      <c r="P6375">
        <v>-9.6694859999999994E-2</v>
      </c>
      <c r="Q6375">
        <v>2.0551759999999999E-2</v>
      </c>
      <c r="R6375">
        <v>0.99510189999999998</v>
      </c>
      <c r="S6375">
        <v>8.0169679999999993E-2</v>
      </c>
      <c r="T6375">
        <v>-0.2171775</v>
      </c>
      <c r="U6375">
        <v>3.0258790000000002</v>
      </c>
      <c r="V6375">
        <v>-5.6558509999999999E-2</v>
      </c>
      <c r="W6375">
        <v>2.7370200000000001E-2</v>
      </c>
      <c r="X6375">
        <v>0.99802400000000002</v>
      </c>
      <c r="Y6375">
        <v>6.6802379999999995E-2</v>
      </c>
      <c r="Z6375">
        <v>-7.1409029999999998E-2</v>
      </c>
      <c r="AA6375">
        <v>0.99520759999999897</v>
      </c>
      <c r="AB6375">
        <v>38</v>
      </c>
      <c r="AC6375">
        <v>3.7900000000007601E-2</v>
      </c>
      <c r="AD6375">
        <v>-5.8568000000000099E-2</v>
      </c>
      <c r="AE6375">
        <v>0.445606</v>
      </c>
      <c r="AF6375">
        <v>5.49384360566375E-2</v>
      </c>
      <c r="AG6375">
        <v>-5.8568000000000099E-2</v>
      </c>
      <c r="AH6375">
        <v>0.436228159502003</v>
      </c>
      <c r="AI6375">
        <v>97.587575309909994</v>
      </c>
      <c r="AJ6375">
        <v>82.821978240810594</v>
      </c>
      <c r="AK6375">
        <v>0.443557718366905</v>
      </c>
    </row>
    <row r="6376" spans="1:37" x14ac:dyDescent="0.2">
      <c r="A6376" t="str">
        <f>"20200111160026984"</f>
        <v>20200111160026984</v>
      </c>
      <c r="B6376" t="str">
        <f>"1578729626977186"</f>
        <v>1578729626977186</v>
      </c>
      <c r="C6376" t="s">
        <v>37</v>
      </c>
      <c r="D6376">
        <v>5.7512210000000001</v>
      </c>
      <c r="E6376">
        <v>0.54768090000000003</v>
      </c>
      <c r="F6376" t="s">
        <v>38</v>
      </c>
      <c r="G6376">
        <v>-189.91980000000001</v>
      </c>
      <c r="H6376">
        <v>1.049801</v>
      </c>
      <c r="I6376">
        <v>-6.6776739999999997</v>
      </c>
      <c r="J6376">
        <v>-189.95570000000001</v>
      </c>
      <c r="K6376">
        <v>1.105782</v>
      </c>
      <c r="L6376">
        <v>-7.0871579999999996</v>
      </c>
      <c r="M6376">
        <v>-4.2563910000000003E-2</v>
      </c>
      <c r="N6376">
        <v>0</v>
      </c>
      <c r="O6376">
        <v>0.99906620000000002</v>
      </c>
      <c r="P6376">
        <v>-9.9178249999999996E-2</v>
      </c>
      <c r="Q6376">
        <v>2.1325319999999998E-2</v>
      </c>
      <c r="R6376">
        <v>0.99484119999999998</v>
      </c>
      <c r="S6376">
        <v>7.2662350000000001E-2</v>
      </c>
      <c r="T6376">
        <v>-0.21587970000000001</v>
      </c>
      <c r="U6376">
        <v>3.02627599999999</v>
      </c>
      <c r="V6376">
        <v>-5.6907600000000003E-2</v>
      </c>
      <c r="W6376">
        <v>2.840024E-2</v>
      </c>
      <c r="X6376">
        <v>0.99797539999999996</v>
      </c>
      <c r="Y6376">
        <v>6.6473920000000006E-2</v>
      </c>
      <c r="Z6376">
        <v>-7.0968699999999996E-2</v>
      </c>
      <c r="AA6376">
        <v>0.99526109999999901</v>
      </c>
      <c r="AB6376">
        <v>38</v>
      </c>
      <c r="AC6376">
        <v>3.5899999999998003E-2</v>
      </c>
      <c r="AD6376">
        <v>-5.5981000000000003E-2</v>
      </c>
      <c r="AE6376">
        <v>0.40948400000000001</v>
      </c>
      <c r="AF6376">
        <v>5.2326662081851799E-2</v>
      </c>
      <c r="AG6376">
        <v>-5.5981000000000003E-2</v>
      </c>
      <c r="AH6376">
        <v>0.40016283270163899</v>
      </c>
      <c r="AI6376">
        <v>97.897367238671904</v>
      </c>
      <c r="AJ6376">
        <v>82.550078052417007</v>
      </c>
      <c r="AK6376">
        <v>0.40743373031872099</v>
      </c>
    </row>
    <row r="6377" spans="1:37" x14ac:dyDescent="0.2">
      <c r="A6377" t="str">
        <f>"20200111160027052"</f>
        <v>20200111160027052</v>
      </c>
      <c r="B6377" t="str">
        <f>"1578729627047457"</f>
        <v>1578729627047457</v>
      </c>
      <c r="C6377" t="s">
        <v>37</v>
      </c>
      <c r="D6377">
        <v>5.7006329999999998</v>
      </c>
      <c r="E6377">
        <v>0.54800479999999996</v>
      </c>
      <c r="F6377" t="s">
        <v>38</v>
      </c>
      <c r="G6377">
        <v>-189.97540000000001</v>
      </c>
      <c r="H6377">
        <v>1.036135</v>
      </c>
      <c r="I6377">
        <v>-5.3252550000000003</v>
      </c>
      <c r="J6377">
        <v>-190.01249999999999</v>
      </c>
      <c r="K6377">
        <v>1.1055629999999901</v>
      </c>
      <c r="L6377">
        <v>-5.9335329999999997</v>
      </c>
      <c r="M6377">
        <v>-4.8397309999999999E-2</v>
      </c>
      <c r="N6377">
        <v>0</v>
      </c>
      <c r="O6377">
        <v>0.99879430000000002</v>
      </c>
      <c r="P6377">
        <v>-0.104748299999999</v>
      </c>
      <c r="Q6377">
        <v>2.1024910000000001E-2</v>
      </c>
      <c r="R6377">
        <v>0.99427649999999901</v>
      </c>
      <c r="S6377">
        <v>5.5496219999999999E-2</v>
      </c>
      <c r="T6377">
        <v>-0.2141458</v>
      </c>
      <c r="U6377">
        <v>3.0272830000000002</v>
      </c>
      <c r="V6377">
        <v>-5.6649720000000001E-2</v>
      </c>
      <c r="W6377">
        <v>2.8958390000000001E-2</v>
      </c>
      <c r="X6377">
        <v>0.99797400000000003</v>
      </c>
      <c r="Y6377">
        <v>6.6652699999999995E-2</v>
      </c>
      <c r="Z6377">
        <v>-7.0353970000000002E-2</v>
      </c>
      <c r="AA6377">
        <v>0.99529279999999998</v>
      </c>
      <c r="AB6377">
        <v>38</v>
      </c>
      <c r="AC6377">
        <v>3.7099999999981002E-2</v>
      </c>
      <c r="AD6377">
        <v>-6.9427999999999795E-2</v>
      </c>
      <c r="AE6377">
        <v>0.60827799999999999</v>
      </c>
      <c r="AF6377">
        <v>6.5644514357332207E-2</v>
      </c>
      <c r="AG6377">
        <v>-6.9427999999999795E-2</v>
      </c>
      <c r="AH6377">
        <v>0.59800780366342499</v>
      </c>
      <c r="AI6377">
        <v>96.583130563873397</v>
      </c>
      <c r="AJ6377">
        <v>83.735608925800705</v>
      </c>
      <c r="AK6377">
        <v>0.60559291829707096</v>
      </c>
    </row>
    <row r="6378" spans="1:37" x14ac:dyDescent="0.2">
      <c r="A6378" t="str">
        <f>"20200111160027074"</f>
        <v>20200111160027074</v>
      </c>
      <c r="B6378" t="str">
        <f>"1578729627066977"</f>
        <v>1578729627066977</v>
      </c>
      <c r="C6378" t="s">
        <v>37</v>
      </c>
      <c r="D6378">
        <v>5.7268929999999996</v>
      </c>
      <c r="E6378">
        <v>0.54841410000000002</v>
      </c>
      <c r="F6378" t="s">
        <v>38</v>
      </c>
      <c r="G6378">
        <v>-189.99590000000001</v>
      </c>
      <c r="H6378">
        <v>1.037069</v>
      </c>
      <c r="I6378">
        <v>-4.9845870000000003</v>
      </c>
      <c r="J6378">
        <v>-190.0324</v>
      </c>
      <c r="K6378">
        <v>1.105502</v>
      </c>
      <c r="L6378">
        <v>-5.5541689999999999</v>
      </c>
      <c r="M6378">
        <v>-5.0092459999999998E-2</v>
      </c>
      <c r="N6378">
        <v>0</v>
      </c>
      <c r="O6378">
        <v>0.99870820000000005</v>
      </c>
      <c r="P6378">
        <v>-0.106140899999999</v>
      </c>
      <c r="Q6378">
        <v>2.0821510000000001E-2</v>
      </c>
      <c r="R6378">
        <v>0.99413309999999999</v>
      </c>
      <c r="S6378">
        <v>5.2413939999999999E-2</v>
      </c>
      <c r="T6378">
        <v>-0.21854380000000001</v>
      </c>
      <c r="U6378">
        <v>3.0274049999999999</v>
      </c>
      <c r="V6378">
        <v>-5.6346889999999997E-2</v>
      </c>
      <c r="W6378">
        <v>2.9063729999999999E-2</v>
      </c>
      <c r="X6378">
        <v>0.99798819999999999</v>
      </c>
      <c r="Y6378">
        <v>6.7330760000000003E-2</v>
      </c>
      <c r="Z6378">
        <v>-7.1778540000000002E-2</v>
      </c>
      <c r="AA6378">
        <v>0.99514539999999996</v>
      </c>
      <c r="AB6378">
        <v>38</v>
      </c>
      <c r="AC6378">
        <v>3.6499999999989499E-2</v>
      </c>
      <c r="AD6378">
        <v>-6.8432999999999897E-2</v>
      </c>
      <c r="AE6378">
        <v>0.56958199999999903</v>
      </c>
      <c r="AF6378">
        <v>6.4065960474506495E-2</v>
      </c>
      <c r="AG6378">
        <v>-6.8432999999999897E-2</v>
      </c>
      <c r="AH6378">
        <v>0.55900221420560603</v>
      </c>
      <c r="AI6378">
        <v>96.934469351720594</v>
      </c>
      <c r="AJ6378">
        <v>83.461988096501301</v>
      </c>
      <c r="AK6378">
        <v>0.56680772601234997</v>
      </c>
    </row>
    <row r="6379" spans="1:37" x14ac:dyDescent="0.2">
      <c r="A6379" t="str">
        <f>"20200111160027097"</f>
        <v>20200111160027097</v>
      </c>
      <c r="B6379" t="str">
        <f>"1578729627087473"</f>
        <v>1578729627087473</v>
      </c>
      <c r="C6379" t="s">
        <v>37</v>
      </c>
      <c r="D6379">
        <v>5.7098370000000003</v>
      </c>
      <c r="E6379">
        <v>0.54871230000000004</v>
      </c>
      <c r="F6379" t="s">
        <v>38</v>
      </c>
      <c r="G6379">
        <v>-190.01689999999999</v>
      </c>
      <c r="H6379">
        <v>1.0394649999999901</v>
      </c>
      <c r="I6379">
        <v>-4.6431290000000001</v>
      </c>
      <c r="J6379">
        <v>-190.05359999999999</v>
      </c>
      <c r="K6379">
        <v>1.105445</v>
      </c>
      <c r="L6379">
        <v>-5.1615599999999997</v>
      </c>
      <c r="M6379">
        <v>-5.1723199999999997E-2</v>
      </c>
      <c r="N6379">
        <v>0</v>
      </c>
      <c r="O6379">
        <v>0.99862220000000002</v>
      </c>
      <c r="P6379">
        <v>-0.1073609</v>
      </c>
      <c r="Q6379">
        <v>1.9874739999999998E-2</v>
      </c>
      <c r="R6379">
        <v>0.99402139999999894</v>
      </c>
      <c r="S6379">
        <v>5.137634E-2</v>
      </c>
      <c r="T6379">
        <v>-0.21947820000000001</v>
      </c>
      <c r="U6379">
        <v>3.0278019999999999</v>
      </c>
      <c r="V6379">
        <v>-5.5930510000000003E-2</v>
      </c>
      <c r="W6379">
        <v>2.846125E-2</v>
      </c>
      <c r="X6379">
        <v>0.9980289</v>
      </c>
      <c r="Y6379">
        <v>6.8616510000000006E-2</v>
      </c>
      <c r="Z6379">
        <v>-7.2062479999999998E-2</v>
      </c>
      <c r="AA6379">
        <v>0.99503709999999901</v>
      </c>
      <c r="AB6379">
        <v>38</v>
      </c>
      <c r="AC6379">
        <v>3.6699999999996097E-2</v>
      </c>
      <c r="AD6379">
        <v>-6.5980000000000094E-2</v>
      </c>
      <c r="AE6379">
        <v>0.51843099999999898</v>
      </c>
      <c r="AF6379">
        <v>6.2460191336796797E-2</v>
      </c>
      <c r="AG6379">
        <v>-6.5980000000000094E-2</v>
      </c>
      <c r="AH6379">
        <v>0.50765701524365903</v>
      </c>
      <c r="AI6379">
        <v>97.350388716220493</v>
      </c>
      <c r="AJ6379">
        <v>82.985796568322996</v>
      </c>
      <c r="AK6379">
        <v>0.51572306621667596</v>
      </c>
    </row>
    <row r="6380" spans="1:37" x14ac:dyDescent="0.2">
      <c r="A6380" t="str">
        <f>"20200111160027119"</f>
        <v>20200111160027119</v>
      </c>
      <c r="B6380" t="str">
        <f>"1578729627106996"</f>
        <v>1578729627106996</v>
      </c>
      <c r="C6380" t="s">
        <v>37</v>
      </c>
      <c r="D6380">
        <v>5.7052250000000004</v>
      </c>
      <c r="E6380">
        <v>0.54905590000000004</v>
      </c>
      <c r="F6380" t="s">
        <v>38</v>
      </c>
      <c r="G6380">
        <v>-190.0393</v>
      </c>
      <c r="H6380">
        <v>1.0419860000000001</v>
      </c>
      <c r="I6380">
        <v>-4.3015610000000004</v>
      </c>
      <c r="J6380">
        <v>-190.07470000000001</v>
      </c>
      <c r="K6380">
        <v>1.1053789999999999</v>
      </c>
      <c r="L6380">
        <v>-4.7803649999999998</v>
      </c>
      <c r="M6380">
        <v>-5.3181699999999998E-2</v>
      </c>
      <c r="N6380">
        <v>0</v>
      </c>
      <c r="O6380">
        <v>0.99854259999999995</v>
      </c>
      <c r="P6380">
        <v>-0.1079905</v>
      </c>
      <c r="Q6380">
        <v>1.8960439999999999E-2</v>
      </c>
      <c r="R6380">
        <v>0.993971099999999</v>
      </c>
      <c r="S6380">
        <v>4.9911499999999998E-2</v>
      </c>
      <c r="T6380">
        <v>-0.22343629999999901</v>
      </c>
      <c r="U6380">
        <v>3.0278930000000002</v>
      </c>
      <c r="V6380">
        <v>-5.5094270000000001E-2</v>
      </c>
      <c r="W6380">
        <v>2.7897849999999998E-2</v>
      </c>
      <c r="X6380">
        <v>0.99809130000000001</v>
      </c>
      <c r="Y6380">
        <v>6.9590429999999995E-2</v>
      </c>
      <c r="Z6380">
        <v>-7.3342249999999998E-2</v>
      </c>
      <c r="AA6380">
        <v>0.99487590000000004</v>
      </c>
      <c r="AB6380">
        <v>38</v>
      </c>
      <c r="AC6380">
        <v>3.5400000000009799E-2</v>
      </c>
      <c r="AD6380">
        <v>-6.3393000000000005E-2</v>
      </c>
      <c r="AE6380">
        <v>0.47880399999999901</v>
      </c>
      <c r="AF6380">
        <v>5.9772504732424098E-2</v>
      </c>
      <c r="AG6380">
        <v>-6.3393000000000005E-2</v>
      </c>
      <c r="AH6380">
        <v>0.46808304546093799</v>
      </c>
      <c r="AI6380">
        <v>97.651318828456496</v>
      </c>
      <c r="AJ6380">
        <v>82.722920754034007</v>
      </c>
      <c r="AK6380">
        <v>0.47612305365207203</v>
      </c>
    </row>
    <row r="6381" spans="1:37" x14ac:dyDescent="0.2">
      <c r="A6381" t="str">
        <f>"20200111160027141"</f>
        <v>20200111160027141</v>
      </c>
      <c r="B6381" t="str">
        <f>"1578729627137251"</f>
        <v>1578729627137251</v>
      </c>
      <c r="C6381" t="s">
        <v>37</v>
      </c>
      <c r="D6381">
        <v>5.7598979999999997</v>
      </c>
      <c r="E6381">
        <v>0.54951680000000003</v>
      </c>
      <c r="F6381" t="s">
        <v>38</v>
      </c>
      <c r="G6381">
        <v>-190.0609</v>
      </c>
      <c r="H6381">
        <v>1.043885</v>
      </c>
      <c r="I6381">
        <v>-3.9602309999999998</v>
      </c>
      <c r="J6381">
        <v>-190.09559999999999</v>
      </c>
      <c r="K6381">
        <v>1.105305</v>
      </c>
      <c r="L6381">
        <v>-4.4104000000000001</v>
      </c>
      <c r="M6381">
        <v>-5.4474160000000001E-2</v>
      </c>
      <c r="N6381">
        <v>0</v>
      </c>
      <c r="O6381">
        <v>0.99846990000000002</v>
      </c>
      <c r="P6381">
        <v>-0.1085093</v>
      </c>
      <c r="Q6381">
        <v>1.8172899999999999E-2</v>
      </c>
      <c r="R6381">
        <v>0.99392930000000002</v>
      </c>
      <c r="S6381">
        <v>5.0827030000000002E-2</v>
      </c>
      <c r="T6381">
        <v>-0.22704669999999999</v>
      </c>
      <c r="U6381">
        <v>3.0280459999999998</v>
      </c>
      <c r="V6381">
        <v>-5.4312020000000003E-2</v>
      </c>
      <c r="W6381">
        <v>2.745266E-2</v>
      </c>
      <c r="X6381">
        <v>0.99814650000000005</v>
      </c>
      <c r="Y6381">
        <v>7.1180190000000004E-2</v>
      </c>
      <c r="Z6381">
        <v>-7.4504870000000001E-2</v>
      </c>
      <c r="AA6381">
        <v>0.99467700000000003</v>
      </c>
      <c r="AB6381">
        <v>38</v>
      </c>
      <c r="AC6381">
        <v>3.4699999999986603E-2</v>
      </c>
      <c r="AD6381">
        <v>-6.1420000000000002E-2</v>
      </c>
      <c r="AE6381">
        <v>0.45016899999999999</v>
      </c>
      <c r="AF6381">
        <v>5.8097056734617201E-2</v>
      </c>
      <c r="AG6381">
        <v>-6.1420000000000002E-2</v>
      </c>
      <c r="AH6381">
        <v>0.43947752635390702</v>
      </c>
      <c r="AI6381">
        <v>97.888194611929507</v>
      </c>
      <c r="AJ6381">
        <v>82.469406953555307</v>
      </c>
      <c r="AK6381">
        <v>0.44753567519402798</v>
      </c>
    </row>
    <row r="6382" spans="1:37" x14ac:dyDescent="0.2">
      <c r="A6382" t="str">
        <f>"20200111160027162"</f>
        <v>20200111160027162</v>
      </c>
      <c r="B6382" t="str">
        <f>"1578729627157746"</f>
        <v>1578729627157746</v>
      </c>
      <c r="C6382" t="s">
        <v>37</v>
      </c>
      <c r="D6382">
        <v>5.7259000000000002</v>
      </c>
      <c r="E6382">
        <v>0.54983709999999997</v>
      </c>
      <c r="F6382" t="s">
        <v>38</v>
      </c>
      <c r="G6382">
        <v>-190.08150000000001</v>
      </c>
      <c r="H6382">
        <v>1.044942</v>
      </c>
      <c r="I6382">
        <v>-3.6191989999999898</v>
      </c>
      <c r="J6382">
        <v>-190.1164</v>
      </c>
      <c r="K6382">
        <v>1.105216</v>
      </c>
      <c r="L6382">
        <v>-4.0492860000000004</v>
      </c>
      <c r="M6382">
        <v>-5.5612000000000002E-2</v>
      </c>
      <c r="N6382">
        <v>0</v>
      </c>
      <c r="O6382">
        <v>0.99840419999999996</v>
      </c>
      <c r="P6382">
        <v>-0.10955289999999999</v>
      </c>
      <c r="Q6382">
        <v>1.656668E-2</v>
      </c>
      <c r="R6382">
        <v>0.99384289999999997</v>
      </c>
      <c r="S6382">
        <v>5.2841190000000003E-2</v>
      </c>
      <c r="T6382">
        <v>-0.2310654</v>
      </c>
      <c r="U6382">
        <v>3.0283199999999999</v>
      </c>
      <c r="V6382">
        <v>-5.4207749999999999E-2</v>
      </c>
      <c r="W6382">
        <v>2.6169000000000001E-2</v>
      </c>
      <c r="X6382">
        <v>0.99818669999999998</v>
      </c>
      <c r="Y6382">
        <v>7.2975079999999998E-2</v>
      </c>
      <c r="Z6382">
        <v>-7.5796669999999997E-2</v>
      </c>
      <c r="AA6382">
        <v>0.99444929999999998</v>
      </c>
      <c r="AB6382">
        <v>38</v>
      </c>
      <c r="AC6382">
        <v>3.48999999999932E-2</v>
      </c>
      <c r="AD6382">
        <v>-6.0273999999999897E-2</v>
      </c>
      <c r="AE6382">
        <v>0.430087</v>
      </c>
      <c r="AF6382">
        <v>5.7640467609551799E-2</v>
      </c>
      <c r="AG6382">
        <v>-6.0273999999999897E-2</v>
      </c>
      <c r="AH6382">
        <v>0.41929912913168699</v>
      </c>
      <c r="AI6382">
        <v>98.104999176830802</v>
      </c>
      <c r="AJ6382">
        <v>82.172688753225799</v>
      </c>
      <c r="AK6382">
        <v>0.42751273463236</v>
      </c>
    </row>
    <row r="6383" spans="1:37" x14ac:dyDescent="0.2">
      <c r="A6383" t="str">
        <f>"20200111160027185"</f>
        <v>20200111160027185</v>
      </c>
      <c r="B6383" t="str">
        <f>"1578729627177266"</f>
        <v>1578729627177266</v>
      </c>
      <c r="C6383" t="s">
        <v>37</v>
      </c>
      <c r="D6383">
        <v>5.7503699999999904</v>
      </c>
      <c r="E6383">
        <v>0.5503169</v>
      </c>
      <c r="F6383" t="s">
        <v>38</v>
      </c>
      <c r="G6383">
        <v>-190.10310000000001</v>
      </c>
      <c r="H6383">
        <v>1.0451459999999999</v>
      </c>
      <c r="I6383">
        <v>-3.2786360000000001</v>
      </c>
      <c r="J6383">
        <v>-190.13900000000001</v>
      </c>
      <c r="K6383">
        <v>1.10511</v>
      </c>
      <c r="L6383">
        <v>-3.66372699999999</v>
      </c>
      <c r="M6383">
        <v>-5.668985E-2</v>
      </c>
      <c r="N6383">
        <v>0</v>
      </c>
      <c r="O6383">
        <v>0.99834049999999996</v>
      </c>
      <c r="P6383">
        <v>-0.1109651</v>
      </c>
      <c r="Q6383">
        <v>1.582633E-2</v>
      </c>
      <c r="R6383">
        <v>0.99369830000000003</v>
      </c>
      <c r="S6383">
        <v>5.2444459999999998E-2</v>
      </c>
      <c r="T6383">
        <v>-0.2360476</v>
      </c>
      <c r="U6383">
        <v>3.0282900000000001</v>
      </c>
      <c r="V6383">
        <v>-5.4537229999999999E-2</v>
      </c>
      <c r="W6383">
        <v>2.5755719999999999E-2</v>
      </c>
      <c r="X6383">
        <v>0.9981795</v>
      </c>
      <c r="Y6383">
        <v>7.3919719999999994E-2</v>
      </c>
      <c r="Z6383">
        <v>-7.7412330000000001E-2</v>
      </c>
      <c r="AA6383">
        <v>0.99425509999999995</v>
      </c>
      <c r="AB6383">
        <v>38</v>
      </c>
      <c r="AC6383">
        <v>3.5899999999998003E-2</v>
      </c>
      <c r="AD6383">
        <v>-5.9964000000000101E-2</v>
      </c>
      <c r="AE6383">
        <v>0.38509099999999902</v>
      </c>
      <c r="AF6383">
        <v>5.6320309554614E-2</v>
      </c>
      <c r="AG6383">
        <v>-5.9964000000000101E-2</v>
      </c>
      <c r="AH6383">
        <v>0.37345920565580598</v>
      </c>
      <c r="AI6383">
        <v>99.021462598065099</v>
      </c>
      <c r="AJ6383">
        <v>81.424012444118304</v>
      </c>
      <c r="AK6383">
        <v>0.382412652580159</v>
      </c>
    </row>
    <row r="6384" spans="1:37" x14ac:dyDescent="0.2">
      <c r="A6384" t="str">
        <f>"20200111160027208"</f>
        <v>20200111160027208</v>
      </c>
      <c r="B6384" t="str">
        <f>"1578729627197761"</f>
        <v>1578729627197761</v>
      </c>
      <c r="C6384" t="s">
        <v>37</v>
      </c>
      <c r="D6384">
        <v>5.7359140000000002</v>
      </c>
      <c r="E6384">
        <v>0.55060969999999998</v>
      </c>
      <c r="F6384" t="s">
        <v>38</v>
      </c>
      <c r="G6384">
        <v>-190.1207</v>
      </c>
      <c r="H6384">
        <v>1.0221129999999901</v>
      </c>
      <c r="I6384">
        <v>-2.6075089999999999</v>
      </c>
      <c r="J6384">
        <v>-190.16229999999999</v>
      </c>
      <c r="K6384">
        <v>1.1049819999999999</v>
      </c>
      <c r="L6384">
        <v>-3.2695620000000001</v>
      </c>
      <c r="M6384">
        <v>-5.7613530000000003E-2</v>
      </c>
      <c r="N6384">
        <v>0</v>
      </c>
      <c r="O6384">
        <v>0.99828459999999997</v>
      </c>
      <c r="P6384">
        <v>-0.11241660000000001</v>
      </c>
      <c r="Q6384">
        <v>1.5630789999999999E-2</v>
      </c>
      <c r="R6384">
        <v>0.99353819999999904</v>
      </c>
      <c r="S6384">
        <v>5.2230829999999999E-2</v>
      </c>
      <c r="T6384">
        <v>-0.23799609999999999</v>
      </c>
      <c r="U6384">
        <v>3.0286559999999998</v>
      </c>
      <c r="V6384">
        <v>-5.5062050000000001E-2</v>
      </c>
      <c r="W6384">
        <v>2.5869650000000001E-2</v>
      </c>
      <c r="X6384">
        <v>0.99814769999999897</v>
      </c>
      <c r="Y6384">
        <v>7.4769539999999995E-2</v>
      </c>
      <c r="Z6384">
        <v>-7.8029409999999993E-2</v>
      </c>
      <c r="AA6384">
        <v>0.99414329999999995</v>
      </c>
      <c r="AB6384">
        <v>38</v>
      </c>
      <c r="AC6384">
        <v>4.1599999999988299E-2</v>
      </c>
      <c r="AD6384">
        <v>-8.2868999999999998E-2</v>
      </c>
      <c r="AE6384">
        <v>0.662053</v>
      </c>
      <c r="AF6384">
        <v>7.8451865942840399E-2</v>
      </c>
      <c r="AG6384">
        <v>-8.2868999999999998E-2</v>
      </c>
      <c r="AH6384">
        <v>0.64843692383708296</v>
      </c>
      <c r="AI6384">
        <v>97.230650391835994</v>
      </c>
      <c r="AJ6384">
        <v>83.101534779152601</v>
      </c>
      <c r="AK6384">
        <v>0.65840140539507697</v>
      </c>
    </row>
    <row r="6385" spans="1:37" x14ac:dyDescent="0.2">
      <c r="A6385" t="str">
        <f>"20200111160027231"</f>
        <v>20200111160027231</v>
      </c>
      <c r="B6385" t="str">
        <f>"1578729627227042"</f>
        <v>1578729627227042</v>
      </c>
      <c r="C6385" t="s">
        <v>37</v>
      </c>
      <c r="D6385">
        <v>5.7623189999999997</v>
      </c>
      <c r="E6385">
        <v>0.55122299999999902</v>
      </c>
      <c r="F6385" t="s">
        <v>38</v>
      </c>
      <c r="G6385">
        <v>-190.1454</v>
      </c>
      <c r="H6385">
        <v>1.0254190000000001</v>
      </c>
      <c r="I6385">
        <v>-2.2656049999999999</v>
      </c>
      <c r="J6385">
        <v>-190.1857</v>
      </c>
      <c r="K6385">
        <v>1.1048739999999999</v>
      </c>
      <c r="L6385">
        <v>-2.8794559999999998</v>
      </c>
      <c r="M6385">
        <v>-5.8399199999999998E-2</v>
      </c>
      <c r="N6385">
        <v>0</v>
      </c>
      <c r="O6385">
        <v>0.99823619999999902</v>
      </c>
      <c r="P6385">
        <v>-0.1136499</v>
      </c>
      <c r="Q6385">
        <v>1.556695E-2</v>
      </c>
      <c r="R6385">
        <v>0.99339889999999997</v>
      </c>
      <c r="S6385">
        <v>5.0369259999999999E-2</v>
      </c>
      <c r="T6385">
        <v>-0.24005409999999999</v>
      </c>
      <c r="U6385">
        <v>3.0289919999999899</v>
      </c>
      <c r="V6385">
        <v>-5.5506750000000001E-2</v>
      </c>
      <c r="W6385">
        <v>2.608367E-2</v>
      </c>
      <c r="X6385">
        <v>0.99811759999999905</v>
      </c>
      <c r="Y6385">
        <v>7.4940939999999998E-2</v>
      </c>
      <c r="Z6385">
        <v>-7.86858E-2</v>
      </c>
      <c r="AA6385">
        <v>0.99407869999999998</v>
      </c>
      <c r="AB6385">
        <v>38</v>
      </c>
      <c r="AC6385">
        <v>4.0300000000002001E-2</v>
      </c>
      <c r="AD6385">
        <v>-7.9454999999999804E-2</v>
      </c>
      <c r="AE6385">
        <v>0.61385100000000004</v>
      </c>
      <c r="AF6385">
        <v>7.4833293105179194E-2</v>
      </c>
      <c r="AG6385">
        <v>-7.9454999999999804E-2</v>
      </c>
      <c r="AH6385">
        <v>0.60043316552290205</v>
      </c>
      <c r="AI6385">
        <v>97.480909045806897</v>
      </c>
      <c r="AJ6385">
        <v>82.895735017859394</v>
      </c>
      <c r="AK6385">
        <v>0.61027297584099005</v>
      </c>
    </row>
    <row r="6386" spans="1:37" x14ac:dyDescent="0.2">
      <c r="A6386" t="str">
        <f>"20200111160027253"</f>
        <v>20200111160027253</v>
      </c>
      <c r="B6386" t="str">
        <f>"1578729627247537"</f>
        <v>1578729627247537</v>
      </c>
      <c r="C6386" t="s">
        <v>37</v>
      </c>
      <c r="D6386">
        <v>5.7468779999999997</v>
      </c>
      <c r="E6386">
        <v>0.55163819999999997</v>
      </c>
      <c r="F6386" t="s">
        <v>38</v>
      </c>
      <c r="G6386">
        <v>-190.16929999999999</v>
      </c>
      <c r="H6386">
        <v>1.028775</v>
      </c>
      <c r="I6386">
        <v>-1.9236219999999999</v>
      </c>
      <c r="J6386">
        <v>-190.20830000000001</v>
      </c>
      <c r="K6386">
        <v>1.104765</v>
      </c>
      <c r="L6386">
        <v>-2.505188</v>
      </c>
      <c r="M6386">
        <v>-5.9022400000000003E-2</v>
      </c>
      <c r="N6386">
        <v>0</v>
      </c>
      <c r="O6386">
        <v>0.99819709999999995</v>
      </c>
      <c r="P6386">
        <v>-0.114681399999999</v>
      </c>
      <c r="Q6386">
        <v>1.65682999999999E-2</v>
      </c>
      <c r="R6386">
        <v>0.99326409999999998</v>
      </c>
      <c r="S6386">
        <v>5.1879880000000003E-2</v>
      </c>
      <c r="T6386">
        <v>-0.2412057</v>
      </c>
      <c r="U6386">
        <v>3.0296630000000002</v>
      </c>
      <c r="V6386">
        <v>-5.5915159999999998E-2</v>
      </c>
      <c r="W6386">
        <v>2.73254E-2</v>
      </c>
      <c r="X6386">
        <v>0.99806149999999905</v>
      </c>
      <c r="Y6386">
        <v>7.6054960000000005E-2</v>
      </c>
      <c r="Z6386">
        <v>-7.9035439999999998E-2</v>
      </c>
      <c r="AA6386">
        <v>0.99396629999999997</v>
      </c>
      <c r="AB6386">
        <v>38</v>
      </c>
      <c r="AC6386">
        <v>3.9000000000015599E-2</v>
      </c>
      <c r="AD6386">
        <v>-7.5990000000000002E-2</v>
      </c>
      <c r="AE6386">
        <v>0.58156599999999903</v>
      </c>
      <c r="AF6386">
        <v>7.2035100151132195E-2</v>
      </c>
      <c r="AG6386">
        <v>-7.5990000000000002E-2</v>
      </c>
      <c r="AH6386">
        <v>0.56858588187704096</v>
      </c>
      <c r="AI6386">
        <v>97.552654039078604</v>
      </c>
      <c r="AJ6386">
        <v>82.779568696670793</v>
      </c>
      <c r="AK6386">
        <v>0.578146556526696</v>
      </c>
    </row>
    <row r="6387" spans="1:37" x14ac:dyDescent="0.2">
      <c r="A6387" t="str">
        <f>"20200111160027275"</f>
        <v>20200111160027275</v>
      </c>
      <c r="B6387" t="str">
        <f>"1578729627267058"</f>
        <v>1578729627267058</v>
      </c>
      <c r="C6387" t="s">
        <v>37</v>
      </c>
      <c r="D6387">
        <v>5.7310949999999998</v>
      </c>
      <c r="E6387">
        <v>0.55204589999999998</v>
      </c>
      <c r="F6387" t="s">
        <v>38</v>
      </c>
      <c r="G6387">
        <v>-190.19210000000001</v>
      </c>
      <c r="H6387">
        <v>1.0320769999999999</v>
      </c>
      <c r="I6387">
        <v>-1.581637</v>
      </c>
      <c r="J6387">
        <v>-190.23070000000001</v>
      </c>
      <c r="K6387">
        <v>1.1046450000000001</v>
      </c>
      <c r="L6387">
        <v>-2.134125</v>
      </c>
      <c r="M6387">
        <v>-5.9495100000000002E-2</v>
      </c>
      <c r="N6387">
        <v>0</v>
      </c>
      <c r="O6387">
        <v>0.99816689999999997</v>
      </c>
      <c r="P6387">
        <v>-0.1153671</v>
      </c>
      <c r="Q6387">
        <v>1.7696179999999999E-2</v>
      </c>
      <c r="R6387">
        <v>0.99316530000000003</v>
      </c>
      <c r="S6387">
        <v>5.2352910000000002E-2</v>
      </c>
      <c r="T6387">
        <v>-0.23849679999999901</v>
      </c>
      <c r="U6387">
        <v>3.0303650000000002</v>
      </c>
      <c r="V6387">
        <v>-5.6126240000000001E-2</v>
      </c>
      <c r="W6387">
        <v>2.866811E-2</v>
      </c>
      <c r="X6387">
        <v>0.99801200000000001</v>
      </c>
      <c r="Y6387">
        <v>7.6679639999999993E-2</v>
      </c>
      <c r="Z6387">
        <v>-7.8130039999999998E-2</v>
      </c>
      <c r="AA6387">
        <v>0.99398989999999998</v>
      </c>
      <c r="AB6387">
        <v>38</v>
      </c>
      <c r="AC6387">
        <v>3.8600000000002403E-2</v>
      </c>
      <c r="AD6387">
        <v>-7.2567999999999896E-2</v>
      </c>
      <c r="AE6387">
        <v>0.55248799999999898</v>
      </c>
      <c r="AF6387">
        <v>7.0198768120634594E-2</v>
      </c>
      <c r="AG6387">
        <v>-7.2567999999999896E-2</v>
      </c>
      <c r="AH6387">
        <v>0.53994259684696699</v>
      </c>
      <c r="AI6387">
        <v>97.591516810605398</v>
      </c>
      <c r="AJ6387">
        <v>82.592437710104903</v>
      </c>
      <c r="AK6387">
        <v>0.54930136497145299</v>
      </c>
    </row>
    <row r="6388" spans="1:37" x14ac:dyDescent="0.2">
      <c r="A6388" t="str">
        <f>"20200111160027299"</f>
        <v>20200111160027299</v>
      </c>
      <c r="B6388" t="str">
        <f>"1578729627287553"</f>
        <v>1578729627287553</v>
      </c>
      <c r="C6388" t="s">
        <v>37</v>
      </c>
      <c r="D6388">
        <v>5.735754</v>
      </c>
      <c r="E6388">
        <v>0.55241099999999999</v>
      </c>
      <c r="F6388" t="s">
        <v>38</v>
      </c>
      <c r="G6388">
        <v>-190.2148</v>
      </c>
      <c r="H6388">
        <v>1.035242</v>
      </c>
      <c r="I6388">
        <v>-1.239687</v>
      </c>
      <c r="J6388">
        <v>-190.25559999999999</v>
      </c>
      <c r="K6388">
        <v>1.1045049999999901</v>
      </c>
      <c r="L6388">
        <v>-1.7238770000000001</v>
      </c>
      <c r="M6388">
        <v>-5.9846549999999998E-2</v>
      </c>
      <c r="N6388">
        <v>0</v>
      </c>
      <c r="O6388">
        <v>0.99814369999999997</v>
      </c>
      <c r="P6388">
        <v>-0.1140145</v>
      </c>
      <c r="Q6388">
        <v>1.9708549999999998E-2</v>
      </c>
      <c r="R6388">
        <v>0.99328359999999905</v>
      </c>
      <c r="S6388">
        <v>5.3848269999999997E-2</v>
      </c>
      <c r="T6388">
        <v>-0.2351924</v>
      </c>
      <c r="U6388">
        <v>3.0310969999999999</v>
      </c>
      <c r="V6388">
        <v>-5.4409350000000002E-2</v>
      </c>
      <c r="W6388">
        <v>3.0897770000000001E-2</v>
      </c>
      <c r="X6388">
        <v>0.99804059999999895</v>
      </c>
      <c r="Y6388">
        <v>7.7518400000000001E-2</v>
      </c>
      <c r="Z6388">
        <v>-7.7030280000000007E-2</v>
      </c>
      <c r="AA6388">
        <v>0.99401070000000002</v>
      </c>
      <c r="AB6388">
        <v>38</v>
      </c>
      <c r="AC6388">
        <v>4.0799999999990101E-2</v>
      </c>
      <c r="AD6388">
        <v>-6.9262999999999797E-2</v>
      </c>
      <c r="AE6388">
        <v>0.48419000000000001</v>
      </c>
      <c r="AF6388">
        <v>6.8317675933594696E-2</v>
      </c>
      <c r="AG6388">
        <v>-6.9262999999999797E-2</v>
      </c>
      <c r="AH6388">
        <v>0.47130379688596302</v>
      </c>
      <c r="AI6388">
        <v>98.275097417477198</v>
      </c>
      <c r="AJ6388">
        <v>81.752157763045005</v>
      </c>
      <c r="AK6388">
        <v>0.48123999934865402</v>
      </c>
    </row>
    <row r="6389" spans="1:37" x14ac:dyDescent="0.2">
      <c r="A6389" t="str">
        <f>"20200111160027320"</f>
        <v>20200111160027320</v>
      </c>
      <c r="B6389" t="str">
        <f>"1578729627317809"</f>
        <v>1578729627317809</v>
      </c>
      <c r="C6389" t="s">
        <v>37</v>
      </c>
      <c r="D6389">
        <v>5.7441430000000002</v>
      </c>
      <c r="E6389">
        <v>0.55307499999999998</v>
      </c>
      <c r="F6389" t="s">
        <v>38</v>
      </c>
      <c r="G6389">
        <v>-190.2389</v>
      </c>
      <c r="H6389">
        <v>1.041814</v>
      </c>
      <c r="I6389">
        <v>-0.89608589999999999</v>
      </c>
      <c r="J6389">
        <v>-190.2775</v>
      </c>
      <c r="K6389">
        <v>1.104358</v>
      </c>
      <c r="L6389">
        <v>-1.362854</v>
      </c>
      <c r="M6389">
        <v>-5.9988420000000001E-2</v>
      </c>
      <c r="N6389">
        <v>0</v>
      </c>
      <c r="O6389">
        <v>0.99813349999999901</v>
      </c>
      <c r="P6389">
        <v>-0.111928399999999</v>
      </c>
      <c r="Q6389">
        <v>2.0911430000000002E-2</v>
      </c>
      <c r="R6389">
        <v>0.99349619999999905</v>
      </c>
      <c r="S6389">
        <v>6.0821529999999999E-2</v>
      </c>
      <c r="T6389">
        <v>-0.22959089999999999</v>
      </c>
      <c r="U6389">
        <v>3.0318299999999998</v>
      </c>
      <c r="V6389">
        <v>-5.2161640000000002E-2</v>
      </c>
      <c r="W6389">
        <v>3.2273709999999997E-2</v>
      </c>
      <c r="X6389">
        <v>0.99811700000000003</v>
      </c>
      <c r="Y6389">
        <v>7.9943979999999998E-2</v>
      </c>
      <c r="Z6389">
        <v>-7.5178350000000005E-2</v>
      </c>
      <c r="AA6389">
        <v>0.99396030000000002</v>
      </c>
      <c r="AB6389">
        <v>38</v>
      </c>
      <c r="AC6389">
        <v>3.8600000000002403E-2</v>
      </c>
      <c r="AD6389">
        <v>-6.2543999999999905E-2</v>
      </c>
      <c r="AE6389">
        <v>0.46676810000000002</v>
      </c>
      <c r="AF6389">
        <v>6.5367334314669706E-2</v>
      </c>
      <c r="AG6389">
        <v>-6.2543999999999905E-2</v>
      </c>
      <c r="AH6389">
        <v>0.45548921752175803</v>
      </c>
      <c r="AI6389">
        <v>97.740164872013395</v>
      </c>
      <c r="AJ6389">
        <v>81.833233706966894</v>
      </c>
      <c r="AK6389">
        <v>0.46438676511070898</v>
      </c>
    </row>
    <row r="6390" spans="1:37" x14ac:dyDescent="0.2">
      <c r="A6390" t="str">
        <f>"20200111160027342"</f>
        <v>20200111160027342</v>
      </c>
      <c r="B6390" t="str">
        <f>"1578729627337330"</f>
        <v>1578729627337330</v>
      </c>
      <c r="C6390" t="s">
        <v>37</v>
      </c>
      <c r="D6390">
        <v>5.7853440000000003</v>
      </c>
      <c r="E6390">
        <v>0.55335749999999995</v>
      </c>
      <c r="F6390" t="s">
        <v>38</v>
      </c>
      <c r="G6390">
        <v>-190.25829999999999</v>
      </c>
      <c r="H6390">
        <v>1.043917</v>
      </c>
      <c r="I6390">
        <v>-0.55443069999999905</v>
      </c>
      <c r="J6390">
        <v>-190.29929999999999</v>
      </c>
      <c r="K6390">
        <v>1.104163</v>
      </c>
      <c r="L6390">
        <v>-1.001617</v>
      </c>
      <c r="M6390">
        <v>-5.9930919999999999E-2</v>
      </c>
      <c r="N6390">
        <v>0</v>
      </c>
      <c r="O6390">
        <v>0.99813539999999901</v>
      </c>
      <c r="P6390">
        <v>-0.108976399999999</v>
      </c>
      <c r="Q6390">
        <v>1.9402610000000001E-2</v>
      </c>
      <c r="R6390">
        <v>0.99385489999999999</v>
      </c>
      <c r="S6390">
        <v>7.1899409999999997E-2</v>
      </c>
      <c r="T6390">
        <v>-0.22670779999999999</v>
      </c>
      <c r="U6390">
        <v>3.0325009999999999</v>
      </c>
      <c r="V6390">
        <v>-4.9235069999999999E-2</v>
      </c>
      <c r="W6390">
        <v>3.0923989999999998E-2</v>
      </c>
      <c r="X6390">
        <v>0.99830839999999998</v>
      </c>
      <c r="Y6390">
        <v>8.3512669999999997E-2</v>
      </c>
      <c r="Z6390">
        <v>-7.420976E-2</v>
      </c>
      <c r="AA6390">
        <v>0.993739699999999</v>
      </c>
      <c r="AB6390">
        <v>38</v>
      </c>
      <c r="AC6390">
        <v>4.0999999999996803E-2</v>
      </c>
      <c r="AD6390">
        <v>-6.0246000000000001E-2</v>
      </c>
      <c r="AE6390">
        <v>0.44718629999999998</v>
      </c>
      <c r="AF6390">
        <v>6.6530898364521196E-2</v>
      </c>
      <c r="AG6390">
        <v>-6.0246000000000001E-2</v>
      </c>
      <c r="AH6390">
        <v>0.43607619769079897</v>
      </c>
      <c r="AI6390">
        <v>97.777020823287202</v>
      </c>
      <c r="AJ6390">
        <v>81.325439167345706</v>
      </c>
      <c r="AK6390">
        <v>0.44521724039580401</v>
      </c>
    </row>
    <row r="6391" spans="1:37" x14ac:dyDescent="0.2">
      <c r="A6391" t="str">
        <f>"20200111160027364"</f>
        <v>20200111160027364</v>
      </c>
      <c r="B6391" t="str">
        <f>"1578729627357825"</f>
        <v>1578729627357825</v>
      </c>
      <c r="C6391" t="s">
        <v>37</v>
      </c>
      <c r="D6391">
        <v>5.7419399999999996</v>
      </c>
      <c r="E6391">
        <v>0.55365989999999998</v>
      </c>
      <c r="F6391" t="s">
        <v>38</v>
      </c>
      <c r="G6391">
        <v>-190.2775</v>
      </c>
      <c r="H6391">
        <v>1.0440860000000001</v>
      </c>
      <c r="I6391">
        <v>-0.21364920000000001</v>
      </c>
      <c r="J6391">
        <v>-190.32249999999999</v>
      </c>
      <c r="K6391">
        <v>1.1039190000000001</v>
      </c>
      <c r="L6391">
        <v>-0.61199950000000003</v>
      </c>
      <c r="M6391">
        <v>-5.960215E-2</v>
      </c>
      <c r="N6391">
        <v>0</v>
      </c>
      <c r="O6391">
        <v>0.99815370000000003</v>
      </c>
      <c r="P6391">
        <v>-0.107386999999999</v>
      </c>
      <c r="Q6391">
        <v>1.7358209999999999E-2</v>
      </c>
      <c r="R6391">
        <v>0.9940658</v>
      </c>
      <c r="S6391">
        <v>8.3282469999999997E-2</v>
      </c>
      <c r="T6391">
        <v>-0.23114479999999901</v>
      </c>
      <c r="U6391">
        <v>3.0321959999999999</v>
      </c>
      <c r="V6391">
        <v>-4.7946269999999999E-2</v>
      </c>
      <c r="W6391">
        <v>2.9034649999999999E-2</v>
      </c>
      <c r="X6391">
        <v>0.99842779999999998</v>
      </c>
      <c r="Y6391">
        <v>8.6911489999999994E-2</v>
      </c>
      <c r="Z6391">
        <v>-7.5648989999999999E-2</v>
      </c>
      <c r="AA6391">
        <v>0.99333969999999905</v>
      </c>
      <c r="AB6391">
        <v>38</v>
      </c>
      <c r="AC6391">
        <v>4.4999999999987397E-2</v>
      </c>
      <c r="AD6391">
        <v>-5.9832999999999997E-2</v>
      </c>
      <c r="AE6391">
        <v>0.39835029999999999</v>
      </c>
      <c r="AF6391">
        <v>6.7167890857990298E-2</v>
      </c>
      <c r="AG6391">
        <v>-5.9832999999999997E-2</v>
      </c>
      <c r="AH6391">
        <v>0.38635319860494899</v>
      </c>
      <c r="AI6391">
        <v>98.675139026021697</v>
      </c>
      <c r="AJ6391">
        <v>80.137643427048801</v>
      </c>
      <c r="AK6391">
        <v>0.39668666164062799</v>
      </c>
    </row>
    <row r="6392" spans="1:37" x14ac:dyDescent="0.2">
      <c r="A6392" t="str">
        <f>"20200111160027431"</f>
        <v>20200111160027431</v>
      </c>
      <c r="B6392" t="str">
        <f>"1578729627427628"</f>
        <v>1578729627427628</v>
      </c>
      <c r="C6392" t="s">
        <v>37</v>
      </c>
      <c r="D6392">
        <v>5.8541089999999896</v>
      </c>
      <c r="E6392">
        <v>0.55382549999999997</v>
      </c>
      <c r="F6392" t="s">
        <v>38</v>
      </c>
      <c r="G6392">
        <v>-190.3322</v>
      </c>
      <c r="H6392">
        <v>1.022116</v>
      </c>
      <c r="I6392">
        <v>1.1401459999999899</v>
      </c>
      <c r="J6392">
        <v>-190.38740000000001</v>
      </c>
      <c r="K6392">
        <v>1.102983</v>
      </c>
      <c r="L6392">
        <v>0.53247069999999996</v>
      </c>
      <c r="M6392">
        <v>-5.6566940000000003E-2</v>
      </c>
      <c r="N6392">
        <v>0</v>
      </c>
      <c r="O6392">
        <v>0.99832690000000002</v>
      </c>
      <c r="P6392">
        <v>-0.10211629999999999</v>
      </c>
      <c r="Q6392">
        <v>9.8869089999999993E-3</v>
      </c>
      <c r="R6392">
        <v>0.99472329999999998</v>
      </c>
      <c r="S6392">
        <v>0.106155399999999</v>
      </c>
      <c r="T6392">
        <v>-0.2500465</v>
      </c>
      <c r="U6392">
        <v>3.0305179999999998</v>
      </c>
      <c r="V6392">
        <v>-4.5632979999999997E-2</v>
      </c>
      <c r="W6392">
        <v>2.195308E-2</v>
      </c>
      <c r="X6392">
        <v>0.99871699999999997</v>
      </c>
      <c r="Y6392">
        <v>9.1369599999999995E-2</v>
      </c>
      <c r="Z6392">
        <v>-8.1835660000000005E-2</v>
      </c>
      <c r="AA6392">
        <v>0.99244869999999996</v>
      </c>
      <c r="AB6392">
        <v>38</v>
      </c>
      <c r="AC6392">
        <v>5.5200000000013398E-2</v>
      </c>
      <c r="AD6392">
        <v>-8.0866999999999994E-2</v>
      </c>
      <c r="AE6392">
        <v>0.60767529999999903</v>
      </c>
      <c r="AF6392">
        <v>8.7943732575536601E-2</v>
      </c>
      <c r="AG6392">
        <v>-8.0866999999999994E-2</v>
      </c>
      <c r="AH6392">
        <v>0.59316098487928304</v>
      </c>
      <c r="AI6392">
        <v>97.680465002339503</v>
      </c>
      <c r="AJ6392">
        <v>81.566600820330606</v>
      </c>
      <c r="AK6392">
        <v>0.60507315737130396</v>
      </c>
    </row>
    <row r="6393" spans="1:37" x14ac:dyDescent="0.2">
      <c r="A6393" t="str">
        <f>"20200111160027452"</f>
        <v>20200111160027452</v>
      </c>
      <c r="B6393" t="str">
        <f>"1578729627447148"</f>
        <v>1578729627447148</v>
      </c>
      <c r="C6393" t="s">
        <v>37</v>
      </c>
      <c r="D6393">
        <v>5.8578330000000003</v>
      </c>
      <c r="E6393">
        <v>0.55364539999999995</v>
      </c>
      <c r="F6393" t="s">
        <v>38</v>
      </c>
      <c r="G6393">
        <v>-190.35299999999901</v>
      </c>
      <c r="H6393">
        <v>1.0225109999999999</v>
      </c>
      <c r="I6393">
        <v>1.4811289999999999</v>
      </c>
      <c r="J6393">
        <v>-190.4057</v>
      </c>
      <c r="K6393">
        <v>1.102714</v>
      </c>
      <c r="L6393">
        <v>0.87957759999999996</v>
      </c>
      <c r="M6393">
        <v>-5.5077559999999998E-2</v>
      </c>
      <c r="N6393">
        <v>0</v>
      </c>
      <c r="O6393">
        <v>0.9984094</v>
      </c>
      <c r="P6393">
        <v>-0.1018206</v>
      </c>
      <c r="Q6393">
        <v>7.64854199999999E-3</v>
      </c>
      <c r="R6393">
        <v>0.99477340000000003</v>
      </c>
      <c r="S6393">
        <v>0.1096497</v>
      </c>
      <c r="T6393">
        <v>-0.2569785</v>
      </c>
      <c r="U6393">
        <v>3.0297239999999999</v>
      </c>
      <c r="V6393">
        <v>-4.6816549999999998E-2</v>
      </c>
      <c r="W6393">
        <v>1.9814930000000001E-2</v>
      </c>
      <c r="X6393">
        <v>0.99870689999999995</v>
      </c>
      <c r="Y6393">
        <v>9.1029440000000003E-2</v>
      </c>
      <c r="Z6393">
        <v>-8.4120390000000003E-2</v>
      </c>
      <c r="AA6393">
        <v>0.99228890000000003</v>
      </c>
      <c r="AB6393">
        <v>38</v>
      </c>
      <c r="AC6393">
        <v>5.27000000000157E-2</v>
      </c>
      <c r="AD6393">
        <v>-8.0202999999999997E-2</v>
      </c>
      <c r="AE6393">
        <v>0.60155139999999996</v>
      </c>
      <c r="AF6393">
        <v>8.4267839948828999E-2</v>
      </c>
      <c r="AG6393">
        <v>-8.0202999999999997E-2</v>
      </c>
      <c r="AH6393">
        <v>0.58737369157059605</v>
      </c>
      <c r="AI6393">
        <v>97.697519381267895</v>
      </c>
      <c r="AJ6393">
        <v>81.835743337914707</v>
      </c>
      <c r="AK6393">
        <v>0.59878330271302005</v>
      </c>
    </row>
    <row r="6394" spans="1:37" x14ac:dyDescent="0.2">
      <c r="A6394" t="str">
        <f>"20200111160027475"</f>
        <v>20200111160027475</v>
      </c>
      <c r="B6394" t="str">
        <f>"1578729627467644"</f>
        <v>1578729627467644</v>
      </c>
      <c r="C6394" t="s">
        <v>37</v>
      </c>
      <c r="D6394">
        <v>5.8293759999999999</v>
      </c>
      <c r="E6394">
        <v>0.55348489999999995</v>
      </c>
      <c r="F6394" t="s">
        <v>38</v>
      </c>
      <c r="G6394">
        <v>-190.3716</v>
      </c>
      <c r="H6394">
        <v>1.020915</v>
      </c>
      <c r="I6394">
        <v>1.82135299999999</v>
      </c>
      <c r="J6394">
        <v>-190.42590000000001</v>
      </c>
      <c r="K6394">
        <v>1.1024320000000001</v>
      </c>
      <c r="L6394">
        <v>1.278259</v>
      </c>
      <c r="M6394">
        <v>-5.3051729999999998E-2</v>
      </c>
      <c r="N6394">
        <v>0</v>
      </c>
      <c r="O6394">
        <v>0.99851829999999997</v>
      </c>
      <c r="P6394">
        <v>-0.10163700000000001</v>
      </c>
      <c r="Q6394">
        <v>6.0756669999999999E-3</v>
      </c>
      <c r="R6394">
        <v>0.99480299999999999</v>
      </c>
      <c r="S6394">
        <v>0.10951230000000001</v>
      </c>
      <c r="T6394">
        <v>-0.26301330000000001</v>
      </c>
      <c r="U6394">
        <v>3.0289919999999899</v>
      </c>
      <c r="V6394">
        <v>-4.8649379999999999E-2</v>
      </c>
      <c r="W6394">
        <v>1.8347970000000002E-2</v>
      </c>
      <c r="X6394">
        <v>0.99864739999999996</v>
      </c>
      <c r="Y6394">
        <v>8.8966359999999994E-2</v>
      </c>
      <c r="Z6394">
        <v>-8.6124259999999994E-2</v>
      </c>
      <c r="AA6394">
        <v>0.99230419999999997</v>
      </c>
      <c r="AB6394">
        <v>38</v>
      </c>
      <c r="AC6394">
        <v>5.4300000000011998E-2</v>
      </c>
      <c r="AD6394">
        <v>-8.1517000000000006E-2</v>
      </c>
      <c r="AE6394">
        <v>0.54309399999999897</v>
      </c>
      <c r="AF6394">
        <v>8.1225867590949602E-2</v>
      </c>
      <c r="AG6394">
        <v>-8.1517000000000006E-2</v>
      </c>
      <c r="AH6394">
        <v>0.527677656197866</v>
      </c>
      <c r="AI6394">
        <v>98.6811182777097</v>
      </c>
      <c r="AJ6394">
        <v>81.249097538393997</v>
      </c>
      <c r="AK6394">
        <v>0.54007996788010604</v>
      </c>
    </row>
    <row r="6395" spans="1:37" x14ac:dyDescent="0.2">
      <c r="A6395" t="str">
        <f>"20200111160027498"</f>
        <v>20200111160027498</v>
      </c>
      <c r="B6395" t="str">
        <f>"1578729627487167"</f>
        <v>1578729627487167</v>
      </c>
      <c r="C6395" t="s">
        <v>37</v>
      </c>
      <c r="D6395">
        <v>5.8151640000000002</v>
      </c>
      <c r="E6395">
        <v>0.55333580000000004</v>
      </c>
      <c r="F6395" t="s">
        <v>38</v>
      </c>
      <c r="G6395">
        <v>-190.39400000000001</v>
      </c>
      <c r="H6395">
        <v>1.024416</v>
      </c>
      <c r="I6395">
        <v>2.1638980000000001</v>
      </c>
      <c r="J6395">
        <v>-190.44489999999999</v>
      </c>
      <c r="K6395">
        <v>1.102195</v>
      </c>
      <c r="L6395">
        <v>1.6732479999999901</v>
      </c>
      <c r="M6395">
        <v>-5.0778410000000003E-2</v>
      </c>
      <c r="N6395">
        <v>0</v>
      </c>
      <c r="O6395">
        <v>0.99863579999999996</v>
      </c>
      <c r="P6395">
        <v>-0.1011131</v>
      </c>
      <c r="Q6395">
        <v>7.946257E-3</v>
      </c>
      <c r="R6395">
        <v>0.99484319999999904</v>
      </c>
      <c r="S6395">
        <v>0.10899349999999999</v>
      </c>
      <c r="T6395">
        <v>-0.2667214</v>
      </c>
      <c r="U6395">
        <v>3.0284419999999899</v>
      </c>
      <c r="V6395">
        <v>-5.0378359999999997E-2</v>
      </c>
      <c r="W6395">
        <v>2.0313600000000001E-2</v>
      </c>
      <c r="X6395">
        <v>0.99852359999999896</v>
      </c>
      <c r="Y6395">
        <v>8.6531490000000003E-2</v>
      </c>
      <c r="Z6395">
        <v>-8.7370139999999999E-2</v>
      </c>
      <c r="AA6395">
        <v>0.99241060000000003</v>
      </c>
      <c r="AB6395">
        <v>38</v>
      </c>
      <c r="AC6395">
        <v>5.0899999999984402E-2</v>
      </c>
      <c r="AD6395">
        <v>-7.7779000000000001E-2</v>
      </c>
      <c r="AE6395">
        <v>0.49064999999999998</v>
      </c>
      <c r="AF6395">
        <v>7.3912989874437604E-2</v>
      </c>
      <c r="AG6395">
        <v>-7.7779000000000001E-2</v>
      </c>
      <c r="AH6395">
        <v>0.475607674847071</v>
      </c>
      <c r="AI6395">
        <v>99.179432702423298</v>
      </c>
      <c r="AJ6395">
        <v>81.166469326562904</v>
      </c>
      <c r="AK6395">
        <v>0.48756062524225202</v>
      </c>
    </row>
    <row r="6396" spans="1:37" x14ac:dyDescent="0.2">
      <c r="A6396" t="str">
        <f>"20200111160027610"</f>
        <v>20200111160027610</v>
      </c>
      <c r="B6396" t="str">
        <f>"1578729627607212"</f>
        <v>1578729627607212</v>
      </c>
      <c r="C6396" t="s">
        <v>37</v>
      </c>
      <c r="D6396">
        <v>5.9255849999999999</v>
      </c>
      <c r="E6396">
        <v>0.55281099999999905</v>
      </c>
      <c r="F6396" t="s">
        <v>38</v>
      </c>
      <c r="G6396">
        <v>-190.45410000000001</v>
      </c>
      <c r="H6396">
        <v>1.0273779999999999</v>
      </c>
      <c r="I6396">
        <v>4.2138809999999998</v>
      </c>
      <c r="J6396">
        <v>-190.52119999999999</v>
      </c>
      <c r="K6396">
        <v>1.1015379999999999</v>
      </c>
      <c r="L6396">
        <v>3.584686</v>
      </c>
      <c r="M6396">
        <v>-3.7982299999999997E-2</v>
      </c>
      <c r="N6396">
        <v>0</v>
      </c>
      <c r="O6396">
        <v>0.99920189999999998</v>
      </c>
      <c r="P6396">
        <v>-7.7766429999999998E-2</v>
      </c>
      <c r="Q6396">
        <v>1.907996E-2</v>
      </c>
      <c r="R6396">
        <v>0.99678899999999904</v>
      </c>
      <c r="S6396">
        <v>0.16001889999999999</v>
      </c>
      <c r="T6396">
        <v>-0.2212566</v>
      </c>
      <c r="U6396">
        <v>3.0292050000000001</v>
      </c>
      <c r="V6396">
        <v>-3.9660479999999998E-2</v>
      </c>
      <c r="W6396">
        <v>3.1668920000000003E-2</v>
      </c>
      <c r="X6396">
        <v>0.99871119999999902</v>
      </c>
      <c r="Y6396">
        <v>9.0506690000000001E-2</v>
      </c>
      <c r="Z6396">
        <v>-7.2568359999999998E-2</v>
      </c>
      <c r="AA6396">
        <v>0.99324840000000003</v>
      </c>
      <c r="AB6396">
        <v>38</v>
      </c>
      <c r="AC6396">
        <v>6.7099999999982105E-2</v>
      </c>
      <c r="AD6396">
        <v>-7.4159999999999698E-2</v>
      </c>
      <c r="AE6396">
        <v>0.62919499999999895</v>
      </c>
      <c r="AF6396">
        <v>8.9719298046129006E-2</v>
      </c>
      <c r="AG6396">
        <v>-7.4159999999999698E-2</v>
      </c>
      <c r="AH6396">
        <v>0.61770732900728897</v>
      </c>
      <c r="AI6396">
        <v>96.775559475958204</v>
      </c>
      <c r="AJ6396">
        <v>81.735828776751902</v>
      </c>
      <c r="AK6396">
        <v>0.62857903429179796</v>
      </c>
    </row>
    <row r="6397" spans="1:37" x14ac:dyDescent="0.2">
      <c r="A6397" t="str">
        <f>"20200111160027631"</f>
        <v>20200111160027631</v>
      </c>
      <c r="B6397" t="str">
        <f>"1578729627627708"</f>
        <v>1578729627627708</v>
      </c>
      <c r="C6397" t="s">
        <v>37</v>
      </c>
      <c r="D6397">
        <v>5.9072089999999999</v>
      </c>
      <c r="E6397">
        <v>0.55273130000000004</v>
      </c>
      <c r="F6397" t="s">
        <v>38</v>
      </c>
      <c r="G6397">
        <v>-190.46510000000001</v>
      </c>
      <c r="H6397">
        <v>1.028348</v>
      </c>
      <c r="I6397">
        <v>4.5555539999999999</v>
      </c>
      <c r="J6397">
        <v>-190.53270000000001</v>
      </c>
      <c r="K6397">
        <v>1.1014679999999999</v>
      </c>
      <c r="L6397">
        <v>3.9450379999999998</v>
      </c>
      <c r="M6397">
        <v>-3.5463059999999998E-2</v>
      </c>
      <c r="N6397">
        <v>0</v>
      </c>
      <c r="O6397">
        <v>0.99929400000000002</v>
      </c>
      <c r="P6397">
        <v>-7.3558719999999994E-2</v>
      </c>
      <c r="Q6397">
        <v>1.628959E-2</v>
      </c>
      <c r="R6397">
        <v>0.99715789999999904</v>
      </c>
      <c r="S6397">
        <v>0.1745148</v>
      </c>
      <c r="T6397">
        <v>-0.22818260000000001</v>
      </c>
      <c r="U6397">
        <v>3.0276489999999998</v>
      </c>
      <c r="V6397">
        <v>-3.7972529999999997E-2</v>
      </c>
      <c r="W6397">
        <v>2.8912159999999999E-2</v>
      </c>
      <c r="X6397">
        <v>0.99886039999999998</v>
      </c>
      <c r="Y6397">
        <v>9.2753879999999997E-2</v>
      </c>
      <c r="Z6397">
        <v>-7.4858369999999994E-2</v>
      </c>
      <c r="AA6397">
        <v>0.99287099999999995</v>
      </c>
      <c r="AB6397">
        <v>38</v>
      </c>
      <c r="AC6397">
        <v>6.7599999999998703E-2</v>
      </c>
      <c r="AD6397">
        <v>-7.3120000000000004E-2</v>
      </c>
      <c r="AE6397">
        <v>0.61051599999999995</v>
      </c>
      <c r="AF6397">
        <v>8.7963415512098006E-2</v>
      </c>
      <c r="AG6397">
        <v>-7.3120000000000004E-2</v>
      </c>
      <c r="AH6397">
        <v>0.59924284312381104</v>
      </c>
      <c r="AI6397">
        <v>96.883826620023797</v>
      </c>
      <c r="AJ6397">
        <v>81.649138585459298</v>
      </c>
      <c r="AK6397">
        <v>0.61006235902869999</v>
      </c>
    </row>
    <row r="6398" spans="1:37" x14ac:dyDescent="0.2">
      <c r="A6398" t="str">
        <f>"20200111160027656"</f>
        <v>20200111160027656</v>
      </c>
      <c r="B6398" t="str">
        <f>"1578729627647229"</f>
        <v>1578729627647229</v>
      </c>
      <c r="C6398" t="s">
        <v>37</v>
      </c>
      <c r="D6398">
        <v>5.9013410000000004</v>
      </c>
      <c r="E6398">
        <v>0.55254720000000002</v>
      </c>
      <c r="F6398" t="s">
        <v>38</v>
      </c>
      <c r="G6398">
        <v>-190.47389999999999</v>
      </c>
      <c r="H6398">
        <v>1.027231</v>
      </c>
      <c r="I6398">
        <v>4.8962029999999999</v>
      </c>
      <c r="J6398">
        <v>-190.54470000000001</v>
      </c>
      <c r="K6398">
        <v>1.1014120000000001</v>
      </c>
      <c r="L6398">
        <v>4.3581240000000001</v>
      </c>
      <c r="M6398">
        <v>-3.2580089999999999E-2</v>
      </c>
      <c r="N6398">
        <v>0</v>
      </c>
      <c r="O6398">
        <v>0.99939159999999905</v>
      </c>
      <c r="P6398">
        <v>-7.0156899999999994E-2</v>
      </c>
      <c r="Q6398">
        <v>1.35281E-2</v>
      </c>
      <c r="R6398">
        <v>0.997444199999999</v>
      </c>
      <c r="S6398">
        <v>0.18699649999999901</v>
      </c>
      <c r="T6398">
        <v>-0.236210799999999</v>
      </c>
      <c r="U6398">
        <v>3.0262150000000001</v>
      </c>
      <c r="V6398">
        <v>-3.7458070000000003E-2</v>
      </c>
      <c r="W6398">
        <v>2.6197120000000001E-2</v>
      </c>
      <c r="X6398">
        <v>0.99895480000000003</v>
      </c>
      <c r="Y6398">
        <v>9.3976550000000006E-2</v>
      </c>
      <c r="Z6398">
        <v>-7.7510469999999998E-2</v>
      </c>
      <c r="AA6398">
        <v>0.99255249999999995</v>
      </c>
      <c r="AB6398">
        <v>38</v>
      </c>
      <c r="AC6398">
        <v>7.0800000000019694E-2</v>
      </c>
      <c r="AD6398">
        <v>-7.4180999999999997E-2</v>
      </c>
      <c r="AE6398">
        <v>0.53807899999999897</v>
      </c>
      <c r="AF6398">
        <v>8.6675107829008696E-2</v>
      </c>
      <c r="AG6398">
        <v>-7.4180999999999997E-2</v>
      </c>
      <c r="AH6398">
        <v>0.52566562468560696</v>
      </c>
      <c r="AI6398">
        <v>97.926794133108899</v>
      </c>
      <c r="AJ6398">
        <v>80.636951805239207</v>
      </c>
      <c r="AK6398">
        <v>0.53790309913057699</v>
      </c>
    </row>
    <row r="6399" spans="1:37" x14ac:dyDescent="0.2">
      <c r="A6399" t="str">
        <f>"20200111160027677"</f>
        <v>20200111160027677</v>
      </c>
      <c r="B6399" t="str">
        <f>"1578729627667724"</f>
        <v>1578729627667724</v>
      </c>
      <c r="C6399" t="s">
        <v>37</v>
      </c>
      <c r="D6399">
        <v>5.9109720000000001</v>
      </c>
      <c r="E6399">
        <v>0.55231330000000001</v>
      </c>
      <c r="F6399" t="s">
        <v>38</v>
      </c>
      <c r="G6399">
        <v>-190.48759999999999</v>
      </c>
      <c r="H6399">
        <v>1.030179</v>
      </c>
      <c r="I6399">
        <v>5.2386210000000002</v>
      </c>
      <c r="J6399">
        <v>-190.55439999999999</v>
      </c>
      <c r="K6399">
        <v>1.101386</v>
      </c>
      <c r="L6399">
        <v>4.7220459999999997</v>
      </c>
      <c r="M6399">
        <v>-3.0051540000000002E-2</v>
      </c>
      <c r="N6399">
        <v>0</v>
      </c>
      <c r="O6399">
        <v>0.99947019999999998</v>
      </c>
      <c r="P6399">
        <v>-6.7445119999999997E-2</v>
      </c>
      <c r="Q6399">
        <v>1.2342540000000001E-2</v>
      </c>
      <c r="R6399">
        <v>0.99764660000000005</v>
      </c>
      <c r="S6399">
        <v>0.19583129999999899</v>
      </c>
      <c r="T6399">
        <v>-0.2446277</v>
      </c>
      <c r="U6399">
        <v>3.0247799999999998</v>
      </c>
      <c r="V6399">
        <v>-3.7273859999999999E-2</v>
      </c>
      <c r="W6399">
        <v>2.5062149999999998E-2</v>
      </c>
      <c r="X6399">
        <v>0.99899079999999996</v>
      </c>
      <c r="Y6399">
        <v>9.4360050000000001E-2</v>
      </c>
      <c r="Z6399">
        <v>-8.0293299999999998E-2</v>
      </c>
      <c r="AA6399">
        <v>0.99229489999999998</v>
      </c>
      <c r="AB6399">
        <v>38</v>
      </c>
      <c r="AC6399">
        <v>6.6800000000000595E-2</v>
      </c>
      <c r="AD6399">
        <v>-7.1206999999999798E-2</v>
      </c>
      <c r="AE6399">
        <v>0.51657500000000001</v>
      </c>
      <c r="AF6399">
        <v>8.0785151931383803E-2</v>
      </c>
      <c r="AG6399">
        <v>-7.1206999999999798E-2</v>
      </c>
      <c r="AH6399">
        <v>0.50489821964971804</v>
      </c>
      <c r="AI6399">
        <v>97.928081096665096</v>
      </c>
      <c r="AJ6399">
        <v>80.909564102613103</v>
      </c>
      <c r="AK6399">
        <v>0.51625467535610003</v>
      </c>
    </row>
    <row r="6400" spans="1:37" x14ac:dyDescent="0.2">
      <c r="A6400" t="str">
        <f>"20200111160027702"</f>
        <v>20200111160027702</v>
      </c>
      <c r="B6400" t="str">
        <f>"1578729627697005"</f>
        <v>1578729627697005</v>
      </c>
      <c r="C6400" t="s">
        <v>37</v>
      </c>
      <c r="D6400">
        <v>5.9085739999999998</v>
      </c>
      <c r="E6400">
        <v>0.55206279999999996</v>
      </c>
      <c r="F6400" t="s">
        <v>38</v>
      </c>
      <c r="G6400">
        <v>-190.49700000000001</v>
      </c>
      <c r="H6400">
        <v>1.0309280000000001</v>
      </c>
      <c r="I6400">
        <v>5.5799589999999997</v>
      </c>
      <c r="J6400">
        <v>-190.56479999999999</v>
      </c>
      <c r="K6400">
        <v>1.1013660000000001</v>
      </c>
      <c r="L6400">
        <v>5.1610719999999999</v>
      </c>
      <c r="M6400">
        <v>-2.7015919999999999E-2</v>
      </c>
      <c r="N6400">
        <v>0</v>
      </c>
      <c r="O6400">
        <v>0.99955590000000005</v>
      </c>
      <c r="P6400">
        <v>-6.4799709999999996E-2</v>
      </c>
      <c r="Q6400">
        <v>1.269227E-2</v>
      </c>
      <c r="R6400">
        <v>0.99781759999999997</v>
      </c>
      <c r="S6400">
        <v>0.20219419999999999</v>
      </c>
      <c r="T6400">
        <v>-0.24833240000000001</v>
      </c>
      <c r="U6400">
        <v>3.0238040000000002</v>
      </c>
      <c r="V6400">
        <v>-3.7654529999999999E-2</v>
      </c>
      <c r="W6400">
        <v>2.5492589999999999E-2</v>
      </c>
      <c r="X6400">
        <v>0.99896559999999901</v>
      </c>
      <c r="Y6400">
        <v>9.3429600000000002E-2</v>
      </c>
      <c r="Z6400">
        <v>-8.1535919999999998E-2</v>
      </c>
      <c r="AA6400">
        <v>0.99228159999999899</v>
      </c>
      <c r="AB6400">
        <v>38</v>
      </c>
      <c r="AC6400">
        <v>6.7799999999976907E-2</v>
      </c>
      <c r="AD6400">
        <v>-7.0438000000000001E-2</v>
      </c>
      <c r="AE6400">
        <v>0.41888699999999901</v>
      </c>
      <c r="AF6400">
        <v>7.6971857325083798E-2</v>
      </c>
      <c r="AG6400">
        <v>-7.0438000000000001E-2</v>
      </c>
      <c r="AH6400">
        <v>0.40572285551125198</v>
      </c>
      <c r="AI6400">
        <v>99.679711647753294</v>
      </c>
      <c r="AJ6400">
        <v>79.257774210228604</v>
      </c>
      <c r="AK6400">
        <v>0.41892387631678102</v>
      </c>
    </row>
    <row r="6401" spans="1:37" x14ac:dyDescent="0.2">
      <c r="A6401" t="str">
        <f>"20200111160027724"</f>
        <v>20200111160027724</v>
      </c>
      <c r="B6401" t="str">
        <f>"1578729627717429"</f>
        <v>1578729627717429</v>
      </c>
      <c r="C6401" t="s">
        <v>37</v>
      </c>
      <c r="D6401">
        <v>5.8956289999999996</v>
      </c>
      <c r="E6401">
        <v>0.54367100000000002</v>
      </c>
      <c r="F6401" t="s">
        <v>38</v>
      </c>
      <c r="G6401">
        <v>-190.51220000000001</v>
      </c>
      <c r="H6401">
        <v>1.0388059999999999</v>
      </c>
      <c r="I6401">
        <v>5.9245099999999997</v>
      </c>
      <c r="J6401">
        <v>-190.57220000000001</v>
      </c>
      <c r="K6401">
        <v>1.101364</v>
      </c>
      <c r="L6401">
        <v>5.5141599999999897</v>
      </c>
      <c r="M6401">
        <v>-2.4584970000000001E-2</v>
      </c>
      <c r="N6401">
        <v>0</v>
      </c>
      <c r="O6401">
        <v>0.9996176</v>
      </c>
      <c r="P6401">
        <v>-6.2515260000000003E-2</v>
      </c>
      <c r="Q6401">
        <v>1.352514E-2</v>
      </c>
      <c r="R6401">
        <v>0.99795230000000001</v>
      </c>
      <c r="S6401">
        <v>0.2079926</v>
      </c>
      <c r="T6401">
        <v>-0.2476546</v>
      </c>
      <c r="U6401">
        <v>3.0232239999999999</v>
      </c>
      <c r="V6401">
        <v>-3.7790339999999999E-2</v>
      </c>
      <c r="W6401">
        <v>2.6413530000000001E-2</v>
      </c>
      <c r="X6401">
        <v>0.9989365</v>
      </c>
      <c r="Y6401">
        <v>9.2916589999999993E-2</v>
      </c>
      <c r="Z6401">
        <v>-8.1334719999999999E-2</v>
      </c>
      <c r="AA6401">
        <v>0.99234630000000001</v>
      </c>
      <c r="AB6401">
        <v>38</v>
      </c>
      <c r="AC6401">
        <v>6.0000000000002197E-2</v>
      </c>
      <c r="AD6401">
        <v>-6.25580000000001E-2</v>
      </c>
      <c r="AE6401">
        <v>0.41034999999999999</v>
      </c>
      <c r="AF6401">
        <v>6.8512144019083898E-2</v>
      </c>
      <c r="AG6401">
        <v>-6.25580000000001E-2</v>
      </c>
      <c r="AH6401">
        <v>0.39965669272210302</v>
      </c>
      <c r="AI6401">
        <v>98.770378174932802</v>
      </c>
      <c r="AJ6401">
        <v>80.272481595855496</v>
      </c>
      <c r="AK6401">
        <v>0.41028391301592698</v>
      </c>
    </row>
    <row r="6402" spans="1:37" x14ac:dyDescent="0.2">
      <c r="A6402" t="str">
        <f>"20200111160027744"</f>
        <v>20200111160027744</v>
      </c>
      <c r="B6402" t="str">
        <f>"1578729627736947"</f>
        <v>1578729627736947</v>
      </c>
      <c r="C6402" t="s">
        <v>37</v>
      </c>
      <c r="D6402">
        <v>5.9187449999999897</v>
      </c>
      <c r="E6402">
        <v>0.54307729999999999</v>
      </c>
      <c r="F6402" t="s">
        <v>38</v>
      </c>
      <c r="G6402">
        <v>-190.53450000000001</v>
      </c>
      <c r="H6402">
        <v>1.0514649999999901</v>
      </c>
      <c r="I6402">
        <v>6.274724</v>
      </c>
      <c r="J6402">
        <v>-190.5788</v>
      </c>
      <c r="K6402">
        <v>1.1013790000000001</v>
      </c>
      <c r="L6402">
        <v>5.8699339999999998</v>
      </c>
      <c r="M6402">
        <v>-2.214207E-2</v>
      </c>
      <c r="N6402">
        <v>0</v>
      </c>
      <c r="O6402">
        <v>0.99967340000000005</v>
      </c>
      <c r="P6402">
        <v>-6.0137709999999997E-2</v>
      </c>
      <c r="Q6402">
        <v>1.4227119999999999E-2</v>
      </c>
      <c r="R6402">
        <v>0.99808869999999905</v>
      </c>
      <c r="S6402">
        <v>0.1500397</v>
      </c>
      <c r="T6402">
        <v>-0.1980489</v>
      </c>
      <c r="U6402">
        <v>3.0182500000000001</v>
      </c>
      <c r="V6402">
        <v>-3.7846190000000002E-2</v>
      </c>
      <c r="W6402">
        <v>2.7223859999999999E-2</v>
      </c>
      <c r="X6402">
        <v>0.99891269999999999</v>
      </c>
      <c r="Y6402">
        <v>7.1647779999999994E-2</v>
      </c>
      <c r="Z6402">
        <v>-6.5327930000000006E-2</v>
      </c>
      <c r="AA6402">
        <v>0.99528830000000001</v>
      </c>
      <c r="AB6402">
        <v>38</v>
      </c>
      <c r="AC6402">
        <v>4.4299999999992602E-2</v>
      </c>
      <c r="AD6402">
        <v>-4.9914000000000201E-2</v>
      </c>
      <c r="AE6402">
        <v>0.40478999999999998</v>
      </c>
      <c r="AF6402">
        <v>5.24644767683023E-2</v>
      </c>
      <c r="AG6402">
        <v>-4.9914000000000201E-2</v>
      </c>
      <c r="AH6402">
        <v>0.39773381796183499</v>
      </c>
      <c r="AI6402">
        <v>97.092193866703496</v>
      </c>
      <c r="AJ6402">
        <v>82.4855817472246</v>
      </c>
      <c r="AK6402">
        <v>0.40427233230715898</v>
      </c>
    </row>
    <row r="6403" spans="1:37" x14ac:dyDescent="0.2">
      <c r="A6403" t="str">
        <f>"20200111160027766"</f>
        <v>20200111160027766</v>
      </c>
      <c r="B6403" t="str">
        <f>"1578729627757444"</f>
        <v>1578729627757444</v>
      </c>
      <c r="C6403" t="s">
        <v>37</v>
      </c>
      <c r="D6403">
        <v>5.9261200000000001</v>
      </c>
      <c r="E6403">
        <v>0.54300859999999995</v>
      </c>
      <c r="F6403" t="s">
        <v>38</v>
      </c>
      <c r="G6403">
        <v>-190.54140000000001</v>
      </c>
      <c r="H6403">
        <v>1.0486139999999999</v>
      </c>
      <c r="I6403">
        <v>6.612832</v>
      </c>
      <c r="J6403">
        <v>-190.58459999999999</v>
      </c>
      <c r="K6403">
        <v>1.101397</v>
      </c>
      <c r="L6403">
        <v>6.2362979999999997</v>
      </c>
      <c r="M6403">
        <v>-1.963202E-2</v>
      </c>
      <c r="N6403">
        <v>0</v>
      </c>
      <c r="O6403">
        <v>0.9997241</v>
      </c>
      <c r="P6403">
        <v>-5.7454749999999999E-2</v>
      </c>
      <c r="Q6403">
        <v>1.480735E-2</v>
      </c>
      <c r="R6403">
        <v>0.99823830000000002</v>
      </c>
      <c r="S6403">
        <v>0.151474</v>
      </c>
      <c r="T6403">
        <v>-0.214260799999999</v>
      </c>
      <c r="U6403">
        <v>3.01791399999999</v>
      </c>
      <c r="V6403">
        <v>-3.7663990000000001E-2</v>
      </c>
      <c r="W6403">
        <v>2.793122E-2</v>
      </c>
      <c r="X6403">
        <v>0.99890009999999996</v>
      </c>
      <c r="Y6403">
        <v>6.9602419999999998E-2</v>
      </c>
      <c r="Z6403">
        <v>-7.0667430000000003E-2</v>
      </c>
      <c r="AA6403">
        <v>0.99506870000000003</v>
      </c>
      <c r="AB6403">
        <v>38</v>
      </c>
      <c r="AC6403">
        <v>4.3199999999984501E-2</v>
      </c>
      <c r="AD6403">
        <v>-5.2782999999999997E-2</v>
      </c>
      <c r="AE6403">
        <v>0.37653399999999998</v>
      </c>
      <c r="AF6403">
        <v>4.96219690545961E-2</v>
      </c>
      <c r="AG6403">
        <v>-5.2782999999999997E-2</v>
      </c>
      <c r="AH6403">
        <v>0.36846666091895702</v>
      </c>
      <c r="AI6403">
        <v>98.080215344377095</v>
      </c>
      <c r="AJ6403">
        <v>82.330036113398606</v>
      </c>
      <c r="AK6403">
        <v>0.37552105814537401</v>
      </c>
    </row>
    <row r="6404" spans="1:37" x14ac:dyDescent="0.2">
      <c r="A6404" t="str">
        <f>"20200111160027788"</f>
        <v>20200111160027788</v>
      </c>
      <c r="B6404" t="str">
        <f>"1578729627776966"</f>
        <v>1578729627776966</v>
      </c>
      <c r="C6404" t="s">
        <v>37</v>
      </c>
      <c r="D6404">
        <v>5.9817849999999897</v>
      </c>
      <c r="E6404">
        <v>0.5424542</v>
      </c>
      <c r="F6404" t="s">
        <v>38</v>
      </c>
      <c r="G6404">
        <v>-190.52950000000001</v>
      </c>
      <c r="H6404">
        <v>1.028135</v>
      </c>
      <c r="I6404">
        <v>7.2806419999999896</v>
      </c>
      <c r="J6404">
        <v>-190.5898</v>
      </c>
      <c r="K6404">
        <v>1.101421</v>
      </c>
      <c r="L6404">
        <v>6.6240539999999903</v>
      </c>
      <c r="M6404">
        <v>-1.6979029999999999E-2</v>
      </c>
      <c r="N6404">
        <v>0</v>
      </c>
      <c r="O6404">
        <v>0.99977090000000002</v>
      </c>
      <c r="P6404">
        <v>-5.4366249999999998E-2</v>
      </c>
      <c r="Q6404">
        <v>1.510798E-2</v>
      </c>
      <c r="R6404">
        <v>0.99840680000000004</v>
      </c>
      <c r="S6404">
        <v>0.15916440000000001</v>
      </c>
      <c r="T6404">
        <v>-0.21166559999999901</v>
      </c>
      <c r="U6404">
        <v>3.0176090000000002</v>
      </c>
      <c r="V6404">
        <v>-3.7220549999999998E-2</v>
      </c>
      <c r="W6404">
        <v>2.83745E-2</v>
      </c>
      <c r="X6404">
        <v>0.99890419999999902</v>
      </c>
      <c r="Y6404">
        <v>6.9492680000000001E-2</v>
      </c>
      <c r="Z6404">
        <v>-6.982352E-2</v>
      </c>
      <c r="AA6404">
        <v>0.99513589999999996</v>
      </c>
      <c r="AB6404">
        <v>38</v>
      </c>
      <c r="AC6404">
        <v>6.0299999999983797E-2</v>
      </c>
      <c r="AD6404">
        <v>-7.3285999999999907E-2</v>
      </c>
      <c r="AE6404">
        <v>0.65658799999999995</v>
      </c>
      <c r="AF6404">
        <v>7.0568673024173204E-2</v>
      </c>
      <c r="AG6404">
        <v>-7.3285999999999907E-2</v>
      </c>
      <c r="AH6404">
        <v>0.64747054298058504</v>
      </c>
      <c r="AI6404">
        <v>96.420020424448197</v>
      </c>
      <c r="AJ6404">
        <v>83.779809583173304</v>
      </c>
      <c r="AK6404">
        <v>0.65541504364483905</v>
      </c>
    </row>
    <row r="6405" spans="1:37" x14ac:dyDescent="0.2">
      <c r="A6405" t="str">
        <f>"20200111160027811"</f>
        <v>20200111160027811</v>
      </c>
      <c r="B6405" t="str">
        <f>"1578729627807219"</f>
        <v>1578729627807219</v>
      </c>
      <c r="C6405" t="s">
        <v>37</v>
      </c>
      <c r="D6405">
        <v>5.82883</v>
      </c>
      <c r="E6405">
        <v>0.54291809999999996</v>
      </c>
      <c r="F6405" t="s">
        <v>38</v>
      </c>
      <c r="G6405">
        <v>-190.53559999999999</v>
      </c>
      <c r="H6405">
        <v>1.0289600000000001</v>
      </c>
      <c r="I6405">
        <v>7.6206429999999896</v>
      </c>
      <c r="J6405">
        <v>-190.59370000000001</v>
      </c>
      <c r="K6405">
        <v>1.101442</v>
      </c>
      <c r="L6405">
        <v>6.9984739999999999</v>
      </c>
      <c r="M6405">
        <v>-1.4419670000000001E-2</v>
      </c>
      <c r="N6405">
        <v>0</v>
      </c>
      <c r="O6405">
        <v>0.99980930000000001</v>
      </c>
      <c r="P6405">
        <v>-5.1447439999999997E-2</v>
      </c>
      <c r="Q6405">
        <v>1.54977E-2</v>
      </c>
      <c r="R6405">
        <v>0.99855539999999998</v>
      </c>
      <c r="S6405">
        <v>0.16345209999999999</v>
      </c>
      <c r="T6405">
        <v>-0.21931149999999899</v>
      </c>
      <c r="U6405">
        <v>3.0169980000000001</v>
      </c>
      <c r="V6405">
        <v>-3.6854169999999999E-2</v>
      </c>
      <c r="W6405">
        <v>2.889833E-2</v>
      </c>
      <c r="X6405">
        <v>0.99890270000000003</v>
      </c>
      <c r="Y6405">
        <v>6.8350079999999994E-2</v>
      </c>
      <c r="Z6405">
        <v>-7.2351780000000004E-2</v>
      </c>
      <c r="AA6405">
        <v>0.99503439999999999</v>
      </c>
      <c r="AB6405">
        <v>38</v>
      </c>
      <c r="AC6405">
        <v>5.8100000000024403E-2</v>
      </c>
      <c r="AD6405">
        <v>-7.2481999999999894E-2</v>
      </c>
      <c r="AE6405">
        <v>0.62216899999999797</v>
      </c>
      <c r="AF6405">
        <v>6.6175834608006398E-2</v>
      </c>
      <c r="AG6405">
        <v>-7.2481999999999894E-2</v>
      </c>
      <c r="AH6405">
        <v>0.61301849029046496</v>
      </c>
      <c r="AI6405">
        <v>96.704628381012995</v>
      </c>
      <c r="AJ6405">
        <v>83.838734192396998</v>
      </c>
      <c r="AK6405">
        <v>0.62082570085980404</v>
      </c>
    </row>
    <row r="6406" spans="1:37" x14ac:dyDescent="0.2">
      <c r="A6406" t="str">
        <f>"20200111160027831"</f>
        <v>20200111160027831</v>
      </c>
      <c r="B6406" t="str">
        <f>"1578729627827716"</f>
        <v>1578729627827716</v>
      </c>
      <c r="C6406" t="s">
        <v>37</v>
      </c>
      <c r="D6406">
        <v>5.8695409999999999</v>
      </c>
      <c r="E6406">
        <v>0.54344510000000001</v>
      </c>
      <c r="F6406" t="s">
        <v>38</v>
      </c>
      <c r="G6406">
        <v>-190.53720000000001</v>
      </c>
      <c r="H6406">
        <v>1.0342450000000001</v>
      </c>
      <c r="I6406">
        <v>7.9626330000000003</v>
      </c>
      <c r="J6406">
        <v>-190.5966</v>
      </c>
      <c r="K6406">
        <v>1.1014600000000001</v>
      </c>
      <c r="L6406">
        <v>7.3561100000000001</v>
      </c>
      <c r="M6406">
        <v>-1.197631E-2</v>
      </c>
      <c r="N6406">
        <v>0</v>
      </c>
      <c r="O6406">
        <v>0.999839899999999</v>
      </c>
      <c r="P6406">
        <v>-4.8991279999999998E-2</v>
      </c>
      <c r="Q6406">
        <v>1.640848E-2</v>
      </c>
      <c r="R6406">
        <v>0.99866440000000001</v>
      </c>
      <c r="S6406">
        <v>0.17640690000000001</v>
      </c>
      <c r="T6406">
        <v>-0.21018699999999901</v>
      </c>
      <c r="U6406">
        <v>3.0166930000000001</v>
      </c>
      <c r="V6406">
        <v>-3.6831629999999997E-2</v>
      </c>
      <c r="W6406">
        <v>2.9932150000000001E-2</v>
      </c>
      <c r="X6406">
        <v>0.99887309999999996</v>
      </c>
      <c r="Y6406">
        <v>7.0189319999999999E-2</v>
      </c>
      <c r="Z6406">
        <v>-6.9353949999999998E-2</v>
      </c>
      <c r="AA6406">
        <v>0.9951198</v>
      </c>
      <c r="AB6406">
        <v>38</v>
      </c>
      <c r="AC6406">
        <v>5.93999999999823E-2</v>
      </c>
      <c r="AD6406">
        <v>-6.7214999999999997E-2</v>
      </c>
      <c r="AE6406">
        <v>0.60652300000000003</v>
      </c>
      <c r="AF6406">
        <v>6.5859148738167797E-2</v>
      </c>
      <c r="AG6406">
        <v>-6.7214999999999997E-2</v>
      </c>
      <c r="AH6406">
        <v>0.59848776696669304</v>
      </c>
      <c r="AI6406">
        <v>96.369794417375402</v>
      </c>
      <c r="AJ6406">
        <v>83.720290016132196</v>
      </c>
      <c r="AK6406">
        <v>0.60584064811325999</v>
      </c>
    </row>
    <row r="6407" spans="1:37" x14ac:dyDescent="0.2">
      <c r="A6407" t="str">
        <f>"20200111160027856"</f>
        <v>20200111160027856</v>
      </c>
      <c r="B6407" t="str">
        <f>"1578729627847235"</f>
        <v>1578729627847235</v>
      </c>
      <c r="C6407" t="s">
        <v>37</v>
      </c>
      <c r="D6407">
        <v>5.860112</v>
      </c>
      <c r="E6407">
        <v>0.54421189999999997</v>
      </c>
      <c r="F6407" t="s">
        <v>38</v>
      </c>
      <c r="G6407">
        <v>-190.53739999999999</v>
      </c>
      <c r="H6407">
        <v>1.039606</v>
      </c>
      <c r="I6407">
        <v>8.3043679999999895</v>
      </c>
      <c r="J6407">
        <v>-190.59889999999999</v>
      </c>
      <c r="K6407">
        <v>1.1014839999999999</v>
      </c>
      <c r="L6407">
        <v>7.7664179999999901</v>
      </c>
      <c r="M6407">
        <v>-9.1745790000000004E-3</v>
      </c>
      <c r="N6407">
        <v>0</v>
      </c>
      <c r="O6407">
        <v>0.99986769999999903</v>
      </c>
      <c r="P6407">
        <v>-4.6991060000000001E-2</v>
      </c>
      <c r="Q6407">
        <v>1.721789E-2</v>
      </c>
      <c r="R6407">
        <v>0.99874689999999999</v>
      </c>
      <c r="S6407">
        <v>0.1883087</v>
      </c>
      <c r="T6407">
        <v>-0.19674129999999901</v>
      </c>
      <c r="U6407">
        <v>3.0164789999999999</v>
      </c>
      <c r="V6407">
        <v>-3.7624520000000002E-2</v>
      </c>
      <c r="W6407">
        <v>3.088252E-2</v>
      </c>
      <c r="X6407">
        <v>0.9988146</v>
      </c>
      <c r="Y6407">
        <v>7.1328799999999998E-2</v>
      </c>
      <c r="Z6407">
        <v>-6.4933930000000001E-2</v>
      </c>
      <c r="AA6407">
        <v>0.99533700000000003</v>
      </c>
      <c r="AB6407">
        <v>38</v>
      </c>
      <c r="AC6407">
        <v>6.1499999999995197E-2</v>
      </c>
      <c r="AD6407">
        <v>-6.1877999999999801E-2</v>
      </c>
      <c r="AE6407">
        <v>0.53794999999999904</v>
      </c>
      <c r="AF6407">
        <v>6.5576874985294506E-2</v>
      </c>
      <c r="AG6407">
        <v>-6.1877999999999801E-2</v>
      </c>
      <c r="AH6407">
        <v>0.53043548124916595</v>
      </c>
      <c r="AI6407">
        <v>96.603944029845493</v>
      </c>
      <c r="AJ6407">
        <v>82.952376112127794</v>
      </c>
      <c r="AK6407">
        <v>0.53804369077694003</v>
      </c>
    </row>
    <row r="6408" spans="1:37" x14ac:dyDescent="0.2">
      <c r="A6408" t="str">
        <f>"20200111160027877"</f>
        <v>20200111160027877</v>
      </c>
      <c r="B6408" t="str">
        <f>"1578729627867732"</f>
        <v>1578729627867732</v>
      </c>
      <c r="C6408" t="s">
        <v>37</v>
      </c>
      <c r="D6408">
        <v>5.8444019999999997</v>
      </c>
      <c r="E6408">
        <v>0.54509589999999997</v>
      </c>
      <c r="F6408" t="s">
        <v>38</v>
      </c>
      <c r="G6408">
        <v>-190.53980000000001</v>
      </c>
      <c r="H6408">
        <v>1.047771</v>
      </c>
      <c r="I6408">
        <v>8.6493029999999997</v>
      </c>
      <c r="J6408">
        <v>-190.59989999999999</v>
      </c>
      <c r="K6408">
        <v>1.1015090000000001</v>
      </c>
      <c r="L6408">
        <v>8.1332089999999901</v>
      </c>
      <c r="M6408">
        <v>-6.6701819999999898E-3</v>
      </c>
      <c r="N6408">
        <v>0</v>
      </c>
      <c r="O6408">
        <v>0.99988589999999999</v>
      </c>
      <c r="P6408">
        <v>-4.6050489999999999E-2</v>
      </c>
      <c r="Q6408">
        <v>1.905078E-2</v>
      </c>
      <c r="R6408">
        <v>0.99875740000000002</v>
      </c>
      <c r="S6408">
        <v>0.20123289999999999</v>
      </c>
      <c r="T6408">
        <v>-0.18340339999999999</v>
      </c>
      <c r="U6408">
        <v>3.0163880000000001</v>
      </c>
      <c r="V6408">
        <v>-3.9173239999999998E-2</v>
      </c>
      <c r="W6408">
        <v>3.2843709999999998E-2</v>
      </c>
      <c r="X6408">
        <v>0.99869249999999898</v>
      </c>
      <c r="Y6408">
        <v>7.309765E-2</v>
      </c>
      <c r="Z6408">
        <v>-6.053998E-2</v>
      </c>
      <c r="AA6408">
        <v>0.99548559999999997</v>
      </c>
      <c r="AB6408">
        <v>38</v>
      </c>
      <c r="AC6408">
        <v>6.0099999999977102E-2</v>
      </c>
      <c r="AD6408">
        <v>-5.3738000000000001E-2</v>
      </c>
      <c r="AE6408">
        <v>0.51609400000000005</v>
      </c>
      <c r="AF6408">
        <v>6.2868921130637606E-2</v>
      </c>
      <c r="AG6408">
        <v>-5.3738000000000001E-2</v>
      </c>
      <c r="AH6408">
        <v>0.51022381968421104</v>
      </c>
      <c r="AI6408">
        <v>95.967561373487001</v>
      </c>
      <c r="AJ6408">
        <v>82.975517917631294</v>
      </c>
      <c r="AK6408">
        <v>0.51688356528455903</v>
      </c>
    </row>
    <row r="6409" spans="1:37" x14ac:dyDescent="0.2">
      <c r="A6409" t="str">
        <f>"20200111160027911"</f>
        <v>20200111160027911</v>
      </c>
      <c r="B6409" t="str">
        <f>"1578729627907747"</f>
        <v>1578729627907747</v>
      </c>
      <c r="C6409" t="s">
        <v>37</v>
      </c>
      <c r="D6409">
        <v>5.485277</v>
      </c>
      <c r="E6409">
        <v>0.54472919999999903</v>
      </c>
      <c r="F6409" t="s">
        <v>39</v>
      </c>
      <c r="G6409">
        <v>-189.23169999999999</v>
      </c>
      <c r="H6409" s="1">
        <v>-3.5744839999999998E-6</v>
      </c>
      <c r="I6409">
        <v>27.647290000000002</v>
      </c>
      <c r="J6409">
        <v>-190.59970000000001</v>
      </c>
      <c r="K6409">
        <v>1.1015489999999999</v>
      </c>
      <c r="L6409">
        <v>8.7014469999999999</v>
      </c>
      <c r="M6409">
        <v>-2.7904840000000002E-3</v>
      </c>
      <c r="N6409">
        <v>0</v>
      </c>
      <c r="O6409">
        <v>0.9999017</v>
      </c>
      <c r="P6409">
        <v>-4.351758E-2</v>
      </c>
      <c r="Q6409">
        <v>1.9051519999999999E-2</v>
      </c>
      <c r="R6409">
        <v>0.99887099999999995</v>
      </c>
      <c r="S6409">
        <v>0.21151729999999899</v>
      </c>
      <c r="T6409">
        <v>-0.170285299999999</v>
      </c>
      <c r="U6409">
        <v>3.016724</v>
      </c>
      <c r="V6409">
        <v>-4.0515860000000001E-2</v>
      </c>
      <c r="W6409">
        <v>3.3041010000000003E-2</v>
      </c>
      <c r="X6409">
        <v>0.99863239999999998</v>
      </c>
      <c r="Y6409">
        <v>7.2616249999999993E-2</v>
      </c>
      <c r="Z6409">
        <v>-5.6213869999999999E-2</v>
      </c>
      <c r="AA6409">
        <v>0.99577450000000001</v>
      </c>
      <c r="AB6409">
        <v>38</v>
      </c>
      <c r="AC6409">
        <v>1.3680000000000201</v>
      </c>
      <c r="AD6409">
        <v>-1.10155257448399</v>
      </c>
      <c r="AE6409">
        <v>18.945843</v>
      </c>
      <c r="AF6409">
        <v>1.4161054028797899</v>
      </c>
      <c r="AG6409">
        <v>-1.10155257448399</v>
      </c>
      <c r="AH6409">
        <v>18.8784635962854</v>
      </c>
      <c r="AI6409">
        <v>93.330070305787103</v>
      </c>
      <c r="AJ6409">
        <v>85.710180799833395</v>
      </c>
      <c r="AK6409">
        <v>18.9635218338443</v>
      </c>
    </row>
    <row r="6410" spans="1:37" x14ac:dyDescent="0.2">
      <c r="A6410" t="str">
        <f>"20200111160027933"</f>
        <v>20200111160027933</v>
      </c>
      <c r="B6410" t="str">
        <f>"1578729627927267"</f>
        <v>1578729627927267</v>
      </c>
      <c r="C6410" t="s">
        <v>37</v>
      </c>
      <c r="D6410">
        <v>5.9539999999999997</v>
      </c>
      <c r="E6410">
        <v>0.54428639999999995</v>
      </c>
      <c r="F6410" t="s">
        <v>38</v>
      </c>
      <c r="G6410">
        <v>-190.5308</v>
      </c>
      <c r="H6410">
        <v>1.0468649999999999</v>
      </c>
      <c r="I6410">
        <v>9.6627709999999993</v>
      </c>
      <c r="J6410">
        <v>-190.59829999999999</v>
      </c>
      <c r="K6410">
        <v>1.1015709999999901</v>
      </c>
      <c r="L6410">
        <v>9.0695499999999996</v>
      </c>
      <c r="M6410">
        <v>-2.7780980000000001E-4</v>
      </c>
      <c r="N6410">
        <v>0</v>
      </c>
      <c r="O6410">
        <v>0.99990380000000001</v>
      </c>
      <c r="P6410">
        <v>-4.2101199999999901E-2</v>
      </c>
      <c r="Q6410">
        <v>1.820219E-2</v>
      </c>
      <c r="R6410">
        <v>0.99894760000000005</v>
      </c>
      <c r="S6410">
        <v>0.21606449999999999</v>
      </c>
      <c r="T6410">
        <v>-0.17154339999999901</v>
      </c>
      <c r="U6410">
        <v>3.0160830000000001</v>
      </c>
      <c r="V6410">
        <v>-4.1614890000000002E-2</v>
      </c>
      <c r="W6410">
        <v>3.2322320000000002E-2</v>
      </c>
      <c r="X6410">
        <v>0.99861080000000002</v>
      </c>
      <c r="Y6410">
        <v>7.1616760000000002E-2</v>
      </c>
      <c r="Z6410">
        <v>-5.6639199999999897E-2</v>
      </c>
      <c r="AA6410">
        <v>0.99582280000000001</v>
      </c>
      <c r="AB6410">
        <v>38</v>
      </c>
      <c r="AC6410">
        <v>6.7499999999995397E-2</v>
      </c>
      <c r="AD6410">
        <v>-5.4705999999999901E-2</v>
      </c>
      <c r="AE6410">
        <v>0.593221000000001</v>
      </c>
      <c r="AF6410">
        <v>6.7101460954314407E-2</v>
      </c>
      <c r="AG6410">
        <v>-5.4705999999999901E-2</v>
      </c>
      <c r="AH6410">
        <v>0.58826341745249799</v>
      </c>
      <c r="AI6410">
        <v>95.278946755545306</v>
      </c>
      <c r="AJ6410">
        <v>83.492566690277698</v>
      </c>
      <c r="AK6410">
        <v>0.59460003431810804</v>
      </c>
    </row>
    <row r="6411" spans="1:37" x14ac:dyDescent="0.2">
      <c r="A6411" t="str">
        <f>"20200111160027957"</f>
        <v>20200111160027957</v>
      </c>
      <c r="B6411" t="str">
        <f>"1578729627947763"</f>
        <v>1578729627947763</v>
      </c>
      <c r="C6411" t="s">
        <v>37</v>
      </c>
      <c r="D6411">
        <v>5.9311379999999998</v>
      </c>
      <c r="E6411">
        <v>0.54397759999999995</v>
      </c>
      <c r="F6411" t="s">
        <v>38</v>
      </c>
      <c r="G6411">
        <v>-190.53120000000001</v>
      </c>
      <c r="H6411">
        <v>1.047356</v>
      </c>
      <c r="I6411">
        <v>10.00041</v>
      </c>
      <c r="J6411">
        <v>-190.5958</v>
      </c>
      <c r="K6411">
        <v>1.1015969999999999</v>
      </c>
      <c r="L6411">
        <v>9.4749149999999993</v>
      </c>
      <c r="M6411">
        <v>2.4863239999999998E-3</v>
      </c>
      <c r="N6411">
        <v>0</v>
      </c>
      <c r="O6411">
        <v>0.99989899999999998</v>
      </c>
      <c r="P6411">
        <v>-4.0527489999999999E-2</v>
      </c>
      <c r="Q6411">
        <v>1.792502E-2</v>
      </c>
      <c r="R6411">
        <v>0.99901759999999995</v>
      </c>
      <c r="S6411">
        <v>0.21688840000000001</v>
      </c>
      <c r="T6411">
        <v>-0.1755622</v>
      </c>
      <c r="U6411">
        <v>3.0155029999999998</v>
      </c>
      <c r="V6411">
        <v>-4.2804549999999997E-2</v>
      </c>
      <c r="W6411">
        <v>3.2182679999999998E-2</v>
      </c>
      <c r="X6411">
        <v>0.99856499999999904</v>
      </c>
      <c r="Y6411">
        <v>6.9138099999999994E-2</v>
      </c>
      <c r="Z6411">
        <v>-5.7977029999999999E-2</v>
      </c>
      <c r="AA6411">
        <v>0.99592099999999995</v>
      </c>
      <c r="AB6411">
        <v>38</v>
      </c>
      <c r="AC6411">
        <v>6.4599999999984406E-2</v>
      </c>
      <c r="AD6411">
        <v>-5.42409999999999E-2</v>
      </c>
      <c r="AE6411">
        <v>0.52549500000000104</v>
      </c>
      <c r="AF6411">
        <v>6.2635726714352094E-2</v>
      </c>
      <c r="AG6411">
        <v>-5.42409999999999E-2</v>
      </c>
      <c r="AH6411">
        <v>0.52019429567591702</v>
      </c>
      <c r="AI6411">
        <v>95.910371992962297</v>
      </c>
      <c r="AJ6411">
        <v>83.134164198772993</v>
      </c>
      <c r="AK6411">
        <v>0.52675176847904204</v>
      </c>
    </row>
    <row r="6412" spans="1:37" x14ac:dyDescent="0.2">
      <c r="A6412" t="str">
        <f>"20200111160027978"</f>
        <v>20200111160027978</v>
      </c>
      <c r="B6412" t="str">
        <f>"1578729627967284"</f>
        <v>1578729627967284</v>
      </c>
      <c r="C6412" t="s">
        <v>37</v>
      </c>
      <c r="D6412">
        <v>5.9441809999999897</v>
      </c>
      <c r="E6412">
        <v>0.54335440000000002</v>
      </c>
      <c r="F6412" t="s">
        <v>38</v>
      </c>
      <c r="G6412">
        <v>-190.53270000000001</v>
      </c>
      <c r="H6412">
        <v>1.0504359999999999</v>
      </c>
      <c r="I6412">
        <v>10.3400199999999</v>
      </c>
      <c r="J6412">
        <v>-190.5926</v>
      </c>
      <c r="K6412">
        <v>1.101623</v>
      </c>
      <c r="L6412">
        <v>9.8305360000000004</v>
      </c>
      <c r="M6412">
        <v>4.9019220000000004E-3</v>
      </c>
      <c r="N6412">
        <v>0</v>
      </c>
      <c r="O6412">
        <v>0.99988849999999996</v>
      </c>
      <c r="P6412">
        <v>-3.9521679999999997E-2</v>
      </c>
      <c r="Q6412">
        <v>1.87365E-2</v>
      </c>
      <c r="R6412">
        <v>0.99904300000000001</v>
      </c>
      <c r="S6412">
        <v>0.2193909</v>
      </c>
      <c r="T6412">
        <v>-0.1782706</v>
      </c>
      <c r="U6412">
        <v>3.0150450000000002</v>
      </c>
      <c r="V6412">
        <v>-4.4207339999999998E-2</v>
      </c>
      <c r="W6412">
        <v>3.3106780000000002E-2</v>
      </c>
      <c r="X6412">
        <v>0.99847359999999896</v>
      </c>
      <c r="Y6412">
        <v>6.7557249999999999E-2</v>
      </c>
      <c r="Z6412">
        <v>-5.887788E-2</v>
      </c>
      <c r="AA6412">
        <v>0.99597659999999999</v>
      </c>
      <c r="AB6412">
        <v>38</v>
      </c>
      <c r="AC6412">
        <v>5.9899999999998899E-2</v>
      </c>
      <c r="AD6412">
        <v>-5.1186999999999802E-2</v>
      </c>
      <c r="AE6412">
        <v>0.50948399999999805</v>
      </c>
      <c r="AF6412">
        <v>5.6835709751165898E-2</v>
      </c>
      <c r="AG6412">
        <v>-5.1186999999999802E-2</v>
      </c>
      <c r="AH6412">
        <v>0.50474614783869298</v>
      </c>
      <c r="AI6412">
        <v>95.754526470888905</v>
      </c>
      <c r="AJ6412">
        <v>83.575410370787793</v>
      </c>
      <c r="AK6412">
        <v>0.51050864892763403</v>
      </c>
    </row>
    <row r="6413" spans="1:37" x14ac:dyDescent="0.2">
      <c r="A6413" t="str">
        <f>"20200111160028000"</f>
        <v>20200111160028000</v>
      </c>
      <c r="B6413" t="str">
        <f>"1578729627997540"</f>
        <v>1578729627997540</v>
      </c>
      <c r="C6413" t="s">
        <v>37</v>
      </c>
      <c r="D6413">
        <v>5.929074</v>
      </c>
      <c r="E6413">
        <v>0.54271359999999902</v>
      </c>
      <c r="F6413" t="s">
        <v>38</v>
      </c>
      <c r="G6413">
        <v>-190.5309</v>
      </c>
      <c r="H6413">
        <v>1.051285</v>
      </c>
      <c r="I6413">
        <v>10.684950000000001</v>
      </c>
      <c r="J6413">
        <v>-190.58850000000001</v>
      </c>
      <c r="K6413">
        <v>1.1016549999999901</v>
      </c>
      <c r="L6413">
        <v>10.19937</v>
      </c>
      <c r="M6413">
        <v>7.3898760000000001E-3</v>
      </c>
      <c r="N6413">
        <v>0</v>
      </c>
      <c r="O6413">
        <v>0.99987190000000004</v>
      </c>
      <c r="P6413">
        <v>-3.9176389999999998E-2</v>
      </c>
      <c r="Q6413">
        <v>1.9741330000000001E-2</v>
      </c>
      <c r="R6413">
        <v>0.99903729999999902</v>
      </c>
      <c r="S6413">
        <v>0.21760560000000001</v>
      </c>
      <c r="T6413">
        <v>-0.17756379999999999</v>
      </c>
      <c r="U6413">
        <v>3.0148009999999998</v>
      </c>
      <c r="V6413">
        <v>-4.6340850000000003E-2</v>
      </c>
      <c r="W6413">
        <v>3.422099E-2</v>
      </c>
      <c r="X6413">
        <v>0.99833939999999999</v>
      </c>
      <c r="Y6413">
        <v>6.4494460000000003E-2</v>
      </c>
      <c r="Z6413">
        <v>-5.8655840000000001E-2</v>
      </c>
      <c r="AA6413">
        <v>0.99619279999999999</v>
      </c>
      <c r="AB6413">
        <v>38</v>
      </c>
      <c r="AC6413">
        <v>5.7600000000007798E-2</v>
      </c>
      <c r="AD6413">
        <v>-5.0369999999999797E-2</v>
      </c>
      <c r="AE6413">
        <v>0.48558000000000001</v>
      </c>
      <c r="AF6413">
        <v>5.3442612669188497E-2</v>
      </c>
      <c r="AG6413">
        <v>-5.0369999999999797E-2</v>
      </c>
      <c r="AH6413">
        <v>0.48088974444707699</v>
      </c>
      <c r="AI6413">
        <v>95.943223662038903</v>
      </c>
      <c r="AJ6413">
        <v>83.658582038899794</v>
      </c>
      <c r="AK6413">
        <v>0.486464999833784</v>
      </c>
    </row>
    <row r="6414" spans="1:37" x14ac:dyDescent="0.2">
      <c r="A6414" t="str">
        <f>"20200111160028023"</f>
        <v>20200111160028023</v>
      </c>
      <c r="B6414" t="str">
        <f>"1578729628017850"</f>
        <v>1578729628017850</v>
      </c>
      <c r="C6414" t="s">
        <v>37</v>
      </c>
      <c r="D6414">
        <v>6.1411369999999996</v>
      </c>
      <c r="E6414">
        <v>0.54245379999999999</v>
      </c>
      <c r="F6414" t="s">
        <v>39</v>
      </c>
      <c r="G6414">
        <v>-189.26400000000001</v>
      </c>
      <c r="H6414" s="1">
        <v>-4.1007959999999997E-6</v>
      </c>
      <c r="I6414">
        <v>28.887499999999999</v>
      </c>
      <c r="J6414">
        <v>-190.58320000000001</v>
      </c>
      <c r="K6414">
        <v>1.1016919999999999</v>
      </c>
      <c r="L6414">
        <v>10.58182</v>
      </c>
      <c r="M6414">
        <v>9.9396169999999995E-3</v>
      </c>
      <c r="N6414">
        <v>0</v>
      </c>
      <c r="O6414">
        <v>0.99984839999999997</v>
      </c>
      <c r="P6414">
        <v>-3.8351429999999999E-2</v>
      </c>
      <c r="Q6414">
        <v>2.0368890000000001E-2</v>
      </c>
      <c r="R6414">
        <v>0.99905669999999902</v>
      </c>
      <c r="S6414">
        <v>0.21366879999999999</v>
      </c>
      <c r="T6414">
        <v>-0.17771979999999901</v>
      </c>
      <c r="U6414">
        <v>3.0147710000000001</v>
      </c>
      <c r="V6414">
        <v>-4.8060480000000003E-2</v>
      </c>
      <c r="W6414">
        <v>3.4947249999999999E-2</v>
      </c>
      <c r="X6414">
        <v>0.99823289999999998</v>
      </c>
      <c r="Y6414">
        <v>6.065545E-2</v>
      </c>
      <c r="Z6414">
        <v>-5.8715650000000001E-2</v>
      </c>
      <c r="AA6414">
        <v>0.99643029999999999</v>
      </c>
      <c r="AB6414">
        <v>38</v>
      </c>
      <c r="AC6414">
        <v>1.3191999999999899</v>
      </c>
      <c r="AD6414">
        <v>-1.101696100796</v>
      </c>
      <c r="AE6414">
        <v>18.305679999999999</v>
      </c>
      <c r="AF6414">
        <v>1.1330819230290201</v>
      </c>
      <c r="AG6414">
        <v>-1.101696100796</v>
      </c>
      <c r="AH6414">
        <v>18.252121063324299</v>
      </c>
      <c r="AI6414">
        <v>93.447555628653205</v>
      </c>
      <c r="AJ6414">
        <v>86.447667339759505</v>
      </c>
      <c r="AK6414">
        <v>18.320412993517699</v>
      </c>
    </row>
    <row r="6415" spans="1:37" x14ac:dyDescent="0.2">
      <c r="A6415" t="str">
        <f>"20200111160028114"</f>
        <v>20200111160028114</v>
      </c>
      <c r="B6415" t="str">
        <f>"1578729628107642"</f>
        <v>1578729628107642</v>
      </c>
      <c r="C6415" t="s">
        <v>37</v>
      </c>
      <c r="D6415">
        <v>6.098287</v>
      </c>
      <c r="E6415">
        <v>0.54141549999999905</v>
      </c>
      <c r="F6415" t="s">
        <v>39</v>
      </c>
      <c r="G6415">
        <v>-189.22749999999999</v>
      </c>
      <c r="H6415" s="1">
        <v>-2.0368279999999899E-7</v>
      </c>
      <c r="I6415">
        <v>29.642609999999902</v>
      </c>
      <c r="J6415">
        <v>-190.55359999999999</v>
      </c>
      <c r="K6415">
        <v>1.1020080000000001</v>
      </c>
      <c r="L6415">
        <v>12.09802</v>
      </c>
      <c r="M6415">
        <v>1.92602999999999E-2</v>
      </c>
      <c r="N6415">
        <v>0</v>
      </c>
      <c r="O6415">
        <v>0.999708499999999</v>
      </c>
      <c r="P6415">
        <v>-3.0757429999999999E-2</v>
      </c>
      <c r="Q6415">
        <v>2.2035490000000001E-2</v>
      </c>
      <c r="R6415">
        <v>0.99928399999999995</v>
      </c>
      <c r="S6415">
        <v>0.21441650000000001</v>
      </c>
      <c r="T6415">
        <v>-0.17424149999999999</v>
      </c>
      <c r="U6415">
        <v>3.014618</v>
      </c>
      <c r="V6415">
        <v>-4.9793909999999997E-2</v>
      </c>
      <c r="W6415">
        <v>3.6846699999999899E-2</v>
      </c>
      <c r="X6415">
        <v>0.99807959999999996</v>
      </c>
      <c r="Y6415">
        <v>5.1601729999999998E-2</v>
      </c>
      <c r="Z6415">
        <v>-5.7575649999999999E-2</v>
      </c>
      <c r="AA6415">
        <v>0.99700669999999902</v>
      </c>
      <c r="AB6415">
        <v>37</v>
      </c>
      <c r="AC6415">
        <v>1.3260999999999901</v>
      </c>
      <c r="AD6415">
        <v>-1.1020082036828001</v>
      </c>
      <c r="AE6415">
        <v>17.544589999999999</v>
      </c>
      <c r="AF6415">
        <v>0.98404375456090698</v>
      </c>
      <c r="AG6415">
        <v>-1.1020082036828001</v>
      </c>
      <c r="AH6415">
        <v>17.498234512239002</v>
      </c>
      <c r="AI6415">
        <v>93.597958756519503</v>
      </c>
      <c r="AJ6415">
        <v>86.781262156224301</v>
      </c>
      <c r="AK6415">
        <v>17.5604947321306</v>
      </c>
    </row>
    <row r="6416" spans="1:37" x14ac:dyDescent="0.2">
      <c r="A6416" t="str">
        <f>"20200111160028158"</f>
        <v>20200111160028158</v>
      </c>
      <c r="B6416" t="str">
        <f>"1578729628147297"</f>
        <v>1578729628147297</v>
      </c>
      <c r="C6416" t="s">
        <v>37</v>
      </c>
      <c r="D6416">
        <v>5.8867209999999996</v>
      </c>
      <c r="E6416">
        <v>0.54141549999999905</v>
      </c>
      <c r="F6416" t="s">
        <v>38</v>
      </c>
      <c r="G6416">
        <v>-190.4837</v>
      </c>
      <c r="H6416">
        <v>1.048468</v>
      </c>
      <c r="I6416">
        <v>13.018929999999999</v>
      </c>
      <c r="J6416">
        <v>-190.5351</v>
      </c>
      <c r="K6416">
        <v>1.102304</v>
      </c>
      <c r="L6416">
        <v>12.831020000000001</v>
      </c>
      <c r="M6416">
        <v>2.2919990000000001E-2</v>
      </c>
      <c r="N6416">
        <v>0</v>
      </c>
      <c r="O6416">
        <v>0.99963019999999903</v>
      </c>
      <c r="P6416">
        <v>-2.454603E-2</v>
      </c>
      <c r="Q6416">
        <v>2.1404340000000001E-2</v>
      </c>
      <c r="R6416">
        <v>0.99946950000000001</v>
      </c>
      <c r="S6416">
        <v>0.2284851</v>
      </c>
      <c r="T6416">
        <v>-0.17517349999999901</v>
      </c>
      <c r="U6416">
        <v>3.0130309999999998</v>
      </c>
      <c r="V6416">
        <v>-4.7272410000000001E-2</v>
      </c>
      <c r="W6416">
        <v>3.6246769999999998E-2</v>
      </c>
      <c r="X6416">
        <v>0.99822409999999995</v>
      </c>
      <c r="Y6416">
        <v>5.2611690000000003E-2</v>
      </c>
      <c r="Z6416">
        <v>-5.7894790000000002E-2</v>
      </c>
      <c r="AA6416">
        <v>0.99693539999999903</v>
      </c>
      <c r="AB6416">
        <v>37</v>
      </c>
      <c r="AC6416">
        <v>5.1400000000000903E-2</v>
      </c>
      <c r="AD6416">
        <v>-5.3836000000000203E-2</v>
      </c>
      <c r="AE6416">
        <v>0.18790999999999999</v>
      </c>
      <c r="AF6416">
        <v>4.3738900792068401E-2</v>
      </c>
      <c r="AG6416">
        <v>-5.3836000000000203E-2</v>
      </c>
      <c r="AH6416">
        <v>0.175626645138976</v>
      </c>
      <c r="AI6416">
        <v>106.565159573664</v>
      </c>
      <c r="AJ6416">
        <v>76.015278267742701</v>
      </c>
      <c r="AK6416">
        <v>0.188828294546316</v>
      </c>
    </row>
    <row r="6417" spans="1:37" x14ac:dyDescent="0.2">
      <c r="A6417" t="str">
        <f>"20200111160028180"</f>
        <v>20200111160028180</v>
      </c>
      <c r="B6417" t="str">
        <f>"1578729628177554"</f>
        <v>1578729628177554</v>
      </c>
      <c r="C6417" t="s">
        <v>37</v>
      </c>
      <c r="D6417">
        <v>5.8459269999999997</v>
      </c>
      <c r="E6417">
        <v>0.52000809999999997</v>
      </c>
      <c r="F6417" t="s">
        <v>39</v>
      </c>
      <c r="G6417">
        <v>-189.00460000000001</v>
      </c>
      <c r="H6417" s="1">
        <v>-9.8043939999999995E-7</v>
      </c>
      <c r="I6417">
        <v>31.506629999999902</v>
      </c>
      <c r="J6417">
        <v>-190.52510000000001</v>
      </c>
      <c r="K6417">
        <v>1.102514</v>
      </c>
      <c r="L6417">
        <v>13.204560000000001</v>
      </c>
      <c r="M6417">
        <v>2.4424040000000001E-2</v>
      </c>
      <c r="N6417">
        <v>0</v>
      </c>
      <c r="O6417">
        <v>0.99959419999999899</v>
      </c>
      <c r="P6417">
        <v>-2.153118E-2</v>
      </c>
      <c r="Q6417">
        <v>2.069959E-2</v>
      </c>
      <c r="R6417">
        <v>0.9995539</v>
      </c>
      <c r="S6417">
        <v>0.24679570000000001</v>
      </c>
      <c r="T6417">
        <v>-0.17774870000000001</v>
      </c>
      <c r="U6417">
        <v>3.0114749999999999</v>
      </c>
      <c r="V6417">
        <v>-4.5784140000000001E-2</v>
      </c>
      <c r="W6417">
        <v>3.5541980000000001E-2</v>
      </c>
      <c r="X6417">
        <v>0.99831890000000001</v>
      </c>
      <c r="Y6417">
        <v>5.7167450000000002E-2</v>
      </c>
      <c r="Z6417">
        <v>-5.8748639999999998E-2</v>
      </c>
      <c r="AA6417">
        <v>0.99663459999999904</v>
      </c>
      <c r="AB6417">
        <v>37</v>
      </c>
      <c r="AC6417">
        <v>1.52049999999999</v>
      </c>
      <c r="AD6417">
        <v>-1.1025149804393899</v>
      </c>
      <c r="AE6417">
        <v>18.302070000000001</v>
      </c>
      <c r="AF6417">
        <v>1.0691346597275599</v>
      </c>
      <c r="AG6417">
        <v>-1.1025149804393899</v>
      </c>
      <c r="AH6417">
        <v>18.267912811503201</v>
      </c>
      <c r="AI6417">
        <v>93.447871145127294</v>
      </c>
      <c r="AJ6417">
        <v>86.6505693050714</v>
      </c>
      <c r="AK6417">
        <v>18.332354641218501</v>
      </c>
    </row>
    <row r="6418" spans="1:37" x14ac:dyDescent="0.2">
      <c r="A6418" t="str">
        <f>"20200111160028201"</f>
        <v>20200111160028201</v>
      </c>
      <c r="B6418" t="str">
        <f>"1578729628197073"</f>
        <v>1578729628197073</v>
      </c>
      <c r="C6418" t="s">
        <v>37</v>
      </c>
      <c r="D6418">
        <v>5.829135</v>
      </c>
      <c r="E6418">
        <v>0.52159849999999996</v>
      </c>
      <c r="F6418" t="s">
        <v>39</v>
      </c>
      <c r="G6418">
        <v>-190.12569999999999</v>
      </c>
      <c r="H6418" s="1">
        <v>-3.525794E-6</v>
      </c>
      <c r="I6418">
        <v>27.729869999999998</v>
      </c>
      <c r="J6418">
        <v>-190.5153</v>
      </c>
      <c r="K6418">
        <v>1.102746</v>
      </c>
      <c r="L6418">
        <v>13.5549</v>
      </c>
      <c r="M6418">
        <v>2.55650999999999E-2</v>
      </c>
      <c r="N6418">
        <v>0</v>
      </c>
      <c r="O6418">
        <v>0.99956529999999999</v>
      </c>
      <c r="P6418">
        <v>-1.957101E-2</v>
      </c>
      <c r="Q6418">
        <v>2.070779E-2</v>
      </c>
      <c r="R6418">
        <v>0.99959399999999998</v>
      </c>
      <c r="S6418">
        <v>8.2702639999999994E-2</v>
      </c>
      <c r="T6418">
        <v>-0.22830490000000001</v>
      </c>
      <c r="U6418">
        <v>3.0078429999999998</v>
      </c>
      <c r="V6418">
        <v>-4.4985799999999999E-2</v>
      </c>
      <c r="W6418">
        <v>3.5545779999999999E-2</v>
      </c>
      <c r="X6418">
        <v>0.99835499999999899</v>
      </c>
      <c r="Y6418">
        <v>1.83934299999999E-3</v>
      </c>
      <c r="Z6418">
        <v>-7.5634160000000006E-2</v>
      </c>
      <c r="AA6418">
        <v>0.99713390000000002</v>
      </c>
      <c r="AB6418">
        <v>37</v>
      </c>
      <c r="AC6418">
        <v>0.389600000000001</v>
      </c>
      <c r="AD6418">
        <v>-1.1027495257940001</v>
      </c>
      <c r="AE6418">
        <v>14.17497</v>
      </c>
      <c r="AF6418">
        <v>2.6886434054135499E-2</v>
      </c>
      <c r="AG6418">
        <v>-1.1027495257940001</v>
      </c>
      <c r="AH6418">
        <v>14.095056323885</v>
      </c>
      <c r="AI6418">
        <v>94.473507297867101</v>
      </c>
      <c r="AJ6418">
        <v>89.890707969256994</v>
      </c>
      <c r="AK6418">
        <v>14.138153775174001</v>
      </c>
    </row>
    <row r="6419" spans="1:37" x14ac:dyDescent="0.2">
      <c r="A6419" t="str">
        <f>"20200111160028224"</f>
        <v>20200111160028224</v>
      </c>
      <c r="B6419" t="str">
        <f>"1578729628217233"</f>
        <v>1578729628217233</v>
      </c>
      <c r="C6419" t="s">
        <v>37</v>
      </c>
      <c r="D6419">
        <v>5.7964719999999996</v>
      </c>
      <c r="E6419">
        <v>0.52151289999999995</v>
      </c>
      <c r="F6419" t="s">
        <v>39</v>
      </c>
      <c r="G6419">
        <v>-190.0076</v>
      </c>
      <c r="H6419" s="1">
        <v>-3.876691E-6</v>
      </c>
      <c r="I6419">
        <v>28.62107</v>
      </c>
      <c r="J6419">
        <v>-190.50479999999999</v>
      </c>
      <c r="K6419">
        <v>1.1030279999999999</v>
      </c>
      <c r="L6419">
        <v>13.926729999999999</v>
      </c>
      <c r="M6419">
        <v>2.6472320000000001E-2</v>
      </c>
      <c r="N6419">
        <v>0</v>
      </c>
      <c r="O6419">
        <v>0.99954129999999997</v>
      </c>
      <c r="P6419">
        <v>-1.7895560000000001E-2</v>
      </c>
      <c r="Q6419">
        <v>2.1398850000000001E-2</v>
      </c>
      <c r="R6419">
        <v>0.99961080000000002</v>
      </c>
      <c r="S6419">
        <v>0.1013641</v>
      </c>
      <c r="T6419">
        <v>-0.22015100000000001</v>
      </c>
      <c r="U6419">
        <v>3.0077820000000002</v>
      </c>
      <c r="V6419">
        <v>-4.4239210000000001E-2</v>
      </c>
      <c r="W6419">
        <v>3.6225319999999998E-2</v>
      </c>
      <c r="X6419">
        <v>0.99836399999999903</v>
      </c>
      <c r="Y6419">
        <v>7.11979E-3</v>
      </c>
      <c r="Z6419">
        <v>-7.2938710000000004E-2</v>
      </c>
      <c r="AA6419">
        <v>0.99731099999999995</v>
      </c>
      <c r="AB6419">
        <v>37</v>
      </c>
      <c r="AC6419">
        <v>0.49719999999999198</v>
      </c>
      <c r="AD6419">
        <v>-1.1030318766909999</v>
      </c>
      <c r="AE6419">
        <v>14.69434</v>
      </c>
      <c r="AF6419">
        <v>0.107385946387487</v>
      </c>
      <c r="AG6419">
        <v>-1.1030318766909999</v>
      </c>
      <c r="AH6419">
        <v>14.6200662103388</v>
      </c>
      <c r="AI6419">
        <v>94.314472308762404</v>
      </c>
      <c r="AJ6419">
        <v>89.579163953588903</v>
      </c>
      <c r="AK6419">
        <v>14.662010334779</v>
      </c>
    </row>
    <row r="6420" spans="1:37" x14ac:dyDescent="0.2">
      <c r="A6420" t="str">
        <f>"20200111160028247"</f>
        <v>20200111160028247</v>
      </c>
      <c r="B6420" t="str">
        <f>"1578729628237732"</f>
        <v>1578729628237732</v>
      </c>
      <c r="C6420" t="s">
        <v>37</v>
      </c>
      <c r="D6420">
        <v>5.7080769999999896</v>
      </c>
      <c r="E6420">
        <v>0.52123960000000003</v>
      </c>
      <c r="F6420" t="s">
        <v>39</v>
      </c>
      <c r="G6420">
        <v>-189.97659999999999</v>
      </c>
      <c r="H6420" s="1">
        <v>-4.0332800000000003E-6</v>
      </c>
      <c r="I6420">
        <v>29.005320000000001</v>
      </c>
      <c r="J6420">
        <v>-190.4939</v>
      </c>
      <c r="K6420">
        <v>1.1033200000000001</v>
      </c>
      <c r="L6420">
        <v>14.314579999999999</v>
      </c>
      <c r="M6420">
        <v>2.7071970000000001E-2</v>
      </c>
      <c r="N6420">
        <v>0</v>
      </c>
      <c r="O6420">
        <v>0.999525</v>
      </c>
      <c r="P6420">
        <v>-1.6575079999999999E-2</v>
      </c>
      <c r="Q6420">
        <v>2.1974520000000001E-2</v>
      </c>
      <c r="R6420">
        <v>0.99962109999999904</v>
      </c>
      <c r="S6420">
        <v>0.105377199999999</v>
      </c>
      <c r="T6420">
        <v>-0.22002350000000001</v>
      </c>
      <c r="U6420">
        <v>3.0077509999999998</v>
      </c>
      <c r="V6420">
        <v>-4.3542789999999998E-2</v>
      </c>
      <c r="W6420">
        <v>3.6787140000000003E-2</v>
      </c>
      <c r="X6420">
        <v>0.99837399999999998</v>
      </c>
      <c r="Y6420">
        <v>7.849399E-3</v>
      </c>
      <c r="Z6420">
        <v>-7.2893830000000007E-2</v>
      </c>
      <c r="AA6420">
        <v>0.9973088</v>
      </c>
      <c r="AB6420">
        <v>37</v>
      </c>
      <c r="AC6420">
        <v>0.51730000000000498</v>
      </c>
      <c r="AD6420">
        <v>-1.1033240332799901</v>
      </c>
      <c r="AE6420">
        <v>14.69074</v>
      </c>
      <c r="AF6420">
        <v>0.11869130312943101</v>
      </c>
      <c r="AG6420">
        <v>-1.1033240332799901</v>
      </c>
      <c r="AH6420">
        <v>14.6170149349096</v>
      </c>
      <c r="AI6420">
        <v>94.316482456744396</v>
      </c>
      <c r="AJ6420">
        <v>89.534764019533895</v>
      </c>
      <c r="AK6420">
        <v>14.6590769544068</v>
      </c>
    </row>
    <row r="6421" spans="1:37" x14ac:dyDescent="0.2">
      <c r="A6421" t="str">
        <f>"20200111160028268"</f>
        <v>20200111160028268</v>
      </c>
      <c r="B6421" t="str">
        <f>"1578729628257252"</f>
        <v>1578729628257252</v>
      </c>
      <c r="C6421" t="s">
        <v>37</v>
      </c>
      <c r="D6421">
        <v>5.6716610000000003</v>
      </c>
      <c r="E6421">
        <v>0.5207389</v>
      </c>
      <c r="F6421" t="s">
        <v>38</v>
      </c>
      <c r="G6421">
        <v>-190.4579</v>
      </c>
      <c r="H6421">
        <v>1.0249429999999999</v>
      </c>
      <c r="I6421">
        <v>15.3273299999999</v>
      </c>
      <c r="J6421">
        <v>-190.48400000000001</v>
      </c>
      <c r="K6421">
        <v>1.1035779999999999</v>
      </c>
      <c r="L6421">
        <v>14.667479999999999</v>
      </c>
      <c r="M6421">
        <v>2.7327560000000001E-2</v>
      </c>
      <c r="N6421">
        <v>0</v>
      </c>
      <c r="O6421">
        <v>0.99951789999999996</v>
      </c>
      <c r="P6421">
        <v>-1.564813E-2</v>
      </c>
      <c r="Q6421">
        <v>2.230619E-2</v>
      </c>
      <c r="R6421">
        <v>0.99962870000000004</v>
      </c>
      <c r="S6421">
        <v>0.1064758</v>
      </c>
      <c r="T6421">
        <v>-0.2327987</v>
      </c>
      <c r="U6421">
        <v>3.0080259999999899</v>
      </c>
      <c r="V6421">
        <v>-4.2894349999999998E-2</v>
      </c>
      <c r="W6421">
        <v>3.7104970000000001E-2</v>
      </c>
      <c r="X6421">
        <v>0.99839040000000001</v>
      </c>
      <c r="Y6421">
        <v>7.9431290000000002E-3</v>
      </c>
      <c r="Z6421">
        <v>-7.7093430000000004E-2</v>
      </c>
      <c r="AA6421">
        <v>0.996992199999999</v>
      </c>
      <c r="AB6421">
        <v>37</v>
      </c>
      <c r="AC6421">
        <v>2.6100000000013699E-2</v>
      </c>
      <c r="AD6421">
        <v>-7.8635000000000205E-2</v>
      </c>
      <c r="AE6421">
        <v>0.65984999999999805</v>
      </c>
      <c r="AF6421">
        <v>7.9435653938204395E-3</v>
      </c>
      <c r="AG6421">
        <v>-7.8635000000000205E-2</v>
      </c>
      <c r="AH6421">
        <v>0.65108475304939095</v>
      </c>
      <c r="AI6421">
        <v>96.886056439191407</v>
      </c>
      <c r="AJ6421">
        <v>89.300997007380204</v>
      </c>
      <c r="AK6421">
        <v>0.65586425356894695</v>
      </c>
    </row>
    <row r="6422" spans="1:37" x14ac:dyDescent="0.2">
      <c r="A6422" t="str">
        <f>"20200111160028291"</f>
        <v>20200111160028291</v>
      </c>
      <c r="B6422" t="str">
        <f>"1578729628287505"</f>
        <v>1578729628287505</v>
      </c>
      <c r="C6422" t="s">
        <v>37</v>
      </c>
      <c r="D6422">
        <v>5.8575099999999898</v>
      </c>
      <c r="E6422">
        <v>0.51972589999999996</v>
      </c>
      <c r="F6422" t="s">
        <v>38</v>
      </c>
      <c r="G6422">
        <v>-190.4495</v>
      </c>
      <c r="H6422">
        <v>1.0264169999999999</v>
      </c>
      <c r="I6422">
        <v>15.657870000000001</v>
      </c>
      <c r="J6422">
        <v>-190.47389999999999</v>
      </c>
      <c r="K6422">
        <v>1.103823</v>
      </c>
      <c r="L6422">
        <v>15.033389999999899</v>
      </c>
      <c r="M6422">
        <v>2.7348419999999998E-2</v>
      </c>
      <c r="N6422">
        <v>0</v>
      </c>
      <c r="O6422">
        <v>0.99951710000000005</v>
      </c>
      <c r="P6422">
        <v>-1.486607E-2</v>
      </c>
      <c r="Q6422">
        <v>2.2726329999999999E-2</v>
      </c>
      <c r="R6422">
        <v>0.99963119999999905</v>
      </c>
      <c r="S6422">
        <v>0.1048279</v>
      </c>
      <c r="T6422">
        <v>-0.23435110000000001</v>
      </c>
      <c r="U6422">
        <v>3.0079959999999999</v>
      </c>
      <c r="V6422">
        <v>-4.2154369999999997E-2</v>
      </c>
      <c r="W6422">
        <v>3.7511429999999998E-2</v>
      </c>
      <c r="X6422">
        <v>0.99840669999999898</v>
      </c>
      <c r="Y6422">
        <v>7.3756919999999997E-3</v>
      </c>
      <c r="Z6422">
        <v>-7.7606060000000004E-2</v>
      </c>
      <c r="AA6422">
        <v>0.99695679999999998</v>
      </c>
      <c r="AB6422">
        <v>37</v>
      </c>
      <c r="AC6422">
        <v>2.43999999999857E-2</v>
      </c>
      <c r="AD6422">
        <v>-7.7406000000000003E-2</v>
      </c>
      <c r="AE6422">
        <v>0.62448000000000103</v>
      </c>
      <c r="AF6422">
        <v>7.2000170100259796E-3</v>
      </c>
      <c r="AG6422">
        <v>-7.7406000000000003E-2</v>
      </c>
      <c r="AH6422">
        <v>0.61547187690354199</v>
      </c>
      <c r="AI6422">
        <v>97.167791961265905</v>
      </c>
      <c r="AJ6422">
        <v>89.329763413082304</v>
      </c>
      <c r="AK6422">
        <v>0.62036212032982296</v>
      </c>
    </row>
    <row r="6423" spans="1:37" x14ac:dyDescent="0.2">
      <c r="A6423" t="str">
        <f>"20200111160028311"</f>
        <v>20200111160028311</v>
      </c>
      <c r="B6423" t="str">
        <f>"1578729628308001"</f>
        <v>1578729628308001</v>
      </c>
      <c r="C6423" t="s">
        <v>37</v>
      </c>
      <c r="D6423">
        <v>5.8078880000000002</v>
      </c>
      <c r="E6423">
        <v>0.51909839999999996</v>
      </c>
      <c r="F6423" t="s">
        <v>38</v>
      </c>
      <c r="G6423">
        <v>-190.44239999999999</v>
      </c>
      <c r="H6423">
        <v>1.028556</v>
      </c>
      <c r="I6423">
        <v>15.988300000000001</v>
      </c>
      <c r="J6423">
        <v>-190.46440000000001</v>
      </c>
      <c r="K6423">
        <v>1.1040490000000001</v>
      </c>
      <c r="L6423">
        <v>15.38226</v>
      </c>
      <c r="M6423">
        <v>2.715267E-2</v>
      </c>
      <c r="N6423">
        <v>0</v>
      </c>
      <c r="O6423">
        <v>0.99952229999999997</v>
      </c>
      <c r="P6423">
        <v>-1.4620879999999999E-2</v>
      </c>
      <c r="Q6423">
        <v>2.389312E-2</v>
      </c>
      <c r="R6423">
        <v>0.99960759999999904</v>
      </c>
      <c r="S6423">
        <v>9.8831180000000005E-2</v>
      </c>
      <c r="T6423">
        <v>-0.237109499999999</v>
      </c>
      <c r="U6423">
        <v>3.007965</v>
      </c>
      <c r="V6423">
        <v>-4.1732150000000003E-2</v>
      </c>
      <c r="W6423">
        <v>3.8665499999999998E-2</v>
      </c>
      <c r="X6423">
        <v>0.99838039999999995</v>
      </c>
      <c r="Y6423">
        <v>5.5842569999999996E-3</v>
      </c>
      <c r="Z6423">
        <v>-7.8518409999999997E-2</v>
      </c>
      <c r="AA6423">
        <v>0.99689699999999903</v>
      </c>
      <c r="AB6423">
        <v>37</v>
      </c>
      <c r="AC6423">
        <v>2.2000000000019702E-2</v>
      </c>
      <c r="AD6423">
        <v>-7.5493000000000005E-2</v>
      </c>
      <c r="AE6423">
        <v>0.60604000000000002</v>
      </c>
      <c r="AF6423">
        <v>5.4500320596567696E-3</v>
      </c>
      <c r="AG6423">
        <v>-7.5493000000000005E-2</v>
      </c>
      <c r="AH6423">
        <v>0.597159926662853</v>
      </c>
      <c r="AI6423">
        <v>97.204817684684699</v>
      </c>
      <c r="AJ6423">
        <v>89.477099598017602</v>
      </c>
      <c r="AK6423">
        <v>0.601937599681591</v>
      </c>
    </row>
    <row r="6424" spans="1:37" x14ac:dyDescent="0.2">
      <c r="A6424" t="str">
        <f>"20200111160028336"</f>
        <v>20200111160028336</v>
      </c>
      <c r="B6424" t="str">
        <f>"1578729628327521"</f>
        <v>1578729628327521</v>
      </c>
      <c r="C6424" t="s">
        <v>37</v>
      </c>
      <c r="D6424">
        <v>5.8264370000000003</v>
      </c>
      <c r="E6424">
        <v>0.51839919999999995</v>
      </c>
      <c r="F6424" t="s">
        <v>38</v>
      </c>
      <c r="G6424">
        <v>-190.435</v>
      </c>
      <c r="H6424">
        <v>1.030686</v>
      </c>
      <c r="I6424">
        <v>16.318300000000001</v>
      </c>
      <c r="J6424">
        <v>-190.45400000000001</v>
      </c>
      <c r="K6424">
        <v>1.10429</v>
      </c>
      <c r="L6424">
        <v>15.775600000000001</v>
      </c>
      <c r="M6424">
        <v>2.669069E-2</v>
      </c>
      <c r="N6424">
        <v>0</v>
      </c>
      <c r="O6424">
        <v>0.99953459999999905</v>
      </c>
      <c r="P6424">
        <v>-1.5255339999999999E-2</v>
      </c>
      <c r="Q6424">
        <v>2.5072799999999999E-2</v>
      </c>
      <c r="R6424">
        <v>0.99956919999999905</v>
      </c>
      <c r="S6424">
        <v>9.4604489999999999E-2</v>
      </c>
      <c r="T6424">
        <v>-0.2357861</v>
      </c>
      <c r="U6424">
        <v>3.0082089999999999</v>
      </c>
      <c r="V6424">
        <v>-4.1925419999999998E-2</v>
      </c>
      <c r="W6424">
        <v>3.9829509999999999E-2</v>
      </c>
      <c r="X6424">
        <v>0.99832649999999901</v>
      </c>
      <c r="Y6424">
        <v>4.6456300000000004E-3</v>
      </c>
      <c r="Z6424">
        <v>-7.8079949999999995E-2</v>
      </c>
      <c r="AA6424">
        <v>0.9969363</v>
      </c>
      <c r="AB6424">
        <v>37</v>
      </c>
      <c r="AC6424">
        <v>1.9000000000005401E-2</v>
      </c>
      <c r="AD6424">
        <v>-7.3604000000000003E-2</v>
      </c>
      <c r="AE6424">
        <v>0.54269999999999996</v>
      </c>
      <c r="AF6424">
        <v>4.4253107847936702E-3</v>
      </c>
      <c r="AG6424">
        <v>-7.3604000000000003E-2</v>
      </c>
      <c r="AH6424">
        <v>0.53321763772447595</v>
      </c>
      <c r="AI6424">
        <v>97.8590289571423</v>
      </c>
      <c r="AJ6424">
        <v>89.524498456249006</v>
      </c>
      <c r="AK6424">
        <v>0.538291910929388</v>
      </c>
    </row>
    <row r="6425" spans="1:37" x14ac:dyDescent="0.2">
      <c r="A6425" t="str">
        <f>"20200111160028357"</f>
        <v>20200111160028357</v>
      </c>
      <c r="B6425" t="str">
        <f>"1578729628347044"</f>
        <v>1578729628347044</v>
      </c>
      <c r="C6425" t="s">
        <v>37</v>
      </c>
      <c r="D6425">
        <v>5.8244920000000002</v>
      </c>
      <c r="E6425">
        <v>0.51860580000000001</v>
      </c>
      <c r="F6425" t="s">
        <v>38</v>
      </c>
      <c r="G6425">
        <v>-190.42850000000001</v>
      </c>
      <c r="H6425">
        <v>1.035731</v>
      </c>
      <c r="I6425">
        <v>16.651389999999999</v>
      </c>
      <c r="J6425">
        <v>-190.44499999999999</v>
      </c>
      <c r="K6425">
        <v>1.104503</v>
      </c>
      <c r="L6425">
        <v>16.130979999999902</v>
      </c>
      <c r="M6425">
        <v>2.6086990000000001E-2</v>
      </c>
      <c r="N6425">
        <v>0</v>
      </c>
      <c r="O6425">
        <v>0.99955049999999901</v>
      </c>
      <c r="P6425">
        <v>-1.5858520000000001E-2</v>
      </c>
      <c r="Q6425">
        <v>2.6134870000000001E-2</v>
      </c>
      <c r="R6425">
        <v>0.99953259999999899</v>
      </c>
      <c r="S6425">
        <v>8.7066649999999995E-2</v>
      </c>
      <c r="T6425">
        <v>-0.2355496</v>
      </c>
      <c r="U6425">
        <v>3.0085139999999999</v>
      </c>
      <c r="V6425">
        <v>-4.194411E-2</v>
      </c>
      <c r="W6425">
        <v>4.0876269999999999E-2</v>
      </c>
      <c r="X6425">
        <v>0.99828340000000004</v>
      </c>
      <c r="Y6425">
        <v>2.751042E-3</v>
      </c>
      <c r="Z6425">
        <v>-7.7999299999999994E-2</v>
      </c>
      <c r="AA6425">
        <v>0.99694959999999899</v>
      </c>
      <c r="AB6425">
        <v>37</v>
      </c>
      <c r="AC6425">
        <v>1.6499999999979299E-2</v>
      </c>
      <c r="AD6425">
        <v>-6.8772E-2</v>
      </c>
      <c r="AE6425">
        <v>0.52041000000000104</v>
      </c>
      <c r="AF6425">
        <v>2.866954277371E-3</v>
      </c>
      <c r="AG6425">
        <v>-6.8772E-2</v>
      </c>
      <c r="AH6425">
        <v>0.51173560041172195</v>
      </c>
      <c r="AI6425">
        <v>97.653985245688204</v>
      </c>
      <c r="AJ6425">
        <v>89.679008727436496</v>
      </c>
      <c r="AK6425">
        <v>0.51634400561987204</v>
      </c>
    </row>
    <row r="6426" spans="1:37" x14ac:dyDescent="0.2">
      <c r="A6426" t="str">
        <f>"20200111160028381"</f>
        <v>20200111160028381</v>
      </c>
      <c r="B6426" t="str">
        <f>"1578729628377297"</f>
        <v>1578729628377297</v>
      </c>
      <c r="C6426" t="s">
        <v>37</v>
      </c>
      <c r="D6426">
        <v>5.8439920000000001</v>
      </c>
      <c r="E6426">
        <v>0.51910639999999997</v>
      </c>
      <c r="F6426" t="s">
        <v>38</v>
      </c>
      <c r="G6426">
        <v>-190.4204</v>
      </c>
      <c r="H6426">
        <v>1.038516</v>
      </c>
      <c r="I6426">
        <v>16.981719999999999</v>
      </c>
      <c r="J6426">
        <v>-190.4357</v>
      </c>
      <c r="K6426">
        <v>1.1047180000000001</v>
      </c>
      <c r="L6426">
        <v>16.51352</v>
      </c>
      <c r="M6426">
        <v>2.5281439999999999E-2</v>
      </c>
      <c r="N6426">
        <v>0</v>
      </c>
      <c r="O6426">
        <v>0.99957109999999905</v>
      </c>
      <c r="P6426">
        <v>-1.6863920000000001E-2</v>
      </c>
      <c r="Q6426">
        <v>2.7934090000000002E-2</v>
      </c>
      <c r="R6426">
        <v>0.99946749999999995</v>
      </c>
      <c r="S6426">
        <v>8.6868290000000001E-2</v>
      </c>
      <c r="T6426">
        <v>-0.23339169999999901</v>
      </c>
      <c r="U6426">
        <v>3.0088810000000001</v>
      </c>
      <c r="V6426">
        <v>-4.2165179999999997E-2</v>
      </c>
      <c r="W6426">
        <v>4.2658559999999998E-2</v>
      </c>
      <c r="X6426">
        <v>0.99819950000000002</v>
      </c>
      <c r="Y6426">
        <v>3.4893739999999999E-3</v>
      </c>
      <c r="Z6426">
        <v>-7.7282089999999998E-2</v>
      </c>
      <c r="AA6426">
        <v>0.99700309999999903</v>
      </c>
      <c r="AB6426">
        <v>37</v>
      </c>
      <c r="AC6426">
        <v>1.5299999999996299E-2</v>
      </c>
      <c r="AD6426">
        <v>-6.6202000000000094E-2</v>
      </c>
      <c r="AE6426">
        <v>0.468200000000003</v>
      </c>
      <c r="AF6426">
        <v>3.38935397192654E-3</v>
      </c>
      <c r="AG6426">
        <v>-6.6202000000000094E-2</v>
      </c>
      <c r="AH6426">
        <v>0.45926484878736301</v>
      </c>
      <c r="AI6426">
        <v>98.202336976167899</v>
      </c>
      <c r="AJ6426">
        <v>89.577167394904194</v>
      </c>
      <c r="AK6426">
        <v>0.46402413068290599</v>
      </c>
    </row>
    <row r="6427" spans="1:37" x14ac:dyDescent="0.2">
      <c r="A6427" t="str">
        <f>"20200111160028402"</f>
        <v>20200111160028402</v>
      </c>
      <c r="B6427" t="str">
        <f>"1578729628397793"</f>
        <v>1578729628397793</v>
      </c>
      <c r="C6427" t="s">
        <v>37</v>
      </c>
      <c r="D6427">
        <v>5.7988609999999996</v>
      </c>
      <c r="E6427">
        <v>0.51930900000000002</v>
      </c>
      <c r="F6427" t="s">
        <v>39</v>
      </c>
      <c r="G6427">
        <v>-190.0104</v>
      </c>
      <c r="H6427" s="1">
        <v>-6.3297259999999899E-7</v>
      </c>
      <c r="I6427">
        <v>31.0581</v>
      </c>
      <c r="J6427">
        <v>-190.42760000000001</v>
      </c>
      <c r="K6427">
        <v>1.1048929999999999</v>
      </c>
      <c r="L6427">
        <v>16.85971</v>
      </c>
      <c r="M6427">
        <v>2.4442680000000001E-2</v>
      </c>
      <c r="N6427">
        <v>0</v>
      </c>
      <c r="O6427">
        <v>0.99959189999999998</v>
      </c>
      <c r="P6427">
        <v>-1.851771E-2</v>
      </c>
      <c r="Q6427">
        <v>2.8321579999999999E-2</v>
      </c>
      <c r="R6427">
        <v>0.99942730000000002</v>
      </c>
      <c r="S6427">
        <v>8.7982179999999993E-2</v>
      </c>
      <c r="T6427">
        <v>-0.22858039999999999</v>
      </c>
      <c r="U6427">
        <v>3.0094599999999998</v>
      </c>
      <c r="V6427">
        <v>-4.2996949999999999E-2</v>
      </c>
      <c r="W6427">
        <v>4.3031099999999899E-2</v>
      </c>
      <c r="X6427">
        <v>0.99814809999999998</v>
      </c>
      <c r="Y6427">
        <v>4.6952209999999899E-3</v>
      </c>
      <c r="Z6427">
        <v>-7.5685409999999995E-2</v>
      </c>
      <c r="AA6427">
        <v>0.99712069999999997</v>
      </c>
      <c r="AB6427">
        <v>37</v>
      </c>
      <c r="AC6427">
        <v>0.41720000000000801</v>
      </c>
      <c r="AD6427">
        <v>-1.1048936329726</v>
      </c>
      <c r="AE6427">
        <v>14.19839</v>
      </c>
      <c r="AF6427">
        <v>6.9569758808948695E-2</v>
      </c>
      <c r="AG6427">
        <v>-1.1048936329726</v>
      </c>
      <c r="AH6427">
        <v>14.1189197950322</v>
      </c>
      <c r="AI6427">
        <v>94.474578996912498</v>
      </c>
      <c r="AJ6427">
        <v>89.717682275970006</v>
      </c>
      <c r="AK6427">
        <v>14.162257096595701</v>
      </c>
    </row>
    <row r="6428" spans="1:37" x14ac:dyDescent="0.2">
      <c r="A6428" t="str">
        <f>"20200111160028425"</f>
        <v>20200111160028425</v>
      </c>
      <c r="B6428" t="str">
        <f>"1578729628417313"</f>
        <v>1578729628417313</v>
      </c>
      <c r="C6428" t="s">
        <v>37</v>
      </c>
      <c r="D6428">
        <v>5.8291430000000002</v>
      </c>
      <c r="E6428">
        <v>0.51935730000000002</v>
      </c>
      <c r="F6428" t="s">
        <v>39</v>
      </c>
      <c r="G6428">
        <v>-190.0136</v>
      </c>
      <c r="H6428" s="1">
        <v>-8.4497740000000003E-7</v>
      </c>
      <c r="I6428">
        <v>31.550350000000002</v>
      </c>
      <c r="J6428">
        <v>-190.4194</v>
      </c>
      <c r="K6428">
        <v>1.1050389999999899</v>
      </c>
      <c r="L6428">
        <v>17.230439999999899</v>
      </c>
      <c r="M6428">
        <v>2.3458739999999999E-2</v>
      </c>
      <c r="N6428">
        <v>0</v>
      </c>
      <c r="O6428">
        <v>0.99961540000000004</v>
      </c>
      <c r="P6428">
        <v>-2.1131219999999999E-2</v>
      </c>
      <c r="Q6428">
        <v>2.9340479999999999E-2</v>
      </c>
      <c r="R6428">
        <v>0.99934609999999902</v>
      </c>
      <c r="S6428">
        <v>8.4823609999999994E-2</v>
      </c>
      <c r="T6428">
        <v>-0.22636199999999901</v>
      </c>
      <c r="U6428">
        <v>3.0097049999999999</v>
      </c>
      <c r="V6428">
        <v>-4.4641269999999997E-2</v>
      </c>
      <c r="W6428">
        <v>4.403294E-2</v>
      </c>
      <c r="X6428">
        <v>0.99803220000000004</v>
      </c>
      <c r="Y6428">
        <v>4.6331660000000002E-3</v>
      </c>
      <c r="Z6428">
        <v>-7.4952790000000005E-2</v>
      </c>
      <c r="AA6428">
        <v>0.99717630000000002</v>
      </c>
      <c r="AB6428">
        <v>37</v>
      </c>
      <c r="AC6428">
        <v>0.40579999999999899</v>
      </c>
      <c r="AD6428">
        <v>-1.1050398449773999</v>
      </c>
      <c r="AE6428">
        <v>14.31991</v>
      </c>
      <c r="AF6428">
        <v>6.9312093798505905E-2</v>
      </c>
      <c r="AG6428">
        <v>-1.1050398449773999</v>
      </c>
      <c r="AH6428">
        <v>14.2407545961177</v>
      </c>
      <c r="AI6428">
        <v>94.4370368815445</v>
      </c>
      <c r="AJ6428">
        <v>89.7211342237172</v>
      </c>
      <c r="AK6428">
        <v>14.2837323095955</v>
      </c>
    </row>
    <row r="6429" spans="1:37" x14ac:dyDescent="0.2">
      <c r="A6429" t="str">
        <f>"20200111160028448"</f>
        <v>20200111160028448</v>
      </c>
      <c r="B6429" t="str">
        <f>"1578729628437810"</f>
        <v>1578729628437810</v>
      </c>
      <c r="C6429" t="s">
        <v>37</v>
      </c>
      <c r="D6429">
        <v>5.8076730000000003</v>
      </c>
      <c r="E6429">
        <v>0.51946539999999997</v>
      </c>
      <c r="F6429" t="s">
        <v>39</v>
      </c>
      <c r="G6429">
        <v>-190.03809999999999</v>
      </c>
      <c r="H6429" s="1">
        <v>-1.0416919999999999E-6</v>
      </c>
      <c r="I6429">
        <v>31.993659999999998</v>
      </c>
      <c r="J6429">
        <v>-190.41159999999999</v>
      </c>
      <c r="K6429">
        <v>1.105151</v>
      </c>
      <c r="L6429">
        <v>17.60782</v>
      </c>
      <c r="M6429">
        <v>2.2383050000000002E-2</v>
      </c>
      <c r="N6429">
        <v>0</v>
      </c>
      <c r="O6429">
        <v>0.99964010000000003</v>
      </c>
      <c r="P6429">
        <v>-2.4385520000000001E-2</v>
      </c>
      <c r="Q6429">
        <v>2.9959630000000001E-2</v>
      </c>
      <c r="R6429">
        <v>0.99925359999999996</v>
      </c>
      <c r="S6429">
        <v>7.7743530000000005E-2</v>
      </c>
      <c r="T6429">
        <v>-0.22531779999999901</v>
      </c>
      <c r="U6429">
        <v>3.0102229999999999</v>
      </c>
      <c r="V6429">
        <v>-4.6830469999999999E-2</v>
      </c>
      <c r="W6429">
        <v>4.4636490000000001E-2</v>
      </c>
      <c r="X6429">
        <v>0.99790509999999999</v>
      </c>
      <c r="Y6429">
        <v>3.3614259999999998E-3</v>
      </c>
      <c r="Z6429">
        <v>-7.4601470000000003E-2</v>
      </c>
      <c r="AA6429">
        <v>0.99720779999999998</v>
      </c>
      <c r="AB6429">
        <v>37</v>
      </c>
      <c r="AC6429">
        <v>0.37350000000000699</v>
      </c>
      <c r="AD6429">
        <v>-1.105152041692</v>
      </c>
      <c r="AE6429">
        <v>14.3858399999999</v>
      </c>
      <c r="AF6429">
        <v>5.1071018063398498E-2</v>
      </c>
      <c r="AG6429">
        <v>-1.105152041692</v>
      </c>
      <c r="AH6429">
        <v>14.306222608681701</v>
      </c>
      <c r="AI6429">
        <v>94.417283431564698</v>
      </c>
      <c r="AJ6429">
        <v>89.795463733475003</v>
      </c>
      <c r="AK6429">
        <v>14.3489363582566</v>
      </c>
    </row>
    <row r="6430" spans="1:37" x14ac:dyDescent="0.2">
      <c r="A6430" t="str">
        <f>"20200111160028470"</f>
        <v>20200111160028470</v>
      </c>
      <c r="B6430" t="str">
        <f>"1578729628467089"</f>
        <v>1578729628467089</v>
      </c>
      <c r="C6430" t="s">
        <v>37</v>
      </c>
      <c r="D6430">
        <v>5.8436599999999999</v>
      </c>
      <c r="E6430">
        <v>0.51972959999999901</v>
      </c>
      <c r="F6430" t="s">
        <v>38</v>
      </c>
      <c r="G6430">
        <v>-190.38839999999999</v>
      </c>
      <c r="H6430">
        <v>1.0300069999999999</v>
      </c>
      <c r="I6430">
        <v>18.608789999999999</v>
      </c>
      <c r="J6430">
        <v>-190.40459999999999</v>
      </c>
      <c r="K6430">
        <v>1.105221</v>
      </c>
      <c r="L6430">
        <v>17.964690000000001</v>
      </c>
      <c r="M6430">
        <v>2.1332360000000002E-2</v>
      </c>
      <c r="N6430">
        <v>0</v>
      </c>
      <c r="O6430">
        <v>0.99966309999999903</v>
      </c>
      <c r="P6430">
        <v>-2.7269669999999999E-2</v>
      </c>
      <c r="Q6430">
        <v>3.0442179999999999E-2</v>
      </c>
      <c r="R6430">
        <v>0.99916450000000001</v>
      </c>
      <c r="S6430">
        <v>6.9000240000000004E-2</v>
      </c>
      <c r="T6430">
        <v>-0.22605619999999901</v>
      </c>
      <c r="U6430">
        <v>3.0107119999999998</v>
      </c>
      <c r="V6430">
        <v>-4.8670850000000002E-2</v>
      </c>
      <c r="W6430">
        <v>4.5106189999999997E-2</v>
      </c>
      <c r="X6430">
        <v>0.99779589999999996</v>
      </c>
      <c r="Y6430">
        <v>1.513665E-3</v>
      </c>
      <c r="Z6430">
        <v>-7.4837909999999994E-2</v>
      </c>
      <c r="AA6430">
        <v>0.99719460000000004</v>
      </c>
      <c r="AB6430">
        <v>37</v>
      </c>
      <c r="AC6430">
        <v>1.6199999999997699E-2</v>
      </c>
      <c r="AD6430">
        <v>-7.52140000000001E-2</v>
      </c>
      <c r="AE6430">
        <v>0.64409999999999801</v>
      </c>
      <c r="AF6430">
        <v>2.4216366229076101E-3</v>
      </c>
      <c r="AG6430">
        <v>-7.52140000000001E-2</v>
      </c>
      <c r="AH6430">
        <v>0.63563687780135902</v>
      </c>
      <c r="AI6430">
        <v>96.748299625875603</v>
      </c>
      <c r="AJ6430">
        <v>89.7817167449397</v>
      </c>
      <c r="AK6430">
        <v>0.64007597247591896</v>
      </c>
    </row>
    <row r="6431" spans="1:37" x14ac:dyDescent="0.2">
      <c r="A6431" t="str">
        <f>"20200111160028494"</f>
        <v>20200111160028494</v>
      </c>
      <c r="B6431" t="str">
        <f>"1578729628487586"</f>
        <v>1578729628487586</v>
      </c>
      <c r="C6431" t="s">
        <v>37</v>
      </c>
      <c r="D6431">
        <v>5.8254799999999998</v>
      </c>
      <c r="E6431">
        <v>0.51997640000000001</v>
      </c>
      <c r="F6431" t="s">
        <v>38</v>
      </c>
      <c r="G6431">
        <v>-190.3844</v>
      </c>
      <c r="H6431">
        <v>1.032179</v>
      </c>
      <c r="I6431">
        <v>18.93629</v>
      </c>
      <c r="J6431">
        <v>-190.3974</v>
      </c>
      <c r="K6431">
        <v>1.105267</v>
      </c>
      <c r="L6431">
        <v>18.355989999999998</v>
      </c>
      <c r="M6431">
        <v>2.017072E-2</v>
      </c>
      <c r="N6431">
        <v>0</v>
      </c>
      <c r="O6431">
        <v>0.999687199999999</v>
      </c>
      <c r="P6431">
        <v>-2.9701519999999999E-2</v>
      </c>
      <c r="Q6431">
        <v>2.978569E-2</v>
      </c>
      <c r="R6431">
        <v>0.99911489999999903</v>
      </c>
      <c r="S6431">
        <v>6.2255860000000003E-2</v>
      </c>
      <c r="T6431">
        <v>-0.2263867</v>
      </c>
      <c r="U6431">
        <v>3.0111080000000001</v>
      </c>
      <c r="V6431">
        <v>-4.9944559999999999E-2</v>
      </c>
      <c r="W6431">
        <v>4.4439760000000002E-2</v>
      </c>
      <c r="X6431">
        <v>0.99776279999999995</v>
      </c>
      <c r="Y6431">
        <v>4.4001209999999899E-4</v>
      </c>
      <c r="Z6431">
        <v>-7.4941430000000003E-2</v>
      </c>
      <c r="AA6431">
        <v>0.99718790000000002</v>
      </c>
      <c r="AB6431">
        <v>37</v>
      </c>
      <c r="AC6431">
        <v>1.30000000000052E-2</v>
      </c>
      <c r="AD6431">
        <v>-7.3087999999999806E-2</v>
      </c>
      <c r="AE6431">
        <v>0.58030000000000104</v>
      </c>
      <c r="AF6431">
        <v>1.2708563664325201E-3</v>
      </c>
      <c r="AG6431">
        <v>-7.3087999999999806E-2</v>
      </c>
      <c r="AH6431">
        <v>0.57138479461245595</v>
      </c>
      <c r="AI6431">
        <v>97.289319104500706</v>
      </c>
      <c r="AJ6431">
        <v>89.872564711589902</v>
      </c>
      <c r="AK6431">
        <v>0.57604171232144497</v>
      </c>
    </row>
    <row r="6432" spans="1:37" x14ac:dyDescent="0.2">
      <c r="A6432" t="str">
        <f>"20200111160028514"</f>
        <v>20200111160028514</v>
      </c>
      <c r="B6432" t="str">
        <f>"1578729628507105"</f>
        <v>1578729628507105</v>
      </c>
      <c r="C6432" t="s">
        <v>37</v>
      </c>
      <c r="D6432">
        <v>5.8298160000000001</v>
      </c>
      <c r="E6432">
        <v>0.52040900000000001</v>
      </c>
      <c r="F6432" t="s">
        <v>38</v>
      </c>
      <c r="G6432">
        <v>-190.3802</v>
      </c>
      <c r="H6432">
        <v>1.035266</v>
      </c>
      <c r="I6432">
        <v>19.264530000000001</v>
      </c>
      <c r="J6432">
        <v>-190.3914</v>
      </c>
      <c r="K6432">
        <v>1.1052930000000001</v>
      </c>
      <c r="L6432">
        <v>18.697600000000001</v>
      </c>
      <c r="M6432">
        <v>1.9172999999999999E-2</v>
      </c>
      <c r="N6432">
        <v>0</v>
      </c>
      <c r="O6432">
        <v>0.99970680000000001</v>
      </c>
      <c r="P6432">
        <v>-3.09012E-2</v>
      </c>
      <c r="Q6432">
        <v>2.891005E-2</v>
      </c>
      <c r="R6432">
        <v>0.99910429999999995</v>
      </c>
      <c r="S6432">
        <v>5.6121829999999998E-2</v>
      </c>
      <c r="T6432">
        <v>-0.23205129999999999</v>
      </c>
      <c r="U6432">
        <v>3.0112299999999999</v>
      </c>
      <c r="V6432">
        <v>-5.0148230000000002E-2</v>
      </c>
      <c r="W6432">
        <v>4.3560370000000001E-2</v>
      </c>
      <c r="X6432">
        <v>0.99779139999999999</v>
      </c>
      <c r="Y6432">
        <v>-5.9598279999999995E-4</v>
      </c>
      <c r="Z6432">
        <v>-7.6806369999999999E-2</v>
      </c>
      <c r="AA6432">
        <v>0.99704590000000004</v>
      </c>
      <c r="AB6432">
        <v>36</v>
      </c>
      <c r="AC6432">
        <v>1.12000000000023E-2</v>
      </c>
      <c r="AD6432">
        <v>-7.0027000000000006E-2</v>
      </c>
      <c r="AE6432">
        <v>0.56692999999999905</v>
      </c>
      <c r="AF6432">
        <v>3.2209077543555998E-4</v>
      </c>
      <c r="AG6432">
        <v>-7.0027000000000006E-2</v>
      </c>
      <c r="AH6432">
        <v>0.55852241461159502</v>
      </c>
      <c r="AI6432">
        <v>97.146397032512994</v>
      </c>
      <c r="AJ6432">
        <v>89.966958461247003</v>
      </c>
      <c r="AK6432">
        <v>0.56289534737376701</v>
      </c>
    </row>
    <row r="6433" spans="1:37" x14ac:dyDescent="0.2">
      <c r="A6433" t="str">
        <f>"20200111160028537"</f>
        <v>20200111160028537</v>
      </c>
      <c r="B6433" t="str">
        <f>"1578729628527601"</f>
        <v>1578729628527601</v>
      </c>
      <c r="C6433" t="s">
        <v>37</v>
      </c>
      <c r="D6433">
        <v>5.8251689999999998</v>
      </c>
      <c r="E6433">
        <v>0.52063619999999999</v>
      </c>
      <c r="F6433" t="s">
        <v>38</v>
      </c>
      <c r="G6433">
        <v>-190.37469999999999</v>
      </c>
      <c r="H6433">
        <v>1.035677</v>
      </c>
      <c r="I6433">
        <v>19.589790000000001</v>
      </c>
      <c r="J6433">
        <v>-190.38550000000001</v>
      </c>
      <c r="K6433">
        <v>1.105299</v>
      </c>
      <c r="L6433">
        <v>19.058499999999999</v>
      </c>
      <c r="M6433">
        <v>1.8152999999999999E-2</v>
      </c>
      <c r="N6433">
        <v>0</v>
      </c>
      <c r="O6433">
        <v>0.99972589999999995</v>
      </c>
      <c r="P6433">
        <v>-3.2162610000000001E-2</v>
      </c>
      <c r="Q6433">
        <v>2.8536880000000001E-2</v>
      </c>
      <c r="R6433">
        <v>0.99907520000000005</v>
      </c>
      <c r="S6433">
        <v>5.5892940000000002E-2</v>
      </c>
      <c r="T6433">
        <v>-0.23499429999999999</v>
      </c>
      <c r="U6433">
        <v>3.0112299999999999</v>
      </c>
      <c r="V6433">
        <v>-5.0390270000000001E-2</v>
      </c>
      <c r="W6433">
        <v>4.3184019999999997E-2</v>
      </c>
      <c r="X6433">
        <v>0.99779549999999995</v>
      </c>
      <c r="Y6433">
        <v>3.471635E-4</v>
      </c>
      <c r="Z6433">
        <v>-7.7776890000000001E-2</v>
      </c>
      <c r="AA6433">
        <v>0.99697069999999999</v>
      </c>
      <c r="AB6433">
        <v>36</v>
      </c>
      <c r="AC6433">
        <v>1.08000000000174E-2</v>
      </c>
      <c r="AD6433">
        <v>-6.9622000000000003E-2</v>
      </c>
      <c r="AE6433">
        <v>0.53129000000000204</v>
      </c>
      <c r="AF6433">
        <v>1.1332065580903999E-3</v>
      </c>
      <c r="AG6433">
        <v>-6.9622000000000003E-2</v>
      </c>
      <c r="AH6433">
        <v>0.52243084985724997</v>
      </c>
      <c r="AI6433">
        <v>97.5908061018675</v>
      </c>
      <c r="AJ6433">
        <v>89.875719721979905</v>
      </c>
      <c r="AK6433">
        <v>0.52705075649663102</v>
      </c>
    </row>
    <row r="6434" spans="1:37" x14ac:dyDescent="0.2">
      <c r="A6434" t="str">
        <f>"20200111160028559"</f>
        <v>20200111160028559</v>
      </c>
      <c r="B6434" t="str">
        <f>"1578729628557858"</f>
        <v>1578729628557858</v>
      </c>
      <c r="C6434" t="s">
        <v>37</v>
      </c>
      <c r="D6434">
        <v>5.8555419999999998</v>
      </c>
      <c r="E6434">
        <v>0.52122990000000002</v>
      </c>
      <c r="F6434" t="s">
        <v>38</v>
      </c>
      <c r="G6434">
        <v>-190.3698</v>
      </c>
      <c r="H6434">
        <v>1.037609</v>
      </c>
      <c r="I6434">
        <v>19.9161</v>
      </c>
      <c r="J6434">
        <v>-190.37979999999999</v>
      </c>
      <c r="K6434">
        <v>1.1052930000000001</v>
      </c>
      <c r="L6434">
        <v>19.423459999999999</v>
      </c>
      <c r="M6434">
        <v>1.71655E-2</v>
      </c>
      <c r="N6434">
        <v>0</v>
      </c>
      <c r="O6434">
        <v>0.9997433</v>
      </c>
      <c r="P6434">
        <v>-3.2703179999999998E-2</v>
      </c>
      <c r="Q6434">
        <v>2.789989E-2</v>
      </c>
      <c r="R6434">
        <v>0.99907570000000001</v>
      </c>
      <c r="S6434">
        <v>5.3970339999999999E-2</v>
      </c>
      <c r="T6434">
        <v>-0.23772929999999901</v>
      </c>
      <c r="U6434">
        <v>3.0112919999999899</v>
      </c>
      <c r="V6434">
        <v>-4.994345E-2</v>
      </c>
      <c r="W6434">
        <v>4.2547080000000001E-2</v>
      </c>
      <c r="X6434">
        <v>0.99784539999999999</v>
      </c>
      <c r="Y6434">
        <v>6.9696020000000001E-4</v>
      </c>
      <c r="Z6434">
        <v>-7.8677440000000001E-2</v>
      </c>
      <c r="AA6434">
        <v>0.99689989999999995</v>
      </c>
      <c r="AB6434">
        <v>36</v>
      </c>
      <c r="AC6434">
        <v>9.9999999999908998E-3</v>
      </c>
      <c r="AD6434">
        <v>-6.7683999999999994E-2</v>
      </c>
      <c r="AE6434">
        <v>0.49263999999999702</v>
      </c>
      <c r="AF6434">
        <v>1.5126484320455E-3</v>
      </c>
      <c r="AG6434">
        <v>-6.7683999999999994E-2</v>
      </c>
      <c r="AH6434">
        <v>0.48361407663058098</v>
      </c>
      <c r="AI6434">
        <v>97.967018981097894</v>
      </c>
      <c r="AJ6434">
        <v>89.820790806960602</v>
      </c>
      <c r="AK6434">
        <v>0.48832979335335303</v>
      </c>
    </row>
    <row r="6435" spans="1:37" x14ac:dyDescent="0.2">
      <c r="A6435" t="str">
        <f>"20200111160028580"</f>
        <v>20200111160028580</v>
      </c>
      <c r="B6435" t="str">
        <f>"1578729628577377"</f>
        <v>1578729628577377</v>
      </c>
      <c r="C6435" t="s">
        <v>37</v>
      </c>
      <c r="D6435">
        <v>5.682118</v>
      </c>
      <c r="E6435">
        <v>0.52145870000000005</v>
      </c>
      <c r="F6435" t="s">
        <v>38</v>
      </c>
      <c r="G6435">
        <v>-190.36420000000001</v>
      </c>
      <c r="H6435">
        <v>1.040038</v>
      </c>
      <c r="I6435">
        <v>20.242360000000001</v>
      </c>
      <c r="J6435">
        <v>-190.37479999999999</v>
      </c>
      <c r="K6435">
        <v>1.105278</v>
      </c>
      <c r="L6435">
        <v>19.761659999999999</v>
      </c>
      <c r="M6435">
        <v>1.629015E-2</v>
      </c>
      <c r="N6435">
        <v>0</v>
      </c>
      <c r="O6435">
        <v>0.99975809999999998</v>
      </c>
      <c r="P6435">
        <v>-3.3469640000000002E-2</v>
      </c>
      <c r="Q6435">
        <v>2.7468280000000001E-2</v>
      </c>
      <c r="R6435">
        <v>0.99906219999999901</v>
      </c>
      <c r="S6435">
        <v>5.7357789999999999E-2</v>
      </c>
      <c r="T6435">
        <v>-0.23997080000000001</v>
      </c>
      <c r="U6435">
        <v>3.01135299999999</v>
      </c>
      <c r="V6435">
        <v>-4.9833019999999999E-2</v>
      </c>
      <c r="W6435">
        <v>4.2115449999999999E-2</v>
      </c>
      <c r="X6435">
        <v>0.99786919999999901</v>
      </c>
      <c r="Y6435">
        <v>2.6920729999999901E-3</v>
      </c>
      <c r="Z6435">
        <v>-7.9413830000000005E-2</v>
      </c>
      <c r="AA6435">
        <v>0.99683809999999995</v>
      </c>
      <c r="AB6435">
        <v>36</v>
      </c>
      <c r="AC6435">
        <v>1.05999999999824E-2</v>
      </c>
      <c r="AD6435">
        <v>-6.5239999999999895E-2</v>
      </c>
      <c r="AE6435">
        <v>0.48070000000000201</v>
      </c>
      <c r="AF6435">
        <v>2.7170404830067899E-3</v>
      </c>
      <c r="AG6435">
        <v>-6.5239999999999895E-2</v>
      </c>
      <c r="AH6435">
        <v>0.47211692710204201</v>
      </c>
      <c r="AI6435">
        <v>97.867525855499807</v>
      </c>
      <c r="AJ6435">
        <v>89.670265510771102</v>
      </c>
      <c r="AK6435">
        <v>0.47661098682810599</v>
      </c>
    </row>
    <row r="6436" spans="1:37" x14ac:dyDescent="0.2">
      <c r="A6436" t="str">
        <f>"20200111160028602"</f>
        <v>20200111160028602</v>
      </c>
      <c r="B6436" t="str">
        <f>"1578729628597873"</f>
        <v>1578729628597873</v>
      </c>
      <c r="C6436" t="s">
        <v>37</v>
      </c>
      <c r="D6436">
        <v>5.8820009999999998</v>
      </c>
      <c r="E6436">
        <v>0.52173899999999995</v>
      </c>
      <c r="F6436" t="s">
        <v>38</v>
      </c>
      <c r="G6436">
        <v>-190.35939999999999</v>
      </c>
      <c r="H6436">
        <v>1.040918</v>
      </c>
      <c r="I6436">
        <v>20.566999999999901</v>
      </c>
      <c r="J6436">
        <v>-190.3699</v>
      </c>
      <c r="K6436">
        <v>1.1052629999999899</v>
      </c>
      <c r="L6436">
        <v>20.118259999999999</v>
      </c>
      <c r="M6436">
        <v>1.540475E-2</v>
      </c>
      <c r="N6436">
        <v>0</v>
      </c>
      <c r="O6436">
        <v>0.99977209999999905</v>
      </c>
      <c r="P6436">
        <v>-3.4575920000000003E-2</v>
      </c>
      <c r="Q6436">
        <v>2.7370329999999998E-2</v>
      </c>
      <c r="R6436">
        <v>0.999027199999999</v>
      </c>
      <c r="S6436">
        <v>5.7052609999999997E-2</v>
      </c>
      <c r="T6436">
        <v>-0.2406896</v>
      </c>
      <c r="U6436">
        <v>3.01135299999999</v>
      </c>
      <c r="V6436">
        <v>-5.0052099999999898E-2</v>
      </c>
      <c r="W6436">
        <v>4.201684E-2</v>
      </c>
      <c r="X6436">
        <v>0.99786239999999904</v>
      </c>
      <c r="Y6436">
        <v>3.4763379999999998E-3</v>
      </c>
      <c r="Z6436">
        <v>-7.9651810000000003E-2</v>
      </c>
      <c r="AA6436">
        <v>0.9968167</v>
      </c>
      <c r="AB6436">
        <v>36</v>
      </c>
      <c r="AC6436">
        <v>1.05000000000075E-2</v>
      </c>
      <c r="AD6436">
        <v>-6.4344999999999805E-2</v>
      </c>
      <c r="AE6436">
        <v>0.44873999999999697</v>
      </c>
      <c r="AF6436">
        <v>3.5130789490875301E-3</v>
      </c>
      <c r="AG6436">
        <v>-6.4344999999999805E-2</v>
      </c>
      <c r="AH6436">
        <v>0.43981059817513202</v>
      </c>
      <c r="AI6436">
        <v>98.3231531399571</v>
      </c>
      <c r="AJ6436">
        <v>89.542347735613006</v>
      </c>
      <c r="AK6436">
        <v>0.44450644878996998</v>
      </c>
    </row>
    <row r="6437" spans="1:37" x14ac:dyDescent="0.2">
      <c r="A6437" t="str">
        <f>"20200111160028627"</f>
        <v>20200111160028627</v>
      </c>
      <c r="B6437" t="str">
        <f>"1578729628617394"</f>
        <v>1578729628617394</v>
      </c>
      <c r="C6437" t="s">
        <v>37</v>
      </c>
      <c r="D6437">
        <v>5.8273890000000002</v>
      </c>
      <c r="E6437">
        <v>0.52188129999999999</v>
      </c>
      <c r="F6437" t="s">
        <v>39</v>
      </c>
      <c r="G6437">
        <v>-190.11340000000001</v>
      </c>
      <c r="H6437" s="1">
        <v>-1.8848200000000001E-6</v>
      </c>
      <c r="I6437">
        <v>33.912309999999998</v>
      </c>
      <c r="J6437">
        <v>-190.3648</v>
      </c>
      <c r="K6437">
        <v>1.1052379999999999</v>
      </c>
      <c r="L6437">
        <v>20.51031</v>
      </c>
      <c r="M6437">
        <v>1.4471660000000001E-2</v>
      </c>
      <c r="N6437">
        <v>0</v>
      </c>
      <c r="O6437">
        <v>0.99978609999999901</v>
      </c>
      <c r="P6437">
        <v>-3.6189119999999998E-2</v>
      </c>
      <c r="Q6437">
        <v>2.6742309999999998E-2</v>
      </c>
      <c r="R6437">
        <v>0.99898709999999902</v>
      </c>
      <c r="S6437">
        <v>5.59845E-2</v>
      </c>
      <c r="T6437">
        <v>-0.24129789999999901</v>
      </c>
      <c r="U6437">
        <v>3.0114749999999999</v>
      </c>
      <c r="V6437">
        <v>-5.0729080000000003E-2</v>
      </c>
      <c r="W6437">
        <v>4.1387E-2</v>
      </c>
      <c r="X6437">
        <v>0.99785449999999998</v>
      </c>
      <c r="Y6437">
        <v>4.055136E-3</v>
      </c>
      <c r="Z6437">
        <v>-7.9850480000000001E-2</v>
      </c>
      <c r="AA6437">
        <v>0.99679859999999898</v>
      </c>
      <c r="AB6437">
        <v>36</v>
      </c>
      <c r="AC6437">
        <v>0.25139999999998902</v>
      </c>
      <c r="AD6437">
        <v>-1.10523988482</v>
      </c>
      <c r="AE6437">
        <v>13.4019999999999</v>
      </c>
      <c r="AF6437">
        <v>5.7015676661246802E-2</v>
      </c>
      <c r="AG6437">
        <v>-1.10523988482</v>
      </c>
      <c r="AH6437">
        <v>13.3137198224125</v>
      </c>
      <c r="AI6437">
        <v>94.745490656663307</v>
      </c>
      <c r="AJ6437">
        <v>89.754633737811204</v>
      </c>
      <c r="AK6437">
        <v>13.359638524304501</v>
      </c>
    </row>
    <row r="6438" spans="1:37" x14ac:dyDescent="0.2">
      <c r="A6438" t="str">
        <f>"20200111160028648"</f>
        <v>20200111160028648</v>
      </c>
      <c r="B6438" t="str">
        <f>"1578729628637888"</f>
        <v>1578729628637888</v>
      </c>
      <c r="C6438" t="s">
        <v>37</v>
      </c>
      <c r="D6438">
        <v>5.7020220000000004</v>
      </c>
      <c r="E6438">
        <v>0.52195100000000005</v>
      </c>
      <c r="F6438" t="s">
        <v>38</v>
      </c>
      <c r="G6438">
        <v>-190.34700000000001</v>
      </c>
      <c r="H6438">
        <v>1.0230600000000001</v>
      </c>
      <c r="I6438">
        <v>21.52439</v>
      </c>
      <c r="J6438">
        <v>-190.3604</v>
      </c>
      <c r="K6438">
        <v>1.1052090000000001</v>
      </c>
      <c r="L6438">
        <v>20.867709999999999</v>
      </c>
      <c r="M6438">
        <v>1.3649720000000001E-2</v>
      </c>
      <c r="N6438">
        <v>0</v>
      </c>
      <c r="O6438">
        <v>0.99979769999999901</v>
      </c>
      <c r="P6438">
        <v>-3.7712170000000003E-2</v>
      </c>
      <c r="Q6438">
        <v>2.5388580000000001E-2</v>
      </c>
      <c r="R6438">
        <v>0.99896609999999997</v>
      </c>
      <c r="S6438">
        <v>5.2551269999999997E-2</v>
      </c>
      <c r="T6438">
        <v>-0.244052399999999</v>
      </c>
      <c r="U6438">
        <v>3.0114749999999999</v>
      </c>
      <c r="V6438">
        <v>-5.142613E-2</v>
      </c>
      <c r="W6438">
        <v>4.0031530000000003E-2</v>
      </c>
      <c r="X6438">
        <v>0.99787409999999999</v>
      </c>
      <c r="Y6438">
        <v>3.7399320000000001E-3</v>
      </c>
      <c r="Z6438">
        <v>-8.0758360000000001E-2</v>
      </c>
      <c r="AA6438">
        <v>0.99672669999999997</v>
      </c>
      <c r="AB6438">
        <v>36</v>
      </c>
      <c r="AC6438">
        <v>1.339999999999E-2</v>
      </c>
      <c r="AD6438">
        <v>-8.2149E-2</v>
      </c>
      <c r="AE6438">
        <v>0.65668000000000104</v>
      </c>
      <c r="AF6438">
        <v>4.3659785588147197E-3</v>
      </c>
      <c r="AG6438">
        <v>-8.2149E-2</v>
      </c>
      <c r="AH6438">
        <v>0.64668572059353202</v>
      </c>
      <c r="AI6438">
        <v>97.239390119827902</v>
      </c>
      <c r="AJ6438">
        <v>89.613184060916495</v>
      </c>
      <c r="AK6438">
        <v>0.65189718605724301</v>
      </c>
    </row>
    <row r="6439" spans="1:37" x14ac:dyDescent="0.2">
      <c r="A6439" t="str">
        <f>"20200111160028672"</f>
        <v>20200111160028672</v>
      </c>
      <c r="B6439" t="str">
        <f>"1578729628667169"</f>
        <v>1578729628667169</v>
      </c>
      <c r="C6439" t="s">
        <v>37</v>
      </c>
      <c r="D6439">
        <v>5.8258349999999997</v>
      </c>
      <c r="E6439">
        <v>0.52238229999999997</v>
      </c>
      <c r="F6439" t="s">
        <v>38</v>
      </c>
      <c r="G6439">
        <v>-190.34440000000001</v>
      </c>
      <c r="H6439">
        <v>1.0242530000000001</v>
      </c>
      <c r="I6439">
        <v>21.847570000000001</v>
      </c>
      <c r="J6439">
        <v>-190.3563</v>
      </c>
      <c r="K6439">
        <v>1.1051959999999901</v>
      </c>
      <c r="L6439">
        <v>21.236450000000001</v>
      </c>
      <c r="M6439">
        <v>1.282003E-2</v>
      </c>
      <c r="N6439">
        <v>0</v>
      </c>
      <c r="O6439">
        <v>0.99980869999999999</v>
      </c>
      <c r="P6439">
        <v>-3.906548E-2</v>
      </c>
      <c r="Q6439">
        <v>2.4555960000000002E-2</v>
      </c>
      <c r="R6439">
        <v>0.99893489999999996</v>
      </c>
      <c r="S6439">
        <v>4.8690799999999999E-2</v>
      </c>
      <c r="T6439">
        <v>-0.2488281</v>
      </c>
      <c r="U6439">
        <v>3.0112610000000002</v>
      </c>
      <c r="V6439">
        <v>-5.1947439999999998E-2</v>
      </c>
      <c r="W6439">
        <v>3.9196769999999999E-2</v>
      </c>
      <c r="X6439">
        <v>0.99788029999999905</v>
      </c>
      <c r="Y6439">
        <v>3.2914720000000001E-3</v>
      </c>
      <c r="Z6439">
        <v>-8.2336179999999995E-2</v>
      </c>
      <c r="AA6439">
        <v>0.99659920000000002</v>
      </c>
      <c r="AB6439">
        <v>36</v>
      </c>
      <c r="AC6439">
        <v>1.18999999999971E-2</v>
      </c>
      <c r="AD6439">
        <v>-8.0942999999999696E-2</v>
      </c>
      <c r="AE6439">
        <v>0.611119999999999</v>
      </c>
      <c r="AF6439">
        <v>3.99355747498113E-3</v>
      </c>
      <c r="AG6439">
        <v>-8.0942999999999696E-2</v>
      </c>
      <c r="AH6439">
        <v>0.60068841740976597</v>
      </c>
      <c r="AI6439">
        <v>97.674234249235795</v>
      </c>
      <c r="AJ6439">
        <v>89.619086017257203</v>
      </c>
      <c r="AK6439">
        <v>0.60613059035207495</v>
      </c>
    </row>
    <row r="6440" spans="1:37" x14ac:dyDescent="0.2">
      <c r="A6440" t="str">
        <f>"20200111160028693"</f>
        <v>20200111160028693</v>
      </c>
      <c r="B6440" t="str">
        <f>"1578729628687666"</f>
        <v>1578729628687666</v>
      </c>
      <c r="C6440" t="s">
        <v>37</v>
      </c>
      <c r="D6440">
        <v>5.8308540000000004</v>
      </c>
      <c r="E6440">
        <v>0.52256369999999996</v>
      </c>
      <c r="F6440" t="s">
        <v>38</v>
      </c>
      <c r="G6440">
        <v>-190.34119999999999</v>
      </c>
      <c r="H6440">
        <v>1.0270709999999901</v>
      </c>
      <c r="I6440">
        <v>22.17117</v>
      </c>
      <c r="J6440">
        <v>-190.35249999999999</v>
      </c>
      <c r="K6440">
        <v>1.1051839999999999</v>
      </c>
      <c r="L6440">
        <v>21.590389999999999</v>
      </c>
      <c r="M6440">
        <v>1.20343E-2</v>
      </c>
      <c r="N6440">
        <v>0</v>
      </c>
      <c r="O6440">
        <v>0.9998186</v>
      </c>
      <c r="P6440">
        <v>-3.9967820000000001E-2</v>
      </c>
      <c r="Q6440">
        <v>2.4172309999999999E-2</v>
      </c>
      <c r="R6440">
        <v>0.99890849999999898</v>
      </c>
      <c r="S6440">
        <v>4.8339840000000002E-2</v>
      </c>
      <c r="T6440">
        <v>-0.25168629999999997</v>
      </c>
      <c r="U6440">
        <v>3.0112919999999899</v>
      </c>
      <c r="V6440">
        <v>-5.2062900000000002E-2</v>
      </c>
      <c r="W6440">
        <v>3.88113E-2</v>
      </c>
      <c r="X6440">
        <v>0.99788929999999998</v>
      </c>
      <c r="Y6440">
        <v>3.95981299999999E-3</v>
      </c>
      <c r="Z6440">
        <v>-8.3275740000000001E-2</v>
      </c>
      <c r="AA6440">
        <v>0.99651869999999998</v>
      </c>
      <c r="AB6440">
        <v>36</v>
      </c>
      <c r="AC6440">
        <v>1.1300000000005601E-2</v>
      </c>
      <c r="AD6440">
        <v>-7.8113000000000099E-2</v>
      </c>
      <c r="AE6440">
        <v>0.58077999999999996</v>
      </c>
      <c r="AF6440">
        <v>4.2326028975487404E-3</v>
      </c>
      <c r="AG6440">
        <v>-7.8113000000000099E-2</v>
      </c>
      <c r="AH6440">
        <v>0.57055683083334996</v>
      </c>
      <c r="AI6440">
        <v>97.795493949147996</v>
      </c>
      <c r="AJ6440">
        <v>89.574966382317001</v>
      </c>
      <c r="AK6440">
        <v>0.57589465434824505</v>
      </c>
    </row>
    <row r="6441" spans="1:37" x14ac:dyDescent="0.2">
      <c r="A6441" t="str">
        <f>"20200111160028714"</f>
        <v>20200111160028714</v>
      </c>
      <c r="B6441" t="str">
        <f>"1578729628707185"</f>
        <v>1578729628707185</v>
      </c>
      <c r="C6441" t="s">
        <v>37</v>
      </c>
      <c r="D6441">
        <v>5.822616</v>
      </c>
      <c r="E6441">
        <v>0.52276270000000002</v>
      </c>
      <c r="F6441" t="s">
        <v>38</v>
      </c>
      <c r="G6441">
        <v>-190.3382</v>
      </c>
      <c r="H6441">
        <v>1.02901</v>
      </c>
      <c r="I6441">
        <v>22.493960000000001</v>
      </c>
      <c r="J6441">
        <v>-190.3493</v>
      </c>
      <c r="K6441">
        <v>1.1051709999999999</v>
      </c>
      <c r="L6441">
        <v>21.923860000000001</v>
      </c>
      <c r="M6441">
        <v>1.1298839999999999E-2</v>
      </c>
      <c r="N6441">
        <v>0</v>
      </c>
      <c r="O6441">
        <v>0.99982709999999997</v>
      </c>
      <c r="P6441">
        <v>-4.069213E-2</v>
      </c>
      <c r="Q6441">
        <v>2.3700760000000001E-2</v>
      </c>
      <c r="R6441">
        <v>0.99889059999999896</v>
      </c>
      <c r="S6441">
        <v>4.7454830000000003E-2</v>
      </c>
      <c r="T6441">
        <v>-0.25388460000000002</v>
      </c>
      <c r="U6441">
        <v>3.0113219999999998</v>
      </c>
      <c r="V6441">
        <v>-5.2051E-2</v>
      </c>
      <c r="W6441">
        <v>3.8338619999999997E-2</v>
      </c>
      <c r="X6441">
        <v>0.99790820000000002</v>
      </c>
      <c r="Y6441">
        <v>4.4014779999999899E-3</v>
      </c>
      <c r="Z6441">
        <v>-8.3998340000000005E-2</v>
      </c>
      <c r="AA6441">
        <v>0.99645609999999996</v>
      </c>
      <c r="AB6441">
        <v>36</v>
      </c>
      <c r="AC6441">
        <v>1.1099999999999E-2</v>
      </c>
      <c r="AD6441">
        <v>-7.6160999999999895E-2</v>
      </c>
      <c r="AE6441">
        <v>0.57010000000000005</v>
      </c>
      <c r="AF6441">
        <v>4.5754925380267096E-3</v>
      </c>
      <c r="AG6441">
        <v>-7.6160999999999895E-2</v>
      </c>
      <c r="AH6441">
        <v>0.56019506517477702</v>
      </c>
      <c r="AI6441">
        <v>97.741891801500898</v>
      </c>
      <c r="AJ6441">
        <v>89.532036966077001</v>
      </c>
      <c r="AK6441">
        <v>0.56536708791645995</v>
      </c>
    </row>
    <row r="6442" spans="1:37" x14ac:dyDescent="0.2">
      <c r="A6442" t="str">
        <f>"20200111160028739"</f>
        <v>20200111160028739</v>
      </c>
      <c r="B6442" t="str">
        <f>"1578729628727681"</f>
        <v>1578729628727681</v>
      </c>
      <c r="C6442" t="s">
        <v>37</v>
      </c>
      <c r="D6442">
        <v>5.8392819999999999</v>
      </c>
      <c r="E6442">
        <v>0.5229705</v>
      </c>
      <c r="F6442" t="s">
        <v>38</v>
      </c>
      <c r="G6442">
        <v>-190.33529999999999</v>
      </c>
      <c r="H6442">
        <v>1.0294129999999999</v>
      </c>
      <c r="I6442">
        <v>22.815629999999999</v>
      </c>
      <c r="J6442">
        <v>-190.34569999999999</v>
      </c>
      <c r="K6442">
        <v>1.105167</v>
      </c>
      <c r="L6442">
        <v>22.32037</v>
      </c>
      <c r="M6442">
        <v>1.0426110000000001E-2</v>
      </c>
      <c r="N6442">
        <v>0</v>
      </c>
      <c r="O6442">
        <v>0.99983670000000002</v>
      </c>
      <c r="P6442">
        <v>-4.1513620000000001E-2</v>
      </c>
      <c r="Q6442">
        <v>2.3414850000000001E-2</v>
      </c>
      <c r="R6442">
        <v>0.99886350000000002</v>
      </c>
      <c r="S6442">
        <v>4.6875E-2</v>
      </c>
      <c r="T6442">
        <v>-0.25582709999999997</v>
      </c>
      <c r="U6442">
        <v>3.0113219999999998</v>
      </c>
      <c r="V6442">
        <v>-5.1999240000000002E-2</v>
      </c>
      <c r="W6442">
        <v>3.804987E-2</v>
      </c>
      <c r="X6442">
        <v>0.99792199999999998</v>
      </c>
      <c r="Y6442">
        <v>5.0816890000000003E-3</v>
      </c>
      <c r="Z6442">
        <v>-8.4637619999999997E-2</v>
      </c>
      <c r="AA6442">
        <v>0.99639889999999998</v>
      </c>
      <c r="AB6442">
        <v>36</v>
      </c>
      <c r="AC6442">
        <v>1.04000000000041E-2</v>
      </c>
      <c r="AD6442">
        <v>-7.5754000000000099E-2</v>
      </c>
      <c r="AE6442">
        <v>0.49525999999999798</v>
      </c>
      <c r="AF6442">
        <v>5.1156040213017001E-3</v>
      </c>
      <c r="AG6442">
        <v>-7.5754000000000099E-2</v>
      </c>
      <c r="AH6442">
        <v>0.48402224657828602</v>
      </c>
      <c r="AI6442">
        <v>98.894674444935703</v>
      </c>
      <c r="AJ6442">
        <v>89.394466660471807</v>
      </c>
      <c r="AK6442">
        <v>0.48994119351529702</v>
      </c>
    </row>
    <row r="6443" spans="1:37" x14ac:dyDescent="0.2">
      <c r="A6443" t="str">
        <f>"20200111160029040"</f>
        <v>20200111160029040</v>
      </c>
      <c r="B6443" t="str">
        <f>"1578729629037073"</f>
        <v>1578729629037073</v>
      </c>
      <c r="C6443" t="s">
        <v>37</v>
      </c>
      <c r="D6443">
        <v>5.743328</v>
      </c>
      <c r="E6443">
        <v>0.52359209999999901</v>
      </c>
      <c r="F6443" t="s">
        <v>38</v>
      </c>
      <c r="G6443">
        <v>-190.32660000000001</v>
      </c>
      <c r="H6443">
        <v>1.0232569999999901</v>
      </c>
      <c r="I6443">
        <v>27.591290000000001</v>
      </c>
      <c r="J6443">
        <v>-190.32939999999999</v>
      </c>
      <c r="K6443">
        <v>1.104887</v>
      </c>
      <c r="L6443">
        <v>27.10577</v>
      </c>
      <c r="M6443">
        <v>4.6934510000000001E-4</v>
      </c>
      <c r="N6443">
        <v>0</v>
      </c>
      <c r="O6443">
        <v>0.99989169999999905</v>
      </c>
      <c r="P6443">
        <v>-5.7104179999999997E-2</v>
      </c>
      <c r="Q6443">
        <v>1.3106899999999999E-2</v>
      </c>
      <c r="R6443">
        <v>0.99828220000000001</v>
      </c>
      <c r="S6443">
        <v>8.5449219999999999E-3</v>
      </c>
      <c r="T6443">
        <v>-0.29004679999999999</v>
      </c>
      <c r="U6443">
        <v>3.008667</v>
      </c>
      <c r="V6443">
        <v>-5.7609649999999998E-2</v>
      </c>
      <c r="W6443">
        <v>2.7714820000000001E-2</v>
      </c>
      <c r="X6443">
        <v>0.99795440000000002</v>
      </c>
      <c r="Y6443">
        <v>2.3575900000000001E-3</v>
      </c>
      <c r="Z6443">
        <v>-9.5958539999999995E-2</v>
      </c>
      <c r="AA6443">
        <v>0.99538249999999995</v>
      </c>
      <c r="AB6443">
        <v>35</v>
      </c>
      <c r="AC6443">
        <v>2.7999999999792601E-3</v>
      </c>
      <c r="AD6443">
        <v>-8.16300000000003E-2</v>
      </c>
      <c r="AE6443">
        <v>0.48552000000000101</v>
      </c>
      <c r="AF6443">
        <v>2.5013931573268301E-3</v>
      </c>
      <c r="AG6443">
        <v>-8.16300000000003E-2</v>
      </c>
      <c r="AH6443">
        <v>0.47217457317509198</v>
      </c>
      <c r="AI6443">
        <v>99.808264785672606</v>
      </c>
      <c r="AJ6443">
        <v>89.696472579740302</v>
      </c>
      <c r="AK6443">
        <v>0.47918528923664599</v>
      </c>
    </row>
    <row r="6444" spans="1:37" x14ac:dyDescent="0.2">
      <c r="A6444" t="str">
        <f>"20200111160029060"</f>
        <v>20200111160029060</v>
      </c>
      <c r="B6444" t="str">
        <f>"1578729629057569"</f>
        <v>1578729629057569</v>
      </c>
      <c r="C6444" t="s">
        <v>37</v>
      </c>
      <c r="D6444">
        <v>5.8518689999999998</v>
      </c>
      <c r="E6444">
        <v>0.52383290000000005</v>
      </c>
      <c r="F6444" t="s">
        <v>38</v>
      </c>
      <c r="G6444">
        <v>-190.32820000000001</v>
      </c>
      <c r="H6444">
        <v>1.0288079999999999</v>
      </c>
      <c r="I6444">
        <v>27.909839999999999</v>
      </c>
      <c r="J6444">
        <v>-190.3296</v>
      </c>
      <c r="K6444">
        <v>1.1047910000000001</v>
      </c>
      <c r="L6444">
        <v>27.431920000000002</v>
      </c>
      <c r="M6444">
        <v>1.3215319999999999E-4</v>
      </c>
      <c r="N6444">
        <v>0</v>
      </c>
      <c r="O6444">
        <v>0.9998918</v>
      </c>
      <c r="P6444">
        <v>-5.8847679999999999E-2</v>
      </c>
      <c r="Q6444">
        <v>1.348501E-2</v>
      </c>
      <c r="R6444">
        <v>0.9981759</v>
      </c>
      <c r="S6444">
        <v>4.1503909999999998E-3</v>
      </c>
      <c r="T6444">
        <v>-0.28472069999999999</v>
      </c>
      <c r="U6444">
        <v>3.009125</v>
      </c>
      <c r="V6444">
        <v>-5.9010380000000001E-2</v>
      </c>
      <c r="W6444">
        <v>2.809948E-2</v>
      </c>
      <c r="X6444">
        <v>0.99786180000000002</v>
      </c>
      <c r="Y6444">
        <v>1.2409669999999999E-3</v>
      </c>
      <c r="Z6444">
        <v>-9.4198290000000004E-2</v>
      </c>
      <c r="AA6444">
        <v>0.99555269999999996</v>
      </c>
      <c r="AB6444">
        <v>35</v>
      </c>
      <c r="AC6444">
        <v>1.39999999998963E-3</v>
      </c>
      <c r="AD6444">
        <v>-7.5983000000000106E-2</v>
      </c>
      <c r="AE6444">
        <v>0.47792000000000101</v>
      </c>
      <c r="AF6444">
        <v>1.30387691514994E-3</v>
      </c>
      <c r="AG6444">
        <v>-7.5983000000000106E-2</v>
      </c>
      <c r="AH6444">
        <v>0.46613779997193999</v>
      </c>
      <c r="AI6444">
        <v>99.258063267924499</v>
      </c>
      <c r="AJ6444">
        <v>89.839733123110605</v>
      </c>
      <c r="AK6444">
        <v>0.47229182180796803</v>
      </c>
    </row>
    <row r="6445" spans="1:37" x14ac:dyDescent="0.2">
      <c r="A6445" t="str">
        <f>"20200111160029172"</f>
        <v>20200111160029172</v>
      </c>
      <c r="B6445" t="str">
        <f>"1578729629167857"</f>
        <v>1578729629167857</v>
      </c>
      <c r="C6445" t="s">
        <v>37</v>
      </c>
      <c r="D6445">
        <v>5.6468970000000001</v>
      </c>
      <c r="E6445">
        <v>0.55238690000000001</v>
      </c>
      <c r="F6445" t="s">
        <v>38</v>
      </c>
      <c r="G6445">
        <v>-190.26</v>
      </c>
      <c r="H6445">
        <v>1.024043</v>
      </c>
      <c r="I6445">
        <v>29.79542</v>
      </c>
      <c r="J6445">
        <v>-190.32849999999999</v>
      </c>
      <c r="K6445">
        <v>1.1039190000000001</v>
      </c>
      <c r="L6445">
        <v>29.189540000000001</v>
      </c>
      <c r="M6445">
        <v>1.3577379999999901E-3</v>
      </c>
      <c r="N6445">
        <v>0</v>
      </c>
      <c r="O6445">
        <v>0.99989119999999998</v>
      </c>
      <c r="P6445">
        <v>-5.8519389999999998E-2</v>
      </c>
      <c r="Q6445">
        <v>1.1040329999999999E-2</v>
      </c>
      <c r="R6445">
        <v>0.99822520000000003</v>
      </c>
      <c r="S6445">
        <v>0.22291559999999999</v>
      </c>
      <c r="T6445">
        <v>-0.25768489999999999</v>
      </c>
      <c r="U6445">
        <v>3.0211489999999999</v>
      </c>
      <c r="V6445">
        <v>-5.9849180000000002E-2</v>
      </c>
      <c r="W6445">
        <v>2.5763350000000001E-2</v>
      </c>
      <c r="X6445">
        <v>0.99787490000000001</v>
      </c>
      <c r="Y6445">
        <v>7.1965970000000004E-2</v>
      </c>
      <c r="Z6445">
        <v>-8.4760479999999999E-2</v>
      </c>
      <c r="AA6445">
        <v>0.99379899999999999</v>
      </c>
      <c r="AB6445">
        <v>35</v>
      </c>
      <c r="AC6445">
        <v>6.85000000000002E-2</v>
      </c>
      <c r="AD6445">
        <v>-7.9876000000000003E-2</v>
      </c>
      <c r="AE6445">
        <v>0.60587999999999897</v>
      </c>
      <c r="AF6445">
        <v>6.6535405847849297E-2</v>
      </c>
      <c r="AG6445">
        <v>-7.9876000000000003E-2</v>
      </c>
      <c r="AH6445">
        <v>0.59574879489459998</v>
      </c>
      <c r="AI6445">
        <v>97.589850874995093</v>
      </c>
      <c r="AJ6445">
        <v>83.627405715992793</v>
      </c>
      <c r="AK6445">
        <v>0.60475099191791903</v>
      </c>
    </row>
    <row r="6446" spans="1:37" x14ac:dyDescent="0.2">
      <c r="A6446" t="str">
        <f>"20200111160029195"</f>
        <v>20200111160029195</v>
      </c>
      <c r="B6446" t="str">
        <f>"1578729629187377"</f>
        <v>1578729629187377</v>
      </c>
      <c r="C6446" t="s">
        <v>37</v>
      </c>
      <c r="D6446">
        <v>5.79155</v>
      </c>
      <c r="E6446">
        <v>0.55158169999999995</v>
      </c>
      <c r="F6446" t="s">
        <v>38</v>
      </c>
      <c r="G6446">
        <v>-190.25700000000001</v>
      </c>
      <c r="H6446">
        <v>1.0336099999999999</v>
      </c>
      <c r="I6446">
        <v>30.113900000000001</v>
      </c>
      <c r="J6446">
        <v>-190.327</v>
      </c>
      <c r="K6446">
        <v>1.1036950000000001</v>
      </c>
      <c r="L6446">
        <v>29.557919999999999</v>
      </c>
      <c r="M6446">
        <v>2.386483E-3</v>
      </c>
      <c r="N6446">
        <v>0</v>
      </c>
      <c r="O6446">
        <v>0.99988929999999998</v>
      </c>
      <c r="P6446">
        <v>-5.8892099999999899E-2</v>
      </c>
      <c r="Q6446">
        <v>1.262955E-2</v>
      </c>
      <c r="R6446">
        <v>0.99818439999999997</v>
      </c>
      <c r="S6446">
        <v>0.23320009999999999</v>
      </c>
      <c r="T6446">
        <v>-0.22979240000000001</v>
      </c>
      <c r="U6446">
        <v>3.0215450000000001</v>
      </c>
      <c r="V6446">
        <v>-6.1231140000000003E-2</v>
      </c>
      <c r="W6446">
        <v>2.738498E-2</v>
      </c>
      <c r="X6446">
        <v>0.99774789999999902</v>
      </c>
      <c r="Y6446">
        <v>7.4350070000000004E-2</v>
      </c>
      <c r="Z6446">
        <v>-7.5615249999999995E-2</v>
      </c>
      <c r="AA6446">
        <v>0.9943613</v>
      </c>
      <c r="AB6446">
        <v>35</v>
      </c>
      <c r="AC6446">
        <v>6.9999999999993096E-2</v>
      </c>
      <c r="AD6446">
        <v>-7.0084999999999897E-2</v>
      </c>
      <c r="AE6446">
        <v>0.55597999999999803</v>
      </c>
      <c r="AF6446">
        <v>6.7615161931816298E-2</v>
      </c>
      <c r="AG6446">
        <v>-7.0084999999999897E-2</v>
      </c>
      <c r="AH6446">
        <v>0.54758005962610401</v>
      </c>
      <c r="AI6446">
        <v>97.239265093847393</v>
      </c>
      <c r="AJ6446">
        <v>82.960751833010207</v>
      </c>
      <c r="AK6446">
        <v>0.55617231057307503</v>
      </c>
    </row>
    <row r="6447" spans="1:37" x14ac:dyDescent="0.2">
      <c r="A6447" t="str">
        <f>"20200111160029217"</f>
        <v>20200111160029217</v>
      </c>
      <c r="B6447" t="str">
        <f>"1578729629207873"</f>
        <v>1578729629207873</v>
      </c>
      <c r="C6447" t="s">
        <v>37</v>
      </c>
      <c r="D6447">
        <v>5.6785649999999999</v>
      </c>
      <c r="E6447">
        <v>0.55102989999999996</v>
      </c>
      <c r="F6447" t="s">
        <v>38</v>
      </c>
      <c r="G6447">
        <v>-190.2619</v>
      </c>
      <c r="H6447">
        <v>1.0383549999999999</v>
      </c>
      <c r="I6447">
        <v>30.42972</v>
      </c>
      <c r="J6447">
        <v>-190.32509999999999</v>
      </c>
      <c r="K6447">
        <v>1.1034660000000001</v>
      </c>
      <c r="L6447">
        <v>29.908109999999901</v>
      </c>
      <c r="M6447">
        <v>3.63971E-3</v>
      </c>
      <c r="N6447">
        <v>0</v>
      </c>
      <c r="O6447">
        <v>0.99988549999999998</v>
      </c>
      <c r="P6447">
        <v>-5.9438949999999997E-2</v>
      </c>
      <c r="Q6447">
        <v>1.3515889999999999E-2</v>
      </c>
      <c r="R6447">
        <v>0.99814049999999999</v>
      </c>
      <c r="S6447">
        <v>0.2259216</v>
      </c>
      <c r="T6447">
        <v>-0.2264678</v>
      </c>
      <c r="U6447">
        <v>3.0216369999999899</v>
      </c>
      <c r="V6447">
        <v>-6.3011629999999999E-2</v>
      </c>
      <c r="W6447">
        <v>2.8307780000000001E-2</v>
      </c>
      <c r="X6447">
        <v>0.99761119999999903</v>
      </c>
      <c r="Y6447">
        <v>7.072196E-2</v>
      </c>
      <c r="Z6447">
        <v>-7.4541350000000006E-2</v>
      </c>
      <c r="AA6447">
        <v>0.99470700000000001</v>
      </c>
      <c r="AB6447">
        <v>35</v>
      </c>
      <c r="AC6447">
        <v>6.3199999999994802E-2</v>
      </c>
      <c r="AD6447">
        <v>-6.5111000000000099E-2</v>
      </c>
      <c r="AE6447">
        <v>0.52161000000000202</v>
      </c>
      <c r="AF6447">
        <v>6.0373747833490303E-2</v>
      </c>
      <c r="AG6447">
        <v>-6.5111000000000099E-2</v>
      </c>
      <c r="AH6447">
        <v>0.513944297916344</v>
      </c>
      <c r="AI6447">
        <v>97.171477142812094</v>
      </c>
      <c r="AJ6447">
        <v>83.300091424108203</v>
      </c>
      <c r="AK6447">
        <v>0.521558408147339</v>
      </c>
    </row>
    <row r="6448" spans="1:37" x14ac:dyDescent="0.2">
      <c r="A6448" t="str">
        <f>"20200111160029240"</f>
        <v>20200111160029240</v>
      </c>
      <c r="B6448" t="str">
        <f>"1578729629237153"</f>
        <v>1578729629237153</v>
      </c>
      <c r="C6448" t="s">
        <v>37</v>
      </c>
      <c r="D6448">
        <v>5.8292390000000003</v>
      </c>
      <c r="E6448">
        <v>0.55059840000000004</v>
      </c>
      <c r="F6448" t="s">
        <v>38</v>
      </c>
      <c r="G6448">
        <v>-190.26410000000001</v>
      </c>
      <c r="H6448">
        <v>1.041091</v>
      </c>
      <c r="I6448">
        <v>30.744250000000001</v>
      </c>
      <c r="J6448">
        <v>-190.32239999999999</v>
      </c>
      <c r="K6448">
        <v>1.103232</v>
      </c>
      <c r="L6448">
        <v>30.25339</v>
      </c>
      <c r="M6448">
        <v>5.1472369999999998E-3</v>
      </c>
      <c r="N6448">
        <v>0</v>
      </c>
      <c r="O6448">
        <v>0.99987890000000001</v>
      </c>
      <c r="P6448">
        <v>-5.9602040000000002E-2</v>
      </c>
      <c r="Q6448">
        <v>1.5668640000000001E-2</v>
      </c>
      <c r="R6448">
        <v>0.99809930000000002</v>
      </c>
      <c r="S6448">
        <v>0.21981809999999999</v>
      </c>
      <c r="T6448">
        <v>-0.22536410000000001</v>
      </c>
      <c r="U6448">
        <v>3.0217290000000001</v>
      </c>
      <c r="V6448">
        <v>-6.4656140000000001E-2</v>
      </c>
      <c r="W6448">
        <v>3.050075E-2</v>
      </c>
      <c r="X6448">
        <v>0.99744140000000003</v>
      </c>
      <c r="Y6448">
        <v>6.7218959999999994E-2</v>
      </c>
      <c r="Z6448">
        <v>-7.4191569999999998E-2</v>
      </c>
      <c r="AA6448">
        <v>0.99497599999999997</v>
      </c>
      <c r="AB6448">
        <v>35</v>
      </c>
      <c r="AC6448">
        <v>5.8299999999974199E-2</v>
      </c>
      <c r="AD6448">
        <v>-6.2141000000000002E-2</v>
      </c>
      <c r="AE6448">
        <v>0.49085999999999702</v>
      </c>
      <c r="AF6448">
        <v>5.49046874163737E-2</v>
      </c>
      <c r="AG6448">
        <v>-6.2141000000000002E-2</v>
      </c>
      <c r="AH6448">
        <v>0.48351234921500102</v>
      </c>
      <c r="AI6448">
        <v>97.277245367451599</v>
      </c>
      <c r="AJ6448">
        <v>83.521593921137793</v>
      </c>
      <c r="AK6448">
        <v>0.490571320426193</v>
      </c>
    </row>
    <row r="6449" spans="1:37" x14ac:dyDescent="0.2">
      <c r="A6449" t="str">
        <f>"20200111160029261"</f>
        <v>20200111160029261</v>
      </c>
      <c r="B6449" t="str">
        <f>"1578729629257649"</f>
        <v>1578729629257649</v>
      </c>
      <c r="C6449" t="s">
        <v>37</v>
      </c>
      <c r="D6449">
        <v>5.7213449999999897</v>
      </c>
      <c r="E6449">
        <v>0.55163569999999995</v>
      </c>
      <c r="F6449" t="s">
        <v>38</v>
      </c>
      <c r="G6449">
        <v>-190.26480000000001</v>
      </c>
      <c r="H6449">
        <v>1.0440769999999999</v>
      </c>
      <c r="I6449">
        <v>31.0594099999999</v>
      </c>
      <c r="J6449">
        <v>-190.31899999999999</v>
      </c>
      <c r="K6449">
        <v>1.1030009999999999</v>
      </c>
      <c r="L6449">
        <v>30.591709999999999</v>
      </c>
      <c r="M6449">
        <v>6.8839399999999999E-3</v>
      </c>
      <c r="N6449">
        <v>0</v>
      </c>
      <c r="O6449">
        <v>0.99986839999999999</v>
      </c>
      <c r="P6449">
        <v>-5.8928199999999903E-2</v>
      </c>
      <c r="Q6449">
        <v>1.7743099999999901E-2</v>
      </c>
      <c r="R6449">
        <v>0.99810449999999995</v>
      </c>
      <c r="S6449">
        <v>0.215789799999999</v>
      </c>
      <c r="T6449">
        <v>-0.22179219999999999</v>
      </c>
      <c r="U6449">
        <v>3.0220950000000002</v>
      </c>
      <c r="V6449">
        <v>-6.5690460000000006E-2</v>
      </c>
      <c r="W6449">
        <v>3.2615419999999999E-2</v>
      </c>
      <c r="X6449">
        <v>0.9973069</v>
      </c>
      <c r="Y6449">
        <v>6.4163699999999907E-2</v>
      </c>
      <c r="Z6449">
        <v>-7.3022920000000005E-2</v>
      </c>
      <c r="AA6449">
        <v>0.99526409999999998</v>
      </c>
      <c r="AB6449">
        <v>35</v>
      </c>
      <c r="AC6449">
        <v>5.4200000000008602E-2</v>
      </c>
      <c r="AD6449">
        <v>-5.89239999999999E-2</v>
      </c>
      <c r="AE6449">
        <v>0.46769999999999701</v>
      </c>
      <c r="AF6449">
        <v>5.0192616448298297E-2</v>
      </c>
      <c r="AG6449">
        <v>-5.89239999999999E-2</v>
      </c>
      <c r="AH6449">
        <v>0.46084417626500801</v>
      </c>
      <c r="AI6449">
        <v>97.2439811043552</v>
      </c>
      <c r="AJ6449">
        <v>83.784159329652297</v>
      </c>
      <c r="AK6449">
        <v>0.46729935942530398</v>
      </c>
    </row>
    <row r="6450" spans="1:37" x14ac:dyDescent="0.2">
      <c r="A6450" t="str">
        <f>"20200111160029284"</f>
        <v>20200111160029284</v>
      </c>
      <c r="B6450" t="str">
        <f>"1578729629277169"</f>
        <v>1578729629277169</v>
      </c>
      <c r="C6450" t="s">
        <v>37</v>
      </c>
      <c r="D6450">
        <v>5.8035990000000002</v>
      </c>
      <c r="E6450">
        <v>0.55184409999999995</v>
      </c>
      <c r="F6450" t="s">
        <v>38</v>
      </c>
      <c r="G6450">
        <v>-190.2603</v>
      </c>
      <c r="H6450">
        <v>1.0478350000000001</v>
      </c>
      <c r="I6450">
        <v>31.375509999999998</v>
      </c>
      <c r="J6450">
        <v>-190.31450000000001</v>
      </c>
      <c r="K6450">
        <v>1.1027719999999901</v>
      </c>
      <c r="L6450">
        <v>30.95065</v>
      </c>
      <c r="M6450">
        <v>8.9803190000000005E-3</v>
      </c>
      <c r="N6450">
        <v>0</v>
      </c>
      <c r="O6450">
        <v>0.99985179999999996</v>
      </c>
      <c r="P6450">
        <v>-5.7329899999999899E-2</v>
      </c>
      <c r="Q6450">
        <v>1.9197599999999999E-2</v>
      </c>
      <c r="R6450">
        <v>0.99817069999999997</v>
      </c>
      <c r="S6450">
        <v>0.2260132</v>
      </c>
      <c r="T6450">
        <v>-0.2127174</v>
      </c>
      <c r="U6450">
        <v>3.0228269999999999</v>
      </c>
      <c r="V6450">
        <v>-6.6159869999999996E-2</v>
      </c>
      <c r="W6450">
        <v>3.4110429999999997E-2</v>
      </c>
      <c r="X6450">
        <v>0.99722579999999905</v>
      </c>
      <c r="Y6450">
        <v>6.5418420000000005E-2</v>
      </c>
      <c r="Z6450">
        <v>-7.0020120000000005E-2</v>
      </c>
      <c r="AA6450">
        <v>0.99539820000000001</v>
      </c>
      <c r="AB6450">
        <v>35</v>
      </c>
      <c r="AC6450">
        <v>5.4200000000008602E-2</v>
      </c>
      <c r="AD6450">
        <v>-5.4936999999999701E-2</v>
      </c>
      <c r="AE6450">
        <v>0.42485999999999802</v>
      </c>
      <c r="AF6450">
        <v>4.9566539411732301E-2</v>
      </c>
      <c r="AG6450">
        <v>-5.4936999999999701E-2</v>
      </c>
      <c r="AH6450">
        <v>0.41844525446290798</v>
      </c>
      <c r="AI6450">
        <v>97.428146122130997</v>
      </c>
      <c r="AJ6450">
        <v>83.2445609251278</v>
      </c>
      <c r="AK6450">
        <v>0.42493687387750001</v>
      </c>
    </row>
    <row r="6451" spans="1:37" x14ac:dyDescent="0.2">
      <c r="A6451" t="str">
        <f>"20200111160029307"</f>
        <v>20200111160029307</v>
      </c>
      <c r="B6451" t="str">
        <f>"1578729629297665"</f>
        <v>1578729629297665</v>
      </c>
      <c r="C6451" t="s">
        <v>37</v>
      </c>
      <c r="D6451">
        <v>5.8673169999999999</v>
      </c>
      <c r="E6451">
        <v>0.55118979999999995</v>
      </c>
      <c r="F6451" t="s">
        <v>38</v>
      </c>
      <c r="G6451">
        <v>-190.2569</v>
      </c>
      <c r="H6451">
        <v>1.0510489999999999</v>
      </c>
      <c r="I6451">
        <v>31.700159999999901</v>
      </c>
      <c r="J6451">
        <v>-190.309</v>
      </c>
      <c r="K6451">
        <v>1.1025689999999999</v>
      </c>
      <c r="L6451">
        <v>31.308409999999999</v>
      </c>
      <c r="M6451">
        <v>1.1314919999999999E-2</v>
      </c>
      <c r="N6451">
        <v>0</v>
      </c>
      <c r="O6451">
        <v>0.99982800000000005</v>
      </c>
      <c r="P6451">
        <v>-5.4388930000000002E-2</v>
      </c>
      <c r="Q6451">
        <v>1.9103660000000001E-2</v>
      </c>
      <c r="R6451">
        <v>0.99833709999999898</v>
      </c>
      <c r="S6451">
        <v>0.23211669999999901</v>
      </c>
      <c r="T6451">
        <v>-0.20859179999999899</v>
      </c>
      <c r="U6451">
        <v>3.0228269999999999</v>
      </c>
      <c r="V6451">
        <v>-6.5533240000000006E-2</v>
      </c>
      <c r="W6451">
        <v>3.4049429999999999E-2</v>
      </c>
      <c r="X6451">
        <v>0.99726930000000003</v>
      </c>
      <c r="Y6451">
        <v>6.5094070000000004E-2</v>
      </c>
      <c r="Z6451">
        <v>-6.8661669999999994E-2</v>
      </c>
      <c r="AA6451">
        <v>0.99551409999999996</v>
      </c>
      <c r="AB6451">
        <v>35</v>
      </c>
      <c r="AC6451">
        <v>5.2100000000024203E-2</v>
      </c>
      <c r="AD6451">
        <v>-5.1520000000000198E-2</v>
      </c>
      <c r="AE6451">
        <v>0.39174999999999799</v>
      </c>
      <c r="AF6451">
        <v>4.6867062956515299E-2</v>
      </c>
      <c r="AG6451">
        <v>-5.1520000000000198E-2</v>
      </c>
      <c r="AH6451">
        <v>0.38575854736834603</v>
      </c>
      <c r="AI6451">
        <v>97.5522385771594</v>
      </c>
      <c r="AJ6451">
        <v>83.072898665937302</v>
      </c>
      <c r="AK6451">
        <v>0.39199552147684802</v>
      </c>
    </row>
    <row r="6452" spans="1:37" x14ac:dyDescent="0.2">
      <c r="A6452" t="str">
        <f>"20200111160029329"</f>
        <v>20200111160029329</v>
      </c>
      <c r="B6452" t="str">
        <f>"1578729629317188"</f>
        <v>1578729629317188</v>
      </c>
      <c r="C6452" t="s">
        <v>37</v>
      </c>
      <c r="D6452">
        <v>5.7548199999999996</v>
      </c>
      <c r="E6452">
        <v>0.55171009999999998</v>
      </c>
      <c r="F6452" t="s">
        <v>38</v>
      </c>
      <c r="G6452">
        <v>-190.23150000000001</v>
      </c>
      <c r="H6452">
        <v>1.0328899999999901</v>
      </c>
      <c r="I6452">
        <v>32.301429999999897</v>
      </c>
      <c r="J6452">
        <v>-190.30269999999999</v>
      </c>
      <c r="K6452">
        <v>1.1023989999999999</v>
      </c>
      <c r="L6452">
        <v>31.6494099999999</v>
      </c>
      <c r="M6452">
        <v>1.3704269999999999E-2</v>
      </c>
      <c r="N6452">
        <v>0</v>
      </c>
      <c r="O6452">
        <v>0.99979810000000002</v>
      </c>
      <c r="P6452">
        <v>-5.0574750000000002E-2</v>
      </c>
      <c r="Q6452">
        <v>1.842945E-2</v>
      </c>
      <c r="R6452">
        <v>0.99855020000000005</v>
      </c>
      <c r="S6452">
        <v>0.23536679999999899</v>
      </c>
      <c r="T6452">
        <v>-0.21196950000000001</v>
      </c>
      <c r="U6452">
        <v>3.021881</v>
      </c>
      <c r="V6452">
        <v>-6.4096089999999994E-2</v>
      </c>
      <c r="W6452">
        <v>3.3397019999999999E-2</v>
      </c>
      <c r="X6452">
        <v>0.99738470000000001</v>
      </c>
      <c r="Y6452">
        <v>6.379137E-2</v>
      </c>
      <c r="Z6452">
        <v>-6.9786730000000005E-2</v>
      </c>
      <c r="AA6452">
        <v>0.99552019999999997</v>
      </c>
      <c r="AB6452">
        <v>35</v>
      </c>
      <c r="AC6452">
        <v>7.1199999999976102E-2</v>
      </c>
      <c r="AD6452">
        <v>-6.9509000000000001E-2</v>
      </c>
      <c r="AE6452">
        <v>0.65202000000000004</v>
      </c>
      <c r="AF6452">
        <v>6.1565457539998099E-2</v>
      </c>
      <c r="AG6452">
        <v>-6.9509000000000001E-2</v>
      </c>
      <c r="AH6452">
        <v>0.64568304471747096</v>
      </c>
      <c r="AI6452">
        <v>96.116805610219998</v>
      </c>
      <c r="AJ6452">
        <v>84.553351000233704</v>
      </c>
      <c r="AK6452">
        <v>0.65232537960647596</v>
      </c>
    </row>
    <row r="6453" spans="1:37" x14ac:dyDescent="0.2">
      <c r="A6453" t="str">
        <f>"20200111160029351"</f>
        <v>20200111160029351</v>
      </c>
      <c r="B6453" t="str">
        <f>"1578729629347442"</f>
        <v>1578729629347442</v>
      </c>
      <c r="C6453" t="s">
        <v>37</v>
      </c>
      <c r="D6453">
        <v>5.7674539999999999</v>
      </c>
      <c r="E6453">
        <v>0.5523169</v>
      </c>
      <c r="F6453" t="s">
        <v>38</v>
      </c>
      <c r="G6453">
        <v>-190.2226</v>
      </c>
      <c r="H6453">
        <v>1.034807</v>
      </c>
      <c r="I6453">
        <v>32.613590000000002</v>
      </c>
      <c r="J6453">
        <v>-190.29560000000001</v>
      </c>
      <c r="K6453">
        <v>1.102257</v>
      </c>
      <c r="L6453">
        <v>31.9923099999999</v>
      </c>
      <c r="M6453">
        <v>1.621974E-2</v>
      </c>
      <c r="N6453">
        <v>0</v>
      </c>
      <c r="O6453">
        <v>0.99976049999999905</v>
      </c>
      <c r="P6453">
        <v>-4.575949E-2</v>
      </c>
      <c r="Q6453">
        <v>1.7048560000000001E-2</v>
      </c>
      <c r="R6453">
        <v>0.998807</v>
      </c>
      <c r="S6453">
        <v>0.2507935</v>
      </c>
      <c r="T6453">
        <v>-0.2117134</v>
      </c>
      <c r="U6453">
        <v>3.020966</v>
      </c>
      <c r="V6453">
        <v>-6.1792079999999999E-2</v>
      </c>
      <c r="W6453">
        <v>3.2026359999999997E-2</v>
      </c>
      <c r="X6453">
        <v>0.99757510000000005</v>
      </c>
      <c r="Y6453">
        <v>6.6355090000000005E-2</v>
      </c>
      <c r="Z6453">
        <v>-6.9699849999999994E-2</v>
      </c>
      <c r="AA6453">
        <v>0.99535869999999904</v>
      </c>
      <c r="AB6453">
        <v>35</v>
      </c>
      <c r="AC6453">
        <v>7.3000000000007503E-2</v>
      </c>
      <c r="AD6453">
        <v>-6.7449999999999996E-2</v>
      </c>
      <c r="AE6453">
        <v>0.62128000000000505</v>
      </c>
      <c r="AF6453">
        <v>6.21892877837057E-2</v>
      </c>
      <c r="AG6453">
        <v>-6.7449999999999996E-2</v>
      </c>
      <c r="AH6453">
        <v>0.61522969724363297</v>
      </c>
      <c r="AI6453">
        <v>96.225098022887096</v>
      </c>
      <c r="AJ6453">
        <v>84.2279742735696</v>
      </c>
      <c r="AK6453">
        <v>0.62203262807149995</v>
      </c>
    </row>
    <row r="6454" spans="1:37" x14ac:dyDescent="0.2">
      <c r="A6454" t="str">
        <f>"20200111160029374"</f>
        <v>20200111160029374</v>
      </c>
      <c r="B6454" t="str">
        <f>"1578729629367937"</f>
        <v>1578729629367937</v>
      </c>
      <c r="C6454" t="s">
        <v>37</v>
      </c>
      <c r="D6454">
        <v>5.8379379999999896</v>
      </c>
      <c r="E6454">
        <v>0.55168309999999998</v>
      </c>
      <c r="F6454" t="s">
        <v>38</v>
      </c>
      <c r="G6454">
        <v>-190.21199999999999</v>
      </c>
      <c r="H6454">
        <v>1.0366040000000001</v>
      </c>
      <c r="I6454">
        <v>32.925319999999999</v>
      </c>
      <c r="J6454">
        <v>-190.28720000000001</v>
      </c>
      <c r="K6454">
        <v>1.1021379999999901</v>
      </c>
      <c r="L6454">
        <v>32.343989999999998</v>
      </c>
      <c r="M6454">
        <v>1.887687E-2</v>
      </c>
      <c r="N6454">
        <v>0</v>
      </c>
      <c r="O6454">
        <v>0.99971390000000004</v>
      </c>
      <c r="P6454">
        <v>-4.030189E-2</v>
      </c>
      <c r="Q6454">
        <v>1.46959E-2</v>
      </c>
      <c r="R6454">
        <v>0.99907950000000001</v>
      </c>
      <c r="S6454">
        <v>0.27017209999999903</v>
      </c>
      <c r="T6454">
        <v>-0.2124402</v>
      </c>
      <c r="U6454">
        <v>3.0195919999999998</v>
      </c>
      <c r="V6454">
        <v>-5.8997220000000003E-2</v>
      </c>
      <c r="W6454">
        <v>2.96762E-2</v>
      </c>
      <c r="X6454">
        <v>0.99781690000000001</v>
      </c>
      <c r="Y6454">
        <v>7.0079199999999994E-2</v>
      </c>
      <c r="Z6454">
        <v>-6.9936540000000005E-2</v>
      </c>
      <c r="AA6454">
        <v>0.99508680000000005</v>
      </c>
      <c r="AB6454">
        <v>35</v>
      </c>
      <c r="AC6454">
        <v>7.5199999999995201E-2</v>
      </c>
      <c r="AD6454">
        <v>-6.5533999999999704E-2</v>
      </c>
      <c r="AE6454">
        <v>0.58132999999999402</v>
      </c>
      <c r="AF6454">
        <v>6.3419038221251195E-2</v>
      </c>
      <c r="AG6454">
        <v>-6.5533999999999704E-2</v>
      </c>
      <c r="AH6454">
        <v>0.57545340578853299</v>
      </c>
      <c r="AI6454">
        <v>96.458221178953593</v>
      </c>
      <c r="AJ6454">
        <v>83.710978940771199</v>
      </c>
      <c r="AK6454">
        <v>0.582634792814959</v>
      </c>
    </row>
    <row r="6455" spans="1:37" x14ac:dyDescent="0.2">
      <c r="A6455" t="str">
        <f>"20200111160029397"</f>
        <v>20200111160029397</v>
      </c>
      <c r="B6455" t="str">
        <f>"1578729629387457"</f>
        <v>1578729629387457</v>
      </c>
      <c r="C6455" t="s">
        <v>37</v>
      </c>
      <c r="D6455">
        <v>5.7987729999999997</v>
      </c>
      <c r="E6455">
        <v>0.55125019999999902</v>
      </c>
      <c r="F6455" t="s">
        <v>38</v>
      </c>
      <c r="G6455">
        <v>-190.20400000000001</v>
      </c>
      <c r="H6455">
        <v>1.0352980000000001</v>
      </c>
      <c r="I6455">
        <v>33.235199999999999</v>
      </c>
      <c r="J6455">
        <v>-190.27770000000001</v>
      </c>
      <c r="K6455">
        <v>1.102052</v>
      </c>
      <c r="L6455">
        <v>32.705689999999997</v>
      </c>
      <c r="M6455">
        <v>2.16562E-2</v>
      </c>
      <c r="N6455">
        <v>0</v>
      </c>
      <c r="O6455">
        <v>0.99965759999999904</v>
      </c>
      <c r="P6455">
        <v>-3.4852429999999997E-2</v>
      </c>
      <c r="Q6455">
        <v>1.2904219999999999E-2</v>
      </c>
      <c r="R6455">
        <v>0.99930919999999901</v>
      </c>
      <c r="S6455">
        <v>0.28102109999999902</v>
      </c>
      <c r="T6455">
        <v>-0.22620660000000001</v>
      </c>
      <c r="U6455">
        <v>3.0174259999999999</v>
      </c>
      <c r="V6455">
        <v>-5.6333559999999998E-2</v>
      </c>
      <c r="W6455">
        <v>2.788117E-2</v>
      </c>
      <c r="X6455">
        <v>0.99802259999999998</v>
      </c>
      <c r="Y6455">
        <v>7.0886959999999999E-2</v>
      </c>
      <c r="Z6455">
        <v>-7.4476529999999999E-2</v>
      </c>
      <c r="AA6455">
        <v>0.99470009999999998</v>
      </c>
      <c r="AB6455">
        <v>35</v>
      </c>
      <c r="AC6455">
        <v>7.3700000000002305E-2</v>
      </c>
      <c r="AD6455">
        <v>-6.6753999999999897E-2</v>
      </c>
      <c r="AE6455">
        <v>0.52950999999999404</v>
      </c>
      <c r="AF6455">
        <v>6.1259209661464697E-2</v>
      </c>
      <c r="AG6455">
        <v>-6.6753999999999897E-2</v>
      </c>
      <c r="AH6455">
        <v>0.522830585517984</v>
      </c>
      <c r="AI6455">
        <v>97.227136211922002</v>
      </c>
      <c r="AJ6455">
        <v>83.317216879718302</v>
      </c>
      <c r="AK6455">
        <v>0.53062284952442895</v>
      </c>
    </row>
    <row r="6456" spans="1:37" x14ac:dyDescent="0.2">
      <c r="A6456" t="str">
        <f>"20200111160029419"</f>
        <v>20200111160029419</v>
      </c>
      <c r="B6456" t="str">
        <f>"1578729629406977"</f>
        <v>1578729629406977</v>
      </c>
      <c r="C6456" t="s">
        <v>37</v>
      </c>
      <c r="D6456">
        <v>5.8753089999999997</v>
      </c>
      <c r="E6456">
        <v>0.55071709999999996</v>
      </c>
      <c r="F6456" t="s">
        <v>38</v>
      </c>
      <c r="G6456">
        <v>-190.19579999999999</v>
      </c>
      <c r="H6456">
        <v>1.0359559999999901</v>
      </c>
      <c r="I6456">
        <v>33.545699999999997</v>
      </c>
      <c r="J6456">
        <v>-190.26769999999999</v>
      </c>
      <c r="K6456">
        <v>1.10199</v>
      </c>
      <c r="L6456">
        <v>33.048159999999903</v>
      </c>
      <c r="M6456">
        <v>2.430829E-2</v>
      </c>
      <c r="N6456">
        <v>0</v>
      </c>
      <c r="O6456">
        <v>0.99959659999999995</v>
      </c>
      <c r="P6456">
        <v>-3.0641370000000001E-2</v>
      </c>
      <c r="Q6456">
        <v>1.0843230000000001E-2</v>
      </c>
      <c r="R6456">
        <v>0.99947160000000002</v>
      </c>
      <c r="S6456">
        <v>0.29374689999999998</v>
      </c>
      <c r="T6456">
        <v>-0.23723939999999999</v>
      </c>
      <c r="U6456">
        <v>3.0153810000000001</v>
      </c>
      <c r="V6456">
        <v>-5.4784640000000003E-2</v>
      </c>
      <c r="W6456">
        <v>2.581864E-2</v>
      </c>
      <c r="X6456">
        <v>0.99816439999999995</v>
      </c>
      <c r="Y6456">
        <v>7.2435979999999997E-2</v>
      </c>
      <c r="Z6456">
        <v>-7.8112730000000005E-2</v>
      </c>
      <c r="AA6456">
        <v>0.99430949999999996</v>
      </c>
      <c r="AB6456">
        <v>35</v>
      </c>
      <c r="AC6456">
        <v>7.1899999999999395E-2</v>
      </c>
      <c r="AD6456">
        <v>-6.6034000000000107E-2</v>
      </c>
      <c r="AE6456">
        <v>0.49753999999999998</v>
      </c>
      <c r="AF6456">
        <v>5.8769065792022998E-2</v>
      </c>
      <c r="AG6456">
        <v>-6.6034000000000107E-2</v>
      </c>
      <c r="AH6456">
        <v>0.490674547591613</v>
      </c>
      <c r="AI6456">
        <v>97.610948487382601</v>
      </c>
      <c r="AJ6456">
        <v>83.170105633874599</v>
      </c>
      <c r="AK6456">
        <v>0.49857376977163698</v>
      </c>
    </row>
    <row r="6457" spans="1:37" x14ac:dyDescent="0.2">
      <c r="A6457" t="str">
        <f>"20200111160029441"</f>
        <v>20200111160029441</v>
      </c>
      <c r="B6457" t="str">
        <f>"1578729629437233"</f>
        <v>1578729629437233</v>
      </c>
      <c r="C6457" t="s">
        <v>37</v>
      </c>
      <c r="D6457">
        <v>5.830622</v>
      </c>
      <c r="E6457">
        <v>0.54981449999999998</v>
      </c>
      <c r="F6457" t="s">
        <v>38</v>
      </c>
      <c r="G6457">
        <v>-190.1866</v>
      </c>
      <c r="H6457">
        <v>1.0356369999999999</v>
      </c>
      <c r="I6457">
        <v>33.855339999999998</v>
      </c>
      <c r="J6457">
        <v>-190.25710000000001</v>
      </c>
      <c r="K6457">
        <v>1.1019490000000001</v>
      </c>
      <c r="L6457">
        <v>33.380070000000003</v>
      </c>
      <c r="M6457">
        <v>2.6883669999999998E-2</v>
      </c>
      <c r="N6457">
        <v>0</v>
      </c>
      <c r="O6457">
        <v>0.99953069999999899</v>
      </c>
      <c r="P6457">
        <v>-2.8391679999999999E-2</v>
      </c>
      <c r="Q6457">
        <v>1.039345E-2</v>
      </c>
      <c r="R6457">
        <v>0.99954279999999995</v>
      </c>
      <c r="S6457">
        <v>0.30216979999999999</v>
      </c>
      <c r="T6457">
        <v>-0.24765000000000001</v>
      </c>
      <c r="U6457">
        <v>3.01355</v>
      </c>
      <c r="V6457">
        <v>-5.5109869999999998E-2</v>
      </c>
      <c r="W6457">
        <v>2.537294E-2</v>
      </c>
      <c r="X6457">
        <v>0.99815789999999904</v>
      </c>
      <c r="Y6457">
        <v>7.2649329999999998E-2</v>
      </c>
      <c r="Z6457">
        <v>-8.1547289999999995E-2</v>
      </c>
      <c r="AA6457">
        <v>0.99401810000000002</v>
      </c>
      <c r="AB6457">
        <v>35</v>
      </c>
      <c r="AC6457">
        <v>7.0500000000009694E-2</v>
      </c>
      <c r="AD6457">
        <v>-6.6311999999999899E-2</v>
      </c>
      <c r="AE6457">
        <v>0.47527000000000102</v>
      </c>
      <c r="AF6457">
        <v>5.6617676491667802E-2</v>
      </c>
      <c r="AG6457">
        <v>-6.6311999999999899E-2</v>
      </c>
      <c r="AH6457">
        <v>0.468077712331121</v>
      </c>
      <c r="AI6457">
        <v>98.0057769528986</v>
      </c>
      <c r="AJ6457">
        <v>83.103130700272104</v>
      </c>
      <c r="AK6457">
        <v>0.47612980101696101</v>
      </c>
    </row>
    <row r="6458" spans="1:37" x14ac:dyDescent="0.2">
      <c r="A6458" t="str">
        <f>"20200111160029463"</f>
        <v>20200111160029463</v>
      </c>
      <c r="B6458" t="str">
        <f>"1578729629457729"</f>
        <v>1578729629457729</v>
      </c>
      <c r="C6458" t="s">
        <v>37</v>
      </c>
      <c r="D6458">
        <v>5.863531</v>
      </c>
      <c r="E6458">
        <v>0.54926209999999998</v>
      </c>
      <c r="F6458" t="s">
        <v>38</v>
      </c>
      <c r="G6458">
        <v>-190.17840000000001</v>
      </c>
      <c r="H6458">
        <v>1.0350760000000001</v>
      </c>
      <c r="I6458">
        <v>34.164559999999902</v>
      </c>
      <c r="J6458">
        <v>-190.245</v>
      </c>
      <c r="K6458">
        <v>1.1019190000000001</v>
      </c>
      <c r="L6458">
        <v>33.730589999999999</v>
      </c>
      <c r="M6458">
        <v>2.9603939999999999E-2</v>
      </c>
      <c r="N6458">
        <v>0</v>
      </c>
      <c r="O6458">
        <v>0.99945390000000001</v>
      </c>
      <c r="P6458">
        <v>-2.5826970000000001E-2</v>
      </c>
      <c r="Q6458">
        <v>9.9485619999999993E-3</v>
      </c>
      <c r="R6458">
        <v>0.99961690000000003</v>
      </c>
      <c r="S6458">
        <v>0.30183409999999999</v>
      </c>
      <c r="T6458">
        <v>-0.25675239999999999</v>
      </c>
      <c r="U6458">
        <v>3.0126040000000001</v>
      </c>
      <c r="V6458">
        <v>-5.5266599999999902E-2</v>
      </c>
      <c r="W6458">
        <v>2.4930580000000001E-2</v>
      </c>
      <c r="X6458">
        <v>0.99816039999999995</v>
      </c>
      <c r="Y6458">
        <v>6.9831019999999994E-2</v>
      </c>
      <c r="Z6458">
        <v>-8.4548949999999998E-2</v>
      </c>
      <c r="AA6458">
        <v>0.9939694</v>
      </c>
      <c r="AB6458">
        <v>35</v>
      </c>
      <c r="AC6458">
        <v>6.6599999999993997E-2</v>
      </c>
      <c r="AD6458">
        <v>-6.6842999999999902E-2</v>
      </c>
      <c r="AE6458">
        <v>0.43396999999999503</v>
      </c>
      <c r="AF6458">
        <v>5.2505212822812501E-2</v>
      </c>
      <c r="AG6458">
        <v>-6.6842999999999902E-2</v>
      </c>
      <c r="AH6458">
        <v>0.42588038355461799</v>
      </c>
      <c r="AI6458">
        <v>98.853986752158704</v>
      </c>
      <c r="AJ6458">
        <v>82.971681668529797</v>
      </c>
      <c r="AK6458">
        <v>0.43427973141651199</v>
      </c>
    </row>
    <row r="6459" spans="1:37" x14ac:dyDescent="0.2">
      <c r="A6459" t="str">
        <f>"20200111160029486"</f>
        <v>20200111160029486</v>
      </c>
      <c r="B6459" t="str">
        <f>"1578729629477250"</f>
        <v>1578729629477250</v>
      </c>
      <c r="C6459" t="s">
        <v>37</v>
      </c>
      <c r="D6459">
        <v>5.8813269999999997</v>
      </c>
      <c r="E6459">
        <v>0.54864840000000004</v>
      </c>
      <c r="F6459" t="s">
        <v>38</v>
      </c>
      <c r="G6459">
        <v>-190.1696</v>
      </c>
      <c r="H6459">
        <v>1.037261</v>
      </c>
      <c r="I6459">
        <v>34.47475</v>
      </c>
      <c r="J6459">
        <v>-190.23230000000001</v>
      </c>
      <c r="K6459">
        <v>1.1018939999999999</v>
      </c>
      <c r="L6459">
        <v>34.07141</v>
      </c>
      <c r="M6459">
        <v>3.2252690000000001E-2</v>
      </c>
      <c r="N6459">
        <v>0</v>
      </c>
      <c r="O6459">
        <v>0.99937189999999998</v>
      </c>
      <c r="P6459">
        <v>-2.3472429999999999E-2</v>
      </c>
      <c r="Q6459">
        <v>9.9306040000000009E-3</v>
      </c>
      <c r="R6459">
        <v>0.99967519999999999</v>
      </c>
      <c r="S6459">
        <v>0.30490109999999998</v>
      </c>
      <c r="T6459">
        <v>-0.26162370000000001</v>
      </c>
      <c r="U6459">
        <v>3.0116269999999998</v>
      </c>
      <c r="V6459">
        <v>-5.5559339999999999E-2</v>
      </c>
      <c r="W6459">
        <v>2.4914849999999999E-2</v>
      </c>
      <c r="X6459">
        <v>0.99814449999999999</v>
      </c>
      <c r="Y6459">
        <v>6.8207279999999995E-2</v>
      </c>
      <c r="Z6459">
        <v>-8.6158739999999998E-2</v>
      </c>
      <c r="AA6459">
        <v>0.99394389999999999</v>
      </c>
      <c r="AB6459">
        <v>35</v>
      </c>
      <c r="AC6459">
        <v>6.2700000000006598E-2</v>
      </c>
      <c r="AD6459">
        <v>-6.4633000000000093E-2</v>
      </c>
      <c r="AE6459">
        <v>0.40333999999999998</v>
      </c>
      <c r="AF6459">
        <v>4.8442598324048999E-2</v>
      </c>
      <c r="AG6459">
        <v>-6.4633000000000093E-2</v>
      </c>
      <c r="AH6459">
        <v>0.39524288806765301</v>
      </c>
      <c r="AI6459">
        <v>99.219431112776107</v>
      </c>
      <c r="AJ6459">
        <v>83.012442854474301</v>
      </c>
      <c r="AK6459">
        <v>0.40341176307768301</v>
      </c>
    </row>
    <row r="6460" spans="1:37" x14ac:dyDescent="0.2">
      <c r="A6460" t="str">
        <f>"20200111160029509"</f>
        <v>20200111160029509</v>
      </c>
      <c r="B6460" t="str">
        <f>"1578729629497747"</f>
        <v>1578729629497747</v>
      </c>
      <c r="C6460" t="s">
        <v>37</v>
      </c>
      <c r="D6460">
        <v>5.8229649999999999</v>
      </c>
      <c r="E6460">
        <v>0.54799350000000002</v>
      </c>
      <c r="F6460" t="s">
        <v>38</v>
      </c>
      <c r="G6460">
        <v>-190.12950000000001</v>
      </c>
      <c r="H6460">
        <v>1.0132749999999999</v>
      </c>
      <c r="I6460">
        <v>35.079129999999999</v>
      </c>
      <c r="J6460">
        <v>-190.21789999999999</v>
      </c>
      <c r="K6460">
        <v>1.1018589999999999</v>
      </c>
      <c r="L6460">
        <v>34.430239999999998</v>
      </c>
      <c r="M6460">
        <v>3.5059460000000001E-2</v>
      </c>
      <c r="N6460">
        <v>0</v>
      </c>
      <c r="O6460">
        <v>0.99927749999999904</v>
      </c>
      <c r="P6460">
        <v>-2.097015E-2</v>
      </c>
      <c r="Q6460">
        <v>9.6561540000000001E-3</v>
      </c>
      <c r="R6460">
        <v>0.99973339999999999</v>
      </c>
      <c r="S6460">
        <v>0.3069153</v>
      </c>
      <c r="T6460">
        <v>-0.26470359999999998</v>
      </c>
      <c r="U6460">
        <v>3.0108029999999899</v>
      </c>
      <c r="V6460">
        <v>-5.5864320000000002E-2</v>
      </c>
      <c r="W6460">
        <v>2.464361E-2</v>
      </c>
      <c r="X6460">
        <v>0.99813419999999897</v>
      </c>
      <c r="Y6460">
        <v>6.6081429999999997E-2</v>
      </c>
      <c r="Z6460">
        <v>-8.7179909999999999E-2</v>
      </c>
      <c r="AA6460">
        <v>0.99399850000000001</v>
      </c>
      <c r="AB6460">
        <v>34</v>
      </c>
      <c r="AC6460">
        <v>8.8399999999978704E-2</v>
      </c>
      <c r="AD6460">
        <v>-8.8583999999999996E-2</v>
      </c>
      <c r="AE6460">
        <v>0.64888999999999397</v>
      </c>
      <c r="AF6460">
        <v>6.4414855365508894E-2</v>
      </c>
      <c r="AG6460">
        <v>-8.8583999999999996E-2</v>
      </c>
      <c r="AH6460">
        <v>0.63988259386333501</v>
      </c>
      <c r="AI6460">
        <v>97.842669352024203</v>
      </c>
      <c r="AJ6460">
        <v>84.251589695550095</v>
      </c>
      <c r="AK6460">
        <v>0.64918882659595201</v>
      </c>
    </row>
    <row r="6461" spans="1:37" x14ac:dyDescent="0.2">
      <c r="A6461" t="str">
        <f>"20200111160029529"</f>
        <v>20200111160029529</v>
      </c>
      <c r="B6461" t="str">
        <f>"1578729629527025"</f>
        <v>1578729629527025</v>
      </c>
      <c r="C6461" t="s">
        <v>37</v>
      </c>
      <c r="D6461">
        <v>5.8873959999999999</v>
      </c>
      <c r="E6461">
        <v>0.54710449999999999</v>
      </c>
      <c r="F6461" t="s">
        <v>38</v>
      </c>
      <c r="G6461">
        <v>-190.11949999999999</v>
      </c>
      <c r="H6461">
        <v>1.0162389999999999</v>
      </c>
      <c r="I6461">
        <v>35.388570000000001</v>
      </c>
      <c r="J6461">
        <v>-190.2039</v>
      </c>
      <c r="K6461">
        <v>1.1018379999999901</v>
      </c>
      <c r="L6461">
        <v>34.754759999999997</v>
      </c>
      <c r="M6461">
        <v>3.7614620000000001E-2</v>
      </c>
      <c r="N6461">
        <v>0</v>
      </c>
      <c r="O6461">
        <v>0.99918449999999903</v>
      </c>
      <c r="P6461">
        <v>-1.9022109999999998E-2</v>
      </c>
      <c r="Q6461">
        <v>9.8519790000000003E-3</v>
      </c>
      <c r="R6461">
        <v>0.99977050000000001</v>
      </c>
      <c r="S6461">
        <v>0.30894470000000002</v>
      </c>
      <c r="T6461">
        <v>-0.26888229999999902</v>
      </c>
      <c r="U6461">
        <v>3.0098569999999998</v>
      </c>
      <c r="V6461">
        <v>-5.6468959999999999E-2</v>
      </c>
      <c r="W6461">
        <v>2.48443E-2</v>
      </c>
      <c r="X6461">
        <v>0.99809519999999996</v>
      </c>
      <c r="Y6461">
        <v>6.4212149999999996E-2</v>
      </c>
      <c r="Z6461">
        <v>-8.8562970000000005E-2</v>
      </c>
      <c r="AA6461">
        <v>0.99399869999999901</v>
      </c>
      <c r="AB6461">
        <v>34</v>
      </c>
      <c r="AC6461">
        <v>8.4400000000016406E-2</v>
      </c>
      <c r="AD6461">
        <v>-8.5598999999999897E-2</v>
      </c>
      <c r="AE6461">
        <v>0.63381000000000398</v>
      </c>
      <c r="AF6461">
        <v>5.9432028938270799E-2</v>
      </c>
      <c r="AG6461">
        <v>-8.5598999999999897E-2</v>
      </c>
      <c r="AH6461">
        <v>0.625329255566342</v>
      </c>
      <c r="AI6461">
        <v>97.760023191430506</v>
      </c>
      <c r="AJ6461">
        <v>84.570849300843804</v>
      </c>
      <c r="AK6461">
        <v>0.63395270543777604</v>
      </c>
    </row>
    <row r="6462" spans="1:37" x14ac:dyDescent="0.2">
      <c r="A6462" t="str">
        <f>"20200111160029552"</f>
        <v>20200111160029552</v>
      </c>
      <c r="B6462" t="str">
        <f>"1578729629547521"</f>
        <v>1578729629547521</v>
      </c>
      <c r="C6462" t="s">
        <v>37</v>
      </c>
      <c r="D6462">
        <v>5.8716860000000004</v>
      </c>
      <c r="E6462">
        <v>0.54644700000000002</v>
      </c>
      <c r="F6462" t="s">
        <v>38</v>
      </c>
      <c r="G6462">
        <v>-190.10749999999999</v>
      </c>
      <c r="H6462">
        <v>1.0168200000000001</v>
      </c>
      <c r="I6462">
        <v>35.696440000000003</v>
      </c>
      <c r="J6462">
        <v>-190.18819999999999</v>
      </c>
      <c r="K6462">
        <v>1.1018129999999999</v>
      </c>
      <c r="L6462">
        <v>35.099640000000001</v>
      </c>
      <c r="M6462">
        <v>4.0360769999999997E-2</v>
      </c>
      <c r="N6462">
        <v>0</v>
      </c>
      <c r="O6462">
        <v>0.99907739999999901</v>
      </c>
      <c r="P6462">
        <v>-1.6789849999999999E-2</v>
      </c>
      <c r="Q6462">
        <v>9.6383419999999994E-3</v>
      </c>
      <c r="R6462">
        <v>0.99981260000000005</v>
      </c>
      <c r="S6462">
        <v>0.30758669999999999</v>
      </c>
      <c r="T6462">
        <v>-0.27158450000000001</v>
      </c>
      <c r="U6462">
        <v>3.0092159999999999</v>
      </c>
      <c r="V6462">
        <v>-5.6984199999999999E-2</v>
      </c>
      <c r="W6462">
        <v>2.4635509999999999E-2</v>
      </c>
      <c r="X6462">
        <v>0.99807109999999899</v>
      </c>
      <c r="Y6462">
        <v>6.10384E-2</v>
      </c>
      <c r="Z6462">
        <v>-8.9461310000000002E-2</v>
      </c>
      <c r="AA6462">
        <v>0.99411819999999895</v>
      </c>
      <c r="AB6462">
        <v>34</v>
      </c>
      <c r="AC6462">
        <v>8.0700000000007294E-2</v>
      </c>
      <c r="AD6462">
        <v>-8.4992999999999805E-2</v>
      </c>
      <c r="AE6462">
        <v>0.596800000000001</v>
      </c>
      <c r="AF6462">
        <v>5.5440087895311199E-2</v>
      </c>
      <c r="AG6462">
        <v>-8.4992999999999805E-2</v>
      </c>
      <c r="AH6462">
        <v>0.58786220103482001</v>
      </c>
      <c r="AI6462">
        <v>98.190957835021095</v>
      </c>
      <c r="AJ6462">
        <v>84.612486092330798</v>
      </c>
      <c r="AK6462">
        <v>0.596556267924781</v>
      </c>
    </row>
    <row r="6463" spans="1:37" x14ac:dyDescent="0.2">
      <c r="A6463" t="str">
        <f>"20200111160029575"</f>
        <v>20200111160029575</v>
      </c>
      <c r="B6463" t="str">
        <f>"1578729629567041"</f>
        <v>1578729629567041</v>
      </c>
      <c r="C6463" t="s">
        <v>37</v>
      </c>
      <c r="D6463">
        <v>5.892277</v>
      </c>
      <c r="E6463">
        <v>0.54607399999999995</v>
      </c>
      <c r="F6463" t="s">
        <v>38</v>
      </c>
      <c r="G6463">
        <v>-190.09520000000001</v>
      </c>
      <c r="H6463">
        <v>1.019522</v>
      </c>
      <c r="I6463">
        <v>36.005000000000003</v>
      </c>
      <c r="J6463">
        <v>-190.17089999999999</v>
      </c>
      <c r="K6463">
        <v>1.1017790000000001</v>
      </c>
      <c r="L6463">
        <v>35.454799999999999</v>
      </c>
      <c r="M6463">
        <v>4.3235969999999999E-2</v>
      </c>
      <c r="N6463">
        <v>0</v>
      </c>
      <c r="O6463">
        <v>0.99895719999999999</v>
      </c>
      <c r="P6463">
        <v>-1.4826840000000001E-2</v>
      </c>
      <c r="Q6463">
        <v>9.8403239999999993E-3</v>
      </c>
      <c r="R6463">
        <v>0.999841599999999</v>
      </c>
      <c r="S6463">
        <v>0.30897520000000001</v>
      </c>
      <c r="T6463">
        <v>-0.27345439999999999</v>
      </c>
      <c r="U6463">
        <v>3.00839199999999</v>
      </c>
      <c r="V6463">
        <v>-5.7893350000000003E-2</v>
      </c>
      <c r="W6463">
        <v>2.4845249999999999E-2</v>
      </c>
      <c r="X6463">
        <v>0.99801359999999995</v>
      </c>
      <c r="Y6463">
        <v>5.8641459999999999E-2</v>
      </c>
      <c r="Z6463">
        <v>-9.0084780000000003E-2</v>
      </c>
      <c r="AA6463">
        <v>0.99420620000000004</v>
      </c>
      <c r="AB6463">
        <v>34</v>
      </c>
      <c r="AC6463">
        <v>7.5699999999983406E-2</v>
      </c>
      <c r="AD6463">
        <v>-8.2256999999999997E-2</v>
      </c>
      <c r="AE6463">
        <v>0.55020000000000302</v>
      </c>
      <c r="AF6463">
        <v>5.0725485139946402E-2</v>
      </c>
      <c r="AG6463">
        <v>-8.2256999999999997E-2</v>
      </c>
      <c r="AH6463">
        <v>0.54108929522280302</v>
      </c>
      <c r="AI6463">
        <v>98.606816322137405</v>
      </c>
      <c r="AJ6463">
        <v>84.644346713564403</v>
      </c>
      <c r="AK6463">
        <v>0.54965162994063099</v>
      </c>
    </row>
    <row r="6464" spans="1:37" x14ac:dyDescent="0.2">
      <c r="A6464" t="str">
        <f>"20200111160030054"</f>
        <v>20200111160030054</v>
      </c>
      <c r="B6464" t="str">
        <f>"1578729630047882"</f>
        <v>1578729630047882</v>
      </c>
      <c r="C6464" t="s">
        <v>37</v>
      </c>
      <c r="D6464">
        <v>5.8384</v>
      </c>
      <c r="E6464">
        <v>0.50149460000000001</v>
      </c>
      <c r="F6464" t="s">
        <v>39</v>
      </c>
      <c r="G6464">
        <v>-189.11940000000001</v>
      </c>
      <c r="H6464" s="1">
        <v>-2.4287409999999998E-6</v>
      </c>
      <c r="I6464">
        <v>54.930100000000003</v>
      </c>
      <c r="J6464">
        <v>-189.6251</v>
      </c>
      <c r="K6464">
        <v>1.104622</v>
      </c>
      <c r="L6464">
        <v>42.678620000000002</v>
      </c>
      <c r="M6464">
        <v>8.3144380000000004E-2</v>
      </c>
      <c r="N6464">
        <v>0</v>
      </c>
      <c r="O6464">
        <v>0.99643110000000001</v>
      </c>
      <c r="P6464">
        <v>2.342522E-2</v>
      </c>
      <c r="Q6464">
        <v>5.2573919999999996E-3</v>
      </c>
      <c r="R6464">
        <v>0.99971180000000004</v>
      </c>
      <c r="S6464">
        <v>0.1271515</v>
      </c>
      <c r="T6464">
        <v>-0.26307179999999902</v>
      </c>
      <c r="U6464">
        <v>2.9994509999999899</v>
      </c>
      <c r="V6464">
        <v>-5.97998E-2</v>
      </c>
      <c r="W6464">
        <v>1.9751999999999999E-2</v>
      </c>
      <c r="X6464">
        <v>0.99801489999999904</v>
      </c>
      <c r="Y6464">
        <v>-4.1032159999999998E-2</v>
      </c>
      <c r="Z6464">
        <v>-8.6843039999999996E-2</v>
      </c>
      <c r="AA6464">
        <v>0.99537659999999994</v>
      </c>
      <c r="AB6464">
        <v>33</v>
      </c>
      <c r="AC6464">
        <v>0.50569999999999005</v>
      </c>
      <c r="AD6464">
        <v>-1.1046244287410001</v>
      </c>
      <c r="AE6464">
        <v>12.251480000000001</v>
      </c>
      <c r="AF6464">
        <v>-0.51065687963163897</v>
      </c>
      <c r="AG6464">
        <v>-1.1046244287410001</v>
      </c>
      <c r="AH6464">
        <v>12.1524780628729</v>
      </c>
      <c r="AI6464">
        <v>95.189190428021803</v>
      </c>
      <c r="AJ6464">
        <v>92.406199049924098</v>
      </c>
      <c r="AK6464">
        <v>12.2132587234486</v>
      </c>
    </row>
    <row r="6465" spans="1:37" x14ac:dyDescent="0.2">
      <c r="A6465" t="str">
        <f>"20200111160030077"</f>
        <v>20200111160030077</v>
      </c>
      <c r="B6465" t="str">
        <f>"1578729630067402"</f>
        <v>1578729630067402</v>
      </c>
      <c r="C6465" t="s">
        <v>37</v>
      </c>
      <c r="D6465">
        <v>5.8320249999999998</v>
      </c>
      <c r="E6465">
        <v>0.4997027</v>
      </c>
      <c r="F6465" t="s">
        <v>39</v>
      </c>
      <c r="G6465">
        <v>-189.3578</v>
      </c>
      <c r="H6465" s="1">
        <v>-2.1498379999999999E-6</v>
      </c>
      <c r="I6465">
        <v>54.378540000000001</v>
      </c>
      <c r="J6465">
        <v>-189.59729999999999</v>
      </c>
      <c r="K6465">
        <v>1.1048770000000001</v>
      </c>
      <c r="L6465">
        <v>43.024079999999998</v>
      </c>
      <c r="M6465">
        <v>8.2036929999999994E-2</v>
      </c>
      <c r="N6465">
        <v>0</v>
      </c>
      <c r="O6465">
        <v>0.99652289999999999</v>
      </c>
      <c r="P6465">
        <v>2.4365729999999999E-2</v>
      </c>
      <c r="Q6465">
        <v>4.8660719999999999E-3</v>
      </c>
      <c r="R6465">
        <v>0.9996912</v>
      </c>
      <c r="S6465">
        <v>6.8572999999999995E-2</v>
      </c>
      <c r="T6465">
        <v>-0.28330809999999901</v>
      </c>
      <c r="U6465">
        <v>3.0007320000000002</v>
      </c>
      <c r="V6465">
        <v>-5.776382E-2</v>
      </c>
      <c r="W6465">
        <v>1.9323400000000001E-2</v>
      </c>
      <c r="X6465">
        <v>0.99814329999999996</v>
      </c>
      <c r="Y6465">
        <v>-5.9355070000000003E-2</v>
      </c>
      <c r="Z6465">
        <v>-9.3425739999999993E-2</v>
      </c>
      <c r="AA6465">
        <v>0.99385540000000006</v>
      </c>
      <c r="AB6465">
        <v>33</v>
      </c>
      <c r="AC6465">
        <v>0.239499999999992</v>
      </c>
      <c r="AD6465">
        <v>-1.104879149838</v>
      </c>
      <c r="AE6465">
        <v>11.35446</v>
      </c>
      <c r="AF6465">
        <v>-0.68639480466997105</v>
      </c>
      <c r="AG6465">
        <v>-1.104879149838</v>
      </c>
      <c r="AH6465">
        <v>11.2295457694922</v>
      </c>
      <c r="AI6465">
        <v>95.608865644312303</v>
      </c>
      <c r="AJ6465">
        <v>93.497795719379397</v>
      </c>
      <c r="AK6465">
        <v>11.304627103657401</v>
      </c>
    </row>
    <row r="6466" spans="1:37" x14ac:dyDescent="0.2">
      <c r="A6466" t="str">
        <f>"20200111160030099"</f>
        <v>20200111160030099</v>
      </c>
      <c r="B6466" t="str">
        <f>"1578729630087901"</f>
        <v>1578729630087901</v>
      </c>
      <c r="C6466" t="s">
        <v>37</v>
      </c>
      <c r="D6466">
        <v>5.8389410000000002</v>
      </c>
      <c r="E6466">
        <v>0.49838850000000001</v>
      </c>
      <c r="F6466" t="s">
        <v>39</v>
      </c>
      <c r="G6466">
        <v>-189.3947</v>
      </c>
      <c r="H6466" s="1">
        <v>-1.9284850000000001E-6</v>
      </c>
      <c r="I6466">
        <v>53.877850000000002</v>
      </c>
      <c r="J6466">
        <v>-189.572</v>
      </c>
      <c r="K6466">
        <v>1.105084</v>
      </c>
      <c r="L6466">
        <v>43.344819999999999</v>
      </c>
      <c r="M6466">
        <v>8.0805909999999995E-2</v>
      </c>
      <c r="N6466">
        <v>0</v>
      </c>
      <c r="O6466">
        <v>0.9966235</v>
      </c>
      <c r="P6466">
        <v>2.4625669999999999E-2</v>
      </c>
      <c r="Q6466">
        <v>3.4761570000000001E-3</v>
      </c>
      <c r="R6466">
        <v>0.99969069999999904</v>
      </c>
      <c r="S6466">
        <v>5.5999760000000003E-2</v>
      </c>
      <c r="T6466">
        <v>-0.30549910000000002</v>
      </c>
      <c r="U6466">
        <v>3.0010680000000001</v>
      </c>
      <c r="V6466">
        <v>-5.6278380000000003E-2</v>
      </c>
      <c r="W6466">
        <v>1.790315E-2</v>
      </c>
      <c r="X6466">
        <v>0.99825459999999999</v>
      </c>
      <c r="Y6466">
        <v>-6.2299430000000003E-2</v>
      </c>
      <c r="Z6466">
        <v>-0.1006707</v>
      </c>
      <c r="AA6466">
        <v>0.99296739999999994</v>
      </c>
      <c r="AB6466">
        <v>33</v>
      </c>
      <c r="AC6466">
        <v>0.17730000000000201</v>
      </c>
      <c r="AD6466">
        <v>-1.1050859284850001</v>
      </c>
      <c r="AE6466">
        <v>10.53303</v>
      </c>
      <c r="AF6466">
        <v>-0.66715960557462095</v>
      </c>
      <c r="AG6466">
        <v>-1.1050859284850001</v>
      </c>
      <c r="AH6466">
        <v>10.398478583850199</v>
      </c>
      <c r="AI6466">
        <v>96.053916656589294</v>
      </c>
      <c r="AJ6466">
        <v>93.671028204111195</v>
      </c>
      <c r="AK6466">
        <v>10.4782953626741</v>
      </c>
    </row>
    <row r="6467" spans="1:37" x14ac:dyDescent="0.2">
      <c r="A6467" t="str">
        <f>"20200111160030123"</f>
        <v>20200111160030123</v>
      </c>
      <c r="B6467" t="str">
        <f>"1578729630118155"</f>
        <v>1578729630118155</v>
      </c>
      <c r="C6467" t="s">
        <v>37</v>
      </c>
      <c r="D6467">
        <v>5.8386629999999897</v>
      </c>
      <c r="E6467">
        <v>0.49733299999999903</v>
      </c>
      <c r="F6467" t="s">
        <v>39</v>
      </c>
      <c r="G6467">
        <v>-189.40620000000001</v>
      </c>
      <c r="H6467" s="1">
        <v>-1.994425E-6</v>
      </c>
      <c r="I6467">
        <v>54.036279999999998</v>
      </c>
      <c r="J6467">
        <v>-189.54519999999999</v>
      </c>
      <c r="K6467">
        <v>1.105286</v>
      </c>
      <c r="L6467">
        <v>43.692169999999997</v>
      </c>
      <c r="M6467">
        <v>7.9295840000000006E-2</v>
      </c>
      <c r="N6467">
        <v>0</v>
      </c>
      <c r="O6467">
        <v>0.99674490000000004</v>
      </c>
      <c r="P6467">
        <v>2.470315E-2</v>
      </c>
      <c r="Q6467">
        <v>2.0138879999999902E-3</v>
      </c>
      <c r="R6467">
        <v>0.99969279999999905</v>
      </c>
      <c r="S6467">
        <v>4.653931E-2</v>
      </c>
      <c r="T6467">
        <v>-0.31017299999999998</v>
      </c>
      <c r="U6467">
        <v>3.0008539999999999</v>
      </c>
      <c r="V6467">
        <v>-5.4694600000000003E-2</v>
      </c>
      <c r="W6467">
        <v>1.6414209999999999E-2</v>
      </c>
      <c r="X6467">
        <v>0.99836819999999904</v>
      </c>
      <c r="Y6467">
        <v>-6.3917769999999999E-2</v>
      </c>
      <c r="Z6467">
        <v>-0.102217999999999</v>
      </c>
      <c r="AA6467">
        <v>0.99270639999999999</v>
      </c>
      <c r="AB6467">
        <v>33</v>
      </c>
      <c r="AC6467">
        <v>0.138999999999981</v>
      </c>
      <c r="AD6467">
        <v>-1.105287994425</v>
      </c>
      <c r="AE6467">
        <v>10.344110000000001</v>
      </c>
      <c r="AF6467">
        <v>-0.67407479818510097</v>
      </c>
      <c r="AG6467">
        <v>-1.105287994425</v>
      </c>
      <c r="AH6467">
        <v>10.2060492720288</v>
      </c>
      <c r="AI6467">
        <v>96.167558467862094</v>
      </c>
      <c r="AJ6467">
        <v>93.778703068932799</v>
      </c>
      <c r="AK6467">
        <v>10.2878316533295</v>
      </c>
    </row>
    <row r="6468" spans="1:37" x14ac:dyDescent="0.2">
      <c r="A6468" t="str">
        <f>"20200111160030143"</f>
        <v>20200111160030143</v>
      </c>
      <c r="B6468" t="str">
        <f>"1578729630137829"</f>
        <v>1578729630137829</v>
      </c>
      <c r="C6468" t="s">
        <v>37</v>
      </c>
      <c r="D6468">
        <v>5.8589789999999997</v>
      </c>
      <c r="E6468">
        <v>0.49647010000000003</v>
      </c>
      <c r="F6468" t="s">
        <v>39</v>
      </c>
      <c r="G6468">
        <v>-189.39940000000001</v>
      </c>
      <c r="H6468" s="1">
        <v>-2.344708E-6</v>
      </c>
      <c r="I6468">
        <v>54.849980000000002</v>
      </c>
      <c r="J6468">
        <v>-189.5224</v>
      </c>
      <c r="K6468">
        <v>1.1054250000000001</v>
      </c>
      <c r="L6468">
        <v>43.99689</v>
      </c>
      <c r="M6468">
        <v>7.7844479999999994E-2</v>
      </c>
      <c r="N6468">
        <v>0</v>
      </c>
      <c r="O6468">
        <v>0.9968593</v>
      </c>
      <c r="P6468">
        <v>2.4946469999999998E-2</v>
      </c>
      <c r="Q6468">
        <v>1.0816139999999901E-3</v>
      </c>
      <c r="R6468">
        <v>0.99968819999999903</v>
      </c>
      <c r="S6468">
        <v>3.9230349999999997E-2</v>
      </c>
      <c r="T6468">
        <v>-0.29723319999999998</v>
      </c>
      <c r="U6468">
        <v>3.0005489999999999</v>
      </c>
      <c r="V6468">
        <v>-5.3001039999999999E-2</v>
      </c>
      <c r="W6468">
        <v>1.5465420000000001E-2</v>
      </c>
      <c r="X6468">
        <v>0.99847469999999905</v>
      </c>
      <c r="Y6468">
        <v>-6.4875240000000001E-2</v>
      </c>
      <c r="Z6468">
        <v>-9.8021269999999994E-2</v>
      </c>
      <c r="AA6468">
        <v>0.99306749999999899</v>
      </c>
      <c r="AB6468">
        <v>33</v>
      </c>
      <c r="AC6468">
        <v>0.12299999999999001</v>
      </c>
      <c r="AD6468">
        <v>-1.1054273447080001</v>
      </c>
      <c r="AE6468">
        <v>10.85309</v>
      </c>
      <c r="AF6468">
        <v>-0.71490039128854699</v>
      </c>
      <c r="AG6468">
        <v>-1.1054273447080001</v>
      </c>
      <c r="AH6468">
        <v>10.718543579593501</v>
      </c>
      <c r="AI6468">
        <v>95.875262288504601</v>
      </c>
      <c r="AJ6468">
        <v>93.815835394582194</v>
      </c>
      <c r="AK6468">
        <v>10.799084621000899</v>
      </c>
    </row>
    <row r="6469" spans="1:37" x14ac:dyDescent="0.2">
      <c r="A6469" t="str">
        <f>"20200111160030167"</f>
        <v>20200111160030167</v>
      </c>
      <c r="B6469" t="str">
        <f>"1578729630157348"</f>
        <v>1578729630157348</v>
      </c>
      <c r="C6469" t="s">
        <v>37</v>
      </c>
      <c r="D6469">
        <v>5.7520759999999997</v>
      </c>
      <c r="E6469">
        <v>0.4960175</v>
      </c>
      <c r="F6469" t="s">
        <v>39</v>
      </c>
      <c r="G6469">
        <v>-189.3999</v>
      </c>
      <c r="H6469" s="1">
        <v>-2.4622610000000001E-6</v>
      </c>
      <c r="I6469">
        <v>55.124209999999998</v>
      </c>
      <c r="J6469">
        <v>-189.49760000000001</v>
      </c>
      <c r="K6469">
        <v>1.1055360000000001</v>
      </c>
      <c r="L6469">
        <v>44.336030000000001</v>
      </c>
      <c r="M6469">
        <v>7.6132329999999998E-2</v>
      </c>
      <c r="N6469">
        <v>0</v>
      </c>
      <c r="O6469">
        <v>0.99699159999999998</v>
      </c>
      <c r="P6469">
        <v>2.456409E-2</v>
      </c>
      <c r="Q6469">
        <v>6.3268600000000003E-4</v>
      </c>
      <c r="R6469">
        <v>0.99969799999999998</v>
      </c>
      <c r="S6469">
        <v>3.303528E-2</v>
      </c>
      <c r="T6469">
        <v>-0.29807309999999998</v>
      </c>
      <c r="U6469">
        <v>3.0004270000000002</v>
      </c>
      <c r="V6469">
        <v>-5.167062E-2</v>
      </c>
      <c r="W6469">
        <v>1.500199E-2</v>
      </c>
      <c r="X6469">
        <v>0.99855149999999904</v>
      </c>
      <c r="Y6469">
        <v>-6.5211309999999995E-2</v>
      </c>
      <c r="Z6469">
        <v>-9.8319169999999997E-2</v>
      </c>
      <c r="AA6469">
        <v>0.99301600000000001</v>
      </c>
      <c r="AB6469">
        <v>33</v>
      </c>
      <c r="AC6469">
        <v>9.7700000000003201E-2</v>
      </c>
      <c r="AD6469">
        <v>-1.1055384622610001</v>
      </c>
      <c r="AE6469">
        <v>10.788179999999899</v>
      </c>
      <c r="AF6469">
        <v>-0.71647635073222404</v>
      </c>
      <c r="AG6469">
        <v>-1.1055384622610001</v>
      </c>
      <c r="AH6469">
        <v>10.652444513246801</v>
      </c>
      <c r="AI6469">
        <v>95.911831381828094</v>
      </c>
      <c r="AJ6469">
        <v>93.847880729897696</v>
      </c>
      <c r="AK6469">
        <v>10.733598080816099</v>
      </c>
    </row>
    <row r="6470" spans="1:37" x14ac:dyDescent="0.2">
      <c r="A6470" t="str">
        <f>"20200111160030188"</f>
        <v>20200111160030188</v>
      </c>
      <c r="B6470" t="str">
        <f>"1578729630177844"</f>
        <v>1578729630177844</v>
      </c>
      <c r="C6470" t="s">
        <v>37</v>
      </c>
      <c r="D6470">
        <v>5.8441179999999999</v>
      </c>
      <c r="E6470">
        <v>0.49567909999999998</v>
      </c>
      <c r="F6470" t="s">
        <v>39</v>
      </c>
      <c r="G6470">
        <v>-189.39609999999999</v>
      </c>
      <c r="H6470" s="1">
        <v>-2.4914419999999999E-6</v>
      </c>
      <c r="I6470">
        <v>55.190660000000001</v>
      </c>
      <c r="J6470">
        <v>-189.47409999999999</v>
      </c>
      <c r="K6470">
        <v>1.1056109999999999</v>
      </c>
      <c r="L6470">
        <v>44.665559999999999</v>
      </c>
      <c r="M6470">
        <v>7.4403750000000005E-2</v>
      </c>
      <c r="N6470">
        <v>0</v>
      </c>
      <c r="O6470">
        <v>0.99712219999999996</v>
      </c>
      <c r="P6470">
        <v>2.3702549999999999E-2</v>
      </c>
      <c r="Q6470">
        <v>-1.4788489999999999E-4</v>
      </c>
      <c r="R6470">
        <v>0.99971900000000002</v>
      </c>
      <c r="S6470">
        <v>2.8060910000000001E-2</v>
      </c>
      <c r="T6470">
        <v>-0.30558879999999999</v>
      </c>
      <c r="U6470">
        <v>3.000397</v>
      </c>
      <c r="V6470">
        <v>-5.0800320000000003E-2</v>
      </c>
      <c r="W6470">
        <v>1.4210530000000001E-2</v>
      </c>
      <c r="X6470">
        <v>0.99860780000000005</v>
      </c>
      <c r="Y6470">
        <v>-6.5129649999999997E-2</v>
      </c>
      <c r="Z6470">
        <v>-0.100795</v>
      </c>
      <c r="AA6470">
        <v>0.99277309999999996</v>
      </c>
      <c r="AB6470">
        <v>33</v>
      </c>
      <c r="AC6470">
        <v>7.80000000000029E-2</v>
      </c>
      <c r="AD6470">
        <v>-1.1056134914419999</v>
      </c>
      <c r="AE6470">
        <v>10.5251</v>
      </c>
      <c r="AF6470">
        <v>-0.69770748524715698</v>
      </c>
      <c r="AG6470">
        <v>-1.1056134914419999</v>
      </c>
      <c r="AH6470">
        <v>10.3871137339424</v>
      </c>
      <c r="AI6470">
        <v>96.062178131192994</v>
      </c>
      <c r="AJ6470">
        <v>93.842812905219802</v>
      </c>
      <c r="AK6470">
        <v>10.469064363604</v>
      </c>
    </row>
    <row r="6471" spans="1:37" x14ac:dyDescent="0.2">
      <c r="A6471" t="str">
        <f>"20200111160030211"</f>
        <v>20200111160030211</v>
      </c>
      <c r="B6471" t="str">
        <f>"1578729630208101"</f>
        <v>1578729630208101</v>
      </c>
      <c r="C6471" t="s">
        <v>37</v>
      </c>
      <c r="D6471">
        <v>5.7981319999999998</v>
      </c>
      <c r="E6471">
        <v>0.49541769999999902</v>
      </c>
      <c r="F6471" t="s">
        <v>39</v>
      </c>
      <c r="G6471">
        <v>-189.39340000000001</v>
      </c>
      <c r="H6471" s="1">
        <v>-2.5608440000000001E-6</v>
      </c>
      <c r="I6471">
        <v>55.35136</v>
      </c>
      <c r="J6471">
        <v>-189.45169999999999</v>
      </c>
      <c r="K6471">
        <v>1.105672</v>
      </c>
      <c r="L6471">
        <v>44.989690000000003</v>
      </c>
      <c r="M6471">
        <v>7.2673409999999994E-2</v>
      </c>
      <c r="N6471">
        <v>0</v>
      </c>
      <c r="O6471">
        <v>0.99724979999999996</v>
      </c>
      <c r="P6471">
        <v>2.2972079999999999E-2</v>
      </c>
      <c r="Q6471">
        <v>-1.07015E-3</v>
      </c>
      <c r="R6471">
        <v>0.9997355</v>
      </c>
      <c r="S6471">
        <v>2.26593E-2</v>
      </c>
      <c r="T6471">
        <v>-0.31042540000000002</v>
      </c>
      <c r="U6471">
        <v>3.0002749999999998</v>
      </c>
      <c r="V6471">
        <v>-4.9795730000000003E-2</v>
      </c>
      <c r="W6471">
        <v>1.328126E-2</v>
      </c>
      <c r="X6471">
        <v>0.99867109999999903</v>
      </c>
      <c r="Y6471">
        <v>-6.5186190000000005E-2</v>
      </c>
      <c r="Z6471">
        <v>-0.102397899999999</v>
      </c>
      <c r="AA6471">
        <v>0.99260539999999997</v>
      </c>
      <c r="AB6471">
        <v>33</v>
      </c>
      <c r="AC6471">
        <v>5.8299999999974199E-2</v>
      </c>
      <c r="AD6471">
        <v>-1.105674560844</v>
      </c>
      <c r="AE6471">
        <v>10.361669999999901</v>
      </c>
      <c r="AF6471">
        <v>-0.687127871674588</v>
      </c>
      <c r="AG6471">
        <v>-1.105674560844</v>
      </c>
      <c r="AH6471">
        <v>10.2221114015952</v>
      </c>
      <c r="AI6471">
        <v>96.159603250984802</v>
      </c>
      <c r="AJ6471">
        <v>93.845623346622602</v>
      </c>
      <c r="AK6471">
        <v>10.3046699342169</v>
      </c>
    </row>
    <row r="6472" spans="1:37" x14ac:dyDescent="0.2">
      <c r="A6472" t="str">
        <f>"20200111160030233"</f>
        <v>20200111160030233</v>
      </c>
      <c r="B6472" t="str">
        <f>"1578729630227447"</f>
        <v>1578729630227447</v>
      </c>
      <c r="C6472" t="s">
        <v>37</v>
      </c>
      <c r="D6472">
        <v>5.8958659999999998</v>
      </c>
      <c r="E6472">
        <v>0.49475449999999999</v>
      </c>
      <c r="F6472" t="s">
        <v>39</v>
      </c>
      <c r="G6472">
        <v>-189.38570000000001</v>
      </c>
      <c r="H6472" s="1">
        <v>-2.73582499999999E-6</v>
      </c>
      <c r="I6472">
        <v>55.756039999999999</v>
      </c>
      <c r="J6472">
        <v>-189.4297</v>
      </c>
      <c r="K6472">
        <v>1.105721</v>
      </c>
      <c r="L6472">
        <v>45.315309999999997</v>
      </c>
      <c r="M6472">
        <v>7.0921079999999997E-2</v>
      </c>
      <c r="N6472">
        <v>0</v>
      </c>
      <c r="O6472">
        <v>0.99737600000000004</v>
      </c>
      <c r="P6472">
        <v>2.296171E-2</v>
      </c>
      <c r="Q6472">
        <v>-1.828386E-3</v>
      </c>
      <c r="R6472">
        <v>0.99973469999999998</v>
      </c>
      <c r="S6472">
        <v>1.8386840000000002E-2</v>
      </c>
      <c r="T6472">
        <v>-0.3080947</v>
      </c>
      <c r="U6472">
        <v>3.0000309999999999</v>
      </c>
      <c r="V6472">
        <v>-4.8049889999999998E-2</v>
      </c>
      <c r="W6472">
        <v>1.2521239999999999E-2</v>
      </c>
      <c r="X6472">
        <v>0.9987665</v>
      </c>
      <c r="Y6472">
        <v>-6.4845349999999996E-2</v>
      </c>
      <c r="Z6472">
        <v>-0.1016663</v>
      </c>
      <c r="AA6472">
        <v>0.99270290000000005</v>
      </c>
      <c r="AB6472">
        <v>33</v>
      </c>
      <c r="AC6472">
        <v>4.3999999999982699E-2</v>
      </c>
      <c r="AD6472">
        <v>-1.1057237358250001</v>
      </c>
      <c r="AE6472">
        <v>10.44073</v>
      </c>
      <c r="AF6472">
        <v>-0.68893012648507002</v>
      </c>
      <c r="AG6472">
        <v>-1.1057237358250001</v>
      </c>
      <c r="AH6472">
        <v>10.3020112176137</v>
      </c>
      <c r="AI6472">
        <v>96.112603962503101</v>
      </c>
      <c r="AJ6472">
        <v>93.825865046529501</v>
      </c>
      <c r="AK6472">
        <v>10.3840591690814</v>
      </c>
    </row>
    <row r="6473" spans="1:37" x14ac:dyDescent="0.2">
      <c r="A6473" t="str">
        <f>"20200111160030255"</f>
        <v>20200111160030255</v>
      </c>
      <c r="B6473" t="str">
        <f>"1578729630247943"</f>
        <v>1578729630247943</v>
      </c>
      <c r="C6473" t="s">
        <v>37</v>
      </c>
      <c r="D6473">
        <v>5.8822140000000003</v>
      </c>
      <c r="E6473">
        <v>0.49438949999999998</v>
      </c>
      <c r="F6473" t="s">
        <v>39</v>
      </c>
      <c r="G6473">
        <v>-189.3836</v>
      </c>
      <c r="H6473" s="1">
        <v>-2.8802299999999902E-6</v>
      </c>
      <c r="I6473">
        <v>56.091790000000003</v>
      </c>
      <c r="J6473">
        <v>-189.4076</v>
      </c>
      <c r="K6473">
        <v>1.1057569999999901</v>
      </c>
      <c r="L6473">
        <v>45.651890000000002</v>
      </c>
      <c r="M6473">
        <v>6.9097729999999996E-2</v>
      </c>
      <c r="N6473">
        <v>0</v>
      </c>
      <c r="O6473">
        <v>0.99750409999999901</v>
      </c>
      <c r="P6473">
        <v>2.2784579999999999E-2</v>
      </c>
      <c r="Q6473">
        <v>-2.5873900000000002E-3</v>
      </c>
      <c r="R6473">
        <v>0.99973699999999999</v>
      </c>
      <c r="S6473">
        <v>1.2832639999999999E-2</v>
      </c>
      <c r="T6473">
        <v>-0.30780930000000001</v>
      </c>
      <c r="U6473">
        <v>2.9999389999999999</v>
      </c>
      <c r="V6473">
        <v>-4.6399099999999999E-2</v>
      </c>
      <c r="W6473">
        <v>1.176074E-2</v>
      </c>
      <c r="X6473">
        <v>0.99885369999999996</v>
      </c>
      <c r="Y6473">
        <v>-6.4858849999999996E-2</v>
      </c>
      <c r="Z6473">
        <v>-0.10159609999999999</v>
      </c>
      <c r="AA6473">
        <v>0.99270919999999896</v>
      </c>
      <c r="AB6473">
        <v>33</v>
      </c>
      <c r="AC6473">
        <v>2.4000000000000899E-2</v>
      </c>
      <c r="AD6473">
        <v>-1.1057598802299999</v>
      </c>
      <c r="AE6473">
        <v>10.4399</v>
      </c>
      <c r="AF6473">
        <v>-0.68976888202341602</v>
      </c>
      <c r="AG6473">
        <v>-1.1057598802299999</v>
      </c>
      <c r="AH6473">
        <v>10.301040726914801</v>
      </c>
      <c r="AI6473">
        <v>96.113338348577997</v>
      </c>
      <c r="AJ6473">
        <v>93.830868893718801</v>
      </c>
      <c r="AK6473">
        <v>10.383155882528699</v>
      </c>
    </row>
    <row r="6474" spans="1:37" x14ac:dyDescent="0.2">
      <c r="A6474" t="str">
        <f>"20200111160030278"</f>
        <v>20200111160030278</v>
      </c>
      <c r="B6474" t="str">
        <f>"1578729630267463"</f>
        <v>1578729630267463</v>
      </c>
      <c r="C6474" t="s">
        <v>37</v>
      </c>
      <c r="D6474">
        <v>6.0397220000000003</v>
      </c>
      <c r="E6474">
        <v>0.49371799999999999</v>
      </c>
      <c r="F6474" t="s">
        <v>39</v>
      </c>
      <c r="G6474">
        <v>-189.3742</v>
      </c>
      <c r="H6474" s="1">
        <v>-2.9613599999999999E-6</v>
      </c>
      <c r="I6474">
        <v>56.277019999999901</v>
      </c>
      <c r="J6474">
        <v>-189.38669999999999</v>
      </c>
      <c r="K6474">
        <v>1.1057889999999999</v>
      </c>
      <c r="L6474">
        <v>45.97983</v>
      </c>
      <c r="M6474">
        <v>6.7296330000000001E-2</v>
      </c>
      <c r="N6474">
        <v>0</v>
      </c>
      <c r="O6474">
        <v>0.99762729999999999</v>
      </c>
      <c r="P6474">
        <v>2.204089E-2</v>
      </c>
      <c r="Q6474">
        <v>-3.235829E-3</v>
      </c>
      <c r="R6474">
        <v>0.99975179999999997</v>
      </c>
      <c r="S6474">
        <v>9.4299320000000002E-3</v>
      </c>
      <c r="T6474">
        <v>-0.31218859999999998</v>
      </c>
      <c r="U6474">
        <v>2.9997859999999998</v>
      </c>
      <c r="V6474">
        <v>-4.5336809999999998E-2</v>
      </c>
      <c r="W6474">
        <v>1.1108949999999999E-2</v>
      </c>
      <c r="X6474">
        <v>0.99890999999999996</v>
      </c>
      <c r="Y6474">
        <v>-6.4183119999999996E-2</v>
      </c>
      <c r="Z6474">
        <v>-0.1030529</v>
      </c>
      <c r="AA6474">
        <v>0.99260289999999995</v>
      </c>
      <c r="AB6474">
        <v>33</v>
      </c>
      <c r="AC6474">
        <v>1.24999999999886E-2</v>
      </c>
      <c r="AD6474">
        <v>-1.10579196136</v>
      </c>
      <c r="AE6474">
        <v>10.297189999999899</v>
      </c>
      <c r="AF6474">
        <v>-0.67280568074431402</v>
      </c>
      <c r="AG6474">
        <v>-1.10579196136</v>
      </c>
      <c r="AH6474">
        <v>10.1575450418578</v>
      </c>
      <c r="AI6474">
        <v>96.199507493085406</v>
      </c>
      <c r="AJ6474">
        <v>93.789567056671302</v>
      </c>
      <c r="AK6474">
        <v>10.2396857677968</v>
      </c>
    </row>
    <row r="6475" spans="1:37" x14ac:dyDescent="0.2">
      <c r="A6475" t="str">
        <f>"20200111160030301"</f>
        <v>20200111160030301</v>
      </c>
      <c r="B6475" t="str">
        <f>"1578729630297719"</f>
        <v>1578729630297719</v>
      </c>
      <c r="C6475" t="s">
        <v>37</v>
      </c>
      <c r="D6475">
        <v>6.0151510000000004</v>
      </c>
      <c r="E6475">
        <v>0.49324040000000002</v>
      </c>
      <c r="F6475" t="s">
        <v>39</v>
      </c>
      <c r="G6475">
        <v>-189.3792</v>
      </c>
      <c r="H6475" s="1">
        <v>-3.136327E-6</v>
      </c>
      <c r="I6475">
        <v>56.686909999999997</v>
      </c>
      <c r="J6475">
        <v>-189.36689999999999</v>
      </c>
      <c r="K6475">
        <v>1.105837</v>
      </c>
      <c r="L6475">
        <v>46.300899999999999</v>
      </c>
      <c r="M6475">
        <v>6.5483440000000004E-2</v>
      </c>
      <c r="N6475">
        <v>0</v>
      </c>
      <c r="O6475">
        <v>0.99774799999999997</v>
      </c>
      <c r="P6475">
        <v>2.1397220000000002E-2</v>
      </c>
      <c r="Q6475">
        <v>-3.746742E-3</v>
      </c>
      <c r="R6475">
        <v>0.99976399999999999</v>
      </c>
      <c r="S6475">
        <v>2.120972E-3</v>
      </c>
      <c r="T6475">
        <v>-0.30979859999999998</v>
      </c>
      <c r="U6475">
        <v>2.999695</v>
      </c>
      <c r="V6475">
        <v>-4.4163849999999998E-2</v>
      </c>
      <c r="W6475">
        <v>1.059447E-2</v>
      </c>
      <c r="X6475">
        <v>0.99896810000000003</v>
      </c>
      <c r="Y6475">
        <v>-6.4788129999999999E-2</v>
      </c>
      <c r="Z6475">
        <v>-0.1022922</v>
      </c>
      <c r="AA6475">
        <v>0.99264229999999998</v>
      </c>
      <c r="AB6475">
        <v>33</v>
      </c>
      <c r="AC6475">
        <v>-1.23000000000104E-2</v>
      </c>
      <c r="AD6475">
        <v>-1.1058401363270001</v>
      </c>
      <c r="AE6475">
        <v>10.386010000000001</v>
      </c>
      <c r="AF6475">
        <v>-0.68469478963695896</v>
      </c>
      <c r="AG6475">
        <v>-1.1058401363270001</v>
      </c>
      <c r="AH6475">
        <v>10.246743566431499</v>
      </c>
      <c r="AI6475">
        <v>96.145985127171102</v>
      </c>
      <c r="AJ6475">
        <v>93.822862332671804</v>
      </c>
      <c r="AK6475">
        <v>10.328961374614201</v>
      </c>
    </row>
    <row r="6476" spans="1:37" x14ac:dyDescent="0.2">
      <c r="A6476" t="str">
        <f>"20200111160030323"</f>
        <v>20200111160030323</v>
      </c>
      <c r="B6476" t="str">
        <f>"1578729630317239"</f>
        <v>1578729630317239</v>
      </c>
      <c r="C6476" t="s">
        <v>37</v>
      </c>
      <c r="D6476">
        <v>6.0493489999999897</v>
      </c>
      <c r="E6476">
        <v>0.49298189999999997</v>
      </c>
      <c r="F6476" t="s">
        <v>39</v>
      </c>
      <c r="G6476">
        <v>-189.38079999999999</v>
      </c>
      <c r="H6476" s="1">
        <v>-3.2731009999999999E-6</v>
      </c>
      <c r="I6476">
        <v>57.006439999999998</v>
      </c>
      <c r="J6476">
        <v>-189.3477</v>
      </c>
      <c r="K6476">
        <v>1.105898</v>
      </c>
      <c r="L6476">
        <v>46.623379999999997</v>
      </c>
      <c r="M6476">
        <v>6.358142E-2</v>
      </c>
      <c r="N6476">
        <v>0</v>
      </c>
      <c r="O6476">
        <v>0.99787099999999995</v>
      </c>
      <c r="P6476">
        <v>2.0697690000000001E-2</v>
      </c>
      <c r="Q6476">
        <v>-4.8187909999999898E-3</v>
      </c>
      <c r="R6476">
        <v>0.99977419999999995</v>
      </c>
      <c r="S6476">
        <v>-3.90625E-3</v>
      </c>
      <c r="T6476">
        <v>-0.30985049999999997</v>
      </c>
      <c r="U6476">
        <v>2.9996339999999999</v>
      </c>
      <c r="V6476">
        <v>-4.2956269999999998E-2</v>
      </c>
      <c r="W6476">
        <v>9.5187829999999994E-3</v>
      </c>
      <c r="X6476">
        <v>0.99903159999999902</v>
      </c>
      <c r="Y6476">
        <v>-6.4880480000000004E-2</v>
      </c>
      <c r="Z6476">
        <v>-0.1023297</v>
      </c>
      <c r="AA6476">
        <v>0.99263239999999997</v>
      </c>
      <c r="AB6476">
        <v>33</v>
      </c>
      <c r="AC6476">
        <v>-3.3099999999990297E-2</v>
      </c>
      <c r="AD6476">
        <v>-1.1059012731010001</v>
      </c>
      <c r="AE6476">
        <v>10.38306</v>
      </c>
      <c r="AF6476">
        <v>-0.68549585960892101</v>
      </c>
      <c r="AG6476">
        <v>-1.1059012731010001</v>
      </c>
      <c r="AH6476">
        <v>10.243734319319101</v>
      </c>
      <c r="AI6476">
        <v>96.148074321254299</v>
      </c>
      <c r="AJ6476">
        <v>93.828442656874998</v>
      </c>
      <c r="AK6476">
        <v>10.326035783599799</v>
      </c>
    </row>
    <row r="6477" spans="1:37" x14ac:dyDescent="0.2">
      <c r="A6477" t="str">
        <f>"20200111160030344"</f>
        <v>20200111160030344</v>
      </c>
      <c r="B6477" t="str">
        <f>"1578729630337735"</f>
        <v>1578729630337735</v>
      </c>
      <c r="C6477" t="s">
        <v>37</v>
      </c>
      <c r="D6477">
        <v>5.8798890000000004</v>
      </c>
      <c r="E6477">
        <v>0.49282330000000002</v>
      </c>
      <c r="F6477" t="s">
        <v>39</v>
      </c>
      <c r="G6477">
        <v>-189.3775</v>
      </c>
      <c r="H6477" s="1">
        <v>-3.469939E-6</v>
      </c>
      <c r="I6477">
        <v>57.463869999999901</v>
      </c>
      <c r="J6477">
        <v>-189.32910000000001</v>
      </c>
      <c r="K6477">
        <v>1.105979</v>
      </c>
      <c r="L6477">
        <v>46.946719999999999</v>
      </c>
      <c r="M6477">
        <v>6.1563229999999997E-2</v>
      </c>
      <c r="N6477">
        <v>0</v>
      </c>
      <c r="O6477">
        <v>0.99799760000000004</v>
      </c>
      <c r="P6477">
        <v>1.8697269999999998E-2</v>
      </c>
      <c r="Q6477">
        <v>-6.6651119999999999E-3</v>
      </c>
      <c r="R6477">
        <v>0.99980290000000005</v>
      </c>
      <c r="S6477">
        <v>-8.2397459999999992E-3</v>
      </c>
      <c r="T6477">
        <v>-0.30598219999999998</v>
      </c>
      <c r="U6477">
        <v>2.9993590000000001</v>
      </c>
      <c r="V6477">
        <v>-4.2927890000000003E-2</v>
      </c>
      <c r="W6477">
        <v>7.6615700000000004E-3</v>
      </c>
      <c r="X6477">
        <v>0.99904879999999996</v>
      </c>
      <c r="Y6477">
        <v>-6.4297019999999996E-2</v>
      </c>
      <c r="Z6477">
        <v>-0.10109559999999999</v>
      </c>
      <c r="AA6477">
        <v>0.99279680000000003</v>
      </c>
      <c r="AB6477">
        <v>33</v>
      </c>
      <c r="AC6477">
        <v>-4.83999999999866E-2</v>
      </c>
      <c r="AD6477">
        <v>-1.105982469939</v>
      </c>
      <c r="AE6477">
        <v>10.5171499999999</v>
      </c>
      <c r="AF6477">
        <v>-0.68823537796287904</v>
      </c>
      <c r="AG6477">
        <v>-1.105982469939</v>
      </c>
      <c r="AH6477">
        <v>10.379437067600501</v>
      </c>
      <c r="AI6477">
        <v>96.068983189056993</v>
      </c>
      <c r="AJ6477">
        <v>93.793591365824099</v>
      </c>
      <c r="AK6477">
        <v>10.460859381502599</v>
      </c>
    </row>
    <row r="6478" spans="1:37" x14ac:dyDescent="0.2">
      <c r="A6478" t="str">
        <f>"20200111160030368"</f>
        <v>20200111160030368</v>
      </c>
      <c r="B6478" t="str">
        <f>"1578729630357255"</f>
        <v>1578729630357255</v>
      </c>
      <c r="C6478" t="s">
        <v>37</v>
      </c>
      <c r="D6478">
        <v>5.9298900000000003</v>
      </c>
      <c r="E6478">
        <v>0.49265119999999901</v>
      </c>
      <c r="F6478" t="s">
        <v>39</v>
      </c>
      <c r="G6478">
        <v>-189.38470000000001</v>
      </c>
      <c r="H6478" s="1">
        <v>-3.527089E-6</v>
      </c>
      <c r="I6478">
        <v>57.600090000000002</v>
      </c>
      <c r="J6478">
        <v>-189.31049999999999</v>
      </c>
      <c r="K6478">
        <v>1.1060920000000001</v>
      </c>
      <c r="L6478">
        <v>47.28745</v>
      </c>
      <c r="M6478">
        <v>5.927201E-2</v>
      </c>
      <c r="N6478">
        <v>0</v>
      </c>
      <c r="O6478">
        <v>0.99813629999999998</v>
      </c>
      <c r="P6478">
        <v>1.6599389999999999E-2</v>
      </c>
      <c r="Q6478">
        <v>-9.0504939999999992E-3</v>
      </c>
      <c r="R6478">
        <v>0.99982119999999997</v>
      </c>
      <c r="S6478">
        <v>-1.5655519999999999E-2</v>
      </c>
      <c r="T6478">
        <v>-0.31132219999999999</v>
      </c>
      <c r="U6478">
        <v>2.99880999999999</v>
      </c>
      <c r="V6478">
        <v>-4.2721330000000002E-2</v>
      </c>
      <c r="W6478">
        <v>5.2645599999999997E-3</v>
      </c>
      <c r="X6478">
        <v>0.99907309999999905</v>
      </c>
      <c r="Y6478">
        <v>-6.4460690000000001E-2</v>
      </c>
      <c r="Z6478">
        <v>-0.10288029999999999</v>
      </c>
      <c r="AA6478">
        <v>0.99260289999999995</v>
      </c>
      <c r="AB6478">
        <v>33</v>
      </c>
      <c r="AC6478">
        <v>-7.4200000000018904E-2</v>
      </c>
      <c r="AD6478">
        <v>-1.1060955270890001</v>
      </c>
      <c r="AE6478">
        <v>10.31264</v>
      </c>
      <c r="AF6478">
        <v>-0.677590306902771</v>
      </c>
      <c r="AG6478">
        <v>-1.1060955270890001</v>
      </c>
      <c r="AH6478">
        <v>10.173082564734999</v>
      </c>
      <c r="AI6478">
        <v>96.191648595047297</v>
      </c>
      <c r="AJ6478">
        <v>93.810625300645398</v>
      </c>
      <c r="AK6478">
        <v>10.255446592322</v>
      </c>
    </row>
    <row r="6479" spans="1:37" x14ac:dyDescent="0.2">
      <c r="A6479" t="str">
        <f>"20200111160030390"</f>
        <v>20200111160030390</v>
      </c>
      <c r="B6479" t="str">
        <f>"1578729630387511"</f>
        <v>1578729630387511</v>
      </c>
      <c r="C6479" t="s">
        <v>37</v>
      </c>
      <c r="D6479">
        <v>5.844144</v>
      </c>
      <c r="E6479">
        <v>0.49249409999999999</v>
      </c>
      <c r="F6479" t="s">
        <v>38</v>
      </c>
      <c r="G6479">
        <v>-189.31799999999899</v>
      </c>
      <c r="H6479">
        <v>1.003779</v>
      </c>
      <c r="I6479">
        <v>48.256450000000001</v>
      </c>
      <c r="J6479">
        <v>-189.29390000000001</v>
      </c>
      <c r="K6479">
        <v>1.106201</v>
      </c>
      <c r="L6479">
        <v>47.605959999999897</v>
      </c>
      <c r="M6479">
        <v>5.6979210000000002E-2</v>
      </c>
      <c r="N6479">
        <v>0</v>
      </c>
      <c r="O6479">
        <v>0.99826979999999998</v>
      </c>
      <c r="P6479">
        <v>1.4886689999999999E-2</v>
      </c>
      <c r="Q6479">
        <v>-1.188868E-2</v>
      </c>
      <c r="R6479">
        <v>0.99981849999999906</v>
      </c>
      <c r="S6479">
        <v>-2.3590090000000001E-2</v>
      </c>
      <c r="T6479">
        <v>-0.31662800000000002</v>
      </c>
      <c r="U6479">
        <v>2.9980769999999999</v>
      </c>
      <c r="V6479">
        <v>-4.2124380000000003E-2</v>
      </c>
      <c r="W6479">
        <v>2.417864E-3</v>
      </c>
      <c r="X6479">
        <v>0.99910940000000004</v>
      </c>
      <c r="Y6479">
        <v>-6.4795210000000006E-2</v>
      </c>
      <c r="Z6479">
        <v>-0.10465869999999999</v>
      </c>
      <c r="AA6479">
        <v>0.99239519999999903</v>
      </c>
      <c r="AB6479">
        <v>33</v>
      </c>
      <c r="AC6479">
        <v>-2.4099999999975801E-2</v>
      </c>
      <c r="AD6479">
        <v>-0.102422</v>
      </c>
      <c r="AE6479">
        <v>0.65049000000000401</v>
      </c>
      <c r="AF6479">
        <v>-5.96522999404277E-2</v>
      </c>
      <c r="AG6479">
        <v>-0.102422</v>
      </c>
      <c r="AH6479">
        <v>0.63240281273321397</v>
      </c>
      <c r="AI6479">
        <v>99.159602209477399</v>
      </c>
      <c r="AJ6479">
        <v>95.388562570696905</v>
      </c>
      <c r="AK6479">
        <v>0.64341431482759504</v>
      </c>
    </row>
    <row r="6480" spans="1:37" x14ac:dyDescent="0.2">
      <c r="A6480" t="str">
        <f>"20200111160030412"</f>
        <v>20200111160030412</v>
      </c>
      <c r="B6480" t="str">
        <f>"1578729630408009"</f>
        <v>1578729630408009</v>
      </c>
      <c r="C6480" t="s">
        <v>37</v>
      </c>
      <c r="D6480">
        <v>5.8246359999999999</v>
      </c>
      <c r="E6480">
        <v>0.4924829</v>
      </c>
      <c r="F6480" t="s">
        <v>38</v>
      </c>
      <c r="G6480">
        <v>-189.3032</v>
      </c>
      <c r="H6480">
        <v>1.0044959999999901</v>
      </c>
      <c r="I6480">
        <v>48.542169999999999</v>
      </c>
      <c r="J6480">
        <v>-189.27799999999999</v>
      </c>
      <c r="K6480">
        <v>1.106309</v>
      </c>
      <c r="L6480">
        <v>47.930479999999903</v>
      </c>
      <c r="M6480">
        <v>5.4508189999999998E-2</v>
      </c>
      <c r="N6480">
        <v>0</v>
      </c>
      <c r="O6480">
        <v>0.99840779999999996</v>
      </c>
      <c r="P6480">
        <v>1.333081E-2</v>
      </c>
      <c r="Q6480">
        <v>-1.3990590000000001E-2</v>
      </c>
      <c r="R6480">
        <v>0.99981330000000002</v>
      </c>
      <c r="S6480">
        <v>-2.99529999999999E-2</v>
      </c>
      <c r="T6480">
        <v>-0.32563839999999999</v>
      </c>
      <c r="U6480">
        <v>2.997131</v>
      </c>
      <c r="V6480">
        <v>-4.1194999999999898E-2</v>
      </c>
      <c r="W6480">
        <v>3.0929249999999997E-4</v>
      </c>
      <c r="X6480">
        <v>0.99915109999999996</v>
      </c>
      <c r="Y6480">
        <v>-6.4431240000000001E-2</v>
      </c>
      <c r="Z6480">
        <v>-0.107658899999999</v>
      </c>
      <c r="AA6480">
        <v>0.99209789999999998</v>
      </c>
      <c r="AB6480">
        <v>33</v>
      </c>
      <c r="AC6480">
        <v>-2.5200000000012299E-2</v>
      </c>
      <c r="AD6480">
        <v>-0.101813</v>
      </c>
      <c r="AE6480">
        <v>0.61169000000000295</v>
      </c>
      <c r="AF6480">
        <v>-5.6933537398796301E-2</v>
      </c>
      <c r="AG6480">
        <v>-0.101813</v>
      </c>
      <c r="AH6480">
        <v>0.59300582781410704</v>
      </c>
      <c r="AI6480">
        <v>99.698370335412207</v>
      </c>
      <c r="AJ6480">
        <v>95.484067015741303</v>
      </c>
      <c r="AK6480">
        <v>0.60437010719528095</v>
      </c>
    </row>
    <row r="6481" spans="1:37" x14ac:dyDescent="0.2">
      <c r="A6481" t="str">
        <f>"20200111160030434"</f>
        <v>20200111160030434</v>
      </c>
      <c r="B6481" t="str">
        <f>"1578729630428038"</f>
        <v>1578729630428038</v>
      </c>
      <c r="C6481" t="s">
        <v>37</v>
      </c>
      <c r="D6481">
        <v>5.8355809999999897</v>
      </c>
      <c r="E6481">
        <v>0.49246109999999998</v>
      </c>
      <c r="F6481" t="s">
        <v>38</v>
      </c>
      <c r="G6481">
        <v>-189.28819999999999</v>
      </c>
      <c r="H6481">
        <v>1.0068170000000001</v>
      </c>
      <c r="I6481">
        <v>48.832920000000001</v>
      </c>
      <c r="J6481">
        <v>-189.26329999999999</v>
      </c>
      <c r="K6481">
        <v>1.106395</v>
      </c>
      <c r="L6481">
        <v>48.248440000000002</v>
      </c>
      <c r="M6481">
        <v>5.195984E-2</v>
      </c>
      <c r="N6481">
        <v>0</v>
      </c>
      <c r="O6481">
        <v>0.99854359999999998</v>
      </c>
      <c r="P6481">
        <v>1.0513379999999999E-2</v>
      </c>
      <c r="Q6481">
        <v>-1.5268749999999999E-2</v>
      </c>
      <c r="R6481">
        <v>0.99982819999999994</v>
      </c>
      <c r="S6481">
        <v>-3.4362789999999997E-2</v>
      </c>
      <c r="T6481">
        <v>-0.33047470000000001</v>
      </c>
      <c r="U6481">
        <v>2.9963989999999998</v>
      </c>
      <c r="V6481">
        <v>-4.145273E-2</v>
      </c>
      <c r="W6481">
        <v>-9.7969029999999996E-4</v>
      </c>
      <c r="X6481">
        <v>0.99913999999999903</v>
      </c>
      <c r="Y6481">
        <v>-6.3344579999999998E-2</v>
      </c>
      <c r="Z6481">
        <v>-0.1092904</v>
      </c>
      <c r="AA6481">
        <v>0.99198940000000002</v>
      </c>
      <c r="AB6481">
        <v>33</v>
      </c>
      <c r="AC6481">
        <v>-2.4900000000002299E-2</v>
      </c>
      <c r="AD6481">
        <v>-9.9577999999999903E-2</v>
      </c>
      <c r="AE6481">
        <v>0.584479999999999</v>
      </c>
      <c r="AF6481">
        <v>-5.3683647239540201E-2</v>
      </c>
      <c r="AG6481">
        <v>-9.9577999999999903E-2</v>
      </c>
      <c r="AH6481">
        <v>0.56599747563453295</v>
      </c>
      <c r="AI6481">
        <v>99.934450127761593</v>
      </c>
      <c r="AJ6481">
        <v>95.418173152422995</v>
      </c>
      <c r="AK6481">
        <v>0.57719221624135197</v>
      </c>
    </row>
    <row r="6482" spans="1:37" x14ac:dyDescent="0.2">
      <c r="A6482" t="str">
        <f>"20200111160030457"</f>
        <v>20200111160030457</v>
      </c>
      <c r="B6482" t="str">
        <f>"1578729630447557"</f>
        <v>1578729630447557</v>
      </c>
      <c r="C6482" t="s">
        <v>37</v>
      </c>
      <c r="D6482">
        <v>5.7864089999999999</v>
      </c>
      <c r="E6482">
        <v>0.49256650000000002</v>
      </c>
      <c r="F6482" t="s">
        <v>38</v>
      </c>
      <c r="G6482">
        <v>-189.2758</v>
      </c>
      <c r="H6482">
        <v>1.008561</v>
      </c>
      <c r="I6482">
        <v>49.12959</v>
      </c>
      <c r="J6482">
        <v>-189.24870000000001</v>
      </c>
      <c r="K6482">
        <v>1.106479</v>
      </c>
      <c r="L6482">
        <v>48.585239999999999</v>
      </c>
      <c r="M6482">
        <v>4.9144710000000001E-2</v>
      </c>
      <c r="N6482">
        <v>0</v>
      </c>
      <c r="O6482">
        <v>0.99868609999999902</v>
      </c>
      <c r="P6482">
        <v>6.50934199999999E-3</v>
      </c>
      <c r="Q6482">
        <v>-1.590741E-2</v>
      </c>
      <c r="R6482">
        <v>0.99985230000000003</v>
      </c>
      <c r="S6482">
        <v>-4.2556759999999999E-2</v>
      </c>
      <c r="T6482">
        <v>-0.33265719999999999</v>
      </c>
      <c r="U6482">
        <v>2.9958800000000001</v>
      </c>
      <c r="V6482">
        <v>-4.2632780000000002E-2</v>
      </c>
      <c r="W6482">
        <v>-1.63439799999999E-3</v>
      </c>
      <c r="X6482">
        <v>0.99908949999999996</v>
      </c>
      <c r="Y6482">
        <v>-6.3244770000000006E-2</v>
      </c>
      <c r="Z6482">
        <v>-0.11004419999999999</v>
      </c>
      <c r="AA6482">
        <v>0.99191249999999997</v>
      </c>
      <c r="AB6482">
        <v>33</v>
      </c>
      <c r="AC6482">
        <v>-2.7099999999990101E-2</v>
      </c>
      <c r="AD6482">
        <v>-9.7917999999999894E-2</v>
      </c>
      <c r="AE6482">
        <v>0.544350000000001</v>
      </c>
      <c r="AF6482">
        <v>-5.2139096089691299E-2</v>
      </c>
      <c r="AG6482">
        <v>-9.7917999999999894E-2</v>
      </c>
      <c r="AH6482">
        <v>0.52540173643496801</v>
      </c>
      <c r="AI6482">
        <v>100.506529375719</v>
      </c>
      <c r="AJ6482">
        <v>95.667284865522802</v>
      </c>
      <c r="AK6482">
        <v>0.53698547905313998</v>
      </c>
    </row>
    <row r="6483" spans="1:37" x14ac:dyDescent="0.2">
      <c r="A6483" t="str">
        <f>"20200111160030478"</f>
        <v>20200111160030478</v>
      </c>
      <c r="B6483" t="str">
        <f>"1578729630468053"</f>
        <v>1578729630468053</v>
      </c>
      <c r="C6483" t="s">
        <v>37</v>
      </c>
      <c r="D6483">
        <v>5.8208859999999998</v>
      </c>
      <c r="E6483">
        <v>0.492658599999999</v>
      </c>
      <c r="F6483" t="s">
        <v>39</v>
      </c>
      <c r="G6483">
        <v>-189.42449999999999</v>
      </c>
      <c r="H6483" s="1">
        <v>-3.9124220000000002E-6</v>
      </c>
      <c r="I6483">
        <v>58.514769999999999</v>
      </c>
      <c r="J6483">
        <v>-189.23609999999999</v>
      </c>
      <c r="K6483">
        <v>1.1065479999999901</v>
      </c>
      <c r="L6483">
        <v>48.898220000000002</v>
      </c>
      <c r="M6483">
        <v>4.6451270000000003E-2</v>
      </c>
      <c r="N6483">
        <v>0</v>
      </c>
      <c r="O6483">
        <v>0.99881500000000001</v>
      </c>
      <c r="P6483">
        <v>1.292301E-3</v>
      </c>
      <c r="Q6483">
        <v>-1.579088E-2</v>
      </c>
      <c r="R6483">
        <v>0.9998745</v>
      </c>
      <c r="S6483">
        <v>-5.3039549999999998E-2</v>
      </c>
      <c r="T6483">
        <v>-0.33379720000000002</v>
      </c>
      <c r="U6483">
        <v>2.9954830000000001</v>
      </c>
      <c r="V6483">
        <v>-4.515139E-2</v>
      </c>
      <c r="W6483">
        <v>-1.540605E-3</v>
      </c>
      <c r="X6483">
        <v>0.99897899999999995</v>
      </c>
      <c r="Y6483">
        <v>-6.4024780000000003E-2</v>
      </c>
      <c r="Z6483">
        <v>-0.110446699999999</v>
      </c>
      <c r="AA6483">
        <v>0.99181769999999903</v>
      </c>
      <c r="AB6483">
        <v>33</v>
      </c>
      <c r="AC6483">
        <v>-0.18840000000000101</v>
      </c>
      <c r="AD6483">
        <v>-1.10655191242199</v>
      </c>
      <c r="AE6483">
        <v>9.6165499999999895</v>
      </c>
      <c r="AF6483">
        <v>-0.62665066071156506</v>
      </c>
      <c r="AG6483">
        <v>-1.10655191242199</v>
      </c>
      <c r="AH6483">
        <v>9.4720482373588393</v>
      </c>
      <c r="AI6483">
        <v>96.648850692705693</v>
      </c>
      <c r="AJ6483">
        <v>93.785051697290697</v>
      </c>
      <c r="AK6483">
        <v>9.5570312334065193</v>
      </c>
    </row>
    <row r="6484" spans="1:37" x14ac:dyDescent="0.2">
      <c r="A6484" t="str">
        <f>"20200111160030500"</f>
        <v>20200111160030500</v>
      </c>
      <c r="B6484" t="str">
        <f>"1578729630497333"</f>
        <v>1578729630497333</v>
      </c>
      <c r="C6484" t="s">
        <v>37</v>
      </c>
      <c r="D6484">
        <v>5.8771059999999897</v>
      </c>
      <c r="E6484">
        <v>0.493753</v>
      </c>
      <c r="F6484" t="s">
        <v>39</v>
      </c>
      <c r="G6484">
        <v>-189.4622</v>
      </c>
      <c r="H6484" s="1">
        <v>-4.0960339999999999E-6</v>
      </c>
      <c r="I6484">
        <v>58.95834</v>
      </c>
      <c r="J6484">
        <v>-189.2244</v>
      </c>
      <c r="K6484">
        <v>1.106587</v>
      </c>
      <c r="L6484">
        <v>49.208370000000002</v>
      </c>
      <c r="M6484">
        <v>4.374111E-2</v>
      </c>
      <c r="N6484">
        <v>0</v>
      </c>
      <c r="O6484">
        <v>0.99893739999999998</v>
      </c>
      <c r="P6484">
        <v>-4.4404609999999997E-3</v>
      </c>
      <c r="Q6484">
        <v>-1.656821E-2</v>
      </c>
      <c r="R6484">
        <v>0.99985290000000004</v>
      </c>
      <c r="S6484">
        <v>-6.7321779999999998E-2</v>
      </c>
      <c r="T6484">
        <v>-0.32946170000000002</v>
      </c>
      <c r="U6484">
        <v>2.9952700000000001</v>
      </c>
      <c r="V6484">
        <v>-4.8162589999999998E-2</v>
      </c>
      <c r="W6484">
        <v>-2.3433820000000002E-3</v>
      </c>
      <c r="X6484">
        <v>0.99883679999999997</v>
      </c>
      <c r="Y6484">
        <v>-6.6049109999999994E-2</v>
      </c>
      <c r="Z6484">
        <v>-0.10904469999999999</v>
      </c>
      <c r="AA6484">
        <v>0.9918401</v>
      </c>
      <c r="AB6484">
        <v>33</v>
      </c>
      <c r="AC6484">
        <v>-0.23779999999999199</v>
      </c>
      <c r="AD6484">
        <v>-1.106591096034</v>
      </c>
      <c r="AE6484">
        <v>9.7499699999999905</v>
      </c>
      <c r="AF6484">
        <v>-0.65565104436197197</v>
      </c>
      <c r="AG6484">
        <v>-1.106591096034</v>
      </c>
      <c r="AH6484">
        <v>9.6065598835651898</v>
      </c>
      <c r="AI6484">
        <v>96.555889689386106</v>
      </c>
      <c r="AJ6484">
        <v>93.904401960836793</v>
      </c>
      <c r="AK6484">
        <v>9.6922863629960201</v>
      </c>
    </row>
    <row r="6485" spans="1:37" x14ac:dyDescent="0.2">
      <c r="A6485" t="str">
        <f>"20200111160030523"</f>
        <v>20200111160030523</v>
      </c>
      <c r="B6485" t="str">
        <f>"1578729630517830"</f>
        <v>1578729630517830</v>
      </c>
      <c r="C6485" t="s">
        <v>37</v>
      </c>
      <c r="D6485">
        <v>5.8009839999999997</v>
      </c>
      <c r="E6485">
        <v>0.49452249999999998</v>
      </c>
      <c r="F6485" t="s">
        <v>39</v>
      </c>
      <c r="G6485">
        <v>-189.48060000000001</v>
      </c>
      <c r="H6485" s="1">
        <v>-4.2699429999999997E-6</v>
      </c>
      <c r="I6485">
        <v>59.37133</v>
      </c>
      <c r="J6485">
        <v>-189.21299999999999</v>
      </c>
      <c r="K6485">
        <v>1.106603</v>
      </c>
      <c r="L6485">
        <v>49.538059999999902</v>
      </c>
      <c r="M6485">
        <v>4.0852430000000002E-2</v>
      </c>
      <c r="N6485">
        <v>0</v>
      </c>
      <c r="O6485">
        <v>0.99905969999999999</v>
      </c>
      <c r="P6485">
        <v>-9.7116189999999995E-3</v>
      </c>
      <c r="Q6485">
        <v>-1.725488E-2</v>
      </c>
      <c r="R6485">
        <v>0.99980400000000003</v>
      </c>
      <c r="S6485">
        <v>-7.548523E-2</v>
      </c>
      <c r="T6485">
        <v>-0.32607599999999998</v>
      </c>
      <c r="U6485">
        <v>2.9946899999999999</v>
      </c>
      <c r="V6485">
        <v>-5.0535199999999898E-2</v>
      </c>
      <c r="W6485">
        <v>-3.0504640000000001E-3</v>
      </c>
      <c r="X6485">
        <v>0.99871759999999998</v>
      </c>
      <c r="Y6485">
        <v>-6.5873379999999995E-2</v>
      </c>
      <c r="Z6485">
        <v>-0.1079749</v>
      </c>
      <c r="AA6485">
        <v>0.99196879999999998</v>
      </c>
      <c r="AB6485">
        <v>32</v>
      </c>
      <c r="AC6485">
        <v>-0.26760000000001499</v>
      </c>
      <c r="AD6485">
        <v>-1.1066072699429901</v>
      </c>
      <c r="AE6485">
        <v>9.8332700000000095</v>
      </c>
      <c r="AF6485">
        <v>-0.66076969468054403</v>
      </c>
      <c r="AG6485">
        <v>-1.1066072699429901</v>
      </c>
      <c r="AH6485">
        <v>9.6914783425195292</v>
      </c>
      <c r="AI6485">
        <v>96.499064143995497</v>
      </c>
      <c r="AJ6485">
        <v>93.900417715556301</v>
      </c>
      <c r="AK6485">
        <v>9.7768066720593403</v>
      </c>
    </row>
    <row r="6486" spans="1:37" x14ac:dyDescent="0.2">
      <c r="A6486" t="str">
        <f>"20200111160030547"</f>
        <v>20200111160030547</v>
      </c>
      <c r="B6486" t="str">
        <f>"1578729630537349"</f>
        <v>1578729630537349</v>
      </c>
      <c r="C6486" t="s">
        <v>37</v>
      </c>
      <c r="D6486">
        <v>5.9089989999999997</v>
      </c>
      <c r="E6486">
        <v>0.49498259999999999</v>
      </c>
      <c r="F6486" t="s">
        <v>39</v>
      </c>
      <c r="G6486">
        <v>-189.50370000000001</v>
      </c>
      <c r="H6486" s="1">
        <v>-1.74256E-7</v>
      </c>
      <c r="I6486">
        <v>59.77205</v>
      </c>
      <c r="J6486">
        <v>-189.20240000000001</v>
      </c>
      <c r="K6486">
        <v>1.106598</v>
      </c>
      <c r="L6486">
        <v>49.869869999999999</v>
      </c>
      <c r="M6486">
        <v>3.7980180000000002E-2</v>
      </c>
      <c r="N6486">
        <v>0</v>
      </c>
      <c r="O6486">
        <v>0.99917309999999904</v>
      </c>
      <c r="P6486">
        <v>-1.3827809999999999E-2</v>
      </c>
      <c r="Q6486">
        <v>-1.7922150000000001E-2</v>
      </c>
      <c r="R6486">
        <v>0.99974379999999996</v>
      </c>
      <c r="S6486">
        <v>-8.5052489999999994E-2</v>
      </c>
      <c r="T6486">
        <v>-0.3237603</v>
      </c>
      <c r="U6486">
        <v>2.9941709999999899</v>
      </c>
      <c r="V6486">
        <v>-5.17718E-2</v>
      </c>
      <c r="W6486">
        <v>-3.7281020000000001E-3</v>
      </c>
      <c r="X6486">
        <v>0.99865199999999998</v>
      </c>
      <c r="Y6486">
        <v>-6.6178810000000005E-2</v>
      </c>
      <c r="Z6486">
        <v>-0.107248</v>
      </c>
      <c r="AA6486">
        <v>0.99202729999999995</v>
      </c>
      <c r="AB6486">
        <v>32</v>
      </c>
      <c r="AC6486">
        <v>-0.30129999999999701</v>
      </c>
      <c r="AD6486">
        <v>-1.106598174256</v>
      </c>
      <c r="AE6486">
        <v>9.9021799999999995</v>
      </c>
      <c r="AF6486">
        <v>-0.66886322972618795</v>
      </c>
      <c r="AG6486">
        <v>-1.106598174256</v>
      </c>
      <c r="AH6486">
        <v>9.7617897787481702</v>
      </c>
      <c r="AI6486">
        <v>96.452449705824606</v>
      </c>
      <c r="AJ6486">
        <v>93.919694703264597</v>
      </c>
      <c r="AK6486">
        <v>9.8470542409300599</v>
      </c>
    </row>
    <row r="6487" spans="1:37" x14ac:dyDescent="0.2">
      <c r="A6487" t="str">
        <f>"20200111160030571"</f>
        <v>20200111160030571</v>
      </c>
      <c r="B6487" t="str">
        <f>"1578729630567606"</f>
        <v>1578729630567606</v>
      </c>
      <c r="C6487" t="s">
        <v>37</v>
      </c>
      <c r="D6487">
        <v>5.8681549999999998</v>
      </c>
      <c r="E6487">
        <v>0.49570059999999899</v>
      </c>
      <c r="F6487" t="s">
        <v>38</v>
      </c>
      <c r="G6487">
        <v>-189.23330000000001</v>
      </c>
      <c r="H6487">
        <v>1.0007709999999901</v>
      </c>
      <c r="I6487">
        <v>50.854379999999999</v>
      </c>
      <c r="J6487">
        <v>-189.19239999999999</v>
      </c>
      <c r="K6487">
        <v>1.1065590000000001</v>
      </c>
      <c r="L6487">
        <v>50.214390000000002</v>
      </c>
      <c r="M6487">
        <v>3.5083570000000001E-2</v>
      </c>
      <c r="N6487">
        <v>0</v>
      </c>
      <c r="O6487">
        <v>0.99927900000000003</v>
      </c>
      <c r="P6487">
        <v>-1.685735E-2</v>
      </c>
      <c r="Q6487">
        <v>-1.8317630000000001E-2</v>
      </c>
      <c r="R6487">
        <v>0.99969010000000003</v>
      </c>
      <c r="S6487">
        <v>-9.3994140000000004E-2</v>
      </c>
      <c r="T6487">
        <v>-0.32181569999999998</v>
      </c>
      <c r="U6487">
        <v>2.9936829999999999</v>
      </c>
      <c r="V6487">
        <v>-5.1900759999999997E-2</v>
      </c>
      <c r="W6487">
        <v>-4.1235680000000002E-3</v>
      </c>
      <c r="X6487">
        <v>0.99864379999999997</v>
      </c>
      <c r="Y6487">
        <v>-6.6253400000000004E-2</v>
      </c>
      <c r="Z6487">
        <v>-0.1066404</v>
      </c>
      <c r="AA6487">
        <v>0.99208779999999996</v>
      </c>
      <c r="AB6487">
        <v>32</v>
      </c>
      <c r="AC6487">
        <v>-4.0900000000021898E-2</v>
      </c>
      <c r="AD6487">
        <v>-0.10578799999999999</v>
      </c>
      <c r="AE6487">
        <v>0.63998999999999695</v>
      </c>
      <c r="AF6487">
        <v>-6.1652639175668697E-2</v>
      </c>
      <c r="AG6487">
        <v>-0.10578799999999999</v>
      </c>
      <c r="AH6487">
        <v>0.62125541690260999</v>
      </c>
      <c r="AI6487">
        <v>99.6173403949347</v>
      </c>
      <c r="AJ6487">
        <v>95.667407896871396</v>
      </c>
      <c r="AK6487">
        <v>0.63320647650838302</v>
      </c>
    </row>
    <row r="6488" spans="1:37" x14ac:dyDescent="0.2">
      <c r="A6488" t="str">
        <f>"20200111160030591"</f>
        <v>20200111160030591</v>
      </c>
      <c r="B6488" t="str">
        <f>"1578729630588101"</f>
        <v>1578729630588101</v>
      </c>
      <c r="C6488" t="s">
        <v>37</v>
      </c>
      <c r="D6488">
        <v>5.8616349999999997</v>
      </c>
      <c r="E6488">
        <v>0.49614829999999999</v>
      </c>
      <c r="F6488" t="s">
        <v>39</v>
      </c>
      <c r="G6488">
        <v>-189.53030000000001</v>
      </c>
      <c r="H6488" s="1">
        <v>-5.1577890000000001E-7</v>
      </c>
      <c r="I6488">
        <v>60.640839999999997</v>
      </c>
      <c r="J6488">
        <v>-189.18459999999999</v>
      </c>
      <c r="K6488">
        <v>1.1065149999999999</v>
      </c>
      <c r="L6488">
        <v>50.509859999999897</v>
      </c>
      <c r="M6488">
        <v>3.2668639999999999E-2</v>
      </c>
      <c r="N6488">
        <v>0</v>
      </c>
      <c r="O6488">
        <v>0.99936100000000005</v>
      </c>
      <c r="P6488">
        <v>-1.882267E-2</v>
      </c>
      <c r="Q6488">
        <v>-1.861807E-2</v>
      </c>
      <c r="R6488">
        <v>0.99964949999999997</v>
      </c>
      <c r="S6488">
        <v>-9.7000119999999995E-2</v>
      </c>
      <c r="T6488">
        <v>-0.3176968</v>
      </c>
      <c r="U6488">
        <v>2.9934689999999899</v>
      </c>
      <c r="V6488">
        <v>-5.1449259999999997E-2</v>
      </c>
      <c r="W6488">
        <v>-4.4191990000000004E-3</v>
      </c>
      <c r="X6488">
        <v>0.99866580000000005</v>
      </c>
      <c r="Y6488">
        <v>-6.4844170000000007E-2</v>
      </c>
      <c r="Z6488">
        <v>-0.1053144</v>
      </c>
      <c r="AA6488">
        <v>0.99232260000000005</v>
      </c>
      <c r="AB6488">
        <v>32</v>
      </c>
      <c r="AC6488">
        <v>-0.34570000000002199</v>
      </c>
      <c r="AD6488">
        <v>-1.1065155157788999</v>
      </c>
      <c r="AE6488">
        <v>10.130979999999999</v>
      </c>
      <c r="AF6488">
        <v>-0.66854959234078504</v>
      </c>
      <c r="AG6488">
        <v>-1.1065155157788999</v>
      </c>
      <c r="AH6488">
        <v>9.9951805396977296</v>
      </c>
      <c r="AI6488">
        <v>96.303230149493899</v>
      </c>
      <c r="AJ6488">
        <v>93.826654098526106</v>
      </c>
      <c r="AK6488">
        <v>10.078440810226001</v>
      </c>
    </row>
    <row r="6489" spans="1:37" x14ac:dyDescent="0.2">
      <c r="A6489" t="str">
        <f>"20200111160030612"</f>
        <v>20200111160030612</v>
      </c>
      <c r="B6489" t="str">
        <f>"1578729630607622"</f>
        <v>1578729630607622</v>
      </c>
      <c r="C6489" t="s">
        <v>37</v>
      </c>
      <c r="D6489">
        <v>6.0347029999999897</v>
      </c>
      <c r="E6489">
        <v>0.49640079999999998</v>
      </c>
      <c r="F6489" t="s">
        <v>39</v>
      </c>
      <c r="G6489">
        <v>-189.5317</v>
      </c>
      <c r="H6489" s="1">
        <v>-6.6556900000000002E-7</v>
      </c>
      <c r="I6489">
        <v>60.990600000000001</v>
      </c>
      <c r="J6489">
        <v>-189.17689999999999</v>
      </c>
      <c r="K6489">
        <v>1.106454</v>
      </c>
      <c r="L6489">
        <v>50.822420000000001</v>
      </c>
      <c r="M6489">
        <v>3.021745E-2</v>
      </c>
      <c r="N6489">
        <v>0</v>
      </c>
      <c r="O6489">
        <v>0.99943819999999906</v>
      </c>
      <c r="P6489">
        <v>-2.0499170000000001E-2</v>
      </c>
      <c r="Q6489">
        <v>-1.835001E-2</v>
      </c>
      <c r="R6489">
        <v>0.99962150000000005</v>
      </c>
      <c r="S6489">
        <v>-9.9151610000000001E-2</v>
      </c>
      <c r="T6489">
        <v>-0.31602259999999999</v>
      </c>
      <c r="U6489">
        <v>2.9933169999999998</v>
      </c>
      <c r="V6489">
        <v>-5.0677390000000003E-2</v>
      </c>
      <c r="W6489">
        <v>-4.1424950000000004E-3</v>
      </c>
      <c r="X6489">
        <v>0.99870650000000005</v>
      </c>
      <c r="Y6489">
        <v>-6.311261E-2</v>
      </c>
      <c r="Z6489">
        <v>-0.10478750000000001</v>
      </c>
      <c r="AA6489">
        <v>0.99248999999999998</v>
      </c>
      <c r="AB6489">
        <v>32</v>
      </c>
      <c r="AC6489">
        <v>-0.354800000000011</v>
      </c>
      <c r="AD6489">
        <v>-1.106454665569</v>
      </c>
      <c r="AE6489">
        <v>10.16818</v>
      </c>
      <c r="AF6489">
        <v>-0.65419000409899697</v>
      </c>
      <c r="AG6489">
        <v>-1.106454665569</v>
      </c>
      <c r="AH6489">
        <v>10.0341456694453</v>
      </c>
      <c r="AI6489">
        <v>96.2792989643374</v>
      </c>
      <c r="AJ6489">
        <v>93.730198408070805</v>
      </c>
      <c r="AK6489">
        <v>10.1161398667708</v>
      </c>
    </row>
    <row r="6490" spans="1:37" x14ac:dyDescent="0.2">
      <c r="A6490" t="str">
        <f>"20200111160030637"</f>
        <v>20200111160030637</v>
      </c>
      <c r="B6490" t="str">
        <f>"1578729630628117"</f>
        <v>1578729630628117</v>
      </c>
      <c r="C6490" t="s">
        <v>37</v>
      </c>
      <c r="D6490">
        <v>5.896255</v>
      </c>
      <c r="E6490">
        <v>0.49686179999999902</v>
      </c>
      <c r="F6490" t="s">
        <v>39</v>
      </c>
      <c r="G6490">
        <v>-189.53630000000001</v>
      </c>
      <c r="H6490" s="1">
        <v>-8.2839649999999999E-7</v>
      </c>
      <c r="I6490">
        <v>61.372069999999901</v>
      </c>
      <c r="J6490">
        <v>-189.16900000000001</v>
      </c>
      <c r="K6490">
        <v>1.1063639999999999</v>
      </c>
      <c r="L6490">
        <v>51.177729999999997</v>
      </c>
      <c r="M6490">
        <v>2.760454E-2</v>
      </c>
      <c r="N6490">
        <v>0</v>
      </c>
      <c r="O6490">
        <v>0.99951389999999996</v>
      </c>
      <c r="P6490">
        <v>-2.2658939999999999E-2</v>
      </c>
      <c r="Q6490">
        <v>-1.6227780000000001E-2</v>
      </c>
      <c r="R6490">
        <v>0.99961160000000004</v>
      </c>
      <c r="S6490">
        <v>-0.1019745</v>
      </c>
      <c r="T6490">
        <v>-0.3139381</v>
      </c>
      <c r="U6490">
        <v>2.9932859999999999</v>
      </c>
      <c r="V6490">
        <v>-5.0237209999999997E-2</v>
      </c>
      <c r="W6490">
        <v>-2.010202E-3</v>
      </c>
      <c r="X6490">
        <v>0.99873529999999999</v>
      </c>
      <c r="Y6490">
        <v>-6.1441179999999998E-2</v>
      </c>
      <c r="Z6490">
        <v>-0.10412059999999999</v>
      </c>
      <c r="AA6490">
        <v>0.99266509999999997</v>
      </c>
      <c r="AB6490">
        <v>32</v>
      </c>
      <c r="AC6490">
        <v>-0.36730000000000002</v>
      </c>
      <c r="AD6490">
        <v>-1.1063648283965</v>
      </c>
      <c r="AE6490">
        <v>10.194339999999899</v>
      </c>
      <c r="AF6490">
        <v>-0.64105888972421399</v>
      </c>
      <c r="AG6490">
        <v>-1.1063648283965</v>
      </c>
      <c r="AH6490">
        <v>10.0619561653888</v>
      </c>
      <c r="AI6490">
        <v>96.262169332111895</v>
      </c>
      <c r="AJ6490">
        <v>93.645453415498096</v>
      </c>
      <c r="AK6490">
        <v>10.142877378131599</v>
      </c>
    </row>
    <row r="6491" spans="1:37" x14ac:dyDescent="0.2">
      <c r="A6491" t="str">
        <f>"20200111160030660"</f>
        <v>20200111160030660</v>
      </c>
      <c r="B6491" t="str">
        <f>"1578729630647637"</f>
        <v>1578729630647637</v>
      </c>
      <c r="C6491" t="s">
        <v>37</v>
      </c>
      <c r="D6491">
        <v>5.89947</v>
      </c>
      <c r="E6491">
        <v>0.4973378</v>
      </c>
      <c r="F6491" t="s">
        <v>39</v>
      </c>
      <c r="G6491">
        <v>-189.55019999999999</v>
      </c>
      <c r="H6491" s="1">
        <v>-1.118793E-6</v>
      </c>
      <c r="I6491">
        <v>62.054699999999997</v>
      </c>
      <c r="J6491">
        <v>-189.1626</v>
      </c>
      <c r="K6491">
        <v>1.106247</v>
      </c>
      <c r="L6491">
        <v>51.494659999999897</v>
      </c>
      <c r="M6491">
        <v>2.5467750000000001E-2</v>
      </c>
      <c r="N6491">
        <v>0</v>
      </c>
      <c r="O6491">
        <v>0.99957070000000003</v>
      </c>
      <c r="P6491">
        <v>-2.5241090000000001E-2</v>
      </c>
      <c r="Q6491">
        <v>-1.394744E-2</v>
      </c>
      <c r="R6491">
        <v>0.99958409999999998</v>
      </c>
      <c r="S6491">
        <v>-0.104904199999999</v>
      </c>
      <c r="T6491">
        <v>-0.30452180000000001</v>
      </c>
      <c r="U6491">
        <v>2.9938349999999998</v>
      </c>
      <c r="V6491">
        <v>-5.0694490000000002E-2</v>
      </c>
      <c r="W6491">
        <v>2.773443E-4</v>
      </c>
      <c r="X6491">
        <v>0.99871409999999905</v>
      </c>
      <c r="Y6491">
        <v>-6.0282669999999997E-2</v>
      </c>
      <c r="Z6491">
        <v>-0.1010221</v>
      </c>
      <c r="AA6491">
        <v>0.99305619999999994</v>
      </c>
      <c r="AB6491">
        <v>32</v>
      </c>
      <c r="AC6491">
        <v>-0.38759999999999201</v>
      </c>
      <c r="AD6491">
        <v>-1.106248118793</v>
      </c>
      <c r="AE6491">
        <v>10.560040000000001</v>
      </c>
      <c r="AF6491">
        <v>-0.64932665818377699</v>
      </c>
      <c r="AG6491">
        <v>-1.106248118793</v>
      </c>
      <c r="AH6491">
        <v>10.4324081459225</v>
      </c>
      <c r="AI6491">
        <v>96.041396163312996</v>
      </c>
      <c r="AJ6491">
        <v>93.561569465541098</v>
      </c>
      <c r="AK6491">
        <v>10.510972825217999</v>
      </c>
    </row>
    <row r="6492" spans="1:37" x14ac:dyDescent="0.2">
      <c r="A6492" t="str">
        <f>"20200111160030681"</f>
        <v>20200111160030681</v>
      </c>
      <c r="B6492" t="str">
        <f>"1578729630677894"</f>
        <v>1578729630677894</v>
      </c>
      <c r="C6492" t="s">
        <v>37</v>
      </c>
      <c r="D6492">
        <v>5.8957839999999999</v>
      </c>
      <c r="E6492">
        <v>0.49804579999999998</v>
      </c>
      <c r="F6492" t="s">
        <v>39</v>
      </c>
      <c r="G6492">
        <v>-189.57140000000001</v>
      </c>
      <c r="H6492" s="1">
        <v>-1.4214519999999901E-6</v>
      </c>
      <c r="I6492">
        <v>62.768979999999999</v>
      </c>
      <c r="J6492">
        <v>-189.1566</v>
      </c>
      <c r="K6492">
        <v>1.1060829999999999</v>
      </c>
      <c r="L6492">
        <v>51.81335</v>
      </c>
      <c r="M6492">
        <v>2.3556730000000001E-2</v>
      </c>
      <c r="N6492">
        <v>0</v>
      </c>
      <c r="O6492">
        <v>0.9996176</v>
      </c>
      <c r="P6492">
        <v>-2.844607E-2</v>
      </c>
      <c r="Q6492">
        <v>-1.183829E-2</v>
      </c>
      <c r="R6492">
        <v>0.9995252</v>
      </c>
      <c r="S6492">
        <v>-0.1085663</v>
      </c>
      <c r="T6492">
        <v>-0.2938154</v>
      </c>
      <c r="U6492">
        <v>2.994415</v>
      </c>
      <c r="V6492">
        <v>-5.199724E-2</v>
      </c>
      <c r="W6492">
        <v>2.394022E-3</v>
      </c>
      <c r="X6492">
        <v>0.99864439999999999</v>
      </c>
      <c r="Y6492">
        <v>-5.9593380000000001E-2</v>
      </c>
      <c r="Z6492">
        <v>-9.7492980000000007E-2</v>
      </c>
      <c r="AA6492">
        <v>0.99345039999999996</v>
      </c>
      <c r="AB6492">
        <v>32</v>
      </c>
      <c r="AC6492">
        <v>-0.41480000000001299</v>
      </c>
      <c r="AD6492">
        <v>-1.106084421452</v>
      </c>
      <c r="AE6492">
        <v>10.955629999999999</v>
      </c>
      <c r="AF6492">
        <v>-0.66601181787139996</v>
      </c>
      <c r="AG6492">
        <v>-1.106084421452</v>
      </c>
      <c r="AH6492">
        <v>10.832558671094199</v>
      </c>
      <c r="AI6492">
        <v>95.8192052044527</v>
      </c>
      <c r="AJ6492">
        <v>93.518253988105499</v>
      </c>
      <c r="AK6492">
        <v>10.9092310385115</v>
      </c>
    </row>
    <row r="6493" spans="1:37" x14ac:dyDescent="0.2">
      <c r="A6493" t="str">
        <f>"20200111160030704"</f>
        <v>20200111160030704</v>
      </c>
      <c r="B6493" t="str">
        <f>"1578729630697414"</f>
        <v>1578729630697414</v>
      </c>
      <c r="C6493" t="s">
        <v>37</v>
      </c>
      <c r="D6493">
        <v>5.8755449999999998</v>
      </c>
      <c r="E6493">
        <v>0.49845820000000002</v>
      </c>
      <c r="F6493" t="s">
        <v>39</v>
      </c>
      <c r="G6493">
        <v>-189.5915</v>
      </c>
      <c r="H6493" s="1">
        <v>-1.7146700000000001E-6</v>
      </c>
      <c r="I6493">
        <v>63.460790000000003</v>
      </c>
      <c r="J6493">
        <v>-189.15099999999899</v>
      </c>
      <c r="K6493">
        <v>1.10588</v>
      </c>
      <c r="L6493">
        <v>52.125790000000002</v>
      </c>
      <c r="M6493">
        <v>2.1971520000000001E-2</v>
      </c>
      <c r="N6493">
        <v>0</v>
      </c>
      <c r="O6493">
        <v>0.99965380000000004</v>
      </c>
      <c r="P6493">
        <v>-3.2057679999999998E-2</v>
      </c>
      <c r="Q6493">
        <v>-9.8158849999999999E-3</v>
      </c>
      <c r="R6493">
        <v>0.99943780000000004</v>
      </c>
      <c r="S6493">
        <v>-0.1118164</v>
      </c>
      <c r="T6493">
        <v>-0.28440460000000001</v>
      </c>
      <c r="U6493">
        <v>2.9948730000000001</v>
      </c>
      <c r="V6493">
        <v>-5.4029140000000003E-2</v>
      </c>
      <c r="W6493">
        <v>4.4272440000000003E-3</v>
      </c>
      <c r="X6493">
        <v>0.99852960000000002</v>
      </c>
      <c r="Y6493">
        <v>-5.9092760000000001E-2</v>
      </c>
      <c r="Z6493">
        <v>-9.4389050000000002E-2</v>
      </c>
      <c r="AA6493">
        <v>0.993779999999999</v>
      </c>
      <c r="AB6493">
        <v>32</v>
      </c>
      <c r="AC6493">
        <v>-0.44050000000001399</v>
      </c>
      <c r="AD6493">
        <v>-1.10588171467</v>
      </c>
      <c r="AE6493">
        <v>11.335000000000001</v>
      </c>
      <c r="AF6493">
        <v>-0.68297572690029795</v>
      </c>
      <c r="AG6493">
        <v>-1.10588171467</v>
      </c>
      <c r="AH6493">
        <v>11.2159838810297</v>
      </c>
      <c r="AI6493">
        <v>95.6207456845667</v>
      </c>
      <c r="AJ6493">
        <v>93.484613400321606</v>
      </c>
      <c r="AK6493">
        <v>11.2910462150278</v>
      </c>
    </row>
    <row r="6494" spans="1:37" x14ac:dyDescent="0.2">
      <c r="A6494" t="str">
        <f>"20200111160030725"</f>
        <v>20200111160030725</v>
      </c>
      <c r="B6494" t="str">
        <f>"1578729630717909"</f>
        <v>1578729630717909</v>
      </c>
      <c r="C6494" t="s">
        <v>37</v>
      </c>
      <c r="D6494">
        <v>5.875102</v>
      </c>
      <c r="E6494">
        <v>0.498938099999999</v>
      </c>
      <c r="F6494" t="s">
        <v>39</v>
      </c>
      <c r="G6494">
        <v>-189.62450000000001</v>
      </c>
      <c r="H6494" s="1">
        <v>-1.978002E-6</v>
      </c>
      <c r="I6494">
        <v>64.088269999999994</v>
      </c>
      <c r="J6494">
        <v>-189.14570000000001</v>
      </c>
      <c r="K6494">
        <v>1.10562</v>
      </c>
      <c r="L6494">
        <v>52.437440000000002</v>
      </c>
      <c r="M6494">
        <v>2.0726990000000001E-2</v>
      </c>
      <c r="N6494">
        <v>0</v>
      </c>
      <c r="O6494">
        <v>0.99968049999999997</v>
      </c>
      <c r="P6494">
        <v>-3.515091E-2</v>
      </c>
      <c r="Q6494">
        <v>-7.9860309999999993E-3</v>
      </c>
      <c r="R6494">
        <v>0.99935010000000002</v>
      </c>
      <c r="S6494">
        <v>-0.1185455</v>
      </c>
      <c r="T6494">
        <v>-0.27689179999999902</v>
      </c>
      <c r="U6494">
        <v>2.9951779999999899</v>
      </c>
      <c r="V6494">
        <v>-5.5879709999999999E-2</v>
      </c>
      <c r="W6494">
        <v>6.2768669999999898E-3</v>
      </c>
      <c r="X6494">
        <v>0.99841780000000002</v>
      </c>
      <c r="Y6494">
        <v>-6.0084779999999997E-2</v>
      </c>
      <c r="Z6494">
        <v>-9.190479E-2</v>
      </c>
      <c r="AA6494">
        <v>0.99395339999999999</v>
      </c>
      <c r="AB6494">
        <v>32</v>
      </c>
      <c r="AC6494">
        <v>-0.478800000000006</v>
      </c>
      <c r="AD6494">
        <v>-1.105621978002</v>
      </c>
      <c r="AE6494">
        <v>11.6508299999999</v>
      </c>
      <c r="AF6494">
        <v>-0.71379193664551399</v>
      </c>
      <c r="AG6494">
        <v>-1.105621978002</v>
      </c>
      <c r="AH6494">
        <v>11.534702776799801</v>
      </c>
      <c r="AI6494">
        <v>95.464786447530102</v>
      </c>
      <c r="AJ6494">
        <v>93.541069229631006</v>
      </c>
      <c r="AK6494">
        <v>11.6095334547162</v>
      </c>
    </row>
    <row r="6495" spans="1:37" x14ac:dyDescent="0.2">
      <c r="A6495" t="str">
        <f>"20200111160030747"</f>
        <v>20200111160030747</v>
      </c>
      <c r="B6495" t="str">
        <f>"1578729630737429"</f>
        <v>1578729630737429</v>
      </c>
      <c r="C6495" t="s">
        <v>37</v>
      </c>
      <c r="D6495">
        <v>5.8861549999999996</v>
      </c>
      <c r="E6495">
        <v>0.49937280000000001</v>
      </c>
      <c r="F6495" t="s">
        <v>39</v>
      </c>
      <c r="G6495">
        <v>-189.6516</v>
      </c>
      <c r="H6495" s="1">
        <v>-2.2472849999999999E-6</v>
      </c>
      <c r="I6495">
        <v>64.727170000000001</v>
      </c>
      <c r="J6495">
        <v>-189.14019999999999</v>
      </c>
      <c r="K6495">
        <v>1.1053269999999999</v>
      </c>
      <c r="L6495">
        <v>52.752749999999999</v>
      </c>
      <c r="M6495">
        <v>1.9874159999999998E-2</v>
      </c>
      <c r="N6495">
        <v>0</v>
      </c>
      <c r="O6495">
        <v>0.99969789999999903</v>
      </c>
      <c r="P6495">
        <v>-3.7831429999999999E-2</v>
      </c>
      <c r="Q6495">
        <v>-6.0400239999999997E-3</v>
      </c>
      <c r="R6495">
        <v>0.99926589999999904</v>
      </c>
      <c r="S6495">
        <v>-0.12330629999999999</v>
      </c>
      <c r="T6495">
        <v>-0.2694801</v>
      </c>
      <c r="U6495">
        <v>2.9954529999999999</v>
      </c>
      <c r="V6495">
        <v>-5.7705989999999999E-2</v>
      </c>
      <c r="W6495">
        <v>8.2518769999999995E-3</v>
      </c>
      <c r="X6495">
        <v>0.99829950000000001</v>
      </c>
      <c r="Y6495">
        <v>-6.0815950000000001E-2</v>
      </c>
      <c r="Z6495">
        <v>-8.9454119999999998E-2</v>
      </c>
      <c r="AA6495">
        <v>0.99413249999999997</v>
      </c>
      <c r="AB6495">
        <v>32</v>
      </c>
      <c r="AC6495">
        <v>-0.51140000000000896</v>
      </c>
      <c r="AD6495">
        <v>-1.105329247285</v>
      </c>
      <c r="AE6495">
        <v>11.97442</v>
      </c>
      <c r="AF6495">
        <v>-0.74298617606037598</v>
      </c>
      <c r="AG6495">
        <v>-1.105329247285</v>
      </c>
      <c r="AH6495">
        <v>11.861009830250699</v>
      </c>
      <c r="AI6495">
        <v>95.3136704749204</v>
      </c>
      <c r="AJ6495">
        <v>93.584384746853303</v>
      </c>
      <c r="AK6495">
        <v>11.9355492289222</v>
      </c>
    </row>
    <row r="6496" spans="1:37" x14ac:dyDescent="0.2">
      <c r="A6496" t="str">
        <f>"20200111160030770"</f>
        <v>20200111160030770</v>
      </c>
      <c r="B6496" t="str">
        <f>"1578729630767685"</f>
        <v>1578729630767685</v>
      </c>
      <c r="C6496" t="s">
        <v>37</v>
      </c>
      <c r="D6496">
        <v>5.8668649999999998</v>
      </c>
      <c r="E6496">
        <v>0.50000080000000002</v>
      </c>
      <c r="F6496" t="s">
        <v>39</v>
      </c>
      <c r="G6496">
        <v>-189.6737</v>
      </c>
      <c r="H6496" s="1">
        <v>-2.508462E-6</v>
      </c>
      <c r="I6496">
        <v>65.345140000000001</v>
      </c>
      <c r="J6496">
        <v>-189.1345</v>
      </c>
      <c r="K6496">
        <v>1.1050409999999999</v>
      </c>
      <c r="L6496">
        <v>53.076659999999997</v>
      </c>
      <c r="M6496">
        <v>1.9340820000000002E-2</v>
      </c>
      <c r="N6496">
        <v>0</v>
      </c>
      <c r="O6496">
        <v>0.999708499999999</v>
      </c>
      <c r="P6496">
        <v>-3.9524249999999997E-2</v>
      </c>
      <c r="Q6496">
        <v>-4.2653650000000001E-3</v>
      </c>
      <c r="R6496">
        <v>0.99920949999999997</v>
      </c>
      <c r="S6496">
        <v>-0.1269226</v>
      </c>
      <c r="T6496">
        <v>-0.26296310000000001</v>
      </c>
      <c r="U6496">
        <v>2.9957889999999998</v>
      </c>
      <c r="V6496">
        <v>-5.8862209999999998E-2</v>
      </c>
      <c r="W6496">
        <v>1.006044E-2</v>
      </c>
      <c r="X6496">
        <v>0.99821539999999997</v>
      </c>
      <c r="Y6496">
        <v>-6.1484949999999997E-2</v>
      </c>
      <c r="Z6496">
        <v>-8.7295220000000007E-2</v>
      </c>
      <c r="AA6496">
        <v>0.99428329999999998</v>
      </c>
      <c r="AB6496">
        <v>32</v>
      </c>
      <c r="AC6496">
        <v>-0.53919999999999302</v>
      </c>
      <c r="AD6496">
        <v>-1.1050435084619901</v>
      </c>
      <c r="AE6496">
        <v>12.26848</v>
      </c>
      <c r="AF6496">
        <v>-0.77017008327073599</v>
      </c>
      <c r="AG6496">
        <v>-1.1050435084619901</v>
      </c>
      <c r="AH6496">
        <v>12.157313852840501</v>
      </c>
      <c r="AI6496">
        <v>95.183315218330506</v>
      </c>
      <c r="AJ6496">
        <v>93.624863662169403</v>
      </c>
      <c r="AK6496">
        <v>12.231703202302899</v>
      </c>
    </row>
    <row r="6497" spans="1:37" x14ac:dyDescent="0.2">
      <c r="A6497" t="str">
        <f>"20200111160030792"</f>
        <v>20200111160030792</v>
      </c>
      <c r="B6497" t="str">
        <f>"1578729630787206"</f>
        <v>1578729630787206</v>
      </c>
      <c r="C6497" t="s">
        <v>37</v>
      </c>
      <c r="D6497">
        <v>5.8781480000000004</v>
      </c>
      <c r="E6497">
        <v>0.50047269999999999</v>
      </c>
      <c r="F6497" t="s">
        <v>39</v>
      </c>
      <c r="G6497">
        <v>-189.67580000000001</v>
      </c>
      <c r="H6497" s="1">
        <v>-2.7574719999999999E-6</v>
      </c>
      <c r="I6497">
        <v>65.926450000000003</v>
      </c>
      <c r="J6497">
        <v>-189.12880000000001</v>
      </c>
      <c r="K6497">
        <v>1.104784</v>
      </c>
      <c r="L6497">
        <v>53.388669999999998</v>
      </c>
      <c r="M6497">
        <v>1.9157779999999999E-2</v>
      </c>
      <c r="N6497">
        <v>0</v>
      </c>
      <c r="O6497">
        <v>0.99971209999999899</v>
      </c>
      <c r="P6497">
        <v>-4.0384990000000003E-2</v>
      </c>
      <c r="Q6497">
        <v>-2.1035939999999999E-3</v>
      </c>
      <c r="R6497">
        <v>0.99918200000000001</v>
      </c>
      <c r="S6497">
        <v>-0.12622069999999999</v>
      </c>
      <c r="T6497">
        <v>-0.25767089999999998</v>
      </c>
      <c r="U6497">
        <v>2.9962770000000001</v>
      </c>
      <c r="V6497">
        <v>-5.9534719999999999E-2</v>
      </c>
      <c r="W6497">
        <v>1.225423E-2</v>
      </c>
      <c r="X6497">
        <v>0.99815100000000001</v>
      </c>
      <c r="Y6497">
        <v>-6.1069239999999997E-2</v>
      </c>
      <c r="Z6497">
        <v>-8.5539530000000003E-2</v>
      </c>
      <c r="AA6497">
        <v>0.99446139999999905</v>
      </c>
      <c r="AB6497">
        <v>32</v>
      </c>
      <c r="AC6497">
        <v>-0.54699999999999704</v>
      </c>
      <c r="AD6497">
        <v>-1.1047867574720001</v>
      </c>
      <c r="AE6497">
        <v>12.53778</v>
      </c>
      <c r="AF6497">
        <v>-0.78106758112907404</v>
      </c>
      <c r="AG6497">
        <v>-1.1047867574720001</v>
      </c>
      <c r="AH6497">
        <v>12.428678485318599</v>
      </c>
      <c r="AI6497">
        <v>95.069729039064399</v>
      </c>
      <c r="AJ6497">
        <v>93.595965680490494</v>
      </c>
      <c r="AK6497">
        <v>12.5021065919787</v>
      </c>
    </row>
    <row r="6498" spans="1:37" x14ac:dyDescent="0.2">
      <c r="A6498" t="str">
        <f>"20200111160030814"</f>
        <v>20200111160030814</v>
      </c>
      <c r="B6498" t="str">
        <f>"1578729630807701"</f>
        <v>1578729630807701</v>
      </c>
      <c r="C6498" t="s">
        <v>37</v>
      </c>
      <c r="D6498">
        <v>5.7457510000000003</v>
      </c>
      <c r="E6498">
        <v>0.50070680000000001</v>
      </c>
      <c r="F6498" t="s">
        <v>39</v>
      </c>
      <c r="G6498">
        <v>-189.68109999999999</v>
      </c>
      <c r="H6498" s="1">
        <v>-3.06543299999999E-6</v>
      </c>
      <c r="I6498">
        <v>66.646509999999907</v>
      </c>
      <c r="J6498">
        <v>-189.12280000000001</v>
      </c>
      <c r="K6498">
        <v>1.1045229999999999</v>
      </c>
      <c r="L6498">
        <v>53.703830000000004</v>
      </c>
      <c r="M6498">
        <v>1.9342499999999999E-2</v>
      </c>
      <c r="N6498">
        <v>0</v>
      </c>
      <c r="O6498">
        <v>0.99970859999999995</v>
      </c>
      <c r="P6498">
        <v>-3.9555649999999998E-2</v>
      </c>
      <c r="Q6498">
        <v>-1.170363E-3</v>
      </c>
      <c r="R6498">
        <v>0.99921669999999996</v>
      </c>
      <c r="S6498">
        <v>-0.1248474</v>
      </c>
      <c r="T6498">
        <v>-0.24973319999999999</v>
      </c>
      <c r="U6498">
        <v>2.9968870000000001</v>
      </c>
      <c r="V6498">
        <v>-5.8883360000000003E-2</v>
      </c>
      <c r="W6498">
        <v>1.3222609999999999E-2</v>
      </c>
      <c r="X6498">
        <v>0.99817730000000005</v>
      </c>
      <c r="Y6498">
        <v>-6.0799510000000001E-2</v>
      </c>
      <c r="Z6498">
        <v>-8.2907159999999994E-2</v>
      </c>
      <c r="AA6498">
        <v>0.99470079999999905</v>
      </c>
      <c r="AB6498">
        <v>32</v>
      </c>
      <c r="AC6498">
        <v>-0.55829999999997404</v>
      </c>
      <c r="AD6498">
        <v>-1.104526065433</v>
      </c>
      <c r="AE6498">
        <v>12.9426799999999</v>
      </c>
      <c r="AF6498">
        <v>-0.80273009638928505</v>
      </c>
      <c r="AG6498">
        <v>-1.104526065433</v>
      </c>
      <c r="AH6498">
        <v>12.836147515111801</v>
      </c>
      <c r="AI6498">
        <v>94.908536503101701</v>
      </c>
      <c r="AJ6498">
        <v>93.578428010042302</v>
      </c>
      <c r="AK6498">
        <v>12.908564461882699</v>
      </c>
    </row>
    <row r="6499" spans="1:37" x14ac:dyDescent="0.2">
      <c r="A6499" t="str">
        <f>"20200111160030837"</f>
        <v>20200111160030837</v>
      </c>
      <c r="B6499" t="str">
        <f>"1578729630828197"</f>
        <v>1578729630828197</v>
      </c>
      <c r="C6499" t="s">
        <v>37</v>
      </c>
      <c r="D6499">
        <v>5.8942230000000002</v>
      </c>
      <c r="E6499">
        <v>0.5211749</v>
      </c>
      <c r="F6499" t="s">
        <v>39</v>
      </c>
      <c r="G6499">
        <v>-189.66059999999999</v>
      </c>
      <c r="H6499" s="1">
        <v>-3.2652449999999999E-6</v>
      </c>
      <c r="I6499">
        <v>67.10378</v>
      </c>
      <c r="J6499">
        <v>-189.11599999999899</v>
      </c>
      <c r="K6499">
        <v>1.1042209999999999</v>
      </c>
      <c r="L6499">
        <v>54.036319999999897</v>
      </c>
      <c r="M6499">
        <v>1.99493E-2</v>
      </c>
      <c r="N6499">
        <v>0</v>
      </c>
      <c r="O6499">
        <v>0.99969669999999899</v>
      </c>
      <c r="P6499">
        <v>-3.7493390000000001E-2</v>
      </c>
      <c r="Q6499">
        <v>1.27282999999999E-4</v>
      </c>
      <c r="R6499">
        <v>0.99929679999999999</v>
      </c>
      <c r="S6499">
        <v>-0.120284999999999</v>
      </c>
      <c r="T6499">
        <v>-0.247059099999999</v>
      </c>
      <c r="U6499">
        <v>2.9972840000000001</v>
      </c>
      <c r="V6499">
        <v>-5.7418150000000001E-2</v>
      </c>
      <c r="W6499">
        <v>1.4561920000000001E-2</v>
      </c>
      <c r="X6499">
        <v>0.99824400000000002</v>
      </c>
      <c r="Y6499">
        <v>-5.9891239999999998E-2</v>
      </c>
      <c r="Z6499">
        <v>-8.2017980000000004E-2</v>
      </c>
      <c r="AA6499">
        <v>0.99482969999999904</v>
      </c>
      <c r="AB6499">
        <v>32</v>
      </c>
      <c r="AC6499">
        <v>-0.54460000000000197</v>
      </c>
      <c r="AD6499">
        <v>-1.1042242652449901</v>
      </c>
      <c r="AE6499">
        <v>13.067460000000001</v>
      </c>
      <c r="AF6499">
        <v>-0.79950643877223004</v>
      </c>
      <c r="AG6499">
        <v>-1.1042242652449901</v>
      </c>
      <c r="AH6499">
        <v>12.9616008187684</v>
      </c>
      <c r="AI6499">
        <v>94.860189961736097</v>
      </c>
      <c r="AJ6499">
        <v>93.529685957658501</v>
      </c>
      <c r="AK6499">
        <v>13.033097005650401</v>
      </c>
    </row>
    <row r="6500" spans="1:37" x14ac:dyDescent="0.2">
      <c r="A6500" t="str">
        <f>"20200111160030860"</f>
        <v>20200111160030860</v>
      </c>
      <c r="B6500" t="str">
        <f>"1578729630857477"</f>
        <v>1578729630857477</v>
      </c>
      <c r="C6500" t="s">
        <v>37</v>
      </c>
      <c r="D6500">
        <v>5.9181989999999898</v>
      </c>
      <c r="E6500">
        <v>0.51925359999999998</v>
      </c>
      <c r="F6500" t="s">
        <v>39</v>
      </c>
      <c r="G6500">
        <v>-188.87389999999999</v>
      </c>
      <c r="H6500" s="1">
        <v>-4.0904169999999997E-6</v>
      </c>
      <c r="I6500">
        <v>68.701999999999998</v>
      </c>
      <c r="J6500">
        <v>-189.1086</v>
      </c>
      <c r="K6500">
        <v>1.103901</v>
      </c>
      <c r="L6500">
        <v>54.365299999999998</v>
      </c>
      <c r="M6500">
        <v>2.0950259999999998E-2</v>
      </c>
      <c r="N6500">
        <v>0</v>
      </c>
      <c r="O6500">
        <v>0.99967629999999996</v>
      </c>
      <c r="P6500">
        <v>-3.517108E-2</v>
      </c>
      <c r="Q6500">
        <v>2.2728449999999999E-3</v>
      </c>
      <c r="R6500">
        <v>0.99937869999999995</v>
      </c>
      <c r="S6500">
        <v>4.9591059999999999E-2</v>
      </c>
      <c r="T6500">
        <v>-0.2261804</v>
      </c>
      <c r="U6500">
        <v>3.0039980000000002</v>
      </c>
      <c r="V6500">
        <v>-5.6082899999999998E-2</v>
      </c>
      <c r="W6500">
        <v>1.6751760000000001E-2</v>
      </c>
      <c r="X6500">
        <v>0.9982856</v>
      </c>
      <c r="Y6500">
        <v>-4.4936630000000002E-3</v>
      </c>
      <c r="Z6500">
        <v>-7.5050469999999994E-2</v>
      </c>
      <c r="AA6500">
        <v>0.99716959999999999</v>
      </c>
      <c r="AB6500">
        <v>32</v>
      </c>
      <c r="AC6500">
        <v>0.23470000000000299</v>
      </c>
      <c r="AD6500">
        <v>-1.103905090417</v>
      </c>
      <c r="AE6500">
        <v>14.3367</v>
      </c>
      <c r="AF6500">
        <v>-6.5353054998525895E-2</v>
      </c>
      <c r="AG6500">
        <v>-1.103905090417</v>
      </c>
      <c r="AH6500">
        <v>14.2539842080427</v>
      </c>
      <c r="AI6500">
        <v>94.428407000395495</v>
      </c>
      <c r="AJ6500">
        <v>90.262693429264104</v>
      </c>
      <c r="AK6500">
        <v>14.296815843871601</v>
      </c>
    </row>
    <row r="6501" spans="1:37" x14ac:dyDescent="0.2">
      <c r="A6501" t="str">
        <f>"20200111160030879"</f>
        <v>20200111160030879</v>
      </c>
      <c r="B6501" t="str">
        <f>"1578729630877974"</f>
        <v>1578729630877974</v>
      </c>
      <c r="C6501" t="s">
        <v>37</v>
      </c>
      <c r="D6501">
        <v>5.940779</v>
      </c>
      <c r="E6501">
        <v>0.51971109999999998</v>
      </c>
      <c r="F6501" t="s">
        <v>39</v>
      </c>
      <c r="G6501">
        <v>-188.9118</v>
      </c>
      <c r="H6501" s="1">
        <v>-4.0940070000000001E-6</v>
      </c>
      <c r="I6501">
        <v>68.726029999999994</v>
      </c>
      <c r="J6501">
        <v>-189.1019</v>
      </c>
      <c r="K6501">
        <v>1.1036239999999999</v>
      </c>
      <c r="L6501">
        <v>54.639650000000003</v>
      </c>
      <c r="M6501">
        <v>2.209612E-2</v>
      </c>
      <c r="N6501">
        <v>0</v>
      </c>
      <c r="O6501">
        <v>0.99965159999999997</v>
      </c>
      <c r="P6501">
        <v>-3.1700350000000002E-2</v>
      </c>
      <c r="Q6501">
        <v>6.0370550000000004E-3</v>
      </c>
      <c r="R6501">
        <v>0.99947919999999901</v>
      </c>
      <c r="S6501">
        <v>4.118347E-2</v>
      </c>
      <c r="T6501">
        <v>-0.23090450000000001</v>
      </c>
      <c r="U6501">
        <v>3.0038450000000001</v>
      </c>
      <c r="V6501">
        <v>-5.3741209999999998E-2</v>
      </c>
      <c r="W6501">
        <v>2.0551969999999999E-2</v>
      </c>
      <c r="X6501">
        <v>0.99834330000000004</v>
      </c>
      <c r="Y6501">
        <v>-8.4310319999999998E-3</v>
      </c>
      <c r="Z6501">
        <v>-7.6610590000000006E-2</v>
      </c>
      <c r="AA6501">
        <v>0.99702539999999995</v>
      </c>
      <c r="AB6501">
        <v>32</v>
      </c>
      <c r="AC6501">
        <v>0.19010000000000099</v>
      </c>
      <c r="AD6501">
        <v>-1.103628094007</v>
      </c>
      <c r="AE6501">
        <v>14.08638</v>
      </c>
      <c r="AF6501">
        <v>-0.120493719763485</v>
      </c>
      <c r="AG6501">
        <v>-1.103628094007</v>
      </c>
      <c r="AH6501">
        <v>14.0012132985667</v>
      </c>
      <c r="AI6501">
        <v>94.506783072868203</v>
      </c>
      <c r="AJ6501">
        <v>90.493072351936803</v>
      </c>
      <c r="AK6501">
        <v>14.0451588648311</v>
      </c>
    </row>
    <row r="6502" spans="1:37" x14ac:dyDescent="0.2">
      <c r="A6502" t="str">
        <f>"20200111160030926"</f>
        <v>20200111160030926</v>
      </c>
      <c r="B6502" t="str">
        <f>"1578729630917990"</f>
        <v>1578729630917990</v>
      </c>
      <c r="C6502" t="s">
        <v>37</v>
      </c>
      <c r="D6502">
        <v>5.9448699999999999</v>
      </c>
      <c r="E6502">
        <v>0.52768359999999903</v>
      </c>
      <c r="F6502" t="s">
        <v>39</v>
      </c>
      <c r="G6502">
        <v>-188.81559999999999</v>
      </c>
      <c r="H6502" s="1">
        <v>-4.7902540000000001E-7</v>
      </c>
      <c r="I6502">
        <v>70.129679999999993</v>
      </c>
      <c r="J6502">
        <v>-189.0829</v>
      </c>
      <c r="K6502">
        <v>1.102986</v>
      </c>
      <c r="L6502">
        <v>55.304630000000003</v>
      </c>
      <c r="M6502">
        <v>2.5918989999999999E-2</v>
      </c>
      <c r="N6502">
        <v>0</v>
      </c>
      <c r="O6502">
        <v>0.9995598</v>
      </c>
      <c r="P6502">
        <v>-2.5162400000000001E-2</v>
      </c>
      <c r="Q6502">
        <v>1.123185E-2</v>
      </c>
      <c r="R6502">
        <v>0.99962030000000002</v>
      </c>
      <c r="S6502">
        <v>5.5526730000000003E-2</v>
      </c>
      <c r="T6502">
        <v>-0.21407280000000001</v>
      </c>
      <c r="U6502">
        <v>3.0046390000000001</v>
      </c>
      <c r="V6502">
        <v>-5.097608E-2</v>
      </c>
      <c r="W6502">
        <v>2.5826269999999998E-2</v>
      </c>
      <c r="X6502">
        <v>0.99836589999999903</v>
      </c>
      <c r="Y6502">
        <v>-7.4929699999999998E-3</v>
      </c>
      <c r="Z6502">
        <v>-7.1024500000000004E-2</v>
      </c>
      <c r="AA6502">
        <v>0.99744639999999996</v>
      </c>
      <c r="AB6502">
        <v>32</v>
      </c>
      <c r="AC6502">
        <v>0.26730000000000498</v>
      </c>
      <c r="AD6502">
        <v>-1.10298647902539</v>
      </c>
      <c r="AE6502">
        <v>14.825049999999999</v>
      </c>
      <c r="AF6502">
        <v>-0.11643588098063901</v>
      </c>
      <c r="AG6502">
        <v>-1.10298647902539</v>
      </c>
      <c r="AH6502">
        <v>14.7454023103196</v>
      </c>
      <c r="AI6502">
        <v>94.277742645335096</v>
      </c>
      <c r="AJ6502">
        <v>90.452422102136694</v>
      </c>
      <c r="AK6502">
        <v>14.7870560214152</v>
      </c>
    </row>
    <row r="6503" spans="1:37" x14ac:dyDescent="0.2">
      <c r="A6503" t="str">
        <f>"20200111160030949"</f>
        <v>20200111160030949</v>
      </c>
      <c r="B6503" t="str">
        <f>"1578729630937509"</f>
        <v>1578729630937509</v>
      </c>
      <c r="C6503" t="s">
        <v>37</v>
      </c>
      <c r="D6503">
        <v>5.9419510000000004</v>
      </c>
      <c r="E6503">
        <v>0.60517080000000001</v>
      </c>
      <c r="F6503" t="s">
        <v>38</v>
      </c>
      <c r="G6503">
        <v>-189.0377</v>
      </c>
      <c r="H6503">
        <v>1.034897</v>
      </c>
      <c r="I6503">
        <v>56.286559999999902</v>
      </c>
      <c r="J6503">
        <v>-189.07249999999999</v>
      </c>
      <c r="K6503">
        <v>1.1027389999999999</v>
      </c>
      <c r="L6503">
        <v>55.620569999999901</v>
      </c>
      <c r="M6503">
        <v>2.8209330000000001E-2</v>
      </c>
      <c r="N6503">
        <v>0</v>
      </c>
      <c r="O6503">
        <v>0.99949779999999999</v>
      </c>
      <c r="P6503">
        <v>-2.2091409999999999E-2</v>
      </c>
      <c r="Q6503">
        <v>1.204948E-2</v>
      </c>
      <c r="R6503">
        <v>0.99968330000000005</v>
      </c>
      <c r="S6503">
        <v>0.13829040000000001</v>
      </c>
      <c r="T6503">
        <v>-0.208455899999999</v>
      </c>
      <c r="U6503">
        <v>3.006958</v>
      </c>
      <c r="V6503">
        <v>-5.0177060000000002E-2</v>
      </c>
      <c r="W6503">
        <v>2.667332E-2</v>
      </c>
      <c r="X6503">
        <v>0.9983841</v>
      </c>
      <c r="Y6503">
        <v>1.7631029999999999E-2</v>
      </c>
      <c r="Z6503">
        <v>-6.9075629999999999E-2</v>
      </c>
      <c r="AA6503">
        <v>0.9974556</v>
      </c>
      <c r="AB6503">
        <v>32</v>
      </c>
      <c r="AC6503">
        <v>3.4799999999989902E-2</v>
      </c>
      <c r="AD6503">
        <v>-6.7841999999999902E-2</v>
      </c>
      <c r="AE6503">
        <v>0.66598999999999997</v>
      </c>
      <c r="AF6503">
        <v>1.583320851723E-2</v>
      </c>
      <c r="AG6503">
        <v>-6.7841999999999902E-2</v>
      </c>
      <c r="AH6503">
        <v>0.65987794133144895</v>
      </c>
      <c r="AI6503">
        <v>95.868273860461102</v>
      </c>
      <c r="AJ6503">
        <v>88.625500362060507</v>
      </c>
      <c r="AK6503">
        <v>0.66354511897216195</v>
      </c>
    </row>
    <row r="6504" spans="1:37" x14ac:dyDescent="0.2">
      <c r="A6504" t="str">
        <f>"20200111160030970"</f>
        <v>20200111160030970</v>
      </c>
      <c r="B6504" t="str">
        <f>"1578729630967765"</f>
        <v>1578729630967765</v>
      </c>
      <c r="C6504" t="s">
        <v>37</v>
      </c>
      <c r="D6504">
        <v>5.9191519999999898</v>
      </c>
      <c r="E6504">
        <v>0.59220550000000005</v>
      </c>
      <c r="F6504" t="s">
        <v>39</v>
      </c>
      <c r="G6504">
        <v>-182.36170000000001</v>
      </c>
      <c r="H6504" s="1">
        <v>-2.8354500000000001E-6</v>
      </c>
      <c r="I6504">
        <v>82.007959999999997</v>
      </c>
      <c r="J6504">
        <v>-189.0616</v>
      </c>
      <c r="K6504">
        <v>1.102554</v>
      </c>
      <c r="L6504">
        <v>55.922640000000001</v>
      </c>
      <c r="M6504">
        <v>3.0590619999999999E-2</v>
      </c>
      <c r="N6504">
        <v>0</v>
      </c>
      <c r="O6504">
        <v>0.99942770000000003</v>
      </c>
      <c r="P6504">
        <v>-1.9222380000000001E-2</v>
      </c>
      <c r="Q6504">
        <v>1.214528E-2</v>
      </c>
      <c r="R6504">
        <v>0.9997414</v>
      </c>
      <c r="S6504">
        <v>0.76789859999999999</v>
      </c>
      <c r="T6504">
        <v>-0.12618389999999999</v>
      </c>
      <c r="U6504">
        <v>3.0194399999999999</v>
      </c>
      <c r="V6504">
        <v>-4.9677510000000001E-2</v>
      </c>
      <c r="W6504">
        <v>2.679105E-2</v>
      </c>
      <c r="X6504">
        <v>0.99840589999999996</v>
      </c>
      <c r="Y6504">
        <v>0.21650419999999901</v>
      </c>
      <c r="Z6504">
        <v>-4.0584849999999999E-2</v>
      </c>
      <c r="AA6504">
        <v>0.97543780000000002</v>
      </c>
      <c r="AB6504">
        <v>32</v>
      </c>
      <c r="AC6504">
        <v>6.69989999999998</v>
      </c>
      <c r="AD6504">
        <v>-1.1025568354499999</v>
      </c>
      <c r="AE6504">
        <v>26.085319999999999</v>
      </c>
      <c r="AF6504">
        <v>5.8888449740919802</v>
      </c>
      <c r="AG6504">
        <v>-1.1025568354499999</v>
      </c>
      <c r="AH6504">
        <v>26.234117474556498</v>
      </c>
      <c r="AI6504">
        <v>92.348221290926801</v>
      </c>
      <c r="AJ6504">
        <v>77.348372304445704</v>
      </c>
      <c r="AK6504">
        <v>26.909534488227699</v>
      </c>
    </row>
    <row r="6505" spans="1:37" x14ac:dyDescent="0.2">
      <c r="A6505" t="str">
        <f>"20200111160030994"</f>
        <v>20200111160030994</v>
      </c>
      <c r="B6505" t="str">
        <f>"1578729630987286"</f>
        <v>1578729630987286</v>
      </c>
      <c r="C6505" t="s">
        <v>37</v>
      </c>
      <c r="D6505">
        <v>5.9162400000000002</v>
      </c>
      <c r="E6505">
        <v>0.589682699999999</v>
      </c>
      <c r="F6505" t="s">
        <v>39</v>
      </c>
      <c r="G6505">
        <v>-185.2004</v>
      </c>
      <c r="H6505" s="1">
        <v>-2.50872099999999E-6</v>
      </c>
      <c r="I6505">
        <v>73.267390000000006</v>
      </c>
      <c r="J6505">
        <v>-189.04830000000001</v>
      </c>
      <c r="K6505">
        <v>1.102395</v>
      </c>
      <c r="L6505">
        <v>56.260379999999998</v>
      </c>
      <c r="M6505">
        <v>3.3427560000000002E-2</v>
      </c>
      <c r="N6505">
        <v>0</v>
      </c>
      <c r="O6505">
        <v>0.99933680000000003</v>
      </c>
      <c r="P6505">
        <v>-1.5775939999999999E-2</v>
      </c>
      <c r="Q6505">
        <v>1.2815109999999999E-2</v>
      </c>
      <c r="R6505">
        <v>0.99979340000000005</v>
      </c>
      <c r="S6505">
        <v>0.67140200000000005</v>
      </c>
      <c r="T6505">
        <v>-0.191719899999999</v>
      </c>
      <c r="U6505">
        <v>3.016022</v>
      </c>
      <c r="V6505">
        <v>-4.9056259999999997E-2</v>
      </c>
      <c r="W6505">
        <v>2.74764999999999E-2</v>
      </c>
      <c r="X6505">
        <v>0.99841800000000003</v>
      </c>
      <c r="Y6505">
        <v>0.18412020000000001</v>
      </c>
      <c r="Z6505">
        <v>-6.2087099999999999E-2</v>
      </c>
      <c r="AA6505">
        <v>0.9809409</v>
      </c>
      <c r="AB6505">
        <v>32</v>
      </c>
      <c r="AC6505">
        <v>3.8479000000000001</v>
      </c>
      <c r="AD6505">
        <v>-1.1023975087210001</v>
      </c>
      <c r="AE6505">
        <v>17.007010000000001</v>
      </c>
      <c r="AF6505">
        <v>3.2641400728977801</v>
      </c>
      <c r="AG6505">
        <v>-1.1023975087210001</v>
      </c>
      <c r="AH6505">
        <v>17.057961423069301</v>
      </c>
      <c r="AI6505">
        <v>93.631970428788094</v>
      </c>
      <c r="AJ6505">
        <v>79.167075863142898</v>
      </c>
      <c r="AK6505">
        <v>17.402411861395802</v>
      </c>
    </row>
    <row r="6506" spans="1:37" x14ac:dyDescent="0.2">
      <c r="A6506" t="str">
        <f>"20200111160031028"</f>
        <v>20200111160031028</v>
      </c>
      <c r="B6506" t="str">
        <f>"1578729631017542"</f>
        <v>1578729631017542</v>
      </c>
      <c r="C6506" t="s">
        <v>37</v>
      </c>
      <c r="D6506">
        <v>5.914364</v>
      </c>
      <c r="E6506">
        <v>0.58600850000000004</v>
      </c>
      <c r="F6506" t="s">
        <v>39</v>
      </c>
      <c r="G6506">
        <v>-185.38720000000001</v>
      </c>
      <c r="H6506" s="1">
        <v>-2.3474210000000001E-6</v>
      </c>
      <c r="I6506">
        <v>72.939430000000002</v>
      </c>
      <c r="J6506">
        <v>-189.02809999999999</v>
      </c>
      <c r="K6506">
        <v>1.102241</v>
      </c>
      <c r="L6506">
        <v>56.729280000000003</v>
      </c>
      <c r="M6506">
        <v>3.7555860000000003E-2</v>
      </c>
      <c r="N6506">
        <v>0</v>
      </c>
      <c r="O6506">
        <v>0.99919029999999998</v>
      </c>
      <c r="P6506">
        <v>-1.033795E-2</v>
      </c>
      <c r="Q6506">
        <v>1.403371E-2</v>
      </c>
      <c r="R6506">
        <v>0.99984810000000002</v>
      </c>
      <c r="S6506">
        <v>0.66149899999999995</v>
      </c>
      <c r="T6506">
        <v>-0.19918379999999999</v>
      </c>
      <c r="U6506">
        <v>3.013611</v>
      </c>
      <c r="V6506">
        <v>-4.7732480000000001E-2</v>
      </c>
      <c r="W6506">
        <v>2.8706249999999999E-2</v>
      </c>
      <c r="X6506">
        <v>0.99844759999999999</v>
      </c>
      <c r="Y6506">
        <v>0.17711440000000001</v>
      </c>
      <c r="Z6506">
        <v>-6.4594529999999997E-2</v>
      </c>
      <c r="AA6506">
        <v>0.98206819999999895</v>
      </c>
      <c r="AB6506">
        <v>32</v>
      </c>
      <c r="AC6506">
        <v>3.6408999999999798</v>
      </c>
      <c r="AD6506">
        <v>-1.1022433474210001</v>
      </c>
      <c r="AE6506">
        <v>16.210149999999999</v>
      </c>
      <c r="AF6506">
        <v>3.0162053777205799</v>
      </c>
      <c r="AG6506">
        <v>-1.1022433474210001</v>
      </c>
      <c r="AH6506">
        <v>16.263876826006001</v>
      </c>
      <c r="AI6506">
        <v>93.812339922435697</v>
      </c>
      <c r="AJ6506">
        <v>79.493617559680402</v>
      </c>
      <c r="AK6506">
        <v>16.577880584954698</v>
      </c>
    </row>
    <row r="6507" spans="1:37" x14ac:dyDescent="0.2">
      <c r="A6507" t="str">
        <f>"20200111160031049"</f>
        <v>20200111160031049</v>
      </c>
      <c r="B6507" t="str">
        <f>"1578729631047797"</f>
        <v>1578729631047797</v>
      </c>
      <c r="C6507" t="s">
        <v>37</v>
      </c>
      <c r="D6507">
        <v>5.970745</v>
      </c>
      <c r="E6507">
        <v>0.58192819999999901</v>
      </c>
      <c r="F6507" t="s">
        <v>39</v>
      </c>
      <c r="G6507">
        <v>-185.75149999999999</v>
      </c>
      <c r="H6507" s="1">
        <v>-1.9134679999999999E-6</v>
      </c>
      <c r="I6507">
        <v>71.949069999999907</v>
      </c>
      <c r="J6507">
        <v>-189.01349999999999</v>
      </c>
      <c r="K6507">
        <v>1.1021669999999999</v>
      </c>
      <c r="L6507">
        <v>57.042180000000002</v>
      </c>
      <c r="M6507">
        <v>4.0379079999999998E-2</v>
      </c>
      <c r="N6507">
        <v>0</v>
      </c>
      <c r="O6507">
        <v>0.99908019999999997</v>
      </c>
      <c r="P6507">
        <v>-7.0633450000000004E-3</v>
      </c>
      <c r="Q6507">
        <v>1.494884E-2</v>
      </c>
      <c r="R6507">
        <v>0.99986330000000001</v>
      </c>
      <c r="S6507">
        <v>0.64807130000000002</v>
      </c>
      <c r="T6507">
        <v>-0.21800549999999999</v>
      </c>
      <c r="U6507">
        <v>3.0102229999999999</v>
      </c>
      <c r="V6507">
        <v>-4.7272729999999999E-2</v>
      </c>
      <c r="W6507">
        <v>2.962567E-2</v>
      </c>
      <c r="X6507">
        <v>0.99844259999999996</v>
      </c>
      <c r="Y6507">
        <v>0.17028940000000001</v>
      </c>
      <c r="Z6507">
        <v>-7.0810209999999998E-2</v>
      </c>
      <c r="AA6507">
        <v>0.98284660000000001</v>
      </c>
      <c r="AB6507">
        <v>31</v>
      </c>
      <c r="AC6507">
        <v>3.262</v>
      </c>
      <c r="AD6507">
        <v>-1.1021689134679999</v>
      </c>
      <c r="AE6507">
        <v>14.906889999999899</v>
      </c>
      <c r="AF6507">
        <v>2.6435587986634901</v>
      </c>
      <c r="AG6507">
        <v>-1.1021689134679999</v>
      </c>
      <c r="AH6507">
        <v>14.9484761188469</v>
      </c>
      <c r="AI6507">
        <v>94.152651097610899</v>
      </c>
      <c r="AJ6507">
        <v>79.971233782597395</v>
      </c>
      <c r="AK6507">
        <v>15.220384939663701</v>
      </c>
    </row>
    <row r="6508" spans="1:37" x14ac:dyDescent="0.2">
      <c r="A6508" t="str">
        <f>"20200111160031071"</f>
        <v>20200111160031071</v>
      </c>
      <c r="B6508" t="str">
        <f>"1578729631067318"</f>
        <v>1578729631067318</v>
      </c>
      <c r="C6508" t="s">
        <v>37</v>
      </c>
      <c r="D6508">
        <v>5.974704</v>
      </c>
      <c r="E6508">
        <v>0.58191369999999998</v>
      </c>
      <c r="F6508" t="s">
        <v>38</v>
      </c>
      <c r="G6508">
        <v>-188.81979999999999</v>
      </c>
      <c r="H6508">
        <v>1.0280309999999999</v>
      </c>
      <c r="I6508">
        <v>57.974240000000002</v>
      </c>
      <c r="J6508">
        <v>-188.999</v>
      </c>
      <c r="K6508">
        <v>1.1021259999999999</v>
      </c>
      <c r="L6508">
        <v>57.333009999999902</v>
      </c>
      <c r="M6508">
        <v>4.3017819999999998E-2</v>
      </c>
      <c r="N6508">
        <v>0</v>
      </c>
      <c r="O6508">
        <v>0.99897000000000002</v>
      </c>
      <c r="P6508">
        <v>-4.1132390000000003E-3</v>
      </c>
      <c r="Q6508">
        <v>1.4363920000000001E-2</v>
      </c>
      <c r="R6508">
        <v>0.99988840000000001</v>
      </c>
      <c r="S6508">
        <v>0.62489319999999904</v>
      </c>
      <c r="T6508">
        <v>-0.23926439999999999</v>
      </c>
      <c r="U6508">
        <v>3.00839199999999</v>
      </c>
      <c r="V6508">
        <v>-4.6964069999999997E-2</v>
      </c>
      <c r="W6508">
        <v>2.904323E-2</v>
      </c>
      <c r="X6508">
        <v>0.99847419999999998</v>
      </c>
      <c r="Y6508">
        <v>0.16044739999999999</v>
      </c>
      <c r="Z6508">
        <v>-7.7833570000000005E-2</v>
      </c>
      <c r="AA6508">
        <v>0.98397080000000003</v>
      </c>
      <c r="AB6508">
        <v>31</v>
      </c>
      <c r="AC6508">
        <v>0.179200000000037</v>
      </c>
      <c r="AD6508">
        <v>-7.4094999999999994E-2</v>
      </c>
      <c r="AE6508">
        <v>0.64123000000000696</v>
      </c>
      <c r="AF6508">
        <v>0.14959418550390299</v>
      </c>
      <c r="AG6508">
        <v>-7.4094999999999994E-2</v>
      </c>
      <c r="AH6508">
        <v>0.64041444301129402</v>
      </c>
      <c r="AI6508">
        <v>96.428155483122396</v>
      </c>
      <c r="AJ6508">
        <v>76.852050908109405</v>
      </c>
      <c r="AK6508">
        <v>0.66181504076217701</v>
      </c>
    </row>
    <row r="6509" spans="1:37" x14ac:dyDescent="0.2">
      <c r="A6509" t="str">
        <f>"20200111160031094"</f>
        <v>20200111160031094</v>
      </c>
      <c r="B6509" t="str">
        <f>"1578729631087814"</f>
        <v>1578729631087814</v>
      </c>
      <c r="C6509" t="s">
        <v>37</v>
      </c>
      <c r="D6509">
        <v>6.0271439999999998</v>
      </c>
      <c r="E6509">
        <v>0.57968960000000003</v>
      </c>
      <c r="F6509" t="s">
        <v>38</v>
      </c>
      <c r="G6509">
        <v>-188.80420000000001</v>
      </c>
      <c r="H6509">
        <v>1.0299</v>
      </c>
      <c r="I6509">
        <v>58.256399999999999</v>
      </c>
      <c r="J6509">
        <v>-188.98150000000001</v>
      </c>
      <c r="K6509">
        <v>1.1020909999999999</v>
      </c>
      <c r="L6509">
        <v>57.66498</v>
      </c>
      <c r="M6509">
        <v>4.602125E-2</v>
      </c>
      <c r="N6509">
        <v>0</v>
      </c>
      <c r="O6509">
        <v>0.99883619999999995</v>
      </c>
      <c r="P6509">
        <v>-1.2003199999999999E-3</v>
      </c>
      <c r="Q6509">
        <v>1.2945170000000001E-2</v>
      </c>
      <c r="R6509">
        <v>0.99991549999999996</v>
      </c>
      <c r="S6509">
        <v>0.63423160000000001</v>
      </c>
      <c r="T6509">
        <v>-0.2351413</v>
      </c>
      <c r="U6509">
        <v>3.0063169999999899</v>
      </c>
      <c r="V6509">
        <v>-4.7064990000000001E-2</v>
      </c>
      <c r="W6509">
        <v>2.7625210000000001E-2</v>
      </c>
      <c r="X6509">
        <v>0.9985098</v>
      </c>
      <c r="Y6509">
        <v>0.16056429999999999</v>
      </c>
      <c r="Z6509">
        <v>-7.6511659999999995E-2</v>
      </c>
      <c r="AA6509">
        <v>0.98405540000000002</v>
      </c>
      <c r="AB6509">
        <v>31</v>
      </c>
      <c r="AC6509">
        <v>0.17730000000000201</v>
      </c>
      <c r="AD6509">
        <v>-7.2190999999999894E-2</v>
      </c>
      <c r="AE6509">
        <v>0.59141999999999195</v>
      </c>
      <c r="AF6509">
        <v>0.14786986118130499</v>
      </c>
      <c r="AG6509">
        <v>-7.2190999999999894E-2</v>
      </c>
      <c r="AH6509">
        <v>0.59087582375609204</v>
      </c>
      <c r="AI6509">
        <v>96.759235999818898</v>
      </c>
      <c r="AJ6509">
        <v>75.949985208124502</v>
      </c>
      <c r="AK6509">
        <v>0.61336064059101403</v>
      </c>
    </row>
    <row r="6510" spans="1:37" x14ac:dyDescent="0.2">
      <c r="A6510" t="str">
        <f>"20200111160031116"</f>
        <v>20200111160031116</v>
      </c>
      <c r="B6510" t="str">
        <f>"1578729631107333"</f>
        <v>1578729631107333</v>
      </c>
      <c r="C6510" t="s">
        <v>37</v>
      </c>
      <c r="D6510">
        <v>5.9804550000000001</v>
      </c>
      <c r="E6510">
        <v>0.57767139999999995</v>
      </c>
      <c r="F6510" t="s">
        <v>38</v>
      </c>
      <c r="G6510">
        <v>-188.80070000000001</v>
      </c>
      <c r="H6510">
        <v>1.0288489999999999</v>
      </c>
      <c r="I6510">
        <v>58.533740000000002</v>
      </c>
      <c r="J6510">
        <v>-188.96430000000001</v>
      </c>
      <c r="K6510">
        <v>1.102077</v>
      </c>
      <c r="L6510">
        <v>57.975430000000003</v>
      </c>
      <c r="M6510">
        <v>4.8796630000000001E-2</v>
      </c>
      <c r="N6510">
        <v>0</v>
      </c>
      <c r="O6510">
        <v>0.99870460000000005</v>
      </c>
      <c r="P6510">
        <v>2.3342219999999999E-3</v>
      </c>
      <c r="Q6510">
        <v>1.023805E-2</v>
      </c>
      <c r="R6510">
        <v>0.99994490000000003</v>
      </c>
      <c r="S6510">
        <v>0.62483219999999995</v>
      </c>
      <c r="T6510">
        <v>-0.25322899999999998</v>
      </c>
      <c r="U6510">
        <v>3.0042719999999998</v>
      </c>
      <c r="V6510">
        <v>-4.6325999999999999E-2</v>
      </c>
      <c r="W6510">
        <v>2.4912469999999999E-2</v>
      </c>
      <c r="X6510">
        <v>0.998615699999999</v>
      </c>
      <c r="Y6510">
        <v>0.15490860000000001</v>
      </c>
      <c r="Z6510">
        <v>-8.2459770000000002E-2</v>
      </c>
      <c r="AA6510">
        <v>0.98448150000000001</v>
      </c>
      <c r="AB6510">
        <v>31</v>
      </c>
      <c r="AC6510">
        <v>0.16360000000000199</v>
      </c>
      <c r="AD6510">
        <v>-7.3228000000000001E-2</v>
      </c>
      <c r="AE6510">
        <v>0.55830999999999797</v>
      </c>
      <c r="AF6510">
        <v>0.134035117071826</v>
      </c>
      <c r="AG6510">
        <v>-7.3228000000000001E-2</v>
      </c>
      <c r="AH6510">
        <v>0.556807422320441</v>
      </c>
      <c r="AI6510">
        <v>97.286397093078193</v>
      </c>
      <c r="AJ6510">
        <v>76.465224644630993</v>
      </c>
      <c r="AK6510">
        <v>0.57737531826671695</v>
      </c>
    </row>
    <row r="6511" spans="1:37" x14ac:dyDescent="0.2">
      <c r="A6511" t="str">
        <f>"20200111160031139"</f>
        <v>20200111160031139</v>
      </c>
      <c r="B6511" t="str">
        <f>"1578729631127829"</f>
        <v>1578729631127829</v>
      </c>
      <c r="C6511" t="s">
        <v>37</v>
      </c>
      <c r="D6511">
        <v>5.9815019999999999</v>
      </c>
      <c r="E6511">
        <v>0.57622519999999999</v>
      </c>
      <c r="F6511" t="s">
        <v>38</v>
      </c>
      <c r="G6511">
        <v>-188.7911</v>
      </c>
      <c r="H6511">
        <v>1.029903</v>
      </c>
      <c r="I6511">
        <v>58.814409999999903</v>
      </c>
      <c r="J6511">
        <v>-188.94550000000001</v>
      </c>
      <c r="K6511">
        <v>1.1020909999999999</v>
      </c>
      <c r="L6511">
        <v>58.297419999999903</v>
      </c>
      <c r="M6511">
        <v>5.1607939999999998E-2</v>
      </c>
      <c r="N6511">
        <v>0</v>
      </c>
      <c r="O6511">
        <v>0.99856329999999904</v>
      </c>
      <c r="P6511">
        <v>6.3231279999999999E-3</v>
      </c>
      <c r="Q6511">
        <v>8.7055259999999999E-3</v>
      </c>
      <c r="R6511">
        <v>0.99994209999999994</v>
      </c>
      <c r="S6511">
        <v>0.61944580000000005</v>
      </c>
      <c r="T6511">
        <v>-0.25819749999999903</v>
      </c>
      <c r="U6511">
        <v>3.0013730000000001</v>
      </c>
      <c r="V6511">
        <v>-4.5164349999999999E-2</v>
      </c>
      <c r="W6511">
        <v>2.3367010000000001E-2</v>
      </c>
      <c r="X6511">
        <v>0.99870619999999999</v>
      </c>
      <c r="Y6511">
        <v>0.150592899999999</v>
      </c>
      <c r="Z6511">
        <v>-8.4170629999999996E-2</v>
      </c>
      <c r="AA6511">
        <v>0.98500619999999905</v>
      </c>
      <c r="AB6511">
        <v>31</v>
      </c>
      <c r="AC6511">
        <v>0.154400000000009</v>
      </c>
      <c r="AD6511">
        <v>-7.2187999999999905E-2</v>
      </c>
      <c r="AE6511">
        <v>0.51698999999999895</v>
      </c>
      <c r="AF6511">
        <v>0.12526830027671301</v>
      </c>
      <c r="AG6511">
        <v>-7.2187999999999905E-2</v>
      </c>
      <c r="AH6511">
        <v>0.51505045112747905</v>
      </c>
      <c r="AI6511">
        <v>97.755231174182001</v>
      </c>
      <c r="AJ6511">
        <v>76.330188685524803</v>
      </c>
      <c r="AK6511">
        <v>0.53495814939566699</v>
      </c>
    </row>
    <row r="6512" spans="1:37" x14ac:dyDescent="0.2">
      <c r="A6512" t="str">
        <f>"20200111160031161"</f>
        <v>20200111160031161</v>
      </c>
      <c r="B6512" t="str">
        <f>"1578729631158086"</f>
        <v>1578729631158086</v>
      </c>
      <c r="C6512" t="s">
        <v>37</v>
      </c>
      <c r="D6512">
        <v>2.912436</v>
      </c>
      <c r="E6512">
        <v>0.57562749999999996</v>
      </c>
      <c r="F6512" t="s">
        <v>38</v>
      </c>
      <c r="G6512">
        <v>-188.78099999999901</v>
      </c>
      <c r="H6512">
        <v>1.029709</v>
      </c>
      <c r="I6512">
        <v>59.094209999999997</v>
      </c>
      <c r="J6512">
        <v>-188.92769999999999</v>
      </c>
      <c r="K6512">
        <v>1.102144</v>
      </c>
      <c r="L6512">
        <v>58.591609999999903</v>
      </c>
      <c r="M6512">
        <v>5.4082110000000003E-2</v>
      </c>
      <c r="N6512">
        <v>0</v>
      </c>
      <c r="O6512">
        <v>0.9984324</v>
      </c>
      <c r="P6512">
        <v>9.4129980000000005E-3</v>
      </c>
      <c r="Q6512">
        <v>7.9404829999999999E-3</v>
      </c>
      <c r="R6512">
        <v>0.99992420000000004</v>
      </c>
      <c r="S6512">
        <v>0.61885069999999998</v>
      </c>
      <c r="T6512">
        <v>-0.2723429</v>
      </c>
      <c r="U6512">
        <v>2.9986269999999999</v>
      </c>
      <c r="V6512">
        <v>-4.4561290000000003E-2</v>
      </c>
      <c r="W6512">
        <v>2.2589020000000001E-2</v>
      </c>
      <c r="X6512">
        <v>0.99875119999999895</v>
      </c>
      <c r="Y6512">
        <v>0.1480524</v>
      </c>
      <c r="Z6512">
        <v>-8.8826520000000006E-2</v>
      </c>
      <c r="AA6512">
        <v>0.98498240000000004</v>
      </c>
      <c r="AB6512">
        <v>31</v>
      </c>
      <c r="AC6512">
        <v>0.14670000000000899</v>
      </c>
      <c r="AD6512">
        <v>-7.2434999999999999E-2</v>
      </c>
      <c r="AE6512">
        <v>0.50260000000000105</v>
      </c>
      <c r="AF6512">
        <v>0.117060220911904</v>
      </c>
      <c r="AG6512">
        <v>-7.2434999999999999E-2</v>
      </c>
      <c r="AH6512">
        <v>0.50022461146260899</v>
      </c>
      <c r="AI6512">
        <v>98.025556607264207</v>
      </c>
      <c r="AJ6512">
        <v>76.828926076640997</v>
      </c>
      <c r="AK6512">
        <v>0.51882037976342199</v>
      </c>
    </row>
    <row r="6513" spans="1:37" x14ac:dyDescent="0.2">
      <c r="A6513" t="str">
        <f>"20200111160031184"</f>
        <v>20200111160031184</v>
      </c>
      <c r="B6513" t="str">
        <f>"1578729631177605"</f>
        <v>1578729631177605</v>
      </c>
      <c r="C6513" t="s">
        <v>37</v>
      </c>
      <c r="D6513">
        <v>2.7588550000000001</v>
      </c>
      <c r="E6513">
        <v>0.84629299999999996</v>
      </c>
      <c r="F6513" t="s">
        <v>38</v>
      </c>
      <c r="G6513">
        <v>-188.7655</v>
      </c>
      <c r="H6513">
        <v>1.028872</v>
      </c>
      <c r="I6513">
        <v>59.373130000000003</v>
      </c>
      <c r="J6513">
        <v>-188.90690000000001</v>
      </c>
      <c r="K6513">
        <v>1.1022430000000001</v>
      </c>
      <c r="L6513">
        <v>58.923549999999999</v>
      </c>
      <c r="M6513">
        <v>5.6731330000000003E-2</v>
      </c>
      <c r="N6513">
        <v>0</v>
      </c>
      <c r="O6513">
        <v>0.99828539999999999</v>
      </c>
      <c r="P6513">
        <v>1.208623E-2</v>
      </c>
      <c r="Q6513">
        <v>7.6763509999999997E-3</v>
      </c>
      <c r="R6513">
        <v>0.99989749999999999</v>
      </c>
      <c r="S6513">
        <v>0.62197880000000005</v>
      </c>
      <c r="T6513">
        <v>-0.28096309999999902</v>
      </c>
      <c r="U6513">
        <v>2.9965820000000001</v>
      </c>
      <c r="V6513">
        <v>-4.4548240000000003E-2</v>
      </c>
      <c r="W6513">
        <v>2.2308709999999999E-2</v>
      </c>
      <c r="X6513">
        <v>0.99875809999999998</v>
      </c>
      <c r="Y6513">
        <v>0.14649499999999999</v>
      </c>
      <c r="Z6513">
        <v>-9.1656189999999998E-2</v>
      </c>
      <c r="AA6513">
        <v>0.98495599999999905</v>
      </c>
      <c r="AB6513">
        <v>31</v>
      </c>
      <c r="AC6513">
        <v>0.14140000000000399</v>
      </c>
      <c r="AD6513">
        <v>-7.3371000000000006E-2</v>
      </c>
      <c r="AE6513">
        <v>0.44958000000000398</v>
      </c>
      <c r="AF6513">
        <v>0.112927346835852</v>
      </c>
      <c r="AG6513">
        <v>-7.3371000000000006E-2</v>
      </c>
      <c r="AH6513">
        <v>0.44606735297741101</v>
      </c>
      <c r="AI6513">
        <v>99.059755003187007</v>
      </c>
      <c r="AJ6513">
        <v>75.793366295755405</v>
      </c>
      <c r="AK6513">
        <v>0.46595275800949998</v>
      </c>
    </row>
    <row r="6514" spans="1:37" x14ac:dyDescent="0.2">
      <c r="A6514" t="str">
        <f>"20200111160031339"</f>
        <v>20200111160031339</v>
      </c>
      <c r="B6514" t="str">
        <f>"1578729631327912"</f>
        <v>1578729631327912</v>
      </c>
      <c r="C6514" t="s">
        <v>37</v>
      </c>
      <c r="D6514">
        <v>6.0062069999999999</v>
      </c>
      <c r="E6514">
        <v>0.84629299999999996</v>
      </c>
      <c r="F6514" t="s">
        <v>94</v>
      </c>
      <c r="G6514">
        <v>-168.85890000000001</v>
      </c>
      <c r="H6514">
        <v>1.9976290000000001</v>
      </c>
      <c r="I6514">
        <v>80.136759999999995</v>
      </c>
      <c r="J6514">
        <v>-188.75909999999999</v>
      </c>
      <c r="K6514">
        <v>1.1033809999999999</v>
      </c>
      <c r="L6514">
        <v>61.078429999999997</v>
      </c>
      <c r="M6514">
        <v>6.8004969999999998E-2</v>
      </c>
      <c r="N6514">
        <v>0</v>
      </c>
      <c r="O6514">
        <v>0.99758150000000001</v>
      </c>
      <c r="P6514">
        <v>2.0641039999999999E-2</v>
      </c>
      <c r="Q6514">
        <v>5.2319940000000004E-4</v>
      </c>
      <c r="R6514">
        <v>0.99978679999999998</v>
      </c>
      <c r="S6514">
        <v>2.8025669999999998</v>
      </c>
      <c r="T6514">
        <v>0.12516959999999999</v>
      </c>
      <c r="U6514">
        <v>2.9654539999999998</v>
      </c>
      <c r="V6514">
        <v>-4.736866E-2</v>
      </c>
      <c r="W6514">
        <v>1.498626E-2</v>
      </c>
      <c r="X6514">
        <v>0.99876509999999996</v>
      </c>
      <c r="Y6514">
        <v>0.63550890000000004</v>
      </c>
      <c r="Z6514">
        <v>3.1339850000000002E-2</v>
      </c>
      <c r="AA6514">
        <v>0.77145730000000001</v>
      </c>
      <c r="AB6514">
        <v>31</v>
      </c>
      <c r="AC6514">
        <v>19.900199999999899</v>
      </c>
      <c r="AD6514">
        <v>0.89424800000000004</v>
      </c>
      <c r="AE6514">
        <v>19.058329999999899</v>
      </c>
      <c r="AF6514">
        <v>18.538400311245599</v>
      </c>
      <c r="AG6514">
        <v>0.89424800000000004</v>
      </c>
      <c r="AH6514">
        <v>20.346222760986802</v>
      </c>
      <c r="AI6514">
        <v>88.139215288844994</v>
      </c>
      <c r="AJ6514">
        <v>47.661876470182698</v>
      </c>
      <c r="AK6514">
        <v>27.539802944559899</v>
      </c>
    </row>
    <row r="6515" spans="1:37" x14ac:dyDescent="0.2">
      <c r="A6515" t="str">
        <f>"20200111160031360"</f>
        <v>20200111160031360</v>
      </c>
      <c r="B6515" t="str">
        <f>"1578729631357190"</f>
        <v>1578729631357190</v>
      </c>
      <c r="C6515" t="s">
        <v>37</v>
      </c>
      <c r="D6515">
        <v>5.8495999999999997</v>
      </c>
      <c r="E6515">
        <v>0.52982609999999997</v>
      </c>
      <c r="F6515" t="s">
        <v>94</v>
      </c>
      <c r="G6515">
        <v>-168.8588</v>
      </c>
      <c r="H6515">
        <v>1.8108219999999999</v>
      </c>
      <c r="I6515">
        <v>81.781769999999995</v>
      </c>
      <c r="J6515">
        <v>-188.73849999999999</v>
      </c>
      <c r="K6515">
        <v>1.1036029999999999</v>
      </c>
      <c r="L6515">
        <v>61.369169999999997</v>
      </c>
      <c r="M6515">
        <v>6.8605299999999994E-2</v>
      </c>
      <c r="N6515">
        <v>0</v>
      </c>
      <c r="O6515">
        <v>0.99754050000000005</v>
      </c>
      <c r="P6515">
        <v>2.2458490000000001E-2</v>
      </c>
      <c r="Q6515" s="1">
        <v>-3.71575599999999E-5</v>
      </c>
      <c r="R6515">
        <v>0.99974779999999996</v>
      </c>
      <c r="S6515">
        <v>2.8280789999999998</v>
      </c>
      <c r="T6515">
        <v>0.1005373</v>
      </c>
      <c r="U6515">
        <v>2.9422000000000001</v>
      </c>
      <c r="V6515">
        <v>-4.6162210000000002E-2</v>
      </c>
      <c r="W6515">
        <v>1.4393609999999999E-2</v>
      </c>
      <c r="X6515">
        <v>0.99883029999999995</v>
      </c>
      <c r="Y6515">
        <v>0.64166919999999905</v>
      </c>
      <c r="Z6515">
        <v>2.518374E-2</v>
      </c>
      <c r="AA6515">
        <v>0.76656789999999997</v>
      </c>
      <c r="AB6515">
        <v>31</v>
      </c>
      <c r="AC6515">
        <v>19.8796999999999</v>
      </c>
      <c r="AD6515">
        <v>0.70721899999999904</v>
      </c>
      <c r="AE6515">
        <v>20.412600000000001</v>
      </c>
      <c r="AF6515">
        <v>18.420946114727499</v>
      </c>
      <c r="AG6515">
        <v>0.70721899999999904</v>
      </c>
      <c r="AH6515">
        <v>21.715111357619801</v>
      </c>
      <c r="AI6515">
        <v>88.577311871861198</v>
      </c>
      <c r="AJ6515">
        <v>49.692031929810298</v>
      </c>
      <c r="AK6515">
        <v>28.484688443960302</v>
      </c>
    </row>
    <row r="6516" spans="1:37" x14ac:dyDescent="0.2">
      <c r="A6516" t="str">
        <f>"20200111160031382"</f>
        <v>20200111160031382</v>
      </c>
      <c r="B6516" t="str">
        <f>"1578729631377686"</f>
        <v>1578729631377686</v>
      </c>
      <c r="C6516" t="s">
        <v>37</v>
      </c>
      <c r="D6516">
        <v>5.82972</v>
      </c>
      <c r="E6516">
        <v>0.53000259999999999</v>
      </c>
      <c r="F6516" t="s">
        <v>38</v>
      </c>
      <c r="G6516">
        <v>-188.65899999999999</v>
      </c>
      <c r="H6516">
        <v>1.047345</v>
      </c>
      <c r="I6516">
        <v>62.16704</v>
      </c>
      <c r="J6516">
        <v>-188.7174</v>
      </c>
      <c r="K6516">
        <v>1.1038429999999999</v>
      </c>
      <c r="L6516">
        <v>61.667819999999899</v>
      </c>
      <c r="M6516">
        <v>6.8963849999999993E-2</v>
      </c>
      <c r="N6516">
        <v>0</v>
      </c>
      <c r="O6516">
        <v>0.99751590000000001</v>
      </c>
      <c r="P6516">
        <v>2.329109E-2</v>
      </c>
      <c r="Q6516">
        <v>-2.8445640000000002E-4</v>
      </c>
      <c r="R6516">
        <v>0.99972870000000003</v>
      </c>
      <c r="S6516">
        <v>0.2978363</v>
      </c>
      <c r="T6516">
        <v>-0.21112639999999999</v>
      </c>
      <c r="U6516">
        <v>2.994049</v>
      </c>
      <c r="V6516">
        <v>-4.5698019999999999E-2</v>
      </c>
      <c r="W6516">
        <v>1.411374E-2</v>
      </c>
      <c r="X6516">
        <v>0.99885559999999995</v>
      </c>
      <c r="Y6516">
        <v>2.9876920000000001E-2</v>
      </c>
      <c r="Z6516">
        <v>-6.9902870000000006E-2</v>
      </c>
      <c r="AA6516">
        <v>0.9971063</v>
      </c>
      <c r="AB6516">
        <v>31</v>
      </c>
      <c r="AC6516">
        <v>5.8399999999977498E-2</v>
      </c>
      <c r="AD6516">
        <v>-5.6498000000000097E-2</v>
      </c>
      <c r="AE6516">
        <v>0.49922000000000799</v>
      </c>
      <c r="AF6516">
        <v>2.3531921552531799E-2</v>
      </c>
      <c r="AG6516">
        <v>-5.6498000000000097E-2</v>
      </c>
      <c r="AH6516">
        <v>0.49579467239170799</v>
      </c>
      <c r="AI6516">
        <v>96.493816884670096</v>
      </c>
      <c r="AJ6516">
        <v>87.282607521212597</v>
      </c>
      <c r="AK6516">
        <v>0.49955793708833701</v>
      </c>
    </row>
    <row r="6517" spans="1:37" x14ac:dyDescent="0.2">
      <c r="A6517" t="str">
        <f>"20200111160031405"</f>
        <v>20200111160031405</v>
      </c>
      <c r="B6517" t="str">
        <f>"1578729631397205"</f>
        <v>1578729631397205</v>
      </c>
      <c r="C6517" t="s">
        <v>37</v>
      </c>
      <c r="D6517">
        <v>5.7886829999999998</v>
      </c>
      <c r="E6517">
        <v>0.52870790000000001</v>
      </c>
      <c r="F6517" t="s">
        <v>39</v>
      </c>
      <c r="G6517">
        <v>-187.05719999999999</v>
      </c>
      <c r="H6517" s="1">
        <v>-4.1692400000000001E-6</v>
      </c>
      <c r="I6517">
        <v>78.134550000000004</v>
      </c>
      <c r="J6517">
        <v>-188.69450000000001</v>
      </c>
      <c r="K6517">
        <v>1.104114</v>
      </c>
      <c r="L6517">
        <v>61.994480000000003</v>
      </c>
      <c r="M6517">
        <v>6.9039059999999999E-2</v>
      </c>
      <c r="N6517">
        <v>0</v>
      </c>
      <c r="O6517">
        <v>0.99751080000000003</v>
      </c>
      <c r="P6517">
        <v>2.3081419999999998E-2</v>
      </c>
      <c r="Q6517">
        <v>9.306014E-4</v>
      </c>
      <c r="R6517">
        <v>0.99973319999999999</v>
      </c>
      <c r="S6517">
        <v>0.30183409999999999</v>
      </c>
      <c r="T6517">
        <v>-0.20068549999999999</v>
      </c>
      <c r="U6517">
        <v>2.993744</v>
      </c>
      <c r="V6517">
        <v>-4.5991570000000002E-2</v>
      </c>
      <c r="W6517">
        <v>1.529378E-2</v>
      </c>
      <c r="X6517">
        <v>0.99882479999999996</v>
      </c>
      <c r="Y6517">
        <v>3.1153489999999999E-2</v>
      </c>
      <c r="Z6517">
        <v>-6.6462179999999996E-2</v>
      </c>
      <c r="AA6517">
        <v>0.99730249999999998</v>
      </c>
      <c r="AB6517">
        <v>31</v>
      </c>
      <c r="AC6517">
        <v>1.63730000000001</v>
      </c>
      <c r="AD6517">
        <v>-1.1041181692399999</v>
      </c>
      <c r="AE6517">
        <v>16.140070000000001</v>
      </c>
      <c r="AF6517">
        <v>0.51658970777332203</v>
      </c>
      <c r="AG6517">
        <v>-1.1041181692399999</v>
      </c>
      <c r="AH6517">
        <v>16.139839794266901</v>
      </c>
      <c r="AI6517">
        <v>93.911480841094402</v>
      </c>
      <c r="AJ6517">
        <v>88.166753253835296</v>
      </c>
      <c r="AK6517">
        <v>16.185807685822301</v>
      </c>
    </row>
    <row r="6518" spans="1:37" x14ac:dyDescent="0.2">
      <c r="A6518" t="str">
        <f>"20200111160031429"</f>
        <v>20200111160031429</v>
      </c>
      <c r="B6518" t="str">
        <f>"1578729631417701"</f>
        <v>1578729631417701</v>
      </c>
      <c r="C6518" t="s">
        <v>37</v>
      </c>
      <c r="D6518">
        <v>5.72898</v>
      </c>
      <c r="E6518">
        <v>0.52736229999999995</v>
      </c>
      <c r="F6518" t="s">
        <v>38</v>
      </c>
      <c r="G6518">
        <v>-188.59880000000001</v>
      </c>
      <c r="H6518">
        <v>1.0401750000000001</v>
      </c>
      <c r="I6518">
        <v>62.979050000000001</v>
      </c>
      <c r="J6518">
        <v>-188.6728</v>
      </c>
      <c r="K6518">
        <v>1.1043829999999999</v>
      </c>
      <c r="L6518">
        <v>62.309840000000001</v>
      </c>
      <c r="M6518">
        <v>6.8742349999999994E-2</v>
      </c>
      <c r="N6518">
        <v>0</v>
      </c>
      <c r="O6518">
        <v>0.99753139999999996</v>
      </c>
      <c r="P6518">
        <v>2.2134480000000002E-2</v>
      </c>
      <c r="Q6518">
        <v>2.7878529999999999E-3</v>
      </c>
      <c r="R6518">
        <v>0.9997511</v>
      </c>
      <c r="S6518">
        <v>0.29052729999999999</v>
      </c>
      <c r="T6518">
        <v>-0.19450339999999999</v>
      </c>
      <c r="U6518">
        <v>2.9942630000000001</v>
      </c>
      <c r="V6518">
        <v>-4.6649830000000003E-2</v>
      </c>
      <c r="W6518">
        <v>1.7116969999999999E-2</v>
      </c>
      <c r="X6518">
        <v>0.9987646</v>
      </c>
      <c r="Y6518">
        <v>2.7716810000000001E-2</v>
      </c>
      <c r="Z6518">
        <v>-6.4429570000000005E-2</v>
      </c>
      <c r="AA6518">
        <v>0.99753729999999996</v>
      </c>
      <c r="AB6518">
        <v>31</v>
      </c>
      <c r="AC6518">
        <v>7.3999999999983801E-2</v>
      </c>
      <c r="AD6518">
        <v>-6.4207999999999807E-2</v>
      </c>
      <c r="AE6518">
        <v>0.66920999999999897</v>
      </c>
      <c r="AF6518">
        <v>2.7566414518657899E-2</v>
      </c>
      <c r="AG6518">
        <v>-6.4207999999999807E-2</v>
      </c>
      <c r="AH6518">
        <v>0.66665126839934497</v>
      </c>
      <c r="AI6518">
        <v>95.496760686782494</v>
      </c>
      <c r="AJ6518">
        <v>87.632135430533495</v>
      </c>
      <c r="AK6518">
        <v>0.67030328071095502</v>
      </c>
    </row>
    <row r="6519" spans="1:37" x14ac:dyDescent="0.2">
      <c r="A6519" t="str">
        <f>"20200111160031449"</f>
        <v>20200111160031449</v>
      </c>
      <c r="B6519" t="str">
        <f>"1578729631447958"</f>
        <v>1578729631447958</v>
      </c>
      <c r="C6519" t="s">
        <v>37</v>
      </c>
      <c r="D6519">
        <v>5.7979760000000002</v>
      </c>
      <c r="E6519">
        <v>0.48741499999999999</v>
      </c>
      <c r="F6519" t="s">
        <v>38</v>
      </c>
      <c r="G6519">
        <v>-188.58510000000001</v>
      </c>
      <c r="H6519">
        <v>1.0449619999999999</v>
      </c>
      <c r="I6519">
        <v>63.257899999999999</v>
      </c>
      <c r="J6519">
        <v>-188.65299999999999</v>
      </c>
      <c r="K6519">
        <v>1.104614</v>
      </c>
      <c r="L6519">
        <v>62.602939999999997</v>
      </c>
      <c r="M6519">
        <v>6.8216689999999996E-2</v>
      </c>
      <c r="N6519">
        <v>0</v>
      </c>
      <c r="O6519">
        <v>0.99756749999999905</v>
      </c>
      <c r="P6519">
        <v>2.0637530000000001E-2</v>
      </c>
      <c r="Q6519">
        <v>3.6271390000000001E-3</v>
      </c>
      <c r="R6519">
        <v>0.99978040000000001</v>
      </c>
      <c r="S6519">
        <v>0.27680969999999999</v>
      </c>
      <c r="T6519">
        <v>-0.18778010000000001</v>
      </c>
      <c r="U6519">
        <v>2.9951479999999999</v>
      </c>
      <c r="V6519">
        <v>-4.7628289999999997E-2</v>
      </c>
      <c r="W6519">
        <v>1.792651E-2</v>
      </c>
      <c r="X6519">
        <v>0.99870429999999999</v>
      </c>
      <c r="Y6519">
        <v>2.3699919999999999E-2</v>
      </c>
      <c r="Z6519">
        <v>-6.2212959999999998E-2</v>
      </c>
      <c r="AA6519">
        <v>0.99778149999999999</v>
      </c>
      <c r="AB6519">
        <v>31</v>
      </c>
      <c r="AC6519">
        <v>6.7899999999980296E-2</v>
      </c>
      <c r="AD6519">
        <v>-5.9651999999999802E-2</v>
      </c>
      <c r="AE6519">
        <v>0.65495999999999499</v>
      </c>
      <c r="AF6519">
        <v>2.2870306341195499E-2</v>
      </c>
      <c r="AG6519">
        <v>-5.9651999999999802E-2</v>
      </c>
      <c r="AH6519">
        <v>0.65270965874504805</v>
      </c>
      <c r="AI6519">
        <v>95.218646299045602</v>
      </c>
      <c r="AJ6519">
        <v>87.993233064065095</v>
      </c>
      <c r="AK6519">
        <v>0.65582872050194396</v>
      </c>
    </row>
    <row r="6520" spans="1:37" x14ac:dyDescent="0.2">
      <c r="A6520" t="str">
        <f>"20200111160031472"</f>
        <v>20200111160031472</v>
      </c>
      <c r="B6520" t="str">
        <f>"1578729631467478"</f>
        <v>1578729631467478</v>
      </c>
      <c r="C6520" t="s">
        <v>37</v>
      </c>
      <c r="D6520">
        <v>5.6125660000000002</v>
      </c>
      <c r="E6520">
        <v>0.48681089999999999</v>
      </c>
      <c r="F6520" t="s">
        <v>39</v>
      </c>
      <c r="G6520">
        <v>-188.8674</v>
      </c>
      <c r="H6520" s="1">
        <v>-2.7494700000000001E-6</v>
      </c>
      <c r="I6520">
        <v>75.573539999999994</v>
      </c>
      <c r="J6520">
        <v>-188.63329999999999</v>
      </c>
      <c r="K6520">
        <v>1.104833</v>
      </c>
      <c r="L6520">
        <v>62.900969999999901</v>
      </c>
      <c r="M6520">
        <v>6.741316E-2</v>
      </c>
      <c r="N6520">
        <v>0</v>
      </c>
      <c r="O6520">
        <v>0.99762209999999996</v>
      </c>
      <c r="P6520">
        <v>1.942634E-2</v>
      </c>
      <c r="Q6520">
        <v>3.4669990000000001E-3</v>
      </c>
      <c r="R6520">
        <v>0.99980530000000001</v>
      </c>
      <c r="S6520">
        <v>-4.9636840000000002E-2</v>
      </c>
      <c r="T6520">
        <v>-0.2557101</v>
      </c>
      <c r="U6520">
        <v>3.00259399999999</v>
      </c>
      <c r="V6520">
        <v>-4.8043719999999998E-2</v>
      </c>
      <c r="W6520">
        <v>1.773628E-2</v>
      </c>
      <c r="X6520">
        <v>0.99868769999999996</v>
      </c>
      <c r="Y6520">
        <v>-8.3842780000000006E-2</v>
      </c>
      <c r="Z6520">
        <v>-8.4411399999999998E-2</v>
      </c>
      <c r="AA6520">
        <v>0.99289729999999998</v>
      </c>
      <c r="AB6520">
        <v>31</v>
      </c>
      <c r="AC6520">
        <v>-0.23410000000001199</v>
      </c>
      <c r="AD6520">
        <v>-1.1048357494700001</v>
      </c>
      <c r="AE6520">
        <v>12.67257</v>
      </c>
      <c r="AF6520">
        <v>-1.0797488932697801</v>
      </c>
      <c r="AG6520">
        <v>-1.1048357494700001</v>
      </c>
      <c r="AH6520">
        <v>12.5327250505149</v>
      </c>
      <c r="AI6520">
        <v>95.019448073609894</v>
      </c>
      <c r="AJ6520">
        <v>94.924121959844797</v>
      </c>
      <c r="AK6520">
        <v>12.6275776337993</v>
      </c>
    </row>
    <row r="6521" spans="1:37" x14ac:dyDescent="0.2">
      <c r="A6521" t="str">
        <f>"20200111160031494"</f>
        <v>20200111160031494</v>
      </c>
      <c r="B6521" t="str">
        <f>"1578729631487973"</f>
        <v>1578729631487973</v>
      </c>
      <c r="C6521" t="s">
        <v>37</v>
      </c>
      <c r="D6521">
        <v>5.7178570000000004</v>
      </c>
      <c r="E6521">
        <v>0.48648329999999901</v>
      </c>
      <c r="F6521" t="s">
        <v>39</v>
      </c>
      <c r="G6521">
        <v>-188.88040000000001</v>
      </c>
      <c r="H6521" s="1">
        <v>-2.7418090000000002E-6</v>
      </c>
      <c r="I6521">
        <v>75.561059999999998</v>
      </c>
      <c r="J6521">
        <v>-188.613</v>
      </c>
      <c r="K6521">
        <v>1.1050799999999901</v>
      </c>
      <c r="L6521">
        <v>63.2162199999999</v>
      </c>
      <c r="M6521">
        <v>6.6256919999999997E-2</v>
      </c>
      <c r="N6521">
        <v>0</v>
      </c>
      <c r="O6521">
        <v>0.99769959999999902</v>
      </c>
      <c r="P6521">
        <v>1.86178E-2</v>
      </c>
      <c r="Q6521">
        <v>3.2228949999999999E-3</v>
      </c>
      <c r="R6521">
        <v>0.99982150000000003</v>
      </c>
      <c r="S6521">
        <v>-5.8609010000000003E-2</v>
      </c>
      <c r="T6521">
        <v>-0.26203670000000001</v>
      </c>
      <c r="U6521">
        <v>3.0026250000000001</v>
      </c>
      <c r="V6521">
        <v>-4.7703929999999999E-2</v>
      </c>
      <c r="W6521">
        <v>1.7462149999999999E-2</v>
      </c>
      <c r="X6521">
        <v>0.99870879999999995</v>
      </c>
      <c r="Y6521">
        <v>-8.5650009999999999E-2</v>
      </c>
      <c r="Z6521">
        <v>-8.6484450000000004E-2</v>
      </c>
      <c r="AA6521">
        <v>0.99256460000000002</v>
      </c>
      <c r="AB6521">
        <v>31</v>
      </c>
      <c r="AC6521">
        <v>-0.26740000000000902</v>
      </c>
      <c r="AD6521">
        <v>-1.1050827418089999</v>
      </c>
      <c r="AE6521">
        <v>12.34484</v>
      </c>
      <c r="AF6521">
        <v>-1.0762073644932699</v>
      </c>
      <c r="AG6521">
        <v>-1.1050827418089999</v>
      </c>
      <c r="AH6521">
        <v>12.202252805163701</v>
      </c>
      <c r="AI6521">
        <v>95.154906235952893</v>
      </c>
      <c r="AJ6521">
        <v>95.040298492813704</v>
      </c>
      <c r="AK6521">
        <v>12.299365986861201</v>
      </c>
    </row>
    <row r="6522" spans="1:37" x14ac:dyDescent="0.2">
      <c r="A6522" t="str">
        <f>"20200111160031517"</f>
        <v>20200111160031517</v>
      </c>
      <c r="B6522" t="str">
        <f>"1578729631507493"</f>
        <v>1578729631507493</v>
      </c>
      <c r="C6522" t="s">
        <v>37</v>
      </c>
      <c r="D6522">
        <v>5.7419320000000003</v>
      </c>
      <c r="E6522">
        <v>0.48671099999999901</v>
      </c>
      <c r="F6522" t="s">
        <v>39</v>
      </c>
      <c r="G6522">
        <v>-188.88290000000001</v>
      </c>
      <c r="H6522" s="1">
        <v>-2.8895960000000001E-6</v>
      </c>
      <c r="I6522">
        <v>75.906589999999994</v>
      </c>
      <c r="J6522">
        <v>-188.59440000000001</v>
      </c>
      <c r="K6522">
        <v>1.105329</v>
      </c>
      <c r="L6522">
        <v>63.516269999999999</v>
      </c>
      <c r="M6522">
        <v>6.4865370000000006E-2</v>
      </c>
      <c r="N6522">
        <v>0</v>
      </c>
      <c r="O6522">
        <v>0.99779110000000004</v>
      </c>
      <c r="P6522">
        <v>1.801577E-2</v>
      </c>
      <c r="Q6522">
        <v>3.3571479999999999E-3</v>
      </c>
      <c r="R6522">
        <v>0.9998321</v>
      </c>
      <c r="S6522">
        <v>-6.3858029999999996E-2</v>
      </c>
      <c r="T6522">
        <v>-0.26146449999999999</v>
      </c>
      <c r="U6522">
        <v>3.0025629999999999</v>
      </c>
      <c r="V6522">
        <v>-4.6923300000000001E-2</v>
      </c>
      <c r="W6522">
        <v>1.7568460000000001E-2</v>
      </c>
      <c r="X6522">
        <v>0.99874399999999997</v>
      </c>
      <c r="Y6522">
        <v>-8.5995639999999998E-2</v>
      </c>
      <c r="Z6522">
        <v>-8.6307809999999999E-2</v>
      </c>
      <c r="AA6522">
        <v>0.99255009999999999</v>
      </c>
      <c r="AB6522">
        <v>31</v>
      </c>
      <c r="AC6522">
        <v>-0.28849999999999898</v>
      </c>
      <c r="AD6522">
        <v>-1.105331889596</v>
      </c>
      <c r="AE6522">
        <v>12.390319999999999</v>
      </c>
      <c r="AF6522">
        <v>-1.08306287736525</v>
      </c>
      <c r="AG6522">
        <v>-1.105331889596</v>
      </c>
      <c r="AH6522">
        <v>12.248084217841599</v>
      </c>
      <c r="AI6522">
        <v>95.136769155580694</v>
      </c>
      <c r="AJ6522">
        <v>95.053357090984505</v>
      </c>
      <c r="AK6522">
        <v>12.3454587111951</v>
      </c>
    </row>
    <row r="6523" spans="1:37" x14ac:dyDescent="0.2">
      <c r="A6523" t="str">
        <f>"20200111160031539"</f>
        <v>20200111160031539</v>
      </c>
      <c r="B6523" t="str">
        <f>"1578729631537750"</f>
        <v>1578729631537750</v>
      </c>
      <c r="C6523" t="s">
        <v>37</v>
      </c>
      <c r="D6523">
        <v>5.7173610000000004</v>
      </c>
      <c r="E6523">
        <v>0.48655549999999997</v>
      </c>
      <c r="F6523" t="s">
        <v>39</v>
      </c>
      <c r="G6523">
        <v>-188.86359999999999</v>
      </c>
      <c r="H6523" s="1">
        <v>-3.006189E-6</v>
      </c>
      <c r="I6523">
        <v>76.170400000000001</v>
      </c>
      <c r="J6523">
        <v>-188.5762</v>
      </c>
      <c r="K6523">
        <v>1.1055889999999999</v>
      </c>
      <c r="L6523">
        <v>63.822299999999998</v>
      </c>
      <c r="M6523">
        <v>6.3148889999999999E-2</v>
      </c>
      <c r="N6523">
        <v>0</v>
      </c>
      <c r="O6523">
        <v>0.99790119999999904</v>
      </c>
      <c r="P6523">
        <v>1.7592279999999998E-2</v>
      </c>
      <c r="Q6523">
        <v>3.9916270000000002E-3</v>
      </c>
      <c r="R6523">
        <v>0.99983729999999904</v>
      </c>
      <c r="S6523">
        <v>-6.3888550000000002E-2</v>
      </c>
      <c r="T6523">
        <v>-0.26226959999999999</v>
      </c>
      <c r="U6523">
        <v>3.0025330000000001</v>
      </c>
      <c r="V6523">
        <v>-4.5640729999999997E-2</v>
      </c>
      <c r="W6523">
        <v>1.8177760000000001E-2</v>
      </c>
      <c r="X6523">
        <v>0.99879249999999997</v>
      </c>
      <c r="Y6523">
        <v>-8.429151E-2</v>
      </c>
      <c r="Z6523">
        <v>-8.6593130000000004E-2</v>
      </c>
      <c r="AA6523">
        <v>0.99267139999999998</v>
      </c>
      <c r="AB6523">
        <v>31</v>
      </c>
      <c r="AC6523">
        <v>-0.287399999999991</v>
      </c>
      <c r="AD6523">
        <v>-1.1055920061890001</v>
      </c>
      <c r="AE6523">
        <v>12.348100000000001</v>
      </c>
      <c r="AF6523">
        <v>-1.0581966411008099</v>
      </c>
      <c r="AG6523">
        <v>-1.1055920061890001</v>
      </c>
      <c r="AH6523">
        <v>12.207489300600599</v>
      </c>
      <c r="AI6523">
        <v>95.155742001192607</v>
      </c>
      <c r="AJ6523">
        <v>94.954255491081895</v>
      </c>
      <c r="AK6523">
        <v>12.3030446979463</v>
      </c>
    </row>
    <row r="6524" spans="1:37" x14ac:dyDescent="0.2">
      <c r="A6524" t="str">
        <f>"20200111160031562"</f>
        <v>20200111160031562</v>
      </c>
      <c r="B6524" t="str">
        <f>"1578729631557269"</f>
        <v>1578729631557269</v>
      </c>
      <c r="C6524" t="s">
        <v>37</v>
      </c>
      <c r="D6524">
        <v>5.9082619999999997</v>
      </c>
      <c r="E6524">
        <v>0.48639670000000002</v>
      </c>
      <c r="F6524" t="s">
        <v>39</v>
      </c>
      <c r="G6524">
        <v>-188.85820000000001</v>
      </c>
      <c r="H6524" s="1">
        <v>-3.1874990000000002E-6</v>
      </c>
      <c r="I6524">
        <v>76.590769999999907</v>
      </c>
      <c r="J6524">
        <v>-188.5592</v>
      </c>
      <c r="K6524">
        <v>1.1058399999999999</v>
      </c>
      <c r="L6524">
        <v>64.12079</v>
      </c>
      <c r="M6524">
        <v>6.1186810000000001E-2</v>
      </c>
      <c r="N6524">
        <v>0</v>
      </c>
      <c r="O6524">
        <v>0.9980234</v>
      </c>
      <c r="P6524">
        <v>1.7258780000000001E-2</v>
      </c>
      <c r="Q6524">
        <v>5.16048799999999E-3</v>
      </c>
      <c r="R6524">
        <v>0.9998378</v>
      </c>
      <c r="S6524">
        <v>-6.6314699999999893E-2</v>
      </c>
      <c r="T6524">
        <v>-0.25999529999999998</v>
      </c>
      <c r="U6524">
        <v>3.0026860000000002</v>
      </c>
      <c r="V6524">
        <v>-4.4024710000000002E-2</v>
      </c>
      <c r="W6524">
        <v>1.9327690000000002E-2</v>
      </c>
      <c r="X6524">
        <v>0.9988435</v>
      </c>
      <c r="Y6524">
        <v>-8.3134470000000002E-2</v>
      </c>
      <c r="Z6524">
        <v>-8.586278E-2</v>
      </c>
      <c r="AA6524">
        <v>0.99283239999999995</v>
      </c>
      <c r="AB6524">
        <v>31</v>
      </c>
      <c r="AC6524">
        <v>-0.29900000000000598</v>
      </c>
      <c r="AD6524">
        <v>-1.105843187499</v>
      </c>
      <c r="AE6524">
        <v>12.4699799999999</v>
      </c>
      <c r="AF6524">
        <v>-1.0532382163131999</v>
      </c>
      <c r="AG6524">
        <v>-1.105843187499</v>
      </c>
      <c r="AH6524">
        <v>12.331392806186701</v>
      </c>
      <c r="AI6524">
        <v>95.105918869807795</v>
      </c>
      <c r="AJ6524">
        <v>94.881849251482805</v>
      </c>
      <c r="AK6524">
        <v>12.4255965022253</v>
      </c>
    </row>
    <row r="6525" spans="1:37" x14ac:dyDescent="0.2">
      <c r="A6525" t="str">
        <f>"20200111160031585"</f>
        <v>20200111160031585</v>
      </c>
      <c r="B6525" t="str">
        <f>"1578729631577765"</f>
        <v>1578729631577765</v>
      </c>
      <c r="C6525" t="s">
        <v>37</v>
      </c>
      <c r="D6525">
        <v>4.0621460000000003</v>
      </c>
      <c r="E6525">
        <v>0.48615770000000003</v>
      </c>
      <c r="F6525" t="s">
        <v>39</v>
      </c>
      <c r="G6525">
        <v>-188.85299999999901</v>
      </c>
      <c r="H6525" s="1">
        <v>-3.383205E-6</v>
      </c>
      <c r="I6525">
        <v>77.044849999999997</v>
      </c>
      <c r="J6525">
        <v>-188.54239999999999</v>
      </c>
      <c r="K6525">
        <v>1.1060809999999901</v>
      </c>
      <c r="L6525">
        <v>64.434839999999994</v>
      </c>
      <c r="M6525">
        <v>5.884122E-2</v>
      </c>
      <c r="N6525">
        <v>0</v>
      </c>
      <c r="O6525">
        <v>0.99816439999999995</v>
      </c>
      <c r="P6525">
        <v>1.648902E-2</v>
      </c>
      <c r="Q6525">
        <v>5.9818219999999899E-3</v>
      </c>
      <c r="R6525">
        <v>0.99984619999999902</v>
      </c>
      <c r="S6525">
        <v>-6.8267820000000007E-2</v>
      </c>
      <c r="T6525">
        <v>-0.25694989999999901</v>
      </c>
      <c r="U6525">
        <v>3.0029910000000002</v>
      </c>
      <c r="V6525">
        <v>-4.2460339999999999E-2</v>
      </c>
      <c r="W6525">
        <v>2.013291E-2</v>
      </c>
      <c r="X6525">
        <v>0.99889530000000004</v>
      </c>
      <c r="Y6525">
        <v>-8.1437570000000001E-2</v>
      </c>
      <c r="Z6525">
        <v>-8.4879179999999999E-2</v>
      </c>
      <c r="AA6525">
        <v>0.99305759999999899</v>
      </c>
      <c r="AB6525">
        <v>31</v>
      </c>
      <c r="AC6525">
        <v>-0.31059999999999299</v>
      </c>
      <c r="AD6525">
        <v>-1.10608438320499</v>
      </c>
      <c r="AE6525">
        <v>12.6100099999999</v>
      </c>
      <c r="AF6525">
        <v>-1.04409806942743</v>
      </c>
      <c r="AG6525">
        <v>-1.10608438320499</v>
      </c>
      <c r="AH6525">
        <v>12.4739638195857</v>
      </c>
      <c r="AI6525">
        <v>95.049680089522695</v>
      </c>
      <c r="AJ6525">
        <v>94.784629135744694</v>
      </c>
      <c r="AK6525">
        <v>12.566357340681</v>
      </c>
    </row>
    <row r="6526" spans="1:37" x14ac:dyDescent="0.2">
      <c r="A6526" t="str">
        <f>"20200111160031830"</f>
        <v>20200111160031830</v>
      </c>
      <c r="B6526" t="str">
        <f>"1578729631827621"</f>
        <v>1578729631827621</v>
      </c>
      <c r="C6526" t="s">
        <v>37</v>
      </c>
      <c r="D6526">
        <v>5.9022779999999999</v>
      </c>
      <c r="E6526">
        <v>0.48615770000000003</v>
      </c>
      <c r="F6526" t="s">
        <v>39</v>
      </c>
      <c r="G6526">
        <v>-188.85659999999999</v>
      </c>
      <c r="H6526" s="1">
        <v>-3.561795E-6</v>
      </c>
      <c r="I6526">
        <v>77.462639999999993</v>
      </c>
      <c r="J6526">
        <v>-188.42429999999999</v>
      </c>
      <c r="K6526">
        <v>1.1064780000000001</v>
      </c>
      <c r="L6526">
        <v>67.731539999999995</v>
      </c>
      <c r="M6526">
        <v>2.9147380000000001E-2</v>
      </c>
      <c r="N6526">
        <v>0</v>
      </c>
      <c r="O6526">
        <v>0.99947260000000004</v>
      </c>
      <c r="P6526">
        <v>-1.067077E-2</v>
      </c>
      <c r="Q6526">
        <v>-4.27528899999999E-4</v>
      </c>
      <c r="R6526">
        <v>0.99994300000000003</v>
      </c>
      <c r="S6526">
        <v>-7.2448730000000003E-2</v>
      </c>
      <c r="T6526">
        <v>-0.25497520000000001</v>
      </c>
      <c r="U6526">
        <v>3.003174</v>
      </c>
      <c r="V6526">
        <v>-3.9885820000000002E-2</v>
      </c>
      <c r="W6526">
        <v>1.367557E-2</v>
      </c>
      <c r="X6526">
        <v>0.99911059999999996</v>
      </c>
      <c r="Y6526">
        <v>-5.316237E-2</v>
      </c>
      <c r="Z6526">
        <v>-8.4471630000000006E-2</v>
      </c>
      <c r="AA6526">
        <v>0.99500669999999902</v>
      </c>
      <c r="AB6526">
        <v>30</v>
      </c>
      <c r="AC6526">
        <v>-0.43229999999999702</v>
      </c>
      <c r="AD6526">
        <v>-1.1064815617949999</v>
      </c>
      <c r="AE6526">
        <v>9.7311000000000103</v>
      </c>
      <c r="AF6526">
        <v>-0.70666298790875004</v>
      </c>
      <c r="AG6526">
        <v>-1.1064815617949999</v>
      </c>
      <c r="AH6526">
        <v>9.5906103032730297</v>
      </c>
      <c r="AI6526">
        <v>96.5635567419274</v>
      </c>
      <c r="AJ6526">
        <v>94.214097946180104</v>
      </c>
      <c r="AK6526">
        <v>9.6800557857028497</v>
      </c>
    </row>
    <row r="6527" spans="1:37" x14ac:dyDescent="0.2">
      <c r="A6527" t="str">
        <f>"20200111160031852"</f>
        <v>20200111160031852</v>
      </c>
      <c r="B6527" t="str">
        <f>"1578729631848119"</f>
        <v>1578729631848119</v>
      </c>
      <c r="C6527" t="s">
        <v>37</v>
      </c>
      <c r="D6527">
        <v>4.7766729999999997</v>
      </c>
      <c r="E6527">
        <v>0.49007650000000003</v>
      </c>
      <c r="F6527" t="s">
        <v>39</v>
      </c>
      <c r="G6527">
        <v>-189.04740000000001</v>
      </c>
      <c r="H6527" s="1">
        <v>-3.1675389999999999E-7</v>
      </c>
      <c r="I6527">
        <v>79.834040000000002</v>
      </c>
      <c r="J6527">
        <v>-188.41839999999999</v>
      </c>
      <c r="K6527">
        <v>1.1064590000000001</v>
      </c>
      <c r="L6527">
        <v>68.027739999999994</v>
      </c>
      <c r="M6527">
        <v>2.660349E-2</v>
      </c>
      <c r="N6527">
        <v>0</v>
      </c>
      <c r="O6527">
        <v>0.99954349999999903</v>
      </c>
      <c r="P6527">
        <v>-1.1737799999999901E-2</v>
      </c>
      <c r="Q6527">
        <v>-1.20433E-3</v>
      </c>
      <c r="R6527">
        <v>0.9999304</v>
      </c>
      <c r="S6527">
        <v>-0.15437319999999999</v>
      </c>
      <c r="T6527">
        <v>-0.27413169999999998</v>
      </c>
      <c r="U6527">
        <v>2.9984130000000002</v>
      </c>
      <c r="V6527">
        <v>-3.840404E-2</v>
      </c>
      <c r="W6527">
        <v>1.2906020000000001E-2</v>
      </c>
      <c r="X6527">
        <v>0.99917889999999998</v>
      </c>
      <c r="Y6527">
        <v>-7.7757049999999994E-2</v>
      </c>
      <c r="Z6527">
        <v>-9.0800019999999995E-2</v>
      </c>
      <c r="AA6527">
        <v>0.99282890000000001</v>
      </c>
      <c r="AB6527">
        <v>30</v>
      </c>
      <c r="AC6527">
        <v>-0.62900000000001899</v>
      </c>
      <c r="AD6527">
        <v>-1.1064593167539001</v>
      </c>
      <c r="AE6527">
        <v>11.806299999999901</v>
      </c>
      <c r="AF6527">
        <v>-0.93471197270595996</v>
      </c>
      <c r="AG6527">
        <v>-1.1064593167539001</v>
      </c>
      <c r="AH6527">
        <v>11.683063158752701</v>
      </c>
      <c r="AI6527">
        <v>95.393002531730602</v>
      </c>
      <c r="AJ6527">
        <v>94.574247360090595</v>
      </c>
      <c r="AK6527">
        <v>11.772506252406799</v>
      </c>
    </row>
    <row r="6528" spans="1:37" x14ac:dyDescent="0.2">
      <c r="A6528" t="str">
        <f>"20200111160031875"</f>
        <v>20200111160031875</v>
      </c>
      <c r="B6528" t="str">
        <f>"1578729631867637"</f>
        <v>1578729631867637</v>
      </c>
      <c r="C6528" t="s">
        <v>37</v>
      </c>
      <c r="D6528">
        <v>5.9194649999999998</v>
      </c>
      <c r="E6528">
        <v>0.48986859999999999</v>
      </c>
      <c r="F6528" t="s">
        <v>39</v>
      </c>
      <c r="G6528">
        <v>-188.54519999999999</v>
      </c>
      <c r="H6528" s="1">
        <v>-5.4393659999999999E-7</v>
      </c>
      <c r="I6528">
        <v>70.108990000000006</v>
      </c>
      <c r="J6528">
        <v>-188.41309999999999</v>
      </c>
      <c r="K6528">
        <v>1.10644599999999</v>
      </c>
      <c r="L6528">
        <v>68.333159999999907</v>
      </c>
      <c r="M6528">
        <v>2.3992320000000001E-2</v>
      </c>
      <c r="N6528">
        <v>0</v>
      </c>
      <c r="O6528">
        <v>0.99960969999999905</v>
      </c>
      <c r="P6528">
        <v>-1.3500089999999999E-2</v>
      </c>
      <c r="Q6528">
        <v>-1.3590799999999999E-3</v>
      </c>
      <c r="R6528">
        <v>0.99990800000000002</v>
      </c>
      <c r="S6528">
        <v>-0.1825562</v>
      </c>
      <c r="T6528">
        <v>-1.592841</v>
      </c>
      <c r="U6528">
        <v>2.996124</v>
      </c>
      <c r="V6528">
        <v>-3.7553650000000001E-2</v>
      </c>
      <c r="W6528">
        <v>1.275392E-2</v>
      </c>
      <c r="X6528">
        <v>0.99921319999999902</v>
      </c>
      <c r="Y6528">
        <v>-7.7666680000000002E-2</v>
      </c>
      <c r="Z6528">
        <v>-0.46815879999999999</v>
      </c>
      <c r="AA6528">
        <v>0.88022459999999902</v>
      </c>
      <c r="AB6528">
        <v>30</v>
      </c>
      <c r="AC6528">
        <v>-0.13210000000000799</v>
      </c>
      <c r="AD6528">
        <v>-1.10644654393659</v>
      </c>
      <c r="AE6528">
        <v>1.77583000000001</v>
      </c>
      <c r="AF6528">
        <v>-0.126020416080207</v>
      </c>
      <c r="AG6528">
        <v>-1.10644654393659</v>
      </c>
      <c r="AH6528">
        <v>1.27854591515592</v>
      </c>
      <c r="AI6528">
        <v>130.735725883264</v>
      </c>
      <c r="AJ6528">
        <v>95.629200110394194</v>
      </c>
      <c r="AK6528">
        <v>1.6955190229013</v>
      </c>
    </row>
    <row r="6529" spans="1:37" x14ac:dyDescent="0.2">
      <c r="A6529" t="str">
        <f>"20200111160031898"</f>
        <v>20200111160031898</v>
      </c>
      <c r="B6529" t="str">
        <f>"1578729631887158"</f>
        <v>1578729631887158</v>
      </c>
      <c r="C6529" t="s">
        <v>37</v>
      </c>
      <c r="D6529">
        <v>6.0018209999999996</v>
      </c>
      <c r="E6529">
        <v>0.48986859999999999</v>
      </c>
      <c r="F6529" t="s">
        <v>39</v>
      </c>
      <c r="G6529">
        <v>-188.5453</v>
      </c>
      <c r="H6529" s="1">
        <v>-6.4999469999999996E-7</v>
      </c>
      <c r="I6529">
        <v>70.420699999999997</v>
      </c>
      <c r="J6529">
        <v>-188.40860000000001</v>
      </c>
      <c r="K6529">
        <v>1.1064350000000001</v>
      </c>
      <c r="L6529">
        <v>68.643680000000003</v>
      </c>
      <c r="M6529">
        <v>2.134163E-2</v>
      </c>
      <c r="N6529">
        <v>0</v>
      </c>
      <c r="O6529">
        <v>0.99966980000000005</v>
      </c>
      <c r="P6529">
        <v>-1.590917E-2</v>
      </c>
      <c r="Q6529">
        <v>-1.3672910000000001E-3</v>
      </c>
      <c r="R6529">
        <v>0.99987250000000005</v>
      </c>
      <c r="S6529">
        <v>-0.18960569999999999</v>
      </c>
      <c r="T6529">
        <v>-1.587731</v>
      </c>
      <c r="U6529">
        <v>2.9955750000000001</v>
      </c>
      <c r="V6529">
        <v>-3.7311610000000002E-2</v>
      </c>
      <c r="W6529">
        <v>1.274486E-2</v>
      </c>
      <c r="X6529">
        <v>0.99922239999999996</v>
      </c>
      <c r="Y6529">
        <v>-7.7135159999999994E-2</v>
      </c>
      <c r="Z6529">
        <v>-0.46707789999999999</v>
      </c>
      <c r="AA6529">
        <v>0.88084530000000005</v>
      </c>
      <c r="AB6529">
        <v>30</v>
      </c>
      <c r="AC6529">
        <v>-0.13669999999999</v>
      </c>
      <c r="AD6529">
        <v>-1.1064356499946999</v>
      </c>
      <c r="AE6529">
        <v>1.7770199999999901</v>
      </c>
      <c r="AF6529">
        <v>-0.12602711869201599</v>
      </c>
      <c r="AG6529">
        <v>-1.1064356499946999</v>
      </c>
      <c r="AH6529">
        <v>1.2802835526995799</v>
      </c>
      <c r="AI6529">
        <v>130.69732816816401</v>
      </c>
      <c r="AJ6529">
        <v>95.621906049322703</v>
      </c>
      <c r="AK6529">
        <v>1.6968231073208699</v>
      </c>
    </row>
    <row r="6530" spans="1:37" x14ac:dyDescent="0.2">
      <c r="A6530" t="str">
        <f>"20200111160031920"</f>
        <v>20200111160031920</v>
      </c>
      <c r="B6530" t="str">
        <f>"1578729631917414"</f>
        <v>1578729631917414</v>
      </c>
      <c r="C6530" t="s">
        <v>37</v>
      </c>
      <c r="D6530">
        <v>4.8122930000000004</v>
      </c>
      <c r="E6530">
        <v>0.4896973</v>
      </c>
      <c r="F6530" t="s">
        <v>39</v>
      </c>
      <c r="G6530">
        <v>-188.54470000000001</v>
      </c>
      <c r="H6530" s="1">
        <v>-7.5563620000000004E-7</v>
      </c>
      <c r="I6530">
        <v>70.730649999999997</v>
      </c>
      <c r="J6530">
        <v>-188.4051</v>
      </c>
      <c r="K6530">
        <v>1.1064290000000001</v>
      </c>
      <c r="L6530">
        <v>68.933109999999999</v>
      </c>
      <c r="M6530">
        <v>1.8869980000000001E-2</v>
      </c>
      <c r="N6530">
        <v>0</v>
      </c>
      <c r="O6530">
        <v>0.99971960000000004</v>
      </c>
      <c r="P6530">
        <v>-1.89654E-2</v>
      </c>
      <c r="Q6530">
        <v>-1.3821599999999999E-3</v>
      </c>
      <c r="R6530">
        <v>0.99981919999999902</v>
      </c>
      <c r="S6530">
        <v>-0.19525149999999999</v>
      </c>
      <c r="T6530">
        <v>-1.587901</v>
      </c>
      <c r="U6530">
        <v>2.995117</v>
      </c>
      <c r="V6530">
        <v>-3.7894810000000001E-2</v>
      </c>
      <c r="W6530">
        <v>1.2724360000000001E-2</v>
      </c>
      <c r="X6530">
        <v>0.99920069999999905</v>
      </c>
      <c r="Y6530">
        <v>-7.6330449999999994E-2</v>
      </c>
      <c r="Z6530">
        <v>-0.46720020000000001</v>
      </c>
      <c r="AA6530">
        <v>0.88085059999999904</v>
      </c>
      <c r="AB6530">
        <v>30</v>
      </c>
      <c r="AC6530">
        <v>-0.139600000000001</v>
      </c>
      <c r="AD6530">
        <v>-1.1064297556361999</v>
      </c>
      <c r="AE6530">
        <v>1.7975399999999899</v>
      </c>
      <c r="AF6530">
        <v>-0.126033917769096</v>
      </c>
      <c r="AG6530">
        <v>-1.1064297556361999</v>
      </c>
      <c r="AH6530">
        <v>1.3036370614997701</v>
      </c>
      <c r="AI6530">
        <v>130.19067137078201</v>
      </c>
      <c r="AJ6530">
        <v>95.522118679821801</v>
      </c>
      <c r="AK6530">
        <v>1.7145089503123501</v>
      </c>
    </row>
    <row r="6531" spans="1:37" x14ac:dyDescent="0.2">
      <c r="A6531" t="str">
        <f>"20200111160031942"</f>
        <v>20200111160031942</v>
      </c>
      <c r="B6531" t="str">
        <f>"1578729631937910"</f>
        <v>1578729631937910</v>
      </c>
      <c r="C6531" t="s">
        <v>37</v>
      </c>
      <c r="D6531">
        <v>4.830355</v>
      </c>
      <c r="E6531">
        <v>0.48982599999999998</v>
      </c>
      <c r="F6531" t="s">
        <v>39</v>
      </c>
      <c r="G6531">
        <v>-188.54820000000001</v>
      </c>
      <c r="H6531" s="1">
        <v>-8.5420649999999998E-7</v>
      </c>
      <c r="I6531">
        <v>71.023069999999905</v>
      </c>
      <c r="J6531">
        <v>-188.4023</v>
      </c>
      <c r="K6531">
        <v>1.106417</v>
      </c>
      <c r="L6531">
        <v>69.225099999999998</v>
      </c>
      <c r="M6531">
        <v>1.6372749999999998E-2</v>
      </c>
      <c r="N6531">
        <v>0</v>
      </c>
      <c r="O6531">
        <v>0.99976369999999903</v>
      </c>
      <c r="P6531">
        <v>-2.2052530000000001E-2</v>
      </c>
      <c r="Q6531">
        <v>-2.091201E-3</v>
      </c>
      <c r="R6531">
        <v>0.99975460000000005</v>
      </c>
      <c r="S6531">
        <v>-0.205032299999999</v>
      </c>
      <c r="T6531">
        <v>-1.585261</v>
      </c>
      <c r="U6531">
        <v>2.9944459999999999</v>
      </c>
      <c r="V6531">
        <v>-3.8480699999999902E-2</v>
      </c>
      <c r="W6531">
        <v>1.200964E-2</v>
      </c>
      <c r="X6531">
        <v>0.99918719999999905</v>
      </c>
      <c r="Y6531">
        <v>-7.6738979999999998E-2</v>
      </c>
      <c r="Z6531">
        <v>-0.46665869999999998</v>
      </c>
      <c r="AA6531">
        <v>0.8811021</v>
      </c>
      <c r="AB6531">
        <v>30</v>
      </c>
      <c r="AC6531">
        <v>-0.14590000000001099</v>
      </c>
      <c r="AD6531">
        <v>-1.1064178542065</v>
      </c>
      <c r="AE6531">
        <v>1.7979699999999901</v>
      </c>
      <c r="AF6531">
        <v>-0.12739477499407101</v>
      </c>
      <c r="AG6531">
        <v>-1.1064178542065</v>
      </c>
      <c r="AH6531">
        <v>1.3045597086782601</v>
      </c>
      <c r="AI6531">
        <v>130.16773548614901</v>
      </c>
      <c r="AJ6531">
        <v>95.577447007943306</v>
      </c>
      <c r="AK6531">
        <v>1.7153034513780301</v>
      </c>
    </row>
    <row r="6532" spans="1:37" x14ac:dyDescent="0.2">
      <c r="A6532" t="str">
        <f>"20200111160031965"</f>
        <v>20200111160031965</v>
      </c>
      <c r="B6532" t="str">
        <f>"1578729631957429"</f>
        <v>1578729631957429</v>
      </c>
      <c r="C6532" t="s">
        <v>37</v>
      </c>
      <c r="D6532">
        <v>4.7943619999999996</v>
      </c>
      <c r="E6532">
        <v>0.49014679999999999</v>
      </c>
      <c r="F6532" t="s">
        <v>39</v>
      </c>
      <c r="G6532">
        <v>-188.55170000000001</v>
      </c>
      <c r="H6532" s="1">
        <v>-9.7649319999999999E-7</v>
      </c>
      <c r="I6532">
        <v>71.310169999999999</v>
      </c>
      <c r="J6532">
        <v>-188.40020000000001</v>
      </c>
      <c r="K6532">
        <v>1.1064039999999999</v>
      </c>
      <c r="L6532">
        <v>69.526179999999997</v>
      </c>
      <c r="M6532">
        <v>1.379387E-2</v>
      </c>
      <c r="N6532">
        <v>0</v>
      </c>
      <c r="O6532">
        <v>0.99980259999999999</v>
      </c>
      <c r="P6532">
        <v>-2.545681E-2</v>
      </c>
      <c r="Q6532">
        <v>-3.6284889999999999E-3</v>
      </c>
      <c r="R6532">
        <v>0.99966929999999998</v>
      </c>
      <c r="S6532">
        <v>-0.21447749999999999</v>
      </c>
      <c r="T6532">
        <v>-1.588028</v>
      </c>
      <c r="U6532">
        <v>2.9926759999999999</v>
      </c>
      <c r="V6532">
        <v>-3.9297529999999997E-2</v>
      </c>
      <c r="W6532">
        <v>1.0465729999999999E-2</v>
      </c>
      <c r="X6532">
        <v>0.99917269999999903</v>
      </c>
      <c r="Y6532">
        <v>-7.6940910000000001E-2</v>
      </c>
      <c r="Z6532">
        <v>-0.46749429999999997</v>
      </c>
      <c r="AA6532">
        <v>0.88064129999999996</v>
      </c>
      <c r="AB6532">
        <v>30</v>
      </c>
      <c r="AC6532">
        <v>-0.151499999999998</v>
      </c>
      <c r="AD6532">
        <v>-1.1064049764932</v>
      </c>
      <c r="AE6532">
        <v>1.78398999999998</v>
      </c>
      <c r="AF6532">
        <v>-0.127432704866562</v>
      </c>
      <c r="AG6532">
        <v>-1.1064049764932</v>
      </c>
      <c r="AH6532">
        <v>1.28935588534467</v>
      </c>
      <c r="AI6532">
        <v>130.495541055068</v>
      </c>
      <c r="AJ6532">
        <v>95.644462341970694</v>
      </c>
      <c r="AK6532">
        <v>1.70376338302931</v>
      </c>
    </row>
    <row r="6533" spans="1:37" x14ac:dyDescent="0.2">
      <c r="A6533" t="str">
        <f>"20200111160031988"</f>
        <v>20200111160031988</v>
      </c>
      <c r="B6533" t="str">
        <f>"1578729631977926"</f>
        <v>1578729631977926</v>
      </c>
      <c r="C6533" t="s">
        <v>37</v>
      </c>
      <c r="D6533">
        <v>4.8567</v>
      </c>
      <c r="E6533">
        <v>0.49028490000000002</v>
      </c>
      <c r="F6533" t="s">
        <v>38</v>
      </c>
      <c r="G6533">
        <v>-188.44569999999999</v>
      </c>
      <c r="H6533">
        <v>0.77830669999999902</v>
      </c>
      <c r="I6533">
        <v>70.141589999999994</v>
      </c>
      <c r="J6533">
        <v>-188.39879999999999</v>
      </c>
      <c r="K6533">
        <v>1.106393</v>
      </c>
      <c r="L6533">
        <v>69.831999999999994</v>
      </c>
      <c r="M6533">
        <v>1.1170950000000001E-2</v>
      </c>
      <c r="N6533">
        <v>0</v>
      </c>
      <c r="O6533">
        <v>0.99983539999999904</v>
      </c>
      <c r="P6533">
        <v>-2.9091479999999999E-2</v>
      </c>
      <c r="Q6533">
        <v>-5.1230420000000004E-3</v>
      </c>
      <c r="R6533">
        <v>0.9995636</v>
      </c>
      <c r="S6533">
        <v>-0.22140499999999999</v>
      </c>
      <c r="T6533">
        <v>-1.5938909999999999</v>
      </c>
      <c r="U6533">
        <v>2.989563</v>
      </c>
      <c r="V6533">
        <v>-4.0301969999999999E-2</v>
      </c>
      <c r="W6533">
        <v>8.9623369999999904E-3</v>
      </c>
      <c r="X6533">
        <v>0.99914740000000002</v>
      </c>
      <c r="Y6533">
        <v>-7.6355519999999996E-2</v>
      </c>
      <c r="Z6533">
        <v>-0.46922349999999902</v>
      </c>
      <c r="AA6533">
        <v>0.8797722</v>
      </c>
      <c r="AB6533">
        <v>30</v>
      </c>
      <c r="AC6533">
        <v>-4.6899999999993697E-2</v>
      </c>
      <c r="AD6533">
        <v>-0.3280863</v>
      </c>
      <c r="AE6533">
        <v>0.30959000000001402</v>
      </c>
      <c r="AF6533">
        <v>-2.4003397253526602E-2</v>
      </c>
      <c r="AG6533">
        <v>-0.3280863</v>
      </c>
      <c r="AH6533">
        <v>0.14731500380689999</v>
      </c>
      <c r="AI6533">
        <v>155.53757925953499</v>
      </c>
      <c r="AJ6533">
        <v>99.254404621341706</v>
      </c>
      <c r="AK6533">
        <v>0.360442080886829</v>
      </c>
    </row>
    <row r="6534" spans="1:37" x14ac:dyDescent="0.2">
      <c r="A6534" t="str">
        <f>"20200111160032010"</f>
        <v>20200111160032010</v>
      </c>
      <c r="B6534" t="str">
        <f>"1578729632007205"</f>
        <v>1578729632007205</v>
      </c>
      <c r="C6534" t="s">
        <v>37</v>
      </c>
      <c r="D6534">
        <v>5.9606690000000002</v>
      </c>
      <c r="E6534">
        <v>0.49054510000000001</v>
      </c>
      <c r="F6534" t="s">
        <v>39</v>
      </c>
      <c r="G6534">
        <v>-188.55799999999999</v>
      </c>
      <c r="H6534" s="1">
        <v>-1.228869E-6</v>
      </c>
      <c r="I6534">
        <v>71.901069999999905</v>
      </c>
      <c r="J6534">
        <v>-188.39830000000001</v>
      </c>
      <c r="K6534">
        <v>1.1063810000000001</v>
      </c>
      <c r="L6534">
        <v>70.119929999999997</v>
      </c>
      <c r="M6534">
        <v>8.6995230000000007E-3</v>
      </c>
      <c r="N6534">
        <v>0</v>
      </c>
      <c r="O6534">
        <v>0.99985999999999997</v>
      </c>
      <c r="P6534">
        <v>-3.270522E-2</v>
      </c>
      <c r="Q6534">
        <v>-5.8814459999999898E-3</v>
      </c>
      <c r="R6534">
        <v>0.9994478</v>
      </c>
      <c r="S6534">
        <v>-0.22978209999999999</v>
      </c>
      <c r="T6534">
        <v>-1.5969309999999901</v>
      </c>
      <c r="U6534">
        <v>2.9864199999999999</v>
      </c>
      <c r="V6534">
        <v>-4.1440400000000002E-2</v>
      </c>
      <c r="W6534">
        <v>8.1951349999999992E-3</v>
      </c>
      <c r="X6534">
        <v>0.99910739999999998</v>
      </c>
      <c r="Y6534">
        <v>-7.6372179999999998E-2</v>
      </c>
      <c r="Z6534">
        <v>-0.47028389999999998</v>
      </c>
      <c r="AA6534">
        <v>0.8792044</v>
      </c>
      <c r="AB6534">
        <v>30</v>
      </c>
      <c r="AC6534">
        <v>-0.15969999999998599</v>
      </c>
      <c r="AD6534">
        <v>-1.106382228869</v>
      </c>
      <c r="AE6534">
        <v>1.78113999999997</v>
      </c>
      <c r="AF6534">
        <v>-0.12669549116560999</v>
      </c>
      <c r="AG6534">
        <v>-1.106382228869</v>
      </c>
      <c r="AH6534">
        <v>1.2870429080567301</v>
      </c>
      <c r="AI6534">
        <v>130.54686194768999</v>
      </c>
      <c r="AJ6534">
        <v>95.622038435279705</v>
      </c>
      <c r="AK6534">
        <v>1.70194383897294</v>
      </c>
    </row>
    <row r="6535" spans="1:37" x14ac:dyDescent="0.2">
      <c r="A6535" t="str">
        <f>"20200111160032031"</f>
        <v>20200111160032031</v>
      </c>
      <c r="B6535" t="str">
        <f>"1578729632027701"</f>
        <v>1578729632027701</v>
      </c>
      <c r="C6535" t="s">
        <v>37</v>
      </c>
      <c r="D6535">
        <v>5.9542019999999898</v>
      </c>
      <c r="E6535">
        <v>0.49118400000000001</v>
      </c>
      <c r="F6535" t="s">
        <v>39</v>
      </c>
      <c r="G6535">
        <v>-188.56370000000001</v>
      </c>
      <c r="H6535" s="1">
        <v>-1.3512379999999899E-6</v>
      </c>
      <c r="I6535">
        <v>72.188659999999999</v>
      </c>
      <c r="J6535">
        <v>-188.39850000000001</v>
      </c>
      <c r="K6535">
        <v>1.1063719999999999</v>
      </c>
      <c r="L6535">
        <v>70.403019999999998</v>
      </c>
      <c r="M6535">
        <v>6.2683569999999996E-3</v>
      </c>
      <c r="N6535">
        <v>0</v>
      </c>
      <c r="O6535">
        <v>0.99987819999999905</v>
      </c>
      <c r="P6535">
        <v>-3.6041030000000002E-2</v>
      </c>
      <c r="Q6535">
        <v>-7.0999590000000003E-3</v>
      </c>
      <c r="R6535">
        <v>0.99932509999999997</v>
      </c>
      <c r="S6535">
        <v>-0.2385864</v>
      </c>
      <c r="T6535">
        <v>-1.5961319999999899</v>
      </c>
      <c r="U6535">
        <v>2.984467</v>
      </c>
      <c r="V6535">
        <v>-4.2340250000000003E-2</v>
      </c>
      <c r="W6535">
        <v>6.9687450000000001E-3</v>
      </c>
      <c r="X6535">
        <v>0.99907889999999999</v>
      </c>
      <c r="Y6535">
        <v>-7.6571130000000001E-2</v>
      </c>
      <c r="Z6535">
        <v>-0.47030810000000001</v>
      </c>
      <c r="AA6535">
        <v>0.87917420000000002</v>
      </c>
      <c r="AB6535">
        <v>30</v>
      </c>
      <c r="AC6535">
        <v>-0.16519999999999799</v>
      </c>
      <c r="AD6535">
        <v>-1.1063733512379901</v>
      </c>
      <c r="AE6535">
        <v>1.7856399999999999</v>
      </c>
      <c r="AF6535">
        <v>-0.12776027777624999</v>
      </c>
      <c r="AG6535">
        <v>-1.1063733512379901</v>
      </c>
      <c r="AH6535">
        <v>1.29256686207208</v>
      </c>
      <c r="AI6535">
        <v>130.424348259884</v>
      </c>
      <c r="AJ6535">
        <v>95.644910893676595</v>
      </c>
      <c r="AK6535">
        <v>1.7061986325847101</v>
      </c>
    </row>
    <row r="6536" spans="1:37" x14ac:dyDescent="0.2">
      <c r="A6536" t="str">
        <f>"20200111160032064"</f>
        <v>20200111160032064</v>
      </c>
      <c r="B6536" t="str">
        <f>"1578729632057957"</f>
        <v>1578729632057957</v>
      </c>
      <c r="C6536" t="s">
        <v>37</v>
      </c>
      <c r="D6536">
        <v>5.9759099999999998</v>
      </c>
      <c r="E6536">
        <v>0.56028719999999999</v>
      </c>
      <c r="F6536" t="s">
        <v>39</v>
      </c>
      <c r="G6536">
        <v>-188.5684</v>
      </c>
      <c r="H6536" s="1">
        <v>-1.4719109999999999E-6</v>
      </c>
      <c r="I6536">
        <v>72.471890000000002</v>
      </c>
      <c r="J6536">
        <v>-188.40010000000001</v>
      </c>
      <c r="K6536">
        <v>1.1063559999999999</v>
      </c>
      <c r="L6536">
        <v>70.846310000000003</v>
      </c>
      <c r="M6536">
        <v>2.459929E-3</v>
      </c>
      <c r="N6536">
        <v>0</v>
      </c>
      <c r="O6536">
        <v>0.99989490000000003</v>
      </c>
      <c r="P6536">
        <v>-4.0319489999999999E-2</v>
      </c>
      <c r="Q6536">
        <v>-7.0421529999999998E-3</v>
      </c>
      <c r="R6536">
        <v>0.99916199999999999</v>
      </c>
      <c r="S6536">
        <v>-0.24487300000000001</v>
      </c>
      <c r="T6536">
        <v>-1.5946129999999901</v>
      </c>
      <c r="U6536">
        <v>2.98187299999999</v>
      </c>
      <c r="V6536">
        <v>-4.281281E-2</v>
      </c>
      <c r="W6536">
        <v>7.0197640000000004E-3</v>
      </c>
      <c r="X6536">
        <v>0.99905840000000001</v>
      </c>
      <c r="Y6536">
        <v>-7.4680109999999994E-2</v>
      </c>
      <c r="Z6536">
        <v>-0.47029480000000001</v>
      </c>
      <c r="AA6536">
        <v>0.87934389999999996</v>
      </c>
      <c r="AB6536">
        <v>30</v>
      </c>
      <c r="AC6536">
        <v>-0.16829999999998699</v>
      </c>
      <c r="AD6536">
        <v>-1.1063574719110001</v>
      </c>
      <c r="AE6536">
        <v>1.62557999999999</v>
      </c>
      <c r="AF6536">
        <v>-0.11815090115958</v>
      </c>
      <c r="AG6536">
        <v>-1.1063574719110001</v>
      </c>
      <c r="AH6536">
        <v>1.11442645262868</v>
      </c>
      <c r="AI6536">
        <v>134.631726295563</v>
      </c>
      <c r="AJ6536">
        <v>96.051861143461494</v>
      </c>
      <c r="AK6536">
        <v>1.5747802416263199</v>
      </c>
    </row>
    <row r="6537" spans="1:37" x14ac:dyDescent="0.2">
      <c r="A6537" t="str">
        <f>"20200111160032088"</f>
        <v>20200111160032088</v>
      </c>
      <c r="B6537" t="str">
        <f>"1578729632077477"</f>
        <v>1578729632077477</v>
      </c>
      <c r="C6537" t="s">
        <v>37</v>
      </c>
      <c r="D6537">
        <v>5.9431029999999998</v>
      </c>
      <c r="E6537">
        <v>0.56271179999999998</v>
      </c>
      <c r="F6537" t="s">
        <v>38</v>
      </c>
      <c r="G6537">
        <v>-188.3143</v>
      </c>
      <c r="H6537">
        <v>1.052322</v>
      </c>
      <c r="I6537">
        <v>71.582800000000006</v>
      </c>
      <c r="J6537">
        <v>-188.4023</v>
      </c>
      <c r="K6537">
        <v>1.106352</v>
      </c>
      <c r="L6537">
        <v>71.148650000000004</v>
      </c>
      <c r="M6537">
        <v>-1.383139E-4</v>
      </c>
      <c r="N6537">
        <v>0</v>
      </c>
      <c r="O6537">
        <v>0.99989799999999995</v>
      </c>
      <c r="P6537">
        <v>-4.2625540000000003E-2</v>
      </c>
      <c r="Q6537">
        <v>-6.6488579999999997E-3</v>
      </c>
      <c r="R6537">
        <v>0.99906899999999998</v>
      </c>
      <c r="S6537">
        <v>0.35128779999999998</v>
      </c>
      <c r="T6537">
        <v>-0.2212807</v>
      </c>
      <c r="U6537">
        <v>3.01513699999999</v>
      </c>
      <c r="V6537">
        <v>-4.2523999999999999E-2</v>
      </c>
      <c r="W6537">
        <v>7.4117139999999998E-3</v>
      </c>
      <c r="X6537">
        <v>0.99906799999999996</v>
      </c>
      <c r="Y6537">
        <v>0.11555650000000001</v>
      </c>
      <c r="Z6537">
        <v>-7.270335E-2</v>
      </c>
      <c r="AA6537">
        <v>0.99063659999999998</v>
      </c>
      <c r="AB6537">
        <v>30</v>
      </c>
      <c r="AC6537">
        <v>8.7999999999993805E-2</v>
      </c>
      <c r="AD6537">
        <v>-5.4030000000000002E-2</v>
      </c>
      <c r="AE6537">
        <v>0.43415000000000198</v>
      </c>
      <c r="AF6537">
        <v>8.6769222202943197E-2</v>
      </c>
      <c r="AG6537">
        <v>-5.4030000000000002E-2</v>
      </c>
      <c r="AH6537">
        <v>0.42777399519396198</v>
      </c>
      <c r="AI6537">
        <v>97.056418398793895</v>
      </c>
      <c r="AJ6537">
        <v>78.533750299749997</v>
      </c>
      <c r="AK6537">
        <v>0.43981670021260899</v>
      </c>
    </row>
    <row r="6538" spans="1:37" x14ac:dyDescent="0.2">
      <c r="A6538" t="str">
        <f>"20200111160032378"</f>
        <v>20200111160032378</v>
      </c>
      <c r="B6538" t="str">
        <f>"1578729632367986"</f>
        <v>1578729632367986</v>
      </c>
      <c r="C6538" t="s">
        <v>37</v>
      </c>
      <c r="D6538">
        <v>6.2087180000000002</v>
      </c>
      <c r="E6538">
        <v>0.55235000000000001</v>
      </c>
      <c r="F6538" t="s">
        <v>38</v>
      </c>
      <c r="G6538">
        <v>-188.41759999999999</v>
      </c>
      <c r="H6538">
        <v>1.042351</v>
      </c>
      <c r="I6538">
        <v>75.496160000000003</v>
      </c>
      <c r="J6538">
        <v>-188.49270000000001</v>
      </c>
      <c r="K6538">
        <v>1.106031</v>
      </c>
      <c r="L6538">
        <v>74.941280000000006</v>
      </c>
      <c r="M6538">
        <v>-3.1090139999999999E-2</v>
      </c>
      <c r="N6538">
        <v>0</v>
      </c>
      <c r="O6538">
        <v>0.99941919999999995</v>
      </c>
      <c r="P6538">
        <v>-7.0776679999999995E-2</v>
      </c>
      <c r="Q6538">
        <v>-3.3102309999999999E-3</v>
      </c>
      <c r="R6538">
        <v>0.99748669999999995</v>
      </c>
      <c r="S6538">
        <v>0.2312775</v>
      </c>
      <c r="T6538">
        <v>-0.22882910000000001</v>
      </c>
      <c r="U6538">
        <v>3.022278</v>
      </c>
      <c r="V6538">
        <v>-3.9771590000000002E-2</v>
      </c>
      <c r="W6538">
        <v>1.046621E-2</v>
      </c>
      <c r="X6538">
        <v>0.99915399999999999</v>
      </c>
      <c r="Y6538">
        <v>0.1070508</v>
      </c>
      <c r="Z6538">
        <v>-7.5117080000000003E-2</v>
      </c>
      <c r="AA6538">
        <v>0.99141190000000001</v>
      </c>
      <c r="AB6538">
        <v>29</v>
      </c>
      <c r="AC6538">
        <v>7.5100000000020303E-2</v>
      </c>
      <c r="AD6538">
        <v>-6.3679999999999903E-2</v>
      </c>
      <c r="AE6538">
        <v>0.55487999999999704</v>
      </c>
      <c r="AF6538">
        <v>9.1137909704358394E-2</v>
      </c>
      <c r="AG6538">
        <v>-6.3679999999999903E-2</v>
      </c>
      <c r="AH6538">
        <v>0.54522481180235205</v>
      </c>
      <c r="AI6538">
        <v>96.571367781189394</v>
      </c>
      <c r="AJ6538">
        <v>80.5103691733311</v>
      </c>
      <c r="AK6538">
        <v>0.55644528607059796</v>
      </c>
    </row>
    <row r="6539" spans="1:37" x14ac:dyDescent="0.2">
      <c r="A6539" t="str">
        <f>"20200111160032401"</f>
        <v>20200111160032401</v>
      </c>
      <c r="B6539" t="str">
        <f>"1578729632398240"</f>
        <v>1578729632398240</v>
      </c>
      <c r="C6539" t="s">
        <v>37</v>
      </c>
      <c r="D6539">
        <v>5.7141510000000002</v>
      </c>
      <c r="E6539">
        <v>0.54219700000000004</v>
      </c>
      <c r="F6539" t="s">
        <v>38</v>
      </c>
      <c r="G6539">
        <v>-188.43979999999999</v>
      </c>
      <c r="H6539">
        <v>1.0465199999999999</v>
      </c>
      <c r="I6539">
        <v>75.757639999999995</v>
      </c>
      <c r="J6539">
        <v>-188.50399999999999</v>
      </c>
      <c r="K6539">
        <v>1.105985</v>
      </c>
      <c r="L6539">
        <v>75.230930000000001</v>
      </c>
      <c r="M6539">
        <v>-3.3231120000000003E-2</v>
      </c>
      <c r="N6539">
        <v>0</v>
      </c>
      <c r="O6539">
        <v>0.99935130000000005</v>
      </c>
      <c r="P6539">
        <v>-7.2470889999999996E-2</v>
      </c>
      <c r="Q6539">
        <v>-3.031288E-3</v>
      </c>
      <c r="R6539">
        <v>0.99736599999999997</v>
      </c>
      <c r="S6539">
        <v>0.19525149999999999</v>
      </c>
      <c r="T6539">
        <v>-0.22026009999999999</v>
      </c>
      <c r="U6539">
        <v>3.0206909999999998</v>
      </c>
      <c r="V6539">
        <v>-3.9328410000000001E-2</v>
      </c>
      <c r="W6539">
        <v>1.067362E-2</v>
      </c>
      <c r="X6539">
        <v>0.99916930000000004</v>
      </c>
      <c r="Y6539">
        <v>9.7463220000000003E-2</v>
      </c>
      <c r="Z6539">
        <v>-7.2415460000000001E-2</v>
      </c>
      <c r="AA6539">
        <v>0.99260110000000001</v>
      </c>
      <c r="AB6539">
        <v>29</v>
      </c>
      <c r="AC6539">
        <v>6.4200000000027999E-2</v>
      </c>
      <c r="AD6539">
        <v>-5.9464999999999803E-2</v>
      </c>
      <c r="AE6539">
        <v>0.52671000000000801</v>
      </c>
      <c r="AF6539">
        <v>8.0656374994428695E-2</v>
      </c>
      <c r="AG6539">
        <v>-5.9464999999999803E-2</v>
      </c>
      <c r="AH6539">
        <v>0.51778227024134504</v>
      </c>
      <c r="AI6539">
        <v>96.474062075348101</v>
      </c>
      <c r="AJ6539">
        <v>81.146034782596601</v>
      </c>
      <c r="AK6539">
        <v>0.527389814490689</v>
      </c>
    </row>
    <row r="6540" spans="1:37" x14ac:dyDescent="0.2">
      <c r="A6540" t="str">
        <f>"20200111160032423"</f>
        <v>20200111160032423</v>
      </c>
      <c r="B6540" t="str">
        <f>"1578729632417760"</f>
        <v>1578729632417760</v>
      </c>
      <c r="C6540" t="s">
        <v>37</v>
      </c>
      <c r="D6540">
        <v>5.9495490000000002</v>
      </c>
      <c r="E6540">
        <v>0.53854820000000003</v>
      </c>
      <c r="F6540" t="s">
        <v>38</v>
      </c>
      <c r="G6540">
        <v>-188.47569999999999</v>
      </c>
      <c r="H6540">
        <v>1.0462579999999999</v>
      </c>
      <c r="I6540">
        <v>76.016229999999993</v>
      </c>
      <c r="J6540">
        <v>-188.51589999999999</v>
      </c>
      <c r="K6540">
        <v>1.1059459999999901</v>
      </c>
      <c r="L6540">
        <v>75.518619999999999</v>
      </c>
      <c r="M6540">
        <v>-3.5320039999999997E-2</v>
      </c>
      <c r="N6540">
        <v>0</v>
      </c>
      <c r="O6540">
        <v>0.99928069999999902</v>
      </c>
      <c r="P6540">
        <v>-7.4071150000000002E-2</v>
      </c>
      <c r="Q6540">
        <v>-3.4367669999999999E-3</v>
      </c>
      <c r="R6540">
        <v>0.997246999999999</v>
      </c>
      <c r="S6540">
        <v>0.1086884</v>
      </c>
      <c r="T6540">
        <v>-0.22935410000000001</v>
      </c>
      <c r="U6540">
        <v>3.0151059999999998</v>
      </c>
      <c r="V6540">
        <v>-3.8840720000000002E-2</v>
      </c>
      <c r="W6540">
        <v>1.0202060000000001E-2</v>
      </c>
      <c r="X6540">
        <v>0.99919329999999995</v>
      </c>
      <c r="Y6540">
        <v>7.1199100000000001E-2</v>
      </c>
      <c r="Z6540">
        <v>-7.5657500000000003E-2</v>
      </c>
      <c r="AA6540">
        <v>0.99458869999999899</v>
      </c>
      <c r="AB6540">
        <v>29</v>
      </c>
      <c r="AC6540">
        <v>4.0199999999998598E-2</v>
      </c>
      <c r="AD6540">
        <v>-5.9687999999999901E-2</v>
      </c>
      <c r="AE6540">
        <v>0.49761000000000799</v>
      </c>
      <c r="AF6540">
        <v>5.6938285108072098E-2</v>
      </c>
      <c r="AG6540">
        <v>-5.9687999999999901E-2</v>
      </c>
      <c r="AH6540">
        <v>0.488890977805576</v>
      </c>
      <c r="AI6540">
        <v>96.914433148461995</v>
      </c>
      <c r="AJ6540">
        <v>83.357021261606207</v>
      </c>
      <c r="AK6540">
        <v>0.49580138547077501</v>
      </c>
    </row>
    <row r="6541" spans="1:37" x14ac:dyDescent="0.2">
      <c r="A6541" t="str">
        <f>"20200111160032447"</f>
        <v>20200111160032447</v>
      </c>
      <c r="B6541" t="str">
        <f>"1578729632438256"</f>
        <v>1578729632438256</v>
      </c>
      <c r="C6541" t="s">
        <v>37</v>
      </c>
      <c r="D6541">
        <v>5.8559999999999999</v>
      </c>
      <c r="E6541">
        <v>0.5360222</v>
      </c>
      <c r="F6541" t="s">
        <v>38</v>
      </c>
      <c r="G6541">
        <v>-188.49690000000001</v>
      </c>
      <c r="H6541">
        <v>1.0481689999999999</v>
      </c>
      <c r="I6541">
        <v>76.276820000000001</v>
      </c>
      <c r="J6541">
        <v>-188.5292</v>
      </c>
      <c r="K6541">
        <v>1.1058920000000001</v>
      </c>
      <c r="L6541">
        <v>75.824860000000001</v>
      </c>
      <c r="M6541">
        <v>-3.7495349999999997E-2</v>
      </c>
      <c r="N6541">
        <v>0</v>
      </c>
      <c r="O6541">
        <v>0.99920239999999905</v>
      </c>
      <c r="P6541">
        <v>-7.5516699999999895E-2</v>
      </c>
      <c r="Q6541">
        <v>-3.7466729999999998E-3</v>
      </c>
      <c r="R6541">
        <v>0.99713750000000001</v>
      </c>
      <c r="S6541">
        <v>7.4966430000000001E-2</v>
      </c>
      <c r="T6541">
        <v>-0.229712799999999</v>
      </c>
      <c r="U6541">
        <v>3.0130619999999899</v>
      </c>
      <c r="V6541">
        <v>-3.8110930000000001E-2</v>
      </c>
      <c r="W6541">
        <v>9.8291890000000003E-3</v>
      </c>
      <c r="X6541">
        <v>0.99922520000000004</v>
      </c>
      <c r="Y6541">
        <v>6.2270770000000003E-2</v>
      </c>
      <c r="Z6541">
        <v>-7.5852799999999998E-2</v>
      </c>
      <c r="AA6541">
        <v>0.99517269999999902</v>
      </c>
      <c r="AB6541">
        <v>29</v>
      </c>
      <c r="AC6541">
        <v>3.2299999999992203E-2</v>
      </c>
      <c r="AD6541">
        <v>-5.7722999999999899E-2</v>
      </c>
      <c r="AE6541">
        <v>0.45195999999999897</v>
      </c>
      <c r="AF6541">
        <v>4.8439171994650997E-2</v>
      </c>
      <c r="AG6541">
        <v>-5.7722999999999899E-2</v>
      </c>
      <c r="AH6541">
        <v>0.443237710951907</v>
      </c>
      <c r="AI6541">
        <v>97.376459710273707</v>
      </c>
      <c r="AJ6541">
        <v>83.763189187165594</v>
      </c>
      <c r="AK6541">
        <v>0.44959756062773898</v>
      </c>
    </row>
    <row r="6542" spans="1:37" x14ac:dyDescent="0.2">
      <c r="A6542" t="str">
        <f>"20200111160032469"</f>
        <v>20200111160032469</v>
      </c>
      <c r="B6542" t="str">
        <f>"1578729632457776"</f>
        <v>1578729632457776</v>
      </c>
      <c r="C6542" t="s">
        <v>37</v>
      </c>
      <c r="D6542">
        <v>5.8556980000000003</v>
      </c>
      <c r="E6542">
        <v>0.53458050000000001</v>
      </c>
      <c r="F6542" t="s">
        <v>38</v>
      </c>
      <c r="G6542">
        <v>-188.5129</v>
      </c>
      <c r="H6542">
        <v>1.0336209999999999</v>
      </c>
      <c r="I6542">
        <v>76.78586</v>
      </c>
      <c r="J6542">
        <v>-188.54239999999999</v>
      </c>
      <c r="K6542">
        <v>1.1058539999999999</v>
      </c>
      <c r="L6542">
        <v>76.118160000000003</v>
      </c>
      <c r="M6542">
        <v>-3.9525909999999997E-2</v>
      </c>
      <c r="N6542">
        <v>0</v>
      </c>
      <c r="O6542">
        <v>0.99912500000000004</v>
      </c>
      <c r="P6542">
        <v>-7.7451259999999994E-2</v>
      </c>
      <c r="Q6542">
        <v>-3.7151059999999902E-3</v>
      </c>
      <c r="R6542">
        <v>0.99698920000000002</v>
      </c>
      <c r="S6542">
        <v>5.0506589999999997E-2</v>
      </c>
      <c r="T6542">
        <v>-0.22655400000000001</v>
      </c>
      <c r="U6542">
        <v>3.0115660000000002</v>
      </c>
      <c r="V6542">
        <v>-3.8018030000000001E-2</v>
      </c>
      <c r="W6542">
        <v>9.8034400000000001E-3</v>
      </c>
      <c r="X6542">
        <v>0.99922900000000003</v>
      </c>
      <c r="Y6542">
        <v>5.6232280000000003E-2</v>
      </c>
      <c r="Z6542">
        <v>-7.4863509999999994E-2</v>
      </c>
      <c r="AA6542">
        <v>0.99560700000000002</v>
      </c>
      <c r="AB6542">
        <v>29</v>
      </c>
      <c r="AC6542">
        <v>2.94999999999845E-2</v>
      </c>
      <c r="AD6542">
        <v>-7.22330000000002E-2</v>
      </c>
      <c r="AE6542">
        <v>0.66769999999999596</v>
      </c>
      <c r="AF6542">
        <v>5.5225794818849601E-2</v>
      </c>
      <c r="AG6542">
        <v>-7.22330000000002E-2</v>
      </c>
      <c r="AH6542">
        <v>0.65832246308550901</v>
      </c>
      <c r="AI6542">
        <v>96.239863251470595</v>
      </c>
      <c r="AJ6542">
        <v>85.204760844950599</v>
      </c>
      <c r="AK6542">
        <v>0.66457201273100996</v>
      </c>
    </row>
    <row r="6543" spans="1:37" x14ac:dyDescent="0.2">
      <c r="A6543" t="str">
        <f>"20200111160032491"</f>
        <v>20200111160032491</v>
      </c>
      <c r="B6543" t="str">
        <f>"1578729632488031"</f>
        <v>1578729632488031</v>
      </c>
      <c r="C6543" t="s">
        <v>37</v>
      </c>
      <c r="D6543">
        <v>5.6505710000000002</v>
      </c>
      <c r="E6543">
        <v>0.53348890000000004</v>
      </c>
      <c r="F6543" t="s">
        <v>38</v>
      </c>
      <c r="G6543">
        <v>-188.53229999999999</v>
      </c>
      <c r="H6543">
        <v>1.0346379999999999</v>
      </c>
      <c r="I6543">
        <v>77.044640000000001</v>
      </c>
      <c r="J6543">
        <v>-188.55599999999899</v>
      </c>
      <c r="K6543">
        <v>1.10582</v>
      </c>
      <c r="L6543">
        <v>76.404480000000007</v>
      </c>
      <c r="M6543">
        <v>-4.1467570000000002E-2</v>
      </c>
      <c r="N6543">
        <v>0</v>
      </c>
      <c r="O6543">
        <v>0.99904699999999902</v>
      </c>
      <c r="P6543">
        <v>-7.9193630000000001E-2</v>
      </c>
      <c r="Q6543">
        <v>-3.1009359999999999E-3</v>
      </c>
      <c r="R6543">
        <v>0.99685440000000003</v>
      </c>
      <c r="S6543">
        <v>3.3050540000000003E-2</v>
      </c>
      <c r="T6543">
        <v>-0.23141990000000001</v>
      </c>
      <c r="U6543">
        <v>3.0107729999999999</v>
      </c>
      <c r="V6543">
        <v>-3.7823889999999999E-2</v>
      </c>
      <c r="W6543">
        <v>1.036751E-2</v>
      </c>
      <c r="X6543">
        <v>0.99923059999999997</v>
      </c>
      <c r="Y6543">
        <v>5.2403970000000001E-2</v>
      </c>
      <c r="Z6543">
        <v>-7.6484129999999997E-2</v>
      </c>
      <c r="AA6543">
        <v>0.99569269999999999</v>
      </c>
      <c r="AB6543">
        <v>29</v>
      </c>
      <c r="AC6543">
        <v>2.3699999999990898E-2</v>
      </c>
      <c r="AD6543">
        <v>-7.1181999999999995E-2</v>
      </c>
      <c r="AE6543">
        <v>0.64015999999999396</v>
      </c>
      <c r="AF6543">
        <v>4.9615342663855297E-2</v>
      </c>
      <c r="AG6543">
        <v>-7.1181999999999995E-2</v>
      </c>
      <c r="AH6543">
        <v>0.63083731777004304</v>
      </c>
      <c r="AI6543">
        <v>96.418217953956301</v>
      </c>
      <c r="AJ6543">
        <v>85.502945474961095</v>
      </c>
      <c r="AK6543">
        <v>0.63677647635803403</v>
      </c>
    </row>
    <row r="6544" spans="1:37" x14ac:dyDescent="0.2">
      <c r="A6544" t="str">
        <f>"20200111160032510"</f>
        <v>20200111160032510</v>
      </c>
      <c r="B6544" t="str">
        <f>"1578729632507552"</f>
        <v>1578729632507552</v>
      </c>
      <c r="C6544" t="s">
        <v>37</v>
      </c>
      <c r="D6544">
        <v>5.8596139999999997</v>
      </c>
      <c r="E6544">
        <v>0.53235410000000005</v>
      </c>
      <c r="F6544" t="s">
        <v>38</v>
      </c>
      <c r="G6544">
        <v>-188.55019999999999</v>
      </c>
      <c r="H6544">
        <v>1.0359049999999901</v>
      </c>
      <c r="I6544">
        <v>77.303419999999903</v>
      </c>
      <c r="J6544">
        <v>-188.56809999999999</v>
      </c>
      <c r="K6544">
        <v>1.1057950000000001</v>
      </c>
      <c r="L6544">
        <v>76.654169999999993</v>
      </c>
      <c r="M6544">
        <v>-4.3125509999999999E-2</v>
      </c>
      <c r="N6544">
        <v>0</v>
      </c>
      <c r="O6544">
        <v>0.99897739999999902</v>
      </c>
      <c r="P6544">
        <v>-8.0575649999999999E-2</v>
      </c>
      <c r="Q6544">
        <v>-3.325134E-3</v>
      </c>
      <c r="R6544">
        <v>0.99674300000000005</v>
      </c>
      <c r="S6544">
        <v>1.8875119999999999E-2</v>
      </c>
      <c r="T6544">
        <v>-0.23422190000000001</v>
      </c>
      <c r="U6544">
        <v>3.0102540000000002</v>
      </c>
      <c r="V6544">
        <v>-3.7549060000000002E-2</v>
      </c>
      <c r="W6544">
        <v>1.0104790000000001E-2</v>
      </c>
      <c r="X6544">
        <v>0.99924369999999996</v>
      </c>
      <c r="Y6544">
        <v>4.9374040000000001E-2</v>
      </c>
      <c r="Z6544">
        <v>-7.741729E-2</v>
      </c>
      <c r="AA6544">
        <v>0.99577549999999904</v>
      </c>
      <c r="AB6544">
        <v>29</v>
      </c>
      <c r="AC6544">
        <v>1.78999999999973E-2</v>
      </c>
      <c r="AD6544">
        <v>-6.9890000000000202E-2</v>
      </c>
      <c r="AE6544">
        <v>0.649249999999995</v>
      </c>
      <c r="AF6544">
        <v>4.53599335032073E-2</v>
      </c>
      <c r="AG6544">
        <v>-6.9890000000000202E-2</v>
      </c>
      <c r="AH6544">
        <v>0.64045789967434197</v>
      </c>
      <c r="AI6544">
        <v>96.212323043131605</v>
      </c>
      <c r="AJ6544">
        <v>85.948835505127803</v>
      </c>
      <c r="AK6544">
        <v>0.64585482650723103</v>
      </c>
    </row>
    <row r="6545" spans="1:37" x14ac:dyDescent="0.2">
      <c r="A6545" t="str">
        <f>"20200111160032533"</f>
        <v>20200111160032533</v>
      </c>
      <c r="B6545" t="str">
        <f>"1578729632528048"</f>
        <v>1578729632528048</v>
      </c>
      <c r="C6545" t="s">
        <v>37</v>
      </c>
      <c r="D6545">
        <v>6.011088</v>
      </c>
      <c r="E6545">
        <v>0.53085950000000004</v>
      </c>
      <c r="F6545" t="s">
        <v>38</v>
      </c>
      <c r="G6545">
        <v>-188.56649999999999</v>
      </c>
      <c r="H6545">
        <v>1.0355669999999999</v>
      </c>
      <c r="I6545">
        <v>77.561329999999998</v>
      </c>
      <c r="J6545">
        <v>-188.58320000000001</v>
      </c>
      <c r="K6545">
        <v>1.1057549999999901</v>
      </c>
      <c r="L6545">
        <v>76.952910000000003</v>
      </c>
      <c r="M6545">
        <v>-4.5055209999999998E-2</v>
      </c>
      <c r="N6545">
        <v>0</v>
      </c>
      <c r="O6545">
        <v>0.99889280000000003</v>
      </c>
      <c r="P6545">
        <v>-8.2028900000000002E-2</v>
      </c>
      <c r="Q6545">
        <v>-3.623968E-3</v>
      </c>
      <c r="R6545">
        <v>0.99662329999999999</v>
      </c>
      <c r="S6545">
        <v>5.3405759999999997E-3</v>
      </c>
      <c r="T6545">
        <v>-0.23295650000000001</v>
      </c>
      <c r="U6545">
        <v>3.0094599999999998</v>
      </c>
      <c r="V6545">
        <v>-3.7073660000000001E-2</v>
      </c>
      <c r="W6545">
        <v>9.7657719999999903E-3</v>
      </c>
      <c r="X6545">
        <v>0.99926479999999995</v>
      </c>
      <c r="Y6545">
        <v>4.6826699999999999E-2</v>
      </c>
      <c r="Z6545">
        <v>-7.7017310000000005E-2</v>
      </c>
      <c r="AA6545">
        <v>0.99592950000000002</v>
      </c>
      <c r="AB6545">
        <v>29</v>
      </c>
      <c r="AC6545">
        <v>1.6700000000014301E-2</v>
      </c>
      <c r="AD6545">
        <v>-7.0187999999999903E-2</v>
      </c>
      <c r="AE6545">
        <v>0.60841999999999496</v>
      </c>
      <c r="AF6545">
        <v>4.3519313260233998E-2</v>
      </c>
      <c r="AG6545">
        <v>-7.0187999999999903E-2</v>
      </c>
      <c r="AH6545">
        <v>0.59908284220150598</v>
      </c>
      <c r="AI6545">
        <v>96.664854726419193</v>
      </c>
      <c r="AJ6545">
        <v>85.845147639889106</v>
      </c>
      <c r="AK6545">
        <v>0.60474832599262096</v>
      </c>
    </row>
    <row r="6546" spans="1:37" x14ac:dyDescent="0.2">
      <c r="A6546" t="str">
        <f>"20200111160032557"</f>
        <v>20200111160032557</v>
      </c>
      <c r="B6546" t="str">
        <f>"1578729632547567"</f>
        <v>1578729632547567</v>
      </c>
      <c r="C6546" t="s">
        <v>37</v>
      </c>
      <c r="D6546">
        <v>5.8133939999999997</v>
      </c>
      <c r="E6546">
        <v>0.52920809999999996</v>
      </c>
      <c r="F6546" t="s">
        <v>38</v>
      </c>
      <c r="G6546">
        <v>-188.58629999999999</v>
      </c>
      <c r="H6546">
        <v>1.036211</v>
      </c>
      <c r="I6546">
        <v>77.819419999999994</v>
      </c>
      <c r="J6546">
        <v>-188.5992</v>
      </c>
      <c r="K6546">
        <v>1.10571</v>
      </c>
      <c r="L6546">
        <v>77.258939999999996</v>
      </c>
      <c r="M6546">
        <v>-4.6963409999999997E-2</v>
      </c>
      <c r="N6546">
        <v>0</v>
      </c>
      <c r="O6546">
        <v>0.99880550000000001</v>
      </c>
      <c r="P6546">
        <v>-8.4576559999999995E-2</v>
      </c>
      <c r="Q6546">
        <v>-3.371948E-3</v>
      </c>
      <c r="R6546">
        <v>0.9964113</v>
      </c>
      <c r="S6546">
        <v>-1.159668E-2</v>
      </c>
      <c r="T6546">
        <v>-0.2415786</v>
      </c>
      <c r="U6546">
        <v>3.0083310000000001</v>
      </c>
      <c r="V6546">
        <v>-3.7718740000000001E-2</v>
      </c>
      <c r="W6546">
        <v>9.9812909999999998E-3</v>
      </c>
      <c r="X6546">
        <v>0.99923859999999998</v>
      </c>
      <c r="Y6546">
        <v>4.3129019999999997E-2</v>
      </c>
      <c r="Z6546">
        <v>-7.9875619999999994E-2</v>
      </c>
      <c r="AA6546">
        <v>0.99587139999999996</v>
      </c>
      <c r="AB6546">
        <v>29</v>
      </c>
      <c r="AC6546">
        <v>1.29000000000019E-2</v>
      </c>
      <c r="AD6546">
        <v>-6.9498999999999894E-2</v>
      </c>
      <c r="AE6546">
        <v>0.56047999999999798</v>
      </c>
      <c r="AF6546">
        <v>3.8616763401569401E-2</v>
      </c>
      <c r="AG6546">
        <v>-6.9498999999999894E-2</v>
      </c>
      <c r="AH6546">
        <v>0.55079122116590495</v>
      </c>
      <c r="AI6546">
        <v>97.174165366301196</v>
      </c>
      <c r="AJ6546">
        <v>85.989473434414407</v>
      </c>
      <c r="AK6546">
        <v>0.55650007612761498</v>
      </c>
    </row>
    <row r="6547" spans="1:37" x14ac:dyDescent="0.2">
      <c r="A6547" t="str">
        <f>"20200111160032579"</f>
        <v>20200111160032579</v>
      </c>
      <c r="B6547" t="str">
        <f>"1578729632568063"</f>
        <v>1578729632568063</v>
      </c>
      <c r="C6547" t="s">
        <v>37</v>
      </c>
      <c r="D6547">
        <v>5.8965620000000003</v>
      </c>
      <c r="E6547">
        <v>0.52769080000000002</v>
      </c>
      <c r="F6547" t="s">
        <v>38</v>
      </c>
      <c r="G6547">
        <v>-188.60810000000001</v>
      </c>
      <c r="H6547">
        <v>1.0402799999999901</v>
      </c>
      <c r="I6547">
        <v>78.078950000000006</v>
      </c>
      <c r="J6547">
        <v>-188.61420000000001</v>
      </c>
      <c r="K6547">
        <v>1.1056649999999999</v>
      </c>
      <c r="L6547">
        <v>77.538269999999997</v>
      </c>
      <c r="M6547">
        <v>-4.863058E-2</v>
      </c>
      <c r="N6547">
        <v>0</v>
      </c>
      <c r="O6547">
        <v>0.998726</v>
      </c>
      <c r="P6547">
        <v>-8.6884939999999994E-2</v>
      </c>
      <c r="Q6547">
        <v>-2.7353120000000002E-3</v>
      </c>
      <c r="R6547">
        <v>0.99621459999999995</v>
      </c>
      <c r="S6547">
        <v>-3.2531740000000003E-2</v>
      </c>
      <c r="T6547">
        <v>-0.2399319</v>
      </c>
      <c r="U6547">
        <v>3.0072329999999998</v>
      </c>
      <c r="V6547">
        <v>-3.8366980000000002E-2</v>
      </c>
      <c r="W6547">
        <v>1.059447E-2</v>
      </c>
      <c r="X6547">
        <v>0.99920759999999897</v>
      </c>
      <c r="Y6547">
        <v>3.7861850000000002E-2</v>
      </c>
      <c r="Z6547">
        <v>-7.9360420000000001E-2</v>
      </c>
      <c r="AA6547">
        <v>0.99612670000000003</v>
      </c>
      <c r="AB6547">
        <v>29</v>
      </c>
      <c r="AC6547">
        <v>6.1000000000035401E-3</v>
      </c>
      <c r="AD6547">
        <v>-6.5384999999999999E-2</v>
      </c>
      <c r="AE6547">
        <v>0.54068000000000804</v>
      </c>
      <c r="AF6547">
        <v>3.1921971420695701E-2</v>
      </c>
      <c r="AG6547">
        <v>-6.5384999999999999E-2</v>
      </c>
      <c r="AH6547">
        <v>0.53196486223846395</v>
      </c>
      <c r="AI6547">
        <v>96.994750000254399</v>
      </c>
      <c r="AJ6547">
        <v>86.565931807451406</v>
      </c>
      <c r="AK6547">
        <v>0.53691789422664205</v>
      </c>
    </row>
    <row r="6548" spans="1:37" x14ac:dyDescent="0.2">
      <c r="A6548" t="str">
        <f>"20200111160032602"</f>
        <v>20200111160032602</v>
      </c>
      <c r="B6548" t="str">
        <f>"1578729632598319"</f>
        <v>1578729632598319</v>
      </c>
      <c r="C6548" t="s">
        <v>37</v>
      </c>
      <c r="D6548">
        <v>5.7312389999999898</v>
      </c>
      <c r="E6548">
        <v>0.52601200000000004</v>
      </c>
      <c r="F6548" t="s">
        <v>38</v>
      </c>
      <c r="G6548">
        <v>-188.62790000000001</v>
      </c>
      <c r="H6548">
        <v>1.042141</v>
      </c>
      <c r="I6548">
        <v>78.33802</v>
      </c>
      <c r="J6548">
        <v>-188.63040000000001</v>
      </c>
      <c r="K6548">
        <v>1.1055889999999999</v>
      </c>
      <c r="L6548">
        <v>77.832490000000007</v>
      </c>
      <c r="M6548">
        <v>-5.028647E-2</v>
      </c>
      <c r="N6548">
        <v>0</v>
      </c>
      <c r="O6548">
        <v>0.99864439999999999</v>
      </c>
      <c r="P6548">
        <v>-8.9999399999999993E-2</v>
      </c>
      <c r="Q6548">
        <v>-1.671187E-3</v>
      </c>
      <c r="R6548">
        <v>0.99594039999999995</v>
      </c>
      <c r="S6548">
        <v>-5.1406859999999999E-2</v>
      </c>
      <c r="T6548">
        <v>-0.2387859</v>
      </c>
      <c r="U6548">
        <v>3.006256</v>
      </c>
      <c r="V6548">
        <v>-3.9835870000000002E-2</v>
      </c>
      <c r="W6548">
        <v>1.16382E-2</v>
      </c>
      <c r="X6548">
        <v>0.99913850000000004</v>
      </c>
      <c r="Y6548">
        <v>3.3261300000000001E-2</v>
      </c>
      <c r="Z6548">
        <v>-7.9002550000000005E-2</v>
      </c>
      <c r="AA6548">
        <v>0.99631939999999997</v>
      </c>
      <c r="AB6548">
        <v>29</v>
      </c>
      <c r="AC6548">
        <v>2.4999999999977202E-3</v>
      </c>
      <c r="AD6548">
        <v>-6.3447999999999893E-2</v>
      </c>
      <c r="AE6548">
        <v>0.50552999999999304</v>
      </c>
      <c r="AF6548">
        <v>2.74874735943385E-2</v>
      </c>
      <c r="AG6548">
        <v>-6.3447999999999893E-2</v>
      </c>
      <c r="AH6548">
        <v>0.49693690572820198</v>
      </c>
      <c r="AI6548">
        <v>97.265067163633006</v>
      </c>
      <c r="AJ6548">
        <v>86.833978445315594</v>
      </c>
      <c r="AK6548">
        <v>0.50172452419960401</v>
      </c>
    </row>
    <row r="6549" spans="1:37" x14ac:dyDescent="0.2">
      <c r="A6549" t="str">
        <f>"20200111160032760"</f>
        <v>20200111160032760</v>
      </c>
      <c r="B6549" t="str">
        <f>"1578729632747647"</f>
        <v>1578729632747647</v>
      </c>
      <c r="C6549" t="s">
        <v>37</v>
      </c>
      <c r="D6549">
        <v>5.6351889999999996</v>
      </c>
      <c r="E6549">
        <v>0.5286438</v>
      </c>
      <c r="F6549" t="s">
        <v>38</v>
      </c>
      <c r="G6549">
        <v>-188.75470000000001</v>
      </c>
      <c r="H6549">
        <v>1.04057</v>
      </c>
      <c r="I6549">
        <v>80.392809999999997</v>
      </c>
      <c r="J6549">
        <v>-188.74770000000001</v>
      </c>
      <c r="K6549">
        <v>1.1045929999999999</v>
      </c>
      <c r="L6549">
        <v>79.856049999999996</v>
      </c>
      <c r="M6549">
        <v>-5.6754640000000002E-2</v>
      </c>
      <c r="N6549">
        <v>0</v>
      </c>
      <c r="O6549">
        <v>0.99829880000000004</v>
      </c>
      <c r="P6549">
        <v>-0.1009953</v>
      </c>
      <c r="Q6549">
        <v>-3.4191790000000001E-3</v>
      </c>
      <c r="R6549">
        <v>0.99488099999999902</v>
      </c>
      <c r="S6549">
        <v>-8.8928220000000002E-2</v>
      </c>
      <c r="T6549">
        <v>-0.23025290000000001</v>
      </c>
      <c r="U6549">
        <v>3.0057680000000002</v>
      </c>
      <c r="V6549">
        <v>-4.4370899999999998E-2</v>
      </c>
      <c r="W6549">
        <v>9.8887890000000003E-3</v>
      </c>
      <c r="X6549">
        <v>0.99896620000000003</v>
      </c>
      <c r="Y6549">
        <v>2.7295650000000001E-2</v>
      </c>
      <c r="Z6549">
        <v>-7.6164739999999995E-2</v>
      </c>
      <c r="AA6549">
        <v>0.99672159999999999</v>
      </c>
      <c r="AB6549">
        <v>29</v>
      </c>
      <c r="AC6549">
        <v>-7.0000000000049996E-3</v>
      </c>
      <c r="AD6549">
        <v>-6.4022999999999899E-2</v>
      </c>
      <c r="AE6549">
        <v>0.53676000000000101</v>
      </c>
      <c r="AF6549">
        <v>2.3148349095987099E-2</v>
      </c>
      <c r="AG6549">
        <v>-6.4022999999999899E-2</v>
      </c>
      <c r="AH6549">
        <v>0.52877047919028497</v>
      </c>
      <c r="AI6549">
        <v>96.897167790107204</v>
      </c>
      <c r="AJ6549">
        <v>87.493323756090007</v>
      </c>
      <c r="AK6549">
        <v>0.53313507693453599</v>
      </c>
    </row>
    <row r="6550" spans="1:37" x14ac:dyDescent="0.2">
      <c r="A6550" t="str">
        <f>"20200111160032780"</f>
        <v>20200111160032780</v>
      </c>
      <c r="B6550" t="str">
        <f>"1578729632777904"</f>
        <v>1578729632777904</v>
      </c>
      <c r="C6550" t="s">
        <v>37</v>
      </c>
      <c r="D6550">
        <v>5.6832039999999999</v>
      </c>
      <c r="E6550">
        <v>0.5292424</v>
      </c>
      <c r="F6550" t="s">
        <v>38</v>
      </c>
      <c r="G6550">
        <v>-188.77</v>
      </c>
      <c r="H6550">
        <v>1.043299</v>
      </c>
      <c r="I6550">
        <v>80.651759999999996</v>
      </c>
      <c r="J6550">
        <v>-188.76300000000001</v>
      </c>
      <c r="K6550">
        <v>1.104398</v>
      </c>
      <c r="L6550">
        <v>80.122380000000007</v>
      </c>
      <c r="M6550">
        <v>-5.6762609999999998E-2</v>
      </c>
      <c r="N6550">
        <v>0</v>
      </c>
      <c r="O6550">
        <v>0.99829859999999904</v>
      </c>
      <c r="P6550">
        <v>-0.1011471</v>
      </c>
      <c r="Q6550">
        <v>-3.2739029999999999E-3</v>
      </c>
      <c r="R6550">
        <v>0.99486609999999998</v>
      </c>
      <c r="S6550">
        <v>-8.4808350000000005E-2</v>
      </c>
      <c r="T6550">
        <v>-0.2315672</v>
      </c>
      <c r="U6550">
        <v>3.0060419999999999</v>
      </c>
      <c r="V6550">
        <v>-4.451041E-2</v>
      </c>
      <c r="W6550">
        <v>1.004089E-2</v>
      </c>
      <c r="X6550">
        <v>0.99895849999999897</v>
      </c>
      <c r="Y6550">
        <v>2.8672090000000001E-2</v>
      </c>
      <c r="Z6550">
        <v>-7.6589950000000004E-2</v>
      </c>
      <c r="AA6550">
        <v>0.99665029999999999</v>
      </c>
      <c r="AB6550">
        <v>29</v>
      </c>
      <c r="AC6550">
        <v>-7.0000000000049996E-3</v>
      </c>
      <c r="AD6550">
        <v>-6.1099000000000001E-2</v>
      </c>
      <c r="AE6550">
        <v>0.52937999999998897</v>
      </c>
      <c r="AF6550">
        <v>2.2759823911612201E-2</v>
      </c>
      <c r="AG6550">
        <v>-6.1099000000000001E-2</v>
      </c>
      <c r="AH6550">
        <v>0.52197179224466905</v>
      </c>
      <c r="AI6550">
        <v>96.670050366109507</v>
      </c>
      <c r="AJ6550">
        <v>87.503282038665802</v>
      </c>
      <c r="AK6550">
        <v>0.52602818297558895</v>
      </c>
    </row>
    <row r="6551" spans="1:37" x14ac:dyDescent="0.2">
      <c r="A6551" t="str">
        <f>"20200111160032804"</f>
        <v>20200111160032804</v>
      </c>
      <c r="B6551" t="str">
        <f>"1578729632797424"</f>
        <v>1578729632797424</v>
      </c>
      <c r="C6551" t="s">
        <v>37</v>
      </c>
      <c r="D6551">
        <v>5.5605390000000003</v>
      </c>
      <c r="E6551">
        <v>0.52970869999999903</v>
      </c>
      <c r="F6551" t="s">
        <v>38</v>
      </c>
      <c r="G6551">
        <v>-188.78370000000001</v>
      </c>
      <c r="H6551">
        <v>1.043706</v>
      </c>
      <c r="I6551">
        <v>80.908519999999996</v>
      </c>
      <c r="J6551">
        <v>-188.77930000000001</v>
      </c>
      <c r="K6551">
        <v>1.1041609999999999</v>
      </c>
      <c r="L6551">
        <v>80.412570000000002</v>
      </c>
      <c r="M6551">
        <v>-5.648367E-2</v>
      </c>
      <c r="N6551">
        <v>0</v>
      </c>
      <c r="O6551">
        <v>0.998314699999999</v>
      </c>
      <c r="P6551">
        <v>-0.100726</v>
      </c>
      <c r="Q6551">
        <v>-3.4008059999999902E-3</v>
      </c>
      <c r="R6551">
        <v>0.99490840000000003</v>
      </c>
      <c r="S6551">
        <v>-8.0017089999999999E-2</v>
      </c>
      <c r="T6551">
        <v>-0.232123999999999</v>
      </c>
      <c r="U6551">
        <v>3.0065919999999999</v>
      </c>
      <c r="V6551">
        <v>-4.4361360000000002E-2</v>
      </c>
      <c r="W6551">
        <v>9.9154919999999997E-3</v>
      </c>
      <c r="X6551">
        <v>0.99896629999999997</v>
      </c>
      <c r="Y6551">
        <v>2.998528E-2</v>
      </c>
      <c r="Z6551">
        <v>-7.6761090000000004E-2</v>
      </c>
      <c r="AA6551">
        <v>0.99659850000000005</v>
      </c>
      <c r="AB6551">
        <v>29</v>
      </c>
      <c r="AC6551">
        <v>-4.4000000000039502E-3</v>
      </c>
      <c r="AD6551">
        <v>-6.0454999999999898E-2</v>
      </c>
      <c r="AE6551">
        <v>0.49594999999999301</v>
      </c>
      <c r="AF6551">
        <v>2.32767451373035E-2</v>
      </c>
      <c r="AG6551">
        <v>-6.0454999999999898E-2</v>
      </c>
      <c r="AH6551">
        <v>0.48815374666365702</v>
      </c>
      <c r="AI6551">
        <v>97.051870736974905</v>
      </c>
      <c r="AJ6551">
        <v>87.270020219946304</v>
      </c>
      <c r="AK6551">
        <v>0.492433441462857</v>
      </c>
    </row>
    <row r="6552" spans="1:37" x14ac:dyDescent="0.2">
      <c r="A6552" t="str">
        <f>"20200111160032826"</f>
        <v>20200111160032826</v>
      </c>
      <c r="B6552" t="str">
        <f>"1578729632817920"</f>
        <v>1578729632817920</v>
      </c>
      <c r="C6552" t="s">
        <v>37</v>
      </c>
      <c r="D6552">
        <v>5.6620520000000001</v>
      </c>
      <c r="E6552">
        <v>0.5300629</v>
      </c>
      <c r="F6552" t="s">
        <v>38</v>
      </c>
      <c r="G6552">
        <v>-188.7979</v>
      </c>
      <c r="H6552">
        <v>1.045884</v>
      </c>
      <c r="I6552">
        <v>81.166889999999995</v>
      </c>
      <c r="J6552">
        <v>-188.7955</v>
      </c>
      <c r="K6552">
        <v>1.1038939999999999</v>
      </c>
      <c r="L6552">
        <v>80.706019999999995</v>
      </c>
      <c r="M6552">
        <v>-5.5857509999999999E-2</v>
      </c>
      <c r="N6552">
        <v>0</v>
      </c>
      <c r="O6552">
        <v>0.99835069999999904</v>
      </c>
      <c r="P6552">
        <v>-9.9999640000000001E-2</v>
      </c>
      <c r="Q6552">
        <v>-3.2573559999999999E-3</v>
      </c>
      <c r="R6552">
        <v>0.99498209999999998</v>
      </c>
      <c r="S6552">
        <v>-7.4539179999999997E-2</v>
      </c>
      <c r="T6552">
        <v>-0.23232329999999901</v>
      </c>
      <c r="U6552">
        <v>3.0070189999999899</v>
      </c>
      <c r="V6552">
        <v>-4.4252699999999999E-2</v>
      </c>
      <c r="W6552">
        <v>1.0032309999999999E-2</v>
      </c>
      <c r="X6552">
        <v>0.99897000000000002</v>
      </c>
      <c r="Y6552">
        <v>3.1176470000000001E-2</v>
      </c>
      <c r="Z6552">
        <v>-7.6820200000000005E-2</v>
      </c>
      <c r="AA6552">
        <v>0.99655740000000004</v>
      </c>
      <c r="AB6552">
        <v>29</v>
      </c>
      <c r="AC6552">
        <v>-2.3999999999944001E-3</v>
      </c>
      <c r="AD6552">
        <v>-5.8010000000000103E-2</v>
      </c>
      <c r="AE6552">
        <v>0.46087000000001399</v>
      </c>
      <c r="AF6552">
        <v>2.2984911971231099E-2</v>
      </c>
      <c r="AG6552">
        <v>-5.8010000000000103E-2</v>
      </c>
      <c r="AH6552">
        <v>0.453105859733483</v>
      </c>
      <c r="AI6552">
        <v>97.286477085294194</v>
      </c>
      <c r="AJ6552">
        <v>87.096019515567093</v>
      </c>
      <c r="AK6552">
        <v>0.457382101096167</v>
      </c>
    </row>
    <row r="6553" spans="1:37" x14ac:dyDescent="0.2">
      <c r="A6553" t="str">
        <f>"20200111160032847"</f>
        <v>20200111160032847</v>
      </c>
      <c r="B6553" t="str">
        <f>"1578729632837439"</f>
        <v>1578729632837439</v>
      </c>
      <c r="C6553" t="s">
        <v>37</v>
      </c>
      <c r="D6553">
        <v>5.6173989999999998</v>
      </c>
      <c r="E6553">
        <v>0.53043169999999995</v>
      </c>
      <c r="F6553" t="s">
        <v>38</v>
      </c>
      <c r="G6553">
        <v>-188.8177</v>
      </c>
      <c r="H6553">
        <v>1.029304</v>
      </c>
      <c r="I6553">
        <v>81.669469999999905</v>
      </c>
      <c r="J6553">
        <v>-188.81010000000001</v>
      </c>
      <c r="K6553">
        <v>1.1036330000000001</v>
      </c>
      <c r="L6553">
        <v>80.982509999999905</v>
      </c>
      <c r="M6553">
        <v>-5.4938559999999997E-2</v>
      </c>
      <c r="N6553">
        <v>0</v>
      </c>
      <c r="O6553">
        <v>0.99840280000000003</v>
      </c>
      <c r="P6553">
        <v>-9.9154839999999994E-2</v>
      </c>
      <c r="Q6553">
        <v>-2.6937720000000001E-3</v>
      </c>
      <c r="R6553">
        <v>0.99506839999999996</v>
      </c>
      <c r="S6553">
        <v>-6.9458010000000001E-2</v>
      </c>
      <c r="T6553">
        <v>-0.23282069999999999</v>
      </c>
      <c r="U6553">
        <v>3.00738499999999</v>
      </c>
      <c r="V6553">
        <v>-4.431678E-2</v>
      </c>
      <c r="W6553">
        <v>1.0534389999999999E-2</v>
      </c>
      <c r="X6553">
        <v>0.99896200000000002</v>
      </c>
      <c r="Y6553">
        <v>3.1942480000000002E-2</v>
      </c>
      <c r="Z6553">
        <v>-7.6980870000000007E-2</v>
      </c>
      <c r="AA6553">
        <v>0.99652079999999998</v>
      </c>
      <c r="AB6553">
        <v>29</v>
      </c>
      <c r="AC6553">
        <v>-7.5999999999964898E-3</v>
      </c>
      <c r="AD6553">
        <v>-7.4329000000000006E-2</v>
      </c>
      <c r="AE6553">
        <v>0.68695999999999902</v>
      </c>
      <c r="AF6553">
        <v>2.9806441762892499E-2</v>
      </c>
      <c r="AG6553">
        <v>-7.4329000000000006E-2</v>
      </c>
      <c r="AH6553">
        <v>0.67839870950266101</v>
      </c>
      <c r="AI6553">
        <v>96.246713362602804</v>
      </c>
      <c r="AJ6553">
        <v>87.484243921150295</v>
      </c>
      <c r="AK6553">
        <v>0.68310909323946201</v>
      </c>
    </row>
    <row r="6554" spans="1:37" x14ac:dyDescent="0.2">
      <c r="A6554" t="str">
        <f>"20200111160032869"</f>
        <v>20200111160032869</v>
      </c>
      <c r="B6554" t="str">
        <f>"1578729632857937"</f>
        <v>1578729632857937</v>
      </c>
      <c r="C6554" t="s">
        <v>37</v>
      </c>
      <c r="D6554">
        <v>5.5831499999999998</v>
      </c>
      <c r="E6554">
        <v>0.53081659999999997</v>
      </c>
      <c r="F6554" t="s">
        <v>38</v>
      </c>
      <c r="G6554">
        <v>-188.83</v>
      </c>
      <c r="H6554">
        <v>1.0310010000000001</v>
      </c>
      <c r="I6554">
        <v>81.927080000000004</v>
      </c>
      <c r="J6554">
        <v>-188.82470000000001</v>
      </c>
      <c r="K6554">
        <v>1.1033850000000001</v>
      </c>
      <c r="L6554">
        <v>81.269930000000002</v>
      </c>
      <c r="M6554">
        <v>-5.3718080000000001E-2</v>
      </c>
      <c r="N6554">
        <v>0</v>
      </c>
      <c r="O6554">
        <v>0.99847070000000004</v>
      </c>
      <c r="P6554">
        <v>-9.818723E-2</v>
      </c>
      <c r="Q6554">
        <v>-2.1491470000000001E-3</v>
      </c>
      <c r="R6554">
        <v>0.99516559999999898</v>
      </c>
      <c r="S6554">
        <v>-6.3690189999999994E-2</v>
      </c>
      <c r="T6554">
        <v>-0.23126329999999901</v>
      </c>
      <c r="U6554">
        <v>3.0079039999999999</v>
      </c>
      <c r="V6554">
        <v>-4.4559969999999997E-2</v>
      </c>
      <c r="W6554">
        <v>1.099499E-2</v>
      </c>
      <c r="X6554">
        <v>0.99894620000000001</v>
      </c>
      <c r="Y6554">
        <v>3.2633700000000002E-2</v>
      </c>
      <c r="Z6554">
        <v>-7.6464240000000003E-2</v>
      </c>
      <c r="AA6554">
        <v>0.99653819999999904</v>
      </c>
      <c r="AB6554">
        <v>29</v>
      </c>
      <c r="AC6554">
        <v>-5.3000000000054098E-3</v>
      </c>
      <c r="AD6554">
        <v>-7.2384000000000004E-2</v>
      </c>
      <c r="AE6554">
        <v>0.65715000000000101</v>
      </c>
      <c r="AF6554">
        <v>2.9651770550240899E-2</v>
      </c>
      <c r="AG6554">
        <v>-7.2384000000000004E-2</v>
      </c>
      <c r="AH6554">
        <v>0.64861679933809702</v>
      </c>
      <c r="AI6554">
        <v>96.361128254207301</v>
      </c>
      <c r="AJ6554">
        <v>87.382523444184201</v>
      </c>
      <c r="AK6554">
        <v>0.65331648022712596</v>
      </c>
    </row>
    <row r="6555" spans="1:37" x14ac:dyDescent="0.2">
      <c r="A6555" t="str">
        <f>"20200111160032891"</f>
        <v>20200111160032891</v>
      </c>
      <c r="B6555" t="str">
        <f>"1578729632888193"</f>
        <v>1578729632888193</v>
      </c>
      <c r="C6555" t="s">
        <v>37</v>
      </c>
      <c r="D6555">
        <v>5.5980639999999999</v>
      </c>
      <c r="E6555">
        <v>0.53138390000000002</v>
      </c>
      <c r="F6555" t="s">
        <v>38</v>
      </c>
      <c r="G6555">
        <v>-188.84219999999999</v>
      </c>
      <c r="H6555">
        <v>1.0333110000000001</v>
      </c>
      <c r="I6555">
        <v>82.185090000000002</v>
      </c>
      <c r="J6555">
        <v>-188.8381</v>
      </c>
      <c r="K6555">
        <v>1.1031739999999901</v>
      </c>
      <c r="L6555">
        <v>81.545379999999994</v>
      </c>
      <c r="M6555">
        <v>-5.2306869999999998E-2</v>
      </c>
      <c r="N6555">
        <v>0</v>
      </c>
      <c r="O6555">
        <v>0.99854709999999902</v>
      </c>
      <c r="P6555">
        <v>-9.6316959999999993E-2</v>
      </c>
      <c r="Q6555">
        <v>-1.052559E-3</v>
      </c>
      <c r="R6555">
        <v>0.99535019999999996</v>
      </c>
      <c r="S6555">
        <v>-5.7800289999999997E-2</v>
      </c>
      <c r="T6555">
        <v>-0.230310399999999</v>
      </c>
      <c r="U6555">
        <v>3.008362</v>
      </c>
      <c r="V6555">
        <v>-4.408741E-2</v>
      </c>
      <c r="W6555">
        <v>1.199104E-2</v>
      </c>
      <c r="X6555">
        <v>0.998955699999999</v>
      </c>
      <c r="Y6555">
        <v>3.3174049999999997E-2</v>
      </c>
      <c r="Z6555">
        <v>-7.6148869999999994E-2</v>
      </c>
      <c r="AA6555">
        <v>0.9965444</v>
      </c>
      <c r="AB6555">
        <v>29</v>
      </c>
      <c r="AC6555">
        <v>-4.0999999999939904E-3</v>
      </c>
      <c r="AD6555">
        <v>-6.9862999999999703E-2</v>
      </c>
      <c r="AE6555">
        <v>0.63970999999999301</v>
      </c>
      <c r="AF6555">
        <v>2.9023500507406801E-2</v>
      </c>
      <c r="AG6555">
        <v>-6.9862999999999703E-2</v>
      </c>
      <c r="AH6555">
        <v>0.63151686414338504</v>
      </c>
      <c r="AI6555">
        <v>96.306204835154801</v>
      </c>
      <c r="AJ6555">
        <v>87.3686296175525</v>
      </c>
      <c r="AK6555">
        <v>0.63603203696684796</v>
      </c>
    </row>
    <row r="6556" spans="1:37" x14ac:dyDescent="0.2">
      <c r="A6556" t="str">
        <f>"20200111160032936"</f>
        <v>20200111160032936</v>
      </c>
      <c r="B6556" t="str">
        <f>"1578729632928209"</f>
        <v>1578729632928209</v>
      </c>
      <c r="C6556" t="s">
        <v>37</v>
      </c>
      <c r="D6556">
        <v>5.6081599999999998</v>
      </c>
      <c r="E6556">
        <v>0.5316845</v>
      </c>
      <c r="F6556" t="s">
        <v>38</v>
      </c>
      <c r="G6556">
        <v>-188.85230000000001</v>
      </c>
      <c r="H6556">
        <v>1.0352250000000001</v>
      </c>
      <c r="I6556">
        <v>82.443179999999998</v>
      </c>
      <c r="J6556">
        <v>-188.86449999999999</v>
      </c>
      <c r="K6556">
        <v>1.1027530000000001</v>
      </c>
      <c r="L6556">
        <v>82.130519999999905</v>
      </c>
      <c r="M6556">
        <v>-4.8585110000000001E-2</v>
      </c>
      <c r="N6556">
        <v>0</v>
      </c>
      <c r="O6556">
        <v>0.99873919999999905</v>
      </c>
      <c r="P6556">
        <v>-8.9111629999999997E-2</v>
      </c>
      <c r="Q6556">
        <v>-2.1232569999999999E-4</v>
      </c>
      <c r="R6556">
        <v>0.99602159999999995</v>
      </c>
      <c r="S6556">
        <v>-4.8110960000000001E-2</v>
      </c>
      <c r="T6556">
        <v>-0.22770299999999999</v>
      </c>
      <c r="U6556">
        <v>3.009125</v>
      </c>
      <c r="V6556">
        <v>-4.056862E-2</v>
      </c>
      <c r="W6556">
        <v>1.2541739999999999E-2</v>
      </c>
      <c r="X6556">
        <v>0.99909809999999999</v>
      </c>
      <c r="Y6556">
        <v>3.2660740000000001E-2</v>
      </c>
      <c r="Z6556">
        <v>-7.5296719999999998E-2</v>
      </c>
      <c r="AA6556">
        <v>0.99662609999999996</v>
      </c>
      <c r="AB6556">
        <v>29</v>
      </c>
      <c r="AC6556">
        <v>1.2199999999978599E-2</v>
      </c>
      <c r="AD6556">
        <v>-6.7528000000000005E-2</v>
      </c>
      <c r="AE6556">
        <v>0.31266000000000799</v>
      </c>
      <c r="AF6556">
        <v>2.61590382046159E-2</v>
      </c>
      <c r="AG6556">
        <v>-6.7528000000000005E-2</v>
      </c>
      <c r="AH6556">
        <v>0.29782635182486</v>
      </c>
      <c r="AI6556">
        <v>102.72763358813</v>
      </c>
      <c r="AJ6556">
        <v>84.980410685998194</v>
      </c>
      <c r="AK6556">
        <v>0.30650426082698401</v>
      </c>
    </row>
    <row r="6557" spans="1:37" x14ac:dyDescent="0.2">
      <c r="A6557" t="str">
        <f>"20200111160032959"</f>
        <v>20200111160032959</v>
      </c>
      <c r="B6557" t="str">
        <f>"1578729632947727"</f>
        <v>1578729632947727</v>
      </c>
      <c r="C6557" t="s">
        <v>37</v>
      </c>
      <c r="D6557">
        <v>5.6565640000000004</v>
      </c>
      <c r="E6557">
        <v>0.53199110000000005</v>
      </c>
      <c r="F6557" t="s">
        <v>38</v>
      </c>
      <c r="G6557">
        <v>-188.87119999999999</v>
      </c>
      <c r="H6557">
        <v>1.040251</v>
      </c>
      <c r="I6557">
        <v>82.960619999999906</v>
      </c>
      <c r="J6557">
        <v>-188.87629999999999</v>
      </c>
      <c r="K6557">
        <v>1.1025659999999999</v>
      </c>
      <c r="L6557">
        <v>82.419340000000005</v>
      </c>
      <c r="M6557">
        <v>-4.6459460000000001E-2</v>
      </c>
      <c r="N6557">
        <v>0</v>
      </c>
      <c r="O6557">
        <v>0.99884249999999997</v>
      </c>
      <c r="P6557">
        <v>-8.4851529999999994E-2</v>
      </c>
      <c r="Q6557">
        <v>-8.5716069999999995E-4</v>
      </c>
      <c r="R6557">
        <v>0.99639330000000004</v>
      </c>
      <c r="S6557">
        <v>-2.4856570000000001E-2</v>
      </c>
      <c r="T6557">
        <v>-0.22658020000000001</v>
      </c>
      <c r="U6557">
        <v>3.0097049999999999</v>
      </c>
      <c r="V6557">
        <v>-3.8420320000000001E-2</v>
      </c>
      <c r="W6557">
        <v>1.173738E-2</v>
      </c>
      <c r="X6557">
        <v>0.99919269999999905</v>
      </c>
      <c r="Y6557">
        <v>3.8235060000000001E-2</v>
      </c>
      <c r="Z6557">
        <v>-7.4920589999999995E-2</v>
      </c>
      <c r="AA6557">
        <v>0.99645620000000001</v>
      </c>
      <c r="AB6557">
        <v>29</v>
      </c>
      <c r="AC6557">
        <v>5.0999999999987696E-3</v>
      </c>
      <c r="AD6557">
        <v>-6.2314999999999898E-2</v>
      </c>
      <c r="AE6557">
        <v>0.54127999999998599</v>
      </c>
      <c r="AF6557">
        <v>2.98484489577019E-2</v>
      </c>
      <c r="AG6557">
        <v>-6.2314999999999898E-2</v>
      </c>
      <c r="AH6557">
        <v>0.53338963518708604</v>
      </c>
      <c r="AI6557">
        <v>96.653245281721894</v>
      </c>
      <c r="AJ6557">
        <v>86.797072491386004</v>
      </c>
      <c r="AK6557">
        <v>0.53784625317574997</v>
      </c>
    </row>
    <row r="6558" spans="1:37" x14ac:dyDescent="0.2">
      <c r="A6558" t="str">
        <f>"20200111160032980"</f>
        <v>20200111160032980</v>
      </c>
      <c r="B6558" t="str">
        <f>"1578729632977983"</f>
        <v>1578729632977983</v>
      </c>
      <c r="C6558" t="s">
        <v>37</v>
      </c>
      <c r="D6558">
        <v>5.696917</v>
      </c>
      <c r="E6558">
        <v>0.53207320000000002</v>
      </c>
      <c r="F6558" t="s">
        <v>38</v>
      </c>
      <c r="G6558">
        <v>-188.87899999999999</v>
      </c>
      <c r="H6558">
        <v>1.041342</v>
      </c>
      <c r="I6558">
        <v>83.219119999999904</v>
      </c>
      <c r="J6558">
        <v>-188.8869</v>
      </c>
      <c r="K6558">
        <v>1.1024179999999999</v>
      </c>
      <c r="L6558">
        <v>82.694950000000006</v>
      </c>
      <c r="M6558">
        <v>-4.4296090000000003E-2</v>
      </c>
      <c r="N6558">
        <v>0</v>
      </c>
      <c r="O6558">
        <v>0.99894269999999996</v>
      </c>
      <c r="P6558">
        <v>-8.0415260000000002E-2</v>
      </c>
      <c r="Q6558">
        <v>-2.2222639999999998E-3</v>
      </c>
      <c r="R6558">
        <v>0.99675899999999995</v>
      </c>
      <c r="S6558">
        <v>-1.023865E-2</v>
      </c>
      <c r="T6558">
        <v>-0.23040659999999999</v>
      </c>
      <c r="U6558">
        <v>3.0097959999999899</v>
      </c>
      <c r="V6558">
        <v>-3.6139089999999999E-2</v>
      </c>
      <c r="W6558">
        <v>1.022065E-2</v>
      </c>
      <c r="X6558">
        <v>0.99929449999999997</v>
      </c>
      <c r="Y6558">
        <v>4.091061E-2</v>
      </c>
      <c r="Z6558">
        <v>-7.6184470000000004E-2</v>
      </c>
      <c r="AA6558">
        <v>0.99625409999999903</v>
      </c>
      <c r="AB6558">
        <v>29</v>
      </c>
      <c r="AC6558">
        <v>7.8999999999780305E-3</v>
      </c>
      <c r="AD6558">
        <v>-6.1076000000000102E-2</v>
      </c>
      <c r="AE6558">
        <v>0.52416999999998304</v>
      </c>
      <c r="AF6558">
        <v>3.0696024591853499E-2</v>
      </c>
      <c r="AG6558">
        <v>-6.1076000000000102E-2</v>
      </c>
      <c r="AH6558">
        <v>0.51629739024828303</v>
      </c>
      <c r="AI6558">
        <v>96.734734285670896</v>
      </c>
      <c r="AJ6558">
        <v>86.5975331338838</v>
      </c>
      <c r="AK6558">
        <v>0.52080276389333002</v>
      </c>
    </row>
    <row r="6559" spans="1:37" x14ac:dyDescent="0.2">
      <c r="A6559" t="str">
        <f>"20200111160033003"</f>
        <v>20200111160033003</v>
      </c>
      <c r="B6559" t="str">
        <f>"1578729632997504"</f>
        <v>1578729632997504</v>
      </c>
      <c r="C6559" t="s">
        <v>37</v>
      </c>
      <c r="D6559">
        <v>5.6996769999999897</v>
      </c>
      <c r="E6559">
        <v>0.53231139999999999</v>
      </c>
      <c r="F6559" t="s">
        <v>38</v>
      </c>
      <c r="G6559">
        <v>-188.88589999999999</v>
      </c>
      <c r="H6559">
        <v>1.0411999999999999</v>
      </c>
      <c r="I6559">
        <v>83.477069999999998</v>
      </c>
      <c r="J6559">
        <v>-188.8972</v>
      </c>
      <c r="K6559">
        <v>1.102293</v>
      </c>
      <c r="L6559">
        <v>82.981870000000001</v>
      </c>
      <c r="M6559">
        <v>-4.1941029999999997E-2</v>
      </c>
      <c r="N6559">
        <v>0</v>
      </c>
      <c r="O6559">
        <v>0.9990462</v>
      </c>
      <c r="P6559">
        <v>-7.6778150000000003E-2</v>
      </c>
      <c r="Q6559">
        <v>-4.2062790000000003E-3</v>
      </c>
      <c r="R6559">
        <v>0.99703929999999996</v>
      </c>
      <c r="S6559">
        <v>3.32641599999999E-3</v>
      </c>
      <c r="T6559">
        <v>-0.2355196</v>
      </c>
      <c r="U6559">
        <v>3.0095209999999999</v>
      </c>
      <c r="V6559">
        <v>-3.4856529999999997E-2</v>
      </c>
      <c r="W6559">
        <v>8.0883259999999998E-3</v>
      </c>
      <c r="X6559">
        <v>0.99935959999999902</v>
      </c>
      <c r="Y6559">
        <v>4.3045010000000002E-2</v>
      </c>
      <c r="Z6559">
        <v>-7.7880550000000007E-2</v>
      </c>
      <c r="AA6559">
        <v>0.99603299999999995</v>
      </c>
      <c r="AB6559">
        <v>29</v>
      </c>
      <c r="AC6559">
        <v>1.1300000000005601E-2</v>
      </c>
      <c r="AD6559">
        <v>-6.1093000000000001E-2</v>
      </c>
      <c r="AE6559">
        <v>0.49519999999999698</v>
      </c>
      <c r="AF6559">
        <v>3.1580376041797302E-2</v>
      </c>
      <c r="AG6559">
        <v>-6.1093000000000001E-2</v>
      </c>
      <c r="AH6559">
        <v>0.48688360368617001</v>
      </c>
      <c r="AI6559">
        <v>97.1371174167314</v>
      </c>
      <c r="AJ6559">
        <v>86.288864210966906</v>
      </c>
      <c r="AK6559">
        <v>0.49171670536841899</v>
      </c>
    </row>
    <row r="6560" spans="1:37" x14ac:dyDescent="0.2">
      <c r="A6560" t="str">
        <f>"20200111160033192"</f>
        <v>20200111160033192</v>
      </c>
      <c r="B6560" t="str">
        <f>"1578729633187823"</f>
        <v>1578729633187823</v>
      </c>
      <c r="C6560" t="s">
        <v>37</v>
      </c>
      <c r="D6560">
        <v>5.7352790000000002</v>
      </c>
      <c r="E6560">
        <v>0.53323719999999997</v>
      </c>
      <c r="F6560" t="s">
        <v>38</v>
      </c>
      <c r="G6560">
        <v>-188.93029999999999</v>
      </c>
      <c r="H6560">
        <v>1.031676</v>
      </c>
      <c r="I6560">
        <v>86.06317</v>
      </c>
      <c r="J6560">
        <v>-188.95500000000001</v>
      </c>
      <c r="K6560">
        <v>1.1020760000000001</v>
      </c>
      <c r="L6560">
        <v>85.441929999999999</v>
      </c>
      <c r="M6560">
        <v>-2.0823899999999999E-2</v>
      </c>
      <c r="N6560">
        <v>0</v>
      </c>
      <c r="O6560">
        <v>0.999718199999999</v>
      </c>
      <c r="P6560">
        <v>-5.9087929999999997E-2</v>
      </c>
      <c r="Q6560">
        <v>-2.6544759999999998E-3</v>
      </c>
      <c r="R6560">
        <v>0.99824919999999995</v>
      </c>
      <c r="S6560">
        <v>6.904602E-2</v>
      </c>
      <c r="T6560">
        <v>-0.23556149999999901</v>
      </c>
      <c r="U6560">
        <v>3.009064</v>
      </c>
      <c r="V6560">
        <v>-3.8244670000000001E-2</v>
      </c>
      <c r="W6560">
        <v>8.9094109999999904E-3</v>
      </c>
      <c r="X6560">
        <v>0.99922869999999997</v>
      </c>
      <c r="Y6560">
        <v>4.3684899999999999E-2</v>
      </c>
      <c r="Z6560">
        <v>-7.7972369999999999E-2</v>
      </c>
      <c r="AA6560">
        <v>0.99599799999999905</v>
      </c>
      <c r="AB6560">
        <v>29</v>
      </c>
      <c r="AC6560">
        <v>2.4700000000024099E-2</v>
      </c>
      <c r="AD6560">
        <v>-7.0400000000000004E-2</v>
      </c>
      <c r="AE6560">
        <v>0.62124000000000001</v>
      </c>
      <c r="AF6560">
        <v>3.7155729178674803E-2</v>
      </c>
      <c r="AG6560">
        <v>-7.0400000000000004E-2</v>
      </c>
      <c r="AH6560">
        <v>0.61273468056316605</v>
      </c>
      <c r="AI6560">
        <v>96.542331918521498</v>
      </c>
      <c r="AJ6560">
        <v>86.5298800328016</v>
      </c>
      <c r="AK6560">
        <v>0.61788388632140601</v>
      </c>
    </row>
    <row r="6561" spans="1:37" x14ac:dyDescent="0.2">
      <c r="A6561" t="str">
        <f>"20200111160033216"</f>
        <v>20200111160033216</v>
      </c>
      <c r="B6561" t="str">
        <f>"1578729633207344"</f>
        <v>1578729633207344</v>
      </c>
      <c r="C6561" t="s">
        <v>37</v>
      </c>
      <c r="D6561">
        <v>5.7706010000000001</v>
      </c>
      <c r="E6561">
        <v>0.53344879999999995</v>
      </c>
      <c r="F6561" t="s">
        <v>38</v>
      </c>
      <c r="G6561">
        <v>-188.9324</v>
      </c>
      <c r="H6561">
        <v>1.0339750000000001</v>
      </c>
      <c r="I6561">
        <v>86.324209999999994</v>
      </c>
      <c r="J6561">
        <v>-188.95849999999999</v>
      </c>
      <c r="K6561">
        <v>1.102085</v>
      </c>
      <c r="L6561">
        <v>85.7453</v>
      </c>
      <c r="M6561">
        <v>-1.8244920000000001E-2</v>
      </c>
      <c r="N6561">
        <v>0</v>
      </c>
      <c r="O6561">
        <v>0.99976889999999996</v>
      </c>
      <c r="P6561">
        <v>-5.7331840000000002E-2</v>
      </c>
      <c r="Q6561">
        <v>-2.1966350000000002E-3</v>
      </c>
      <c r="R6561">
        <v>0.99835280000000004</v>
      </c>
      <c r="S6561">
        <v>7.7224730000000005E-2</v>
      </c>
      <c r="T6561">
        <v>-0.2322533</v>
      </c>
      <c r="U6561">
        <v>3.0092159999999999</v>
      </c>
      <c r="V6561">
        <v>-3.9062119999999999E-2</v>
      </c>
      <c r="W6561">
        <v>9.3485579999999999E-3</v>
      </c>
      <c r="X6561">
        <v>0.99919309999999995</v>
      </c>
      <c r="Y6561">
        <v>4.3814150000000003E-2</v>
      </c>
      <c r="Z6561">
        <v>-7.6883069999999998E-2</v>
      </c>
      <c r="AA6561">
        <v>0.99607690000000004</v>
      </c>
      <c r="AB6561">
        <v>29</v>
      </c>
      <c r="AC6561">
        <v>2.6099999999985302E-2</v>
      </c>
      <c r="AD6561">
        <v>-6.8109999999999796E-2</v>
      </c>
      <c r="AE6561">
        <v>0.57890999999999304</v>
      </c>
      <c r="AF6561">
        <v>3.6159005819019298E-2</v>
      </c>
      <c r="AG6561">
        <v>-6.8109999999999796E-2</v>
      </c>
      <c r="AH6561">
        <v>0.57045713858334701</v>
      </c>
      <c r="AI6561">
        <v>96.795116740530403</v>
      </c>
      <c r="AJ6561">
        <v>86.373100928452502</v>
      </c>
      <c r="AK6561">
        <v>0.57564554437824</v>
      </c>
    </row>
    <row r="6562" spans="1:37" x14ac:dyDescent="0.2">
      <c r="A6562" t="str">
        <f>"20200111160033238"</f>
        <v>20200111160033238</v>
      </c>
      <c r="B6562" t="str">
        <f>"1578729633227842"</f>
        <v>1578729633227842</v>
      </c>
      <c r="C6562" t="s">
        <v>37</v>
      </c>
      <c r="D6562">
        <v>5.7898110000000003</v>
      </c>
      <c r="E6562">
        <v>0.53349259999999998</v>
      </c>
      <c r="F6562" t="s">
        <v>38</v>
      </c>
      <c r="G6562">
        <v>-188.9348</v>
      </c>
      <c r="H6562">
        <v>1.0379240000000001</v>
      </c>
      <c r="I6562">
        <v>86.586169999999996</v>
      </c>
      <c r="J6562">
        <v>-188.96119999999999</v>
      </c>
      <c r="K6562">
        <v>1.10209</v>
      </c>
      <c r="L6562">
        <v>86.036410000000004</v>
      </c>
      <c r="M6562">
        <v>-1.5777759999999998E-2</v>
      </c>
      <c r="N6562">
        <v>0</v>
      </c>
      <c r="O6562">
        <v>0.99981100000000001</v>
      </c>
      <c r="P6562">
        <v>-5.5009280000000001E-2</v>
      </c>
      <c r="Q6562">
        <v>-2.5586049999999998E-3</v>
      </c>
      <c r="R6562">
        <v>0.998482599999999</v>
      </c>
      <c r="S6562">
        <v>8.4411620000000007E-2</v>
      </c>
      <c r="T6562">
        <v>-0.22955829999999999</v>
      </c>
      <c r="U6562">
        <v>3.0093079999999999</v>
      </c>
      <c r="V6562">
        <v>-3.9205660000000003E-2</v>
      </c>
      <c r="W6562">
        <v>8.9780729999999996E-3</v>
      </c>
      <c r="X6562">
        <v>0.99919080000000005</v>
      </c>
      <c r="Y6562">
        <v>4.372711E-2</v>
      </c>
      <c r="Z6562">
        <v>-7.5996339999999996E-2</v>
      </c>
      <c r="AA6562">
        <v>0.99614879999999995</v>
      </c>
      <c r="AB6562">
        <v>29</v>
      </c>
      <c r="AC6562">
        <v>2.6399999999995299E-2</v>
      </c>
      <c r="AD6562">
        <v>-6.4165999999999904E-2</v>
      </c>
      <c r="AE6562">
        <v>0.54975999999999203</v>
      </c>
      <c r="AF6562">
        <v>3.4600979562150601E-2</v>
      </c>
      <c r="AG6562">
        <v>-6.4165999999999904E-2</v>
      </c>
      <c r="AH6562">
        <v>0.54190970241882297</v>
      </c>
      <c r="AI6562">
        <v>96.739193509952599</v>
      </c>
      <c r="AJ6562">
        <v>86.346619069145305</v>
      </c>
      <c r="AK6562">
        <v>0.54679121144941401</v>
      </c>
    </row>
    <row r="6563" spans="1:37" x14ac:dyDescent="0.2">
      <c r="A6563" t="str">
        <f>"20200111160033260"</f>
        <v>20200111160033260</v>
      </c>
      <c r="B6563" t="str">
        <f>"1578729633258096"</f>
        <v>1578729633258096</v>
      </c>
      <c r="C6563" t="s">
        <v>37</v>
      </c>
      <c r="D6563">
        <v>5.8112570000000003</v>
      </c>
      <c r="E6563">
        <v>0.53354049999999997</v>
      </c>
      <c r="F6563" t="s">
        <v>38</v>
      </c>
      <c r="G6563">
        <v>-188.93639999999999</v>
      </c>
      <c r="H6563">
        <v>1.039925</v>
      </c>
      <c r="I6563">
        <v>86.847300000000004</v>
      </c>
      <c r="J6563">
        <v>-188.9631</v>
      </c>
      <c r="K6563">
        <v>1.1021030000000001</v>
      </c>
      <c r="L6563">
        <v>86.318359999999998</v>
      </c>
      <c r="M6563">
        <v>-1.3410109999999999E-2</v>
      </c>
      <c r="N6563">
        <v>0</v>
      </c>
      <c r="O6563">
        <v>0.9998456</v>
      </c>
      <c r="P6563">
        <v>-5.1969830000000002E-2</v>
      </c>
      <c r="Q6563">
        <v>-2.3427179999999902E-3</v>
      </c>
      <c r="R6563">
        <v>0.99864589999999998</v>
      </c>
      <c r="S6563">
        <v>9.1827389999999995E-2</v>
      </c>
      <c r="T6563">
        <v>-0.23066059999999999</v>
      </c>
      <c r="U6563">
        <v>3.0090330000000001</v>
      </c>
      <c r="V6563">
        <v>-3.8529500000000001E-2</v>
      </c>
      <c r="W6563">
        <v>9.1888260000000006E-3</v>
      </c>
      <c r="X6563">
        <v>0.99921519999999997</v>
      </c>
      <c r="Y6563">
        <v>4.3815930000000003E-2</v>
      </c>
      <c r="Z6563">
        <v>-7.6367099999999993E-2</v>
      </c>
      <c r="AA6563">
        <v>0.99611659999999902</v>
      </c>
      <c r="AB6563">
        <v>29</v>
      </c>
      <c r="AC6563">
        <v>2.6700000000005199E-2</v>
      </c>
      <c r="AD6563">
        <v>-6.2177999999999997E-2</v>
      </c>
      <c r="AE6563">
        <v>0.52894000000000496</v>
      </c>
      <c r="AF6563">
        <v>3.33317755206676E-2</v>
      </c>
      <c r="AG6563">
        <v>-6.2177999999999997E-2</v>
      </c>
      <c r="AH6563">
        <v>0.52134841963085898</v>
      </c>
      <c r="AI6563">
        <v>96.787459977282296</v>
      </c>
      <c r="AJ6563">
        <v>86.341843050560996</v>
      </c>
      <c r="AK6563">
        <v>0.52610007184465901</v>
      </c>
    </row>
    <row r="6564" spans="1:37" x14ac:dyDescent="0.2">
      <c r="A6564" t="str">
        <f>"20200111160033282"</f>
        <v>20200111160033282</v>
      </c>
      <c r="B6564" t="str">
        <f>"1578729633277616"</f>
        <v>1578729633277616</v>
      </c>
      <c r="C6564" t="s">
        <v>37</v>
      </c>
      <c r="D6564">
        <v>5.8144489999999998</v>
      </c>
      <c r="E6564">
        <v>0.53356709999999996</v>
      </c>
      <c r="F6564" t="s">
        <v>38</v>
      </c>
      <c r="G6564">
        <v>-188.93629999999999</v>
      </c>
      <c r="H6564">
        <v>1.0418449999999999</v>
      </c>
      <c r="I6564">
        <v>87.108509999999995</v>
      </c>
      <c r="J6564">
        <v>-188.96430000000001</v>
      </c>
      <c r="K6564">
        <v>1.102144</v>
      </c>
      <c r="L6564">
        <v>86.605189999999993</v>
      </c>
      <c r="M6564">
        <v>-1.1046820000000001E-2</v>
      </c>
      <c r="N6564">
        <v>0</v>
      </c>
      <c r="O6564">
        <v>0.99987440000000005</v>
      </c>
      <c r="P6564">
        <v>-4.8472700000000001E-2</v>
      </c>
      <c r="Q6564">
        <v>-7.50171E-4</v>
      </c>
      <c r="R6564">
        <v>0.99882420000000005</v>
      </c>
      <c r="S6564">
        <v>0.10169980000000001</v>
      </c>
      <c r="T6564">
        <v>-0.22944819999999999</v>
      </c>
      <c r="U6564">
        <v>3.0088200000000001</v>
      </c>
      <c r="V6564">
        <v>-3.7385359999999999E-2</v>
      </c>
      <c r="W6564">
        <v>1.0781860000000001E-2</v>
      </c>
      <c r="X6564">
        <v>0.99924279999999999</v>
      </c>
      <c r="Y6564">
        <v>4.47228E-2</v>
      </c>
      <c r="Z6564">
        <v>-7.5971189999999994E-2</v>
      </c>
      <c r="AA6564">
        <v>0.99610659999999895</v>
      </c>
      <c r="AB6564">
        <v>29</v>
      </c>
      <c r="AC6564">
        <v>2.8000000000019998E-2</v>
      </c>
      <c r="AD6564">
        <v>-6.0298999999999797E-2</v>
      </c>
      <c r="AE6564">
        <v>0.503319999999988</v>
      </c>
      <c r="AF6564">
        <v>3.3085338839044402E-2</v>
      </c>
      <c r="AG6564">
        <v>-6.0298999999999797E-2</v>
      </c>
      <c r="AH6564">
        <v>0.49588465698823397</v>
      </c>
      <c r="AI6564">
        <v>96.917831882807604</v>
      </c>
      <c r="AJ6564">
        <v>86.182892754957294</v>
      </c>
      <c r="AK6564">
        <v>0.50063180290851705</v>
      </c>
    </row>
    <row r="6565" spans="1:37" x14ac:dyDescent="0.2">
      <c r="A6565" t="str">
        <f>"20200111160033304"</f>
        <v>20200111160033304</v>
      </c>
      <c r="B6565" t="str">
        <f>"1578729633298111"</f>
        <v>1578729633298111</v>
      </c>
      <c r="C6565" t="s">
        <v>37</v>
      </c>
      <c r="D6565">
        <v>5.8234399999999997</v>
      </c>
      <c r="E6565">
        <v>0.53356479999999995</v>
      </c>
      <c r="F6565" t="s">
        <v>38</v>
      </c>
      <c r="G6565">
        <v>-188.93559999999999</v>
      </c>
      <c r="H6565">
        <v>1.0449280000000001</v>
      </c>
      <c r="I6565">
        <v>87.371639999999999</v>
      </c>
      <c r="J6565">
        <v>-188.965</v>
      </c>
      <c r="K6565">
        <v>1.1022160000000001</v>
      </c>
      <c r="L6565">
        <v>86.894379999999998</v>
      </c>
      <c r="M6565">
        <v>-8.743387E-3</v>
      </c>
      <c r="N6565">
        <v>0</v>
      </c>
      <c r="O6565">
        <v>0.99989699999999904</v>
      </c>
      <c r="P6565">
        <v>-4.308534E-2</v>
      </c>
      <c r="Q6565">
        <v>2.3682339999999999E-3</v>
      </c>
      <c r="R6565">
        <v>0.99906859999999997</v>
      </c>
      <c r="S6565">
        <v>0.11267089999999901</v>
      </c>
      <c r="T6565">
        <v>-0.22460769999999999</v>
      </c>
      <c r="U6565">
        <v>3.0088200000000001</v>
      </c>
      <c r="V6565">
        <v>-3.4285360000000001E-2</v>
      </c>
      <c r="W6565">
        <v>1.389632E-2</v>
      </c>
      <c r="X6565">
        <v>0.99931539999999996</v>
      </c>
      <c r="Y6565">
        <v>4.6053400000000001E-2</v>
      </c>
      <c r="Z6565">
        <v>-7.4372969999999997E-2</v>
      </c>
      <c r="AA6565">
        <v>0.99616649999999995</v>
      </c>
      <c r="AB6565">
        <v>29</v>
      </c>
      <c r="AC6565">
        <v>2.9400000000009599E-2</v>
      </c>
      <c r="AD6565">
        <v>-5.7287999999999999E-2</v>
      </c>
      <c r="AE6565">
        <v>0.47726000000000102</v>
      </c>
      <c r="AF6565">
        <v>3.3096942418954903E-2</v>
      </c>
      <c r="AG6565">
        <v>-5.7287999999999999E-2</v>
      </c>
      <c r="AH6565">
        <v>0.47023493985713999</v>
      </c>
      <c r="AI6565">
        <v>96.929052602431796</v>
      </c>
      <c r="AJ6565">
        <v>85.973942270838194</v>
      </c>
      <c r="AK6565">
        <v>0.47486652988385297</v>
      </c>
    </row>
    <row r="6566" spans="1:37" x14ac:dyDescent="0.2">
      <c r="A6566" t="str">
        <f>"20200111160033327"</f>
        <v>20200111160033327</v>
      </c>
      <c r="B6566" t="str">
        <f>"1578729633317631"</f>
        <v>1578729633317631</v>
      </c>
      <c r="C6566" t="s">
        <v>37</v>
      </c>
      <c r="D6566">
        <v>5.7985329999999999</v>
      </c>
      <c r="E6566">
        <v>0.533452699999999</v>
      </c>
      <c r="F6566" t="s">
        <v>38</v>
      </c>
      <c r="G6566">
        <v>-188.9332</v>
      </c>
      <c r="H6566">
        <v>1.04914</v>
      </c>
      <c r="I6566">
        <v>87.6357</v>
      </c>
      <c r="J6566">
        <v>-188.96510000000001</v>
      </c>
      <c r="K6566">
        <v>1.1023259999999999</v>
      </c>
      <c r="L6566">
        <v>87.192930000000004</v>
      </c>
      <c r="M6566">
        <v>-6.5067019999999996E-3</v>
      </c>
      <c r="N6566">
        <v>0</v>
      </c>
      <c r="O6566">
        <v>0.99991390000000002</v>
      </c>
      <c r="P6566">
        <v>-3.6611709999999999E-2</v>
      </c>
      <c r="Q6566">
        <v>5.074584E-3</v>
      </c>
      <c r="R6566">
        <v>0.99931669999999995</v>
      </c>
      <c r="S6566">
        <v>0.12846369999999999</v>
      </c>
      <c r="T6566">
        <v>-0.21538389999999999</v>
      </c>
      <c r="U6566">
        <v>3.0088499999999998</v>
      </c>
      <c r="V6566">
        <v>-3.0037149999999999E-2</v>
      </c>
      <c r="W6566">
        <v>1.659395E-2</v>
      </c>
      <c r="X6566">
        <v>0.99941100000000005</v>
      </c>
      <c r="Y6566">
        <v>4.9048090000000003E-2</v>
      </c>
      <c r="Z6566">
        <v>-7.1323189999999995E-2</v>
      </c>
      <c r="AA6566">
        <v>0.99624659999999998</v>
      </c>
      <c r="AB6566">
        <v>29</v>
      </c>
      <c r="AC6566">
        <v>3.1900000000007298E-2</v>
      </c>
      <c r="AD6566">
        <v>-5.31859999999999E-2</v>
      </c>
      <c r="AE6566">
        <v>0.442769999999995</v>
      </c>
      <c r="AF6566">
        <v>3.4288290882391798E-2</v>
      </c>
      <c r="AG6566">
        <v>-5.31859999999999E-2</v>
      </c>
      <c r="AH6566">
        <v>0.43629029423327298</v>
      </c>
      <c r="AI6566">
        <v>96.929194797290293</v>
      </c>
      <c r="AJ6566">
        <v>85.506330097419706</v>
      </c>
      <c r="AK6566">
        <v>0.44085559804746899</v>
      </c>
    </row>
    <row r="6567" spans="1:37" x14ac:dyDescent="0.2">
      <c r="A6567" t="str">
        <f>"20200111160033349"</f>
        <v>20200111160033349</v>
      </c>
      <c r="B6567" t="str">
        <f>"1578729633347888"</f>
        <v>1578729633347888</v>
      </c>
      <c r="C6567" t="s">
        <v>37</v>
      </c>
      <c r="D6567">
        <v>8.2653459999999992</v>
      </c>
      <c r="E6567">
        <v>0.53353709999999999</v>
      </c>
      <c r="F6567" t="s">
        <v>38</v>
      </c>
      <c r="G6567">
        <v>-188.91839999999999</v>
      </c>
      <c r="H6567">
        <v>1.0362659999999999</v>
      </c>
      <c r="I6567">
        <v>88.146990000000002</v>
      </c>
      <c r="J6567">
        <v>-188.96469999999999</v>
      </c>
      <c r="K6567">
        <v>1.10246</v>
      </c>
      <c r="L6567">
        <v>87.485990000000001</v>
      </c>
      <c r="M6567">
        <v>-4.4918809999999997E-3</v>
      </c>
      <c r="N6567">
        <v>0</v>
      </c>
      <c r="O6567">
        <v>0.99992479999999995</v>
      </c>
      <c r="P6567">
        <v>-3.0023770000000002E-2</v>
      </c>
      <c r="Q6567">
        <v>6.2625440000000001E-3</v>
      </c>
      <c r="R6567">
        <v>0.99952949999999996</v>
      </c>
      <c r="S6567">
        <v>0.14680479999999901</v>
      </c>
      <c r="T6567">
        <v>-0.20830879999999899</v>
      </c>
      <c r="U6567">
        <v>3.0084840000000002</v>
      </c>
      <c r="V6567">
        <v>-2.5462829999999999E-2</v>
      </c>
      <c r="W6567">
        <v>1.7770609999999999E-2</v>
      </c>
      <c r="X6567">
        <v>0.99951780000000001</v>
      </c>
      <c r="Y6567">
        <v>5.3109179999999999E-2</v>
      </c>
      <c r="Z6567">
        <v>-6.8984450000000003E-2</v>
      </c>
      <c r="AA6567">
        <v>0.99620309999999901</v>
      </c>
      <c r="AB6567">
        <v>29</v>
      </c>
      <c r="AC6567">
        <v>4.6300000000002201E-2</v>
      </c>
      <c r="AD6567">
        <v>-6.6194000000000003E-2</v>
      </c>
      <c r="AE6567">
        <v>0.66100000000000103</v>
      </c>
      <c r="AF6567">
        <v>4.87820392040118E-2</v>
      </c>
      <c r="AG6567">
        <v>-6.6194000000000003E-2</v>
      </c>
      <c r="AH6567">
        <v>0.65425619393362</v>
      </c>
      <c r="AI6567">
        <v>95.761324830358504</v>
      </c>
      <c r="AJ6567">
        <v>85.735855886360198</v>
      </c>
      <c r="AK6567">
        <v>0.65940313942641204</v>
      </c>
    </row>
    <row r="6568" spans="1:37" x14ac:dyDescent="0.2">
      <c r="A6568" t="str">
        <f>"20200111160033864"</f>
        <v>20200111160033864</v>
      </c>
      <c r="B6568" t="str">
        <f>"1578729633858155"</f>
        <v>1578729633858155</v>
      </c>
      <c r="C6568" t="s">
        <v>37</v>
      </c>
      <c r="D6568">
        <v>5.8965269999999999</v>
      </c>
      <c r="E6568">
        <v>0.53371469999999999</v>
      </c>
      <c r="F6568" t="s">
        <v>38</v>
      </c>
      <c r="G6568">
        <v>-188.9177</v>
      </c>
      <c r="H6568">
        <v>1.048529</v>
      </c>
      <c r="I6568">
        <v>94.667999999999907</v>
      </c>
      <c r="J6568">
        <v>-188.96510000000001</v>
      </c>
      <c r="K6568">
        <v>1.1043959999999999</v>
      </c>
      <c r="L6568">
        <v>94.175839999999994</v>
      </c>
      <c r="M6568">
        <v>-4.7115229999999996E-3</v>
      </c>
      <c r="N6568">
        <v>0</v>
      </c>
      <c r="O6568">
        <v>0.99992109999999901</v>
      </c>
      <c r="P6568">
        <v>-2.837342E-2</v>
      </c>
      <c r="Q6568">
        <v>9.5998850000000001E-4</v>
      </c>
      <c r="R6568">
        <v>0.99959699999999996</v>
      </c>
      <c r="S6568">
        <v>0.17614749999999901</v>
      </c>
      <c r="T6568">
        <v>-0.21588859999999899</v>
      </c>
      <c r="U6568">
        <v>3.0064700000000002</v>
      </c>
      <c r="V6568">
        <v>-2.3673090000000001E-2</v>
      </c>
      <c r="W6568">
        <v>1.2577980000000001E-2</v>
      </c>
      <c r="X6568">
        <v>0.99964059999999899</v>
      </c>
      <c r="Y6568">
        <v>6.3042619999999994E-2</v>
      </c>
      <c r="Z6568">
        <v>-7.149018E-2</v>
      </c>
      <c r="AA6568">
        <v>0.99544699999999997</v>
      </c>
      <c r="AB6568">
        <v>29</v>
      </c>
      <c r="AC6568">
        <v>4.7400000000010302E-2</v>
      </c>
      <c r="AD6568">
        <v>-5.5866999999999799E-2</v>
      </c>
      <c r="AE6568">
        <v>0.492159999999984</v>
      </c>
      <c r="AF6568">
        <v>4.9091701291382399E-2</v>
      </c>
      <c r="AG6568">
        <v>-5.5866999999999799E-2</v>
      </c>
      <c r="AH6568">
        <v>0.48572989003578498</v>
      </c>
      <c r="AI6568">
        <v>96.528167301447695</v>
      </c>
      <c r="AJ6568">
        <v>84.228832774106394</v>
      </c>
      <c r="AK6568">
        <v>0.49139051974865899</v>
      </c>
    </row>
    <row r="6569" spans="1:37" x14ac:dyDescent="0.2">
      <c r="A6569" t="str">
        <f>"20200111160033886"</f>
        <v>20200111160033886</v>
      </c>
      <c r="B6569" t="str">
        <f>"1578729633877675"</f>
        <v>1578729633877675</v>
      </c>
      <c r="C6569" t="s">
        <v>37</v>
      </c>
      <c r="D6569">
        <v>5.8394979999999999</v>
      </c>
      <c r="E6569">
        <v>0.53315880000000004</v>
      </c>
      <c r="F6569" t="s">
        <v>38</v>
      </c>
      <c r="G6569">
        <v>-188.92150000000001</v>
      </c>
      <c r="H6569">
        <v>1.0496299999999901</v>
      </c>
      <c r="I6569">
        <v>94.930319999999995</v>
      </c>
      <c r="J6569">
        <v>-188.96700000000001</v>
      </c>
      <c r="K6569">
        <v>1.104366</v>
      </c>
      <c r="L6569">
        <v>94.471500000000006</v>
      </c>
      <c r="M6569">
        <v>-5.0869309999999899E-3</v>
      </c>
      <c r="N6569">
        <v>0</v>
      </c>
      <c r="O6569">
        <v>0.99991929999999996</v>
      </c>
      <c r="P6569">
        <v>-2.8718770000000001E-2</v>
      </c>
      <c r="Q6569">
        <v>6.2317929999999996E-4</v>
      </c>
      <c r="R6569">
        <v>0.99958740000000001</v>
      </c>
      <c r="S6569">
        <v>0.17285159999999999</v>
      </c>
      <c r="T6569">
        <v>-0.21829749999999901</v>
      </c>
      <c r="U6569">
        <v>3.0063169999999899</v>
      </c>
      <c r="V6569">
        <v>-2.3642199999999999E-2</v>
      </c>
      <c r="W6569">
        <v>1.224517E-2</v>
      </c>
      <c r="X6569">
        <v>0.99964549999999996</v>
      </c>
      <c r="Y6569">
        <v>6.2329269999999999E-2</v>
      </c>
      <c r="Z6569">
        <v>-7.2291030000000006E-2</v>
      </c>
      <c r="AA6569">
        <v>0.99543409999999999</v>
      </c>
      <c r="AB6569">
        <v>29</v>
      </c>
      <c r="AC6569">
        <v>4.5500000000004003E-2</v>
      </c>
      <c r="AD6569">
        <v>-5.4736000000000097E-2</v>
      </c>
      <c r="AE6569">
        <v>0.45881999999998802</v>
      </c>
      <c r="AF6569">
        <v>4.7168793145501597E-2</v>
      </c>
      <c r="AG6569">
        <v>-5.4736000000000097E-2</v>
      </c>
      <c r="AH6569">
        <v>0.45220948725079801</v>
      </c>
      <c r="AI6569">
        <v>96.864693517670702</v>
      </c>
      <c r="AJ6569">
        <v>84.045160531859395</v>
      </c>
      <c r="AK6569">
        <v>0.45794578838813699</v>
      </c>
    </row>
    <row r="6570" spans="1:37" x14ac:dyDescent="0.2">
      <c r="A6570" t="str">
        <f>"20200111160033908"</f>
        <v>20200111160033908</v>
      </c>
      <c r="B6570" t="str">
        <f>"1578729633898174"</f>
        <v>1578729633898174</v>
      </c>
      <c r="C6570" t="s">
        <v>37</v>
      </c>
      <c r="D6570">
        <v>5.8480400000000001</v>
      </c>
      <c r="E6570">
        <v>0.53261579999999997</v>
      </c>
      <c r="F6570" t="s">
        <v>38</v>
      </c>
      <c r="G6570">
        <v>-188.9128</v>
      </c>
      <c r="H6570">
        <v>1.033005</v>
      </c>
      <c r="I6570">
        <v>95.442580000000007</v>
      </c>
      <c r="J6570">
        <v>-188.96889999999999</v>
      </c>
      <c r="K6570">
        <v>1.1043419999999999</v>
      </c>
      <c r="L6570">
        <v>94.765559999999994</v>
      </c>
      <c r="M6570">
        <v>-5.4273069999999897E-3</v>
      </c>
      <c r="N6570">
        <v>0</v>
      </c>
      <c r="O6570">
        <v>0.99991749999999902</v>
      </c>
      <c r="P6570">
        <v>-2.9373860000000002E-2</v>
      </c>
      <c r="Q6570">
        <v>3.9920690000000002E-4</v>
      </c>
      <c r="R6570">
        <v>0.99956840000000002</v>
      </c>
      <c r="S6570">
        <v>0.16729739999999901</v>
      </c>
      <c r="T6570">
        <v>-0.22097039999999901</v>
      </c>
      <c r="U6570">
        <v>3.0061650000000002</v>
      </c>
      <c r="V6570">
        <v>-2.395591E-2</v>
      </c>
      <c r="W6570">
        <v>1.202394E-2</v>
      </c>
      <c r="X6570">
        <v>0.99964069999999905</v>
      </c>
      <c r="Y6570">
        <v>6.0834909999999999E-2</v>
      </c>
      <c r="Z6570">
        <v>-7.3182129999999998E-2</v>
      </c>
      <c r="AA6570">
        <v>0.9954615</v>
      </c>
      <c r="AB6570">
        <v>29</v>
      </c>
      <c r="AC6570">
        <v>5.6099999999986397E-2</v>
      </c>
      <c r="AD6570">
        <v>-7.13369999999999E-2</v>
      </c>
      <c r="AE6570">
        <v>0.67702000000001294</v>
      </c>
      <c r="AF6570">
        <v>5.9121884789281202E-2</v>
      </c>
      <c r="AG6570">
        <v>-7.13369999999999E-2</v>
      </c>
      <c r="AH6570">
        <v>0.66932493133258497</v>
      </c>
      <c r="AI6570">
        <v>96.060228553501602</v>
      </c>
      <c r="AJ6570">
        <v>84.952129516220594</v>
      </c>
      <c r="AK6570">
        <v>0.67570720621686997</v>
      </c>
    </row>
    <row r="6571" spans="1:37" x14ac:dyDescent="0.2">
      <c r="A6571" t="str">
        <f>"20200111160033930"</f>
        <v>20200111160033930</v>
      </c>
      <c r="B6571" t="str">
        <f>"1578729633927451"</f>
        <v>1578729633927451</v>
      </c>
      <c r="C6571" t="s">
        <v>37</v>
      </c>
      <c r="D6571">
        <v>5.8753320000000002</v>
      </c>
      <c r="E6571">
        <v>0.53181579999999995</v>
      </c>
      <c r="F6571" t="s">
        <v>38</v>
      </c>
      <c r="G6571">
        <v>-188.9187</v>
      </c>
      <c r="H6571">
        <v>1.0347709999999899</v>
      </c>
      <c r="I6571">
        <v>95.704899999999995</v>
      </c>
      <c r="J6571">
        <v>-188.97069999999999</v>
      </c>
      <c r="K6571">
        <v>1.104325</v>
      </c>
      <c r="L6571">
        <v>95.050510000000003</v>
      </c>
      <c r="M6571">
        <v>-5.7367850000000003E-3</v>
      </c>
      <c r="N6571">
        <v>0</v>
      </c>
      <c r="O6571">
        <v>0.99991569999999996</v>
      </c>
      <c r="P6571">
        <v>-2.9629039999999999E-2</v>
      </c>
      <c r="Q6571">
        <v>1.501451E-4</v>
      </c>
      <c r="R6571">
        <v>0.99956100000000003</v>
      </c>
      <c r="S6571">
        <v>0.16056819999999999</v>
      </c>
      <c r="T6571">
        <v>-0.22266509999999901</v>
      </c>
      <c r="U6571">
        <v>3.0061040000000001</v>
      </c>
      <c r="V6571">
        <v>-2.3901169999999999E-2</v>
      </c>
      <c r="W6571">
        <v>1.1777910000000001E-2</v>
      </c>
      <c r="X6571">
        <v>0.99964489999999995</v>
      </c>
      <c r="Y6571">
        <v>5.8920889999999997E-2</v>
      </c>
      <c r="Z6571">
        <v>-7.3750330000000003E-2</v>
      </c>
      <c r="AA6571">
        <v>0.99553469999999999</v>
      </c>
      <c r="AB6571">
        <v>29</v>
      </c>
      <c r="AC6571">
        <v>5.1999999999992497E-2</v>
      </c>
      <c r="AD6571">
        <v>-6.9554000000000102E-2</v>
      </c>
      <c r="AE6571">
        <v>0.65438999999999203</v>
      </c>
      <c r="AF6571">
        <v>5.5134535982119599E-2</v>
      </c>
      <c r="AG6571">
        <v>-6.9554000000000102E-2</v>
      </c>
      <c r="AH6571">
        <v>0.64681949783467396</v>
      </c>
      <c r="AI6571">
        <v>96.115555950092002</v>
      </c>
      <c r="AJ6571">
        <v>85.127916493206897</v>
      </c>
      <c r="AK6571">
        <v>0.65288057005325495</v>
      </c>
    </row>
    <row r="6572" spans="1:37" x14ac:dyDescent="0.2">
      <c r="A6572" t="str">
        <f>"20200111160033951"</f>
        <v>20200111160033951</v>
      </c>
      <c r="B6572" t="str">
        <f>"1578729633947947"</f>
        <v>1578729633947947</v>
      </c>
      <c r="C6572" t="s">
        <v>37</v>
      </c>
      <c r="D6572">
        <v>5.6974599999999898</v>
      </c>
      <c r="E6572">
        <v>0.53145140000000002</v>
      </c>
      <c r="F6572" t="s">
        <v>38</v>
      </c>
      <c r="G6572">
        <v>-188.92400000000001</v>
      </c>
      <c r="H6572">
        <v>1.0357780000000001</v>
      </c>
      <c r="I6572">
        <v>95.96687</v>
      </c>
      <c r="J6572">
        <v>-188.97280000000001</v>
      </c>
      <c r="K6572">
        <v>1.1043080000000001</v>
      </c>
      <c r="L6572">
        <v>95.33878</v>
      </c>
      <c r="M6572">
        <v>-6.0311879999999998E-3</v>
      </c>
      <c r="N6572">
        <v>0</v>
      </c>
      <c r="O6572">
        <v>0.99991399999999997</v>
      </c>
      <c r="P6572">
        <v>-2.9961330000000001E-2</v>
      </c>
      <c r="Q6572">
        <v>-1.477327E-4</v>
      </c>
      <c r="R6572">
        <v>0.99955110000000003</v>
      </c>
      <c r="S6572">
        <v>0.15310670000000001</v>
      </c>
      <c r="T6572">
        <v>-0.22490549999999901</v>
      </c>
      <c r="U6572">
        <v>3.00589</v>
      </c>
      <c r="V6572">
        <v>-2.393843E-2</v>
      </c>
      <c r="W6572">
        <v>1.148277E-2</v>
      </c>
      <c r="X6572">
        <v>0.99964750000000002</v>
      </c>
      <c r="Y6572">
        <v>5.6751089999999997E-2</v>
      </c>
      <c r="Z6572">
        <v>-7.4502840000000001E-2</v>
      </c>
      <c r="AA6572">
        <v>0.99560459999999995</v>
      </c>
      <c r="AB6572">
        <v>29</v>
      </c>
      <c r="AC6572">
        <v>4.8799999999999899E-2</v>
      </c>
      <c r="AD6572">
        <v>-6.8529999999999897E-2</v>
      </c>
      <c r="AE6572">
        <v>0.62809000000000004</v>
      </c>
      <c r="AF6572">
        <v>5.1972494749969803E-2</v>
      </c>
      <c r="AG6572">
        <v>-6.8529999999999897E-2</v>
      </c>
      <c r="AH6572">
        <v>0.62044238539396201</v>
      </c>
      <c r="AI6572">
        <v>96.281145440825298</v>
      </c>
      <c r="AJ6572">
        <v>85.211692691059</v>
      </c>
      <c r="AK6572">
        <v>0.62637549018451</v>
      </c>
    </row>
    <row r="6573" spans="1:37" x14ac:dyDescent="0.2">
      <c r="A6573" t="str">
        <f>"20200111160033975"</f>
        <v>20200111160033975</v>
      </c>
      <c r="B6573" t="str">
        <f>"1578729633967467"</f>
        <v>1578729633967467</v>
      </c>
      <c r="C6573" t="s">
        <v>37</v>
      </c>
      <c r="D6573">
        <v>5.8587239999999996</v>
      </c>
      <c r="E6573">
        <v>0.53101860000000001</v>
      </c>
      <c r="F6573" t="s">
        <v>38</v>
      </c>
      <c r="G6573">
        <v>-188.92859999999999</v>
      </c>
      <c r="H6573">
        <v>1.0366770000000001</v>
      </c>
      <c r="I6573">
        <v>96.228859999999997</v>
      </c>
      <c r="J6573">
        <v>-188.97489999999999</v>
      </c>
      <c r="K6573">
        <v>1.1042969999999901</v>
      </c>
      <c r="L6573">
        <v>95.636409999999998</v>
      </c>
      <c r="M6573">
        <v>-6.3184479999999999E-3</v>
      </c>
      <c r="N6573">
        <v>0</v>
      </c>
      <c r="O6573">
        <v>0.99991219999999903</v>
      </c>
      <c r="P6573">
        <v>-2.990893E-2</v>
      </c>
      <c r="Q6573">
        <v>1.5756559999999999E-4</v>
      </c>
      <c r="R6573">
        <v>0.99955260000000001</v>
      </c>
      <c r="S6573">
        <v>0.14913940000000001</v>
      </c>
      <c r="T6573">
        <v>-0.228385799999999</v>
      </c>
      <c r="U6573">
        <v>3.0057680000000002</v>
      </c>
      <c r="V6573">
        <v>-2.3598959999999999E-2</v>
      </c>
      <c r="W6573">
        <v>1.1790780000000001E-2</v>
      </c>
      <c r="X6573">
        <v>0.99965199999999999</v>
      </c>
      <c r="Y6573">
        <v>5.5724839999999998E-2</v>
      </c>
      <c r="Z6573">
        <v>-7.5656699999999993E-2</v>
      </c>
      <c r="AA6573">
        <v>0.99557559999999901</v>
      </c>
      <c r="AB6573">
        <v>29</v>
      </c>
      <c r="AC6573">
        <v>4.6300000000002201E-2</v>
      </c>
      <c r="AD6573">
        <v>-6.7619999999999694E-2</v>
      </c>
      <c r="AE6573">
        <v>0.59244999999999903</v>
      </c>
      <c r="AF6573">
        <v>4.9403023952382899E-2</v>
      </c>
      <c r="AG6573">
        <v>-6.7619999999999694E-2</v>
      </c>
      <c r="AH6573">
        <v>0.58457651359277596</v>
      </c>
      <c r="AI6573">
        <v>96.575045777762</v>
      </c>
      <c r="AJ6573">
        <v>85.169366739618894</v>
      </c>
      <c r="AK6573">
        <v>0.59054451434241995</v>
      </c>
    </row>
    <row r="6574" spans="1:37" x14ac:dyDescent="0.2">
      <c r="A6574" t="str">
        <f>"20200111160033997"</f>
        <v>20200111160033997</v>
      </c>
      <c r="B6574" t="str">
        <f>"1578729633987966"</f>
        <v>1578729633987966</v>
      </c>
      <c r="C6574" t="s">
        <v>37</v>
      </c>
      <c r="D6574">
        <v>5.8854930000000003</v>
      </c>
      <c r="E6574">
        <v>0.53064019999999901</v>
      </c>
      <c r="F6574" t="s">
        <v>38</v>
      </c>
      <c r="G6574">
        <v>-188.9333</v>
      </c>
      <c r="H6574">
        <v>1.039452</v>
      </c>
      <c r="I6574">
        <v>96.491849999999999</v>
      </c>
      <c r="J6574">
        <v>-188.977</v>
      </c>
      <c r="K6574">
        <v>1.1042909999999999</v>
      </c>
      <c r="L6574">
        <v>95.933750000000003</v>
      </c>
      <c r="M6574">
        <v>-6.5926469999999897E-3</v>
      </c>
      <c r="N6574">
        <v>0</v>
      </c>
      <c r="O6574">
        <v>0.99991039999999998</v>
      </c>
      <c r="P6574">
        <v>-2.960614E-2</v>
      </c>
      <c r="Q6574">
        <v>1.7097270000000001E-3</v>
      </c>
      <c r="R6574">
        <v>0.99956019999999901</v>
      </c>
      <c r="S6574">
        <v>0.14546199999999901</v>
      </c>
      <c r="T6574">
        <v>-0.22791349999999999</v>
      </c>
      <c r="U6574">
        <v>3.0057369999999999</v>
      </c>
      <c r="V6574">
        <v>-2.30222E-2</v>
      </c>
      <c r="W6574">
        <v>1.334515E-2</v>
      </c>
      <c r="X6574">
        <v>0.99964589999999998</v>
      </c>
      <c r="Y6574">
        <v>5.4784550000000001E-2</v>
      </c>
      <c r="Z6574">
        <v>-7.5505920000000004E-2</v>
      </c>
      <c r="AA6574">
        <v>0.9956393</v>
      </c>
      <c r="AB6574">
        <v>29</v>
      </c>
      <c r="AC6574">
        <v>4.3700000000001099E-2</v>
      </c>
      <c r="AD6574">
        <v>-6.48389999999998E-2</v>
      </c>
      <c r="AE6574">
        <v>0.55809999999999504</v>
      </c>
      <c r="AF6574">
        <v>4.6751480307807597E-2</v>
      </c>
      <c r="AG6574">
        <v>-6.48389999999998E-2</v>
      </c>
      <c r="AH6574">
        <v>0.55041586638134998</v>
      </c>
      <c r="AI6574">
        <v>96.694595178933795</v>
      </c>
      <c r="AJ6574">
        <v>85.145037348885495</v>
      </c>
      <c r="AK6574">
        <v>0.55619009591712698</v>
      </c>
    </row>
    <row r="6575" spans="1:37" x14ac:dyDescent="0.2">
      <c r="A6575" t="str">
        <f>"20200111160034021"</f>
        <v>20200111160034021</v>
      </c>
      <c r="B6575" t="str">
        <f>"1578729634018219"</f>
        <v>1578729634018219</v>
      </c>
      <c r="C6575" t="s">
        <v>37</v>
      </c>
      <c r="D6575">
        <v>5.8758860000000004</v>
      </c>
      <c r="E6575">
        <v>0.53006589999999998</v>
      </c>
      <c r="F6575" t="s">
        <v>38</v>
      </c>
      <c r="G6575">
        <v>-188.93790000000001</v>
      </c>
      <c r="H6575">
        <v>1.0425489999999999</v>
      </c>
      <c r="I6575">
        <v>96.755069999999904</v>
      </c>
      <c r="J6575">
        <v>-188.97929999999999</v>
      </c>
      <c r="K6575">
        <v>1.1042920000000001</v>
      </c>
      <c r="L6575">
        <v>96.234409999999997</v>
      </c>
      <c r="M6575">
        <v>-6.8586180000000004E-3</v>
      </c>
      <c r="N6575">
        <v>0</v>
      </c>
      <c r="O6575">
        <v>0.99990859999999904</v>
      </c>
      <c r="P6575">
        <v>-2.9414579999999999E-2</v>
      </c>
      <c r="Q6575">
        <v>3.6989089999999998E-3</v>
      </c>
      <c r="R6575">
        <v>0.99956049999999996</v>
      </c>
      <c r="S6575">
        <v>0.14280699999999999</v>
      </c>
      <c r="T6575">
        <v>-0.22600970000000001</v>
      </c>
      <c r="U6575">
        <v>3.0059200000000001</v>
      </c>
      <c r="V6575">
        <v>-2.2565390000000001E-2</v>
      </c>
      <c r="W6575">
        <v>1.533669E-2</v>
      </c>
      <c r="X6575">
        <v>0.99962770000000001</v>
      </c>
      <c r="Y6575">
        <v>5.4172070000000003E-2</v>
      </c>
      <c r="Z6575">
        <v>-7.4876869999999998E-2</v>
      </c>
      <c r="AA6575">
        <v>0.9957203</v>
      </c>
      <c r="AB6575">
        <v>29</v>
      </c>
      <c r="AC6575">
        <v>4.1399999999981597E-2</v>
      </c>
      <c r="AD6575">
        <v>-6.1743000000000103E-2</v>
      </c>
      <c r="AE6575">
        <v>0.52065999999999202</v>
      </c>
      <c r="AF6575">
        <v>4.4350509588305803E-2</v>
      </c>
      <c r="AG6575">
        <v>-6.1743000000000103E-2</v>
      </c>
      <c r="AH6575">
        <v>0.513192287033721</v>
      </c>
      <c r="AI6575">
        <v>96.835139832234603</v>
      </c>
      <c r="AJ6575">
        <v>85.060722526353302</v>
      </c>
      <c r="AK6575">
        <v>0.51879233728019103</v>
      </c>
    </row>
    <row r="6576" spans="1:37" x14ac:dyDescent="0.2">
      <c r="A6576" t="str">
        <f>"20200111160034042"</f>
        <v>20200111160034042</v>
      </c>
      <c r="B6576" t="str">
        <f>"1578729634037741"</f>
        <v>1578729634037741</v>
      </c>
      <c r="C6576" t="s">
        <v>37</v>
      </c>
      <c r="D6576">
        <v>5.8485769999999997</v>
      </c>
      <c r="E6576">
        <v>0.52965030000000002</v>
      </c>
      <c r="F6576" t="s">
        <v>38</v>
      </c>
      <c r="G6576">
        <v>-188.94299999999899</v>
      </c>
      <c r="H6576">
        <v>1.04609</v>
      </c>
      <c r="I6576">
        <v>97.019570000000002</v>
      </c>
      <c r="J6576">
        <v>-188.98150000000001</v>
      </c>
      <c r="K6576">
        <v>1.10429</v>
      </c>
      <c r="L6576">
        <v>96.511290000000002</v>
      </c>
      <c r="M6576">
        <v>-7.0923509999999898E-3</v>
      </c>
      <c r="N6576">
        <v>0</v>
      </c>
      <c r="O6576">
        <v>0.99990699999999999</v>
      </c>
      <c r="P6576">
        <v>-2.962068E-2</v>
      </c>
      <c r="Q6576">
        <v>5.7588689999999998E-3</v>
      </c>
      <c r="R6576">
        <v>0.99954460000000001</v>
      </c>
      <c r="S6576">
        <v>0.13851930000000001</v>
      </c>
      <c r="T6576">
        <v>-0.22289929999999999</v>
      </c>
      <c r="U6576">
        <v>3.006195</v>
      </c>
      <c r="V6576">
        <v>-2.2538409999999998E-2</v>
      </c>
      <c r="W6576">
        <v>1.7397780000000002E-2</v>
      </c>
      <c r="X6576">
        <v>0.9995946</v>
      </c>
      <c r="Y6576">
        <v>5.2987560000000003E-2</v>
      </c>
      <c r="Z6576">
        <v>-7.3849979999999996E-2</v>
      </c>
      <c r="AA6576">
        <v>0.99586070000000004</v>
      </c>
      <c r="AB6576">
        <v>29</v>
      </c>
      <c r="AC6576">
        <v>3.8500000000027498E-2</v>
      </c>
      <c r="AD6576">
        <v>-5.8200000000000002E-2</v>
      </c>
      <c r="AE6576">
        <v>0.50827999999999895</v>
      </c>
      <c r="AF6576">
        <v>4.1562355759852801E-2</v>
      </c>
      <c r="AG6576">
        <v>-5.8200000000000002E-2</v>
      </c>
      <c r="AH6576">
        <v>0.50145698206937095</v>
      </c>
      <c r="AI6576">
        <v>96.597808781345094</v>
      </c>
      <c r="AJ6576">
        <v>85.261972540635</v>
      </c>
      <c r="AK6576">
        <v>0.50653111877004198</v>
      </c>
    </row>
    <row r="6577" spans="1:37" x14ac:dyDescent="0.2">
      <c r="A6577" t="str">
        <f>"20200111160034064"</f>
        <v>20200111160034064</v>
      </c>
      <c r="B6577" t="str">
        <f>"1578729634058236"</f>
        <v>1578729634058236</v>
      </c>
      <c r="C6577" t="s">
        <v>37</v>
      </c>
      <c r="D6577">
        <v>5.8337320000000004</v>
      </c>
      <c r="E6577">
        <v>0.52934329999999996</v>
      </c>
      <c r="F6577" t="s">
        <v>38</v>
      </c>
      <c r="G6577">
        <v>-188.947</v>
      </c>
      <c r="H6577">
        <v>1.0482940000000001</v>
      </c>
      <c r="I6577">
        <v>97.283439999999999</v>
      </c>
      <c r="J6577">
        <v>-188.9838</v>
      </c>
      <c r="K6577">
        <v>1.1042799999999999</v>
      </c>
      <c r="L6577">
        <v>96.801029999999997</v>
      </c>
      <c r="M6577">
        <v>-7.3210169999999896E-3</v>
      </c>
      <c r="N6577">
        <v>0</v>
      </c>
      <c r="O6577">
        <v>0.9999053</v>
      </c>
      <c r="P6577">
        <v>-2.9915549999999999E-2</v>
      </c>
      <c r="Q6577">
        <v>6.1397539999999999E-3</v>
      </c>
      <c r="R6577">
        <v>0.99953359999999902</v>
      </c>
      <c r="S6577">
        <v>0.13427729999999999</v>
      </c>
      <c r="T6577">
        <v>-0.21802829999999901</v>
      </c>
      <c r="U6577">
        <v>3.0065919999999999</v>
      </c>
      <c r="V6577">
        <v>-2.2604039999999999E-2</v>
      </c>
      <c r="W6577">
        <v>1.778062E-2</v>
      </c>
      <c r="X6577">
        <v>0.99958630000000004</v>
      </c>
      <c r="Y6577">
        <v>5.1812950000000003E-2</v>
      </c>
      <c r="Z6577">
        <v>-7.2239540000000005E-2</v>
      </c>
      <c r="AA6577">
        <v>0.99604059999999905</v>
      </c>
      <c r="AB6577">
        <v>29</v>
      </c>
      <c r="AC6577">
        <v>3.67999999999995E-2</v>
      </c>
      <c r="AD6577">
        <v>-5.59859999999998E-2</v>
      </c>
      <c r="AE6577">
        <v>0.48240999999998702</v>
      </c>
      <c r="AF6577">
        <v>3.9798057666932299E-2</v>
      </c>
      <c r="AG6577">
        <v>-5.59859999999998E-2</v>
      </c>
      <c r="AH6577">
        <v>0.47575687570693898</v>
      </c>
      <c r="AI6577">
        <v>96.688423273334195</v>
      </c>
      <c r="AJ6577">
        <v>85.218221249618196</v>
      </c>
      <c r="AK6577">
        <v>0.48069004813131799</v>
      </c>
    </row>
    <row r="6578" spans="1:37" x14ac:dyDescent="0.2">
      <c r="A6578" t="str">
        <f>"20200111160034087"</f>
        <v>20200111160034087</v>
      </c>
      <c r="B6578" t="str">
        <f>"1578729634077754"</f>
        <v>1578729634077754</v>
      </c>
      <c r="C6578" t="s">
        <v>37</v>
      </c>
      <c r="D6578">
        <v>5.8585659999999997</v>
      </c>
      <c r="E6578">
        <v>0.5291534</v>
      </c>
      <c r="F6578" t="s">
        <v>38</v>
      </c>
      <c r="G6578">
        <v>-188.9512</v>
      </c>
      <c r="H6578">
        <v>1.0503069999999901</v>
      </c>
      <c r="I6578">
        <v>97.547159999999906</v>
      </c>
      <c r="J6578">
        <v>-188.9863</v>
      </c>
      <c r="K6578">
        <v>1.1042620000000001</v>
      </c>
      <c r="L6578">
        <v>97.102719999999906</v>
      </c>
      <c r="M6578">
        <v>-7.5279819999999999E-3</v>
      </c>
      <c r="N6578">
        <v>0</v>
      </c>
      <c r="O6578">
        <v>0.99990369999999995</v>
      </c>
      <c r="P6578">
        <v>-2.9288060000000001E-2</v>
      </c>
      <c r="Q6578">
        <v>6.3499209999999997E-3</v>
      </c>
      <c r="R6578">
        <v>0.99955079999999996</v>
      </c>
      <c r="S6578">
        <v>0.1307526</v>
      </c>
      <c r="T6578">
        <v>-0.2175812</v>
      </c>
      <c r="U6578">
        <v>3.006653</v>
      </c>
      <c r="V6578">
        <v>-2.1768869999999999E-2</v>
      </c>
      <c r="W6578">
        <v>1.799278E-2</v>
      </c>
      <c r="X6578">
        <v>0.99960110000000002</v>
      </c>
      <c r="Y6578">
        <v>5.085377E-2</v>
      </c>
      <c r="Z6578">
        <v>-7.2094149999999996E-2</v>
      </c>
      <c r="AA6578">
        <v>0.99610049999999895</v>
      </c>
      <c r="AB6578">
        <v>29</v>
      </c>
      <c r="AC6578">
        <v>3.5099999999999902E-2</v>
      </c>
      <c r="AD6578">
        <v>-5.3955000000000197E-2</v>
      </c>
      <c r="AE6578">
        <v>0.44444</v>
      </c>
      <c r="AF6578">
        <v>3.78900092743183E-2</v>
      </c>
      <c r="AG6578">
        <v>-5.3955000000000197E-2</v>
      </c>
      <c r="AH6578">
        <v>0.43775158325849201</v>
      </c>
      <c r="AI6578">
        <v>97.000629113123907</v>
      </c>
      <c r="AJ6578">
        <v>85.053038222235998</v>
      </c>
      <c r="AK6578">
        <v>0.44268865297534399</v>
      </c>
    </row>
    <row r="6579" spans="1:37" x14ac:dyDescent="0.2">
      <c r="A6579" t="str">
        <f>"20200111160034109"</f>
        <v>20200111160034109</v>
      </c>
      <c r="B6579" t="str">
        <f>"1578729634098251"</f>
        <v>1578729634098251</v>
      </c>
      <c r="C6579" t="s">
        <v>37</v>
      </c>
      <c r="D6579">
        <v>5.8536619999999999</v>
      </c>
      <c r="E6579">
        <v>0.52892079999999997</v>
      </c>
      <c r="F6579" t="s">
        <v>38</v>
      </c>
      <c r="G6579">
        <v>-188.9442</v>
      </c>
      <c r="H6579">
        <v>1.0351809999999999</v>
      </c>
      <c r="I6579">
        <v>98.060779999999994</v>
      </c>
      <c r="J6579">
        <v>-188.98859999999999</v>
      </c>
      <c r="K6579">
        <v>1.1042369999999999</v>
      </c>
      <c r="L6579">
        <v>97.398929999999993</v>
      </c>
      <c r="M6579">
        <v>-7.6902539999999997E-3</v>
      </c>
      <c r="N6579">
        <v>0</v>
      </c>
      <c r="O6579">
        <v>0.99990249999999903</v>
      </c>
      <c r="P6579">
        <v>-2.767379E-2</v>
      </c>
      <c r="Q6579">
        <v>6.3489339999999997E-3</v>
      </c>
      <c r="R6579">
        <v>0.99959679999999995</v>
      </c>
      <c r="S6579">
        <v>0.13111879999999901</v>
      </c>
      <c r="T6579">
        <v>-0.21684780000000001</v>
      </c>
      <c r="U6579">
        <v>3.006561</v>
      </c>
      <c r="V6579">
        <v>-1.9990939999999999E-2</v>
      </c>
      <c r="W6579">
        <v>1.799564E-2</v>
      </c>
      <c r="X6579">
        <v>0.99963819999999903</v>
      </c>
      <c r="Y6579">
        <v>5.113902E-2</v>
      </c>
      <c r="Z6579">
        <v>-7.1853739999999999E-2</v>
      </c>
      <c r="AA6579">
        <v>0.99610330000000002</v>
      </c>
      <c r="AB6579">
        <v>29</v>
      </c>
      <c r="AC6579">
        <v>4.4399999999995998E-2</v>
      </c>
      <c r="AD6579">
        <v>-6.9056000000000201E-2</v>
      </c>
      <c r="AE6579">
        <v>0.66185000000000105</v>
      </c>
      <c r="AF6579">
        <v>4.8958236891995202E-2</v>
      </c>
      <c r="AG6579">
        <v>-6.9056000000000201E-2</v>
      </c>
      <c r="AH6579">
        <v>0.65439685648632895</v>
      </c>
      <c r="AI6579">
        <v>96.007245335118</v>
      </c>
      <c r="AJ6579">
        <v>85.721427638788597</v>
      </c>
      <c r="AK6579">
        <v>0.659849138723967</v>
      </c>
    </row>
    <row r="6580" spans="1:37" x14ac:dyDescent="0.2">
      <c r="A6580" t="str">
        <f>"20200111160034130"</f>
        <v>20200111160034130</v>
      </c>
      <c r="B6580" t="str">
        <f>"1578729634127533"</f>
        <v>1578729634127533</v>
      </c>
      <c r="C6580" t="s">
        <v>37</v>
      </c>
      <c r="D6580">
        <v>5.7220329999999997</v>
      </c>
      <c r="E6580">
        <v>0.52861359999999902</v>
      </c>
      <c r="F6580" t="s">
        <v>38</v>
      </c>
      <c r="G6580">
        <v>-188.94730000000001</v>
      </c>
      <c r="H6580">
        <v>1.037304</v>
      </c>
      <c r="I6580">
        <v>98.323920000000001</v>
      </c>
      <c r="J6580">
        <v>-188.99090000000001</v>
      </c>
      <c r="K6580">
        <v>1.1042019999999999</v>
      </c>
      <c r="L6580">
        <v>97.678619999999995</v>
      </c>
      <c r="M6580">
        <v>-7.8120169999999897E-3</v>
      </c>
      <c r="N6580">
        <v>0</v>
      </c>
      <c r="O6580">
        <v>0.999901499999999</v>
      </c>
      <c r="P6580">
        <v>-2.5079770000000001E-2</v>
      </c>
      <c r="Q6580">
        <v>5.6287859999999898E-3</v>
      </c>
      <c r="R6580">
        <v>0.99966959999999905</v>
      </c>
      <c r="S6580">
        <v>0.13391110000000001</v>
      </c>
      <c r="T6580">
        <v>-0.21756599999999901</v>
      </c>
      <c r="U6580">
        <v>3.0063169999999899</v>
      </c>
      <c r="V6580">
        <v>-1.7273150000000001E-2</v>
      </c>
      <c r="W6580">
        <v>1.7279550000000001E-2</v>
      </c>
      <c r="X6580">
        <v>0.99970149999999902</v>
      </c>
      <c r="Y6580">
        <v>5.218677E-2</v>
      </c>
      <c r="Z6580">
        <v>-7.2092790000000004E-2</v>
      </c>
      <c r="AA6580">
        <v>0.99603169999999996</v>
      </c>
      <c r="AB6580">
        <v>29</v>
      </c>
      <c r="AC6580">
        <v>4.35999999999978E-2</v>
      </c>
      <c r="AD6580">
        <v>-6.6898000000000096E-2</v>
      </c>
      <c r="AE6580">
        <v>0.64530000000000598</v>
      </c>
      <c r="AF6580">
        <v>4.8125236530936102E-2</v>
      </c>
      <c r="AG6580">
        <v>-6.6898000000000096E-2</v>
      </c>
      <c r="AH6580">
        <v>0.63811279871558202</v>
      </c>
      <c r="AI6580">
        <v>95.968044523105405</v>
      </c>
      <c r="AJ6580">
        <v>85.6870276820013</v>
      </c>
      <c r="AK6580">
        <v>0.64341225095563104</v>
      </c>
    </row>
    <row r="6581" spans="1:37" x14ac:dyDescent="0.2">
      <c r="A6581" t="str">
        <f>"20200111160034164"</f>
        <v>20200111160034164</v>
      </c>
      <c r="B6581" t="str">
        <f>"1578729634157905"</f>
        <v>1578729634157905</v>
      </c>
      <c r="C6581" t="s">
        <v>37</v>
      </c>
      <c r="D6581">
        <v>5.665864</v>
      </c>
      <c r="E6581">
        <v>0.52834609999999904</v>
      </c>
      <c r="F6581" t="s">
        <v>38</v>
      </c>
      <c r="G6581">
        <v>-188.94880000000001</v>
      </c>
      <c r="H6581">
        <v>1.0371870000000001</v>
      </c>
      <c r="I6581">
        <v>98.586019999999905</v>
      </c>
      <c r="J6581">
        <v>-188.99449999999999</v>
      </c>
      <c r="K6581">
        <v>1.1041479999999999</v>
      </c>
      <c r="L6581">
        <v>98.115780000000001</v>
      </c>
      <c r="M6581">
        <v>-7.9370680000000002E-3</v>
      </c>
      <c r="N6581">
        <v>0</v>
      </c>
      <c r="O6581">
        <v>0.99990049999999997</v>
      </c>
      <c r="P6581">
        <v>-2.0304429999999998E-2</v>
      </c>
      <c r="Q6581">
        <v>3.2771759999999902E-3</v>
      </c>
      <c r="R6581">
        <v>0.99978849999999997</v>
      </c>
      <c r="S6581">
        <v>0.13899229999999901</v>
      </c>
      <c r="T6581">
        <v>-0.2220618</v>
      </c>
      <c r="U6581">
        <v>3.0057070000000001</v>
      </c>
      <c r="V6581">
        <v>-1.2369669999999999E-2</v>
      </c>
      <c r="W6581">
        <v>1.493238E-2</v>
      </c>
      <c r="X6581">
        <v>0.99981200000000003</v>
      </c>
      <c r="Y6581">
        <v>5.3995880000000003E-2</v>
      </c>
      <c r="Z6581">
        <v>-7.3582899999999896E-2</v>
      </c>
      <c r="AA6581">
        <v>0.99582630000000005</v>
      </c>
      <c r="AB6581">
        <v>29</v>
      </c>
      <c r="AC6581">
        <v>4.5699999999982303E-2</v>
      </c>
      <c r="AD6581">
        <v>-6.6960999999999798E-2</v>
      </c>
      <c r="AE6581">
        <v>0.470239999999989</v>
      </c>
      <c r="AF6581">
        <v>4.84577542231392E-2</v>
      </c>
      <c r="AG6581">
        <v>-6.6960999999999798E-2</v>
      </c>
      <c r="AH6581">
        <v>0.46061001336313501</v>
      </c>
      <c r="AI6581">
        <v>98.226634102466804</v>
      </c>
      <c r="AJ6581">
        <v>83.994378602952096</v>
      </c>
      <c r="AK6581">
        <v>0.46796742822095799</v>
      </c>
    </row>
    <row r="6582" spans="1:37" x14ac:dyDescent="0.2">
      <c r="A6582" t="str">
        <f>"20200111160034188"</f>
        <v>20200111160034188</v>
      </c>
      <c r="B6582" t="str">
        <f>"1578729634177423"</f>
        <v>1578729634177423</v>
      </c>
      <c r="C6582" t="s">
        <v>37</v>
      </c>
      <c r="D6582">
        <v>5.7889549999999996</v>
      </c>
      <c r="E6582">
        <v>0.52810279999999998</v>
      </c>
      <c r="F6582" t="s">
        <v>38</v>
      </c>
      <c r="G6582">
        <v>-188.9572</v>
      </c>
      <c r="H6582">
        <v>1.0470299999999999</v>
      </c>
      <c r="I6582">
        <v>98.854419999999905</v>
      </c>
      <c r="J6582">
        <v>-188.99700000000001</v>
      </c>
      <c r="K6582">
        <v>1.10412</v>
      </c>
      <c r="L6582">
        <v>98.421359999999893</v>
      </c>
      <c r="M6582">
        <v>-7.9718419999999998E-3</v>
      </c>
      <c r="N6582">
        <v>0</v>
      </c>
      <c r="O6582">
        <v>0.99990029999999996</v>
      </c>
      <c r="P6582">
        <v>-1.8330929999999999E-2</v>
      </c>
      <c r="Q6582">
        <v>2.3772699999999999E-3</v>
      </c>
      <c r="R6582">
        <v>0.99982919999999997</v>
      </c>
      <c r="S6582">
        <v>0.15124509999999999</v>
      </c>
      <c r="T6582">
        <v>-0.23236180000000001</v>
      </c>
      <c r="U6582">
        <v>3.004486</v>
      </c>
      <c r="V6582">
        <v>-1.0360289999999999E-2</v>
      </c>
      <c r="W6582">
        <v>1.403507E-2</v>
      </c>
      <c r="X6582">
        <v>0.99984779999999995</v>
      </c>
      <c r="Y6582">
        <v>5.8087550000000002E-2</v>
      </c>
      <c r="Z6582">
        <v>-7.6990790000000003E-2</v>
      </c>
      <c r="AA6582">
        <v>0.99533830000000001</v>
      </c>
      <c r="AB6582">
        <v>29</v>
      </c>
      <c r="AC6582">
        <v>3.9800000000013797E-2</v>
      </c>
      <c r="AD6582">
        <v>-5.7090000000000002E-2</v>
      </c>
      <c r="AE6582">
        <v>0.433059999999997</v>
      </c>
      <c r="AF6582">
        <v>4.25185166680647E-2</v>
      </c>
      <c r="AG6582">
        <v>-5.7090000000000002E-2</v>
      </c>
      <c r="AH6582">
        <v>0.42539788181240501</v>
      </c>
      <c r="AI6582">
        <v>97.606187528685098</v>
      </c>
      <c r="AJ6582">
        <v>84.292243517181703</v>
      </c>
      <c r="AK6582">
        <v>0.43131247397928701</v>
      </c>
    </row>
    <row r="6583" spans="1:37" x14ac:dyDescent="0.2">
      <c r="A6583" t="str">
        <f>"20200111160034209"</f>
        <v>20200111160034209</v>
      </c>
      <c r="B6583" t="str">
        <f>"1578729634197922"</f>
        <v>1578729634197922</v>
      </c>
      <c r="C6583" t="s">
        <v>37</v>
      </c>
      <c r="D6583">
        <v>5.8300700000000001</v>
      </c>
      <c r="E6583">
        <v>0.52786149999999998</v>
      </c>
      <c r="F6583" t="s">
        <v>38</v>
      </c>
      <c r="G6583">
        <v>-188.9479</v>
      </c>
      <c r="H6583">
        <v>1.029803</v>
      </c>
      <c r="I6583">
        <v>99.36927</v>
      </c>
      <c r="J6583">
        <v>-188.99930000000001</v>
      </c>
      <c r="K6583">
        <v>1.1041030000000001</v>
      </c>
      <c r="L6583">
        <v>98.706019999999995</v>
      </c>
      <c r="M6583">
        <v>-7.9709059999999998E-3</v>
      </c>
      <c r="N6583">
        <v>0</v>
      </c>
      <c r="O6583">
        <v>0.99990020000000002</v>
      </c>
      <c r="P6583">
        <v>-1.8109779999999999E-2</v>
      </c>
      <c r="Q6583">
        <v>3.3524649999999998E-3</v>
      </c>
      <c r="R6583">
        <v>0.99983040000000001</v>
      </c>
      <c r="S6583">
        <v>0.15531919999999999</v>
      </c>
      <c r="T6583">
        <v>-0.23551169999999999</v>
      </c>
      <c r="U6583">
        <v>3.0039370000000001</v>
      </c>
      <c r="V6583">
        <v>-1.0138930000000001E-2</v>
      </c>
      <c r="W6583">
        <v>1.501153E-2</v>
      </c>
      <c r="X6583">
        <v>0.9998359</v>
      </c>
      <c r="Y6583">
        <v>5.943793E-2</v>
      </c>
      <c r="Z6583">
        <v>-7.8036519999999998E-2</v>
      </c>
      <c r="AA6583">
        <v>0.99517710000000004</v>
      </c>
      <c r="AB6583">
        <v>29</v>
      </c>
      <c r="AC6583">
        <v>5.1400000000000903E-2</v>
      </c>
      <c r="AD6583">
        <v>-7.4300000000000005E-2</v>
      </c>
      <c r="AE6583">
        <v>0.663250000000005</v>
      </c>
      <c r="AF6583">
        <v>5.5987020732303598E-2</v>
      </c>
      <c r="AG6583">
        <v>-7.4300000000000005E-2</v>
      </c>
      <c r="AH6583">
        <v>0.65465273876491203</v>
      </c>
      <c r="AI6583">
        <v>96.451742213863895</v>
      </c>
      <c r="AJ6583">
        <v>85.111861109924305</v>
      </c>
      <c r="AK6583">
        <v>0.66123009978590597</v>
      </c>
    </row>
    <row r="6584" spans="1:37" x14ac:dyDescent="0.2">
      <c r="A6584" t="str">
        <f>"20200111160034231"</f>
        <v>20200111160034231</v>
      </c>
      <c r="B6584" t="str">
        <f>"1578729634228177"</f>
        <v>1578729634228177</v>
      </c>
      <c r="C6584" t="s">
        <v>37</v>
      </c>
      <c r="D6584">
        <v>5.770645</v>
      </c>
      <c r="E6584">
        <v>0.52744389999999997</v>
      </c>
      <c r="F6584" t="s">
        <v>38</v>
      </c>
      <c r="G6584">
        <v>-188.95160000000001</v>
      </c>
      <c r="H6584">
        <v>1.032076</v>
      </c>
      <c r="I6584">
        <v>99.632840000000002</v>
      </c>
      <c r="J6584">
        <v>-189.00149999999999</v>
      </c>
      <c r="K6584">
        <v>1.1040859999999999</v>
      </c>
      <c r="L6584">
        <v>98.989779999999996</v>
      </c>
      <c r="M6584">
        <v>-7.9417910000000001E-3</v>
      </c>
      <c r="N6584">
        <v>0</v>
      </c>
      <c r="O6584">
        <v>0.99990049999999997</v>
      </c>
      <c r="P6584">
        <v>-1.91229999999999E-2</v>
      </c>
      <c r="Q6584">
        <v>5.6565069999999999E-3</v>
      </c>
      <c r="R6584">
        <v>0.99980119999999895</v>
      </c>
      <c r="S6584">
        <v>0.15397639999999899</v>
      </c>
      <c r="T6584">
        <v>-0.23349149999999999</v>
      </c>
      <c r="U6584">
        <v>3.004089</v>
      </c>
      <c r="V6584">
        <v>-1.11807E-2</v>
      </c>
      <c r="W6584">
        <v>1.7316729999999999E-2</v>
      </c>
      <c r="X6584">
        <v>0.99978750000000005</v>
      </c>
      <c r="Y6584">
        <v>5.8965249999999997E-2</v>
      </c>
      <c r="Z6584">
        <v>-7.7369240000000006E-2</v>
      </c>
      <c r="AA6584">
        <v>0.99525730000000001</v>
      </c>
      <c r="AB6584">
        <v>29</v>
      </c>
      <c r="AC6584">
        <v>4.98999999999796E-2</v>
      </c>
      <c r="AD6584">
        <v>-7.2010000000000102E-2</v>
      </c>
      <c r="AE6584">
        <v>0.64305999999999097</v>
      </c>
      <c r="AF6584">
        <v>5.4328641142687498E-2</v>
      </c>
      <c r="AG6584">
        <v>-7.2010000000000102E-2</v>
      </c>
      <c r="AH6584">
        <v>0.63473177098046396</v>
      </c>
      <c r="AI6584">
        <v>96.449122441799702</v>
      </c>
      <c r="AJ6584">
        <v>85.107802091372605</v>
      </c>
      <c r="AK6584">
        <v>0.64110955572382999</v>
      </c>
    </row>
    <row r="6585" spans="1:37" x14ac:dyDescent="0.2">
      <c r="A6585" t="str">
        <f>"20200111160034254"</f>
        <v>20200111160034254</v>
      </c>
      <c r="B6585" t="str">
        <f>"1578729634247696"</f>
        <v>1578729634247696</v>
      </c>
      <c r="C6585" t="s">
        <v>37</v>
      </c>
      <c r="D6585">
        <v>5.808325</v>
      </c>
      <c r="E6585">
        <v>0.52713460000000001</v>
      </c>
      <c r="F6585" t="s">
        <v>38</v>
      </c>
      <c r="G6585">
        <v>-188.95699999999999</v>
      </c>
      <c r="H6585">
        <v>1.0352569999999901</v>
      </c>
      <c r="I6585">
        <v>99.896869999999893</v>
      </c>
      <c r="J6585">
        <v>-189.00389999999999</v>
      </c>
      <c r="K6585">
        <v>1.10406</v>
      </c>
      <c r="L6585">
        <v>99.291780000000003</v>
      </c>
      <c r="M6585">
        <v>-7.8674899999999996E-3</v>
      </c>
      <c r="N6585">
        <v>0</v>
      </c>
      <c r="O6585">
        <v>0.99990109999999999</v>
      </c>
      <c r="P6585">
        <v>-1.995218E-2</v>
      </c>
      <c r="Q6585">
        <v>6.7153279999999996E-3</v>
      </c>
      <c r="R6585">
        <v>0.99977839999999996</v>
      </c>
      <c r="S6585">
        <v>0.14761350000000001</v>
      </c>
      <c r="T6585">
        <v>-0.22799</v>
      </c>
      <c r="U6585">
        <v>3.0047000000000001</v>
      </c>
      <c r="V6585">
        <v>-1.208293E-2</v>
      </c>
      <c r="W6585">
        <v>1.8377049999999999E-2</v>
      </c>
      <c r="X6585">
        <v>0.99975809999999998</v>
      </c>
      <c r="Y6585">
        <v>5.6785139999999998E-2</v>
      </c>
      <c r="Z6585">
        <v>-7.5550450000000005E-2</v>
      </c>
      <c r="AA6585">
        <v>0.99552379999999996</v>
      </c>
      <c r="AB6585">
        <v>29</v>
      </c>
      <c r="AC6585">
        <v>4.6899999999993697E-2</v>
      </c>
      <c r="AD6585">
        <v>-6.88030000000001E-2</v>
      </c>
      <c r="AE6585">
        <v>0.60508999999998903</v>
      </c>
      <c r="AF6585">
        <v>5.1003904904740903E-2</v>
      </c>
      <c r="AG6585">
        <v>-6.88030000000001E-2</v>
      </c>
      <c r="AH6585">
        <v>0.59702919156080103</v>
      </c>
      <c r="AI6585">
        <v>96.550245381731102</v>
      </c>
      <c r="AJ6585">
        <v>85.117105991587707</v>
      </c>
      <c r="AK6585">
        <v>0.60314103383891604</v>
      </c>
    </row>
    <row r="6586" spans="1:37" x14ac:dyDescent="0.2">
      <c r="A6586" t="str">
        <f>"20200111160034276"</f>
        <v>20200111160034276</v>
      </c>
      <c r="B6586" t="str">
        <f>"1578729634268193"</f>
        <v>1578729634268193</v>
      </c>
      <c r="C6586" t="s">
        <v>37</v>
      </c>
      <c r="D6586">
        <v>5.7776629999999898</v>
      </c>
      <c r="E6586">
        <v>0.52687220000000001</v>
      </c>
      <c r="F6586" t="s">
        <v>38</v>
      </c>
      <c r="G6586">
        <v>-188.96260000000001</v>
      </c>
      <c r="H6586">
        <v>1.0387010000000001</v>
      </c>
      <c r="I6586">
        <v>100.16119999999999</v>
      </c>
      <c r="J6586">
        <v>-189.0061</v>
      </c>
      <c r="K6586">
        <v>1.1040209999999999</v>
      </c>
      <c r="L6586">
        <v>99.594210000000004</v>
      </c>
      <c r="M6586">
        <v>-7.7381730000000001E-3</v>
      </c>
      <c r="N6586">
        <v>0</v>
      </c>
      <c r="O6586">
        <v>0.99990210000000002</v>
      </c>
      <c r="P6586">
        <v>-2.048732E-2</v>
      </c>
      <c r="Q6586">
        <v>5.5439119999999998E-3</v>
      </c>
      <c r="R6586">
        <v>0.99977479999999996</v>
      </c>
      <c r="S6586">
        <v>0.1421509</v>
      </c>
      <c r="T6586">
        <v>-0.22594539999999899</v>
      </c>
      <c r="U6586">
        <v>3.0050349999999999</v>
      </c>
      <c r="V6586">
        <v>-1.274583E-2</v>
      </c>
      <c r="W6586">
        <v>1.7207549999999999E-2</v>
      </c>
      <c r="X6586">
        <v>0.99977070000000001</v>
      </c>
      <c r="Y6586">
        <v>5.4847369999999999E-2</v>
      </c>
      <c r="Z6586">
        <v>-7.4875849999999994E-2</v>
      </c>
      <c r="AA6586">
        <v>0.9956834</v>
      </c>
      <c r="AB6586">
        <v>29</v>
      </c>
      <c r="AC6586">
        <v>4.3499999999994501E-2</v>
      </c>
      <c r="AD6586">
        <v>-6.5319999999999795E-2</v>
      </c>
      <c r="AE6586">
        <v>0.566989999999989</v>
      </c>
      <c r="AF6586">
        <v>4.7262852882826598E-2</v>
      </c>
      <c r="AG6586">
        <v>-6.5319999999999795E-2</v>
      </c>
      <c r="AH6586">
        <v>0.55925727172529005</v>
      </c>
      <c r="AI6586">
        <v>96.638384513436506</v>
      </c>
      <c r="AJ6586">
        <v>85.169409656152993</v>
      </c>
      <c r="AK6586">
        <v>0.56503909213455095</v>
      </c>
    </row>
    <row r="6587" spans="1:37" x14ac:dyDescent="0.2">
      <c r="A6587" t="str">
        <f>"20200111160034299"</f>
        <v>20200111160034299</v>
      </c>
      <c r="B6587" t="str">
        <f>"1578729634287726"</f>
        <v>1578729634287726</v>
      </c>
      <c r="C6587" t="s">
        <v>37</v>
      </c>
      <c r="D6587">
        <v>5.5534419999999898</v>
      </c>
      <c r="E6587">
        <v>0.52662180000000003</v>
      </c>
      <c r="F6587" t="s">
        <v>38</v>
      </c>
      <c r="G6587">
        <v>-188.96799999999999</v>
      </c>
      <c r="H6587">
        <v>1.04003</v>
      </c>
      <c r="I6587">
        <v>100.42440000000001</v>
      </c>
      <c r="J6587">
        <v>-189.00819999999999</v>
      </c>
      <c r="K6587">
        <v>1.103974</v>
      </c>
      <c r="L6587">
        <v>99.888279999999995</v>
      </c>
      <c r="M6587">
        <v>-7.5523309999999998E-3</v>
      </c>
      <c r="N6587">
        <v>0</v>
      </c>
      <c r="O6587">
        <v>0.9999034</v>
      </c>
      <c r="P6587">
        <v>-2.1224179999999999E-2</v>
      </c>
      <c r="Q6587">
        <v>4.8938970000000004E-3</v>
      </c>
      <c r="R6587">
        <v>0.99976279999999995</v>
      </c>
      <c r="S6587">
        <v>0.1379852</v>
      </c>
      <c r="T6587">
        <v>-0.23160700000000001</v>
      </c>
      <c r="U6587">
        <v>3.004791</v>
      </c>
      <c r="V6587">
        <v>-1.366702E-2</v>
      </c>
      <c r="W6587">
        <v>1.6560100000000001E-2</v>
      </c>
      <c r="X6587">
        <v>0.99976939999999903</v>
      </c>
      <c r="Y6587">
        <v>5.328165E-2</v>
      </c>
      <c r="Z6587">
        <v>-7.6753180000000004E-2</v>
      </c>
      <c r="AA6587">
        <v>0.99562539999999999</v>
      </c>
      <c r="AB6587">
        <v>29</v>
      </c>
      <c r="AC6587">
        <v>4.0199999999998598E-2</v>
      </c>
      <c r="AD6587">
        <v>-6.3944000000000001E-2</v>
      </c>
      <c r="AE6587">
        <v>0.53611999999999604</v>
      </c>
      <c r="AF6587">
        <v>4.3630872526271902E-2</v>
      </c>
      <c r="AG6587">
        <v>-6.3944000000000001E-2</v>
      </c>
      <c r="AH6587">
        <v>0.52832724688625798</v>
      </c>
      <c r="AI6587">
        <v>96.877814399825596</v>
      </c>
      <c r="AJ6587">
        <v>85.279052865851497</v>
      </c>
      <c r="AK6587">
        <v>0.53396832113508097</v>
      </c>
    </row>
    <row r="6588" spans="1:37" x14ac:dyDescent="0.2">
      <c r="A6588" t="str">
        <f>"20200111160034319"</f>
        <v>20200111160034319</v>
      </c>
      <c r="B6588" t="str">
        <f>"1578729634317969"</f>
        <v>1578729634317969</v>
      </c>
      <c r="C6588" t="s">
        <v>37</v>
      </c>
      <c r="D6588">
        <v>5.7031289999999997</v>
      </c>
      <c r="E6588">
        <v>0.52617199999999997</v>
      </c>
      <c r="F6588" t="s">
        <v>38</v>
      </c>
      <c r="G6588">
        <v>-188.9725</v>
      </c>
      <c r="H6588">
        <v>1.0412600000000001</v>
      </c>
      <c r="I6588">
        <v>100.6878</v>
      </c>
      <c r="J6588">
        <v>-189.01009999999999</v>
      </c>
      <c r="K6588">
        <v>1.1039299999999901</v>
      </c>
      <c r="L6588">
        <v>100.1615</v>
      </c>
      <c r="M6588">
        <v>-7.3225690000000001E-3</v>
      </c>
      <c r="N6588">
        <v>0</v>
      </c>
      <c r="O6588">
        <v>0.99990519999999905</v>
      </c>
      <c r="P6588">
        <v>-2.1518510000000001E-2</v>
      </c>
      <c r="Q6588">
        <v>6.6592889999999997E-3</v>
      </c>
      <c r="R6588">
        <v>0.99974629999999998</v>
      </c>
      <c r="S6588">
        <v>0.13365170000000001</v>
      </c>
      <c r="T6588">
        <v>-0.2357186</v>
      </c>
      <c r="U6588">
        <v>3.0047000000000001</v>
      </c>
      <c r="V6588">
        <v>-1.41885999999999E-2</v>
      </c>
      <c r="W6588">
        <v>1.8327469999999998E-2</v>
      </c>
      <c r="X6588">
        <v>0.99973140000000005</v>
      </c>
      <c r="Y6588">
        <v>5.1615790000000002E-2</v>
      </c>
      <c r="Z6588">
        <v>-7.811601E-2</v>
      </c>
      <c r="AA6588">
        <v>0.99560720000000003</v>
      </c>
      <c r="AB6588">
        <v>29</v>
      </c>
      <c r="AC6588">
        <v>3.7599999999997601E-2</v>
      </c>
      <c r="AD6588">
        <v>-6.2669999999999698E-2</v>
      </c>
      <c r="AE6588">
        <v>0.526299999999992</v>
      </c>
      <c r="AF6588">
        <v>4.0876468272008699E-2</v>
      </c>
      <c r="AG6588">
        <v>-6.2669999999999698E-2</v>
      </c>
      <c r="AH6588">
        <v>0.518693217472595</v>
      </c>
      <c r="AI6588">
        <v>96.868156287037095</v>
      </c>
      <c r="AJ6588">
        <v>85.494024983587494</v>
      </c>
      <c r="AK6588">
        <v>0.52406208449998104</v>
      </c>
    </row>
    <row r="6589" spans="1:37" x14ac:dyDescent="0.2">
      <c r="A6589" t="str">
        <f>"20200111160034343"</f>
        <v>20200111160034343</v>
      </c>
      <c r="B6589" t="str">
        <f>"1578729634337488"</f>
        <v>1578729634337488</v>
      </c>
      <c r="C6589" t="s">
        <v>37</v>
      </c>
      <c r="D6589">
        <v>5.7239370000000003</v>
      </c>
      <c r="E6589">
        <v>0.52591030000000005</v>
      </c>
      <c r="F6589" t="s">
        <v>38</v>
      </c>
      <c r="G6589">
        <v>-188.976</v>
      </c>
      <c r="H6589">
        <v>1.0429899999999901</v>
      </c>
      <c r="I6589">
        <v>100.95140000000001</v>
      </c>
      <c r="J6589">
        <v>-189.0119</v>
      </c>
      <c r="K6589">
        <v>1.103885</v>
      </c>
      <c r="L6589">
        <v>100.4606</v>
      </c>
      <c r="M6589">
        <v>-7.010596E-3</v>
      </c>
      <c r="N6589">
        <v>0</v>
      </c>
      <c r="O6589">
        <v>0.9999074</v>
      </c>
      <c r="P6589">
        <v>-2.0521279999999999E-2</v>
      </c>
      <c r="Q6589">
        <v>9.3154799999999992E-3</v>
      </c>
      <c r="R6589">
        <v>0.99974599999999902</v>
      </c>
      <c r="S6589">
        <v>0.12928770000000001</v>
      </c>
      <c r="T6589">
        <v>-0.23185229999999901</v>
      </c>
      <c r="U6589">
        <v>3.005096</v>
      </c>
      <c r="V6589">
        <v>-1.3499519999999999E-2</v>
      </c>
      <c r="W6589">
        <v>2.0985319999999998E-2</v>
      </c>
      <c r="X6589">
        <v>0.99968860000000004</v>
      </c>
      <c r="Y6589">
        <v>4.9859500000000001E-2</v>
      </c>
      <c r="Z6589">
        <v>-7.6838409999999996E-2</v>
      </c>
      <c r="AA6589">
        <v>0.99579609999999996</v>
      </c>
      <c r="AB6589">
        <v>29</v>
      </c>
      <c r="AC6589">
        <v>3.5899999999998003E-2</v>
      </c>
      <c r="AD6589">
        <v>-6.0895000000000102E-2</v>
      </c>
      <c r="AE6589">
        <v>0.49080000000000701</v>
      </c>
      <c r="AF6589">
        <v>3.8746853832268502E-2</v>
      </c>
      <c r="AG6589">
        <v>-6.0895000000000102E-2</v>
      </c>
      <c r="AH6589">
        <v>0.48313834323827098</v>
      </c>
      <c r="AI6589">
        <v>97.160956042712598</v>
      </c>
      <c r="AJ6589">
        <v>85.414791769900603</v>
      </c>
      <c r="AK6589">
        <v>0.48849992672867398</v>
      </c>
    </row>
    <row r="6590" spans="1:37" x14ac:dyDescent="0.2">
      <c r="A6590" t="str">
        <f>"20200111160034366"</f>
        <v>20200111160034366</v>
      </c>
      <c r="B6590" t="str">
        <f>"1578729634357984"</f>
        <v>1578729634357984</v>
      </c>
      <c r="C6590" t="s">
        <v>37</v>
      </c>
      <c r="D6590">
        <v>5.7068029999999998</v>
      </c>
      <c r="E6590">
        <v>0.52569529999999998</v>
      </c>
      <c r="F6590" t="s">
        <v>38</v>
      </c>
      <c r="G6590">
        <v>-188.97900000000001</v>
      </c>
      <c r="H6590">
        <v>1.0471809999999999</v>
      </c>
      <c r="I6590">
        <v>101.2179</v>
      </c>
      <c r="J6590">
        <v>-189.0137</v>
      </c>
      <c r="K6590">
        <v>1.103847</v>
      </c>
      <c r="L6590">
        <v>100.76799999999901</v>
      </c>
      <c r="M6590">
        <v>-6.6292950000000003E-3</v>
      </c>
      <c r="N6590">
        <v>0</v>
      </c>
      <c r="O6590">
        <v>0.99990999999999997</v>
      </c>
      <c r="P6590">
        <v>-1.891907E-2</v>
      </c>
      <c r="Q6590">
        <v>1.095375E-2</v>
      </c>
      <c r="R6590">
        <v>0.99976100000000001</v>
      </c>
      <c r="S6590">
        <v>0.12997439999999999</v>
      </c>
      <c r="T6590">
        <v>-0.22508349999999999</v>
      </c>
      <c r="U6590">
        <v>3.0055239999999999</v>
      </c>
      <c r="V6590">
        <v>-1.227493E-2</v>
      </c>
      <c r="W6590">
        <v>2.2624769999999999E-2</v>
      </c>
      <c r="X6590">
        <v>0.99966869999999997</v>
      </c>
      <c r="Y6590">
        <v>4.9707000000000001E-2</v>
      </c>
      <c r="Z6590">
        <v>-7.459752E-2</v>
      </c>
      <c r="AA6590">
        <v>0.99597409999999997</v>
      </c>
      <c r="AB6590">
        <v>29</v>
      </c>
      <c r="AC6590">
        <v>3.4699999999986603E-2</v>
      </c>
      <c r="AD6590">
        <v>-5.6666000000000098E-2</v>
      </c>
      <c r="AE6590">
        <v>0.44990000000001301</v>
      </c>
      <c r="AF6590">
        <v>3.7096933961793498E-2</v>
      </c>
      <c r="AG6590">
        <v>-5.6666000000000098E-2</v>
      </c>
      <c r="AH6590">
        <v>0.44267892415374299</v>
      </c>
      <c r="AI6590">
        <v>97.269384401936506</v>
      </c>
      <c r="AJ6590">
        <v>85.209749139386005</v>
      </c>
      <c r="AK6590">
        <v>0.44783015525451297</v>
      </c>
    </row>
    <row r="6591" spans="1:37" x14ac:dyDescent="0.2">
      <c r="A6591" t="str">
        <f>"20200111160034389"</f>
        <v>20200111160034389</v>
      </c>
      <c r="B6591" t="str">
        <f>"1578729634377503"</f>
        <v>1578729634377503</v>
      </c>
      <c r="C6591" t="s">
        <v>37</v>
      </c>
      <c r="D6591">
        <v>5.6660709999999996</v>
      </c>
      <c r="E6591">
        <v>0.5254337</v>
      </c>
      <c r="F6591" t="s">
        <v>38</v>
      </c>
      <c r="G6591">
        <v>-188.9708</v>
      </c>
      <c r="H6591">
        <v>1.032681</v>
      </c>
      <c r="I6591">
        <v>101.7353</v>
      </c>
      <c r="J6591">
        <v>-189.01519999999999</v>
      </c>
      <c r="K6591">
        <v>1.1038190000000001</v>
      </c>
      <c r="L6591">
        <v>101.0582</v>
      </c>
      <c r="M6591">
        <v>-6.2258779999999998E-3</v>
      </c>
      <c r="N6591">
        <v>0</v>
      </c>
      <c r="O6591">
        <v>0.99991260000000004</v>
      </c>
      <c r="P6591">
        <v>-1.7662629999999999E-2</v>
      </c>
      <c r="Q6591">
        <v>1.1439939999999999E-2</v>
      </c>
      <c r="R6591">
        <v>0.99977859999999996</v>
      </c>
      <c r="S6591">
        <v>0.13276669999999999</v>
      </c>
      <c r="T6591">
        <v>-0.22117390000000001</v>
      </c>
      <c r="U6591">
        <v>3.005646</v>
      </c>
      <c r="V6591">
        <v>-1.141964E-2</v>
      </c>
      <c r="W6591">
        <v>2.3111969999999999E-2</v>
      </c>
      <c r="X6591">
        <v>0.99966759999999999</v>
      </c>
      <c r="Y6591">
        <v>5.023006E-2</v>
      </c>
      <c r="Z6591">
        <v>-7.3303709999999994E-2</v>
      </c>
      <c r="AA6591">
        <v>0.99604389999999998</v>
      </c>
      <c r="AB6591">
        <v>29</v>
      </c>
      <c r="AC6591">
        <v>4.4399999999995998E-2</v>
      </c>
      <c r="AD6591">
        <v>-7.1138000000000104E-2</v>
      </c>
      <c r="AE6591">
        <v>0.67709999999999504</v>
      </c>
      <c r="AF6591">
        <v>4.80864535058734E-2</v>
      </c>
      <c r="AG6591">
        <v>-7.1138000000000104E-2</v>
      </c>
      <c r="AH6591">
        <v>0.66945252504044905</v>
      </c>
      <c r="AI6591">
        <v>96.050184362552997</v>
      </c>
      <c r="AJ6591">
        <v>85.891527826624994</v>
      </c>
      <c r="AK6591">
        <v>0.67493674173051599</v>
      </c>
    </row>
    <row r="6592" spans="1:37" x14ac:dyDescent="0.2">
      <c r="A6592" t="str">
        <f>"20200111160034410"</f>
        <v>20200111160034410</v>
      </c>
      <c r="B6592" t="str">
        <f>"1578729634407760"</f>
        <v>1578729634407760</v>
      </c>
      <c r="C6592" t="s">
        <v>37</v>
      </c>
      <c r="D6592">
        <v>5.6670860000000003</v>
      </c>
      <c r="E6592">
        <v>0.52505419999999903</v>
      </c>
      <c r="F6592" t="s">
        <v>38</v>
      </c>
      <c r="G6592">
        <v>-188.97299999999899</v>
      </c>
      <c r="H6592">
        <v>1.0347299999999999</v>
      </c>
      <c r="I6592">
        <v>101.99939999999999</v>
      </c>
      <c r="J6592">
        <v>-189.01650000000001</v>
      </c>
      <c r="K6592">
        <v>1.103796</v>
      </c>
      <c r="L6592">
        <v>101.35169999999999</v>
      </c>
      <c r="M6592">
        <v>-5.7927959999999898E-3</v>
      </c>
      <c r="N6592">
        <v>0</v>
      </c>
      <c r="O6592">
        <v>0.9999152</v>
      </c>
      <c r="P6592">
        <v>-1.620272E-2</v>
      </c>
      <c r="Q6592">
        <v>1.17655E-2</v>
      </c>
      <c r="R6592">
        <v>0.99979949999999995</v>
      </c>
      <c r="S6592">
        <v>0.134491</v>
      </c>
      <c r="T6592">
        <v>-0.2206254</v>
      </c>
      <c r="U6592">
        <v>3.0055540000000001</v>
      </c>
      <c r="V6592">
        <v>-1.0391360000000001E-2</v>
      </c>
      <c r="W6592">
        <v>2.3438520000000001E-2</v>
      </c>
      <c r="X6592">
        <v>0.99967129999999904</v>
      </c>
      <c r="Y6592">
        <v>5.036972E-2</v>
      </c>
      <c r="Z6592">
        <v>-7.3124229999999998E-2</v>
      </c>
      <c r="AA6592">
        <v>0.99605010000000005</v>
      </c>
      <c r="AB6592">
        <v>29</v>
      </c>
      <c r="AC6592">
        <v>4.3500000000022902E-2</v>
      </c>
      <c r="AD6592">
        <v>-6.9066000000000002E-2</v>
      </c>
      <c r="AE6592">
        <v>0.64770000000000005</v>
      </c>
      <c r="AF6592">
        <v>4.6722643419047298E-2</v>
      </c>
      <c r="AG6592">
        <v>-6.9066000000000002E-2</v>
      </c>
      <c r="AH6592">
        <v>0.64019050659252597</v>
      </c>
      <c r="AI6592">
        <v>96.141246587963707</v>
      </c>
      <c r="AJ6592">
        <v>85.825816831593897</v>
      </c>
      <c r="AK6592">
        <v>0.64559817417280396</v>
      </c>
    </row>
    <row r="6593" spans="1:37" x14ac:dyDescent="0.2">
      <c r="A6593" t="str">
        <f>"20200111160034433"</f>
        <v>20200111160034433</v>
      </c>
      <c r="B6593" t="str">
        <f>"1578729634428256"</f>
        <v>1578729634428256</v>
      </c>
      <c r="C6593" t="s">
        <v>37</v>
      </c>
      <c r="D6593">
        <v>5.621651</v>
      </c>
      <c r="E6593">
        <v>0.52485269999999995</v>
      </c>
      <c r="F6593" t="s">
        <v>38</v>
      </c>
      <c r="G6593">
        <v>-188.9752</v>
      </c>
      <c r="H6593">
        <v>1.036745</v>
      </c>
      <c r="I6593">
        <v>102.26349999999999</v>
      </c>
      <c r="J6593">
        <v>-189.01779999999999</v>
      </c>
      <c r="K6593">
        <v>1.1037870000000001</v>
      </c>
      <c r="L6593">
        <v>101.64230000000001</v>
      </c>
      <c r="M6593">
        <v>-5.3517199999999999E-3</v>
      </c>
      <c r="N6593">
        <v>0</v>
      </c>
      <c r="O6593">
        <v>0.99991759999999996</v>
      </c>
      <c r="P6593">
        <v>-1.6117039999999999E-2</v>
      </c>
      <c r="Q6593">
        <v>1.1051419999999999E-2</v>
      </c>
      <c r="R6593">
        <v>0.99980899999999995</v>
      </c>
      <c r="S6593">
        <v>0.1356049</v>
      </c>
      <c r="T6593">
        <v>-0.22103249999999999</v>
      </c>
      <c r="U6593">
        <v>3.0054020000000001</v>
      </c>
      <c r="V6593">
        <v>-1.0746179999999999E-2</v>
      </c>
      <c r="W6593">
        <v>2.272536E-2</v>
      </c>
      <c r="X6593">
        <v>0.99968400000000002</v>
      </c>
      <c r="Y6593">
        <v>5.0299379999999998E-2</v>
      </c>
      <c r="Z6593">
        <v>-7.326191E-2</v>
      </c>
      <c r="AA6593">
        <v>0.99604349999999997</v>
      </c>
      <c r="AB6593">
        <v>29</v>
      </c>
      <c r="AC6593">
        <v>4.2599999999992998E-2</v>
      </c>
      <c r="AD6593">
        <v>-6.7042000000000004E-2</v>
      </c>
      <c r="AE6593">
        <v>0.62119999999998698</v>
      </c>
      <c r="AF6593">
        <v>4.5397810776854897E-2</v>
      </c>
      <c r="AG6593">
        <v>-6.7042000000000004E-2</v>
      </c>
      <c r="AH6593">
        <v>0.61384681753401005</v>
      </c>
      <c r="AI6593">
        <v>96.216078745370396</v>
      </c>
      <c r="AJ6593">
        <v>85.7703190490803</v>
      </c>
      <c r="AK6593">
        <v>0.61916355382399801</v>
      </c>
    </row>
    <row r="6594" spans="1:37" x14ac:dyDescent="0.2">
      <c r="A6594" t="str">
        <f>"20200111160037176"</f>
        <v>20200111160037176</v>
      </c>
      <c r="B6594" t="str">
        <f>"1578729637167686"</f>
        <v>1578729637167686</v>
      </c>
      <c r="C6594" t="s">
        <v>37</v>
      </c>
      <c r="D6594">
        <v>5.8811450000000001</v>
      </c>
      <c r="E6594">
        <v>0.58174609999999904</v>
      </c>
      <c r="F6594" t="s">
        <v>39</v>
      </c>
      <c r="G6594">
        <v>-167.1574</v>
      </c>
      <c r="H6594" s="1">
        <v>-2.2710759999999999E-6</v>
      </c>
      <c r="I6594">
        <v>135.1241</v>
      </c>
      <c r="J6594">
        <v>-176.94450000000001</v>
      </c>
      <c r="K6594">
        <v>1.0924659999999999</v>
      </c>
      <c r="L6594">
        <v>134.30260000000001</v>
      </c>
      <c r="M6594">
        <v>0.89191509999999996</v>
      </c>
      <c r="N6594">
        <v>0</v>
      </c>
      <c r="O6594">
        <v>0.45191160000000002</v>
      </c>
      <c r="P6594">
        <v>0.95623539999999996</v>
      </c>
      <c r="Q6594">
        <v>-3.0559929999999999E-2</v>
      </c>
      <c r="R6594">
        <v>0.2909987</v>
      </c>
      <c r="S6594">
        <v>3.0512700000000001</v>
      </c>
      <c r="T6594">
        <v>-0.33170679999999902</v>
      </c>
      <c r="U6594">
        <v>0.28562929999999997</v>
      </c>
      <c r="V6594">
        <v>0.17211879999999999</v>
      </c>
      <c r="W6594">
        <v>-1.9545590000000002E-2</v>
      </c>
      <c r="X6594">
        <v>0.98488229999999999</v>
      </c>
      <c r="Y6594">
        <v>0.36230839999999997</v>
      </c>
      <c r="Z6594">
        <v>-6.682515E-2</v>
      </c>
      <c r="AA6594">
        <v>0.92965969999999998</v>
      </c>
      <c r="AB6594">
        <v>28</v>
      </c>
      <c r="AC6594">
        <v>9.7871000000000095</v>
      </c>
      <c r="AD6594">
        <v>-1.0924682710760001</v>
      </c>
      <c r="AE6594">
        <v>0.82149999999998602</v>
      </c>
      <c r="AF6594">
        <v>3.6455765698896498</v>
      </c>
      <c r="AG6594">
        <v>-1.0924682710760001</v>
      </c>
      <c r="AH6594">
        <v>8.9904708546984899</v>
      </c>
      <c r="AI6594">
        <v>96.424917931440106</v>
      </c>
      <c r="AJ6594">
        <v>67.927770646357104</v>
      </c>
      <c r="AK6594">
        <v>9.7628009115939296</v>
      </c>
    </row>
    <row r="6595" spans="1:37" x14ac:dyDescent="0.2">
      <c r="A6595" t="str">
        <f>"20200111160037198"</f>
        <v>20200111160037198</v>
      </c>
      <c r="B6595" t="str">
        <f>"1578729637188180"</f>
        <v>1578729637188180</v>
      </c>
      <c r="C6595" t="s">
        <v>37</v>
      </c>
      <c r="D6595">
        <v>5.9472269999999998</v>
      </c>
      <c r="E6595">
        <v>0.57760549999999999</v>
      </c>
      <c r="F6595" t="s">
        <v>39</v>
      </c>
      <c r="G6595">
        <v>-166.79730000000001</v>
      </c>
      <c r="H6595" s="1">
        <v>-2.3999009999999999E-6</v>
      </c>
      <c r="I6595">
        <v>135.15960000000001</v>
      </c>
      <c r="J6595">
        <v>-176.69239999999999</v>
      </c>
      <c r="K6595">
        <v>1.0924929999999999</v>
      </c>
      <c r="L6595">
        <v>134.4126</v>
      </c>
      <c r="M6595">
        <v>0.89871959999999995</v>
      </c>
      <c r="N6595">
        <v>0</v>
      </c>
      <c r="O6595">
        <v>0.43822359999999999</v>
      </c>
      <c r="P6595">
        <v>0.96107450000000005</v>
      </c>
      <c r="Q6595">
        <v>-2.9295760000000001E-2</v>
      </c>
      <c r="R6595">
        <v>0.27473209999999998</v>
      </c>
      <c r="S6595">
        <v>3.0484619999999998</v>
      </c>
      <c r="T6595">
        <v>-0.32820630000000001</v>
      </c>
      <c r="U6595">
        <v>0.25746149999999901</v>
      </c>
      <c r="V6595">
        <v>0.17382590000000001</v>
      </c>
      <c r="W6595">
        <v>-1.832729E-2</v>
      </c>
      <c r="X6595">
        <v>0.98460579999999998</v>
      </c>
      <c r="Y6595">
        <v>0.3566974</v>
      </c>
      <c r="Z6595">
        <v>-6.4612240000000001E-2</v>
      </c>
      <c r="AA6595">
        <v>0.93198300000000001</v>
      </c>
      <c r="AB6595">
        <v>28</v>
      </c>
      <c r="AC6595">
        <v>9.8950999999999798</v>
      </c>
      <c r="AD6595">
        <v>-1.0924953999009901</v>
      </c>
      <c r="AE6595">
        <v>0.74700000000001399</v>
      </c>
      <c r="AF6595">
        <v>3.62150957627171</v>
      </c>
      <c r="AG6595">
        <v>-1.0924953999009901</v>
      </c>
      <c r="AH6595">
        <v>9.1110536296442408</v>
      </c>
      <c r="AI6595">
        <v>96.358175804506004</v>
      </c>
      <c r="AJ6595">
        <v>68.322908155265594</v>
      </c>
      <c r="AK6595">
        <v>9.8650988870911007</v>
      </c>
    </row>
    <row r="6596" spans="1:37" x14ac:dyDescent="0.2">
      <c r="A6596" t="str">
        <f>"20200111160037244"</f>
        <v>20200111160037244</v>
      </c>
      <c r="B6596" t="str">
        <f>"1578729637237956"</f>
        <v>1578729637237956</v>
      </c>
      <c r="C6596" t="s">
        <v>37</v>
      </c>
      <c r="D6596">
        <v>6.0400470000000004</v>
      </c>
      <c r="E6596">
        <v>0.57328829999999997</v>
      </c>
      <c r="F6596" t="s">
        <v>39</v>
      </c>
      <c r="G6596">
        <v>-166.5384</v>
      </c>
      <c r="H6596" s="1">
        <v>-2.4870660000000002E-6</v>
      </c>
      <c r="I6596">
        <v>135.20570000000001</v>
      </c>
      <c r="J6596">
        <v>-176.16030000000001</v>
      </c>
      <c r="K6596">
        <v>1.0925530000000001</v>
      </c>
      <c r="L6596">
        <v>134.62989999999999</v>
      </c>
      <c r="M6596">
        <v>0.91228770000000003</v>
      </c>
      <c r="N6596">
        <v>0</v>
      </c>
      <c r="O6596">
        <v>0.40922839999999999</v>
      </c>
      <c r="P6596">
        <v>0.9699295</v>
      </c>
      <c r="Q6596">
        <v>-2.6328710000000002E-2</v>
      </c>
      <c r="R6596">
        <v>0.24195800000000001</v>
      </c>
      <c r="S6596">
        <v>3.0435639999999999</v>
      </c>
      <c r="T6596">
        <v>-0.32746540000000002</v>
      </c>
      <c r="U6596">
        <v>0.23774719999999999</v>
      </c>
      <c r="V6596">
        <v>0.1758412</v>
      </c>
      <c r="W6596">
        <v>-1.540511E-2</v>
      </c>
      <c r="X6596">
        <v>0.98429800000000001</v>
      </c>
      <c r="Y6596">
        <v>0.33286709999999903</v>
      </c>
      <c r="Z6596">
        <v>-6.0492110000000002E-2</v>
      </c>
      <c r="AA6596">
        <v>0.94103150000000002</v>
      </c>
      <c r="AB6596">
        <v>28</v>
      </c>
      <c r="AC6596">
        <v>9.6219000000000001</v>
      </c>
      <c r="AD6596">
        <v>-1.0925554870659999</v>
      </c>
      <c r="AE6596">
        <v>0.57580000000001497</v>
      </c>
      <c r="AF6596">
        <v>3.3694206891715299</v>
      </c>
      <c r="AG6596">
        <v>-1.0925554870659999</v>
      </c>
      <c r="AH6596">
        <v>8.9004149097335592</v>
      </c>
      <c r="AI6596">
        <v>96.549013862923402</v>
      </c>
      <c r="AJ6596">
        <v>69.264890485088301</v>
      </c>
      <c r="AK6596">
        <v>9.5793558676114898</v>
      </c>
    </row>
    <row r="6597" spans="1:37" x14ac:dyDescent="0.2">
      <c r="A6597" t="str">
        <f>"20200111160037267"</f>
        <v>20200111160037267</v>
      </c>
      <c r="B6597" t="str">
        <f>"1578729637258451"</f>
        <v>1578729637258451</v>
      </c>
      <c r="C6597" t="s">
        <v>37</v>
      </c>
      <c r="D6597">
        <v>6.0465460000000002</v>
      </c>
      <c r="E6597">
        <v>0.56978739999999894</v>
      </c>
      <c r="F6597" t="s">
        <v>39</v>
      </c>
      <c r="G6597">
        <v>-166.1302</v>
      </c>
      <c r="H6597" s="1">
        <v>-2.6493349999999899E-6</v>
      </c>
      <c r="I6597">
        <v>135.1849</v>
      </c>
      <c r="J6597">
        <v>-175.89699999999999</v>
      </c>
      <c r="K6597">
        <v>1.0925929999999999</v>
      </c>
      <c r="L6597">
        <v>134.72989999999999</v>
      </c>
      <c r="M6597">
        <v>0.91860599999999903</v>
      </c>
      <c r="N6597">
        <v>0</v>
      </c>
      <c r="O6597">
        <v>0.3948412</v>
      </c>
      <c r="P6597">
        <v>0.97360930000000001</v>
      </c>
      <c r="Q6597">
        <v>-2.4672179999999998E-2</v>
      </c>
      <c r="R6597">
        <v>0.226883799999999</v>
      </c>
      <c r="S6597">
        <v>3.0420379999999998</v>
      </c>
      <c r="T6597">
        <v>-0.33136309999999902</v>
      </c>
      <c r="U6597">
        <v>0.16835020000000001</v>
      </c>
      <c r="V6597">
        <v>0.17570639999999901</v>
      </c>
      <c r="W6597">
        <v>-1.373454E-2</v>
      </c>
      <c r="X6597">
        <v>0.98434679999999997</v>
      </c>
      <c r="Y6597">
        <v>0.33931659999999902</v>
      </c>
      <c r="Z6597">
        <v>-6.0241740000000002E-2</v>
      </c>
      <c r="AA6597">
        <v>0.9387413</v>
      </c>
      <c r="AB6597">
        <v>28</v>
      </c>
      <c r="AC6597">
        <v>9.7668000000000106</v>
      </c>
      <c r="AD6597">
        <v>-1.092595649335</v>
      </c>
      <c r="AE6597">
        <v>0.45500000000001201</v>
      </c>
      <c r="AF6597">
        <v>3.3964098930704001</v>
      </c>
      <c r="AG6597">
        <v>-1.092595649335</v>
      </c>
      <c r="AH6597">
        <v>9.0398155166724905</v>
      </c>
      <c r="AI6597">
        <v>96.455140657689597</v>
      </c>
      <c r="AJ6597">
        <v>69.407960726757594</v>
      </c>
      <c r="AK6597">
        <v>9.7184170516687107</v>
      </c>
    </row>
    <row r="6598" spans="1:37" x14ac:dyDescent="0.2">
      <c r="A6598" t="str">
        <f>"20200111160037534"</f>
        <v>20200111160037534</v>
      </c>
      <c r="B6598" t="str">
        <f>"1578729637527827"</f>
        <v>1578729637527827</v>
      </c>
      <c r="C6598" t="s">
        <v>37</v>
      </c>
      <c r="D6598">
        <v>6.0668680000000004</v>
      </c>
      <c r="E6598">
        <v>0.56697549999999997</v>
      </c>
      <c r="F6598" t="s">
        <v>39</v>
      </c>
      <c r="G6598">
        <v>-165.98259999999999</v>
      </c>
      <c r="H6598" s="1">
        <v>-2.69790399999999E-6</v>
      </c>
      <c r="I6598">
        <v>135.21549999999999</v>
      </c>
      <c r="J6598">
        <v>-172.68430000000001</v>
      </c>
      <c r="K6598">
        <v>1.092883</v>
      </c>
      <c r="L6598">
        <v>135.58860000000001</v>
      </c>
      <c r="M6598">
        <v>0.97596419999999995</v>
      </c>
      <c r="N6598">
        <v>0</v>
      </c>
      <c r="O6598">
        <v>0.21732989999999999</v>
      </c>
      <c r="P6598">
        <v>0.9966933</v>
      </c>
      <c r="Q6598">
        <v>-2.4043749999999999E-2</v>
      </c>
      <c r="R6598">
        <v>7.7616420000000005E-2</v>
      </c>
      <c r="S6598">
        <v>3.0381469999999999</v>
      </c>
      <c r="T6598">
        <v>-0.33481100000000003</v>
      </c>
      <c r="U6598">
        <v>0.14881900000000001</v>
      </c>
      <c r="V6598">
        <v>0.14060039999999999</v>
      </c>
      <c r="W6598">
        <v>-1.195478E-2</v>
      </c>
      <c r="X6598">
        <v>0.98999419999999905</v>
      </c>
      <c r="Y6598">
        <v>0.16704340000000001</v>
      </c>
      <c r="Z6598">
        <v>-3.2861639999999998E-2</v>
      </c>
      <c r="AA6598">
        <v>0.98540169999999905</v>
      </c>
      <c r="AB6598">
        <v>27</v>
      </c>
      <c r="AC6598">
        <v>6.7017000000000104</v>
      </c>
      <c r="AD6598">
        <v>-1.092885697904</v>
      </c>
      <c r="AE6598">
        <v>-0.37310000000002203</v>
      </c>
      <c r="AF6598">
        <v>1.77382335976966</v>
      </c>
      <c r="AG6598">
        <v>-1.092885697904</v>
      </c>
      <c r="AH6598">
        <v>6.29352722648213</v>
      </c>
      <c r="AI6598">
        <v>99.488733450346203</v>
      </c>
      <c r="AJ6598">
        <v>74.259571140017599</v>
      </c>
      <c r="AK6598">
        <v>6.6294293427729896</v>
      </c>
    </row>
    <row r="6599" spans="1:37" x14ac:dyDescent="0.2">
      <c r="A6599" t="str">
        <f>"20200111160037556"</f>
        <v>20200111160037556</v>
      </c>
      <c r="B6599" t="str">
        <f>"1578729637548323"</f>
        <v>1578729637548323</v>
      </c>
      <c r="C6599" t="s">
        <v>37</v>
      </c>
      <c r="D6599">
        <v>6.0243539999999998</v>
      </c>
      <c r="E6599">
        <v>0.53219839999999996</v>
      </c>
      <c r="F6599" t="s">
        <v>39</v>
      </c>
      <c r="G6599">
        <v>-162.92930000000001</v>
      </c>
      <c r="H6599" s="1">
        <v>-4.2019709999999996E-6</v>
      </c>
      <c r="I6599">
        <v>134.6602</v>
      </c>
      <c r="J6599">
        <v>-172.41489999999999</v>
      </c>
      <c r="K6599">
        <v>1.0928990000000001</v>
      </c>
      <c r="L6599">
        <v>135.6319</v>
      </c>
      <c r="M6599">
        <v>0.97920069999999904</v>
      </c>
      <c r="N6599">
        <v>0</v>
      </c>
      <c r="O6599">
        <v>0.2022487</v>
      </c>
      <c r="P6599">
        <v>0.99730719999999995</v>
      </c>
      <c r="Q6599">
        <v>-2.6322000000000002E-2</v>
      </c>
      <c r="R6599">
        <v>6.8452239999999998E-2</v>
      </c>
      <c r="S6599">
        <v>3.0241849999999899</v>
      </c>
      <c r="T6599">
        <v>-0.33880959999999899</v>
      </c>
      <c r="U6599">
        <v>-0.28784179999999998</v>
      </c>
      <c r="V6599">
        <v>0.134354799999999</v>
      </c>
      <c r="W6599">
        <v>-1.4042529999999999E-2</v>
      </c>
      <c r="X6599">
        <v>0.99083379999999999</v>
      </c>
      <c r="Y6599">
        <v>0.29109740000000001</v>
      </c>
      <c r="Z6599">
        <v>-3.8695729999999998E-2</v>
      </c>
      <c r="AA6599">
        <v>0.9559105</v>
      </c>
      <c r="AB6599">
        <v>27</v>
      </c>
      <c r="AC6599">
        <v>9.4855999999999696</v>
      </c>
      <c r="AD6599">
        <v>-1.0929032019710001</v>
      </c>
      <c r="AE6599">
        <v>-0.97169999999999801</v>
      </c>
      <c r="AF6599">
        <v>2.8330961201591598</v>
      </c>
      <c r="AG6599">
        <v>-1.0929032019710001</v>
      </c>
      <c r="AH6599">
        <v>8.9750633964498796</v>
      </c>
      <c r="AI6599">
        <v>96.623692126916794</v>
      </c>
      <c r="AJ6599">
        <v>72.481017202325802</v>
      </c>
      <c r="AK6599">
        <v>9.4748421625499297</v>
      </c>
    </row>
    <row r="6600" spans="1:37" x14ac:dyDescent="0.2">
      <c r="A6600" t="str">
        <f>"20200111160037578"</f>
        <v>20200111160037578</v>
      </c>
      <c r="B6600" t="str">
        <f>"1578729637567843"</f>
        <v>1578729637567843</v>
      </c>
      <c r="C6600" t="s">
        <v>37</v>
      </c>
      <c r="D6600">
        <v>5.992299</v>
      </c>
      <c r="E6600">
        <v>0.52941439999999995</v>
      </c>
      <c r="F6600" t="s">
        <v>38</v>
      </c>
      <c r="G6600">
        <v>-171.56739999999999</v>
      </c>
      <c r="H6600">
        <v>1.0150589999999999</v>
      </c>
      <c r="I6600">
        <v>135.62010000000001</v>
      </c>
      <c r="J6600">
        <v>-172.1465</v>
      </c>
      <c r="K6600">
        <v>1.0929489999999999</v>
      </c>
      <c r="L6600">
        <v>135.67070000000001</v>
      </c>
      <c r="M6600">
        <v>0.98218530000000004</v>
      </c>
      <c r="N6600">
        <v>0</v>
      </c>
      <c r="O6600">
        <v>0.18721889999999999</v>
      </c>
      <c r="P6600">
        <v>0.99784249999999997</v>
      </c>
      <c r="Q6600">
        <v>-2.529677E-2</v>
      </c>
      <c r="R6600">
        <v>6.0584260000000001E-2</v>
      </c>
      <c r="S6600">
        <v>3.0036770000000002</v>
      </c>
      <c r="T6600">
        <v>-0.27576430000000002</v>
      </c>
      <c r="U6600">
        <v>-4.1549679999999999E-2</v>
      </c>
      <c r="V6600">
        <v>0.1270211</v>
      </c>
      <c r="W6600">
        <v>-1.2792090000000001E-2</v>
      </c>
      <c r="X6600">
        <v>0.99181749999999902</v>
      </c>
      <c r="Y6600">
        <v>0.1991935</v>
      </c>
      <c r="Z6600">
        <v>-2.620683E-2</v>
      </c>
      <c r="AA6600">
        <v>0.97960970000000003</v>
      </c>
      <c r="AB6600">
        <v>27</v>
      </c>
      <c r="AC6600">
        <v>0.57910000000001005</v>
      </c>
      <c r="AD6600">
        <v>-7.7890000000000001E-2</v>
      </c>
      <c r="AE6600">
        <v>-5.0600000000002802E-2</v>
      </c>
      <c r="AF6600">
        <v>0.15534861183667401</v>
      </c>
      <c r="AG6600">
        <v>-7.7890000000000001E-2</v>
      </c>
      <c r="AH6600">
        <v>0.54951741641428897</v>
      </c>
      <c r="AI6600">
        <v>97.767038587417801</v>
      </c>
      <c r="AJ6600">
        <v>74.214398676831806</v>
      </c>
      <c r="AK6600">
        <v>0.57634142159159096</v>
      </c>
    </row>
    <row r="6601" spans="1:37" x14ac:dyDescent="0.2">
      <c r="A6601" t="str">
        <f>"20200111160037601"</f>
        <v>20200111160037601</v>
      </c>
      <c r="B6601" t="str">
        <f>"1578729637598099"</f>
        <v>1578729637598099</v>
      </c>
      <c r="C6601" t="s">
        <v>37</v>
      </c>
      <c r="D6601">
        <v>6.0724359999999997</v>
      </c>
      <c r="E6601">
        <v>0.52789719999999996</v>
      </c>
      <c r="F6601" t="s">
        <v>38</v>
      </c>
      <c r="G6601">
        <v>-171.32730000000001</v>
      </c>
      <c r="H6601">
        <v>1.0189629999999901</v>
      </c>
      <c r="I6601">
        <v>135.65889999999999</v>
      </c>
      <c r="J6601">
        <v>-171.87029999999999</v>
      </c>
      <c r="K6601">
        <v>1.093021</v>
      </c>
      <c r="L6601">
        <v>135.7064</v>
      </c>
      <c r="M6601">
        <v>0.98500429999999894</v>
      </c>
      <c r="N6601">
        <v>0</v>
      </c>
      <c r="O6601">
        <v>0.1717717</v>
      </c>
      <c r="P6601">
        <v>0.99830370000000002</v>
      </c>
      <c r="Q6601">
        <v>-2.0639500000000002E-2</v>
      </c>
      <c r="R6601">
        <v>5.4443520000000002E-2</v>
      </c>
      <c r="S6601">
        <v>3.0022579999999999</v>
      </c>
      <c r="T6601">
        <v>-0.27079549999999902</v>
      </c>
      <c r="U6601">
        <v>-4.3319699999999899E-2</v>
      </c>
      <c r="V6601">
        <v>0.1176968</v>
      </c>
      <c r="W6601">
        <v>-7.8482039999999993E-3</v>
      </c>
      <c r="X6601">
        <v>0.99301859999999997</v>
      </c>
      <c r="Y6601">
        <v>0.1845473</v>
      </c>
      <c r="Z6601">
        <v>-2.3715480000000001E-2</v>
      </c>
      <c r="AA6601">
        <v>0.98253740000000001</v>
      </c>
      <c r="AB6601">
        <v>27</v>
      </c>
      <c r="AC6601">
        <v>0.54299999999997794</v>
      </c>
      <c r="AD6601">
        <v>-7.4058000000000096E-2</v>
      </c>
      <c r="AE6601">
        <v>-4.7500000000013601E-2</v>
      </c>
      <c r="AF6601">
        <v>0.137539037616735</v>
      </c>
      <c r="AG6601">
        <v>-7.4058000000000096E-2</v>
      </c>
      <c r="AH6601">
        <v>0.51721902414926801</v>
      </c>
      <c r="AI6601">
        <v>97.878331459641302</v>
      </c>
      <c r="AJ6601">
        <v>75.108514860902105</v>
      </c>
      <c r="AK6601">
        <v>0.54029352501622596</v>
      </c>
    </row>
    <row r="6602" spans="1:37" x14ac:dyDescent="0.2">
      <c r="A6602" t="str">
        <f>"20200111160037623"</f>
        <v>20200111160037623</v>
      </c>
      <c r="B6602" t="str">
        <f>"1578729637617619"</f>
        <v>1578729637617619</v>
      </c>
      <c r="C6602" t="s">
        <v>37</v>
      </c>
      <c r="D6602">
        <v>6.0542660000000001</v>
      </c>
      <c r="E6602">
        <v>0.5269781</v>
      </c>
      <c r="F6602" t="s">
        <v>38</v>
      </c>
      <c r="G6602">
        <v>-171.08590000000001</v>
      </c>
      <c r="H6602">
        <v>1.0230520000000001</v>
      </c>
      <c r="I6602">
        <v>135.6934</v>
      </c>
      <c r="J6602">
        <v>-171.60059999999999</v>
      </c>
      <c r="K6602">
        <v>1.093116</v>
      </c>
      <c r="L6602">
        <v>135.73699999999999</v>
      </c>
      <c r="M6602">
        <v>0.98750499999999997</v>
      </c>
      <c r="N6602">
        <v>0</v>
      </c>
      <c r="O6602">
        <v>0.1567596</v>
      </c>
      <c r="P6602">
        <v>0.99874419999999897</v>
      </c>
      <c r="Q6602">
        <v>-1.421323E-2</v>
      </c>
      <c r="R6602">
        <v>4.8044129999999997E-2</v>
      </c>
      <c r="S6602">
        <v>3.0022579999999999</v>
      </c>
      <c r="T6602">
        <v>-0.2676693</v>
      </c>
      <c r="U6602">
        <v>-4.9530030000000003E-2</v>
      </c>
      <c r="V6602">
        <v>0.1091423</v>
      </c>
      <c r="W6602">
        <v>-1.158971E-3</v>
      </c>
      <c r="X6602">
        <v>0.99402549999999901</v>
      </c>
      <c r="Y6602">
        <v>0.17175029999999999</v>
      </c>
      <c r="Z6602">
        <v>-2.1550900000000001E-2</v>
      </c>
      <c r="AA6602">
        <v>0.98490480000000002</v>
      </c>
      <c r="AB6602">
        <v>27</v>
      </c>
      <c r="AC6602">
        <v>0.51469999999997595</v>
      </c>
      <c r="AD6602">
        <v>-7.0063999999999904E-2</v>
      </c>
      <c r="AE6602">
        <v>-4.35999999999978E-2</v>
      </c>
      <c r="AF6602">
        <v>0.12151974273800201</v>
      </c>
      <c r="AG6602">
        <v>-7.0063999999999904E-2</v>
      </c>
      <c r="AH6602">
        <v>0.49243936250140502</v>
      </c>
      <c r="AI6602">
        <v>97.864817768861599</v>
      </c>
      <c r="AJ6602">
        <v>76.138014860646706</v>
      </c>
      <c r="AK6602">
        <v>0.51202786810084899</v>
      </c>
    </row>
    <row r="6603" spans="1:37" x14ac:dyDescent="0.2">
      <c r="A6603" t="str">
        <f>"20200111160037713"</f>
        <v>20200111160037713</v>
      </c>
      <c r="B6603" t="str">
        <f>"1578729637708331"</f>
        <v>1578729637708331</v>
      </c>
      <c r="C6603" t="s">
        <v>37</v>
      </c>
      <c r="D6603">
        <v>5.8878000000000004</v>
      </c>
      <c r="E6603">
        <v>0.52395000000000003</v>
      </c>
      <c r="F6603" t="s">
        <v>38</v>
      </c>
      <c r="G6603">
        <v>-169.87710000000001</v>
      </c>
      <c r="H6603">
        <v>1.016761</v>
      </c>
      <c r="I6603">
        <v>135.7655</v>
      </c>
      <c r="J6603">
        <v>-170.50890000000001</v>
      </c>
      <c r="K6603">
        <v>1.0939239999999999</v>
      </c>
      <c r="L6603">
        <v>135.821</v>
      </c>
      <c r="M6603">
        <v>0.9950099</v>
      </c>
      <c r="N6603">
        <v>0</v>
      </c>
      <c r="O6603">
        <v>9.849521E-2</v>
      </c>
      <c r="P6603">
        <v>0.99971759999999998</v>
      </c>
      <c r="Q6603">
        <v>-2.2662069999999999E-2</v>
      </c>
      <c r="R6603">
        <v>7.1708529999999996E-3</v>
      </c>
      <c r="S6603">
        <v>2.9998779999999998</v>
      </c>
      <c r="T6603">
        <v>-0.25478770000000001</v>
      </c>
      <c r="U6603">
        <v>-0.13267519999999999</v>
      </c>
      <c r="V6603">
        <v>9.1145249999999997E-2</v>
      </c>
      <c r="W6603">
        <v>-9.0737960000000003E-3</v>
      </c>
      <c r="X6603">
        <v>0.99579629999999997</v>
      </c>
      <c r="Y6603">
        <v>0.1415177</v>
      </c>
      <c r="Z6603">
        <v>-1.4337809999999999E-2</v>
      </c>
      <c r="AA6603">
        <v>0.98983189999999999</v>
      </c>
      <c r="AB6603">
        <v>27</v>
      </c>
      <c r="AC6603">
        <v>0.63179999999999803</v>
      </c>
      <c r="AD6603">
        <v>-7.7162999999999801E-2</v>
      </c>
      <c r="AE6603">
        <v>-5.5499999999994998E-2</v>
      </c>
      <c r="AF6603">
        <v>0.115753852865455</v>
      </c>
      <c r="AG6603">
        <v>-7.7162999999999801E-2</v>
      </c>
      <c r="AH6603">
        <v>0.61416899483143195</v>
      </c>
      <c r="AI6603">
        <v>97.038367660477107</v>
      </c>
      <c r="AJ6603">
        <v>79.326536637847397</v>
      </c>
      <c r="AK6603">
        <v>0.62972743090518901</v>
      </c>
    </row>
    <row r="6604" spans="1:37" x14ac:dyDescent="0.2">
      <c r="A6604" t="str">
        <f>"20200111160037735"</f>
        <v>20200111160037735</v>
      </c>
      <c r="B6604" t="str">
        <f>"1578729637727851"</f>
        <v>1578729637727851</v>
      </c>
      <c r="C6604" t="s">
        <v>37</v>
      </c>
      <c r="D6604">
        <v>6.0993490000000001</v>
      </c>
      <c r="E6604">
        <v>0.52336389999999999</v>
      </c>
      <c r="F6604" t="s">
        <v>38</v>
      </c>
      <c r="G6604">
        <v>-169.6405</v>
      </c>
      <c r="H6604">
        <v>1.00729</v>
      </c>
      <c r="I6604">
        <v>135.77539999999999</v>
      </c>
      <c r="J6604">
        <v>-170.23740000000001</v>
      </c>
      <c r="K6604">
        <v>1.0942940000000001</v>
      </c>
      <c r="L6604">
        <v>135.83320000000001</v>
      </c>
      <c r="M6604">
        <v>0.99624559999999995</v>
      </c>
      <c r="N6604">
        <v>0</v>
      </c>
      <c r="O6604">
        <v>8.5107160000000001E-2</v>
      </c>
      <c r="P6604">
        <v>0.99942900000000001</v>
      </c>
      <c r="Q6604">
        <v>-3.3773610000000003E-2</v>
      </c>
      <c r="R6604">
        <v>-9.7718229999999994E-4</v>
      </c>
      <c r="S6604">
        <v>2.995209</v>
      </c>
      <c r="T6604">
        <v>-0.29873739999999999</v>
      </c>
      <c r="U6604">
        <v>-0.1573639</v>
      </c>
      <c r="V6604">
        <v>8.5586350000000005E-2</v>
      </c>
      <c r="W6604">
        <v>-2.0040269999999999E-2</v>
      </c>
      <c r="X6604">
        <v>0.99612919999999905</v>
      </c>
      <c r="Y6604">
        <v>0.136181</v>
      </c>
      <c r="Z6604">
        <v>-1.522953E-2</v>
      </c>
      <c r="AA6604">
        <v>0.99056690000000003</v>
      </c>
      <c r="AB6604">
        <v>27</v>
      </c>
      <c r="AC6604">
        <v>0.59690000000000498</v>
      </c>
      <c r="AD6604">
        <v>-8.7003999999999998E-2</v>
      </c>
      <c r="AE6604">
        <v>-5.78000000000145E-2</v>
      </c>
      <c r="AF6604">
        <v>0.106162523803844</v>
      </c>
      <c r="AG6604">
        <v>-8.7003999999999998E-2</v>
      </c>
      <c r="AH6604">
        <v>0.57765517323738402</v>
      </c>
      <c r="AI6604">
        <v>98.426226099198701</v>
      </c>
      <c r="AJ6604">
        <v>79.586282915134007</v>
      </c>
      <c r="AK6604">
        <v>0.59373872759347102</v>
      </c>
    </row>
    <row r="6605" spans="1:37" x14ac:dyDescent="0.2">
      <c r="A6605" t="str">
        <f>"20200111160037758"</f>
        <v>20200111160037758</v>
      </c>
      <c r="B6605" t="str">
        <f>"1578729637748347"</f>
        <v>1578729637748347</v>
      </c>
      <c r="C6605" t="s">
        <v>37</v>
      </c>
      <c r="D6605">
        <v>5.878317</v>
      </c>
      <c r="E6605">
        <v>0.52288900000000005</v>
      </c>
      <c r="F6605" t="s">
        <v>38</v>
      </c>
      <c r="G6605">
        <v>-169.40260000000001</v>
      </c>
      <c r="H6605">
        <v>1.0009209999999999</v>
      </c>
      <c r="I6605">
        <v>135.7834</v>
      </c>
      <c r="J6605">
        <v>-169.96170000000001</v>
      </c>
      <c r="K6605">
        <v>1.0947990000000001</v>
      </c>
      <c r="L6605">
        <v>135.8425</v>
      </c>
      <c r="M6605">
        <v>0.99726049999999999</v>
      </c>
      <c r="N6605">
        <v>0</v>
      </c>
      <c r="O6605">
        <v>7.2271409999999994E-2</v>
      </c>
      <c r="P6605">
        <v>0.99906589999999995</v>
      </c>
      <c r="Q6605">
        <v>-4.2378060000000002E-2</v>
      </c>
      <c r="R6605">
        <v>-8.4424119999999998E-3</v>
      </c>
      <c r="S6605">
        <v>2.9902500000000001</v>
      </c>
      <c r="T6605">
        <v>-0.33416240000000003</v>
      </c>
      <c r="U6605">
        <v>-0.1780243</v>
      </c>
      <c r="V6605">
        <v>8.0007140000000004E-2</v>
      </c>
      <c r="W6605">
        <v>-2.8508450000000001E-2</v>
      </c>
      <c r="X6605">
        <v>0.99638649999999995</v>
      </c>
      <c r="Y6605">
        <v>0.13017039999999999</v>
      </c>
      <c r="Z6605">
        <v>-1.5288680000000001E-2</v>
      </c>
      <c r="AA6605">
        <v>0.99137379999999997</v>
      </c>
      <c r="AB6605">
        <v>27</v>
      </c>
      <c r="AC6605">
        <v>0.55910000000000004</v>
      </c>
      <c r="AD6605">
        <v>-9.38780000000001E-2</v>
      </c>
      <c r="AE6605">
        <v>-5.9100000000000798E-2</v>
      </c>
      <c r="AF6605">
        <v>9.6662248200970205E-2</v>
      </c>
      <c r="AG6605">
        <v>-9.38780000000001E-2</v>
      </c>
      <c r="AH6605">
        <v>0.53835542911116396</v>
      </c>
      <c r="AI6605">
        <v>99.739042439592296</v>
      </c>
      <c r="AJ6605">
        <v>79.8209474431264</v>
      </c>
      <c r="AK6605">
        <v>0.55496237454870001</v>
      </c>
    </row>
    <row r="6606" spans="1:37" x14ac:dyDescent="0.2">
      <c r="A6606" t="str">
        <f>"20200111160037779"</f>
        <v>20200111160037779</v>
      </c>
      <c r="B6606" t="str">
        <f>"1578729637767867"</f>
        <v>1578729637767867</v>
      </c>
      <c r="C6606" t="s">
        <v>37</v>
      </c>
      <c r="D6606">
        <v>5.9238839999999904</v>
      </c>
      <c r="E6606">
        <v>0.52228459999999999</v>
      </c>
      <c r="F6606" t="s">
        <v>38</v>
      </c>
      <c r="G6606">
        <v>-169.1644</v>
      </c>
      <c r="H6606">
        <v>0.99616469999999901</v>
      </c>
      <c r="I6606">
        <v>135.78989999999999</v>
      </c>
      <c r="J6606">
        <v>-169.69720000000001</v>
      </c>
      <c r="K6606">
        <v>1.0954219999999999</v>
      </c>
      <c r="L6606">
        <v>135.84909999999999</v>
      </c>
      <c r="M6606">
        <v>0.99802579999999996</v>
      </c>
      <c r="N6606">
        <v>0</v>
      </c>
      <c r="O6606">
        <v>6.0830170000000003E-2</v>
      </c>
      <c r="P6606">
        <v>0.99880579999999997</v>
      </c>
      <c r="Q6606">
        <v>-4.6675649999999999E-2</v>
      </c>
      <c r="R6606">
        <v>-1.444027E-2</v>
      </c>
      <c r="S6606">
        <v>2.985474</v>
      </c>
      <c r="T6606">
        <v>-0.3692801</v>
      </c>
      <c r="U6606">
        <v>-0.19708249999999999</v>
      </c>
      <c r="V6606">
        <v>7.4505370000000001E-2</v>
      </c>
      <c r="W6606">
        <v>-3.267991E-2</v>
      </c>
      <c r="X6606">
        <v>0.99668500000000004</v>
      </c>
      <c r="Y6606">
        <v>0.1250425</v>
      </c>
      <c r="Z6606">
        <v>-1.518454E-2</v>
      </c>
      <c r="AA6606">
        <v>0.99203519999999901</v>
      </c>
      <c r="AB6606">
        <v>27</v>
      </c>
      <c r="AC6606">
        <v>0.53280000000000804</v>
      </c>
      <c r="AD6606">
        <v>-9.9257299999999896E-2</v>
      </c>
      <c r="AE6606">
        <v>-5.9200000000004097E-2</v>
      </c>
      <c r="AF6606">
        <v>8.8471620453428407E-2</v>
      </c>
      <c r="AG6606">
        <v>-9.9257299999999896E-2</v>
      </c>
      <c r="AH6606">
        <v>0.510703499119327</v>
      </c>
      <c r="AI6606">
        <v>100.84099242470199</v>
      </c>
      <c r="AJ6606">
        <v>80.171916791388</v>
      </c>
      <c r="AK6606">
        <v>0.52772843702198802</v>
      </c>
    </row>
    <row r="6607" spans="1:37" x14ac:dyDescent="0.2">
      <c r="A6607" t="str">
        <f>"20200111160038415"</f>
        <v>20200111160038415</v>
      </c>
      <c r="B6607" t="str">
        <f>"1578729638407989"</f>
        <v>1578729638407989</v>
      </c>
      <c r="C6607" t="s">
        <v>37</v>
      </c>
      <c r="D6607">
        <v>6.2179669999999998</v>
      </c>
      <c r="E6607">
        <v>0.55062029999999995</v>
      </c>
      <c r="F6607" t="s">
        <v>38</v>
      </c>
      <c r="G6607">
        <v>-162.52080000000001</v>
      </c>
      <c r="H6607">
        <v>0.98551730000000004</v>
      </c>
      <c r="I6607">
        <v>135.87639999999999</v>
      </c>
      <c r="J6607">
        <v>-163.13740000000001</v>
      </c>
      <c r="K6607">
        <v>1.107272</v>
      </c>
      <c r="L6607">
        <v>135.9426</v>
      </c>
      <c r="M6607">
        <v>0.99892809999999899</v>
      </c>
      <c r="N6607">
        <v>0</v>
      </c>
      <c r="O6607">
        <v>3.0822450000000001E-2</v>
      </c>
      <c r="P6607">
        <v>0.99639</v>
      </c>
      <c r="Q6607">
        <v>-5.4164209999999997E-2</v>
      </c>
      <c r="R6607">
        <v>6.5370109999999995E-2</v>
      </c>
      <c r="S6607">
        <v>3.0001679999999999</v>
      </c>
      <c r="T6607">
        <v>-0.46335609999999999</v>
      </c>
      <c r="U6607">
        <v>-0.22581479999999901</v>
      </c>
      <c r="V6607">
        <v>-3.4574059999999997E-2</v>
      </c>
      <c r="W6607">
        <v>-1.9730319999999999E-2</v>
      </c>
      <c r="X6607">
        <v>0.99920739999999997</v>
      </c>
      <c r="Y6607">
        <v>0.1041806</v>
      </c>
      <c r="Z6607">
        <v>-1.2715819999999999E-2</v>
      </c>
      <c r="AA6607">
        <v>0.9944771</v>
      </c>
      <c r="AB6607">
        <v>18</v>
      </c>
      <c r="AC6607">
        <v>0.61660000000000503</v>
      </c>
      <c r="AD6607">
        <v>-0.12175469999999999</v>
      </c>
      <c r="AE6607">
        <v>-6.6200000000009099E-2</v>
      </c>
      <c r="AF6607">
        <v>8.2023250627392699E-2</v>
      </c>
      <c r="AG6607">
        <v>-0.12175469999999999</v>
      </c>
      <c r="AH6607">
        <v>0.59146597183639305</v>
      </c>
      <c r="AI6607">
        <v>101.52468939790199</v>
      </c>
      <c r="AJ6607">
        <v>82.104698415842094</v>
      </c>
      <c r="AK6607">
        <v>0.60941284566042997</v>
      </c>
    </row>
    <row r="6608" spans="1:37" x14ac:dyDescent="0.2">
      <c r="A6608" t="str">
        <f>"20200111160038438"</f>
        <v>20200111160038438</v>
      </c>
      <c r="B6608" t="str">
        <f>"1578729638427509"</f>
        <v>1578729638427509</v>
      </c>
      <c r="C6608" t="s">
        <v>37</v>
      </c>
      <c r="D6608">
        <v>6.2812739999999998</v>
      </c>
      <c r="E6608">
        <v>0.54907419999999996</v>
      </c>
      <c r="F6608" t="s">
        <v>38</v>
      </c>
      <c r="G6608">
        <v>-162.37970000000001</v>
      </c>
      <c r="H6608">
        <v>0.96455349999999995</v>
      </c>
      <c r="I6608">
        <v>135.89230000000001</v>
      </c>
      <c r="J6608">
        <v>-162.9716</v>
      </c>
      <c r="K6608">
        <v>1.1072770000000001</v>
      </c>
      <c r="L6608">
        <v>135.9496</v>
      </c>
      <c r="M6608">
        <v>0.99885949999999901</v>
      </c>
      <c r="N6608">
        <v>0</v>
      </c>
      <c r="O6608">
        <v>3.2230080000000001E-2</v>
      </c>
      <c r="P6608">
        <v>0.99612199999999995</v>
      </c>
      <c r="Q6608">
        <v>-5.8107329999999999E-2</v>
      </c>
      <c r="R6608">
        <v>6.6065680000000002E-2</v>
      </c>
      <c r="S6608">
        <v>2.9932099999999999</v>
      </c>
      <c r="T6608">
        <v>-0.56392969999999998</v>
      </c>
      <c r="U6608">
        <v>-0.19819639999999999</v>
      </c>
      <c r="V6608">
        <v>-3.3867969999999997E-2</v>
      </c>
      <c r="W6608">
        <v>-2.2979889999999999E-2</v>
      </c>
      <c r="X6608">
        <v>0.99916209999999905</v>
      </c>
      <c r="Y6608">
        <v>9.596884E-2</v>
      </c>
      <c r="Z6608">
        <v>-1.496945E-2</v>
      </c>
      <c r="AA6608">
        <v>0.99527169999999898</v>
      </c>
      <c r="AB6608">
        <v>18</v>
      </c>
      <c r="AC6608">
        <v>0.591899999999981</v>
      </c>
      <c r="AD6608">
        <v>-0.1427235</v>
      </c>
      <c r="AE6608">
        <v>-5.7299999999997901E-2</v>
      </c>
      <c r="AF6608">
        <v>7.2200101700292896E-2</v>
      </c>
      <c r="AG6608">
        <v>-0.1427235</v>
      </c>
      <c r="AH6608">
        <v>0.55762353166947098</v>
      </c>
      <c r="AI6608">
        <v>104.24262988462</v>
      </c>
      <c r="AJ6608">
        <v>82.622488841354595</v>
      </c>
      <c r="AK6608">
        <v>0.58010934763138999</v>
      </c>
    </row>
    <row r="6609" spans="1:37" x14ac:dyDescent="0.2">
      <c r="A6609" t="str">
        <f>"20200111160038461"</f>
        <v>20200111160038461</v>
      </c>
      <c r="B6609" t="str">
        <f>"1578729638457765"</f>
        <v>1578729638457765</v>
      </c>
      <c r="C6609" t="s">
        <v>37</v>
      </c>
      <c r="D6609">
        <v>6.2017530000000001</v>
      </c>
      <c r="E6609">
        <v>0.54856579999999999</v>
      </c>
      <c r="F6609" t="s">
        <v>38</v>
      </c>
      <c r="G6609">
        <v>-162.24449999999999</v>
      </c>
      <c r="H6609">
        <v>0.94058639999999905</v>
      </c>
      <c r="I6609">
        <v>135.90549999999999</v>
      </c>
      <c r="J6609">
        <v>-162.80860000000001</v>
      </c>
      <c r="K6609">
        <v>1.1072759999999999</v>
      </c>
      <c r="L6609">
        <v>135.95660000000001</v>
      </c>
      <c r="M6609">
        <v>0.99878999999999996</v>
      </c>
      <c r="N6609">
        <v>0</v>
      </c>
      <c r="O6609">
        <v>3.3620869999999997E-2</v>
      </c>
      <c r="P6609">
        <v>0.99585270000000004</v>
      </c>
      <c r="Q6609">
        <v>-6.1704830000000002E-2</v>
      </c>
      <c r="R6609">
        <v>6.6858619999999994E-2</v>
      </c>
      <c r="S6609">
        <v>2.9837340000000001</v>
      </c>
      <c r="T6609">
        <v>-0.68405689999999997</v>
      </c>
      <c r="U6609">
        <v>-0.18028259999999999</v>
      </c>
      <c r="V6609">
        <v>-3.3278130000000003E-2</v>
      </c>
      <c r="W6609">
        <v>-2.5908179999999999E-2</v>
      </c>
      <c r="X6609">
        <v>0.99911030000000001</v>
      </c>
      <c r="Y6609">
        <v>9.0644660000000002E-2</v>
      </c>
      <c r="Z6609">
        <v>-1.7856960000000002E-2</v>
      </c>
      <c r="AA6609">
        <v>0.99572320000000003</v>
      </c>
      <c r="AB6609">
        <v>17</v>
      </c>
      <c r="AC6609">
        <v>0.56410000000002403</v>
      </c>
      <c r="AD6609">
        <v>-0.16668959999999999</v>
      </c>
      <c r="AE6609">
        <v>-5.1100000000019401E-2</v>
      </c>
      <c r="AF6609">
        <v>6.4465626492082304E-2</v>
      </c>
      <c r="AG6609">
        <v>-0.16668959999999999</v>
      </c>
      <c r="AH6609">
        <v>0.51726271062539397</v>
      </c>
      <c r="AI6609">
        <v>107.733205199796</v>
      </c>
      <c r="AJ6609">
        <v>82.895947893801605</v>
      </c>
      <c r="AK6609">
        <v>0.547267714697941</v>
      </c>
    </row>
    <row r="6610" spans="1:37" x14ac:dyDescent="0.2">
      <c r="A6610" t="str">
        <f>"20200111160038484"</f>
        <v>20200111160038484</v>
      </c>
      <c r="B6610" t="str">
        <f>"1578729638478260"</f>
        <v>1578729638478260</v>
      </c>
      <c r="C6610" t="s">
        <v>37</v>
      </c>
      <c r="D6610">
        <v>6.3349650000000004</v>
      </c>
      <c r="E6610">
        <v>0.54580490000000004</v>
      </c>
      <c r="F6610" t="s">
        <v>38</v>
      </c>
      <c r="G6610">
        <v>-162.10640000000001</v>
      </c>
      <c r="H6610">
        <v>0.93032320000000002</v>
      </c>
      <c r="I6610">
        <v>135.91589999999999</v>
      </c>
      <c r="J6610">
        <v>-162.6508</v>
      </c>
      <c r="K6610">
        <v>1.1072789999999999</v>
      </c>
      <c r="L6610">
        <v>135.96360000000001</v>
      </c>
      <c r="M6610">
        <v>0.99872150000000004</v>
      </c>
      <c r="N6610">
        <v>0</v>
      </c>
      <c r="O6610">
        <v>3.4976609999999998E-2</v>
      </c>
      <c r="P6610">
        <v>0.99569459999999999</v>
      </c>
      <c r="Q6610">
        <v>-6.4026849999999996E-2</v>
      </c>
      <c r="R6610">
        <v>6.702814E-2</v>
      </c>
      <c r="S6610">
        <v>2.9775700000000001</v>
      </c>
      <c r="T6610">
        <v>-0.75038649999999996</v>
      </c>
      <c r="U6610">
        <v>-0.17222599999999999</v>
      </c>
      <c r="V6610">
        <v>-3.2098469999999997E-2</v>
      </c>
      <c r="W6610">
        <v>-2.762473E-2</v>
      </c>
      <c r="X6610">
        <v>0.99910290000000002</v>
      </c>
      <c r="Y6610">
        <v>8.8791309999999998E-2</v>
      </c>
      <c r="Z6610">
        <v>-1.968584E-2</v>
      </c>
      <c r="AA6610">
        <v>0.99585569999999901</v>
      </c>
      <c r="AB6610">
        <v>17</v>
      </c>
      <c r="AC6610">
        <v>0.544399999999996</v>
      </c>
      <c r="AD6610">
        <v>-0.1769558</v>
      </c>
      <c r="AE6610">
        <v>-4.7700000000020198E-2</v>
      </c>
      <c r="AF6610">
        <v>6.0392527714113499E-2</v>
      </c>
      <c r="AG6610">
        <v>-0.1769558</v>
      </c>
      <c r="AH6610">
        <v>0.49092323869646398</v>
      </c>
      <c r="AI6610">
        <v>109.685087699812</v>
      </c>
      <c r="AJ6610">
        <v>82.986808684969304</v>
      </c>
      <c r="AK6610">
        <v>0.52532488885409301</v>
      </c>
    </row>
    <row r="6611" spans="1:37" x14ac:dyDescent="0.2">
      <c r="A6611" t="str">
        <f>"20200111160038507"</f>
        <v>20200111160038507</v>
      </c>
      <c r="B6611" t="str">
        <f>"1578729638497780"</f>
        <v>1578729638497780</v>
      </c>
      <c r="C6611" t="s">
        <v>37</v>
      </c>
      <c r="D6611">
        <v>6.3229290000000002</v>
      </c>
      <c r="E6611">
        <v>0.54658390000000001</v>
      </c>
      <c r="F6611" t="s">
        <v>38</v>
      </c>
      <c r="G6611">
        <v>-161.98419999999999</v>
      </c>
      <c r="H6611">
        <v>0.89680369999999998</v>
      </c>
      <c r="I6611">
        <v>135.9307</v>
      </c>
      <c r="J6611">
        <v>-162.49770000000001</v>
      </c>
      <c r="K6611">
        <v>1.1072759999999999</v>
      </c>
      <c r="L6611">
        <v>135.97059999999999</v>
      </c>
      <c r="M6611">
        <v>0.99865530000000002</v>
      </c>
      <c r="N6611">
        <v>0</v>
      </c>
      <c r="O6611">
        <v>3.6297259999999998E-2</v>
      </c>
      <c r="P6611">
        <v>0.99566139999999903</v>
      </c>
      <c r="Q6611">
        <v>-6.4659700000000001E-2</v>
      </c>
      <c r="R6611">
        <v>6.6918229999999995E-2</v>
      </c>
      <c r="S6611">
        <v>2.962631</v>
      </c>
      <c r="T6611">
        <v>-0.93551430000000002</v>
      </c>
      <c r="U6611">
        <v>-0.14582819999999999</v>
      </c>
      <c r="V6611">
        <v>-3.0673410000000002E-2</v>
      </c>
      <c r="W6611">
        <v>-2.7729190000000001E-2</v>
      </c>
      <c r="X6611">
        <v>0.9991447</v>
      </c>
      <c r="Y6611">
        <v>7.9769809999999997E-2</v>
      </c>
      <c r="Z6611">
        <v>-2.3479630000000001E-2</v>
      </c>
      <c r="AA6611">
        <v>0.99653670000000005</v>
      </c>
      <c r="AB6611">
        <v>16</v>
      </c>
      <c r="AC6611">
        <v>0.51350000000002105</v>
      </c>
      <c r="AD6611">
        <v>-0.210472299999999</v>
      </c>
      <c r="AE6611">
        <v>-3.9899999999988701E-2</v>
      </c>
      <c r="AF6611">
        <v>5.0150397692605903E-2</v>
      </c>
      <c r="AG6611">
        <v>-0.210472299999999</v>
      </c>
      <c r="AH6611">
        <v>0.438488056025715</v>
      </c>
      <c r="AI6611">
        <v>115.495850016692</v>
      </c>
      <c r="AJ6611">
        <v>83.475364435318198</v>
      </c>
      <c r="AK6611">
        <v>0.48896362516369901</v>
      </c>
    </row>
    <row r="6612" spans="1:37" x14ac:dyDescent="0.2">
      <c r="A6612" t="str">
        <f>"20200111160038529"</f>
        <v>20200111160038529</v>
      </c>
      <c r="B6612" t="str">
        <f>"1578729638518277"</f>
        <v>1578729638518277</v>
      </c>
      <c r="C6612" t="s">
        <v>37</v>
      </c>
      <c r="D6612">
        <v>6.27372</v>
      </c>
      <c r="E6612">
        <v>0.54687419999999998</v>
      </c>
      <c r="F6612" t="s">
        <v>38</v>
      </c>
      <c r="G6612">
        <v>-161.732</v>
      </c>
      <c r="H6612">
        <v>0.86699340000000003</v>
      </c>
      <c r="I6612">
        <v>135.93109999999999</v>
      </c>
      <c r="J6612">
        <v>-162.3545</v>
      </c>
      <c r="K6612">
        <v>1.1072869999999999</v>
      </c>
      <c r="L6612">
        <v>135.97739999999999</v>
      </c>
      <c r="M6612">
        <v>0.99859089999999995</v>
      </c>
      <c r="N6612">
        <v>0</v>
      </c>
      <c r="O6612">
        <v>3.7523319999999999E-2</v>
      </c>
      <c r="P6612">
        <v>0.99583379999999999</v>
      </c>
      <c r="Q6612">
        <v>-6.267971E-2</v>
      </c>
      <c r="R6612">
        <v>6.6230799999999895E-2</v>
      </c>
      <c r="S6612">
        <v>2.962936</v>
      </c>
      <c r="T6612">
        <v>-0.92989149999999998</v>
      </c>
      <c r="U6612">
        <v>-0.15240479999999901</v>
      </c>
      <c r="V6612">
        <v>-2.8760480000000001E-2</v>
      </c>
      <c r="W6612">
        <v>-2.523247E-2</v>
      </c>
      <c r="X6612">
        <v>0.99926780000000004</v>
      </c>
      <c r="Y6612">
        <v>8.3046209999999995E-2</v>
      </c>
      <c r="Z6612">
        <v>-2.4219330000000001E-2</v>
      </c>
      <c r="AA6612">
        <v>0.99625129999999995</v>
      </c>
      <c r="AB6612">
        <v>15</v>
      </c>
      <c r="AC6612">
        <v>0.62250000000000205</v>
      </c>
      <c r="AD6612">
        <v>-0.2402936</v>
      </c>
      <c r="AE6612">
        <v>-4.6300000000002201E-2</v>
      </c>
      <c r="AF6612">
        <v>6.0653956720085597E-2</v>
      </c>
      <c r="AG6612">
        <v>-0.2402936</v>
      </c>
      <c r="AH6612">
        <v>0.54026259706586099</v>
      </c>
      <c r="AI6612">
        <v>113.845195141334</v>
      </c>
      <c r="AJ6612">
        <v>83.594365706339204</v>
      </c>
      <c r="AK6612">
        <v>0.59439346434420903</v>
      </c>
    </row>
    <row r="6613" spans="1:37" x14ac:dyDescent="0.2">
      <c r="A6613" t="str">
        <f>"20200111160038550"</f>
        <v>20200111160038550</v>
      </c>
      <c r="B6613" t="str">
        <f>"1578729638547556"</f>
        <v>1578729638547556</v>
      </c>
      <c r="C6613" t="s">
        <v>37</v>
      </c>
      <c r="D6613">
        <v>6.3506369999999999</v>
      </c>
      <c r="E6613">
        <v>0.54679390000000005</v>
      </c>
      <c r="F6613" t="s">
        <v>38</v>
      </c>
      <c r="G6613">
        <v>-161.60399999999899</v>
      </c>
      <c r="H6613">
        <v>0.87464540000000002</v>
      </c>
      <c r="I6613">
        <v>135.9374</v>
      </c>
      <c r="J6613">
        <v>-162.2199</v>
      </c>
      <c r="K6613">
        <v>1.107386</v>
      </c>
      <c r="L6613">
        <v>135.98390000000001</v>
      </c>
      <c r="M6613">
        <v>0.99851389999999995</v>
      </c>
      <c r="N6613">
        <v>0</v>
      </c>
      <c r="O6613">
        <v>3.8610129999999999E-2</v>
      </c>
      <c r="P6613">
        <v>0.99597839999999904</v>
      </c>
      <c r="Q6613">
        <v>-6.1098550000000001E-2</v>
      </c>
      <c r="R6613">
        <v>6.5533960000000002E-2</v>
      </c>
      <c r="S6613">
        <v>2.9651179999999999</v>
      </c>
      <c r="T6613">
        <v>-0.91929110000000003</v>
      </c>
      <c r="U6613">
        <v>-0.1572876</v>
      </c>
      <c r="V6613">
        <v>-2.6978100000000001E-2</v>
      </c>
      <c r="W6613">
        <v>-2.2702989999999999E-2</v>
      </c>
      <c r="X6613">
        <v>0.999378199999999</v>
      </c>
      <c r="Y6613">
        <v>8.5691729999999994E-2</v>
      </c>
      <c r="Z6613">
        <v>-2.4668059999999999E-2</v>
      </c>
      <c r="AA6613">
        <v>0.99601629999999997</v>
      </c>
      <c r="AB6613">
        <v>15</v>
      </c>
      <c r="AC6613">
        <v>0.61590000000001</v>
      </c>
      <c r="AD6613">
        <v>-0.23274059999999999</v>
      </c>
      <c r="AE6613">
        <v>-4.6500000000008798E-2</v>
      </c>
      <c r="AF6613">
        <v>6.1526730221368398E-2</v>
      </c>
      <c r="AG6613">
        <v>-0.23274059999999999</v>
      </c>
      <c r="AH6613">
        <v>0.53734602895303396</v>
      </c>
      <c r="AI6613">
        <v>113.283088660457</v>
      </c>
      <c r="AJ6613">
        <v>83.468014977193505</v>
      </c>
      <c r="AK6613">
        <v>0.58880767679411905</v>
      </c>
    </row>
    <row r="6614" spans="1:37" x14ac:dyDescent="0.2">
      <c r="A6614" t="str">
        <f>"20200111160038573"</f>
        <v>20200111160038573</v>
      </c>
      <c r="B6614" t="str">
        <f>"1578729638568052"</f>
        <v>1578729638568052</v>
      </c>
      <c r="C6614" t="s">
        <v>37</v>
      </c>
      <c r="D6614">
        <v>6.3102039999999997</v>
      </c>
      <c r="E6614">
        <v>0.54667209999999999</v>
      </c>
      <c r="F6614" t="s">
        <v>38</v>
      </c>
      <c r="G6614">
        <v>-161.48320000000001</v>
      </c>
      <c r="H6614">
        <v>0.8797914</v>
      </c>
      <c r="I6614">
        <v>135.9444</v>
      </c>
      <c r="J6614">
        <v>-162.08539999999999</v>
      </c>
      <c r="K6614">
        <v>1.1075170000000001</v>
      </c>
      <c r="L6614">
        <v>135.9905</v>
      </c>
      <c r="M6614">
        <v>0.99842549999999997</v>
      </c>
      <c r="N6614">
        <v>0</v>
      </c>
      <c r="O6614">
        <v>3.9659390000000003E-2</v>
      </c>
      <c r="P6614">
        <v>0.99604919999999997</v>
      </c>
      <c r="Q6614">
        <v>-6.1165909999999997E-2</v>
      </c>
      <c r="R6614">
        <v>6.4381289999999994E-2</v>
      </c>
      <c r="S6614">
        <v>2.9663539999999999</v>
      </c>
      <c r="T6614">
        <v>-0.91645560000000004</v>
      </c>
      <c r="U6614">
        <v>-0.15899659999999999</v>
      </c>
      <c r="V6614">
        <v>-2.4778479999999999E-2</v>
      </c>
      <c r="W6614">
        <v>-2.155615E-2</v>
      </c>
      <c r="X6614">
        <v>0.99946049999999997</v>
      </c>
      <c r="Y6614">
        <v>8.7210480000000007E-2</v>
      </c>
      <c r="Z6614">
        <v>-2.5131710000000002E-2</v>
      </c>
      <c r="AA6614">
        <v>0.99587289999999995</v>
      </c>
      <c r="AB6614">
        <v>14</v>
      </c>
      <c r="AC6614">
        <v>0.60219999999998197</v>
      </c>
      <c r="AD6614">
        <v>-0.227725599999999</v>
      </c>
      <c r="AE6614">
        <v>-4.6099999999995499E-2</v>
      </c>
      <c r="AF6614">
        <v>6.1256591593901601E-2</v>
      </c>
      <c r="AG6614">
        <v>-0.227725599999999</v>
      </c>
      <c r="AH6614">
        <v>0.52522507789739203</v>
      </c>
      <c r="AI6614">
        <v>113.29951821367</v>
      </c>
      <c r="AJ6614">
        <v>83.347691641353705</v>
      </c>
      <c r="AK6614">
        <v>0.57573665973375698</v>
      </c>
    </row>
    <row r="6615" spans="1:37" x14ac:dyDescent="0.2">
      <c r="A6615" t="str">
        <f>"20200111160038595"</f>
        <v>20200111160038595</v>
      </c>
      <c r="B6615" t="str">
        <f>"1578729638587572"</f>
        <v>1578729638587572</v>
      </c>
      <c r="C6615" t="s">
        <v>37</v>
      </c>
      <c r="D6615">
        <v>6.3251609999999996</v>
      </c>
      <c r="E6615">
        <v>0.546373</v>
      </c>
      <c r="F6615" t="s">
        <v>38</v>
      </c>
      <c r="G6615">
        <v>-161.36779999999999</v>
      </c>
      <c r="H6615">
        <v>0.88553110000000002</v>
      </c>
      <c r="I6615">
        <v>135.9511</v>
      </c>
      <c r="J6615">
        <v>-161.9641</v>
      </c>
      <c r="K6615">
        <v>1.107612</v>
      </c>
      <c r="L6615">
        <v>135.9966</v>
      </c>
      <c r="M6615">
        <v>0.99834389999999995</v>
      </c>
      <c r="N6615">
        <v>0</v>
      </c>
      <c r="O6615">
        <v>4.0612080000000002E-2</v>
      </c>
      <c r="P6615">
        <v>0.99603359999999996</v>
      </c>
      <c r="Q6615">
        <v>-6.2442999999999901E-2</v>
      </c>
      <c r="R6615">
        <v>6.338916E-2</v>
      </c>
      <c r="S6615">
        <v>2.9660340000000001</v>
      </c>
      <c r="T6615">
        <v>-0.9176742</v>
      </c>
      <c r="U6615">
        <v>-0.16224669999999999</v>
      </c>
      <c r="V6615">
        <v>-2.2837219999999998E-2</v>
      </c>
      <c r="W6615">
        <v>-2.1752540000000001E-2</v>
      </c>
      <c r="X6615">
        <v>0.99950249999999996</v>
      </c>
      <c r="Y6615">
        <v>8.9106630000000006E-2</v>
      </c>
      <c r="Z6615">
        <v>-2.5740579999999999E-2</v>
      </c>
      <c r="AA6615">
        <v>0.99568950000000001</v>
      </c>
      <c r="AB6615">
        <v>13</v>
      </c>
      <c r="AC6615">
        <v>0.59630000000001304</v>
      </c>
      <c r="AD6615">
        <v>-0.2220809</v>
      </c>
      <c r="AE6615">
        <v>-4.5500000000004003E-2</v>
      </c>
      <c r="AF6615">
        <v>6.1252630129199501E-2</v>
      </c>
      <c r="AG6615">
        <v>-0.2220809</v>
      </c>
      <c r="AH6615">
        <v>0.52197612754413403</v>
      </c>
      <c r="AI6615">
        <v>112.907086853408</v>
      </c>
      <c r="AJ6615">
        <v>83.307088970838507</v>
      </c>
      <c r="AK6615">
        <v>0.57055314263311496</v>
      </c>
    </row>
    <row r="6616" spans="1:37" x14ac:dyDescent="0.2">
      <c r="A6616" t="str">
        <f>"20200111160038617"</f>
        <v>20200111160038617</v>
      </c>
      <c r="B6616" t="str">
        <f>"1578729638608069"</f>
        <v>1578729638608069</v>
      </c>
      <c r="C6616" t="s">
        <v>37</v>
      </c>
      <c r="D6616">
        <v>6.3115790000000001</v>
      </c>
      <c r="E6616">
        <v>0.54612360000000004</v>
      </c>
      <c r="F6616" t="s">
        <v>38</v>
      </c>
      <c r="G6616">
        <v>-161.2587</v>
      </c>
      <c r="H6616">
        <v>0.88871440000000002</v>
      </c>
      <c r="I6616">
        <v>135.95769999999999</v>
      </c>
      <c r="J6616">
        <v>-161.84569999999999</v>
      </c>
      <c r="K6616">
        <v>1.1076059999999901</v>
      </c>
      <c r="L6616">
        <v>136.0026</v>
      </c>
      <c r="M6616">
        <v>0.99827809999999995</v>
      </c>
      <c r="N6616">
        <v>0</v>
      </c>
      <c r="O6616">
        <v>4.1595840000000002E-2</v>
      </c>
      <c r="P6616">
        <v>0.99596980000000002</v>
      </c>
      <c r="Q6616">
        <v>-6.3797110000000004E-2</v>
      </c>
      <c r="R6616">
        <v>6.3041079999999999E-2</v>
      </c>
      <c r="S6616">
        <v>2.964661</v>
      </c>
      <c r="T6616">
        <v>-0.91996599999999995</v>
      </c>
      <c r="U6616">
        <v>-0.163269</v>
      </c>
      <c r="V6616">
        <v>-2.1508570000000001E-2</v>
      </c>
      <c r="W6616">
        <v>-2.2487650000000001E-2</v>
      </c>
      <c r="X6616">
        <v>0.99951569999999901</v>
      </c>
      <c r="Y6616">
        <v>9.0317910000000001E-2</v>
      </c>
      <c r="Z6616">
        <v>-2.6295260000000001E-2</v>
      </c>
      <c r="AA6616">
        <v>0.99556579999999995</v>
      </c>
      <c r="AB6616">
        <v>13</v>
      </c>
      <c r="AC6616">
        <v>0.58699999999998898</v>
      </c>
      <c r="AD6616">
        <v>-0.21889159999999899</v>
      </c>
      <c r="AE6616">
        <v>-4.4900000000012603E-2</v>
      </c>
      <c r="AF6616">
        <v>6.08821139461138E-2</v>
      </c>
      <c r="AG6616">
        <v>-0.21889159999999899</v>
      </c>
      <c r="AH6616">
        <v>0.51361702002722898</v>
      </c>
      <c r="AI6616">
        <v>112.938752667892</v>
      </c>
      <c r="AJ6616">
        <v>83.239930379704205</v>
      </c>
      <c r="AK6616">
        <v>0.56162497060828598</v>
      </c>
    </row>
    <row r="6617" spans="1:37" x14ac:dyDescent="0.2">
      <c r="A6617" t="str">
        <f>"20200111160038639"</f>
        <v>20200111160038639</v>
      </c>
      <c r="B6617" t="str">
        <f>"1578729638627588"</f>
        <v>1578729638627588</v>
      </c>
      <c r="C6617" t="s">
        <v>37</v>
      </c>
      <c r="D6617">
        <v>6.2610260000000002</v>
      </c>
      <c r="E6617">
        <v>0.545983</v>
      </c>
      <c r="F6617" t="s">
        <v>38</v>
      </c>
      <c r="G6617">
        <v>-161.15350000000001</v>
      </c>
      <c r="H6617">
        <v>0.89149029999999996</v>
      </c>
      <c r="I6617">
        <v>135.96449999999999</v>
      </c>
      <c r="J6617">
        <v>-161.73570000000001</v>
      </c>
      <c r="K6617">
        <v>1.1074580000000001</v>
      </c>
      <c r="L6617">
        <v>136.00839999999999</v>
      </c>
      <c r="M6617">
        <v>0.99824389999999996</v>
      </c>
      <c r="N6617">
        <v>0</v>
      </c>
      <c r="O6617">
        <v>4.2555229999999999E-2</v>
      </c>
      <c r="P6617">
        <v>0.9959171</v>
      </c>
      <c r="Q6617">
        <v>-6.4469189999999996E-2</v>
      </c>
      <c r="R6617">
        <v>6.3188759999999997E-2</v>
      </c>
      <c r="S6617">
        <v>2.9631500000000002</v>
      </c>
      <c r="T6617">
        <v>-0.92533220000000005</v>
      </c>
      <c r="U6617">
        <v>-0.16236879999999901</v>
      </c>
      <c r="V6617">
        <v>-2.0698419999999999E-2</v>
      </c>
      <c r="W6617">
        <v>-2.3313850000000001E-2</v>
      </c>
      <c r="X6617">
        <v>0.99951389999999996</v>
      </c>
      <c r="Y6617">
        <v>9.0852340000000004E-2</v>
      </c>
      <c r="Z6617">
        <v>-2.6828749999999998E-2</v>
      </c>
      <c r="AA6617">
        <v>0.99550289999999997</v>
      </c>
      <c r="AB6617">
        <v>12</v>
      </c>
      <c r="AC6617">
        <v>0.58220000000000005</v>
      </c>
      <c r="AD6617">
        <v>-0.21596770000000001</v>
      </c>
      <c r="AE6617">
        <v>-4.3900000000007801E-2</v>
      </c>
      <c r="AF6617">
        <v>6.0393445176888098E-2</v>
      </c>
      <c r="AG6617">
        <v>-0.21596770000000001</v>
      </c>
      <c r="AH6617">
        <v>0.51001786128703197</v>
      </c>
      <c r="AI6617">
        <v>112.80740109551699</v>
      </c>
      <c r="AJ6617">
        <v>83.246803396219903</v>
      </c>
      <c r="AK6617">
        <v>0.55714238260558002</v>
      </c>
    </row>
    <row r="6618" spans="1:37" x14ac:dyDescent="0.2">
      <c r="A6618" t="str">
        <f>"20200111160038662"</f>
        <v>20200111160038662</v>
      </c>
      <c r="B6618" t="str">
        <f>"1578729638657845"</f>
        <v>1578729638657845</v>
      </c>
      <c r="C6618" t="s">
        <v>37</v>
      </c>
      <c r="D6618">
        <v>6.2484269999999897</v>
      </c>
      <c r="E6618">
        <v>0.54559859999999905</v>
      </c>
      <c r="F6618" t="s">
        <v>38</v>
      </c>
      <c r="G6618">
        <v>-161.0514</v>
      </c>
      <c r="H6618">
        <v>0.89342670000000002</v>
      </c>
      <c r="I6618">
        <v>135.97110000000001</v>
      </c>
      <c r="J6618">
        <v>-161.6234</v>
      </c>
      <c r="K6618">
        <v>1.1072649999999999</v>
      </c>
      <c r="L6618">
        <v>136.01439999999999</v>
      </c>
      <c r="M6618">
        <v>0.99822269999999902</v>
      </c>
      <c r="N6618">
        <v>0</v>
      </c>
      <c r="O6618">
        <v>4.3538350000000003E-2</v>
      </c>
      <c r="P6618">
        <v>0.99578389999999894</v>
      </c>
      <c r="Q6618">
        <v>-6.5045569999999997E-2</v>
      </c>
      <c r="R6618">
        <v>6.4680940000000006E-2</v>
      </c>
      <c r="S6618">
        <v>2.962494</v>
      </c>
      <c r="T6618">
        <v>-0.9266394</v>
      </c>
      <c r="U6618">
        <v>-0.16052249999999901</v>
      </c>
      <c r="V6618">
        <v>-2.121164E-2</v>
      </c>
      <c r="W6618">
        <v>-2.4410189999999998E-2</v>
      </c>
      <c r="X6618">
        <v>0.99947699999999995</v>
      </c>
      <c r="Y6618">
        <v>9.1143799999999997E-2</v>
      </c>
      <c r="Z6618">
        <v>-2.7215530000000002E-2</v>
      </c>
      <c r="AA6618">
        <v>0.99546579999999996</v>
      </c>
      <c r="AB6618">
        <v>12</v>
      </c>
      <c r="AC6618">
        <v>0.57200000000000195</v>
      </c>
      <c r="AD6618">
        <v>-0.21383829999999901</v>
      </c>
      <c r="AE6618">
        <v>-4.3299999999987897E-2</v>
      </c>
      <c r="AF6618">
        <v>5.9864533196053303E-2</v>
      </c>
      <c r="AG6618">
        <v>-0.21383829999999901</v>
      </c>
      <c r="AH6618">
        <v>0.50007789814010295</v>
      </c>
      <c r="AI6618">
        <v>113.00503700765501</v>
      </c>
      <c r="AJ6618">
        <v>83.173583558555194</v>
      </c>
      <c r="AK6618">
        <v>0.54716403855689799</v>
      </c>
    </row>
    <row r="6619" spans="1:37" x14ac:dyDescent="0.2">
      <c r="A6619" t="str">
        <f>"20200111160038685"</f>
        <v>20200111160038685</v>
      </c>
      <c r="B6619" t="str">
        <f>"1578729638678341"</f>
        <v>1578729638678341</v>
      </c>
      <c r="C6619" t="s">
        <v>37</v>
      </c>
      <c r="D6619">
        <v>6.3064479999999996</v>
      </c>
      <c r="E6619">
        <v>0.54583009999999998</v>
      </c>
      <c r="F6619" t="s">
        <v>38</v>
      </c>
      <c r="G6619">
        <v>-160.95230000000001</v>
      </c>
      <c r="H6619">
        <v>0.89625390000000005</v>
      </c>
      <c r="I6619">
        <v>135.9796</v>
      </c>
      <c r="J6619">
        <v>-161.51740000000001</v>
      </c>
      <c r="K6619">
        <v>1.1071309999999901</v>
      </c>
      <c r="L6619">
        <v>136.02029999999999</v>
      </c>
      <c r="M6619">
        <v>0.9981949</v>
      </c>
      <c r="N6619">
        <v>0</v>
      </c>
      <c r="O6619">
        <v>4.4468309999999997E-2</v>
      </c>
      <c r="P6619">
        <v>0.9955832</v>
      </c>
      <c r="Q6619">
        <v>-6.6412509999999994E-2</v>
      </c>
      <c r="R6619">
        <v>6.6359589999999996E-2</v>
      </c>
      <c r="S6619">
        <v>2.9617610000000001</v>
      </c>
      <c r="T6619">
        <v>-0.93140879999999904</v>
      </c>
      <c r="U6619">
        <v>-0.1526489</v>
      </c>
      <c r="V6619">
        <v>-2.196847E-2</v>
      </c>
      <c r="W6619">
        <v>-2.6105940000000001E-2</v>
      </c>
      <c r="X6619">
        <v>0.99941780000000002</v>
      </c>
      <c r="Y6619">
        <v>8.9414270000000004E-2</v>
      </c>
      <c r="Z6619">
        <v>-2.7377229999999999E-2</v>
      </c>
      <c r="AA6619">
        <v>0.99561819999999901</v>
      </c>
      <c r="AB6619">
        <v>11</v>
      </c>
      <c r="AC6619">
        <v>0.56510000000000005</v>
      </c>
      <c r="AD6619">
        <v>-0.21087709999999901</v>
      </c>
      <c r="AE6619">
        <v>-4.0699999999986802E-2</v>
      </c>
      <c r="AF6619">
        <v>5.7801633322662201E-2</v>
      </c>
      <c r="AG6619">
        <v>-0.21087709999999901</v>
      </c>
      <c r="AH6619">
        <v>0.49425663382707002</v>
      </c>
      <c r="AI6619">
        <v>112.965632126259</v>
      </c>
      <c r="AJ6619">
        <v>83.329751789095994</v>
      </c>
      <c r="AK6619">
        <v>0.54046257983438895</v>
      </c>
    </row>
    <row r="6620" spans="1:37" x14ac:dyDescent="0.2">
      <c r="A6620" t="str">
        <f>"20200111160038707"</f>
        <v>20200111160038707</v>
      </c>
      <c r="B6620" t="str">
        <f>"1578729638697861"</f>
        <v>1578729638697861</v>
      </c>
      <c r="C6620" t="s">
        <v>37</v>
      </c>
      <c r="D6620">
        <v>6.1118139999999999</v>
      </c>
      <c r="E6620">
        <v>0.56667860000000003</v>
      </c>
      <c r="F6620" t="s">
        <v>38</v>
      </c>
      <c r="G6620">
        <v>-160.85740000000001</v>
      </c>
      <c r="H6620">
        <v>0.89936070000000001</v>
      </c>
      <c r="I6620">
        <v>135.98689999999999</v>
      </c>
      <c r="J6620">
        <v>-161.41659999999999</v>
      </c>
      <c r="K6620">
        <v>1.1070690000000001</v>
      </c>
      <c r="L6620">
        <v>136.02590000000001</v>
      </c>
      <c r="M6620">
        <v>0.99815549999999997</v>
      </c>
      <c r="N6620">
        <v>0</v>
      </c>
      <c r="O6620">
        <v>4.5382020000000002E-2</v>
      </c>
      <c r="P6620">
        <v>0.99535209999999996</v>
      </c>
      <c r="Q6620">
        <v>-6.8240419999999996E-2</v>
      </c>
      <c r="R6620">
        <v>6.7951869999999998E-2</v>
      </c>
      <c r="S6620">
        <v>2.9611049999999999</v>
      </c>
      <c r="T6620">
        <v>-0.93223929999999999</v>
      </c>
      <c r="U6620">
        <v>-0.1494598</v>
      </c>
      <c r="V6620">
        <v>-2.265928E-2</v>
      </c>
      <c r="W6620">
        <v>-2.79765999999999E-2</v>
      </c>
      <c r="X6620">
        <v>0.99935169999999995</v>
      </c>
      <c r="Y6620">
        <v>8.9218110000000003E-2</v>
      </c>
      <c r="Z6620">
        <v>-2.7657640000000001E-2</v>
      </c>
      <c r="AA6620">
        <v>0.99562809999999902</v>
      </c>
      <c r="AB6620">
        <v>11</v>
      </c>
      <c r="AC6620">
        <v>0.55919999999997505</v>
      </c>
      <c r="AD6620">
        <v>-0.20770830000000001</v>
      </c>
      <c r="AE6620">
        <v>-3.9000000000015599E-2</v>
      </c>
      <c r="AF6620">
        <v>5.6588513494860798E-2</v>
      </c>
      <c r="AG6620">
        <v>-0.20770830000000001</v>
      </c>
      <c r="AH6620">
        <v>0.48962654562673702</v>
      </c>
      <c r="AI6620">
        <v>112.85117200235599</v>
      </c>
      <c r="AJ6620">
        <v>83.407299268111601</v>
      </c>
      <c r="AK6620">
        <v>0.53486367602485296</v>
      </c>
    </row>
    <row r="6621" spans="1:37" x14ac:dyDescent="0.2">
      <c r="A6621" t="str">
        <f>"20200111160038730"</f>
        <v>20200111160038730</v>
      </c>
      <c r="B6621" t="str">
        <f>"1578729638718357"</f>
        <v>1578729638718357</v>
      </c>
      <c r="C6621" t="s">
        <v>37</v>
      </c>
      <c r="D6621">
        <v>6.0257829999999997</v>
      </c>
      <c r="E6621">
        <v>0.56959259999999901</v>
      </c>
      <c r="F6621" t="s">
        <v>38</v>
      </c>
      <c r="G6621">
        <v>-160.69319999999999</v>
      </c>
      <c r="H6621">
        <v>0.87403419999999898</v>
      </c>
      <c r="I6621">
        <v>135.9504</v>
      </c>
      <c r="J6621">
        <v>-161.32249999999999</v>
      </c>
      <c r="K6621">
        <v>1.107029</v>
      </c>
      <c r="L6621">
        <v>136.03129999999999</v>
      </c>
      <c r="M6621">
        <v>0.99811399999999995</v>
      </c>
      <c r="N6621">
        <v>0</v>
      </c>
      <c r="O6621">
        <v>4.626649E-2</v>
      </c>
      <c r="P6621">
        <v>0.995162199999999</v>
      </c>
      <c r="Q6621">
        <v>-6.9628510000000005E-2</v>
      </c>
      <c r="R6621">
        <v>6.9313819999999998E-2</v>
      </c>
      <c r="S6621">
        <v>2.9695589999999998</v>
      </c>
      <c r="T6621">
        <v>-0.95670619999999995</v>
      </c>
      <c r="U6621">
        <v>-0.30970759999999897</v>
      </c>
      <c r="V6621">
        <v>-2.3147770000000002E-2</v>
      </c>
      <c r="W6621">
        <v>-2.934092E-2</v>
      </c>
      <c r="X6621">
        <v>0.99930140000000001</v>
      </c>
      <c r="Y6621">
        <v>0.14031749999999901</v>
      </c>
      <c r="Z6621">
        <v>-3.6507480000000002E-2</v>
      </c>
      <c r="AA6621">
        <v>0.98943329999999996</v>
      </c>
      <c r="AB6621">
        <v>10</v>
      </c>
      <c r="AC6621">
        <v>0.62929999999999997</v>
      </c>
      <c r="AD6621">
        <v>-0.2329948</v>
      </c>
      <c r="AE6621">
        <v>-8.0899999999985497E-2</v>
      </c>
      <c r="AF6621">
        <v>9.6887019529302496E-2</v>
      </c>
      <c r="AG6621">
        <v>-0.2329948</v>
      </c>
      <c r="AH6621">
        <v>0.55062584642886903</v>
      </c>
      <c r="AI6621">
        <v>112.623598827477</v>
      </c>
      <c r="AJ6621">
        <v>80.020505168609304</v>
      </c>
      <c r="AK6621">
        <v>0.60569174844620399</v>
      </c>
    </row>
    <row r="6622" spans="1:37" x14ac:dyDescent="0.2">
      <c r="A6622" t="str">
        <f>"20200111160038774"</f>
        <v>20200111160038774</v>
      </c>
      <c r="B6622" t="str">
        <f>"1578729638768132"</f>
        <v>1578729638768132</v>
      </c>
      <c r="C6622" t="s">
        <v>37</v>
      </c>
      <c r="D6622">
        <v>5.8707669999999998</v>
      </c>
      <c r="E6622">
        <v>0.57117109999999904</v>
      </c>
      <c r="F6622" t="s">
        <v>38</v>
      </c>
      <c r="G6622">
        <v>-160.6122</v>
      </c>
      <c r="H6622">
        <v>0.8755366</v>
      </c>
      <c r="I6622">
        <v>135.9529</v>
      </c>
      <c r="J6622">
        <v>-161.15190000000001</v>
      </c>
      <c r="K6622">
        <v>1.1069450000000001</v>
      </c>
      <c r="L6622">
        <v>136.0412</v>
      </c>
      <c r="M6622">
        <v>0.9980502</v>
      </c>
      <c r="N6622">
        <v>0</v>
      </c>
      <c r="O6622">
        <v>4.7820689999999999E-2</v>
      </c>
      <c r="P6622">
        <v>0.99501059999999997</v>
      </c>
      <c r="Q6622">
        <v>-7.1209789999999995E-2</v>
      </c>
      <c r="R6622">
        <v>6.9882239999999998E-2</v>
      </c>
      <c r="S6622">
        <v>2.9696500000000001</v>
      </c>
      <c r="T6622">
        <v>-0.96785810000000005</v>
      </c>
      <c r="U6622">
        <v>-0.32736209999999999</v>
      </c>
      <c r="V6622">
        <v>-2.2174470000000002E-2</v>
      </c>
      <c r="W6622">
        <v>-3.115122E-2</v>
      </c>
      <c r="X6622">
        <v>0.99926870000000001</v>
      </c>
      <c r="Y6622">
        <v>0.147034</v>
      </c>
      <c r="Z6622">
        <v>-3.8457669999999999E-2</v>
      </c>
      <c r="AA6622">
        <v>0.98838349999999897</v>
      </c>
      <c r="AB6622">
        <v>9</v>
      </c>
      <c r="AC6622">
        <v>0.53970000000000995</v>
      </c>
      <c r="AD6622">
        <v>-0.23140839999999999</v>
      </c>
      <c r="AE6622">
        <v>-8.8300000000003806E-2</v>
      </c>
      <c r="AF6622">
        <v>9.6711896985514301E-2</v>
      </c>
      <c r="AG6622">
        <v>-0.23140839999999999</v>
      </c>
      <c r="AH6622">
        <v>0.45363158936753001</v>
      </c>
      <c r="AI6622">
        <v>116.51515006770499</v>
      </c>
      <c r="AJ6622">
        <v>77.965016810136106</v>
      </c>
      <c r="AK6622">
        <v>0.51834800808067905</v>
      </c>
    </row>
    <row r="6623" spans="1:37" x14ac:dyDescent="0.2">
      <c r="A6623" t="str">
        <f>"20200111160038796"</f>
        <v>20200111160038796</v>
      </c>
      <c r="B6623" t="str">
        <f>"1578729638788628"</f>
        <v>1578729638788628</v>
      </c>
      <c r="C6623" t="s">
        <v>37</v>
      </c>
      <c r="D6623">
        <v>5.8625400000000001</v>
      </c>
      <c r="E6623">
        <v>0.57189730000000005</v>
      </c>
      <c r="F6623" t="s">
        <v>38</v>
      </c>
      <c r="G6623">
        <v>-160.4598</v>
      </c>
      <c r="H6623">
        <v>0.88387780000000005</v>
      </c>
      <c r="I6623">
        <v>135.9624</v>
      </c>
      <c r="J6623">
        <v>-161.0763</v>
      </c>
      <c r="K6623">
        <v>1.106919</v>
      </c>
      <c r="L6623">
        <v>136.04570000000001</v>
      </c>
      <c r="M6623">
        <v>0.99802639999999998</v>
      </c>
      <c r="N6623">
        <v>0</v>
      </c>
      <c r="O6623">
        <v>4.84546E-2</v>
      </c>
      <c r="P6623">
        <v>0.99496689999999999</v>
      </c>
      <c r="Q6623">
        <v>-7.2405259999999999E-2</v>
      </c>
      <c r="R6623">
        <v>6.927374E-2</v>
      </c>
      <c r="S6623">
        <v>2.9702299999999999</v>
      </c>
      <c r="T6623">
        <v>-0.95751520000000001</v>
      </c>
      <c r="U6623">
        <v>-0.3375397</v>
      </c>
      <c r="V6623">
        <v>-2.093706E-2</v>
      </c>
      <c r="W6623">
        <v>-3.2518430000000001E-2</v>
      </c>
      <c r="X6623">
        <v>0.99925180000000002</v>
      </c>
      <c r="Y6623">
        <v>0.1509694</v>
      </c>
      <c r="Z6623">
        <v>-3.8868670000000001E-2</v>
      </c>
      <c r="AA6623">
        <v>0.98777399999999904</v>
      </c>
      <c r="AB6623">
        <v>9</v>
      </c>
      <c r="AC6623">
        <v>0.61650000000000205</v>
      </c>
      <c r="AD6623">
        <v>-0.223041199999999</v>
      </c>
      <c r="AE6623">
        <v>-8.3300000000008298E-2</v>
      </c>
      <c r="AF6623">
        <v>0.100216091348638</v>
      </c>
      <c r="AG6623">
        <v>-0.223041199999999</v>
      </c>
      <c r="AH6623">
        <v>0.54205774643762805</v>
      </c>
      <c r="AI6623">
        <v>112.02896217171001</v>
      </c>
      <c r="AJ6623">
        <v>79.525383442097606</v>
      </c>
      <c r="AK6623">
        <v>0.59465724777865003</v>
      </c>
    </row>
    <row r="6624" spans="1:37" x14ac:dyDescent="0.2">
      <c r="A6624" t="str">
        <f>"20200111160038818"</f>
        <v>20200111160038818</v>
      </c>
      <c r="B6624" t="str">
        <f>"1578729638808148"</f>
        <v>1578729638808148</v>
      </c>
      <c r="C6624" t="s">
        <v>37</v>
      </c>
      <c r="D6624">
        <v>5.7688639999999998</v>
      </c>
      <c r="E6624">
        <v>0.57243049999999995</v>
      </c>
      <c r="F6624" t="s">
        <v>38</v>
      </c>
      <c r="G6624">
        <v>-160.38999999999999</v>
      </c>
      <c r="H6624">
        <v>0.88728399999999996</v>
      </c>
      <c r="I6624">
        <v>135.96559999999999</v>
      </c>
      <c r="J6624">
        <v>-161.00380000000001</v>
      </c>
      <c r="K6624">
        <v>1.106905</v>
      </c>
      <c r="L6624">
        <v>136.05000000000001</v>
      </c>
      <c r="M6624">
        <v>0.99800259999999996</v>
      </c>
      <c r="N6624">
        <v>0</v>
      </c>
      <c r="O6624">
        <v>4.905114E-2</v>
      </c>
      <c r="P6624">
        <v>0.99509840000000005</v>
      </c>
      <c r="Q6624">
        <v>-7.1250759999999996E-2</v>
      </c>
      <c r="R6624">
        <v>6.8577250000000006E-2</v>
      </c>
      <c r="S6624">
        <v>2.970078</v>
      </c>
      <c r="T6624">
        <v>-0.9505036</v>
      </c>
      <c r="U6624">
        <v>-0.34596250000000001</v>
      </c>
      <c r="V6624">
        <v>-1.9641180000000001E-2</v>
      </c>
      <c r="W6624">
        <v>-3.1491709999999999E-2</v>
      </c>
      <c r="X6624">
        <v>0.99931099999999995</v>
      </c>
      <c r="Y6624">
        <v>0.15428039999999901</v>
      </c>
      <c r="Z6624">
        <v>-3.9294959999999997E-2</v>
      </c>
      <c r="AA6624">
        <v>0.98724539999999905</v>
      </c>
      <c r="AB6624">
        <v>8</v>
      </c>
      <c r="AC6624">
        <v>0.61380000000002599</v>
      </c>
      <c r="AD6624">
        <v>-0.21962100000000001</v>
      </c>
      <c r="AE6624">
        <v>-8.4400000000016406E-2</v>
      </c>
      <c r="AF6624">
        <v>0.101656655413288</v>
      </c>
      <c r="AG6624">
        <v>-0.21962100000000001</v>
      </c>
      <c r="AH6624">
        <v>0.54094725873524796</v>
      </c>
      <c r="AI6624">
        <v>111.752442191274</v>
      </c>
      <c r="AJ6624">
        <v>79.356910630924801</v>
      </c>
      <c r="AK6624">
        <v>0.59261403625293496</v>
      </c>
    </row>
    <row r="6625" spans="1:37" x14ac:dyDescent="0.2">
      <c r="A6625" t="str">
        <f>"20200111160038840"</f>
        <v>20200111160038840</v>
      </c>
      <c r="B6625" t="str">
        <f>"1578729638838404"</f>
        <v>1578729638838404</v>
      </c>
      <c r="C6625" t="s">
        <v>37</v>
      </c>
      <c r="D6625">
        <v>5.7893739999999996</v>
      </c>
      <c r="E6625">
        <v>0.57313389999999997</v>
      </c>
      <c r="F6625" t="s">
        <v>38</v>
      </c>
      <c r="G6625">
        <v>-160.3237</v>
      </c>
      <c r="H6625">
        <v>0.89200709999999905</v>
      </c>
      <c r="I6625">
        <v>135.9693</v>
      </c>
      <c r="J6625">
        <v>-160.93369999999999</v>
      </c>
      <c r="K6625">
        <v>1.1066799999999899</v>
      </c>
      <c r="L6625">
        <v>136.05420000000001</v>
      </c>
      <c r="M6625">
        <v>0.99801269999999997</v>
      </c>
      <c r="N6625">
        <v>0</v>
      </c>
      <c r="O6625">
        <v>4.9672510000000003E-2</v>
      </c>
      <c r="P6625">
        <v>0.99532529999999997</v>
      </c>
      <c r="Q6625">
        <v>-6.8661589999999995E-2</v>
      </c>
      <c r="R6625">
        <v>6.7920190000000005E-2</v>
      </c>
      <c r="S6625">
        <v>2.9718019999999998</v>
      </c>
      <c r="T6625">
        <v>-0.93911230000000001</v>
      </c>
      <c r="U6625">
        <v>-0.35221859999999999</v>
      </c>
      <c r="V6625">
        <v>-1.8355469999999999E-2</v>
      </c>
      <c r="W6625">
        <v>-2.993635E-2</v>
      </c>
      <c r="X6625">
        <v>0.99938329999999997</v>
      </c>
      <c r="Y6625">
        <v>0.1569644</v>
      </c>
      <c r="Z6625">
        <v>-3.942358E-2</v>
      </c>
      <c r="AA6625">
        <v>0.9868171</v>
      </c>
      <c r="AB6625">
        <v>8</v>
      </c>
      <c r="AC6625">
        <v>0.609999999999985</v>
      </c>
      <c r="AD6625">
        <v>-0.214672899999999</v>
      </c>
      <c r="AE6625">
        <v>-8.4900000000004597E-2</v>
      </c>
      <c r="AF6625">
        <v>0.102646872516908</v>
      </c>
      <c r="AG6625">
        <v>-0.214672899999999</v>
      </c>
      <c r="AH6625">
        <v>0.53948067470608996</v>
      </c>
      <c r="AI6625">
        <v>111.35112446458901</v>
      </c>
      <c r="AJ6625">
        <v>79.2271146286256</v>
      </c>
      <c r="AK6625">
        <v>0.589627198162747</v>
      </c>
    </row>
    <row r="6626" spans="1:37" x14ac:dyDescent="0.2">
      <c r="A6626" t="str">
        <f>"20200111160038863"</f>
        <v>20200111160038863</v>
      </c>
      <c r="B6626" t="str">
        <f>"1578729638857927"</f>
        <v>1578729638857927</v>
      </c>
      <c r="C6626" t="s">
        <v>37</v>
      </c>
      <c r="D6626">
        <v>5.7461900000000004</v>
      </c>
      <c r="E6626">
        <v>0.5729727</v>
      </c>
      <c r="F6626" t="s">
        <v>38</v>
      </c>
      <c r="G6626">
        <v>-160.25720000000001</v>
      </c>
      <c r="H6626">
        <v>0.89635109999999996</v>
      </c>
      <c r="I6626">
        <v>135.97229999999999</v>
      </c>
      <c r="J6626">
        <v>-160.8605</v>
      </c>
      <c r="K6626">
        <v>1.1062809999999901</v>
      </c>
      <c r="L6626">
        <v>136.05860000000001</v>
      </c>
      <c r="M6626">
        <v>0.99805350000000004</v>
      </c>
      <c r="N6626">
        <v>0</v>
      </c>
      <c r="O6626">
        <v>5.0368679999999999E-2</v>
      </c>
      <c r="P6626">
        <v>0.99554959999999904</v>
      </c>
      <c r="Q6626">
        <v>-6.5150559999999996E-2</v>
      </c>
      <c r="R6626">
        <v>6.8093710000000002E-2</v>
      </c>
      <c r="S6626">
        <v>2.9748380000000001</v>
      </c>
      <c r="T6626">
        <v>-0.92502269999999898</v>
      </c>
      <c r="U6626">
        <v>-0.35966490000000001</v>
      </c>
      <c r="V6626">
        <v>-1.782444E-2</v>
      </c>
      <c r="W6626">
        <v>-2.84166E-2</v>
      </c>
      <c r="X6626">
        <v>0.99943719999999903</v>
      </c>
      <c r="Y6626">
        <v>0.16009849999999901</v>
      </c>
      <c r="Z6626">
        <v>-3.950029E-2</v>
      </c>
      <c r="AA6626">
        <v>0.98631039999999903</v>
      </c>
      <c r="AB6626">
        <v>7</v>
      </c>
      <c r="AC6626">
        <v>0.60329999999998996</v>
      </c>
      <c r="AD6626">
        <v>-0.209929899999999</v>
      </c>
      <c r="AE6626">
        <v>-8.6300000000022595E-2</v>
      </c>
      <c r="AF6626">
        <v>0.104230823083513</v>
      </c>
      <c r="AG6626">
        <v>-0.209929899999999</v>
      </c>
      <c r="AH6626">
        <v>0.53473464718171804</v>
      </c>
      <c r="AI6626">
        <v>111.073423696175</v>
      </c>
      <c r="AJ6626">
        <v>78.970171135844396</v>
      </c>
      <c r="AK6626">
        <v>0.58384567335147197</v>
      </c>
    </row>
    <row r="6627" spans="1:37" x14ac:dyDescent="0.2">
      <c r="A6627" t="str">
        <f>"20200111160038886"</f>
        <v>20200111160038886</v>
      </c>
      <c r="B6627" t="str">
        <f>"1578729638878420"</f>
        <v>1578729638878420</v>
      </c>
      <c r="C6627" t="s">
        <v>37</v>
      </c>
      <c r="D6627">
        <v>5.730232</v>
      </c>
      <c r="E6627">
        <v>0.57287759999999999</v>
      </c>
      <c r="F6627" t="s">
        <v>38</v>
      </c>
      <c r="G6627">
        <v>-160.19110000000001</v>
      </c>
      <c r="H6627">
        <v>0.90074529999999997</v>
      </c>
      <c r="I6627">
        <v>135.97799999999901</v>
      </c>
      <c r="J6627">
        <v>-160.79069999999999</v>
      </c>
      <c r="K6627">
        <v>1.1060369999999999</v>
      </c>
      <c r="L6627">
        <v>136.06290000000001</v>
      </c>
      <c r="M6627">
        <v>0.99807939999999995</v>
      </c>
      <c r="N6627">
        <v>0</v>
      </c>
      <c r="O6627">
        <v>5.1017279999999998E-2</v>
      </c>
      <c r="P6627">
        <v>0.99566270000000001</v>
      </c>
      <c r="Q6627">
        <v>-6.3206890000000002E-2</v>
      </c>
      <c r="R6627">
        <v>6.8271059999999995E-2</v>
      </c>
      <c r="S6627">
        <v>2.978027</v>
      </c>
      <c r="T6627">
        <v>-0.91451489999999902</v>
      </c>
      <c r="U6627">
        <v>-0.35786440000000003</v>
      </c>
      <c r="V6627">
        <v>-1.7350399999999998E-2</v>
      </c>
      <c r="W6627">
        <v>-2.8103360000000001E-2</v>
      </c>
      <c r="X6627">
        <v>0.99945439999999997</v>
      </c>
      <c r="Y6627">
        <v>0.16022320000000001</v>
      </c>
      <c r="Z6627">
        <v>-3.9244849999999998E-2</v>
      </c>
      <c r="AA6627">
        <v>0.98630030000000002</v>
      </c>
      <c r="AB6627">
        <v>7</v>
      </c>
      <c r="AC6627">
        <v>0.59959999999998004</v>
      </c>
      <c r="AD6627">
        <v>-0.20529169999999999</v>
      </c>
      <c r="AE6627">
        <v>-8.4900000000033005E-2</v>
      </c>
      <c r="AF6627">
        <v>0.10350346998712399</v>
      </c>
      <c r="AG6627">
        <v>-0.20529169999999999</v>
      </c>
      <c r="AH6627">
        <v>0.53320755343308501</v>
      </c>
      <c r="AI6627">
        <v>110.70447421551199</v>
      </c>
      <c r="AJ6627">
        <v>79.014660209608095</v>
      </c>
      <c r="AK6627">
        <v>0.58066164452834501</v>
      </c>
    </row>
    <row r="6628" spans="1:37" x14ac:dyDescent="0.2">
      <c r="A6628" t="str">
        <f>"20200111160038907"</f>
        <v>20200111160038907</v>
      </c>
      <c r="B6628" t="str">
        <f>"1578729638897941"</f>
        <v>1578729638897941</v>
      </c>
      <c r="C6628" t="s">
        <v>37</v>
      </c>
      <c r="D6628">
        <v>5.6782859999999999</v>
      </c>
      <c r="E6628">
        <v>0.57299979999999995</v>
      </c>
      <c r="F6628" t="s">
        <v>38</v>
      </c>
      <c r="G6628">
        <v>-160.07820000000001</v>
      </c>
      <c r="H6628">
        <v>0.888741</v>
      </c>
      <c r="I6628">
        <v>135.9777</v>
      </c>
      <c r="J6628">
        <v>-160.7296</v>
      </c>
      <c r="K6628">
        <v>1.106177</v>
      </c>
      <c r="L6628">
        <v>136.0667</v>
      </c>
      <c r="M6628">
        <v>0.99805519999999903</v>
      </c>
      <c r="N6628">
        <v>0</v>
      </c>
      <c r="O6628">
        <v>5.1553920000000003E-2</v>
      </c>
      <c r="P6628">
        <v>0.99568369999999995</v>
      </c>
      <c r="Q6628">
        <v>-6.3356120000000002E-2</v>
      </c>
      <c r="R6628">
        <v>6.7825399999999994E-2</v>
      </c>
      <c r="S6628">
        <v>2.979813</v>
      </c>
      <c r="T6628">
        <v>-0.90877389999999902</v>
      </c>
      <c r="U6628">
        <v>-0.35595700000000002</v>
      </c>
      <c r="V6628">
        <v>-1.637044E-2</v>
      </c>
      <c r="W6628">
        <v>-2.8348479999999999E-2</v>
      </c>
      <c r="X6628">
        <v>0.99946399999999902</v>
      </c>
      <c r="Y6628">
        <v>0.1601668</v>
      </c>
      <c r="Z6628">
        <v>-3.9139489999999999E-2</v>
      </c>
      <c r="AA6628">
        <v>0.98631369999999896</v>
      </c>
      <c r="AB6628">
        <v>7</v>
      </c>
      <c r="AC6628">
        <v>0.65139999999999498</v>
      </c>
      <c r="AD6628">
        <v>-0.21743599999999999</v>
      </c>
      <c r="AE6628">
        <v>-8.8999999999998594E-2</v>
      </c>
      <c r="AF6628">
        <v>0.110408018379302</v>
      </c>
      <c r="AG6628">
        <v>-0.21743599999999999</v>
      </c>
      <c r="AH6628">
        <v>0.58225497501430101</v>
      </c>
      <c r="AI6628">
        <v>110.14807930654</v>
      </c>
      <c r="AJ6628">
        <v>79.262969331658795</v>
      </c>
      <c r="AK6628">
        <v>0.63126001025516298</v>
      </c>
    </row>
    <row r="6629" spans="1:37" x14ac:dyDescent="0.2">
      <c r="A6629" t="str">
        <f>"20200111160038930"</f>
        <v>20200111160038930</v>
      </c>
      <c r="B6629" t="str">
        <f>"1578729638918436"</f>
        <v>1578729638918436</v>
      </c>
      <c r="C6629" t="s">
        <v>37</v>
      </c>
      <c r="D6629">
        <v>5.6585449999999904</v>
      </c>
      <c r="E6629">
        <v>0.57295629999999997</v>
      </c>
      <c r="F6629" t="s">
        <v>38</v>
      </c>
      <c r="G6629">
        <v>-160.0265</v>
      </c>
      <c r="H6629">
        <v>0.89236870000000001</v>
      </c>
      <c r="I6629">
        <v>135.98220000000001</v>
      </c>
      <c r="J6629">
        <v>-160.67500000000001</v>
      </c>
      <c r="K6629">
        <v>1.106476</v>
      </c>
      <c r="L6629">
        <v>136.0701</v>
      </c>
      <c r="M6629">
        <v>0.99800689999999903</v>
      </c>
      <c r="N6629">
        <v>0</v>
      </c>
      <c r="O6629">
        <v>5.2014280000000003E-2</v>
      </c>
      <c r="P6629">
        <v>0.9957144</v>
      </c>
      <c r="Q6629">
        <v>-6.3308139999999999E-2</v>
      </c>
      <c r="R6629">
        <v>6.741772E-2</v>
      </c>
      <c r="S6629">
        <v>2.9797060000000002</v>
      </c>
      <c r="T6629">
        <v>-0.90618319999999997</v>
      </c>
      <c r="U6629">
        <v>-0.35765079999999999</v>
      </c>
      <c r="V6629">
        <v>-1.550385E-2</v>
      </c>
      <c r="W6629">
        <v>-2.7610240000000001E-2</v>
      </c>
      <c r="X6629">
        <v>0.99949849999999996</v>
      </c>
      <c r="Y6629">
        <v>0.16116710000000001</v>
      </c>
      <c r="Z6629">
        <v>-3.9318069999999997E-2</v>
      </c>
      <c r="AA6629">
        <v>0.98614360000000001</v>
      </c>
      <c r="AB6629">
        <v>6</v>
      </c>
      <c r="AC6629">
        <v>0.64850000000001196</v>
      </c>
      <c r="AD6629">
        <v>-0.2141073</v>
      </c>
      <c r="AE6629">
        <v>-8.78999999999905E-2</v>
      </c>
      <c r="AF6629">
        <v>0.109782785473424</v>
      </c>
      <c r="AG6629">
        <v>-0.2141073</v>
      </c>
      <c r="AH6629">
        <v>0.58087099376859097</v>
      </c>
      <c r="AI6629">
        <v>109.909634829197</v>
      </c>
      <c r="AJ6629">
        <v>79.297517011076494</v>
      </c>
      <c r="AK6629">
        <v>0.62873309703029301</v>
      </c>
    </row>
    <row r="6630" spans="1:37" x14ac:dyDescent="0.2">
      <c r="A6630" t="str">
        <f>"20200111160038952"</f>
        <v>20200111160038952</v>
      </c>
      <c r="B6630" t="str">
        <f>"1578729638947716"</f>
        <v>1578729638947716</v>
      </c>
      <c r="C6630" t="s">
        <v>37</v>
      </c>
      <c r="D6630">
        <v>5.6379279999999996</v>
      </c>
      <c r="E6630">
        <v>0.57273309999999999</v>
      </c>
      <c r="F6630" t="s">
        <v>38</v>
      </c>
      <c r="G6630">
        <v>-159.98060000000001</v>
      </c>
      <c r="H6630">
        <v>0.89536380000000004</v>
      </c>
      <c r="I6630">
        <v>135.9864</v>
      </c>
      <c r="J6630">
        <v>-160.62790000000001</v>
      </c>
      <c r="K6630">
        <v>1.1067830000000001</v>
      </c>
      <c r="L6630">
        <v>136.07299999999901</v>
      </c>
      <c r="M6630">
        <v>0.99795089999999997</v>
      </c>
      <c r="N6630">
        <v>0</v>
      </c>
      <c r="O6630">
        <v>5.2386530000000001E-2</v>
      </c>
      <c r="P6630">
        <v>0.99575519999999995</v>
      </c>
      <c r="Q6630">
        <v>-6.3009689999999993E-2</v>
      </c>
      <c r="R6630">
        <v>6.7096180000000005E-2</v>
      </c>
      <c r="S6630">
        <v>2.9795529999999899</v>
      </c>
      <c r="T6630">
        <v>-0.90605769999999997</v>
      </c>
      <c r="U6630">
        <v>-0.35798649999999999</v>
      </c>
      <c r="V6630">
        <v>-1.4809020000000001E-2</v>
      </c>
      <c r="W6630">
        <v>-2.6298539999999999E-2</v>
      </c>
      <c r="X6630">
        <v>0.9995444</v>
      </c>
      <c r="Y6630">
        <v>0.16161689999999901</v>
      </c>
      <c r="Z6630">
        <v>-3.949221E-2</v>
      </c>
      <c r="AA6630">
        <v>0.98606309999999997</v>
      </c>
      <c r="AB6630">
        <v>6</v>
      </c>
      <c r="AC6630">
        <v>0.64730000000000099</v>
      </c>
      <c r="AD6630">
        <v>-0.2114192</v>
      </c>
      <c r="AE6630">
        <v>-8.6599999999975794E-2</v>
      </c>
      <c r="AF6630">
        <v>0.10899106242673801</v>
      </c>
      <c r="AG6630">
        <v>-0.2114192</v>
      </c>
      <c r="AH6630">
        <v>0.58098171195136905</v>
      </c>
      <c r="AI6630">
        <v>109.68013644479601</v>
      </c>
      <c r="AJ6630">
        <v>79.374915270034606</v>
      </c>
      <c r="AK6630">
        <v>0.62778728837042597</v>
      </c>
    </row>
    <row r="6631" spans="1:37" x14ac:dyDescent="0.2">
      <c r="A6631" t="str">
        <f>"20200111160038975"</f>
        <v>20200111160038975</v>
      </c>
      <c r="B6631" t="str">
        <f>"1578729638968212"</f>
        <v>1578729638968212</v>
      </c>
      <c r="C6631" t="s">
        <v>37</v>
      </c>
      <c r="D6631">
        <v>5.6518519999999999</v>
      </c>
      <c r="E6631">
        <v>0.57246989999999998</v>
      </c>
      <c r="F6631" t="s">
        <v>38</v>
      </c>
      <c r="G6631">
        <v>-159.94040000000001</v>
      </c>
      <c r="H6631">
        <v>0.8979414</v>
      </c>
      <c r="I6631">
        <v>135.99029999999999</v>
      </c>
      <c r="J6631">
        <v>-160.58590000000001</v>
      </c>
      <c r="K6631">
        <v>1.1070580000000001</v>
      </c>
      <c r="L6631">
        <v>136.07560000000001</v>
      </c>
      <c r="M6631">
        <v>0.99789269999999997</v>
      </c>
      <c r="N6631">
        <v>0</v>
      </c>
      <c r="O6631">
        <v>5.2684290000000002E-2</v>
      </c>
      <c r="P6631">
        <v>0.99573299999999998</v>
      </c>
      <c r="Q6631">
        <v>-6.315954E-2</v>
      </c>
      <c r="R6631">
        <v>6.7281090000000002E-2</v>
      </c>
      <c r="S6631">
        <v>2.979584</v>
      </c>
      <c r="T6631">
        <v>-0.90535639999999995</v>
      </c>
      <c r="U6631">
        <v>-0.3574524</v>
      </c>
      <c r="V6631">
        <v>-1.46968999999999E-2</v>
      </c>
      <c r="W6631">
        <v>-2.5314679999999999E-2</v>
      </c>
      <c r="X6631">
        <v>0.99957149999999995</v>
      </c>
      <c r="Y6631">
        <v>0.161733399999999</v>
      </c>
      <c r="Z6631">
        <v>-3.9569140000000003E-2</v>
      </c>
      <c r="AA6631">
        <v>0.9860409</v>
      </c>
      <c r="AB6631">
        <v>5</v>
      </c>
      <c r="AC6631">
        <v>0.64549999999999796</v>
      </c>
      <c r="AD6631">
        <v>-0.20911660000000001</v>
      </c>
      <c r="AE6631">
        <v>-8.5300000000017903E-2</v>
      </c>
      <c r="AF6631">
        <v>0.108066513376833</v>
      </c>
      <c r="AG6631">
        <v>-0.20911660000000001</v>
      </c>
      <c r="AH6631">
        <v>0.58025244420014299</v>
      </c>
      <c r="AI6631">
        <v>109.50907801923</v>
      </c>
      <c r="AJ6631">
        <v>79.450073009882104</v>
      </c>
      <c r="AK6631">
        <v>0.62617970480464002</v>
      </c>
    </row>
    <row r="6632" spans="1:37" x14ac:dyDescent="0.2">
      <c r="A6632" t="str">
        <f>"20200111160038997"</f>
        <v>20200111160038997</v>
      </c>
      <c r="B6632" t="str">
        <f>"1578729638987733"</f>
        <v>1578729638987733</v>
      </c>
      <c r="C6632" t="s">
        <v>37</v>
      </c>
      <c r="D6632">
        <v>5.6260750000000002</v>
      </c>
      <c r="E6632">
        <v>0.57234960000000001</v>
      </c>
      <c r="F6632" t="s">
        <v>38</v>
      </c>
      <c r="G6632">
        <v>-159.9059</v>
      </c>
      <c r="H6632">
        <v>0.89990190000000003</v>
      </c>
      <c r="I6632">
        <v>135.99440000000001</v>
      </c>
      <c r="J6632">
        <v>-160.55099999999999</v>
      </c>
      <c r="K6632">
        <v>1.1072549999999901</v>
      </c>
      <c r="L6632">
        <v>136.07769999999999</v>
      </c>
      <c r="M6632">
        <v>0.997839699999999</v>
      </c>
      <c r="N6632">
        <v>0</v>
      </c>
      <c r="O6632">
        <v>5.2894969999999999E-2</v>
      </c>
      <c r="P6632">
        <v>0.99565650000000006</v>
      </c>
      <c r="Q6632">
        <v>-6.4198489999999997E-2</v>
      </c>
      <c r="R6632">
        <v>6.7431019999999994E-2</v>
      </c>
      <c r="S6632">
        <v>2.979263</v>
      </c>
      <c r="T6632">
        <v>-0.90773839999999995</v>
      </c>
      <c r="U6632">
        <v>-0.3549042</v>
      </c>
      <c r="V6632">
        <v>-1.463973E-2</v>
      </c>
      <c r="W6632">
        <v>-2.526662E-2</v>
      </c>
      <c r="X6632">
        <v>0.9995735</v>
      </c>
      <c r="Y6632">
        <v>0.1610915</v>
      </c>
      <c r="Z6632">
        <v>-3.96426E-2</v>
      </c>
      <c r="AA6632">
        <v>0.98614299999999999</v>
      </c>
      <c r="AB6632">
        <v>4</v>
      </c>
      <c r="AC6632">
        <v>0.645100000000013</v>
      </c>
      <c r="AD6632">
        <v>-0.20735309999999901</v>
      </c>
      <c r="AE6632">
        <v>-8.3299999999979904E-2</v>
      </c>
      <c r="AF6632">
        <v>0.106508170712361</v>
      </c>
      <c r="AG6632">
        <v>-0.20735309999999901</v>
      </c>
      <c r="AH6632">
        <v>0.58076760150995499</v>
      </c>
      <c r="AI6632">
        <v>109.35005961043601</v>
      </c>
      <c r="AJ6632">
        <v>79.607886473715894</v>
      </c>
      <c r="AK6632">
        <v>0.62580372759494596</v>
      </c>
    </row>
    <row r="6633" spans="1:37" x14ac:dyDescent="0.2">
      <c r="A6633" t="str">
        <f>"20200111160039018"</f>
        <v>20200111160039018</v>
      </c>
      <c r="B6633" t="str">
        <f>"1578729639008228"</f>
        <v>1578729639008228</v>
      </c>
      <c r="C6633" t="s">
        <v>37</v>
      </c>
      <c r="D6633">
        <v>5.6383799999999997</v>
      </c>
      <c r="E6633">
        <v>0.57227519999999998</v>
      </c>
      <c r="F6633" t="s">
        <v>38</v>
      </c>
      <c r="G6633">
        <v>-159.87710000000001</v>
      </c>
      <c r="H6633">
        <v>0.90095820000000004</v>
      </c>
      <c r="I6633">
        <v>135.99780000000001</v>
      </c>
      <c r="J6633">
        <v>-160.52369999999999</v>
      </c>
      <c r="K6633">
        <v>1.1073869999999999</v>
      </c>
      <c r="L6633">
        <v>136.07929999999999</v>
      </c>
      <c r="M6633">
        <v>0.99779390000000001</v>
      </c>
      <c r="N6633">
        <v>0</v>
      </c>
      <c r="O6633">
        <v>5.3030389999999997E-2</v>
      </c>
      <c r="P6633">
        <v>0.99555669999999996</v>
      </c>
      <c r="Q6633">
        <v>-6.5293619999999997E-2</v>
      </c>
      <c r="R6633">
        <v>6.7852120000000002E-2</v>
      </c>
      <c r="S6633">
        <v>2.97818</v>
      </c>
      <c r="T6633">
        <v>-0.91184599999999905</v>
      </c>
      <c r="U6633">
        <v>-0.3525085</v>
      </c>
      <c r="V6633">
        <v>-1.4929E-2</v>
      </c>
      <c r="W6633">
        <v>-2.5384199999999999E-2</v>
      </c>
      <c r="X6633">
        <v>0.99956630000000002</v>
      </c>
      <c r="Y6633">
        <v>0.16041820000000001</v>
      </c>
      <c r="Z6633">
        <v>-3.9770310000000003E-2</v>
      </c>
      <c r="AA6633">
        <v>0.9862476</v>
      </c>
      <c r="AB6633">
        <v>4</v>
      </c>
      <c r="AC6633">
        <v>0.64659999999997797</v>
      </c>
      <c r="AD6633">
        <v>-0.2064288</v>
      </c>
      <c r="AE6633">
        <v>-8.1499999999976994E-2</v>
      </c>
      <c r="AF6633">
        <v>0.10515221826455801</v>
      </c>
      <c r="AG6633">
        <v>-0.2064288</v>
      </c>
      <c r="AH6633">
        <v>0.58288353299046003</v>
      </c>
      <c r="AI6633">
        <v>109.214733213081</v>
      </c>
      <c r="AJ6633">
        <v>79.773826012757297</v>
      </c>
      <c r="AK6633">
        <v>0.627234447002744</v>
      </c>
    </row>
    <row r="6634" spans="1:37" x14ac:dyDescent="0.2">
      <c r="A6634" t="str">
        <f>"20200111160039042"</f>
        <v>20200111160039042</v>
      </c>
      <c r="B6634" t="str">
        <f>"1578729639038485"</f>
        <v>1578729639038485</v>
      </c>
      <c r="C6634" t="s">
        <v>37</v>
      </c>
      <c r="D6634">
        <v>5.6220319999999999</v>
      </c>
      <c r="E6634">
        <v>0.57222640000000002</v>
      </c>
      <c r="F6634" t="s">
        <v>38</v>
      </c>
      <c r="G6634">
        <v>-159.85380000000001</v>
      </c>
      <c r="H6634">
        <v>0.90144979999999997</v>
      </c>
      <c r="I6634">
        <v>136.00030000000001</v>
      </c>
      <c r="J6634">
        <v>-160.50210000000001</v>
      </c>
      <c r="K6634">
        <v>1.1074740000000001</v>
      </c>
      <c r="L6634">
        <v>136.0806</v>
      </c>
      <c r="M6634">
        <v>0.99775309999999995</v>
      </c>
      <c r="N6634">
        <v>0</v>
      </c>
      <c r="O6634">
        <v>5.311018E-2</v>
      </c>
      <c r="P6634">
        <v>0.99543939999999997</v>
      </c>
      <c r="Q6634">
        <v>-6.6358009999999995E-2</v>
      </c>
      <c r="R6634">
        <v>6.8536890000000003E-2</v>
      </c>
      <c r="S6634">
        <v>2.9772189999999998</v>
      </c>
      <c r="T6634">
        <v>-0.91536770000000001</v>
      </c>
      <c r="U6634">
        <v>-0.35041809999999901</v>
      </c>
      <c r="V6634">
        <v>-1.5539020000000001E-2</v>
      </c>
      <c r="W6634">
        <v>-2.5547879999999999E-2</v>
      </c>
      <c r="X6634">
        <v>0.99955280000000002</v>
      </c>
      <c r="Y6634">
        <v>0.15979749999999901</v>
      </c>
      <c r="Z6634">
        <v>-3.9862450000000001E-2</v>
      </c>
      <c r="AA6634">
        <v>0.98634460000000002</v>
      </c>
      <c r="AB6634">
        <v>3</v>
      </c>
      <c r="AC6634">
        <v>0.64830000000000598</v>
      </c>
      <c r="AD6634">
        <v>-0.20602419999999999</v>
      </c>
      <c r="AE6634">
        <v>-8.0299999999994001E-2</v>
      </c>
      <c r="AF6634">
        <v>0.104274823098105</v>
      </c>
      <c r="AG6634">
        <v>-0.20602419999999999</v>
      </c>
      <c r="AH6634">
        <v>0.58493443870835604</v>
      </c>
      <c r="AI6634">
        <v>109.12403625262699</v>
      </c>
      <c r="AJ6634">
        <v>79.892202740244002</v>
      </c>
      <c r="AK6634">
        <v>0.62886207335539102</v>
      </c>
    </row>
    <row r="6635" spans="1:37" x14ac:dyDescent="0.2">
      <c r="A6635" t="str">
        <f>"20200111160039064"</f>
        <v>20200111160039064</v>
      </c>
      <c r="B6635" t="str">
        <f>"1578729639058004"</f>
        <v>1578729639058004</v>
      </c>
      <c r="C6635" t="s">
        <v>37</v>
      </c>
      <c r="D6635">
        <v>5.6801539999999999</v>
      </c>
      <c r="E6635">
        <v>0.57218469999999999</v>
      </c>
      <c r="F6635" t="s">
        <v>38</v>
      </c>
      <c r="G6635">
        <v>-159.83580000000001</v>
      </c>
      <c r="H6635">
        <v>0.90183959999999996</v>
      </c>
      <c r="I6635">
        <v>136.0027</v>
      </c>
      <c r="J6635">
        <v>-160.48679999999999</v>
      </c>
      <c r="K6635">
        <v>1.107515</v>
      </c>
      <c r="L6635">
        <v>136.0814</v>
      </c>
      <c r="M6635">
        <v>0.99772070000000002</v>
      </c>
      <c r="N6635">
        <v>0</v>
      </c>
      <c r="O6635">
        <v>5.3132850000000002E-2</v>
      </c>
      <c r="P6635">
        <v>0.99535949999999995</v>
      </c>
      <c r="Q6635">
        <v>-6.6955829999999994E-2</v>
      </c>
      <c r="R6635">
        <v>6.9111259999999994E-2</v>
      </c>
      <c r="S6635">
        <v>2.9764400000000002</v>
      </c>
      <c r="T6635">
        <v>-0.918546999999999</v>
      </c>
      <c r="U6635">
        <v>-0.34750370000000003</v>
      </c>
      <c r="V6635">
        <v>-1.6093400000000001E-2</v>
      </c>
      <c r="W6635">
        <v>-2.5389800000000001E-2</v>
      </c>
      <c r="X6635">
        <v>0.99954809999999905</v>
      </c>
      <c r="Y6635">
        <v>0.15886800000000001</v>
      </c>
      <c r="Z6635">
        <v>-3.9874359999999998E-2</v>
      </c>
      <c r="AA6635">
        <v>0.98649430000000005</v>
      </c>
      <c r="AB6635">
        <v>3</v>
      </c>
      <c r="AC6635">
        <v>0.65099999999998204</v>
      </c>
      <c r="AD6635">
        <v>-0.20567539999999901</v>
      </c>
      <c r="AE6635">
        <v>-7.8699999999997702E-2</v>
      </c>
      <c r="AF6635">
        <v>0.103068346782469</v>
      </c>
      <c r="AG6635">
        <v>-0.20567539999999901</v>
      </c>
      <c r="AH6635">
        <v>0.58804271091375904</v>
      </c>
      <c r="AI6635">
        <v>109.009387388587</v>
      </c>
      <c r="AJ6635">
        <v>80.058546413943006</v>
      </c>
      <c r="AK6635">
        <v>0.63144254222568397</v>
      </c>
    </row>
    <row r="6636" spans="1:37" x14ac:dyDescent="0.2">
      <c r="A6636" t="str">
        <f>"20200111160039088"</f>
        <v>20200111160039088</v>
      </c>
      <c r="B6636" t="str">
        <f>"1578729639078500"</f>
        <v>1578729639078500</v>
      </c>
      <c r="C6636" t="s">
        <v>37</v>
      </c>
      <c r="D6636">
        <v>5.6202629999999996</v>
      </c>
      <c r="E6636">
        <v>0.57213769999999997</v>
      </c>
      <c r="F6636" t="s">
        <v>38</v>
      </c>
      <c r="G6636">
        <v>-159.8228</v>
      </c>
      <c r="H6636">
        <v>0.90206359999999997</v>
      </c>
      <c r="I6636">
        <v>136.0044</v>
      </c>
      <c r="J6636">
        <v>-160.4777</v>
      </c>
      <c r="K6636">
        <v>1.1075059999999901</v>
      </c>
      <c r="L6636">
        <v>136.08179999999999</v>
      </c>
      <c r="M6636">
        <v>0.99770059999999905</v>
      </c>
      <c r="N6636">
        <v>0</v>
      </c>
      <c r="O6636">
        <v>5.3094370000000002E-2</v>
      </c>
      <c r="P6636">
        <v>0.99543680000000001</v>
      </c>
      <c r="Q6636">
        <v>-6.6008490000000003E-2</v>
      </c>
      <c r="R6636">
        <v>6.8909799999999993E-2</v>
      </c>
      <c r="S6636">
        <v>2.9759829999999998</v>
      </c>
      <c r="T6636">
        <v>-0.92094159999999903</v>
      </c>
      <c r="U6636">
        <v>-0.34466550000000001</v>
      </c>
      <c r="V6636">
        <v>-1.5925729999999999E-2</v>
      </c>
      <c r="W6636">
        <v>-2.3915510000000001E-2</v>
      </c>
      <c r="X6636">
        <v>0.99958709999999995</v>
      </c>
      <c r="Y6636">
        <v>0.15791229999999901</v>
      </c>
      <c r="Z6636">
        <v>-3.9826210000000001E-2</v>
      </c>
      <c r="AA6636">
        <v>0.98664969999999996</v>
      </c>
      <c r="AB6636">
        <v>2</v>
      </c>
      <c r="AC6636">
        <v>0.65489999999999704</v>
      </c>
      <c r="AD6636">
        <v>-0.205442399999999</v>
      </c>
      <c r="AE6636">
        <v>-7.7399999999982996E-2</v>
      </c>
      <c r="AF6636">
        <v>0.10217655542747001</v>
      </c>
      <c r="AG6636">
        <v>-0.205442399999999</v>
      </c>
      <c r="AH6636">
        <v>0.59237052546055402</v>
      </c>
      <c r="AI6636">
        <v>108.868743142504</v>
      </c>
      <c r="AJ6636">
        <v>80.213487666497997</v>
      </c>
      <c r="AK6636">
        <v>0.63525543494817505</v>
      </c>
    </row>
    <row r="6637" spans="1:37" x14ac:dyDescent="0.2">
      <c r="A6637" t="str">
        <f>"20200111160039108"</f>
        <v>20200111160039108</v>
      </c>
      <c r="B6637" t="str">
        <f>"1578729639098020"</f>
        <v>1578729639098020</v>
      </c>
      <c r="C6637" t="s">
        <v>37</v>
      </c>
      <c r="D6637">
        <v>5.6311309999999999</v>
      </c>
      <c r="E6637">
        <v>0.5721446</v>
      </c>
      <c r="F6637" t="s">
        <v>38</v>
      </c>
      <c r="G6637">
        <v>-159.8108</v>
      </c>
      <c r="H6637">
        <v>0.90172140000000001</v>
      </c>
      <c r="I6637">
        <v>136.00450000000001</v>
      </c>
      <c r="J6637">
        <v>-160.47399999999999</v>
      </c>
      <c r="K6637">
        <v>1.107426</v>
      </c>
      <c r="L6637">
        <v>136.08189999999999</v>
      </c>
      <c r="M6637">
        <v>0.99769989999999997</v>
      </c>
      <c r="N6637">
        <v>0</v>
      </c>
      <c r="O6637">
        <v>5.301691E-2</v>
      </c>
      <c r="P6637">
        <v>0.99557850000000003</v>
      </c>
      <c r="Q6637">
        <v>-6.4360360000000005E-2</v>
      </c>
      <c r="R6637">
        <v>6.8423269999999994E-2</v>
      </c>
      <c r="S6637">
        <v>2.9766689999999998</v>
      </c>
      <c r="T6637">
        <v>-0.9187438</v>
      </c>
      <c r="U6637">
        <v>-0.3442383</v>
      </c>
      <c r="V6637">
        <v>-1.550786E-2</v>
      </c>
      <c r="W6637">
        <v>-2.2144999999999901E-2</v>
      </c>
      <c r="X6637">
        <v>0.99963449999999998</v>
      </c>
      <c r="Y6637">
        <v>0.15773190000000001</v>
      </c>
      <c r="Z6637">
        <v>-3.967656E-2</v>
      </c>
      <c r="AA6637">
        <v>0.98668459999999902</v>
      </c>
      <c r="AB6637">
        <v>1</v>
      </c>
      <c r="AC6637">
        <v>0.66319999999998902</v>
      </c>
      <c r="AD6637">
        <v>-0.20570459999999999</v>
      </c>
      <c r="AE6637">
        <v>-7.7399999999982996E-2</v>
      </c>
      <c r="AF6637">
        <v>0.102732564816729</v>
      </c>
      <c r="AG6637">
        <v>-0.20570459999999999</v>
      </c>
      <c r="AH6637">
        <v>0.601105951018441</v>
      </c>
      <c r="AI6637">
        <v>108.640244940172</v>
      </c>
      <c r="AJ6637">
        <v>80.301514856198693</v>
      </c>
      <c r="AK6637">
        <v>0.64358117334549803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2020-07-09T10:52:50Z</dcterms:created>
  <dcterms:modified xsi:type="dcterms:W3CDTF">2020-07-09T10:52:51Z</dcterms:modified>
</cp:coreProperties>
</file>